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8.xml.rels" ContentType="application/vnd.openxmlformats-package.relationships+xml"/>
  <Override PartName="/xl/worksheets/_rels/sheet17.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drawings/drawing9.xml" ContentType="application/vnd.openxmlformats-officedocument.drawing+xml"/>
  <Override PartName="/xl/drawings/drawing8.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vmlDrawing3.vml" ContentType="application/vnd.openxmlformats-officedocument.vmlDrawing"/>
  <Override PartName="/xl/drawings/drawing4.xml" ContentType="application/vnd.openxmlformats-officedocument.drawing+xml"/>
  <Override PartName="/xl/drawings/drawing7.xml" ContentType="application/vnd.openxmlformats-officedocument.drawing+xml"/>
  <Override PartName="/xl/drawings/vmlDrawing6.vml" ContentType="application/vnd.openxmlformats-officedocument.vmlDrawing"/>
  <Override PartName="/xl/drawings/vmlDrawing4.vml" ContentType="application/vnd.openxmlformats-officedocument.vmlDrawing"/>
  <Override PartName="/xl/drawings/drawing5.xml" ContentType="application/vnd.openxmlformats-officedocument.drawing+xml"/>
  <Override PartName="/xl/drawings/drawing6.xml" ContentType="application/vnd.openxmlformats-officedocument.drawing+xml"/>
  <Override PartName="/xl/drawings/vmlDrawing5.vml" ContentType="application/vnd.openxmlformats-officedocument.vmlDrawing"/>
  <Override PartName="/xl/drawings/drawing2.xml" ContentType="application/vnd.openxmlformats-officedocument.drawing+xml"/>
  <Override PartName="/xl/drawings/vmlDrawing1.vml" ContentType="application/vnd.openxmlformats-officedocument.vmlDrawing"/>
  <Override PartName="/xl/drawings/drawing3.xml" ContentType="application/vnd.openxmlformats-officedocument.drawing+xml"/>
  <Override PartName="/xl/drawings/vmlDrawing2.vml" ContentType="application/vnd.openxmlformats-officedocument.vmlDrawing"/>
  <Override PartName="/xl/comments8.xml" ContentType="application/vnd.openxmlformats-officedocument.spreadsheetml.comments+xml"/>
  <Override PartName="/xl/comments11.xml" ContentType="application/vnd.openxmlformats-officedocument.spreadsheetml.comments+xml"/>
  <Override PartName="/xl/comments14.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sumptions" sheetId="1" state="visible" r:id="rId3"/>
    <sheet name="Execution Queue" sheetId="2" state="visible" r:id="rId4"/>
    <sheet name="Playbook Library" sheetId="3" state="visible" r:id="rId5"/>
    <sheet name="Change Log" sheetId="4" state="visible" r:id="rId6"/>
    <sheet name="Execution Guardrails" sheetId="5" state="visible" r:id="rId7"/>
    <sheet name="Execution Queue Run2" sheetId="6" state="visible" r:id="rId8"/>
    <sheet name="NBA Summary" sheetId="7" state="visible" r:id="rId9"/>
    <sheet name="NBA Engine" sheetId="8" state="visible" r:id="rId10"/>
    <sheet name="NBA Library" sheetId="9" state="visible" r:id="rId11"/>
    <sheet name="Segment Summary" sheetId="10" state="visible" r:id="rId12"/>
    <sheet name="Segmentation" sheetId="11" state="visible" r:id="rId13"/>
    <sheet name="Phase 1 Cohort" sheetId="12" state="visible" r:id="rId14"/>
    <sheet name="Feature Analysis" sheetId="13" state="visible" r:id="rId15"/>
    <sheet name="Feature Data" sheetId="14" state="visible" r:id="rId16"/>
    <sheet name="Summary" sheetId="15" state="visible" r:id="rId17"/>
    <sheet name="Commercial Summary" sheetId="16" state="visible" r:id="rId18"/>
    <sheet name="Commercial View" sheetId="17" state="visible" r:id="rId19"/>
    <sheet name="Scored Accounts" sheetId="18" state="visible" r:id="rId20"/>
    <sheet name="Interesting Accounts" sheetId="19" state="visible" r:id="rId21"/>
    <sheet name="Data Quality" sheetId="20" state="visible" r:id="rId22"/>
  </sheets>
  <definedNames>
    <definedName function="false" hidden="true" localSheetId="3" name="_xlnm._FilterDatabase" vbProcedure="false">'Change Log'!$A$9:$O$355</definedName>
    <definedName function="false" hidden="true" localSheetId="16" name="_xlnm._FilterDatabase" vbProcedure="false">'Commercial View'!$A$1:$AB$301</definedName>
    <definedName function="false" hidden="true" localSheetId="4" name="_xlnm._FilterDatabase" vbProcedure="false">'Execution Guardrails'!$A$3:$D$22</definedName>
    <definedName function="false" hidden="true" localSheetId="1" name="_xlnm._FilterDatabase" vbProcedure="false">'Execution Queue'!$A$3:$AL$303</definedName>
    <definedName function="false" hidden="true" localSheetId="5" name="_xlnm._FilterDatabase" vbProcedure="false">'Execution Queue Run2'!$A$3:$AL$348</definedName>
    <definedName function="false" hidden="true" localSheetId="13" name="_xlnm._FilterDatabase" vbProcedure="false">'Feature Data'!$A$1:$AE$301</definedName>
    <definedName function="false" hidden="true" localSheetId="7" name="_xlnm._FilterDatabase" vbProcedure="false">'NBA Engine'!$A$1:$BL$301</definedName>
    <definedName function="false" hidden="true" localSheetId="2" name="_xlnm._FilterDatabase" vbProcedure="false">'Playbook Library'!$A$3:$O$12</definedName>
    <definedName function="false" hidden="true" localSheetId="17" name="_xlnm._FilterDatabase" vbProcedure="false">'Scored Accounts'!$A$1:$W$301</definedName>
    <definedName function="false" hidden="true" localSheetId="10" name="_xlnm._FilterDatabase" vbProcedure="false">Segmentation!$A$1:$AW$301</definedName>
  </definedNames>
  <calcPr iterateCount="100" refMode="A1" iterate="false" iterateDelta="0.0001"/>
  <extLst>
    <ext xmlns:loext="http://schemas.libreoffice.org/" uri="{7626C862-2A13-11E5-B345-FEFF819CDC9F}">
      <loext:extCalcPr stringRefSyntax="ExcelA1"/>
    </ext>
  </extLst>
</workbook>
</file>

<file path=xl/comments8.xml><?xml version="1.0" encoding="utf-8"?>
<comments xmlns="http://schemas.openxmlformats.org/spreadsheetml/2006/main" xmlns:xdr="http://schemas.openxmlformats.org/drawingml/2006/spreadsheetDrawing">
  <authors>
    <author>Unknown Author</author>
  </authors>
  <commentList>
    <comment ref="AM1" authorId="0">
      <text>
        <r>
          <rPr>
            <sz val="10"/>
            <rFont val="Arial"/>
            <family val="2"/>
          </rPr>
          <t xml:space="preserve">Separate from primary_nba: whether the action can run now. Never overwrites the recommendation.</t>
        </r>
      </text>
    </comment>
    <comment ref="BC1" authorId="0">
      <text>
        <r>
          <rPr>
            <sz val="10"/>
            <rFont val="Arial"/>
            <family val="2"/>
          </rPr>
          <t xml:space="preserve">Yellow cells (Migration Candidates only): enter 90-day monitoring data on a future run. Blank = Baseline.</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B4" authorId="0">
      <text>
        <r>
          <rPr>
            <sz val="10"/>
            <rFont val="Arial"/>
            <family val="2"/>
          </rPr>
          <t xml:space="preserve">Row count of the Accounts tab in the source file (300).</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T1" authorId="0">
      <text>
        <r>
          <rPr>
            <sz val="10"/>
            <rFont val="Arial"/>
            <family val="2"/>
          </rPr>
          <t xml:space="preserve">Nine mutually exclusive segments: Broker-Reliant x value (Key/Core vs Tail) x momentum; Low dependency x value x momentum.</t>
        </r>
      </text>
    </comment>
    <comment ref="U1" authorId="0">
      <text>
        <r>
          <rPr>
            <sz val="10"/>
            <rFont val="Arial"/>
            <family val="2"/>
          </rPr>
          <t xml:space="preserve">Phase 1 Migration Cohort eligibility (cautious rollout, not a controlled experiment). Migration Candidate AND Core AND orders&gt;=3 AND self-serve orders&gt;=2 AND not Duplicate. Does not change action_segment.</t>
        </r>
      </text>
    </comment>
    <comment ref="V1" authorId="0">
      <text>
        <r>
          <rPr>
            <sz val="10"/>
            <rFont val="Arial"/>
            <family val="2"/>
          </rPr>
          <t xml:space="preserve">Independent re-test of the nine segment conditions. Every row must equal 1 (exactly one rule matched).</t>
        </r>
      </text>
    </comment>
    <comment ref="AK1" authorId="0">
      <text>
        <r>
          <rPr>
            <sz val="10"/>
            <rFont val="Arial"/>
            <family val="2"/>
          </rPr>
          <t xml:space="preserve">Warning only. TRUE when removing February changes the momentum group (Growing/Stable, Declining, Lapsed, H2 Active / No H1 GMV, No activity). Official segment unchanged.</t>
        </r>
      </text>
    </comment>
    <comment ref="AQ1" authorId="0">
      <text>
        <r>
          <rPr>
            <sz val="10"/>
            <rFont val="Arial"/>
            <family val="2"/>
          </rPr>
          <t xml:space="preserve">Manual-review flag only. Provided broker_reliance_pct remains the scoring source of truth.</t>
        </r>
      </text>
    </comment>
    <comment ref="AW1" authorId="0">
      <text>
        <r>
          <rPr>
            <sz val="10"/>
            <rFont val="Arial"/>
            <family val="2"/>
          </rPr>
          <t xml:space="preserve">Stage 4A rule promoted in Stage 4B. Context flag only - action_segment unchanged. Parameters Assumptions B64-B67.</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R1" authorId="0">
      <text>
        <r>
          <rPr>
            <sz val="10"/>
            <rFont val="Arial"/>
            <family val="2"/>
          </rPr>
          <t xml:space="preserve">chat_threads = chats the customer started WITH FLEEK (Readme). Not seller communication. No _6m suffix: window unconfirmed.</t>
        </r>
      </text>
    </comment>
    <comment ref="U1" authorId="0">
      <text>
        <r>
          <rPr>
            <sz val="10"/>
            <rFont val="Arial"/>
            <family val="2"/>
          </rPr>
          <t xml:space="preserve">bundle_orders = orders with non-handpick items (proxy). Build-a-Bundle is not separately tracked.</t>
        </r>
      </text>
    </comment>
    <comment ref="AE1" authorId="0">
      <text>
        <r>
          <rPr>
            <sz val="10"/>
            <rFont val="Arial"/>
            <family val="2"/>
          </rPr>
          <t xml:space="preserve">Stage 4A proposed context flag. Does not change action_segment. Not yet an NBA.</t>
        </r>
      </text>
    </comment>
  </commentList>
</comments>
</file>

<file path=xl/comments17.xml><?xml version="1.0" encoding="utf-8"?>
<comments xmlns="http://schemas.openxmlformats.org/spreadsheetml/2006/main" xmlns:xdr="http://schemas.openxmlformats.org/drawingml/2006/spreadsheetDrawing">
  <authors>
    <author>Unknown Author</author>
  </authors>
  <commentList>
    <comment ref="Q1" authorId="0">
      <text>
        <r>
          <rPr>
            <sz val="10"/>
            <rFont val="Arial"/>
            <family val="2"/>
          </rPr>
          <t xml:space="preserve">Rebuilds the file field: matches gmv_trend_pct on all 150 populated rows. Blank when Sep GMV = 0.</t>
        </r>
      </text>
    </comment>
    <comment ref="U1" authorId="0">
      <text>
        <r>
          <rPr>
            <sz val="10"/>
            <rFont val="Arial"/>
            <family val="2"/>
          </rPr>
          <t xml:space="preserve">Compares Dec-Feb GMV with Sep-Nov GMV using all six months. Lapsed = no GMV in Dec-Feb. With only 1 active month an account is always New or Lapsed.</t>
        </r>
      </text>
    </comment>
  </commentList>
</comments>
</file>

<file path=xl/comments18.xml><?xml version="1.0" encoding="utf-8"?>
<comments xmlns="http://schemas.openxmlformats.org/spreadsheetml/2006/main" xmlns:xdr="http://schemas.openxmlformats.org/drawingml/2006/spreadsheetDrawing">
  <authors>
    <author>Unknown Author</author>
  </authors>
  <commentList>
    <comment ref="U1" authorId="0">
      <text>
        <r>
          <rPr>
            <sz val="10"/>
            <rFont val="Arial"/>
            <family val="2"/>
          </rPr>
          <t xml:space="preserve">Original binary test: broker &gt;40%, GMV &gt;£2,000, app days &lt;10, offers = 0. 4 = met all four.</t>
        </r>
      </text>
    </comment>
    <comment ref="V1" authorId="0">
      <text>
        <r>
          <rPr>
            <sz val="10"/>
            <rFont val="Arial"/>
            <family val="2"/>
          </rPr>
          <t xml:space="preserve">Reproduces the brief exactly: broker &lt;20% = 0, no gate, 50/30/20. Kept for comparison only.</t>
        </r>
      </text>
    </comment>
  </commentList>
</comments>
</file>

<file path=xl/sharedStrings.xml><?xml version="1.0" encoding="utf-8"?>
<sst xmlns="http://schemas.openxmlformats.org/spreadsheetml/2006/main" count="28569" uniqueCount="1822">
  <si>
    <t xml:space="preserve">Self-Serve Dependency Score - assumptions (recommended method)</t>
  </si>
  <si>
    <t xml:space="preserve">Weights</t>
  </si>
  <si>
    <t xml:space="preserve">Broker reliance weight</t>
  </si>
  <si>
    <t xml:space="preserve">App activity weight</t>
  </si>
  <si>
    <t xml:space="preserve">Offer activity weight</t>
  </si>
  <si>
    <t xml:space="preserve">Gate: broker reliance % at or below this = not broker-led (score 0)</t>
  </si>
  <si>
    <t xml:space="preserve">High Dependency: score &gt;=</t>
  </si>
  <si>
    <t xml:space="preserve">Medium Dependency: score &gt;=</t>
  </si>
  <si>
    <t xml:space="preserve">Broker reliance bands (pct)</t>
  </si>
  <si>
    <t xml:space="preserve">&lt;= this -&gt; 0</t>
  </si>
  <si>
    <t xml:space="preserve">&lt; this -&gt; 25</t>
  </si>
  <si>
    <t xml:space="preserve">&lt; this -&gt; 50</t>
  </si>
  <si>
    <t xml:space="preserve">&lt; this -&gt; 75 (else 100)</t>
  </si>
  <si>
    <t xml:space="preserve">App active days bands</t>
  </si>
  <si>
    <t xml:space="preserve">&gt; this -&gt; 0</t>
  </si>
  <si>
    <t xml:space="preserve">&gt;= this -&gt; 25</t>
  </si>
  <si>
    <t xml:space="preserve">&gt;= this -&gt; 50</t>
  </si>
  <si>
    <t xml:space="preserve">&gt;= this -&gt; 75 (else 100)</t>
  </si>
  <si>
    <t xml:space="preserve">Make-an-offer bands</t>
  </si>
  <si>
    <t xml:space="preserve">&gt;= this -&gt; 0</t>
  </si>
  <si>
    <t xml:space="preserve">equals this -&gt; 50</t>
  </si>
  <si>
    <t xml:space="preserve">equals this -&gt; 75 (0 offers -&gt; 100)</t>
  </si>
  <si>
    <t xml:space="preserve">Low-confidence flag: orders_6m &lt;=</t>
  </si>
  <si>
    <t xml:space="preserve">Source: weights and initial bands supplied by Zain (case-study brief). Changes vs brief: broker 0-band is &lt;=20% (was &lt;20%) and the broker gate; both explained in the report.</t>
  </si>
  <si>
    <t xml:space="preserve">Commercial lens (stage 2)</t>
  </si>
  <si>
    <t xml:space="preserve">Higher-value threshold: 6m GMV &gt;= (£)</t>
  </si>
  <si>
    <t xml:space="preserve">Key-account threshold: 6m GMV &gt;= (£)</t>
  </si>
  <si>
    <t xml:space="preserve">Momentum band: Growing if H2 &gt;= H1 x (1 + this); Declining if H2 &lt; H1 x (1 - this); else Stable</t>
  </si>
  <si>
    <t xml:space="preserve">Segmentation (stage 3)</t>
  </si>
  <si>
    <t xml:space="preserve">Phase 1 cohort rule: minimum orders_6m</t>
  </si>
  <si>
    <t xml:space="preserve">Phase 1 cohort rule: minimum self_serve_orders</t>
  </si>
  <si>
    <t xml:space="preserve">Broker % inconsistency flag: gap vs order counts greater than (pts)</t>
  </si>
  <si>
    <t xml:space="preserve">Critical data-quality blocker (Phase 1 cohort) = account_status "Duplicate". All other flags are warnings and never change a segment.</t>
  </si>
  <si>
    <t xml:space="preserve">February completeness is UNCONFIRMED. H2 (Dec-Feb) momentum assumes February is a full month.</t>
  </si>
  <si>
    <t xml:space="preserve">Stage 3.1 guardrails (context flags - never change a segment)</t>
  </si>
  <si>
    <t xml:space="preserve">Borderline momentum: H2 vs H1 within this many points of +20% or -20%</t>
  </si>
  <si>
    <t xml:space="preserve">Lifecycle: New Customer if tenure_months &lt;= (only for H2 Active / No H1 GMV accounts)</t>
  </si>
  <si>
    <t xml:space="preserve">Lapse context: One-Off / Insufficient History if orders_6m &lt;=</t>
  </si>
  <si>
    <t xml:space="preserve">Lapse context: One-Off / Insufficient History if months with GMV &lt;=</t>
  </si>
  <si>
    <t xml:space="preserve">February sensitivity: same H1 (Sep-Nov) vs Dec-Jan only, compared as monthly averages (H1/3 vs (Dec+Jan)/2), same +/-20% rule. Sensitive = the momentum group changes (Growing/Stable = one group).</t>
  </si>
  <si>
    <t xml:space="preserve">Material broker inconsistency: provided vs implied (manual / (manual+self-serve)) crosses the 20% gate, changes the broker sub-score band, or changes the Dependency Tier.</t>
  </si>
  <si>
    <t xml:space="preserve">Key-account sign-off: Migration Candidate AND Key. Human/AM approval required before any migration activity.</t>
  </si>
  <si>
    <t xml:space="preserve">Phase 1 rollout status: Not Eligible if Phase 1 criteria not met; Manual Review if met but material broker inconsistency, borderline momentum, February-sensitive, or (Stage 5) lumpy buyer cadence (B83/B84 not met); otherwise Ready.</t>
  </si>
  <si>
    <t xml:space="preserve">Stage 4A feature analysis (analysis definitions - not yet NBA rules)</t>
  </si>
  <si>
    <t xml:space="preserve">Self-serve milestone M1: app_active_days_6m &gt;=</t>
  </si>
  <si>
    <t xml:space="preserve">Self-serve milestone M2: pdp_views_6m &gt;=</t>
  </si>
  <si>
    <t xml:space="preserve">Self-serve milestone M3: make_an_offer_6m &gt;=</t>
  </si>
  <si>
    <t xml:space="preserve">Archetype: "engaged" if app_active_days_6m &gt;=</t>
  </si>
  <si>
    <t xml:space="preserve">Archetype: "engaged" if pdp_views_6m &gt;=</t>
  </si>
  <si>
    <t xml:space="preserve">Archetype: independent browser-buyer needs offers &gt;=</t>
  </si>
  <si>
    <t xml:space="preserve">Archetype: independent browser-buyer needs orders_6m &gt;=</t>
  </si>
  <si>
    <t xml:space="preserve">Rising Tail watchlist: gmv_total_6m &gt;= (£)</t>
  </si>
  <si>
    <t xml:space="preserve">Rising Tail watchlist: orders_6m &gt;=</t>
  </si>
  <si>
    <t xml:space="preserve">Rising Tail watchlist: app_active_days_6m &gt;= (or offers rule)</t>
  </si>
  <si>
    <t xml:space="preserve">Rising Tail watchlist: make_an_offer_6m &gt;= (or app rule)</t>
  </si>
  <si>
    <t xml:space="preserve">Rising Tail also requires: Low dependency, Tail, and Growing/Stable momentum OR H2 Active / No H1 GMV with &gt;= 2 months of GMV. Context flag only - primary Action Segment unchanged.</t>
  </si>
  <si>
    <t xml:space="preserve">Stage 4B NBA engine (rule parameters)</t>
  </si>
  <si>
    <t xml:space="preserve">Discovery-to-Offer: pdp_views_6m &gt;=</t>
  </si>
  <si>
    <t xml:space="preserve">Discovery-to-Offer: make_an_offer_6m &lt;</t>
  </si>
  <si>
    <t xml:space="preserve">Reinforce: minimum months with GMV</t>
  </si>
  <si>
    <t xml:space="preserve">Long-tail Discovery-to-Offer: minimum orders_6m</t>
  </si>
  <si>
    <t xml:space="preserve">Warning H2_SINGLE_MONTH_SPIKE: largest H2 month share &gt;=</t>
  </si>
  <si>
    <t xml:space="preserve">Phase 1 (90 days) Progressing: PDP views &gt;=</t>
  </si>
  <si>
    <t xml:space="preserve">Phase 1 (90 days) Progressing: app active days &gt;=</t>
  </si>
  <si>
    <t xml:space="preserve">Phase 1 (90 days) Capability: PDP views &gt;=</t>
  </si>
  <si>
    <t xml:space="preserve">Phase 1 (90 days) Capability: app active days &gt;=</t>
  </si>
  <si>
    <t xml:space="preserve">Phase 1 (90 days) supportive: offers &gt;=</t>
  </si>
  <si>
    <t xml:space="preserve">GMV guardrail (regular buyers): At Risk if GMV to date &lt; this share of pro-rated expected GMV</t>
  </si>
  <si>
    <t xml:space="preserve">GMV guardrail: first check on day</t>
  </si>
  <si>
    <t xml:space="preserve">Regular buyer (also Stage 5 Phase 1 rule): months with GMV &gt;=</t>
  </si>
  <si>
    <t xml:space="preserve">Regular buyer (also Stage 5 Phase 1 rule): orders_6m &gt;=</t>
  </si>
  <si>
    <t xml:space="preserve">Phase 1 monitoring window (days)</t>
  </si>
  <si>
    <t xml:space="preserve">recent_activity_status: Recently Active if Jan or Feb GMV &gt; 0; otherwise No Meaningful History if orders &lt;= B48 or months with GMV &lt;= B49; otherwise Recent Inactivity. Zero February alone is context only.</t>
  </si>
  <si>
    <t xml:space="preserve">Stage 5 execution (pipeline code: fleek_gtm_engine/). Phase 1 refinement: an otherwise Ready account with buyer cadence Lumpy (B83/B84 not met) goes to Manual Review.</t>
  </si>
  <si>
    <t xml:space="preserve">Execution Queue - RUN001 baseline (300 accounts). Generated by fleek_engine; drafts are NOT sent. Sorted by priority, value tier, GMV.</t>
  </si>
  <si>
    <t xml:space="preserve">account_id</t>
  </si>
  <si>
    <t xml:space="preserve">attention_priority</t>
  </si>
  <si>
    <t xml:space="preserve">value_tier</t>
  </si>
  <si>
    <t xml:space="preserve">gmv_total_6m</t>
  </si>
  <si>
    <t xml:space="preserve">action_segment</t>
  </si>
  <si>
    <t xml:space="preserve">primary_nba</t>
  </si>
  <si>
    <t xml:space="preserve">nba_reason_code</t>
  </si>
  <si>
    <t xml:space="preserve">execution_status</t>
  </si>
  <si>
    <t xml:space="preserve">action_state</t>
  </si>
  <si>
    <t xml:space="preserve">owner_role</t>
  </si>
  <si>
    <t xml:space="preserve">named_owner_required</t>
  </si>
  <si>
    <t xml:space="preserve">notify_am_before_send</t>
  </si>
  <si>
    <t xml:space="preserve">playbook_id</t>
  </si>
  <si>
    <t xml:space="preserve">recommended_channel</t>
  </si>
  <si>
    <t xml:space="preserve">first_action</t>
  </si>
  <si>
    <t xml:space="preserve">follow_up_days</t>
  </si>
  <si>
    <t xml:space="preserve">success_condition</t>
  </si>
  <si>
    <t xml:space="preserve">stop_condition</t>
  </si>
  <si>
    <t xml:space="preserve">escalation_condition</t>
  </si>
  <si>
    <t xml:space="preserve">guardrail_codes</t>
  </si>
  <si>
    <t xml:space="preserve">draft_status</t>
  </si>
  <si>
    <t xml:space="preserve">message_template_id</t>
  </si>
  <si>
    <t xml:space="preserve">draft_customer_message</t>
  </si>
  <si>
    <t xml:space="preserve">internal_task_brief</t>
  </si>
  <si>
    <t xml:space="preserve">secondary_test</t>
  </si>
  <si>
    <t xml:space="preserve">secondary_test_arm</t>
  </si>
  <si>
    <t xml:space="preserve">secondary_test_draft</t>
  </si>
  <si>
    <t xml:space="preserve">nurture_subcontext</t>
  </si>
  <si>
    <t xml:space="preserve">recent_activity_status</t>
  </si>
  <si>
    <t xml:space="preserve">lifecycle_context</t>
  </si>
  <si>
    <t xml:space="preserve">rising_tail_watchlist</t>
  </si>
  <si>
    <t xml:space="preserve">phase1_rollout_status</t>
  </si>
  <si>
    <t xml:space="preserve">buyer_cadence</t>
  </si>
  <si>
    <t xml:space="preserve">migration_progress_status</t>
  </si>
  <si>
    <t xml:space="preserve">next_rerun_behaviour</t>
  </si>
  <si>
    <t xml:space="preserve">change_type</t>
  </si>
  <si>
    <t xml:space="preserve">change_flags</t>
  </si>
  <si>
    <t xml:space="preserve">generated_action</t>
  </si>
  <si>
    <t xml:space="preserve">ACC-005</t>
  </si>
  <si>
    <t xml:space="preserve">P0</t>
  </si>
  <si>
    <t xml:space="preserve">Key</t>
  </si>
  <si>
    <t xml:space="preserve">2. Protect / Retain First</t>
  </si>
  <si>
    <t xml:space="preserve">Retention Conversation</t>
  </si>
  <si>
    <t xml:space="preserve">DECLINING_KEY_CORE</t>
  </si>
  <si>
    <t xml:space="preserve">HOLD — Critical Data Issue</t>
  </si>
  <si>
    <t xml:space="preserve">On Hold</t>
  </si>
  <si>
    <t xml:space="preserve">Portfolio Lead</t>
  </si>
  <si>
    <t xml:space="preserve">PB01_RETENTION</t>
  </si>
  <si>
    <t xml:space="preserve">Personal email from AM, then call</t>
  </si>
  <si>
    <t xml:space="preserve">Portfolio Lead resolves the Duplicate status; no contact until cleared.</t>
  </si>
  <si>
    <t xml:space="preserve">Root cause logged and next-90-day GMV back to at least the Sep-Nov (H1) level, or the decline arrested.</t>
  </si>
  <si>
    <t xml:space="preserve">Customer confirms a planned pause/seasonal gap (log cadence), or no response after 2 attempts (escalate).</t>
  </si>
  <si>
    <t xml:space="preserve">No response after 2 attempts, or Key account with further decline -&gt; Portfolio Lead.</t>
  </si>
  <si>
    <t xml:space="preserve">CRITICAL_DATA_BLOCKER</t>
  </si>
  <si>
    <t xml:space="preserve">Withheld: account on HOLD (critical data issue)</t>
  </si>
  <si>
    <t xml:space="preserve">WHY NOW: Commercially important, broker-led spend is falling.
WHAT WE KNOW:
- Key, Broker-Reliant, Account Managed; £24,555 6m GMV; Retailer, United Kingdom; tenure 41 months.
- Momentum: Declining (Sep-Nov £17,529 -&gt; Dec-Feb £7,025); Recently Active (last GMV month: February); 14 orders over 5 month(s).
- Dependency: Medium (broker reliance 50%; 7 AM-placed / 7 self-serve orders).
- Engagement: 10 product views, 8 app days, 1 offer(s), 100 Fleek chats, 0 video requests; basket Mixed.
- Warnings: CRITICAL_DATA_BLOCKER.
WHAT TO DO: Resolve the Duplicate status (find/merge the matching record, confirm GMV is not double-counted) before any contact. Underlying action once cleared: Retention Conversation.
WHAT NOT TO DO: No outbound communication while on HOLD.
SUCCESS: Root cause logged and next-90-day GMV back to at least the Sep-Nov (H1) level, or the decline arrested.</t>
  </si>
  <si>
    <t xml:space="preserve">Recently Active</t>
  </si>
  <si>
    <t xml:space="preserve">Existing Customer</t>
  </si>
  <si>
    <t xml:space="preserve">Not Eligible</t>
  </si>
  <si>
    <t xml:space="preserve">Regular</t>
  </si>
  <si>
    <t xml:space="preserve">N/A</t>
  </si>
  <si>
    <t xml:space="preserve">Stay in playbook while momentum is Declining; exit when momentum is Stable/Growing for a full run; if the account lapses, NBA moves to Verify/Win-Back.</t>
  </si>
  <si>
    <t xml:space="preserve">BASELINE</t>
  </si>
  <si>
    <t xml:space="preserve">5b28ca9bd14c</t>
  </si>
  <si>
    <t xml:space="preserve">ACC-002</t>
  </si>
  <si>
    <t xml:space="preserve">P1</t>
  </si>
  <si>
    <t xml:space="preserve">3. Win-Back / Verify</t>
  </si>
  <si>
    <t xml:space="preserve">Verify Demand / Win-Back</t>
  </si>
  <si>
    <t xml:space="preserve">LAPSED_THIN_HISTORY</t>
  </si>
  <si>
    <t xml:space="preserve">Ready — Human</t>
  </si>
  <si>
    <t xml:space="preserve">Draft Ready</t>
  </si>
  <si>
    <t xml:space="preserve">Account Manager</t>
  </si>
  <si>
    <t xml:space="preserve">PB02_VERIFY_WINBACK</t>
  </si>
  <si>
    <t xml:space="preserve">Send cadence check-in (verify, don't assume churn).</t>
  </si>
  <si>
    <t xml:space="preserve">Cadence recorded and account reclassified, or a new order within 90 days (60 days for recent-inactivity checks).</t>
  </si>
  <si>
    <t xml:space="preserve">Customer confirms infrequent/seasonal buying (set a reminder for their window) or confirms churn (log reason).</t>
  </si>
  <si>
    <t xml:space="preserve">Key account with no response after 2 attempts -&gt; Portfolio Lead.</t>
  </si>
  <si>
    <t xml:space="preserve">MATERIAL_BROKER_INCONSISTENCY; LOW_CONFIDENCE</t>
  </si>
  <si>
    <t xml:space="preserve">Draft ready (not sent)</t>
  </si>
  <si>
    <t xml:space="preserve">VERIFY_CADENCE</t>
  </si>
  <si>
    <t xml:space="preserve">Hi {first_name},
Thanks for your previous orders with Fleek. I wanted to check how you usually plan your stock buying (seasonal, project by project, or ongoing) so we can get in touch at the right moments rather than too often. Happy to talk on a quick call, or just reply here with what works for you.
Best,
{sender_name}</t>
  </si>
  <si>
    <t xml:space="preserve">WHY NOW: Apparent lapse rests on 1-2 orders or one buying month; cadence is unknown.
WHAT WE KNOW:
- Key, Broker-Reliant, Account Managed; £70,650 6m GMV; Reseller, United States; tenure 10 months.
- Momentum: Lapsed; No Meaningful History (last GMV month: October); 2 orders over 2 month(s).
- Dependency: High (broker reliance 70%; 1 AM-placed / 1 self-serve orders).
- Engagement: 6 product views, 2 app days, 2 offer(s), 12 Fleek chats, 0 video requests; basket Handpick-only.
- Warnings: MATERIAL_BROKER_INCONSISTENCY; LOW_CONFIDENCE.
WHAT TO DO: Do not assume churn. Verify expected purchase frequency first, then set the next contact window.
WHAT NOT TO DO: Do not treat as churn or run a discount-led win-back.
SUCCESS: Cadence recorded and account reclassified, or a new order within 90 days (60 days for recent-inactivity checks).</t>
  </si>
  <si>
    <t xml:space="preserve">No Meaningful History</t>
  </si>
  <si>
    <t xml:space="preserve">Lumpy</t>
  </si>
  <si>
    <t xml:space="preserve">If an order appears, the account re-segments automatically; if confirmed seasonal, suppress re-contact until the stated window.</t>
  </si>
  <si>
    <t xml:space="preserve">ad531f2937d6</t>
  </si>
  <si>
    <t xml:space="preserve">ACC-008</t>
  </si>
  <si>
    <t xml:space="preserve">Read brief; send outreach to book a review call.</t>
  </si>
  <si>
    <t xml:space="preserve">H2_SINGLE_MONTH_SPIKE</t>
  </si>
  <si>
    <t xml:space="preserve">RET_AM</t>
  </si>
  <si>
    <t xml:space="preserve">Hi {first_name},
I'd like to set up a short call to review how sourcing through Fleek is working for you at the moment and what you're planning to buy over the next few months. It will help me make sure the stock I source for you (bundles and handpicked stock) is the right fit. Would sometime later this week or early next week suit you?
Best,
{sender_name}</t>
  </si>
  <si>
    <t xml:space="preserve">WHY NOW: Commercially important, broker-led spend is falling.
WHAT WE KNOW:
- Key, Broker-Reliant, Account Managed; £19,265 6m GMV; Retailer, Sweden; tenure 15 months.
- Momentum: Declining (Sep-Nov £12,458 -&gt; Dec-Feb £6,808); Recently Active (last GMV month: February); 16 orders over 5 month(s).
- Dependency: High (broker reliance 84%; 13 AM-placed / 3 self-serve orders).
- Engagement: 13 product views, 4 app days, 0 offer(s), 29 Fleek chats, 1 video requests; basket Mixed.
- Warnings: H2_SINGLE_MONTH_SPIKE.
WHAT TO DO: Book a conversation. Explore stock availability, price, assortment fit, buying cadence, competitor/offline wholesaler use and operational friction. Agree a recovery plan.
WHAT NOT TO DO: Do not reduce AM support or push migration; do not suggest the customer is at fault; do not propose chat/video/feature usage as the fix.
SUCCESS: Root cause logged and next-90-day GMV back to at least the Sep-Nov (H1) level, or the decline arrested.</t>
  </si>
  <si>
    <t xml:space="preserve">bbf41110e504</t>
  </si>
  <si>
    <t xml:space="preserve">ACC-009</t>
  </si>
  <si>
    <t xml:space="preserve">WHY NOW: Commercially important, broker-led spend is falling.
WHAT WE KNOW:
- Key, Broker-Reliant, Account Managed; £18,652 6m GMV; Reseller, United Kingdom; tenure 8 months.
- Momentum: Declining (Sep-Nov £12,807 -&gt; Dec-Feb £5,845); Recently Active (last GMV month: February); 35 orders over 6 month(s).
- Dependency: High (broker reliance 68%; 24 AM-placed / 11 self-serve orders).
- Engagement: 2 product views, 1 app days, 1 offer(s), 30 Fleek chats, 0 video requests; basket Mixed.
WHAT TO DO: Book a conversation. Explore stock availability, price, assortment fit, buying cadence, competitor/offline wholesaler use and operational friction. Agree a recovery plan.
WHAT NOT TO DO: Do not reduce AM support or push migration; do not suggest the customer is at fault; do not propose chat/video/feature usage as the fix.
SUCCESS: Root cause logged and next-90-day GMV back to at least the Sep-Nov (H1) level, or the decline arrested.</t>
  </si>
  <si>
    <t xml:space="preserve">14b26d9cbee4</t>
  </si>
  <si>
    <t xml:space="preserve">ACC-010</t>
  </si>
  <si>
    <t xml:space="preserve">Hi {first_name},
I'd like to set up a short call to review how sourcing through Fleek is working for you at the moment and what you're planning to buy over the next few months. It will help me make sure the stock I source for you (handpicked stock) is the right fit. Would sometime later this week or early next week suit you?
Best,
{sender_name}</t>
  </si>
  <si>
    <t xml:space="preserve">WHY NOW: Commercially important, broker-led spend is falling.
WHAT WE KNOW:
- Key, Broker-Reliant, Account Managed; £17,026 6m GMV; Reseller, Portugal; tenure 10 months.
- Momentum: Declining (Sep-Nov £11,150 -&gt; Dec-Feb £5,876); Recently Active (last GMV month: February); 13 orders over 6 month(s).
- Dependency: High (broker reliance 69%; 9 AM-placed / 4 self-serve orders).
- Engagement: 1 product views, 1 app days, 0 offer(s), 40 Fleek chats, 0 video requests; basket Handpick-only.
WHAT TO DO: Book a conversation. Explore stock availability, price, assortment fit, buying cadence, competitor/offline wholesaler use and operational friction. Agree a recovery plan.
WHAT NOT TO DO: Do not reduce AM support or push migration; do not suggest the customer is at fault; do not propose chat/video/feature usage as the fix.
SUCCESS: Root cause logged and next-90-day GMV back to at least the Sep-Nov (H1) level, or the decline arrested.</t>
  </si>
  <si>
    <t xml:space="preserve">4966e1678608</t>
  </si>
  <si>
    <t xml:space="preserve">ACC-013</t>
  </si>
  <si>
    <t xml:space="preserve">WHY NOW: Commercially important, broker-led spend is falling.
WHAT WE KNOW:
- Key, Broker-Reliant, Account Managed; £14,315 6m GMV; Reseller, United Kingdom; tenure 17 months.
- Momentum: Declining (Sep-Nov £9,966 -&gt; Dec-Feb £4,350); Recently Active (last GMV month: February); 21 orders over 5 month(s).
- Dependency: Medium (broker reliance 59%; 12 AM-placed / 9 self-serve orders).
- Engagement: 5 product views, 8 app days, 1 offer(s), 36 Fleek chats, 0 video requests; basket Mixed.
WHAT TO DO: Book a conversation. Explore stock availability, price, assortment fit, buying cadence, competitor/offline wholesaler use and operational friction. Agree a recovery plan.
WHAT NOT TO DO: Do not reduce AM support or push migration; do not suggest the customer is at fault; do not propose chat/video/feature usage as the fix.
SUCCESS: Root cause logged and next-90-day GMV back to at least the Sep-Nov (H1) level, or the decline arrested.</t>
  </si>
  <si>
    <t xml:space="preserve">d5ca9688e26f</t>
  </si>
  <si>
    <t xml:space="preserve">ACC-211</t>
  </si>
  <si>
    <t xml:space="preserve">8. Retention / Reactivation</t>
  </si>
  <si>
    <t xml:space="preserve">ENGAGED_BUT_SHRINKING</t>
  </si>
  <si>
    <t xml:space="preserve">Customer Success / Growth</t>
  </si>
  <si>
    <t xml:space="preserve">Personal email, then call</t>
  </si>
  <si>
    <t xml:space="preserve">Read brief; send outreach to book a call.</t>
  </si>
  <si>
    <t xml:space="preserve">RET_CS</t>
  </si>
  <si>
    <t xml:space="preserve">Hi {first_name},
I'm part of the Fleek team and wanted to hear how the platform is working for your buying at the moment. Is anything making it harder to find or secure the stock you need? I'd value a short call to understand what would be most useful for you over the coming months. Would a quick call this week work?
Best,
{sender_name}</t>
  </si>
  <si>
    <t xml:space="preserve">WHY NOW: Heavily self-serving account whose spend is falling; product adoption is not the issue.
WHAT WE KNOW:
- Key, Self-Serve, Self Serve; £13,412 6m GMV; Reseller, France; tenure 5 months.
- Momentum: Declining (Sep-Nov £9,034 -&gt; Dec-Feb £4,378); Recent Inactivity (last GMV month: December); 15 orders over 3 month(s).
- Dependency: Low (broker reliance 0%; 0 AM-placed / 15 self-serve orders).
- Engagement: 6665 product views, 100 app days, 71 offer(s), 18 Fleek chats, 0 video requests; basket Mixed.
- Warnings: H2_SINGLE_MONTH_SPIKE.
WHAT TO DO: Book a conversation. The customer already uses the product heavily: explore stock availability, price, offer outcomes and competitor use.
WHAT NOT TO DO: Do not send more product nudges - engagement is not the problem.
SUCCESS: Root cause logged and next-90-day GMV back to at least the Sep-Nov (H1) level, or the decline arrested.</t>
  </si>
  <si>
    <t xml:space="preserve">Recent Inactivity</t>
  </si>
  <si>
    <t xml:space="preserve">1147923b913d</t>
  </si>
  <si>
    <t xml:space="preserve">ACC-014</t>
  </si>
  <si>
    <t xml:space="preserve">WHY NOW: Commercially important, broker-led spend is falling.
WHAT WE KNOW:
- Key, Broker-Reliant, Account Managed; £11,721 6m GMV; Reseller, United States; tenure 8 months.
- Momentum: Declining (Sep-Nov £7,060 -&gt; Dec-Feb £4,661); Recently Active (last GMV month: February); 27 orders over 6 month(s).
- Dependency: High (broker reliance 81%; 22 AM-placed / 5 self-serve orders).
- Engagement: 1 product views, 5 app days, 0 offer(s), 64 Fleek chats, 36 video requests; basket Mixed.
WHAT TO DO: Book a conversation. Explore stock availability, price, assortment fit, buying cadence, competitor/offline wholesaler use and operational friction. Agree a recovery plan.
WHAT NOT TO DO: Do not reduce AM support or push migration; do not suggest the customer is at fault; do not propose chat/video/feature usage as the fix.
SUCCESS: Root cause logged and next-90-day GMV back to at least the Sep-Nov (H1) level, or the decline arrested.</t>
  </si>
  <si>
    <t xml:space="preserve">3541cedf4075</t>
  </si>
  <si>
    <t xml:space="preserve">ACC-015</t>
  </si>
  <si>
    <t xml:space="preserve">LAPSED_ESTABLISHED</t>
  </si>
  <si>
    <t xml:space="preserve">Send win-back check-in.</t>
  </si>
  <si>
    <t xml:space="preserve">WINBACK</t>
  </si>
  <si>
    <t xml:space="preserve">Hi {first_name},
It's been a little while since we last caught up, so I wanted to check in on your buying plans for the coming months. If you're sourcing bundles and handpicked stock again soon, I'd be glad to talk through what you're looking for and how we can help. Would a quick call be useful?
Best,
{sender_name}</t>
  </si>
  <si>
    <t xml:space="preserve">WHY NOW: Established buyer with a repeat pattern has had no GMV since November or earlier.
WHAT WE KNOW:
- Key, Broker-Reliant, Account Managed; £11,481 6m GMV; Reseller, United Kingdom; tenure 13 months.
- Momentum: Lapsed; Recent Inactivity (last GMV month: November); 8 orders over 3 month(s).
- Dependency: High (broker reliance 64%; 5 AM-placed / 3 self-serve orders).
- Engagement: 5 product views, 6 app days, 1 offer(s), 96 Fleek chats, 0 video requests; basket Mixed.
WHAT TO DO: Win-back conversation about upcoming buying needs and what would bring them back.
WHAT NOT TO DO: Do not say 'you churned' or 'you've stopped buying'.
SUCCESS: Cadence recorded and account reclassified, or a new order within 90 days (60 days for recent-inactivity checks).</t>
  </si>
  <si>
    <t xml:space="preserve">2285c67f93e3</t>
  </si>
  <si>
    <t xml:space="preserve">ACC-017</t>
  </si>
  <si>
    <t xml:space="preserve">WHY NOW: Commercially important, broker-led spend is falling.
WHAT WE KNOW:
- Key, Broker-Reliant, Account Managed; £10,950 6m GMV; Reseller, United Kingdom; tenure 18 months.
- Momentum: Declining (Sep-Nov £7,711 -&gt; Dec-Feb £3,238); Recently Active (last GMV month: February); 37 orders over 5 month(s).
- Dependency: High (broker reliance 78%; 29 AM-placed / 8 self-serve orders).
- Engagement: 2 product views, 4 app days, 1 offer(s), 55 Fleek chats, 1 video requests; basket Mixed.
- Warnings: H2_SINGLE_MONTH_SPIKE.
WHAT TO DO: Book a conversation. Explore stock availability, price, assortment fit, buying cadence, competitor/offline wholesaler use and operational friction. Agree a recovery plan.
WHAT NOT TO DO: Do not reduce AM support or push migration; do not suggest the customer is at fault; do not propose chat/video/feature usage as the fix.
SUCCESS: Root cause logged and next-90-day GMV back to at least the Sep-Nov (H1) level, or the decline arrested.</t>
  </si>
  <si>
    <t xml:space="preserve">5cb38fc6a985</t>
  </si>
  <si>
    <t xml:space="preserve">ACC-018</t>
  </si>
  <si>
    <t xml:space="preserve">Core</t>
  </si>
  <si>
    <t xml:space="preserve">FEB_SENSITIVE; NO_FEB_GMV (Feb unconfirmed)</t>
  </si>
  <si>
    <t xml:space="preserve">Hi {first_name},
I'd like to set up a short call to review how sourcing through Fleek is working for you at the moment and what you're planning to buy over the next few months. It will help me make sure the stock I source for you (bundles) is the right fit. Would sometime later this week or early next week suit you?
Best,
{sender_name}</t>
  </si>
  <si>
    <t xml:space="preserve">WHY NOW: Commercially important, broker-led spend is falling.
WHAT WE KNOW:
- Core, Broker-Reliant, Account Managed; £8,613 6m GMV; Reseller, United Kingdom; tenure 10 months.
- Momentum: Declining (Sep-Nov £5,605 -&gt; Dec-Feb £3,010); Recently Active (last GMV month: January); 11 orders over 5 month(s).
- Dependency: High (broker reliance 74%; 8 AM-placed / 3 self-serve orders).
- Engagement: 10 product views, 3 app days, 0 offer(s), 1 Fleek chats, 0 video requests; basket Bundle-only.
- Warnings: FEB_SENSITIVE; NO_FEB_GMV (Feb unconfirmed).
WHAT TO DO: Book a conversation. Explore stock availability, price, assortment fit, buying cadence, competitor/offline wholesaler use and operational friction. Agree a recovery plan.
WHAT NOT TO DO: Do not reduce AM support or push migration; do not suggest the customer is at fault; do not propose chat/video/feature usage as the fix.
SUCCESS: Root cause logged and next-90-day GMV back to at least the Sep-Nov (H1) level, or the decline arrested.</t>
  </si>
  <si>
    <t xml:space="preserve">b301fe425ce1</t>
  </si>
  <si>
    <t xml:space="preserve">ACC-021</t>
  </si>
  <si>
    <t xml:space="preserve">WHY NOW: Commercially important, broker-led spend is falling.
WHAT WE KNOW:
- Core, Broker-Reliant, Account Managed; £6,199 6m GMV; Reseller, France; tenure 7 months.
- Momentum: Declining (Sep-Nov £3,866 -&gt; Dec-Feb £2,332); Recently Active (last GMV month: February); 19 orders over 6 month(s).
- Dependency: High (broker reliance 64%; 12 AM-placed / 7 self-serve orders).
- Engagement: 2 product views, 6 app days, 1 offer(s), 19 Fleek chats, 13 video requests; basket Mixed.
WHAT TO DO: Book a conversation. Explore stock availability, price, assortment fit, buying cadence, competitor/offline wholesaler use and operational friction. Agree a recovery plan.
WHAT NOT TO DO: Do not reduce AM support or push migration; do not suggest the customer is at fault; do not propose chat/video/feature usage as the fix.
SUCCESS: Root cause logged and next-90-day GMV back to at least the Sep-Nov (H1) level, or the decline arrested.</t>
  </si>
  <si>
    <t xml:space="preserve">71752711fe5b</t>
  </si>
  <si>
    <t xml:space="preserve">ACC-022</t>
  </si>
  <si>
    <t xml:space="preserve">WHY NOW: Commercially important, broker-led spend is falling.
WHAT WE KNOW:
- Core, Broker-Reliant, Account Managed; £6,140 6m GMV; Reseller, United States; tenure 21 months.
- Momentum: Declining (Sep-Nov £4,539 -&gt; Dec-Feb £1,601); Recent Inactivity (last GMV month: December); 7 orders over 3 month(s).
- Dependency: Medium (broker reliance 49%; 3 AM-placed / 4 self-serve orders).
- Engagement: 12 product views, 4 app days, 2 offer(s), 33 Fleek chats, 2 video requests; basket Bundle-only.
- Warnings: H2_SINGLE_MONTH_SPIKE.
WHAT TO DO: Book a conversation. Explore stock availability, price, assortment fit, buying cadence, competitor/offline wholesaler use and operational friction. Agree a recovery plan.
WHAT NOT TO DO: Do not reduce AM support or push migration; do not suggest the customer is at fault; do not propose chat/video/feature usage as the fix.
SUCCESS: Root cause logged and next-90-day GMV back to at least the Sep-Nov (H1) level, or the decline arrested.</t>
  </si>
  <si>
    <t xml:space="preserve">8f37f6a06496</t>
  </si>
  <si>
    <t xml:space="preserve">ACC-023</t>
  </si>
  <si>
    <t xml:space="preserve">FEB_SENSITIVE; H2_SINGLE_MONTH_SPIKE</t>
  </si>
  <si>
    <t xml:space="preserve">WHY NOW: Commercially important, broker-led spend is falling.
WHAT WE KNOW:
- Core, Broker-Reliant, Account Managed; £5,727 6m GMV; Reseller, France; tenure 43 months.
- Momentum: Declining (Sep-Nov £4,800 -&gt; Dec-Feb £927); Recently Active (last GMV month: February); 4 orders over 4 month(s).
- Dependency: High (broker reliance 64%; 3 AM-placed / 1 self-serve orders).
- Engagement: 10 product views, 0 app days, 1 offer(s), 9 Fleek chats, 0 video requests; basket Handpick-only.
- Warnings: FEB_SENSITIVE; H2_SINGLE_MONTH_SPIKE.
WHAT TO DO: Book a conversation. Explore stock availability, price, assortment fit, buying cadence, competitor/offline wholesaler use and operational friction. Agree a recovery plan.
WHAT NOT TO DO: Do not reduce AM support or push migration; do not suggest the customer is at fault; do not propose chat/video/feature usage as the fix.
SUCCESS: Root cause logged and next-90-day GMV back to at least the Sep-Nov (H1) level, or the decline arrested.</t>
  </si>
  <si>
    <t xml:space="preserve">2808d52199a5</t>
  </si>
  <si>
    <t xml:space="preserve">ACC-026</t>
  </si>
  <si>
    <t xml:space="preserve">LOW_CONFIDENCE</t>
  </si>
  <si>
    <t xml:space="preserve">WHY NOW: Apparent lapse rests on 1-2 orders or one buying month; cadence is unknown.
WHAT WE KNOW:
- Core, Broker-Reliant, Account Managed; £4,772 6m GMV; Reseller, Germany; tenure 9 months.
- Momentum: Lapsed; No Meaningful History (last GMV month: November); 2 orders over 2 month(s).
- Dependency: High (broker reliance 82%; 2 AM-placed / 0 self-serve orders).
- Engagement: 0 product views, 1 app days, 2 offer(s), 6 Fleek chats, 0 video requests; basket Bundle-only.
- Warnings: LOW_CONFIDENCE.
WHAT TO DO: Do not assume churn. Verify expected purchase frequency first, then set the next contact window.
WHAT NOT TO DO: Do not treat as churn or run a discount-led win-back.
SUCCESS: Cadence recorded and account reclassified, or a new order within 90 days (60 days for recent-inactivity checks).</t>
  </si>
  <si>
    <t xml:space="preserve">beae7abebe16</t>
  </si>
  <si>
    <t xml:space="preserve">ACC-028</t>
  </si>
  <si>
    <t xml:space="preserve">H2_SINGLE_MONTH_SPIKE; NO_FEB_GMV (Feb unconfirmed)</t>
  </si>
  <si>
    <t xml:space="preserve">WHY NOW: Commercially important, broker-led spend is falling.
WHAT WE KNOW:
- Core, Broker-Reliant, Account Managed; £4,639 6m GMV; Reseller, Netherlands; tenure 11 months.
- Momentum: Declining (Sep-Nov £3,271 -&gt; Dec-Feb £1,368); Recently Active (last GMV month: January); 7 orders over 4 month(s).
- Dependency: High (broker reliance 48%; 3 AM-placed / 4 self-serve orders).
- Engagement: 8 product views, 4 app days, 1 offer(s), 35 Fleek chats, 0 video requests; basket Handpick-only.
- Warnings: H2_SINGLE_MONTH_SPIKE; NO_FEB_GMV (Feb unconfirmed).
WHAT TO DO: Book a conversation. Explore stock availability, price, assortment fit, buying cadence, competitor/offline wholesaler use and operational friction. Agree a recovery plan.
WHAT NOT TO DO: Do not reduce AM support or push migration; do not suggest the customer is at fault; do not propose chat/video/feature usage as the fix.
SUCCESS: Root cause logged and next-90-day GMV back to at least the Sep-Nov (H1) level, or the decline arrested.</t>
  </si>
  <si>
    <t xml:space="preserve">f91bbd0fb68a</t>
  </si>
  <si>
    <t xml:space="preserve">ACC-214</t>
  </si>
  <si>
    <t xml:space="preserve">WHY NOW: Heavily self-serving account whose spend is falling; product adoption is not the issue.
WHAT WE KNOW:
- Core, Self-Serve, Self Serve; £4,632 6m GMV; Reseller, United Kingdom; tenure 5 months.
- Momentum: Declining (Sep-Nov £4,516 -&gt; Dec-Feb £116); Recently Active (last GMV month: January); 12 orders over 3 month(s).
- Dependency: Low (broker reliance 0%; 0 AM-placed / 12 self-serve orders).
- Engagement: 665 product views, 74 app days, 53 offer(s), 70 Fleek chats, 1 video requests; basket Mixed.
- Warnings: H2_SINGLE_MONTH_SPIKE; NO_FEB_GMV (Feb unconfirmed).
WHAT TO DO: Book a conversation. The customer already uses the product heavily: explore stock availability, price, offer outcomes and competitor use.
WHAT NOT TO DO: Do not send more product nudges - engagement is not the problem.
SUCCESS: Root cause logged and next-90-day GMV back to at least the Sep-Nov (H1) level, or the decline arrested.</t>
  </si>
  <si>
    <t xml:space="preserve">85018850706f</t>
  </si>
  <si>
    <t xml:space="preserve">ACC-032</t>
  </si>
  <si>
    <t xml:space="preserve">WHY NOW: Apparent lapse rests on 1-2 orders or one buying month; cadence is unknown.
WHAT WE KNOW:
- Core, Broker-Reliant, Account Managed; £4,179 6m GMV; Reseller, France; tenure 12 months.
- Momentum: Lapsed; No Meaningful History (last GMV month: November); 2 orders over 2 month(s).
- Dependency: High (broker reliance 80%; 2 AM-placed / 0 self-serve orders).
- Engagement: 10 product views, 1 app days, 1 offer(s), 64 Fleek chats, 0 video requests; basket Handpick-only.
- Warnings: LOW_CONFIDENCE.
WHAT TO DO: Do not assume churn. Verify expected purchase frequency first, then set the next contact window.
WHAT NOT TO DO: Do not treat as churn or run a discount-led win-back.
SUCCESS: Cadence recorded and account reclassified, or a new order within 90 days (60 days for recent-inactivity checks).</t>
  </si>
  <si>
    <t xml:space="preserve">8480fbee4c85</t>
  </si>
  <si>
    <t xml:space="preserve">ACC-215</t>
  </si>
  <si>
    <t xml:space="preserve">WHY NOW: Apparent lapse rests on 1-2 orders or one buying month; cadence is unknown.
WHAT WE KNOW:
- Core, Self-Serve, Self Serve; £3,907 6m GMV; Reseller, United States; tenure 5 months.
- Momentum: Lapsed; No Meaningful History (last GMV month: October); 1 orders over 1 month(s).
- Dependency: Low (broker reliance 0%; 0 AM-placed / 1 self-serve orders).
- Engagement: 76 product views, 14 app days, 0 offer(s), 3 Fleek chats, 0 video requests; basket Handpick-only.
- Warnings: LOW_CONFIDENCE.
WHAT TO DO: Do not assume churn. Verify expected purchase frequency first, then set the next contact window.
WHAT NOT TO DO: Do not treat as churn or run a discount-led win-back.
SUCCESS: Cadence recorded and account reclassified, or a new order within 90 days (60 days for recent-inactivity checks).</t>
  </si>
  <si>
    <t xml:space="preserve">7be89ed5f41b</t>
  </si>
  <si>
    <t xml:space="preserve">ACC-035</t>
  </si>
  <si>
    <t xml:space="preserve">MATERIAL_BROKER_INCONSISTENCY; H2_SINGLE_MONTH_SPIKE; NO_FEB_GMV (Feb unconfirmed)</t>
  </si>
  <si>
    <t xml:space="preserve">WHY NOW: Commercially important, broker-led spend is falling.
WHAT WE KNOW:
- Core, Broker-Reliant, Account Managed; £3,906 6m GMV; Reseller, United Kingdom; tenure 19 months.
- Momentum: Declining (Sep-Nov £2,595 -&gt; Dec-Feb £1,311); Recently Active (last GMV month: January); 5 orders over 3 month(s).
- Dependency: Medium (broker reliance 55%; 3 AM-placed / 2 self-serve orders).
- Engagement: 11 product views, 6 app days, 0 offer(s), 86 Fleek chats, 3 video requests; basket Handpick-only.
- Warnings: MATERIAL_BROKER_INCONSISTENCY; H2_SINGLE_MONTH_SPIKE; NO_FEB_GMV (Feb unconfirmed).
WHAT TO DO: Book a conversation. Explore stock availability, price, assortment fit, buying cadence, competitor/offline wholesaler use and operational friction. Agree a recovery plan.
WHAT NOT TO DO: Do not reduce AM support or push migration; do not suggest the customer is at fault; do not propose chat/video/feature usage as the fix.
SUCCESS: Root cause logged and next-90-day GMV back to at least the Sep-Nov (H1) level, or the decline arrested.</t>
  </si>
  <si>
    <t xml:space="preserve">54b853a6f434</t>
  </si>
  <si>
    <t xml:space="preserve">ACC-037</t>
  </si>
  <si>
    <t xml:space="preserve">WHY NOW: Commercially important, broker-led spend is falling.
WHAT WE KNOW:
- Core, Broker-Reliant, Account Managed; £3,863 6m GMV; Reseller, Belgium; tenure 11 months.
- Momentum: Declining (Sep-Nov £2,595 -&gt; Dec-Feb £1,267); Recently Active (last GMV month: February); 7 orders over 4 month(s).
- Dependency: High (broker reliance 84%; 6 AM-placed / 1 self-serve orders).
- Engagement: 8 product views, 2 app days, 1 offer(s), 55 Fleek chats, 0 video requests; basket Mixed.
WHAT TO DO: Book a conversation. Explore stock availability, price, assortment fit, buying cadence, competitor/offline wholesaler use and operational friction. Agree a recovery plan.
WHAT NOT TO DO: Do not reduce AM support or push migration; do not suggest the customer is at fault; do not propose chat/video/feature usage as the fix.
SUCCESS: Root cause logged and next-90-day GMV back to at least the Sep-Nov (H1) level, or the decline arrested.</t>
  </si>
  <si>
    <t xml:space="preserve">f3fb6364e78b</t>
  </si>
  <si>
    <t xml:space="preserve">ACC-038</t>
  </si>
  <si>
    <t xml:space="preserve">WHY NOW: Apparent lapse rests on 1-2 orders or one buying month; cadence is unknown.
WHAT WE KNOW:
- Core, AM-Owned / Self-Serving, Account Managed; £3,702 6m GMV; Retailer, United Kingdom; tenure 32 months.
- Momentum: Lapsed; No Meaningful History (last GMV month: October); 2 orders over 2 month(s).
- Dependency: Low (broker reliance 4%; 0 AM-placed / 2 self-serve orders).
- Engagement: 78 product views, 16 app days, 2 offer(s), 37 Fleek chats, 0 video requests; basket Handpick-only.
- Warnings: LOW_CONFIDENCE.
WHAT TO DO: Do not assume churn. Verify expected purchase frequency first, then set the next contact window.
WHAT NOT TO DO: Do not treat as churn or run a discount-led win-back.
SUCCESS: Cadence recorded and account reclassified, or a new order within 90 days (60 days for recent-inactivity checks).</t>
  </si>
  <si>
    <t xml:space="preserve">172ea5e0f915</t>
  </si>
  <si>
    <t xml:space="preserve">ACC-040</t>
  </si>
  <si>
    <t xml:space="preserve">WHY NOW: Commercially important, broker-led spend is falling.
WHAT WE KNOW:
- Core, Broker-Reliant, Account Managed; £3,579 6m GMV; Reseller, United States; tenure 12 months.
- Momentum: Declining (Sep-Nov £2,692 -&gt; Dec-Feb £887); Recently Active (last GMV month: February); 6 orders over 3 month(s).
- Dependency: High (broker reliance 72%; 4 AM-placed / 2 self-serve orders).
- Engagement: 13 product views, 6 app days, 1 offer(s), 8 Fleek chats, 1 video requests; basket Handpick-only.
- Warnings: FEB_SENSITIVE; H2_SINGLE_MONTH_SPIKE.
WHAT TO DO: Book a conversation. Explore stock availability, price, assortment fit, buying cadence, competitor/offline wholesaler use and operational friction. Agree a recovery plan.
WHAT NOT TO DO: Do not reduce AM support or push migration; do not suggest the customer is at fault; do not propose chat/video/feature usage as the fix.
SUCCESS: Root cause logged and next-90-day GMV back to at least the Sep-Nov (H1) level, or the decline arrested.</t>
  </si>
  <si>
    <t xml:space="preserve">923b662583c0</t>
  </si>
  <si>
    <t xml:space="preserve">ACC-041</t>
  </si>
  <si>
    <t xml:space="preserve">MATERIAL_BROKER_INCONSISTENCY; NO_FEB_GMV (Feb unconfirmed)</t>
  </si>
  <si>
    <t xml:space="preserve">WHY NOW: Commercially important, broker-led spend is falling.
WHAT WE KNOW:
- Core, Broker-Reliant, Account Managed; £3,549 6m GMV; Reseller, France; tenure 28 months.
- Momentum: Declining (Sep-Nov £2,505 -&gt; Dec-Feb £1,045); Recently Active (last GMV month: January); 7 orders over 5 month(s).
- Dependency: High (broker reliance 61%; 4 AM-placed / 3 self-serve orders).
- Engagement: 2 product views, 6 app days, 0 offer(s), 25 Fleek chats, 0 video requests; basket Mixed.
- Warnings: MATERIAL_BROKER_INCONSISTENCY; NO_FEB_GMV (Feb unconfirmed).
WHAT TO DO: Book a conversation. Explore stock availability, price, assortment fit, buying cadence, competitor/offline wholesaler use and operational friction. Agree a recovery plan.
WHAT NOT TO DO: Do not reduce AM support or push migration; do not suggest the customer is at fault; do not propose chat/video/feature usage as the fix.
SUCCESS: Root cause logged and next-90-day GMV back to at least the Sep-Nov (H1) level, or the decline arrested.</t>
  </si>
  <si>
    <t xml:space="preserve">664c8c477044</t>
  </si>
  <si>
    <t xml:space="preserve">ACC-216</t>
  </si>
  <si>
    <t xml:space="preserve">6. Growth Opportunity</t>
  </si>
  <si>
    <t xml:space="preserve">RECENT_INACTIVITY</t>
  </si>
  <si>
    <t xml:space="preserve">Send check-in; hold automated growth messages.</t>
  </si>
  <si>
    <t xml:space="preserve">CHECKIN</t>
  </si>
  <si>
    <t xml:space="preserve">Hi {first_name},
I wanted to check in on how your stock planning looks for the next couple of months. Is there anything you're looking for that you haven't been able to find on Fleek? If it helps, I'm happy to jump on a quick call or you can simply reply with what you need.
Best,
{sender_name}</t>
  </si>
  <si>
    <t xml:space="preserve">WHY NOW: Growth-type account with an established pattern but no January/February GMV.
WHAT WE KNOW:
- Core, Self-Serve, Self Serve; £3,497 6m GMV; Reseller, France; tenure 5 months.
- Momentum: Growing (Sep-Nov £1,394 -&gt; Dec-Feb £2,103); Recent Inactivity (last GMV month: December); 11 orders over 3 month(s).
- Dependency: Low (broker reliance 0%; 0 AM-placed / 11 self-serve orders).
- Engagement: 1416 product views, 50 app days, 13 offer(s), 16 Fleek chats, 0 video requests; basket Bundle-only.
- Warnings: H2_SINGLE_MONTH_SPIKE.
WHAT TO DO: Check the account is still buying and why there was no January/February GMV before any automated growth action.
WHAT NOT TO DO: Do not trigger automated growth messages until the check is complete.
SUCCESS: Cadence recorded and account reclassified, or a new order within 90 days (60 days for recent-inactivity checks).</t>
  </si>
  <si>
    <t xml:space="preserve">0ffb95bd9c91</t>
  </si>
  <si>
    <t xml:space="preserve">ACC-042</t>
  </si>
  <si>
    <t xml:space="preserve">WHY NOW: Apparent lapse rests on 1-2 orders or one buying month; cadence is unknown.
WHAT WE KNOW:
- Core, AM-Owned / Self-Serving, Account Managed; £3,478 6m GMV; Reseller, Switzerland; tenure 34 months.
- Momentum: Lapsed; No Meaningful History (last GMV month: September); 1 orders over 1 month(s).
- Dependency: Low (broker reliance 6%; 0 AM-placed / 1 self-serve orders).
- Engagement: 1 product views, 1 app days, 0 offer(s), 53 Fleek chats, 0 video requests; basket Handpick-only.
- Warnings: LOW_CONFIDENCE.
WHAT TO DO: Do not assume churn. Verify expected purchase frequency first, then set the next contact window.
WHAT NOT TO DO: Do not treat as churn or run a discount-led win-back.
SUCCESS: Cadence recorded and account reclassified, or a new order within 90 days (60 days for recent-inactivity checks).</t>
  </si>
  <si>
    <t xml:space="preserve">931083a5e42a</t>
  </si>
  <si>
    <t xml:space="preserve">ACC-043</t>
  </si>
  <si>
    <t xml:space="preserve">WHY NOW: Commercially important, broker-led spend is falling.
WHAT WE KNOW:
- Core, Broker-Reliant, Account Managed; £3,434 6m GMV; Reseller, France; tenure 20 months.
- Momentum: Declining (Sep-Nov £2,455 -&gt; Dec-Feb £980); Recently Active (last GMV month: January); 5 orders over 3 month(s).
- Dependency: High (broker reliance 64%; 3 AM-placed / 2 self-serve orders).
- Engagement: 3 product views, 5 app days, 1 offer(s), 36 Fleek chats, 0 video requests; basket Mixed.
- Warnings: H2_SINGLE_MONTH_SPIKE; NO_FEB_GMV (Feb unconfirmed).
WHAT TO DO: Book a conversation. Explore stock availability, price, assortment fit, buying cadence, competitor/offline wholesaler use and operational friction. Agree a recovery plan.
WHAT NOT TO DO: Do not reduce AM support or push migration; do not suggest the customer is at fault; do not propose chat/video/feature usage as the fix.
SUCCESS: Root cause logged and next-90-day GMV back to at least the Sep-Nov (H1) level, or the decline arrested.</t>
  </si>
  <si>
    <t xml:space="preserve">635522c38afb</t>
  </si>
  <si>
    <t xml:space="preserve">ACC-044</t>
  </si>
  <si>
    <t xml:space="preserve">WHY NOW: Apparent lapse rests on 1-2 orders or one buying month; cadence is unknown.
WHAT WE KNOW:
- Core, Broker-Reliant, Account Managed; £3,383 6m GMV; Retailer, France; tenure 8 months.
- Momentum: Lapsed; No Meaningful History (last GMV month: September); 3 orders over 1 month(s).
- Dependency: High (broker reliance 66%; 2 AM-placed / 1 self-serve orders).
- Engagement: 3 product views, 0 app days, 1 offer(s), 8 Fleek chats, 0 video requests; basket Bundle-only.
WHAT TO DO: Do not assume churn. Verify expected purchase frequency first, then set the next contact window.
WHAT NOT TO DO: Do not treat as churn or run a discount-led win-back.
SUCCESS: Cadence recorded and account reclassified, or a new order within 90 days (60 days for recent-inactivity checks).</t>
  </si>
  <si>
    <t xml:space="preserve">a9062c502f88</t>
  </si>
  <si>
    <t xml:space="preserve">ACC-045</t>
  </si>
  <si>
    <t xml:space="preserve">WHY NOW: Commercially important, broker-led spend is falling.
WHAT WE KNOW:
- Core, Broker-Reliant, Account Managed; £3,331 6m GMV; Reseller, New Zealand; tenure 7 months.
- Momentum: Declining (Sep-Nov £2,556 -&gt; Dec-Feb £775); Recently Active (last GMV month: February); 18 orders over 5 month(s).
- Dependency: Medium (broker reliance 52%; 9 AM-placed / 9 self-serve orders).
- Engagement: 13 product views, 2 app days, 2 offer(s), 9 Fleek chats, 1 video requests; basket Mixed.
WHAT TO DO: Book a conversation. Explore stock availability, price, assortment fit, buying cadence, competitor/offline wholesaler use and operational friction. Agree a recovery plan.
WHAT NOT TO DO: Do not reduce AM support or push migration; do not suggest the customer is at fault; do not propose chat/video/feature usage as the fix.
SUCCESS: Root cause logged and next-90-day GMV back to at least the Sep-Nov (H1) level, or the decline arrested.</t>
  </si>
  <si>
    <t xml:space="preserve">c17333135b8d</t>
  </si>
  <si>
    <t xml:space="preserve">ACC-046</t>
  </si>
  <si>
    <t xml:space="preserve">WHY NOW: Commercially important, broker-led spend is falling.
WHAT WE KNOW:
- Core, Broker-Reliant, Account Managed; £3,283 6m GMV; Reseller, Portugal; tenure 11 months.
- Momentum: Declining (Sep-Nov £2,081 -&gt; Dec-Feb £1,202); Recently Active (last GMV month: February); 3 orders over 2 month(s).
- Dependency: High (broker reliance 60%; 2 AM-placed / 1 self-serve orders).
- Engagement: 1 product views, 1 app days, 1 offer(s), 27 Fleek chats, 0 video requests; basket Handpick-only.
- Warnings: FEB_SENSITIVE; H2_SINGLE_MONTH_SPIKE.
WHAT TO DO: Book a conversation. Explore stock availability, price, assortment fit, buying cadence, competitor/offline wholesaler use and operational friction. Agree a recovery plan.
WHAT NOT TO DO: Do not reduce AM support or push migration; do not suggest the customer is at fault; do not propose chat/video/feature usage as the fix.
SUCCESS: Root cause logged and next-90-day GMV back to at least the Sep-Nov (H1) level, or the decline arrested.</t>
  </si>
  <si>
    <t xml:space="preserve">22073667808a</t>
  </si>
  <si>
    <t xml:space="preserve">ACC-050</t>
  </si>
  <si>
    <t xml:space="preserve">WHY NOW: Apparent lapse rests on 1-2 orders or one buying month; cadence is unknown.
WHAT WE KNOW:
- Core, Broker-Reliant, Account Managed; £3,044 6m GMV; Reseller, Germany; tenure 7 months.
- Momentum: Lapsed; No Meaningful History (last GMV month: October); 6 orders over 1 month(s).
- Dependency: Medium (broker reliance 46%; 3 AM-placed / 3 self-serve orders).
- Engagement: 9 product views, 5 app days, 1 offer(s), 79 Fleek chats, 1 video requests; basket Mixed.
WHAT TO DO: Do not assume churn. Verify expected purchase frequency first, then set the next contact window.
WHAT NOT TO DO: Do not treat as churn or run a discount-led win-back.
SUCCESS: Cadence recorded and account reclassified, or a new order within 90 days (60 days for recent-inactivity checks).</t>
  </si>
  <si>
    <t xml:space="preserve">40b9f8023762</t>
  </si>
  <si>
    <t xml:space="preserve">ACC-051</t>
  </si>
  <si>
    <t xml:space="preserve">WHY NOW: Heavily self-serving account whose spend is falling; product adoption is not the issue.
WHAT WE KNOW:
- Core, AM-Owned / Self-Serving, Account Managed; £2,992 6m GMV; Reseller, Austria; tenure 8 months.
- Momentum: Declining (Sep-Nov £1,724 -&gt; Dec-Feb £1,268); Recently Active (last GMV month: February); 7 orders over 4 month(s).
- Dependency: Low (broker reliance 12%; 1 AM-placed / 6 self-serve orders).
- Engagement: 2403 product views, 113 app days, 4 offer(s), 18 Fleek chats, 0 video requests; basket Mixed.
WHAT TO DO: Book a conversation. The customer already uses the product heavily: explore stock availability, price, offer outcomes and competitor use.
WHAT NOT TO DO: Do not send more product nudges - engagement is not the problem.
SUCCESS: Root cause logged and next-90-day GMV back to at least the Sep-Nov (H1) level, or the decline arrested.</t>
  </si>
  <si>
    <t xml:space="preserve">8f849ec07bb5</t>
  </si>
  <si>
    <t xml:space="preserve">ACC-052</t>
  </si>
  <si>
    <t xml:space="preserve">WHY NOW: Commercially important, broker-led spend is falling.
WHAT WE KNOW:
- Core, Broker-Reliant, Account Managed; £2,952 6m GMV; Reseller, United Kingdom; tenure 6 months.
- Momentum: Declining (Sep-Nov £2,249 -&gt; Dec-Feb £703); Recent Inactivity (last GMV month: December); 8 orders over 3 month(s).
- Dependency: High (broker reliance 64%; 5 AM-placed / 3 self-serve orders).
- Engagement: 8 product views, 6 app days, 2 offer(s), 10 Fleek chats, 4 video requests; basket Mixed.
- Warnings: H2_SINGLE_MONTH_SPIKE.
WHAT TO DO: Book a conversation. Explore stock availability, price, assortment fit, buying cadence, competitor/offline wholesaler use and operational friction. Agree a recovery plan.
WHAT NOT TO DO: Do not reduce AM support or push migration; do not suggest the customer is at fault; do not propose chat/video/feature usage as the fix.
SUCCESS: Root cause logged and next-90-day GMV back to at least the Sep-Nov (H1) level, or the decline arrested.</t>
  </si>
  <si>
    <t xml:space="preserve">3949b831e958</t>
  </si>
  <si>
    <t xml:space="preserve">ACC-053</t>
  </si>
  <si>
    <t xml:space="preserve">WHY NOW: Commercially important, broker-led spend is falling.
WHAT WE KNOW:
- Core, Broker-Reliant, Account Managed; £2,581 6m GMV; Reseller, Czech Republic; tenure 14 months.
- Momentum: Declining (Sep-Nov £2,493 -&gt; Dec-Feb £87); Recently Active (last GMV month: February); 7 orders over 4 month(s).
- Dependency: High (broker reliance 82%; 6 AM-placed / 1 self-serve orders).
- Engagement: 3 product views, 7 app days, 1 offer(s), 166 Fleek chats, 0 video requests; basket Mixed.
- Warnings: FEB_SENSITIVE; H2_SINGLE_MONTH_SPIKE.
WHAT TO DO: Book a conversation. Explore stock availability, price, assortment fit, buying cadence, competitor/offline wholesaler use and operational friction. Agree a recovery plan.
WHAT NOT TO DO: Do not reduce AM support or push migration; do not suggest the customer is at fault; do not propose chat/video/feature usage as the fix.
SUCCESS: Root cause logged and next-90-day GMV back to at least the Sep-Nov (H1) level, or the decline arrested.</t>
  </si>
  <si>
    <t xml:space="preserve">09ce1ffaedd3</t>
  </si>
  <si>
    <t xml:space="preserve">ACC-054</t>
  </si>
  <si>
    <t xml:space="preserve">WHY NOW: Commercially important, broker-led spend is falling.
WHAT WE KNOW:
- Core, Broker-Reliant, Account Managed; £2,516 6m GMV; Reseller, United Kingdom; tenure 6 months.
- Momentum: Declining (Sep-Nov £2,117 -&gt; Dec-Feb £399); Recently Active (last GMV month: February); 9 orders over 5 month(s).
- Dependency: High (broker reliance 77%; 7 AM-placed / 2 self-serve orders).
- Engagement: 4 product views, 3 app days, 1 offer(s), 2 Fleek chats, 0 video requests; basket Mixed.
WHAT TO DO: Book a conversation. Explore stock availability, price, assortment fit, buying cadence, competitor/offline wholesaler use and operational friction. Agree a recovery plan.
WHAT NOT TO DO: Do not reduce AM support or push migration; do not suggest the customer is at fault; do not propose chat/video/feature usage as the fix.
SUCCESS: Root cause logged and next-90-day GMV back to at least the Sep-Nov (H1) level, or the decline arrested.</t>
  </si>
  <si>
    <t xml:space="preserve">44941c7c6027</t>
  </si>
  <si>
    <t xml:space="preserve">ACC-055</t>
  </si>
  <si>
    <t xml:space="preserve">WHY NOW: Commercially important, broker-led spend is falling.
WHAT WE KNOW:
- Core, Broker-Reliant, Account Managed; £2,514 6m GMV; Reseller, United Kingdom; tenure 17 months.
- Momentum: Declining (Sep-Nov £2,221 -&gt; Dec-Feb £293); Recently Active (last GMV month: February); 12 orders over 5 month(s).
- Dependency: High (broker reliance 77%; 9 AM-placed / 3 self-serve orders).
- Engagement: 14 product views, 5 app days, 2 offer(s), 13 Fleek chats, 0 video requests; basket Bundle-only.
WHAT TO DO: Book a conversation. Explore stock availability, price, assortment fit, buying cadence, competitor/offline wholesaler use and operational friction. Agree a recovery plan.
WHAT NOT TO DO: Do not reduce AM support or push migration; do not suggest the customer is at fault; do not propose chat/video/feature usage as the fix.
SUCCESS: Root cause logged and next-90-day GMV back to at least the Sep-Nov (H1) level, or the decline arrested.</t>
  </si>
  <si>
    <t xml:space="preserve">84ba41df31ac</t>
  </si>
  <si>
    <t xml:space="preserve">ACC-059</t>
  </si>
  <si>
    <t xml:space="preserve">BORDERLINE_MOMENTUM; FEB_SENSITIVE; H2_SINGLE_MONTH_SPIKE</t>
  </si>
  <si>
    <t xml:space="preserve">WHY NOW: Commercially important, broker-led spend is falling.
WHAT WE KNOW:
- Core, Broker-Reliant, Account Managed; £2,262 6m GMV; Reseller, United Kingdom; tenure 21 months.
- Momentum: Declining (Sep-Nov £1,268 -&gt; Dec-Feb £995); Recent Inactivity (last GMV month: December); 3 orders over 3 month(s).
- Dependency: High (broker reliance 75%; 2 AM-placed / 1 self-serve orders).
- Engagement: 8 product views, 1 app days, 1 offer(s), 30 Fleek chats, 1 video requests; basket Handpick-only.
- Warnings: BORDERLINE_MOMENTUM; FEB_SENSITIVE; H2_SINGLE_MONTH_SPIKE.
WHAT TO DO: Book a conversation. Explore stock availability, price, assortment fit, buying cadence, competitor/offline wholesaler use and operational friction. Agree a recovery plan.
WHAT NOT TO DO: Do not reduce AM support or push migration; do not suggest the customer is at fault; do not propose chat/video/feature usage as the fix.
SUCCESS: Root cause logged and next-90-day GMV back to at least the Sep-Nov (H1) level, or the decline arrested.</t>
  </si>
  <si>
    <t xml:space="preserve">70b8c061b647</t>
  </si>
  <si>
    <t xml:space="preserve">ACC-060</t>
  </si>
  <si>
    <t xml:space="preserve">MATERIAL_BROKER_INCONSISTENCY</t>
  </si>
  <si>
    <t xml:space="preserve">WHY NOW: Apparent lapse rests on 1-2 orders or one buying month; cadence is unknown.
WHAT WE KNOW:
- Core, Broker-Reliant, Account Managed; £2,214 6m GMV; Retailer, France; tenure 28 months.
- Momentum: Lapsed; No Meaningful History (last GMV month: September); 3 orders over 1 month(s).
- Dependency: High (broker reliance 80%; 2 AM-placed / 1 self-serve orders).
- Engagement: 1 product views, 4 app days, 1 offer(s), 96 Fleek chats, 0 video requests; basket Bundle-only.
- Warnings: MATERIAL_BROKER_INCONSISTENCY.
WHAT TO DO: Do not assume churn. Verify expected purchase frequency first, then set the next contact window.
WHAT NOT TO DO: Do not treat as churn or run a discount-led win-back.
SUCCESS: Cadence recorded and account reclassified, or a new order within 90 days (60 days for recent-inactivity checks).</t>
  </si>
  <si>
    <t xml:space="preserve">78939faa3343</t>
  </si>
  <si>
    <t xml:space="preserve">ACC-061</t>
  </si>
  <si>
    <t xml:space="preserve">WHY NOW: Commercially important, broker-led spend is falling.
WHAT WE KNOW:
- Core, Broker-Reliant, Account Managed; £2,116 6m GMV; Reseller, Portugal; tenure 7 months.
- Momentum: Declining (Sep-Nov £1,553 -&gt; Dec-Feb £563); Recent Inactivity (last GMV month: December); 4 orders over 3 month(s).
- Dependency: High (broker reliance 63%; 3 AM-placed / 1 self-serve orders).
- Engagement: 11 product views, 3 app days, 1 offer(s), 2 Fleek chats, 0 video requests; basket Bundle-only.
- Warnings: H2_SINGLE_MONTH_SPIKE.
WHAT TO DO: Book a conversation. Explore stock availability, price, assortment fit, buying cadence, competitor/offline wholesaler use and operational friction. Agree a recovery plan.
WHAT NOT TO DO: Do not reduce AM support or push migration; do not suggest the customer is at fault; do not propose chat/video/feature usage as the fix.
SUCCESS: Root cause logged and next-90-day GMV back to at least the Sep-Nov (H1) level, or the decline arrested.</t>
  </si>
  <si>
    <t xml:space="preserve">e28cb5549b54</t>
  </si>
  <si>
    <t xml:space="preserve">ACC-062</t>
  </si>
  <si>
    <t xml:space="preserve">Hi {first_name},
It's been a little while since we last caught up, so I wanted to check in on your buying plans for the coming months. If you're sourcing bundles again soon, I'd be glad to talk through what you're looking for and how we can help. Would a quick call be useful?
Best,
{sender_name}</t>
  </si>
  <si>
    <t xml:space="preserve">WHY NOW: Established buyer with a repeat pattern has had no GMV since November or earlier.
WHAT WE KNOW:
- Core, Broker-Reliant, Account Managed; £2,031 6m GMV; Reseller, United Kingdom; tenure 14 months.
- Momentum: Lapsed; Recent Inactivity (last GMV month: November); 5 orders over 3 month(s).
- Dependency: Medium (broker reliance 47%; 2 AM-placed / 3 self-serve orders).
- Engagement: 0 product views, 6 app days, 0 offer(s), 5 Fleek chats, 0 video requests; basket Bundle-only.
WHAT TO DO: Win-back conversation about upcoming buying needs and what would bring them back.
WHAT NOT TO DO: Do not say 'you churned' or 'you've stopped buying'.
SUCCESS: Cadence recorded and account reclassified, or a new order within 90 days (60 days for recent-inactivity checks).</t>
  </si>
  <si>
    <t xml:space="preserve">83b24c3c09c6</t>
  </si>
  <si>
    <t xml:space="preserve">ACC-001</t>
  </si>
  <si>
    <t xml:space="preserve">P2</t>
  </si>
  <si>
    <t xml:space="preserve">1. Migration Candidate</t>
  </si>
  <si>
    <t xml:space="preserve">Guided Self-Serve Migration</t>
  </si>
  <si>
    <t xml:space="preserve">MIGRATION_KEY_SIGNOFF</t>
  </si>
  <si>
    <t xml:space="preserve">Human Sign-Off Required</t>
  </si>
  <si>
    <t xml:space="preserve">Awaiting Sign-Off</t>
  </si>
  <si>
    <t xml:space="preserve">Portfolio Lead + Account Manager</t>
  </si>
  <si>
    <t xml:space="preserve">PB03_GUIDED_MIGRATION</t>
  </si>
  <si>
    <t xml:space="preserve">AM call + in-app walkthrough; automated milestone tracking</t>
  </si>
  <si>
    <t xml:space="preserve">Portfolio Lead + AM sign-off decision on a gradual self-serve shift.</t>
  </si>
  <si>
    <t xml:space="preserve">Day 90: Self-Serve Capability Demonstrated (&gt;=25 PDP views, &gt;=6 app days, self-serve share above baseline) with GMV guardrail held.</t>
  </si>
  <si>
    <t xml:space="preserve">GMV guardrail breached (At Risk) -&gt; restore high-touch support; no behaviour change at day 90 -&gt; reassess suitability.</t>
  </si>
  <si>
    <t xml:space="preserve">At Risk at day 45; any Key account change; customer pushback on the change.</t>
  </si>
  <si>
    <t xml:space="preserve">KEY_SIGNOFF; BORDERLINE_MOMENTUM; FEB_SENSITIVE</t>
  </si>
  <si>
    <t xml:space="preserve">Withheld until sign-off is recorded</t>
  </si>
  <si>
    <t xml:space="preserve">WHY NOW: Key broker-reliant account with healthy spend; downside risk too large for automated initiation.
WHAT WE KNOW:
- Key, Broker-Reliant, Account Managed; £170,132 6m GMV; Retailer, United Kingdom; tenure 26 months.
- Momentum: Stable (Sep-Nov £93,545 -&gt; Dec-Feb £76,587); Recently Active (last GMV month: February); 46 orders over 6 month(s).
- Dependency: High (broker reliance 69%; 32 AM-placed / 14 self-serve orders).
- Engagement: 2 product views, 3 app days, 0 offer(s), 139 Fleek chats, 3 video requests; basket Mixed.
- Warnings: KEY_SIGNOFF; BORDERLINE_MOMENTUM; FEB_SENSITIVE.
WHAT TO DO: Portfolio Lead and AM decide whether a gradual self-serve shift is appropriate. Record approve / decline and conditions.
WHAT NOT TO DO: No migration communication before sign-off.
SUCCESS: Day 90: Self-Serve Capability Demonstrated (&gt;=25 PDP views, &gt;=6 app days, self-serve share above baseline) with GMV guardrail held.</t>
  </si>
  <si>
    <t xml:space="preserve">Baseline</t>
  </si>
  <si>
    <t xml:space="preserve">Enter 90-day monitoring inputs; migration_progress_status updates (Baseline/Progressing/Capability/At Risk). Day-90 outcomes: Capability Demonstrated, Progressing - Extend, At Risk - Restore support, No Change - Reassess.</t>
  </si>
  <si>
    <t xml:space="preserve">0fcb61d89d13</t>
  </si>
  <si>
    <t xml:space="preserve">ACC-003</t>
  </si>
  <si>
    <t xml:space="preserve">WHY NOW: Key broker-reliant account with healthy spend; downside risk too large for automated initiation.
WHAT WE KNOW:
- Key, Broker-Reliant, Account Managed; £41,039 6m GMV; Reseller, Germany; tenure 16 months.
- Momentum: Stable (Sep-Nov £22,792 -&gt; Dec-Feb £18,249); Recently Active (last GMV month: February); 36 orders over 6 month(s).
- Dependency: High (broker reliance 74%; 27 AM-placed / 9 self-serve orders).
- Engagement: 5 product views, 1 app days, 2 offer(s), 129 Fleek chats, 18 video requests; basket Mixed.
- Warnings: KEY_SIGNOFF; BORDERLINE_MOMENTUM; FEB_SENSITIVE.
WHAT TO DO: Portfolio Lead and AM decide whether a gradual self-serve shift is appropriate. Record approve / decline and conditions.
WHAT NOT TO DO: No migration communication before sign-off.
SUCCESS: Day 90: Self-Serve Capability Demonstrated (&gt;=25 PDP views, &gt;=6 app days, self-serve share above baseline) with GMV guardrail held.</t>
  </si>
  <si>
    <t xml:space="preserve">540a58c7127b</t>
  </si>
  <si>
    <t xml:space="preserve">ACC-004</t>
  </si>
  <si>
    <t xml:space="preserve">KEY_SIGNOFF; BORDERLINE_MOMENTUM</t>
  </si>
  <si>
    <t xml:space="preserve">WHY NOW: Key broker-reliant account with healthy spend; downside risk too large for automated initiation.
WHAT WE KNOW:
- Key, Broker-Reliant, Account Managed; £27,099 6m GMV; Reseller, Australia; tenure 22 months.
- Momentum: Stable (Sep-Nov £14,705 -&gt; Dec-Feb £12,395); Recently Active (last GMV month: February); 19 orders over 6 month(s).
- Dependency: High (broker reliance 62%; 12 AM-placed / 7 self-serve orders).
- Engagement: 3 product views, 8 app days, 2 offer(s), 20 Fleek chats, 1 video requests; basket Handpick-only.
- Warnings: KEY_SIGNOFF; BORDERLINE_MOMENTUM.
WHAT TO DO: Portfolio Lead and AM decide whether a gradual self-serve shift is appropriate. Record approve / decline and conditions.
WHAT NOT TO DO: No migration communication before sign-off.
SUCCESS: Day 90: Self-Serve Capability Demonstrated (&gt;=25 PDP views, &gt;=6 app days, self-serve share above baseline) with GMV guardrail held.</t>
  </si>
  <si>
    <t xml:space="preserve">08d49164fd60</t>
  </si>
  <si>
    <t xml:space="preserve">ACC-006</t>
  </si>
  <si>
    <t xml:space="preserve">KEY_SIGNOFF</t>
  </si>
  <si>
    <t xml:space="preserve">WHY NOW: Key broker-reliant account with healthy spend; downside risk too large for automated initiation.
WHAT WE KNOW:
- Key, Broker-Reliant, Account Managed; £23,205 6m GMV; Reseller, Germany; tenure 7 months.
- Momentum: Growing (Sep-Nov £8,249 -&gt; Dec-Feb £14,956); Recently Active (last GMV month: February); 14 orders over 5 month(s).
- Dependency: High (broker reliance 84%; 12 AM-placed / 2 self-serve orders).
- Engagement: 8 product views, 3 app days, 1 offer(s), 115 Fleek chats, 24 video requests; basket Handpick-only.
- Warnings: KEY_SIGNOFF.
WHAT TO DO: Portfolio Lead and AM decide whether a gradual self-serve shift is appropriate. Record approve / decline and conditions.
WHAT NOT TO DO: No migration communication before sign-off.
SUCCESS: Day 90: Self-Serve Capability Demonstrated (&gt;=25 PDP views, &gt;=6 app days, self-serve share above baseline) with GMV guardrail held.</t>
  </si>
  <si>
    <t xml:space="preserve">e3d57b7950e8</t>
  </si>
  <si>
    <t xml:space="preserve">ACC-007</t>
  </si>
  <si>
    <t xml:space="preserve">WHY NOW: Key broker-reliant account with healthy spend; downside risk too large for automated initiation.
WHAT WE KNOW:
- Key, Broker-Reliant, Account Managed; £22,089 6m GMV; Reseller, Austria; tenure 10 months.
- Momentum: Growing (Sep-Nov £5,524 -&gt; Dec-Feb £16,565); Recently Active (last GMV month: February); 23 orders over 5 month(s).
- Dependency: High (broker reliance 72%; 17 AM-placed / 6 self-serve orders).
- Engagement: 1 product views, 1 app days, 0 offer(s), 69 Fleek chats, 2 video requests; basket Mixed.
- Warnings: KEY_SIGNOFF.
WHAT TO DO: Portfolio Lead and AM decide whether a gradual self-serve shift is appropriate. Record approve / decline and conditions.
WHAT NOT TO DO: No migration communication before sign-off.
SUCCESS: Day 90: Self-Serve Capability Demonstrated (&gt;=25 PDP views, &gt;=6 app days, self-serve share above baseline) with GMV guardrail held.</t>
  </si>
  <si>
    <t xml:space="preserve">5d2eb2a4b67f</t>
  </si>
  <si>
    <t xml:space="preserve">ACC-011</t>
  </si>
  <si>
    <t xml:space="preserve">4. Establish / Re-establish / Observe</t>
  </si>
  <si>
    <t xml:space="preserve">Establish / Re-establish</t>
  </si>
  <si>
    <t xml:space="preserve">RETURNED_CUSTOMER</t>
  </si>
  <si>
    <t xml:space="preserve">PB04_ESTABLISH</t>
  </si>
  <si>
    <t xml:space="preserve">Send welcome-back outreach; book a call.</t>
  </si>
  <si>
    <t xml:space="preserve">New: 2+ orders across 2+ months within 90 days. Returned: orders in at least 2 of the next 3 months.</t>
  </si>
  <si>
    <t xml:space="preserve">Second order placed (new) or cadence agreed (returned).</t>
  </si>
  <si>
    <t xml:space="preserve">Returned Key account with no response after 2 attempts -&gt; Portfolio Lead.</t>
  </si>
  <si>
    <t xml:space="preserve">EST_RETURNED</t>
  </si>
  <si>
    <t xml:space="preserve">Hi {first_name},
Great to see you ordering with Fleek again. I'd love to catch up on what you're sourcing at the moment and how often you're planning to buy, so we can make sure the right handpicked stock is in front of you. Would a quick call in the next week or two work?
Best,
{sender_name}</t>
  </si>
  <si>
    <t xml:space="preserve">WHY NOW: Long-tenured customer returned in Dec-Feb after no Sep-Nov spend.
WHAT WE KNOW:
- Key, Broker-Reliant, Account Managed; £15,600 6m GMV; Reseller, France; tenure 34 months.
- Momentum: H2 Active / No H1 GMV; No Meaningful History (last GMV month: December); 1 orders over 1 month(s).
- Dependency: Medium (broker reliance 50%; 1 AM-placed / 0 self-serve orders).
- Engagement: 14 product views, 6 app days, 1 offer(s), 50 Fleek chats, 0 video requests; basket Handpick-only.
- Warnings: MATERIAL_BROKER_INCONSISTENCY; LOW_CONFIDENCE.
WHAT TO DO: Welcome-back conversation: what brought them back, what they are sourcing now, how often they plan to buy.
WHAT NOT TO DO: Do not treat them as a brand-new customer.
SUCCESS: New: 2+ orders across 2+ months within 90 days. Returned: orders in at least 2 of the next 3 months.</t>
  </si>
  <si>
    <t xml:space="preserve">Returned Customer</t>
  </si>
  <si>
    <t xml:space="preserve">Once H1/H2 history exists the account leaves this playbook automatically via re-segmentation.</t>
  </si>
  <si>
    <t xml:space="preserve">7524c507b827</t>
  </si>
  <si>
    <t xml:space="preserve">ACC-012</t>
  </si>
  <si>
    <t xml:space="preserve">KEY_SIGNOFF; MATERIAL_BROKER_INCONSISTENCY</t>
  </si>
  <si>
    <t xml:space="preserve">WHY NOW: Key broker-reliant account with healthy spend; downside risk too large for automated initiation.
WHAT WE KNOW:
- Key, Broker-Reliant, Account Managed; £14,611 6m GMV; Reseller, United Kingdom; tenure 17 months.
- Momentum: Growing (Sep-Nov £6,126 -&gt; Dec-Feb £8,485); Recently Active (last GMV month: February); 28 orders over 6 month(s).
- Dependency: High (broker reliance 59%; 17 AM-placed / 11 self-serve orders).
- Engagement: 3 product views, 2 app days, 0 offer(s), 182 Fleek chats, 1 video requests; basket Mixed.
- Warnings: KEY_SIGNOFF; MATERIAL_BROKER_INCONSISTENCY.
WHAT TO DO: Portfolio Lead and AM decide whether a gradual self-serve shift is appropriate. Record approve / decline and conditions.
WHAT NOT TO DO: No migration communication before sign-off.
SUCCESS: Day 90: Self-Serve Capability Demonstrated (&gt;=25 PDP views, &gt;=6 app days, self-serve share above baseline) with GMV guardrail held.</t>
  </si>
  <si>
    <t xml:space="preserve">b5cb9babc36d</t>
  </si>
  <si>
    <t xml:space="preserve">ACC-016</t>
  </si>
  <si>
    <t xml:space="preserve">KEY_SIGNOFF; NO_FEB_GMV (Feb unconfirmed)</t>
  </si>
  <si>
    <t xml:space="preserve">WHY NOW: Key broker-reliant account with healthy spend; downside risk too large for automated initiation.
WHAT WE KNOW:
- Key, Broker-Reliant, Account Managed; £11,252 6m GMV; Reseller, Australia; tenure 10 months.
- Momentum: Growing (Sep-Nov £4,217 -&gt; Dec-Feb £7,035); Recently Active (last GMV month: January); 26 orders over 5 month(s).
- Dependency: High (broker reliance 68%; 18 AM-placed / 8 self-serve orders).
- Engagement: 4 product views, 1 app days, 1 offer(s), 16 Fleek chats, 3 video requests; basket Bundle-only.
- Warnings: KEY_SIGNOFF; NO_FEB_GMV (Feb unconfirmed).
WHAT TO DO: Portfolio Lead and AM decide whether a gradual self-serve shift is appropriate. Record approve / decline and conditions.
WHAT NOT TO DO: No migration communication before sign-off.
SUCCESS: Day 90: Self-Serve Capability Demonstrated (&gt;=25 PDP views, &gt;=6 app days, self-serve share above baseline) with GMV guardrail held.</t>
  </si>
  <si>
    <t xml:space="preserve">37d831150a2a</t>
  </si>
  <si>
    <t xml:space="preserve">ACC-212</t>
  </si>
  <si>
    <t xml:space="preserve">Reinforce Successful Behaviour</t>
  </si>
  <si>
    <t xml:space="preserve">HEALTHY_STRONG_SELF_SERVE</t>
  </si>
  <si>
    <t xml:space="preserve">Ready — Automated</t>
  </si>
  <si>
    <t xml:space="preserve">Automation</t>
  </si>
  <si>
    <t xml:space="preserve">PB06_REINFORCE</t>
  </si>
  <si>
    <t xml:space="preserve">Email / in-app message</t>
  </si>
  <si>
    <t xml:space="preserve">Queue automated message (Reinforce Successful Behaviour).</t>
  </si>
  <si>
    <t xml:space="preserve">GMV run-rate maintained or higher, with GMV in each month of the next quarter.</t>
  </si>
  <si>
    <t xml:space="preserve">Account shows Recent Inactivity (playbook must not run) or momentum turns Declining.</t>
  </si>
  <si>
    <t xml:space="preserve">Recent Inactivity -&gt; Verify check (human).</t>
  </si>
  <si>
    <t xml:space="preserve">REINFORCE</t>
  </si>
  <si>
    <t xml:space="preserve">Hi {first_name},
Thanks for being an active Fleek buyer. Just a quick note to keep an eye on the app for bundles and handpicked stock that fits your range, and to let you know we're here if there's anything specific you're trying to source. Reply any time and we'll help.
Best,
{sender_name}</t>
  </si>
  <si>
    <t xml:space="preserve">Suppressed if Recent Inactivity; otherwise no repeat inside 30 days.</t>
  </si>
  <si>
    <t xml:space="preserve">aa1e187383b5</t>
  </si>
  <si>
    <t xml:space="preserve">ACC-019</t>
  </si>
  <si>
    <t xml:space="preserve">MIGRATION_PHASE1_READY</t>
  </si>
  <si>
    <t xml:space="preserve">Ready — Hybrid</t>
  </si>
  <si>
    <t xml:space="preserve">Day 0: AM walkthrough call on independent stock discovery.</t>
  </si>
  <si>
    <t xml:space="preserve">MIG_DAY0</t>
  </si>
  <si>
    <t xml:space="preserve">Hi {first_name},
Alongside the stock I source for you, I'd like to show you how to browse Fleek's full range directly in the app, so you can look through handpicked stock whenever it suits you, make an offer where it fits and place orders yourself. I'm still here for anything you need. Could we do a short walkthrough together this week?
Best,
{sender_name}</t>
  </si>
  <si>
    <t xml:space="preserve">WHY NOW: Broker-reliant Core account with healthy, regular spend and repeat self-serve checkout, but little independent browsing.
WHAT WE KNOW:
- Core, Broker-Reliant, Account Managed; £7,716 6m GMV; Reseller, United States; tenure 10 months.
- Momentum: Growing (Sep-Nov £1,446 -&gt; Dec-Feb £6,269); Recently Active (last GMV month: February); 7 orders over 5 month(s).
- Dependency: High (broker reliance 59%; 4 AM-placed / 3 self-serve orders).
- Engagement: 15 product views, 2 app days, 1 offer(s), 16 Fleek chats, 12 video requests; basket Handpick-only.
WHAT TO DO: Run the Phase 1 plan: Day 0 app walkthrough focused on finding stock independently; check-in Day 15-30; formal review Day 45; outcome Day 90.
WHAT NOT TO DO: Do not remove AM support; do not mention cost reduction or 'migration'.
SUCCESS: Day 90: Self-Serve Capability Demonstrated (&gt;=25 PDP views, &gt;=6 app days, self-serve share above baseline) with GMV guardrail held.</t>
  </si>
  <si>
    <t xml:space="preserve">Ready</t>
  </si>
  <si>
    <t xml:space="preserve">007fe44db0d2</t>
  </si>
  <si>
    <t xml:space="preserve">ACC-020</t>
  </si>
  <si>
    <t xml:space="preserve">MIGRATION_PHASE1_REVIEW</t>
  </si>
  <si>
    <t xml:space="preserve">Human Review Required</t>
  </si>
  <si>
    <t xml:space="preserve">Awaiting Human Review</t>
  </si>
  <si>
    <t xml:space="preserve">AM resolves the Phase 1 guardrail(s) before any customer contact.</t>
  </si>
  <si>
    <t xml:space="preserve">PHASE1_MANUAL_REVIEW; LUMPY_CADENCE; MATERIAL_BROKER_INCONSISTENCY; H2_SINGLE_MONTH_SPIKE</t>
  </si>
  <si>
    <t xml:space="preserve">Withheld until human review is complete</t>
  </si>
  <si>
    <t xml:space="preserve">WHY NOW: Meets Phase 1 entry criteria but a guardrail (borderline/February-sensitive momentum, lumpy cadence or broker % inconsistency) must be resolved.
WHAT WE KNOW:
- Core, Broker-Reliant, Account Managed; £6,452 6m GMV; Reseller, France; tenure 31 months.
- Momentum: Stable (Sep-Nov £3,474 -&gt; Dec-Feb £2,978); Recently Active (last GMV month: February); 3 orders over 3 month(s).
- Dependency: Medium (broker reliance 48%; 1 AM-placed / 2 self-serve orders).
- Engagement: 3 product views, 7 app days, 0 offer(s), 14 Fleek chats, 2 video requests; basket Mixed.
- Warnings: PHASE1_MANUAL_REVIEW; LUMPY_CADENCE; MATERIAL_BROKER_INCONSISTENCY; H2_SINGLE_MONTH_SPIKE.
WHAT TO DO: Resolve the listed guardrail(s) (verify order history / momentum), then decide Ready or not suitable. Record the decision.
WHAT NOT TO DO: Do not contact the customer about self-serve changes until review is complete.
SUCCESS: Day 90: Self-Serve Capability Demonstrated (&gt;=25 PDP views, &gt;=6 app days, self-serve share above baseline) with GMV guardrail held.</t>
  </si>
  <si>
    <t xml:space="preserve">Manual Review</t>
  </si>
  <si>
    <t xml:space="preserve">52e8620a3f1a</t>
  </si>
  <si>
    <t xml:space="preserve">ACC-024</t>
  </si>
  <si>
    <t xml:space="preserve">PHASE1_MANUAL_REVIEW; BORDERLINE_MOMENTUM</t>
  </si>
  <si>
    <t xml:space="preserve">WHY NOW: Meets Phase 1 entry criteria but a guardrail (borderline/February-sensitive momentum, lumpy cadence or broker % inconsistency) must be resolved.
WHAT WE KNOW:
- Core, Broker-Reliant, Account Managed; £5,214 6m GMV; Reseller, United Kingdom; tenure 11 months.
- Momentum: Stable (Sep-Nov £2,883 -&gt; Dec-Feb £2,330); Recently Active (last GMV month: February); 14 orders over 5 month(s).
- Dependency: High (broker reliance 64%; 9 AM-placed / 5 self-serve orders).
- Engagement: 12 product views, 6 app days, 2 offer(s), 27 Fleek chats, 0 video requests; basket Bundle-only.
- Warnings: PHASE1_MANUAL_REVIEW; BORDERLINE_MOMENTUM.
WHAT TO DO: Resolve the listed guardrail(s) (verify order history / momentum), then decide Ready or not suitable. Record the decision.
WHAT NOT TO DO: Do not contact the customer about self-serve changes until review is complete.
SUCCESS: Day 90: Self-Serve Capability Demonstrated (&gt;=25 PDP views, &gt;=6 app days, self-serve share above baseline) with GMV guardrail held.</t>
  </si>
  <si>
    <t xml:space="preserve">49dad3347eeb</t>
  </si>
  <si>
    <t xml:space="preserve">ACC-025</t>
  </si>
  <si>
    <t xml:space="preserve">ca096fe30dd8</t>
  </si>
  <si>
    <t xml:space="preserve">ACC-213</t>
  </si>
  <si>
    <t xml:space="preserve">NO_FEB_GMV (Feb unconfirmed)</t>
  </si>
  <si>
    <t xml:space="preserve">91cb14df2473</t>
  </si>
  <si>
    <t xml:space="preserve">ACC-027</t>
  </si>
  <si>
    <t xml:space="preserve">Hi {first_name},
Alongside the stock I source for you, I'd like to show you how to browse Fleek's full range directly in the app, so you can look through bundles whenever it suits you, make an offer where it fits and place orders yourself. I'm still here for anything you need. Could we do a short walkthrough together this week?
Best,
{sender_name}</t>
  </si>
  <si>
    <t xml:space="preserve">WHY NOW: Broker-reliant Core account with healthy, regular spend and repeat self-serve checkout, but little independent browsing.
WHAT WE KNOW:
- Core, Broker-Reliant, Account Managed; £4,678 6m GMV; Retailer, Australia; tenure 30 months.
- Momentum: Stable (Sep-Nov £2,280 -&gt; Dec-Feb £2,398); Recently Active (last GMV month: January); 25 orders over 5 month(s).
- Dependency: High (broker reliance 73%; 18 AM-placed / 7 self-serve orders).
- Engagement: 14 product views, 3 app days, 1 offer(s), 4 Fleek chats, 0 video requests; basket Bundle-only.
- Warnings: NO_FEB_GMV (Feb unconfirmed).
WHAT TO DO: Run the Phase 1 plan: Day 0 app walkthrough focused on finding stock independently; check-in Day 15-30; formal review Day 45; outcome Day 90.
WHAT NOT TO DO: Do not remove AM support; do not mention cost reduction or 'migration'.
SUCCESS: Day 90: Self-Serve Capability Demonstrated (&gt;=25 PDP views, &gt;=6 app days, self-serve share above baseline) with GMV guardrail held.</t>
  </si>
  <si>
    <t xml:space="preserve">c2f68f7ca5fd</t>
  </si>
  <si>
    <t xml:space="preserve">ACC-030</t>
  </si>
  <si>
    <t xml:space="preserve">Hi {first_name},
Alongside the stock I source for you, I'd like to show you how to browse Fleek's full range directly in the app, so you can look through bundles and handpicked stock whenever it suits you, make an offer where it fits and place orders yourself. I'm still here for anything you need. Could we do a short walkthrough together this week?
Best,
{sender_name}</t>
  </si>
  <si>
    <t xml:space="preserve">WHY NOW: Broker-reliant Core account with healthy, regular spend and repeat self-serve checkout, but little independent browsing.
WHAT WE KNOW:
- Core, Broker-Reliant, Account Managed; £4,415 6m GMV; Reseller, United Kingdom; tenure 48 months.
- Momentum: Growing (Sep-Nov £902 -&gt; Dec-Feb £3,513); Recently Active (last GMV month: January); 5 orders over 4 month(s).
- Dependency: High (broker reliance 68%; 3 AM-placed / 2 self-serve orders).
- Engagement: 2 product views, 2 app days, 0 offer(s), 15 Fleek chats, 1 video requests; basket Mixed.
- Warnings: H2_SINGLE_MONTH_SPIKE; NO_FEB_GMV (Feb unconfirmed).
WHAT TO DO: Run the Phase 1 plan: Day 0 app walkthrough focused on finding stock independently; check-in Day 15-30; formal review Day 45; outcome Day 90.
WHAT NOT TO DO: Do not remove AM support; do not mention cost reduction or 'migration'.
SUCCESS: Day 90: Self-Serve Capability Demonstrated (&gt;=25 PDP views, &gt;=6 app days, self-serve share above baseline) with GMV guardrail held.</t>
  </si>
  <si>
    <t xml:space="preserve">159c0643b8b5</t>
  </si>
  <si>
    <t xml:space="preserve">ACC-031</t>
  </si>
  <si>
    <t xml:space="preserve">WHY NOW: Broker-reliant Core account with healthy, regular spend and repeat self-serve checkout, but little independent browsing.
WHAT WE KNOW:
- Core, Broker-Reliant, Account Managed; £4,372 6m GMV; Reseller, France; tenure 9 months.
- Momentum: Growing (Sep-Nov £1,194 -&gt; Dec-Feb £3,178); Recently Active (last GMV month: February); 8 orders over 3 month(s).
- Dependency: High (broker reliance 79%; 6 AM-placed / 2 self-serve orders).
- Engagement: 1 product views, 5 app days, 1 offer(s), 34 Fleek chats, 1 video requests; basket Mixed.
WHAT TO DO: Run the Phase 1 plan: Day 0 app walkthrough focused on finding stock independently; check-in Day 15-30; formal review Day 45; outcome Day 90.
WHAT NOT TO DO: Do not remove AM support; do not mention cost reduction or 'migration'.
SUCCESS: Day 90: Self-Serve Capability Demonstrated (&gt;=25 PDP views, &gt;=6 app days, self-serve share above baseline) with GMV guardrail held.</t>
  </si>
  <si>
    <t xml:space="preserve">9699924bde84</t>
  </si>
  <si>
    <t xml:space="preserve">ACC-033</t>
  </si>
  <si>
    <t xml:space="preserve">WHY NOW: Meets Phase 1 entry criteria but a guardrail (borderline/February-sensitive momentum, lumpy cadence or broker % inconsistency) must be resolved.
WHAT WE KNOW:
- Core, Broker-Reliant, Account Managed; £3,925 6m GMV; Reseller, Netherlands; tenure 7 months.
- Momentum: Stable (Sep-Nov £2,126 -&gt; Dec-Feb £1,799); Recently Active (last GMV month: February); 8 orders over 5 month(s).
- Dependency: Medium (broker reliance 54%; 4 AM-placed / 4 self-serve orders).
- Engagement: 12 product views, 2 app days, 2 offer(s), 14 Fleek chats, 0 video requests; basket Bundle-only.
- Warnings: PHASE1_MANUAL_REVIEW; BORDERLINE_MOMENTUM.
WHAT TO DO: Resolve the listed guardrail(s) (verify order history / momentum), then decide Ready or not suitable. Record the decision.
WHAT NOT TO DO: Do not contact the customer about self-serve changes until review is complete.
SUCCESS: Day 90: Self-Serve Capability Demonstrated (&gt;=25 PDP views, &gt;=6 app days, self-serve share above baseline) with GMV guardrail held.</t>
  </si>
  <si>
    <t xml:space="preserve">16ee29db7b94</t>
  </si>
  <si>
    <t xml:space="preserve">ACC-036</t>
  </si>
  <si>
    <t xml:space="preserve">PHASE1_MANUAL_REVIEW; LUMPY_CADENCE; H2_SINGLE_MONTH_SPIKE; NO_FEB_GMV (Feb unconfirmed)</t>
  </si>
  <si>
    <t xml:space="preserve">WHY NOW: Meets Phase 1 entry criteria but a guardrail (borderline/February-sensitive momentum, lumpy cadence or broker % inconsistency) must be resolved.
WHAT WE KNOW:
- Core, Broker-Reliant, Account Managed; £3,879 6m GMV; Retailer, United Kingdom; tenure 13 months.
- Momentum: Growing (Sep-Nov £369 -&gt; Dec-Feb £3,510); Recently Active (last GMV month: January); 37 orders over 2 month(s).
- Dependency: High (broker reliance 76%; 28 AM-placed / 9 self-serve orders).
- Engagement: 2 product views, 6 app days, 1 offer(s), 22 Fleek chats, 0 video requests; basket Mixed.
- Warnings: PHASE1_MANUAL_REVIEW; LUMPY_CADENCE; H2_SINGLE_MONTH_SPIKE; NO_FEB_GMV (Feb unconfirmed).
WHAT TO DO: Resolve the listed guardrail(s) (verify order history / momentum), then decide Ready or not suitable. Record the decision.
WHAT NOT TO DO: Do not contact the customer about self-serve changes until review is complete.
SUCCESS: Day 90: Self-Serve Capability Demonstrated (&gt;=25 PDP views, &gt;=6 app days, self-serve share above baseline) with GMV guardrail held.</t>
  </si>
  <si>
    <t xml:space="preserve">bf548797d462</t>
  </si>
  <si>
    <t xml:space="preserve">ACC-047</t>
  </si>
  <si>
    <t xml:space="preserve">Hi {first_name},
Great to see you ordering with Fleek again. I'd love to catch up on what you're sourcing at the moment and how often you're planning to buy, so we can make sure the right bundles and handpicked stock is in front of you. Would a quick call in the next week or two work?
Best,
{sender_name}</t>
  </si>
  <si>
    <t xml:space="preserve">WHY NOW: Long-tenured customer returned in Dec-Feb after no Sep-Nov spend.
WHAT WE KNOW:
- Core, Broker-Reliant, Account Managed; £3,200 6m GMV; Reseller, United Kingdom; tenure 10 months.
- Momentum: H2 Active / No H1 GMV; Recently Active (last GMV month: February); 6 orders over 2 month(s).
- Dependency: Medium (broker reliance 53%; 3 AM-placed / 3 self-serve orders).
- Engagement: 2 product views, 8 app days, 1 offer(s), 15 Fleek chats, 3 video requests; basket Mixed.
WHAT TO DO: Welcome-back conversation: what brought them back, what they are sourcing now, how often they plan to buy.
WHAT NOT TO DO: Do not treat them as a brand-new customer.
SUCCESS: New: 2+ orders across 2+ months within 90 days. Returned: orders in at least 2 of the next 3 months.</t>
  </si>
  <si>
    <t xml:space="preserve">d857ee7a7173</t>
  </si>
  <si>
    <t xml:space="preserve">ACC-048</t>
  </si>
  <si>
    <t xml:space="preserve">7. Onboard / Re-engage / Learn</t>
  </si>
  <si>
    <t xml:space="preserve">MATERIAL_BROKER_INCONSISTENCY; H2_SINGLE_MONTH_SPIKE</t>
  </si>
  <si>
    <t xml:space="preserve">WHY NOW: Long-tenured customer returned in Dec-Feb after no Sep-Nov spend.
WHAT WE KNOW:
- Core, AM-Owned / Self-Serving, Account Managed; £3,113 6m GMV; Reseller, United Kingdom; tenure 14 months.
- Momentum: H2 Active / No H1 GMV; Recently Active (last GMV month: February); 4 orders over 2 month(s).
- Dependency: Low (broker reliance 15%; 1 AM-placed / 3 self-serve orders).
- Engagement: 488 product views, 30 app days, 1 offer(s), 24 Fleek chats, 0 video requests; basket Handpick-only.
- Warnings: MATERIAL_BROKER_INCONSISTENCY; H2_SINGLE_MONTH_SPIKE.
WHAT TO DO: Welcome-back conversation: what brought them back, what they are sourcing now, how often they plan to buy.
WHAT NOT TO DO: Do not treat them as a brand-new customer.
SUCCESS: New: 2+ orders across 2+ months within 90 days. Returned: orders in at least 2 of the next 3 months.</t>
  </si>
  <si>
    <t xml:space="preserve">85c8f6987236</t>
  </si>
  <si>
    <t xml:space="preserve">ACC-217</t>
  </si>
  <si>
    <t xml:space="preserve">NEW_CUSTOMER</t>
  </si>
  <si>
    <t xml:space="preserve">Send onboarding message.</t>
  </si>
  <si>
    <t xml:space="preserve">EST_NEW</t>
  </si>
  <si>
    <t xml:space="preserve">Hi {first_name},
Welcome to Fleek, and thanks for your recent orders. A couple of tips as you build your buying routine: you can browse available stock in the app whenever suits you, and if a price doesn't quite work, you can use Make an Offer on items you're interested in. We're here if you need anything.
Best,
{sender_name}</t>
  </si>
  <si>
    <t xml:space="preserve">New Customer</t>
  </si>
  <si>
    <t xml:space="preserve">5a52a8fcef4c</t>
  </si>
  <si>
    <t xml:space="preserve">ACC-056</t>
  </si>
  <si>
    <t xml:space="preserve">PHASE1_MANUAL_REVIEW; BORDERLINE_MOMENTUM; MATERIAL_BROKER_INCONSISTENCY; NO_FEB_GMV (Feb unconfirmed)</t>
  </si>
  <si>
    <t xml:space="preserve">WHY NOW: Meets Phase 1 entry criteria but a guardrail (borderline/February-sensitive momentum, lumpy cadence or broker % inconsistency) must be resolved.
WHAT WE KNOW:
- Core, Broker-Reliant, Account Managed; £2,380 6m GMV; Reseller, United Kingdom; tenure 7 months.
- Momentum: Stable (Sep-Nov £1,089 -&gt; Dec-Feb £1,291); Recently Active (last GMV month: January); 5 orders over 3 month(s).
- Dependency: Medium (broker reliance 54%; 3 AM-placed / 2 self-serve orders).
- Engagement: 9 product views, 7 app days, 1 offer(s), 9 Fleek chats, 0 video requests; basket Mixed.
- Warnings: PHASE1_MANUAL_REVIEW; BORDERLINE_MOMENTUM; MATERIAL_BROKER_INCONSISTENCY; NO_FEB_GMV (Feb unconfirmed).
WHAT TO DO: Resolve the listed guardrail(s) (verify order history / momentum), then decide Ready or not suitable. Record the decision.
WHAT NOT TO DO: Do not contact the customer about self-serve changes until review is complete.
SUCCESS: Day 90: Self-Serve Capability Demonstrated (&gt;=25 PDP views, &gt;=6 app days, self-serve share above baseline) with GMV guardrail held.</t>
  </si>
  <si>
    <t xml:space="preserve">3ef68990c056</t>
  </si>
  <si>
    <t xml:space="preserve">ACC-058</t>
  </si>
  <si>
    <t xml:space="preserve">PHASE1_MANUAL_REVIEW; LUMPY_CADENCE; FEB_SENSITIVE; H2_SINGLE_MONTH_SPIKE</t>
  </si>
  <si>
    <t xml:space="preserve">WHY NOW: Meets Phase 1 entry criteria but a guardrail (borderline/February-sensitive momentum, lumpy cadence or broker % inconsistency) must be resolved.
WHAT WE KNOW:
- Core, Broker-Reliant, Account Managed; £2,277 6m GMV; Reseller, Germany; tenure 14 months.
- Momentum: Growing (Sep-Nov £982 -&gt; Dec-Feb £1,295); Recently Active (last GMV month: February); 8 orders over 2 month(s).
- Dependency: Medium (broker reliance 48%; 4 AM-placed / 4 self-serve orders).
- Engagement: 3 product views, 5 app days, 0 offer(s), 21 Fleek chats, 2 video requests; basket Mixed.
- Warnings: PHASE1_MANUAL_REVIEW; LUMPY_CADENCE; FEB_SENSITIVE; H2_SINGLE_MONTH_SPIKE.
WHAT TO DO: Resolve the listed guardrail(s) (verify order history / momentum), then decide Ready or not suitable. Record the decision.
WHAT NOT TO DO: Do not contact the customer about self-serve changes until review is complete.
SUCCESS: Day 90: Self-Serve Capability Demonstrated (&gt;=25 PDP views, &gt;=6 app days, self-serve share above baseline) with GMV guardrail held.</t>
  </si>
  <si>
    <t xml:space="preserve">3814d6df488f</t>
  </si>
  <si>
    <t xml:space="preserve">ACC-029</t>
  </si>
  <si>
    <t xml:space="preserve">P3</t>
  </si>
  <si>
    <t xml:space="preserve">MIGRATION_PRE_ENTRY</t>
  </si>
  <si>
    <t xml:space="preserve">AM encourages a second self-serve checkout.</t>
  </si>
  <si>
    <t xml:space="preserve">MIG_PREENTRY</t>
  </si>
  <si>
    <t xml:space="preserve">Hi {first_name},
A quick tip: whenever you spot something you like while browsing the Fleek app, you can place the order directly there, at a time that suits you. I'll keep sourcing for you as usual, so nothing changes on my side. Let me know if a short walkthrough of the app would be helpful.
Best,
{sender_name}</t>
  </si>
  <si>
    <t xml:space="preserve">WHY NOW: Broker-reliant Core account with healthy spend but only one self-serve order.
WHAT WE KNOW:
- Core, Broker-Reliant, Account Managed; £4,513 6m GMV; Reseller, United Kingdom; tenure 6 months.
- Momentum: Growing (Sep-Nov £496 -&gt; Dec-Feb £4,018); Recently Active (last GMV month: February); 5 orders over 4 month(s).
- Dependency: High (broker reliance 78%; 4 AM-placed / 1 self-serve orders).
- Engagement: 10 product views, 6 app days, 0 offer(s), 3 Fleek chats, 0 video requests; basket Mixed.
- Warnings: MATERIAL_BROKER_INCONSISTENCY.
WHAT TO DO: Encourage a second self-serve checkout on stock the customer already wants; keep sourcing as usual; re-assess for Phase 1 next run.
WHAT NOT TO DO: Do not reduce sourcing support.
SUCCESS: Day 90: Self-Serve Capability Demonstrated (&gt;=25 PDP views, &gt;=6 app days, self-serve share above baseline) with GMV guardrail held.</t>
  </si>
  <si>
    <t xml:space="preserve">65f4916d6b6c</t>
  </si>
  <si>
    <t xml:space="preserve">ACC-034</t>
  </si>
  <si>
    <t xml:space="preserve">LUMPY_CADENCE; MATERIAL_BROKER_INCONSISTENCY; H2_SINGLE_MONTH_SPIKE; NO_FEB_GMV (Feb unconfirmed)</t>
  </si>
  <si>
    <t xml:space="preserve">WHY NOW: Broker-reliant Core account with healthy spend but only one self-serve order.
WHAT WE KNOW:
- Core, Broker-Reliant, Account Managed; £3,913 6m GMV; Reseller, Germany; tenure 7 months.
- Momentum: Stable (Sep-Nov £1,941 -&gt; Dec-Feb £1,971); Recently Active (last GMV month: January); 4 orders over 4 month(s).
- Dependency: High (broker reliance 82%; 3 AM-placed / 1 self-serve orders).
- Engagement: 9 product views, 5 app days, 1 offer(s), 76 Fleek chats, 0 video requests; basket Handpick-only.
- Warnings: LUMPY_CADENCE; MATERIAL_BROKER_INCONSISTENCY; H2_SINGLE_MONTH_SPIKE; NO_FEB_GMV (Feb unconfirmed).
WHAT TO DO: Encourage a second self-serve checkout on stock the customer already wants; keep sourcing as usual; re-assess for Phase 1 next run.
WHAT NOT TO DO: Do not reduce sourcing support.
SUCCESS: Day 90: Self-Serve Capability Demonstrated (&gt;=25 PDP views, &gt;=6 app days, self-serve share above baseline) with GMV guardrail held.</t>
  </si>
  <si>
    <t xml:space="preserve">879ab96f7320</t>
  </si>
  <si>
    <t xml:space="preserve">ACC-039</t>
  </si>
  <si>
    <t xml:space="preserve">LUMPY_CADENCE; FEB_SENSITIVE; H2_SINGLE_MONTH_SPIKE</t>
  </si>
  <si>
    <t xml:space="preserve">WHY NOW: Broker-reliant Core account with healthy spend but only one self-serve order.
WHAT WE KNOW:
- Core, Broker-Reliant, Account Managed; £3,626 6m GMV; Reseller, France; tenure 22 months.
- Momentum: Growing (Sep-Nov £1,453 -&gt; Dec-Feb £2,173); Recently Active (last GMV month: February); 4 orders over 3 month(s).
- Dependency: High (broker reliance 70%; 3 AM-placed / 1 self-serve orders).
- Engagement: 11 product views, 5 app days, 1 offer(s), 159 Fleek chats, 1 video requests; basket Mixed.
- Warnings: LUMPY_CADENCE; FEB_SENSITIVE; H2_SINGLE_MONTH_SPIKE.
WHAT TO DO: Encourage a second self-serve checkout on stock the customer already wants; keep sourcing as usual; re-assess for Phase 1 next run.
WHAT NOT TO DO: Do not reduce sourcing support.
SUCCESS: Day 90: Self-Serve Capability Demonstrated (&gt;=25 PDP views, &gt;=6 app days, self-serve share above baseline) with GMV guardrail held.</t>
  </si>
  <si>
    <t xml:space="preserve">0fcf3873bc5c</t>
  </si>
  <si>
    <t xml:space="preserve">ACC-049</t>
  </si>
  <si>
    <t xml:space="preserve">WHY NOW: Broker-reliant Core account with healthy spend but only one self-serve order.
WHAT WE KNOW:
- Core, Broker-Reliant, Account Managed; £3,111 6m GMV; Reseller, United Kingdom; tenure 10 months.
- Momentum: Growing (Sep-Nov £765 -&gt; Dec-Feb £2,347); Recently Active (last GMV month: February); 7 orders over 5 month(s).
- Dependency: High (broker reliance 81%; 6 AM-placed / 1 self-serve orders).
- Engagement: 13 product views, 8 app days, 1 offer(s), 20 Fleek chats, 0 video requests; basket Bundle-only.
WHAT TO DO: Encourage a second self-serve checkout on stock the customer already wants; keep sourcing as usual; re-assess for Phase 1 next run.
WHAT NOT TO DO: Do not reduce sourcing support.
SUCCESS: Day 90: Self-Serve Capability Demonstrated (&gt;=25 PDP views, &gt;=6 app days, self-serve share above baseline) with GMV guardrail held.</t>
  </si>
  <si>
    <t xml:space="preserve">e8d7cc4929a3</t>
  </si>
  <si>
    <t xml:space="preserve">ACC-057</t>
  </si>
  <si>
    <t xml:space="preserve">LUMPY_CADENCE; H2_SINGLE_MONTH_SPIKE</t>
  </si>
  <si>
    <t xml:space="preserve">WHY NOW: Broker-reliant Core account with healthy spend but only one self-serve order.
WHAT WE KNOW:
- Core, Broker-Reliant, Account Managed; £2,366 6m GMV; Reseller, France; tenure 16 months.
- Momentum: Stable (Sep-Nov £1,167 -&gt; Dec-Feb £1,199); Recent Inactivity (last GMV month: December); 3 orders over 3 month(s).
- Dependency: High (broker reliance 61%; 2 AM-placed / 1 self-serve orders).
- Engagement: 4 product views, 4 app days, 1 offer(s), 2 Fleek chats, 0 video requests; basket Bundle-only.
- Warnings: LUMPY_CADENCE; H2_SINGLE_MONTH_SPIKE.
WHAT TO DO: Encourage a second self-serve checkout on stock the customer already wants; keep sourcing as usual; re-assess for Phase 1 next run.
WHAT NOT TO DO: Do not reduce sourcing support.
SUCCESS: Day 90: Self-Serve Capability Demonstrated (&gt;=25 PDP views, &gt;=6 app days, self-serve share above baseline) with GMV guardrail held.</t>
  </si>
  <si>
    <t xml:space="preserve">debc77818ad3</t>
  </si>
  <si>
    <t xml:space="preserve">ACC-064</t>
  </si>
  <si>
    <t xml:space="preserve">Tail</t>
  </si>
  <si>
    <t xml:space="preserve">5. Cost-to-Serve / Low-Touch</t>
  </si>
  <si>
    <t xml:space="preserve">Service Model Review</t>
  </si>
  <si>
    <t xml:space="preserve">COST_TO_SERVE_ACTIVE</t>
  </si>
  <si>
    <t xml:space="preserve">Not Started</t>
  </si>
  <si>
    <t xml:space="preserve">PB07_SERVICE_MODEL_REVIEW</t>
  </si>
  <si>
    <t xml:space="preserve">Internal review (no customer contact)</t>
  </si>
  <si>
    <t xml:space="preserve">Portfolio Lead reviews account card and records a service decision.</t>
  </si>
  <si>
    <t xml:space="preserve">Decision logged; broker effort reduced where agreed without GMV loss.</t>
  </si>
  <si>
    <t xml:space="preserve">Decision recorded.</t>
  </si>
  <si>
    <t xml:space="preserve">None.</t>
  </si>
  <si>
    <t xml:space="preserve">BORDERLINE_MOMENTUM; FEB_SENSITIVE</t>
  </si>
  <si>
    <t xml:space="preserve">None: internal-only review</t>
  </si>
  <si>
    <t xml:space="preserve">WHY NOW: Low-value broker-reliant account that is still buying.
WHAT WE KNOW:
- Tail, Broker-Reliant, Account Managed; £1,911 6m GMV; Retailer, United Kingdom; tenure 9 months.
- Momentum: Stable (Sep-Nov £1,042 -&gt; Dec-Feb £869); Recently Active (last GMV month: February); 15 orders over 5 month(s).
- Dependency: High (broker reliance 68%; 10 AM-placed / 5 self-serve orders).
- Engagement: 14 product views, 4 app days, 2 offer(s), 5 Fleek chats, 0 video requests; basket Bundle-only.
- Warnings: BORDERLINE_MOMENTUM; FEB_SENSITIVE.
WHAT TO DO: Review the card and decide: maintain support / move to lower-touch / automated nurture / revisit later.
WHAT NOT TO DO: No customer message. No ROI claim (no AM cost data).
SUCCESS: Decision logged; broker effort reduced where agreed without GMV loss.</t>
  </si>
  <si>
    <t xml:space="preserve">Decision stored; account not re-queued unless its NBA changes.</t>
  </si>
  <si>
    <t xml:space="preserve">ea60047c0021</t>
  </si>
  <si>
    <t xml:space="preserve">ACC-065</t>
  </si>
  <si>
    <t xml:space="preserve">9. Long-Tail Automated Nurture</t>
  </si>
  <si>
    <t xml:space="preserve">Automated Nurture</t>
  </si>
  <si>
    <t xml:space="preserve">RISING_TAIL_EARLY</t>
  </si>
  <si>
    <t xml:space="preserve">PB08_NURTURE</t>
  </si>
  <si>
    <t xml:space="preserve">Queue automated message (Automated Nurture).</t>
  </si>
  <si>
    <t xml:space="preserve">Any (repeat) order within 90 days.</t>
  </si>
  <si>
    <t xml:space="preserve">Order placed, unsubscribe, or 2 unanswered dormant messages (pause 6 months).</t>
  </si>
  <si>
    <t xml:space="preserve">Rising Tail accounts that cross the Core line re-route automatically.</t>
  </si>
  <si>
    <t xml:space="preserve">NUR_RISING</t>
  </si>
  <si>
    <t xml:space="preserve">Hi {first_name},
Thanks for your recent orders with Fleek. Whenever you're planning your next buy, the app is the quickest way to browse bundles and make an offer where a price doesn't quite work. If you're looking for something specific, reply here and we'll help.
Best,
{sender_name}</t>
  </si>
  <si>
    <t xml:space="preserve">Rising tail – early pattern</t>
  </si>
  <si>
    <t xml:space="preserve">No repeat send while the logged action is inside its cadence window.</t>
  </si>
  <si>
    <t xml:space="preserve">c3a72372035f</t>
  </si>
  <si>
    <t xml:space="preserve">ACC-067</t>
  </si>
  <si>
    <t xml:space="preserve">WHY NOW: Low-value broker-reliant account that is still buying.
WHAT WE KNOW:
- Tail, Broker-Reliant, Account Managed; £1,759 6m GMV; Reseller, United Kingdom; tenure 14 months.
- Momentum: Growing (Sep-Nov £655 -&gt; Dec-Feb £1,104); Recently Active (last GMV month: February); 9 orders over 5 month(s).
- Dependency: High (broker reliance 66%; 6 AM-placed / 3 self-serve orders).
- Engagement: 7 product views, 2 app days, 2 offer(s), 7 Fleek chats, 3 video requests; basket Mixed.
WHAT TO DO: Review the card and decide: maintain support / move to lower-touch / automated nurture / revisit later.
WHAT NOT TO DO: No customer message. No ROI claim (no AM cost data).
SUCCESS: Decision logged; broker effort reduced where agreed without GMV loss.</t>
  </si>
  <si>
    <t xml:space="preserve">59d976603aa8</t>
  </si>
  <si>
    <t xml:space="preserve">ACC-068</t>
  </si>
  <si>
    <t xml:space="preserve">RISING_TAIL</t>
  </si>
  <si>
    <t xml:space="preserve">d388a5f593ab</t>
  </si>
  <si>
    <t xml:space="preserve">ACC-071</t>
  </si>
  <si>
    <t xml:space="preserve">WHY NOW: Low-value broker-reliant account that is still buying.
WHAT WE KNOW:
- Tail, Broker-Reliant, Account Managed; £1,614 6m GMV; Reseller, Ireland; tenure 12 months.
- Momentum: Growing (Sep-Nov £68 -&gt; Dec-Feb £1,547); Recently Active (last GMV month: February); 6 orders over 3 month(s).
- Dependency: High (broker reliance 73%; 4 AM-placed / 2 self-serve orders).
- Engagement: 3 product views, 6 app days, 1 offer(s), 3 Fleek chats, 0 video requests; basket Bundle-only.
- Warnings: H2_SINGLE_MONTH_SPIKE.
WHAT TO DO: Review the card and decide: maintain support / move to lower-touch / automated nurture / revisit later.
WHAT NOT TO DO: No customer message. No ROI claim (no AM cost data).
SUCCESS: Decision logged; broker effort reduced where agreed without GMV loss.</t>
  </si>
  <si>
    <t xml:space="preserve">6cd01173727a</t>
  </si>
  <si>
    <t xml:space="preserve">ACC-074</t>
  </si>
  <si>
    <t xml:space="preserve">MATERIAL_BROKER_INCONSISTENCY; NO_FEB_GMV (Feb unconfirmed); LOW_CONFIDENCE</t>
  </si>
  <si>
    <t xml:space="preserve">WHY NOW: Low-value broker-reliant account that is still buying.
WHAT WE KNOW:
- Tail, Broker-Reliant, Account Managed; £1,448 6m GMV; Reseller, France; tenure 10 months.
- Momentum: H2 Active / No H1 GMV; Recently Active (last GMV month: January); 2 orders over 1 month(s).
- Dependency: High (broker reliance 70%; 1 AM-placed / 1 self-serve orders).
- Engagement: 5 product views, 8 app days, 0 offer(s), 52 Fleek chats, 0 video requests; basket Handpick-only.
- Warnings: MATERIAL_BROKER_INCONSISTENCY; NO_FEB_GMV (Feb unconfirmed); LOW_CONFIDENCE.
WHAT TO DO: Review the card and decide: maintain support / move to lower-touch / automated nurture / revisit later.
WHAT NOT TO DO: No customer message. No ROI claim (no AM cost data).
SUCCESS: Decision logged; broker effort reduced where agreed without GMV loss.</t>
  </si>
  <si>
    <t xml:space="preserve">0fab81c98c28</t>
  </si>
  <si>
    <t xml:space="preserve">ACC-075</t>
  </si>
  <si>
    <t xml:space="preserve">WHY NOW: Low-value broker-reliant account that is still buying.
WHAT WE KNOW:
- Tail, Broker-Reliant, Account Managed; £1,422 6m GMV; Reseller, United Kingdom; tenure 14 months.
- Momentum: Stable (Sep-Nov £690 -&gt; Dec-Feb £731); Recently Active (last GMV month: January); 3 orders over 3 month(s).
- Dependency: High (broker reliance 79%; 2 AM-placed / 1 self-serve orders).
- Engagement: 13 product views, 1 app days, 2 offer(s), 8 Fleek chats, 0 video requests; basket Bundle-only.
- Warnings: H2_SINGLE_MONTH_SPIKE; NO_FEB_GMV (Feb unconfirmed).
WHAT TO DO: Review the card and decide: maintain support / move to lower-touch / automated nurture / revisit later.
WHAT NOT TO DO: No customer message. No ROI claim (no AM cost data).
SUCCESS: Decision logged; broker effort reduced where agreed without GMV loss.</t>
  </si>
  <si>
    <t xml:space="preserve">5e51c9a1ed5c</t>
  </si>
  <si>
    <t xml:space="preserve">ACC-077</t>
  </si>
  <si>
    <t xml:space="preserve">WHY NOW: Low-value broker-reliant account that is still buying.
WHAT WE KNOW:
- Tail, Broker-Reliant, Account Managed; £1,401 6m GMV; Reseller, United Kingdom; tenure 14 months.
- Momentum: Declining (Sep-Nov £1,130 -&gt; Dec-Feb £272); Recently Active (last GMV month: February); 5 orders over 3 month(s).
- Dependency: High (broker reliance 81%; 4 AM-placed / 1 self-serve orders).
- Engagement: 10 product views, 4 app days, 1 offer(s), 6 Fleek chats, 0 video requests; basket Mixed.
- Warnings: FEB_SENSITIVE; H2_SINGLE_MONTH_SPIKE.
WHAT TO DO: Review the card and decide: maintain support / move to lower-touch / automated nurture / revisit later.
WHAT NOT TO DO: No customer message. No ROI claim (no AM cost data).
SUCCESS: Decision logged; broker effort reduced where agreed without GMV loss.</t>
  </si>
  <si>
    <t xml:space="preserve">4c8d2cf7f6c3</t>
  </si>
  <si>
    <t xml:space="preserve">ACC-078</t>
  </si>
  <si>
    <t xml:space="preserve">LONG_TAIL_STANDARD</t>
  </si>
  <si>
    <t xml:space="preserve">Verify order-channel data; then release or re-route the automated message.</t>
  </si>
  <si>
    <t xml:space="preserve">MATERIAL_BROKER_INCONSISTENCY (segment would change); H2_SINGLE_MONTH_SPIKE</t>
  </si>
  <si>
    <t xml:space="preserve">WHY NOW: Low-value, low-dependency account.
WHAT WE KNOW:
- Tail, AM-Owned / Self-Serving, Account Managed; £1,366 6m GMV; Reseller, France; tenure 16 months.
- Momentum: Stable (Sep-Nov £662 -&gt; Dec-Feb £704); Recent Inactivity (last GMV month: December); 4 orders over 2 month(s).
- Dependency: Low (broker reliance 16%; 1 AM-placed / 3 self-serve orders).
- Engagement: 24 product views, 10 app days, 0 offer(s), 7 Fleek chats, 0 video requests; basket Handpick-only.
- Warnings: MATERIAL_BROKER_INCONSISTENCY (segment would change); H2_SINGLE_MONTH_SPIKE.
WHAT TO DO: Order counts imply a different broker reliance than the provided figure, which would move this account to 5. Cost-to-Serve / Low-Touch. Verify order-channel data, then release or re-route the automated action.
WHAT NOT TO DO: Do not release the automated message until verified.
SUCCESS: Any (repeat) order within 90 days.</t>
  </si>
  <si>
    <t xml:space="preserve">Light-touch repeat buyer</t>
  </si>
  <si>
    <t xml:space="preserve">6f3017b032a8</t>
  </si>
  <si>
    <t xml:space="preserve">ACC-080</t>
  </si>
  <si>
    <t xml:space="preserve">WHY NOW: Low-value broker-reliant account that is still buying.
WHAT WE KNOW:
- Tail, Broker-Reliant, Account Managed; £1,342 6m GMV; Reseller, United Kingdom; tenure 10 months.
- Momentum: H2 Active / No H1 GMV; Recently Active (last GMV month: February); 7 orders over 2 month(s).
- Dependency: High (broker reliance 58%; 4 AM-placed / 3 self-serve orders).
- Engagement: 13 product views, 3 app days, 1 offer(s), 11 Fleek chats, 1 video requests; basket Mixed.
WHAT TO DO: Review the card and decide: maintain support / move to lower-touch / automated nurture / revisit later.
WHAT NOT TO DO: No customer message. No ROI claim (no AM cost data).
SUCCESS: Decision logged; broker effort reduced where agreed without GMV loss.</t>
  </si>
  <si>
    <t xml:space="preserve">71d07324867c</t>
  </si>
  <si>
    <t xml:space="preserve">ACC-083</t>
  </si>
  <si>
    <t xml:space="preserve">Hi {first_name},
Thanks for being an active Fleek buyer. Just a quick note to keep an eye on the app for bundles that fits your range, and to let you know we're here if there's anything specific you're trying to source. Reply any time and we'll help.
Best,
{sender_name}</t>
  </si>
  <si>
    <t xml:space="preserve">Range Expansion Test — trial handpick</t>
  </si>
  <si>
    <t xml:space="preserve">Treatment</t>
  </si>
  <si>
    <t xml:space="preserve">Hi {first_name},
Would you like to explore another way of sourcing stock? Alongside the bundles you usually buy, Fleek also offers handpicked stock, which you can browse in the app. It's there if you ever want to try it; if you have any questions, just reply to this message.
Best,
{sender_name}</t>
  </si>
  <si>
    <t xml:space="preserve">aa8993285b83</t>
  </si>
  <si>
    <t xml:space="preserve">ACC-085</t>
  </si>
  <si>
    <t xml:space="preserve">f2b94879059a</t>
  </si>
  <si>
    <t xml:space="preserve">ACC-219</t>
  </si>
  <si>
    <t xml:space="preserve">Discovery-to-Offer Enablement</t>
  </si>
  <si>
    <t xml:space="preserve">BROWSING_LOW_OFFERS</t>
  </si>
  <si>
    <t xml:space="preserve">PB05_DISCOVERY_TO_OFFER</t>
  </si>
  <si>
    <t xml:space="preserve">Queue automated message (Discovery-to-Offer Enablement).</t>
  </si>
  <si>
    <t xml:space="preserve">3+ offers within 90 days and ideally an order afterwards (association only - no offer-acceptance data).</t>
  </si>
  <si>
    <t xml:space="preserve">Offers reach 3, or two messages sent, or account becomes inactive/declining.</t>
  </si>
  <si>
    <t xml:space="preserve">None (automated). Re-routes automatically if momentum turns Declining/Lapsed.</t>
  </si>
  <si>
    <t xml:space="preserve">DTO</t>
  </si>
  <si>
    <t xml:space="preserve">Hi {first_name},
If you spot an item you like on Fleek but the price doesn't quite work for you, you can use Make an Offer directly from the product page to propose your own price. It's a simple way to negotiate on stock you're already looking at, and you stay in control of what you pay.
Best,
{sender_name}</t>
  </si>
  <si>
    <t xml:space="preserve">No re-send while the action is already logged for this NBA; eligible again only after the NBA changes.</t>
  </si>
  <si>
    <t xml:space="preserve">9001107dfa80</t>
  </si>
  <si>
    <t xml:space="preserve">ACC-086</t>
  </si>
  <si>
    <t xml:space="preserve">Hi {first_name},
Thanks for your recent orders with Fleek. Whenever you're planning your next buy, the app is the quickest way to browse bundles and handpicked stock and make an offer where a price doesn't quite work. If you're looking for something specific, reply here and we'll help.
Best,
{sender_name}</t>
  </si>
  <si>
    <t xml:space="preserve">51560fabe901</t>
  </si>
  <si>
    <t xml:space="preserve">ACC-104</t>
  </si>
  <si>
    <t xml:space="preserve">NO_FEB_GMV (Feb unconfirmed); LOW_CONFIDENCE</t>
  </si>
  <si>
    <t xml:space="preserve">WHY NOW: Low-value broker-reliant account that is still buying.
WHAT WE KNOW:
- Tail, Broker-Reliant, Account Managed; £718 6m GMV; Reseller, France; tenure 18 months.
- Momentum: Stable (Sep-Nov £383 -&gt; Dec-Feb £335); Recently Active (last GMV month: January); 2 orders over 2 month(s).
- Dependency: Medium (broker reliance 53%; 1 AM-placed / 1 self-serve orders).
- Engagement: 12 product views, 3 app days, 2 offer(s), 25 Fleek chats, 0 video requests; basket Bundle-only.
- Warnings: NO_FEB_GMV (Feb unconfirmed); LOW_CONFIDENCE.
WHAT TO DO: Review the card and decide: maintain support / move to lower-touch / automated nurture / revisit later.
WHAT NOT TO DO: No customer message. No ROI claim (no AM cost data).
SUCCESS: Decision logged; broker effort reduced where agreed without GMV loss.</t>
  </si>
  <si>
    <t xml:space="preserve">8b1c267f7bdf</t>
  </si>
  <si>
    <t xml:space="preserve">ACC-111</t>
  </si>
  <si>
    <t xml:space="preserve">MATERIAL_BROKER_INCONSISTENCY (segment would change); NO_FEB_GMV (Feb unconfirmed)</t>
  </si>
  <si>
    <t xml:space="preserve">WHY NOW: Independent browser making few offers.
WHAT WE KNOW:
- Tail, AM-Owned / Self-Serving, Account Managed; £592 6m GMV; Reseller, Germany; tenure 14 months.
- Momentum: Stable (Sep-Nov £288 -&gt; Dec-Feb £304); Recently Active (last GMV month: January); 4 orders over 4 month(s).
- Dependency: Low (broker reliance 19%; 1 AM-placed / 3 self-serve orders).
- Engagement: 153 product views, 29 app days, 0 offer(s), 34 Fleek chats, 0 video requests; basket Handpick-only.
- Warnings: MATERIAL_BROKER_INCONSISTENCY (segment would change); NO_FEB_GMV (Feb unconfirmed).
WHAT TO DO: Order counts imply a different broker reliance than the provided figure, which would move this account to 5. Cost-to-Serve / Low-Touch. Verify order-channel data, then release or re-route the automated action.
WHAT NOT TO DO: Do not release the automated message until verified.
SUCCESS: 3+ offers within 90 days and ideally an order afterwards (association only - no offer-acceptance data).</t>
  </si>
  <si>
    <t xml:space="preserve">99ad3fc1cdb9</t>
  </si>
  <si>
    <t xml:space="preserve">ACC-256</t>
  </si>
  <si>
    <t xml:space="preserve">a18f3158b1a0</t>
  </si>
  <si>
    <t xml:space="preserve">ACC-160</t>
  </si>
  <si>
    <t xml:space="preserve">597ead36ba57</t>
  </si>
  <si>
    <t xml:space="preserve">ACC-063</t>
  </si>
  <si>
    <t xml:space="preserve">P4</t>
  </si>
  <si>
    <t xml:space="preserve">NUR_DORMANT</t>
  </si>
  <si>
    <t xml:space="preserve">Hi {first_name},
Whenever you're planning your next stock buy, you can browse bundles on the Fleek app at any time. If you're looking for something specific, reply to this message and we'll do our best to help you find it. No pressure, just a friendly reminder that we're here.
Best,
{sender_name}</t>
  </si>
  <si>
    <t xml:space="preserve">Dormant</t>
  </si>
  <si>
    <t xml:space="preserve">ac28d5041fff</t>
  </si>
  <si>
    <t xml:space="preserve">ACC-066</t>
  </si>
  <si>
    <t xml:space="preserve">Hi {first_name},
Whenever you're planning your next stock buy, you can browse bundles and handpicked stock on the Fleek app at any time. If you're looking for something specific, reply to this message and we'll do our best to help you find it. No pressure, just a friendly reminder that we're here.
Best,
{sender_name}</t>
  </si>
  <si>
    <t xml:space="preserve">f751494a0af2</t>
  </si>
  <si>
    <t xml:space="preserve">ACC-069</t>
  </si>
  <si>
    <t xml:space="preserve">NUR_STANDARD</t>
  </si>
  <si>
    <t xml:space="preserve">Hi {first_name},
A quick reminder that you can browse bundles and handpicked stock on the Fleek app whenever you're planning your next buy, at a time that suits you. If there's something specific you're looking for, reply to this message and we'll do our best to help.
Best,
{sender_name}</t>
  </si>
  <si>
    <t xml:space="preserve">Standard long tail</t>
  </si>
  <si>
    <t xml:space="preserve">d5e8a6c32695</t>
  </si>
  <si>
    <t xml:space="preserve">ACC-070</t>
  </si>
  <si>
    <t xml:space="preserve">953b6127c446</t>
  </si>
  <si>
    <t xml:space="preserve">ACC-072</t>
  </si>
  <si>
    <t xml:space="preserve">5ae2b2cde0f1</t>
  </si>
  <si>
    <t xml:space="preserve">ACC-073</t>
  </si>
  <si>
    <t xml:space="preserve">NUR_RETURNED</t>
  </si>
  <si>
    <t xml:space="preserve">Hi {first_name},
Welcome back to Fleek, and thanks for your recent order. You can browse handpicked stock in the app whenever it suits you. If there's anything specific you're sourcing at the moment, reply to this message and we'll help point you in the right direction.
Best,
{sender_name}</t>
  </si>
  <si>
    <t xml:space="preserve">Returned customer</t>
  </si>
  <si>
    <t xml:space="preserve">f47f5f56f997</t>
  </si>
  <si>
    <t xml:space="preserve">ACC-076</t>
  </si>
  <si>
    <t xml:space="preserve">Hi {first_name},
Whenever you're planning your next stock buy, you can browse handpicked stock on the Fleek app at any time. If you're looking for something specific, reply to this message and we'll do our best to help you find it. No pressure, just a friendly reminder that we're here.
Best,
{sender_name}</t>
  </si>
  <si>
    <t xml:space="preserve">ec3b1426520d</t>
  </si>
  <si>
    <t xml:space="preserve">ACC-079</t>
  </si>
  <si>
    <t xml:space="preserve">DORMANT_LOW_VALUE</t>
  </si>
  <si>
    <t xml:space="preserve">e891406e4c4e</t>
  </si>
  <si>
    <t xml:space="preserve">ACC-081</t>
  </si>
  <si>
    <t xml:space="preserve">66f3801b7ad9</t>
  </si>
  <si>
    <t xml:space="preserve">ACC-082</t>
  </si>
  <si>
    <t xml:space="preserve">212eccfd4c0a</t>
  </si>
  <si>
    <t xml:space="preserve">ACC-218</t>
  </si>
  <si>
    <t xml:space="preserve">d69faed4c289</t>
  </si>
  <si>
    <t xml:space="preserve">ACC-084</t>
  </si>
  <si>
    <t xml:space="preserve">f1af6b517a0f</t>
  </si>
  <si>
    <t xml:space="preserve">ACC-220</t>
  </si>
  <si>
    <t xml:space="preserve">NUR_NEW</t>
  </si>
  <si>
    <t xml:space="preserve">Hi {first_name},
Thanks for ordering with Fleek. As you get started, you can browse available stock in the app whenever suits you, and use Make an Offer if a price doesn't quite work. If you're looking for something specific, reply here and we'll help.
Best,
{sender_name}</t>
  </si>
  <si>
    <t xml:space="preserve">New customer onboarding</t>
  </si>
  <si>
    <t xml:space="preserve">8e9758ced7cd</t>
  </si>
  <si>
    <t xml:space="preserve">ACC-087</t>
  </si>
  <si>
    <t xml:space="preserve">2eeccb8ab72f</t>
  </si>
  <si>
    <t xml:space="preserve">ACC-088</t>
  </si>
  <si>
    <t xml:space="preserve">3d46b9f4fdf1</t>
  </si>
  <si>
    <t xml:space="preserve">ACC-089</t>
  </si>
  <si>
    <t xml:space="preserve">83b65679867a</t>
  </si>
  <si>
    <t xml:space="preserve">ACC-090</t>
  </si>
  <si>
    <t xml:space="preserve">830b19085775</t>
  </si>
  <si>
    <t xml:space="preserve">ACC-091</t>
  </si>
  <si>
    <t xml:space="preserve">140a44aa2700</t>
  </si>
  <si>
    <t xml:space="preserve">ACC-092</t>
  </si>
  <si>
    <t xml:space="preserve">7126aeffae9c</t>
  </si>
  <si>
    <t xml:space="preserve">ACC-221</t>
  </si>
  <si>
    <t xml:space="preserve">0bec578febde</t>
  </si>
  <si>
    <t xml:space="preserve">ACC-093</t>
  </si>
  <si>
    <t xml:space="preserve">Hi {first_name},
A quick reminder that you can browse bundles on the Fleek app whenever you're planning your next buy, at a time that suits you. If there's something specific you're looking for, reply to this message and we'll do our best to help.
Best,
{sender_name}</t>
  </si>
  <si>
    <t xml:space="preserve">084576f9c5fd</t>
  </si>
  <si>
    <t xml:space="preserve">ACC-094</t>
  </si>
  <si>
    <t xml:space="preserve">2273d6e9399f</t>
  </si>
  <si>
    <t xml:space="preserve">ACC-095</t>
  </si>
  <si>
    <t xml:space="preserve">703b0a097633</t>
  </si>
  <si>
    <t xml:space="preserve">ACC-222</t>
  </si>
  <si>
    <t xml:space="preserve">FEB_SENSITIVE; LOW_CONFIDENCE</t>
  </si>
  <si>
    <t xml:space="preserve">7999b569caa7</t>
  </si>
  <si>
    <t xml:space="preserve">ACC-096</t>
  </si>
  <si>
    <t xml:space="preserve">6d8dcd1f0f79</t>
  </si>
  <si>
    <t xml:space="preserve">ACC-097</t>
  </si>
  <si>
    <t xml:space="preserve">02cd252e0cbc</t>
  </si>
  <si>
    <t xml:space="preserve">ACC-098</t>
  </si>
  <si>
    <t xml:space="preserve">fabe0d80dfb9</t>
  </si>
  <si>
    <t xml:space="preserve">ACC-099</t>
  </si>
  <si>
    <t xml:space="preserve">2cb7ed3cc060</t>
  </si>
  <si>
    <t xml:space="preserve">ACC-100</t>
  </si>
  <si>
    <t xml:space="preserve">fb1e7d3fb6e3</t>
  </si>
  <si>
    <t xml:space="preserve">ACC-101</t>
  </si>
  <si>
    <t xml:space="preserve">Hi {first_name},
Welcome back to Fleek, and thanks for your recent order. You can browse bundles in the app whenever it suits you. If there's anything specific you're sourcing at the moment, reply to this message and we'll help point you in the right direction.
Best,
{sender_name}</t>
  </si>
  <si>
    <t xml:space="preserve">db53945d941b</t>
  </si>
  <si>
    <t xml:space="preserve">ACC-102</t>
  </si>
  <si>
    <t xml:space="preserve">d0dbce3413e6</t>
  </si>
  <si>
    <t xml:space="preserve">ACC-103</t>
  </si>
  <si>
    <t xml:space="preserve">538b08a9a379</t>
  </si>
  <si>
    <t xml:space="preserve">ACC-105</t>
  </si>
  <si>
    <t xml:space="preserve">e71b26c93fb8</t>
  </si>
  <si>
    <t xml:space="preserve">ACC-106</t>
  </si>
  <si>
    <t xml:space="preserve">d3ee7ca0c4ff</t>
  </si>
  <si>
    <t xml:space="preserve">ACC-107</t>
  </si>
  <si>
    <t xml:space="preserve">992c78051d9e</t>
  </si>
  <si>
    <t xml:space="preserve">ACC-108</t>
  </si>
  <si>
    <t xml:space="preserve">NUR_REPEAT</t>
  </si>
  <si>
    <t xml:space="preserve">Hi {first_name},
Thanks for your recent orders with Fleek. A quick reminder that you can browse bundles and handpicked stock in the app whenever you're ready for your next buy. If there's something particular you're after, just reply to this message and we'll be happy to help.
Best,
{sender_name}</t>
  </si>
  <si>
    <t xml:space="preserve">8019ed528f62</t>
  </si>
  <si>
    <t xml:space="preserve">ACC-109</t>
  </si>
  <si>
    <t xml:space="preserve">NUR_ENGAGED</t>
  </si>
  <si>
    <t xml:space="preserve">Hi {first_name},
If you've found items on Fleek that you like, you can check out directly from the product page, or use Make an Offer if the price doesn't quite work for you. If something is holding you back from ordering, reply here and let us know, as we'd be glad to help.
Best,
{sender_name}</t>
  </si>
  <si>
    <t xml:space="preserve">Engaged, not converting</t>
  </si>
  <si>
    <t xml:space="preserve">b0b92af43152</t>
  </si>
  <si>
    <t xml:space="preserve">ACC-110</t>
  </si>
  <si>
    <t xml:space="preserve">a64bfa52730f</t>
  </si>
  <si>
    <t xml:space="preserve">ACC-112</t>
  </si>
  <si>
    <t xml:space="preserve">7df27874c3b8</t>
  </si>
  <si>
    <t xml:space="preserve">ACC-113</t>
  </si>
  <si>
    <t xml:space="preserve">3e57044e1daf</t>
  </si>
  <si>
    <t xml:space="preserve">ACC-114</t>
  </si>
  <si>
    <t xml:space="preserve">7fc0ae8a7c30</t>
  </si>
  <si>
    <t xml:space="preserve">ACC-115</t>
  </si>
  <si>
    <t xml:space="preserve">f4a439b839e7</t>
  </si>
  <si>
    <t xml:space="preserve">ACC-223</t>
  </si>
  <si>
    <t xml:space="preserve">672587e39985</t>
  </si>
  <si>
    <t xml:space="preserve">ACC-116</t>
  </si>
  <si>
    <t xml:space="preserve">f34435f6e226</t>
  </si>
  <si>
    <t xml:space="preserve">ACC-117</t>
  </si>
  <si>
    <t xml:space="preserve">8ae172b2ba78</t>
  </si>
  <si>
    <t xml:space="preserve">ACC-224</t>
  </si>
  <si>
    <t xml:space="preserve">0f37ffd37385</t>
  </si>
  <si>
    <t xml:space="preserve">ACC-225</t>
  </si>
  <si>
    <t xml:space="preserve">e0dbb37266d4</t>
  </si>
  <si>
    <t xml:space="preserve">ACC-118</t>
  </si>
  <si>
    <t xml:space="preserve">Hi {first_name},
Thanks for your recent orders with Fleek. A quick reminder that you can browse bundles in the app whenever you're ready for your next buy. If there's something particular you're after, just reply to this message and we'll be happy to help.
Best,
{sender_name}</t>
  </si>
  <si>
    <t xml:space="preserve">e765cba3ba50</t>
  </si>
  <si>
    <t xml:space="preserve">ACC-119</t>
  </si>
  <si>
    <t xml:space="preserve">87e5a2126111</t>
  </si>
  <si>
    <t xml:space="preserve">ACC-226</t>
  </si>
  <si>
    <t xml:space="preserve">b2110c31973b</t>
  </si>
  <si>
    <t xml:space="preserve">ACC-120</t>
  </si>
  <si>
    <t xml:space="preserve">90acb7571c37</t>
  </si>
  <si>
    <t xml:space="preserve">ACC-121</t>
  </si>
  <si>
    <t xml:space="preserve">f557f84a1951</t>
  </si>
  <si>
    <t xml:space="preserve">ACC-227</t>
  </si>
  <si>
    <t xml:space="preserve">1a28b6518089</t>
  </si>
  <si>
    <t xml:space="preserve">ACC-122</t>
  </si>
  <si>
    <t xml:space="preserve">203623c791d0</t>
  </si>
  <si>
    <t xml:space="preserve">ACC-228</t>
  </si>
  <si>
    <t xml:space="preserve">b4ec099e11b3</t>
  </si>
  <si>
    <t xml:space="preserve">ACC-123</t>
  </si>
  <si>
    <t xml:space="preserve">dbae9c2bcb99</t>
  </si>
  <si>
    <t xml:space="preserve">ACC-124</t>
  </si>
  <si>
    <t xml:space="preserve">4be814066136</t>
  </si>
  <si>
    <t xml:space="preserve">ACC-125</t>
  </si>
  <si>
    <t xml:space="preserve">cf9394c535a7</t>
  </si>
  <si>
    <t xml:space="preserve">ACC-126</t>
  </si>
  <si>
    <t xml:space="preserve">8823a19ce816</t>
  </si>
  <si>
    <t xml:space="preserve">ACC-229</t>
  </si>
  <si>
    <t xml:space="preserve">419097fdf4a6</t>
  </si>
  <si>
    <t xml:space="preserve">ACC-230</t>
  </si>
  <si>
    <t xml:space="preserve">BORDERLINE_MOMENTUM; H2_SINGLE_MONTH_SPIKE; NO_FEB_GMV (Feb unconfirmed)</t>
  </si>
  <si>
    <t xml:space="preserve">073e91fed835</t>
  </si>
  <si>
    <t xml:space="preserve">ACC-231</t>
  </si>
  <si>
    <t xml:space="preserve">414d0d5121bb</t>
  </si>
  <si>
    <t xml:space="preserve">ACC-232</t>
  </si>
  <si>
    <t xml:space="preserve">b5cfa22bc5c2</t>
  </si>
  <si>
    <t xml:space="preserve">ACC-233</t>
  </si>
  <si>
    <t xml:space="preserve">ce026434ec4e</t>
  </si>
  <si>
    <t xml:space="preserve">ACC-234</t>
  </si>
  <si>
    <t xml:space="preserve">413a9e9197ee</t>
  </si>
  <si>
    <t xml:space="preserve">ACC-127</t>
  </si>
  <si>
    <t xml:space="preserve">e5b3874332b0</t>
  </si>
  <si>
    <t xml:space="preserve">ACC-128</t>
  </si>
  <si>
    <t xml:space="preserve">8c487f2810c7</t>
  </si>
  <si>
    <t xml:space="preserve">ACC-235</t>
  </si>
  <si>
    <t xml:space="preserve">78ad33491e60</t>
  </si>
  <si>
    <t xml:space="preserve">ACC-129</t>
  </si>
  <si>
    <t xml:space="preserve">99bf6290f84c</t>
  </si>
  <si>
    <t xml:space="preserve">ACC-130</t>
  </si>
  <si>
    <t xml:space="preserve">910268da6275</t>
  </si>
  <si>
    <t xml:space="preserve">ACC-236</t>
  </si>
  <si>
    <t xml:space="preserve">0e32789858d7</t>
  </si>
  <si>
    <t xml:space="preserve">ACC-237</t>
  </si>
  <si>
    <t xml:space="preserve">43ef44026794</t>
  </si>
  <si>
    <t xml:space="preserve">ACC-131</t>
  </si>
  <si>
    <t xml:space="preserve">b6ce092011bb</t>
  </si>
  <si>
    <t xml:space="preserve">ACC-132</t>
  </si>
  <si>
    <t xml:space="preserve">77b3482a05a9</t>
  </si>
  <si>
    <t xml:space="preserve">ACC-133</t>
  </si>
  <si>
    <t xml:space="preserve">084a224ed92a</t>
  </si>
  <si>
    <t xml:space="preserve">ACC-134</t>
  </si>
  <si>
    <t xml:space="preserve">5e0879409efc</t>
  </si>
  <si>
    <t xml:space="preserve">ACC-135</t>
  </si>
  <si>
    <t xml:space="preserve">340151ba9252</t>
  </si>
  <si>
    <t xml:space="preserve">ACC-238</t>
  </si>
  <si>
    <t xml:space="preserve">a5698e9d2cda</t>
  </si>
  <si>
    <t xml:space="preserve">ACC-136</t>
  </si>
  <si>
    <t xml:space="preserve">87787273a2ed</t>
  </si>
  <si>
    <t xml:space="preserve">ACC-239</t>
  </si>
  <si>
    <t xml:space="preserve">0cec226abbae</t>
  </si>
  <si>
    <t xml:space="preserve">ACC-137</t>
  </si>
  <si>
    <t xml:space="preserve">d2b82a82d987</t>
  </si>
  <si>
    <t xml:space="preserve">ACC-240</t>
  </si>
  <si>
    <t xml:space="preserve">33f61a831ce8</t>
  </si>
  <si>
    <t xml:space="preserve">ACC-241</t>
  </si>
  <si>
    <t xml:space="preserve">8c4dc46cd074</t>
  </si>
  <si>
    <t xml:space="preserve">ACC-242</t>
  </si>
  <si>
    <t xml:space="preserve">7e57d7281d15</t>
  </si>
  <si>
    <t xml:space="preserve">ACC-138</t>
  </si>
  <si>
    <t xml:space="preserve">6f1215804a77</t>
  </si>
  <si>
    <t xml:space="preserve">ACC-139</t>
  </si>
  <si>
    <t xml:space="preserve">f6376901a81a</t>
  </si>
  <si>
    <t xml:space="preserve">ACC-243</t>
  </si>
  <si>
    <t xml:space="preserve">46698e4c9086</t>
  </si>
  <si>
    <t xml:space="preserve">ACC-140</t>
  </si>
  <si>
    <t xml:space="preserve">c549f5a75fb0</t>
  </si>
  <si>
    <t xml:space="preserve">ACC-244</t>
  </si>
  <si>
    <t xml:space="preserve">43c32c95f95b</t>
  </si>
  <si>
    <t xml:space="preserve">ACC-141</t>
  </si>
  <si>
    <t xml:space="preserve">5985adec5f86</t>
  </si>
  <si>
    <t xml:space="preserve">ACC-142</t>
  </si>
  <si>
    <t xml:space="preserve">b79587714460</t>
  </si>
  <si>
    <t xml:space="preserve">ACC-245</t>
  </si>
  <si>
    <t xml:space="preserve">121061ba0610</t>
  </si>
  <si>
    <t xml:space="preserve">ACC-143</t>
  </si>
  <si>
    <t xml:space="preserve">718f67ad5bea</t>
  </si>
  <si>
    <t xml:space="preserve">ACC-246</t>
  </si>
  <si>
    <t xml:space="preserve">50d3f2ca43ec</t>
  </si>
  <si>
    <t xml:space="preserve">ACC-144</t>
  </si>
  <si>
    <t xml:space="preserve">a406cb8907ce</t>
  </si>
  <si>
    <t xml:space="preserve">ACC-145</t>
  </si>
  <si>
    <t xml:space="preserve">b5775c88903a</t>
  </si>
  <si>
    <t xml:space="preserve">ACC-247</t>
  </si>
  <si>
    <t xml:space="preserve">c432a6ed9894</t>
  </si>
  <si>
    <t xml:space="preserve">ACC-248</t>
  </si>
  <si>
    <t xml:space="preserve">3eed98a78375</t>
  </si>
  <si>
    <t xml:space="preserve">ACC-146</t>
  </si>
  <si>
    <t xml:space="preserve">71c6f516f13c</t>
  </si>
  <si>
    <t xml:space="preserve">ACC-249</t>
  </si>
  <si>
    <t xml:space="preserve">c8d4829c2cd8</t>
  </si>
  <si>
    <t xml:space="preserve">ACC-147</t>
  </si>
  <si>
    <t xml:space="preserve">6f72baa891cd</t>
  </si>
  <si>
    <t xml:space="preserve">ACC-250</t>
  </si>
  <si>
    <t xml:space="preserve">a405b65d81e0</t>
  </si>
  <si>
    <t xml:space="preserve">ACC-148</t>
  </si>
  <si>
    <t xml:space="preserve">ce263c8e5d09</t>
  </si>
  <si>
    <t xml:space="preserve">ACC-149</t>
  </si>
  <si>
    <t xml:space="preserve">fee9be9e2d9d</t>
  </si>
  <si>
    <t xml:space="preserve">ACC-150</t>
  </si>
  <si>
    <t xml:space="preserve">461b8dcad11b</t>
  </si>
  <si>
    <t xml:space="preserve">ACC-151</t>
  </si>
  <si>
    <t xml:space="preserve">c4a9c012f207</t>
  </si>
  <si>
    <t xml:space="preserve">ACC-251</t>
  </si>
  <si>
    <t xml:space="preserve">0af2daa28eec</t>
  </si>
  <si>
    <t xml:space="preserve">ACC-252</t>
  </si>
  <si>
    <t xml:space="preserve">e03f850245c4</t>
  </si>
  <si>
    <t xml:space="preserve">ACC-253</t>
  </si>
  <si>
    <t xml:space="preserve">e0780da40176</t>
  </si>
  <si>
    <t xml:space="preserve">ACC-152</t>
  </si>
  <si>
    <t xml:space="preserve">68bcd0953328</t>
  </si>
  <si>
    <t xml:space="preserve">ACC-153</t>
  </si>
  <si>
    <t xml:space="preserve">5cb129ab6340</t>
  </si>
  <si>
    <t xml:space="preserve">ACC-254</t>
  </si>
  <si>
    <t xml:space="preserve">f5e0b31443c4</t>
  </si>
  <si>
    <t xml:space="preserve">ACC-154</t>
  </si>
  <si>
    <t xml:space="preserve">5428cabb9d9f</t>
  </si>
  <si>
    <t xml:space="preserve">ACC-255</t>
  </si>
  <si>
    <t xml:space="preserve">5753b3213ae2</t>
  </si>
  <si>
    <t xml:space="preserve">ACC-155</t>
  </si>
  <si>
    <t xml:space="preserve">c0908b843125</t>
  </si>
  <si>
    <t xml:space="preserve">ACC-257</t>
  </si>
  <si>
    <t xml:space="preserve">7503815ad16b</t>
  </si>
  <si>
    <t xml:space="preserve">ACC-156</t>
  </si>
  <si>
    <t xml:space="preserve">3bb5df054133</t>
  </si>
  <si>
    <t xml:space="preserve">ACC-157</t>
  </si>
  <si>
    <t xml:space="preserve">6b87ee703075</t>
  </si>
  <si>
    <t xml:space="preserve">ACC-158</t>
  </si>
  <si>
    <t xml:space="preserve">1dbda6f70061</t>
  </si>
  <si>
    <t xml:space="preserve">ACC-159</t>
  </si>
  <si>
    <t xml:space="preserve">7cbc6f3fbf1c</t>
  </si>
  <si>
    <t xml:space="preserve">ACC-161</t>
  </si>
  <si>
    <t xml:space="preserve">8797b83ec891</t>
  </si>
  <si>
    <t xml:space="preserve">ACC-258</t>
  </si>
  <si>
    <t xml:space="preserve">fedf5d9d5851</t>
  </si>
  <si>
    <t xml:space="preserve">ACC-162</t>
  </si>
  <si>
    <t xml:space="preserve">e5aa3015ef20</t>
  </si>
  <si>
    <t xml:space="preserve">ACC-259</t>
  </si>
  <si>
    <t xml:space="preserve">8e6abd168068</t>
  </si>
  <si>
    <t xml:space="preserve">ACC-163</t>
  </si>
  <si>
    <t xml:space="preserve">dec2da24e53e</t>
  </si>
  <si>
    <t xml:space="preserve">ACC-164</t>
  </si>
  <si>
    <t xml:space="preserve">46fd7d116945</t>
  </si>
  <si>
    <t xml:space="preserve">ACC-165</t>
  </si>
  <si>
    <t xml:space="preserve">a9176dd82c9e</t>
  </si>
  <si>
    <t xml:space="preserve">ACC-166</t>
  </si>
  <si>
    <t xml:space="preserve">bff2ff30b402</t>
  </si>
  <si>
    <t xml:space="preserve">ACC-260</t>
  </si>
  <si>
    <t xml:space="preserve">c6285f384356</t>
  </si>
  <si>
    <t xml:space="preserve">ACC-261</t>
  </si>
  <si>
    <t xml:space="preserve">1d8c8054350c</t>
  </si>
  <si>
    <t xml:space="preserve">ACC-262</t>
  </si>
  <si>
    <t xml:space="preserve">0c0eb5c98b7c</t>
  </si>
  <si>
    <t xml:space="preserve">ACC-263</t>
  </si>
  <si>
    <t xml:space="preserve">3d2fe57828d3</t>
  </si>
  <si>
    <t xml:space="preserve">ACC-167</t>
  </si>
  <si>
    <t xml:space="preserve">81735233d7db</t>
  </si>
  <si>
    <t xml:space="preserve">ACC-264</t>
  </si>
  <si>
    <t xml:space="preserve">2f6ee405dab0</t>
  </si>
  <si>
    <t xml:space="preserve">ACC-168</t>
  </si>
  <si>
    <t xml:space="preserve">87e11c2eef11</t>
  </si>
  <si>
    <t xml:space="preserve">ACC-169</t>
  </si>
  <si>
    <t xml:space="preserve">5a2085c35ca6</t>
  </si>
  <si>
    <t xml:space="preserve">ACC-170</t>
  </si>
  <si>
    <t xml:space="preserve">e2d527d359b1</t>
  </si>
  <si>
    <t xml:space="preserve">ACC-265</t>
  </si>
  <si>
    <t xml:space="preserve">4daa0f149895</t>
  </si>
  <si>
    <t xml:space="preserve">ACC-171</t>
  </si>
  <si>
    <t xml:space="preserve">0f7ed91d60c6</t>
  </si>
  <si>
    <t xml:space="preserve">ACC-266</t>
  </si>
  <si>
    <t xml:space="preserve">6ff88212f5a0</t>
  </si>
  <si>
    <t xml:space="preserve">ACC-172</t>
  </si>
  <si>
    <t xml:space="preserve">d5d9e8818345</t>
  </si>
  <si>
    <t xml:space="preserve">ACC-267</t>
  </si>
  <si>
    <t xml:space="preserve">d08d70ae4476</t>
  </si>
  <si>
    <t xml:space="preserve">ACC-173</t>
  </si>
  <si>
    <t xml:space="preserve">96bbc1826f82</t>
  </si>
  <si>
    <t xml:space="preserve">ACC-268</t>
  </si>
  <si>
    <t xml:space="preserve">8c88facd38b2</t>
  </si>
  <si>
    <t xml:space="preserve">ACC-269</t>
  </si>
  <si>
    <t xml:space="preserve">97539148fc1c</t>
  </si>
  <si>
    <t xml:space="preserve">ACC-270</t>
  </si>
  <si>
    <t xml:space="preserve">0a43e8b9b526</t>
  </si>
  <si>
    <t xml:space="preserve">ACC-174</t>
  </si>
  <si>
    <t xml:space="preserve">90728367d471</t>
  </si>
  <si>
    <t xml:space="preserve">ACC-271</t>
  </si>
  <si>
    <t xml:space="preserve">8c6cc87d80c7</t>
  </si>
  <si>
    <t xml:space="preserve">ACC-175</t>
  </si>
  <si>
    <t xml:space="preserve">3fc5483f22a9</t>
  </si>
  <si>
    <t xml:space="preserve">ACC-272</t>
  </si>
  <si>
    <t xml:space="preserve">72b6c23e8f65</t>
  </si>
  <si>
    <t xml:space="preserve">ACC-176</t>
  </si>
  <si>
    <t xml:space="preserve">94af0171e89c</t>
  </si>
  <si>
    <t xml:space="preserve">ACC-177</t>
  </si>
  <si>
    <t xml:space="preserve">2ef52d7e350a</t>
  </si>
  <si>
    <t xml:space="preserve">ACC-178</t>
  </si>
  <si>
    <t xml:space="preserve">9fd00c22f7a3</t>
  </si>
  <si>
    <t xml:space="preserve">ACC-273</t>
  </si>
  <si>
    <t xml:space="preserve">b83e15e68e61</t>
  </si>
  <si>
    <t xml:space="preserve">ACC-179</t>
  </si>
  <si>
    <t xml:space="preserve">bb3e7953d27e</t>
  </si>
  <si>
    <t xml:space="preserve">ACC-180</t>
  </si>
  <si>
    <t xml:space="preserve">66ff983f3cb7</t>
  </si>
  <si>
    <t xml:space="preserve">ACC-181</t>
  </si>
  <si>
    <t xml:space="preserve">88e6a18c861d</t>
  </si>
  <si>
    <t xml:space="preserve">ACC-274</t>
  </si>
  <si>
    <t xml:space="preserve">de7f3136de62</t>
  </si>
  <si>
    <t xml:space="preserve">ACC-182</t>
  </si>
  <si>
    <t xml:space="preserve">d83eba19c798</t>
  </si>
  <si>
    <t xml:space="preserve">ACC-183</t>
  </si>
  <si>
    <t xml:space="preserve">4a1bec8bb6d8</t>
  </si>
  <si>
    <t xml:space="preserve">ACC-275</t>
  </si>
  <si>
    <t xml:space="preserve">2975b85d4de0</t>
  </si>
  <si>
    <t xml:space="preserve">ACC-276</t>
  </si>
  <si>
    <t xml:space="preserve">bad0550cc134</t>
  </si>
  <si>
    <t xml:space="preserve">ACC-277</t>
  </si>
  <si>
    <t xml:space="preserve">f0be33fe782d</t>
  </si>
  <si>
    <t xml:space="preserve">ACC-278</t>
  </si>
  <si>
    <t xml:space="preserve">20b43632104f</t>
  </si>
  <si>
    <t xml:space="preserve">ACC-184</t>
  </si>
  <si>
    <t xml:space="preserve">87993aa90416</t>
  </si>
  <si>
    <t xml:space="preserve">ACC-279</t>
  </si>
  <si>
    <t xml:space="preserve">dbc1e7c4b206</t>
  </si>
  <si>
    <t xml:space="preserve">ACC-185</t>
  </si>
  <si>
    <t xml:space="preserve">b871545630e4</t>
  </si>
  <si>
    <t xml:space="preserve">ACC-280</t>
  </si>
  <si>
    <t xml:space="preserve">f0434e268b14</t>
  </si>
  <si>
    <t xml:space="preserve">ACC-186</t>
  </si>
  <si>
    <t xml:space="preserve">5d7448a9ea86</t>
  </si>
  <si>
    <t xml:space="preserve">ACC-281</t>
  </si>
  <si>
    <t xml:space="preserve">6b4ed2d1c17a</t>
  </si>
  <si>
    <t xml:space="preserve">ACC-282</t>
  </si>
  <si>
    <t xml:space="preserve">4dc075fceb04</t>
  </si>
  <si>
    <t xml:space="preserve">ACC-187</t>
  </si>
  <si>
    <t xml:space="preserve">88432a41333b</t>
  </si>
  <si>
    <t xml:space="preserve">ACC-188</t>
  </si>
  <si>
    <t xml:space="preserve">2acc851a5c42</t>
  </si>
  <si>
    <t xml:space="preserve">ACC-189</t>
  </si>
  <si>
    <t xml:space="preserve">cf65c3d8ed81</t>
  </si>
  <si>
    <t xml:space="preserve">ACC-190</t>
  </si>
  <si>
    <t xml:space="preserve">2df02515b01d</t>
  </si>
  <si>
    <t xml:space="preserve">ACC-283</t>
  </si>
  <si>
    <t xml:space="preserve">3cf26b6622ae</t>
  </si>
  <si>
    <t xml:space="preserve">ACC-191</t>
  </si>
  <si>
    <t xml:space="preserve">5fff9de1ac4f</t>
  </si>
  <si>
    <t xml:space="preserve">ACC-192</t>
  </si>
  <si>
    <t xml:space="preserve">37904806c11d</t>
  </si>
  <si>
    <t xml:space="preserve">ACC-193</t>
  </si>
  <si>
    <t xml:space="preserve">0a4fe2c852ec</t>
  </si>
  <si>
    <t xml:space="preserve">ACC-194</t>
  </si>
  <si>
    <t xml:space="preserve">0a76c7964377</t>
  </si>
  <si>
    <t xml:space="preserve">ACC-284</t>
  </si>
  <si>
    <t xml:space="preserve">53c54b0e772a</t>
  </si>
  <si>
    <t xml:space="preserve">ACC-195</t>
  </si>
  <si>
    <t xml:space="preserve">20cf560eb32c</t>
  </si>
  <si>
    <t xml:space="preserve">ACC-196</t>
  </si>
  <si>
    <t xml:space="preserve">92c8d1f0ba46</t>
  </si>
  <si>
    <t xml:space="preserve">ACC-285</t>
  </si>
  <si>
    <t xml:space="preserve">a73d380e0674</t>
  </si>
  <si>
    <t xml:space="preserve">ACC-197</t>
  </si>
  <si>
    <t xml:space="preserve">4eefcefe0920</t>
  </si>
  <si>
    <t xml:space="preserve">ACC-198</t>
  </si>
  <si>
    <t xml:space="preserve">5207cde5aa9d</t>
  </si>
  <si>
    <t xml:space="preserve">ACC-199</t>
  </si>
  <si>
    <t xml:space="preserve">6f2daa2b8a4b</t>
  </si>
  <si>
    <t xml:space="preserve">ACC-286</t>
  </si>
  <si>
    <t xml:space="preserve">9c7445698aea</t>
  </si>
  <si>
    <t xml:space="preserve">ACC-200</t>
  </si>
  <si>
    <t xml:space="preserve">c10dabd89268</t>
  </si>
  <si>
    <t xml:space="preserve">ACC-287</t>
  </si>
  <si>
    <t xml:space="preserve">b76893060cb5</t>
  </si>
  <si>
    <t xml:space="preserve">ACC-201</t>
  </si>
  <si>
    <t xml:space="preserve">a3af48d3caf4</t>
  </si>
  <si>
    <t xml:space="preserve">ACC-288</t>
  </si>
  <si>
    <t xml:space="preserve">27ce6185e812</t>
  </si>
  <si>
    <t xml:space="preserve">ACC-289</t>
  </si>
  <si>
    <t xml:space="preserve">27bf7e51bb66</t>
  </si>
  <si>
    <t xml:space="preserve">ACC-290</t>
  </si>
  <si>
    <t xml:space="preserve">e660fd25a3e6</t>
  </si>
  <si>
    <t xml:space="preserve">ACC-202</t>
  </si>
  <si>
    <t xml:space="preserve">1a6eef01c49b</t>
  </si>
  <si>
    <t xml:space="preserve">ACC-203</t>
  </si>
  <si>
    <t xml:space="preserve">ae7aee7523a2</t>
  </si>
  <si>
    <t xml:space="preserve">ACC-204</t>
  </si>
  <si>
    <t xml:space="preserve">104a524f77c8</t>
  </si>
  <si>
    <t xml:space="preserve">ACC-205</t>
  </si>
  <si>
    <t xml:space="preserve">746e5665bfc5</t>
  </si>
  <si>
    <t xml:space="preserve">ACC-291</t>
  </si>
  <si>
    <t xml:space="preserve">e5d70530d239</t>
  </si>
  <si>
    <t xml:space="preserve">ACC-292</t>
  </si>
  <si>
    <t xml:space="preserve">54c4d054a411</t>
  </si>
  <si>
    <t xml:space="preserve">ACC-293</t>
  </si>
  <si>
    <t xml:space="preserve">97dd1559bb91</t>
  </si>
  <si>
    <t xml:space="preserve">ACC-206</t>
  </si>
  <si>
    <t xml:space="preserve">5cf7047cb211</t>
  </si>
  <si>
    <t xml:space="preserve">ACC-294</t>
  </si>
  <si>
    <t xml:space="preserve">9a44e9ce58e2</t>
  </si>
  <si>
    <t xml:space="preserve">ACC-207</t>
  </si>
  <si>
    <t xml:space="preserve">b473bb382241</t>
  </si>
  <si>
    <t xml:space="preserve">ACC-295</t>
  </si>
  <si>
    <t xml:space="preserve">89e21a5eefbe</t>
  </si>
  <si>
    <t xml:space="preserve">ACC-296</t>
  </si>
  <si>
    <t xml:space="preserve">68e45acd40e2</t>
  </si>
  <si>
    <t xml:space="preserve">ACC-297</t>
  </si>
  <si>
    <t xml:space="preserve">74bfd559930a</t>
  </si>
  <si>
    <t xml:space="preserve">ACC-298</t>
  </si>
  <si>
    <t xml:space="preserve">ed0bbfe11383</t>
  </si>
  <si>
    <t xml:space="preserve">ACC-299</t>
  </si>
  <si>
    <t xml:space="preserve">df7ada32eab2</t>
  </si>
  <si>
    <t xml:space="preserve">ACC-208</t>
  </si>
  <si>
    <t xml:space="preserve">f4d8df5c311f</t>
  </si>
  <si>
    <t xml:space="preserve">ACC-209</t>
  </si>
  <si>
    <t xml:space="preserve">0cd3ab719f0f</t>
  </si>
  <si>
    <t xml:space="preserve">ACC-300</t>
  </si>
  <si>
    <t xml:space="preserve">c657541d685a</t>
  </si>
  <si>
    <t xml:space="preserve">ACC-210</t>
  </si>
  <si>
    <t xml:space="preserve">24eec152cce3</t>
  </si>
  <si>
    <t xml:space="preserve">Playbook library - how each primary NBA is executed</t>
  </si>
  <si>
    <t xml:space="preserve">objective</t>
  </si>
  <si>
    <t xml:space="preserve">delivery_mode</t>
  </si>
  <si>
    <t xml:space="preserve">cadence</t>
  </si>
  <si>
    <t xml:space="preserve">conversation_themes</t>
  </si>
  <si>
    <t xml:space="preserve">next_rerun</t>
  </si>
  <si>
    <t xml:space="preserve">notes</t>
  </si>
  <si>
    <t xml:space="preserve">Understand why commercially important spend is falling and stabilise it. Do not push product usage by default.</t>
  </si>
  <si>
    <t xml:space="preserve">Account Manager (broker-led) / Customer Success / Growth (self-serve)</t>
  </si>
  <si>
    <t xml:space="preserve">Human</t>
  </si>
  <si>
    <t xml:space="preserve">Personal email to arrange a call, then call</t>
  </si>
  <si>
    <t xml:space="preserve">Read the internal brief, then send the outreach draft to book a 20-minute conversation.</t>
  </si>
  <si>
    <t xml:space="preserve">Outreach day 0; one follow-up day 7; conversation; recovery plan review day 30; GMV check day 90.</t>
  </si>
  <si>
    <t xml:space="preserve">Stock availability; price competitiveness; assortment / fit; purchase cadence; competitor or offline wholesaler use; operational friction (delivery, quality, payment); share of wallet with Fleek.</t>
  </si>
  <si>
    <t xml:space="preserve">Never recommend more chat/video/browsing/offers as the fix. Self-Serve accounts have no AM: assign a named CS/Growth owner.</t>
  </si>
  <si>
    <t xml:space="preserve">Separate real churn from infrequent buying; recover established buyers.</t>
  </si>
  <si>
    <t xml:space="preserve">Account Manager / Customer Success / Growth</t>
  </si>
  <si>
    <t xml:space="preserve">Personal email, then call if they reply</t>
  </si>
  <si>
    <t xml:space="preserve">Established buyer: win-back conversation. One-off / thin history or recent inactivity: cadence check-in first. Do not assume churn.</t>
  </si>
  <si>
    <t xml:space="preserve">Check-in day 0; one follow-up day 14; record cadence or outcome.</t>
  </si>
  <si>
    <t xml:space="preserve">Usual buying frequency (seasonal, project-based, ongoing); upcoming needs; anything that stopped them buying.</t>
  </si>
  <si>
    <t xml:space="preserve">Never say 'you churned' or 'you've stopped buying'. Growth nudges stay blocked until the check is complete.</t>
  </si>
  <si>
    <t xml:space="preserve">Teach the customer to discover and buy stock independently while keeping AM support available.</t>
  </si>
  <si>
    <t xml:space="preserve">Account Manager (Portfolio Lead sign-off for Key)</t>
  </si>
  <si>
    <t xml:space="preserve">Hybrid</t>
  </si>
  <si>
    <t xml:space="preserve">Phase 1 Ready: Day 0 walkthrough call. Manual Review: resolve the guardrail first. Key: obtain sign-off first. Pre-entry: encourage a second self-serve checkout.</t>
  </si>
  <si>
    <t xml:space="preserve">Day 0 intro/walkthrough; Day 15-30 light check-in (PDP views, app use, offers, any self-serve order); Day 45 formal review (M1-M4 + GMV guardrail); Day 90 outcome review.</t>
  </si>
  <si>
    <t xml:space="preserve">Finding relevant stock independently; browsing regularly; shortlisting where supported; Make an Offer where appropriate; self-serve checkout. AM support stays in place.</t>
  </si>
  <si>
    <t xml:space="preserve">Frame around faster access, browsing anytime, direct control and flexibility. Never mention Fleek cost reduction or 'migration'.</t>
  </si>
  <si>
    <t xml:space="preserve">Create (new) or rebuild (returned) a repeatable buying pattern.</t>
  </si>
  <si>
    <t xml:space="preserve">Automation (new) / Account Manager or CS (returned Key/Core)</t>
  </si>
  <si>
    <t xml:space="preserve">Automated (new) / Human (returned)</t>
  </si>
  <si>
    <t xml:space="preserve">New: email / in-app onboarding. Returned: personal email then call.</t>
  </si>
  <si>
    <t xml:space="preserve">New: send onboarding message. Returned: welcome-back outreach to understand what brought them back.</t>
  </si>
  <si>
    <t xml:space="preserve">New: day 0 message, day 14 follow-up only if no second order. Returned: day 0 outreach, day 10 follow-up.</t>
  </si>
  <si>
    <t xml:space="preserve">Returned: what brought them back; what they are sourcing now; how often they plan to buy.</t>
  </si>
  <si>
    <t xml:space="preserve">Do not treat returned customers as brand-new.</t>
  </si>
  <si>
    <t xml:space="preserve">Help an independently browsing customer turn browsing into negotiation and purchase.</t>
  </si>
  <si>
    <t xml:space="preserve">Automated</t>
  </si>
  <si>
    <t xml:space="preserve">Send one educational Make an Offer prompt.</t>
  </si>
  <si>
    <t xml:space="preserve">One nudge; one follow-up at day 14 only if still browsing with &lt;3 offers; then stop.</t>
  </si>
  <si>
    <t xml:space="preserve">No GMV floor: marginal cost is low and priority already controls importance.</t>
  </si>
  <si>
    <t xml:space="preserve">Keep strong self-servers buying without inventing a feature gap.</t>
  </si>
  <si>
    <t xml:space="preserve">Send one light reinforcement / stock-discovery reminder.</t>
  </si>
  <si>
    <t xml:space="preserve">One message per 30 days at most.</t>
  </si>
  <si>
    <t xml:space="preserve">Do not tell healthy users to 'use feature X'. AM-owned accounts: notify the AM before sending.</t>
  </si>
  <si>
    <t xml:space="preserve">Decide whether AM/broker effort is justified for a low-value, broker-dependent account.</t>
  </si>
  <si>
    <t xml:space="preserve">Human (internal only)</t>
  </si>
  <si>
    <t xml:space="preserve">Internal review - no customer contact</t>
  </si>
  <si>
    <t xml:space="preserve">Review the account card and choose: maintain support / move to lower-touch / automated nurture / revisit later.</t>
  </si>
  <si>
    <t xml:space="preserve">Decision within 14 days; revisit next quarter.</t>
  </si>
  <si>
    <t xml:space="preserve">No ROI calculation (AM cost data unavailable). No customer message is generated.</t>
  </si>
  <si>
    <t xml:space="preserve">Low-cost engagement across the long tail, tailored by nurture sub-context.</t>
  </si>
  <si>
    <t xml:space="preserve">Send the sub-context message (dormant, new, returned, repeat, engaged-not-converting, standard, rising-tail early).</t>
  </si>
  <si>
    <t xml:space="preserve">Dormant: one message per 60 days. Others: one per 30 days. Never on every rerun.</t>
  </si>
  <si>
    <t xml:space="preserve">Engaged-not-converting: conversion prompt, not 'browse more'.</t>
  </si>
  <si>
    <t xml:space="preserve">PB09_RANGE_TEST</t>
  </si>
  <si>
    <t xml:space="preserve">Range Expansion Test (secondary)</t>
  </si>
  <si>
    <t xml:space="preserve">Experiment: will a healthy single-product-type self-server try the other product type?</t>
  </si>
  <si>
    <t xml:space="preserve">Automation (experiment owner: Growth)</t>
  </si>
  <si>
    <t xml:space="preserve">Automated experiment</t>
  </si>
  <si>
    <t xml:space="preserve">Email / in-app message (treatment arm only)</t>
  </si>
  <si>
    <t xml:space="preserve">Deterministic 50/50 assignment by account_id hash; message treatment arm only; holdout receives nothing.</t>
  </si>
  <si>
    <t xml:space="preserve">Single message; read-out after 90 days treatment vs holdout.</t>
  </si>
  <si>
    <t xml:space="preserve">Share of accounts placing an order of the other product type, treatment vs holdout; GMV not lower than holdout.</t>
  </si>
  <si>
    <t xml:space="preserve">Single message only.</t>
  </si>
  <si>
    <t xml:space="preserve">Arm assignment is stable across reruns (hash of account_id).</t>
  </si>
  <si>
    <t xml:space="preserve">Experimental. Never claim a commercial benefit. Current eligible sample (2) is far too small for a read-out.</t>
  </si>
  <si>
    <t xml:space="preserve">Message templates (placeholders {first_name}, {sender_name}; {product} filled from basket type)</t>
  </si>
  <si>
    <t xml:space="preserve">Hi {first_name},
I'd like to set up a short call to review how sourcing through Fleek is working for you at the moment and what you're planning to buy over the next few months. It will help me make sure the stock I source for you ({product}) is the right fit. Would sometime later this week or early next week suit you?
Best,
{sender_name}</t>
  </si>
  <si>
    <t xml:space="preserve">Hi {first_name},
It's been a little while since we last caught up, so I wanted to check in on your buying plans for the coming months. If you're sourcing {product} again soon, I'd be glad to talk through what you're looking for and how we can help. Would a quick call be useful?
Best,
{sender_name}</t>
  </si>
  <si>
    <t xml:space="preserve">Hi {first_name},
Alongside the stock I source for you, I'd like to show you how to browse Fleek's full range directly in the app, so you can look through {product} whenever it suits you, make an offer where it fits and place orders yourself. I'm still here for anything you need. Could we do a short walkthrough together this week?
Best,
{sender_name}</t>
  </si>
  <si>
    <t xml:space="preserve">EST_NEW_NO_OFFER</t>
  </si>
  <si>
    <t xml:space="preserve">Hi {first_name},
Welcome to Fleek, and thanks for your recent orders. As you build your buying routine, it's worth checking the app regularly for {product} that suit your range. If you'd like help finding something specific, just reply to this message and we'll point you in the right direction.
Best,
{sender_name}</t>
  </si>
  <si>
    <t xml:space="preserve">Hi {first_name},
Great to see you ordering with Fleek again. I'd love to catch up on what you're sourcing at the moment and how often you're planning to buy, so we can make sure the right {product} is in front of you. Would a quick call in the next week or two work?
Best,
{sender_name}</t>
  </si>
  <si>
    <t xml:space="preserve">Hi {first_name},
Thanks for being an active Fleek buyer. Just a quick note to keep an eye on the app for {product} that fits your range, and to let you know we're here if there's anything specific you're trying to source. Reply any time and we'll help.
Best,
{sender_name}</t>
  </si>
  <si>
    <t xml:space="preserve">Hi {first_name},
Whenever you're planning your next stock buy, you can browse {product} on the Fleek app at any time. If you're looking for something specific, reply to this message and we'll do our best to help you find it. No pressure, just a friendly reminder that we're here.
Best,
{sender_name}</t>
  </si>
  <si>
    <t xml:space="preserve">Hi {first_name},
Welcome back to Fleek, and thanks for your recent order. You can browse {product} in the app whenever it suits you. If there's anything specific you're sourcing at the moment, reply to this message and we'll help point you in the right direction.
Best,
{sender_name}</t>
  </si>
  <si>
    <t xml:space="preserve">Hi {first_name},
Thanks for your recent orders with Fleek. A quick reminder that you can browse {product} in the app whenever you're ready for your next buy. If there's something particular you're after, just reply to this message and we'll be happy to help.
Best,
{sender_name}</t>
  </si>
  <si>
    <t xml:space="preserve">NUR_ONEOFF</t>
  </si>
  <si>
    <t xml:space="preserve">Hi {first_name},
Thanks for your order with Fleek. Whenever you're planning your next stock buy, you can browse {product} in the app at any time. If you're looking for something specific, reply to this message and we'll help.
Best,
{sender_name}</t>
  </si>
  <si>
    <t xml:space="preserve">Hi {first_name},
A quick reminder that you can browse {product} on the Fleek app whenever you're planning your next buy, at a time that suits you. If there's something specific you're looking for, reply to this message and we'll do our best to help.
Best,
{sender_name}</t>
  </si>
  <si>
    <t xml:space="preserve">Hi {first_name},
Thanks for your recent orders with Fleek. Whenever you're planning your next buy, the app is the quickest way to browse {product} and make an offer where a price doesn't quite work. If you're looking for something specific, reply here and we'll help.
Best,
{sender_name}</t>
  </si>
  <si>
    <t xml:space="preserve">RANGE_HANDPICK</t>
  </si>
  <si>
    <t xml:space="preserve">RANGE_BUNDLE</t>
  </si>
  <si>
    <t xml:space="preserve">Hi {first_name},
Would you like to explore another way of sourcing stock? Alongside the handpicked stock you usually buy, Fleek also offers bundles, which you can browse in the app. They're there if you ever want to try them; if you have any questions, just reply to this message.
Best,
{sender_name}</t>
  </si>
  <si>
    <t xml:space="preserve">Run history and action log (demo_state). Baseline rows for RUN001; only material changes afterwards; RUN003 (identical input) writes nothing.</t>
  </si>
  <si>
    <t xml:space="preserve">run_id</t>
  </si>
  <si>
    <t xml:space="preserve">run_timestamp</t>
  </si>
  <si>
    <t xml:space="preserve">label</t>
  </si>
  <si>
    <t xml:space="preserve">input_fingerprint</t>
  </si>
  <si>
    <t xml:space="preserve">identical_to_previous_input</t>
  </si>
  <si>
    <t xml:space="preserve">accounts</t>
  </si>
  <si>
    <t xml:space="preserve">log_rows_written</t>
  </si>
  <si>
    <t xml:space="preserve">new_actions_generated</t>
  </si>
  <si>
    <t xml:space="preserve">change_type_counts</t>
  </si>
  <si>
    <t xml:space="preserve">RUN001</t>
  </si>
  <si>
    <t xml:space="preserve">2026-09-18T07:00Z</t>
  </si>
  <si>
    <t xml:space="preserve">Baseline: 300-account portfolio</t>
  </si>
  <si>
    <t xml:space="preserve">ff9e510207535c70</t>
  </si>
  <si>
    <t xml:space="preserve">{"BASELINE": 300}</t>
  </si>
  <si>
    <t xml:space="preserve">RUN002</t>
  </si>
  <si>
    <t xml:space="preserve">2026-09-19T07:00Z</t>
  </si>
  <si>
    <t xml:space="preserve">Second run: new_accounts upsert</t>
  </si>
  <si>
    <t xml:space="preserve">2007ec7f90b42568</t>
  </si>
  <si>
    <t xml:space="preserve">{"NO_MATERIAL_CHANGE": 299, "NEW_ACCOUNT": 45, "NBA_CHANGED": 1}</t>
  </si>
  <si>
    <t xml:space="preserve">RUN003</t>
  </si>
  <si>
    <t xml:space="preserve">2026-09-19T07:05Z</t>
  </si>
  <si>
    <t xml:space="preserve">Idempotency: identical input re-run</t>
  </si>
  <si>
    <t xml:space="preserve">{"NO_MATERIAL_CHANGE": 345}</t>
  </si>
  <si>
    <t xml:space="preserve">Action log (newest run first)</t>
  </si>
  <si>
    <t xml:space="preserve">previous_primary_nba</t>
  </si>
  <si>
    <t xml:space="preserve">current_primary_nba</t>
  </si>
  <si>
    <t xml:space="preserve">previous_execution_status</t>
  </si>
  <si>
    <t xml:space="preserve">current_execution_status</t>
  </si>
  <si>
    <t xml:space="preserve">previous_priority</t>
  </si>
  <si>
    <t xml:space="preserve">current_priority</t>
  </si>
  <si>
    <t xml:space="preserve">human_owner</t>
  </si>
  <si>
    <t xml:space="preserve">NBA_CHANGED</t>
  </si>
  <si>
    <t xml:space="preserve">NBA_CHANGED;PRIORITY_DECREASED;EXECUTION_STATUS_CHANGED;GUARDRAILS_CHANGED;DATA_UPDATED</t>
  </si>
  <si>
    <t xml:space="preserve">0f799e9cf54b</t>
  </si>
  <si>
    <t xml:space="preserve">ACC-301</t>
  </si>
  <si>
    <t xml:space="preserve">NEW_ACCOUNT</t>
  </si>
  <si>
    <t xml:space="preserve">5ec9071df9c3</t>
  </si>
  <si>
    <t xml:space="preserve">ACC-302</t>
  </si>
  <si>
    <t xml:space="preserve">c5b4f4826999</t>
  </si>
  <si>
    <t xml:space="preserve">ACC-303</t>
  </si>
  <si>
    <t xml:space="preserve">098772224d83</t>
  </si>
  <si>
    <t xml:space="preserve">ACC-304</t>
  </si>
  <si>
    <t xml:space="preserve">9ce6f8396576</t>
  </si>
  <si>
    <t xml:space="preserve">ACC-305</t>
  </si>
  <si>
    <t xml:space="preserve">962b402c8042</t>
  </si>
  <si>
    <t xml:space="preserve">ACC-306</t>
  </si>
  <si>
    <t xml:space="preserve">b7ed5d73d9d0</t>
  </si>
  <si>
    <t xml:space="preserve">ACC-307</t>
  </si>
  <si>
    <t xml:space="preserve">f0c9d7e4576d</t>
  </si>
  <si>
    <t xml:space="preserve">ACC-308</t>
  </si>
  <si>
    <t xml:space="preserve">560c61f4bb1d</t>
  </si>
  <si>
    <t xml:space="preserve">ACC-309</t>
  </si>
  <si>
    <t xml:space="preserve">e825aada3171</t>
  </si>
  <si>
    <t xml:space="preserve">ACC-310</t>
  </si>
  <si>
    <t xml:space="preserve">618c111a6d6b</t>
  </si>
  <si>
    <t xml:space="preserve">ACC-311</t>
  </si>
  <si>
    <t xml:space="preserve">d9c6ad7bd10f</t>
  </si>
  <si>
    <t xml:space="preserve">ACC-312</t>
  </si>
  <si>
    <t xml:space="preserve">fca883535edd</t>
  </si>
  <si>
    <t xml:space="preserve">ACC-313</t>
  </si>
  <si>
    <t xml:space="preserve">36cd01a37a11</t>
  </si>
  <si>
    <t xml:space="preserve">ACC-314</t>
  </si>
  <si>
    <t xml:space="preserve">96c9cb8e3c47</t>
  </si>
  <si>
    <t xml:space="preserve">ACC-315</t>
  </si>
  <si>
    <t xml:space="preserve">9e21a407858c</t>
  </si>
  <si>
    <t xml:space="preserve">ACC-316</t>
  </si>
  <si>
    <t xml:space="preserve">f35144765037</t>
  </si>
  <si>
    <t xml:space="preserve">ACC-317</t>
  </si>
  <si>
    <t xml:space="preserve">72f88603e5d2</t>
  </si>
  <si>
    <t xml:space="preserve">ACC-318</t>
  </si>
  <si>
    <t xml:space="preserve">a7af2ab24f72</t>
  </si>
  <si>
    <t xml:space="preserve">ACC-319</t>
  </si>
  <si>
    <t xml:space="preserve">370480312be3</t>
  </si>
  <si>
    <t xml:space="preserve">ACC-320</t>
  </si>
  <si>
    <t xml:space="preserve">90fe3d1a4327</t>
  </si>
  <si>
    <t xml:space="preserve">ACC-321</t>
  </si>
  <si>
    <t xml:space="preserve">fe046772254c</t>
  </si>
  <si>
    <t xml:space="preserve">ACC-322</t>
  </si>
  <si>
    <t xml:space="preserve">f5c1b81dd06b</t>
  </si>
  <si>
    <t xml:space="preserve">ACC-323</t>
  </si>
  <si>
    <t xml:space="preserve">c552125ab390</t>
  </si>
  <si>
    <t xml:space="preserve">ACC-324</t>
  </si>
  <si>
    <t xml:space="preserve">4d1b76003b22</t>
  </si>
  <si>
    <t xml:space="preserve">ACC-325</t>
  </si>
  <si>
    <t xml:space="preserve">04acf9d29755</t>
  </si>
  <si>
    <t xml:space="preserve">ACC-326</t>
  </si>
  <si>
    <t xml:space="preserve">dedc35c6bde7</t>
  </si>
  <si>
    <t xml:space="preserve">ACC-327</t>
  </si>
  <si>
    <t xml:space="preserve">76b954533fbf</t>
  </si>
  <si>
    <t xml:space="preserve">ACC-328</t>
  </si>
  <si>
    <t xml:space="preserve">33aeebc57177</t>
  </si>
  <si>
    <t xml:space="preserve">ACC-329</t>
  </si>
  <si>
    <t xml:space="preserve">e2e812e4313d</t>
  </si>
  <si>
    <t xml:space="preserve">ACC-330</t>
  </si>
  <si>
    <t xml:space="preserve">91567a692bc6</t>
  </si>
  <si>
    <t xml:space="preserve">ACC-331</t>
  </si>
  <si>
    <t xml:space="preserve">06455cade58a</t>
  </si>
  <si>
    <t xml:space="preserve">ACC-332</t>
  </si>
  <si>
    <t xml:space="preserve">990096ea67ba</t>
  </si>
  <si>
    <t xml:space="preserve">ACC-333</t>
  </si>
  <si>
    <t xml:space="preserve">0cb18308da4f</t>
  </si>
  <si>
    <t xml:space="preserve">ACC-334</t>
  </si>
  <si>
    <t xml:space="preserve">7435936fab67</t>
  </si>
  <si>
    <t xml:space="preserve">ACC-335</t>
  </si>
  <si>
    <t xml:space="preserve">4622ddc113c7</t>
  </si>
  <si>
    <t xml:space="preserve">ACC-336</t>
  </si>
  <si>
    <t xml:space="preserve">c2d236d09627</t>
  </si>
  <si>
    <t xml:space="preserve">ACC-337</t>
  </si>
  <si>
    <t xml:space="preserve">463466a9e706</t>
  </si>
  <si>
    <t xml:space="preserve">ACC-338</t>
  </si>
  <si>
    <t xml:space="preserve">a1a856eac763</t>
  </si>
  <si>
    <t xml:space="preserve">ACC-339</t>
  </si>
  <si>
    <t xml:space="preserve">7a26e8748540</t>
  </si>
  <si>
    <t xml:space="preserve">ACC-340</t>
  </si>
  <si>
    <t xml:space="preserve">a07894e4e0c3</t>
  </si>
  <si>
    <t xml:space="preserve">ACC-341</t>
  </si>
  <si>
    <t xml:space="preserve">257d2ea8c08b</t>
  </si>
  <si>
    <t xml:space="preserve">ACC-342</t>
  </si>
  <si>
    <t xml:space="preserve">9fb9fdd93ac8</t>
  </si>
  <si>
    <t xml:space="preserve">ACC-343</t>
  </si>
  <si>
    <t xml:space="preserve">c9c78fc9e850</t>
  </si>
  <si>
    <t xml:space="preserve">ACC-344</t>
  </si>
  <si>
    <t xml:space="preserve">5828be6a4b56</t>
  </si>
  <si>
    <t xml:space="preserve">ACC-345</t>
  </si>
  <si>
    <t xml:space="preserve">6195433843b5</t>
  </si>
  <si>
    <t xml:space="preserve">Execution guardrail tests (violations must be 0) and run summary</t>
  </si>
  <si>
    <t xml:space="preserve">check</t>
  </si>
  <si>
    <t xml:space="preserve">Every account has exactly one row</t>
  </si>
  <si>
    <t xml:space="preserve">Every account has primary_nba / execution_status / priority / action_state / owner</t>
  </si>
  <si>
    <t xml:space="preserve">HOLD accounts with any outbound draft</t>
  </si>
  <si>
    <t xml:space="preserve">Sign-off accounts with a migration draft before sign-off</t>
  </si>
  <si>
    <t xml:space="preserve">Human Review Required with automated outbound</t>
  </si>
  <si>
    <t xml:space="preserve">Segments 2/3/8 with automated action or growth nudge</t>
  </si>
  <si>
    <t xml:space="preserve">Service Model Review with a customer draft</t>
  </si>
  <si>
    <t xml:space="preserve">Recent Inactivity with automated growth action</t>
  </si>
  <si>
    <t xml:space="preserve">Broker-Reliant with automated growth nudge</t>
  </si>
  <si>
    <t xml:space="preserve">Key Migration Candidate not on sign-off</t>
  </si>
  <si>
    <t xml:space="preserve">Drafts / targets encouraging chat or video</t>
  </si>
  <si>
    <t xml:space="preserve">Drafts with banned phrases (churn, algorithm, dependency, migration, score...)</t>
  </si>
  <si>
    <t xml:space="preserve">Range Expansion drafts claiming a benefit</t>
  </si>
  <si>
    <t xml:space="preserve">Range drafts sent to holdout arm</t>
  </si>
  <si>
    <t xml:space="preserve">Drafts containing internal numbers (£, %, digits)</t>
  </si>
  <si>
    <t xml:space="preserve">Drafts outside 40-100 words</t>
  </si>
  <si>
    <t xml:space="preserve">Drafts with unfilled product placeholder</t>
  </si>
  <si>
    <t xml:space="preserve">Human-queue accounts without an internal brief</t>
  </si>
  <si>
    <t xml:space="preserve">Self Serve human actions not flagged for a named owner</t>
  </si>
  <si>
    <t xml:space="preserve">Idempotency / ingestion evidence</t>
  </si>
  <si>
    <t xml:space="preserve">new_accounts rows</t>
  </si>
  <si>
    <t xml:space="preserve">50</t>
  </si>
  <si>
    <t xml:space="preserve">Existing IDs updated (upsert)</t>
  </si>
  <si>
    <t xml:space="preserve">5</t>
  </si>
  <si>
    <t xml:space="preserve">Updated IDs</t>
  </si>
  <si>
    <t xml:space="preserve">ACC-006, ACC-008, ACC-048, ACC-211, ACC-214</t>
  </si>
  <si>
    <t xml:space="preserve">New IDs appended</t>
  </si>
  <si>
    <t xml:space="preserve">45</t>
  </si>
  <si>
    <t xml:space="preserve">Portfolio size after RUN002</t>
  </si>
  <si>
    <t xml:space="preserve">345</t>
  </si>
  <si>
    <t xml:space="preserve">Snapshot rows / unique IDs after RUN003</t>
  </si>
  <si>
    <t xml:space="preserve">345 / 345</t>
  </si>
  <si>
    <t xml:space="preserve">Action log rows (all runs)</t>
  </si>
  <si>
    <t xml:space="preserve">346</t>
  </si>
  <si>
    <t xml:space="preserve">Action registry rows / unique keys</t>
  </si>
  <si>
    <t xml:space="preserve">346 / 346</t>
  </si>
  <si>
    <t xml:space="preserve">RUN001 Baseline: 300-account portfolio</t>
  </si>
  <si>
    <t xml:space="preserve">log rows 300; new actions 300; identical input False; {"BASELINE": 300}</t>
  </si>
  <si>
    <t xml:space="preserve">RUN002 Second run: new_accounts upsert</t>
  </si>
  <si>
    <t xml:space="preserve">log rows 46; new actions 46; identical input False; {"NO_MATERIAL_CHANGE": 299, "NEW_ACCOUNT": 45, "NBA_CHANGED": 1}</t>
  </si>
  <si>
    <t xml:space="preserve">RUN003 Idempotency: identical input re-run</t>
  </si>
  <si>
    <t xml:space="preserve">log rows 0; new actions 0; identical input True; {"NO_MATERIAL_CHANGE": 345}</t>
  </si>
  <si>
    <t xml:space="preserve">Execution Queue - RUN002 after new_accounts upsert (345 accounts). change_type shows what changed since RUN001.</t>
  </si>
  <si>
    <t xml:space="preserve">NO_MATERIAL_CHANGE</t>
  </si>
  <si>
    <t xml:space="preserve">BORDERLINE_MOMENTUM; MATERIAL_BROKER_INCONSISTENCY</t>
  </si>
  <si>
    <t xml:space="preserve">WHY NOW: Commercially important, broker-led spend is falling.
WHAT WE KNOW:
- Key, Broker-Reliant, Account Managed; £22,265 6m GMV; Retailer, Sweden; tenure 15 months.
- Momentum: Declining (Sep-Nov £12,458 -&gt; Dec-Feb £9,808); Recently Active (last GMV month: February); 17 orders over 5 month(s).
- Dependency: High (broker reliance 66%; 10 AM-placed / 7 self-serve orders).
- Engagement: 35 product views, 4 app days, 0 offer(s), 29 Fleek chats, 1 video requests; basket Mixed.
- Warnings: BORDERLINE_MOMENTUM; MATERIAL_BROKER_INCONSISTENCY.
WHAT TO DO: Book a conversation. Explore stock availability, price, assortment fit, buying cadence, competitor/offline wholesaler use and operational friction. Agree a recovery plan.
WHAT NOT TO DO: Do not reduce AM support or push migration; do not suggest the customer is at fault; do not propose chat/video/feature usage as the fix.
SUCCESS: Root cause logged and next-90-day GMV back to at least the Sep-Nov (H1) level, or the decline arrested.</t>
  </si>
  <si>
    <t xml:space="preserve">GUARDRAILS_CHANGED;DATA_UPDATED</t>
  </si>
  <si>
    <t xml:space="preserve">WHY NOW: Commercially important, broker-led spend is falling.
WHAT WE KNOW:
- Key, Broker-Reliant, Account Managed; £16,389 6m GMV; Reseller, France; tenure 12 months.
- Momentum: Declining (Sep-Nov £14,003 -&gt; Dec-Feb £2,386); Recently Active (last GMV month: February); 4 orders over 3 month(s).
- Dependency: High (broker reliance 67%; 3 AM-placed / 1 self-serve orders).
- Engagement: 13 product views, 8 app days, 1 offer(s), 21 Fleek chats, 0 video requests; basket Handpick-only.
- Warnings: FEB_SENSITIVE; H2_SINGLE_MONTH_SPIKE.
WHAT TO DO: Book a conversation. Explore stock availability, price, assortment fit, buying cadence, competitor/offline wholesaler use and operational friction. Agree a recovery plan.
WHAT NOT TO DO: Do not reduce AM support or push migration; do not suggest the customer is at fault; do not propose chat/video/feature usage as the fix.
SUCCESS: Root cause logged and next-90-day GMV back to at least the Sep-Nov (H1) level, or the decline arrested.</t>
  </si>
  <si>
    <t xml:space="preserve">WHY NOW: Commercially important, broker-led spend is falling.
WHAT WE KNOW:
- Core, Broker-Reliant, Account Managed; £7,165 6m GMV; Reseller, Germany; tenure 17 months.
- Momentum: Declining (Sep-Nov £4,544 -&gt; Dec-Feb £2,621); Recently Active (last GMV month: February); 21 orders over 6 month(s).
- Dependency: High (broker reliance 79%; 17 AM-placed / 4 self-serve orders).
- Engagement: 1 product views, 5 app days, 1 offer(s), 34 Fleek chats, 0 video requests; basket Mixed.
- Warnings: MATERIAL_BROKER_INCONSISTENCY.
WHAT TO DO: Book a conversation. Explore stock availability, price, assortment fit, buying cadence, competitor/offline wholesaler use and operational friction. Agree a recovery plan.
WHAT NOT TO DO: Do not reduce AM support or push migration; do not suggest the customer is at fault; do not propose chat/video/feature usage as the fix.
SUCCESS: Root cause logged and next-90-day GMV back to at least the Sep-Nov (H1) level, or the decline arrested.</t>
  </si>
  <si>
    <t xml:space="preserve">WHY NOW: Heavily self-serving account whose spend is falling; product adoption is not the issue.
WHAT WE KNOW:
- Core, Self-Serve, Self Serve; £6,832 6m GMV; Reseller, United Kingdom; tenure 5 months.
- Momentum: Declining (Sep-Nov £4,516 -&gt; Dec-Feb £2,316); Recently Active (last GMV month: February); 14 orders over 4 month(s).
- Dependency: Low (broker reliance 0%; 0 AM-placed / 14 self-serve orders).
- Engagement: 665 product views, 74 app days, 53 offer(s), 82 Fleek chats, 1 video requests; basket Mixed.
- Warnings: H2_SINGLE_MONTH_SPIKE.
WHAT TO DO: Book a conversation. The customer already uses the product heavily: explore stock availability, price, offer outcomes and competitor use.
WHAT NOT TO DO: Do not send more product nudges - engagement is not the problem.
SUCCESS: Root cause logged and next-90-day GMV back to at least the Sep-Nov (H1) level, or the decline arrested.</t>
  </si>
  <si>
    <t xml:space="preserve">WHY NOW: Established buyer with a repeat pattern has had no GMV since November or earlier.
WHAT WE KNOW:
- Core, Broker-Reliant, Account Managed; £3,066 6m GMV; Reseller, United Kingdom; tenure 8 months.
- Momentum: Lapsed; Recent Inactivity (last GMV month: October); 9 orders over 2 month(s).
- Dependency: High (broker reliance 51%; 5 AM-placed / 4 self-serve orders).
- Engagement: 1 product views, 2 app days, 1 offer(s), 40 Fleek chats, 0 video requests; basket Mixed.
WHAT TO DO: Win-back conversation about upcoming buying needs and what would bring them back.
WHAT NOT TO DO: Do not say 'you churned' or 'you've stopped buying'.
SUCCESS: Cadence recorded and account reclassified, or a new order within 90 days (60 days for recent-inactivity checks).</t>
  </si>
  <si>
    <t xml:space="preserve">WHY NOW: Apparent lapse rests on 1-2 orders or one buying month; cadence is unknown.
WHAT WE KNOW:
- Core, Broker-Reliant, Account Managed; £2,592 6m GMV; Reseller, Italy; tenure 15 months.
- Momentum: Lapsed; No Meaningful History (last GMV month: October); 3 orders over 1 month(s).
- Dependency: High (broker reliance 71%; 2 AM-placed / 1 self-serve orders).
- Engagement: 7 product views, 4 app days, 0 offer(s), 34 Fleek chats, 0 video requests; basket Mixed.
WHAT TO DO: Do not assume churn. Verify expected purchase frequency first, then set the next contact window.
WHAT NOT TO DO: Do not treat as churn or run a discount-led win-back.
SUCCESS: Cadence recorded and account reclassified, or a new order within 90 days (60 days for recent-inactivity checks).</t>
  </si>
  <si>
    <t xml:space="preserve">WHY NOW: Key broker-reliant account with healthy spend; downside risk too large for automated initiation.
WHAT WE KNOW:
- Key, Broker-Reliant, Account Managed; £27,405 6m GMV; Reseller, Germany; tenure 7 months.
- Momentum: Growing (Sep-Nov £8,249 -&gt; Dec-Feb £19,156); Recently Active (last GMV month: February); 16 orders over 5 month(s).
- Dependency: High (broker reliance 64%; 11 AM-placed / 5 self-serve orders).
- Engagement: 26 product views, 3 app days, 1 offer(s), 115 Fleek chats, 24 video requests; basket Handpick-only.
- Warnings: KEY_SIGNOFF.
WHAT TO DO: Portfolio Lead and AM decide whether a gradual self-serve shift is appropriate. Record approve / decline and conditions.
WHAT NOT TO DO: No migration communication before sign-off.
SUCCESS: Day 90: Self-Serve Capability Demonstrated (&gt;=25 PDP views, &gt;=6 app days, self-serve share above baseline) with GMV guardrail held.</t>
  </si>
  <si>
    <t xml:space="preserve">DATA_UPDATED</t>
  </si>
  <si>
    <t xml:space="preserve">Confirm the recent buying trend (borderline / February-dependent momentum); then release or re-route the automated message.</t>
  </si>
  <si>
    <t xml:space="preserve">FEB_SENSITIVE</t>
  </si>
  <si>
    <t xml:space="preserve">WHY NOW: Growing or stable self-serving account with strong independent browsing and recent activity.
WHAT WE KNOW:
- Key, Self-Serve, Self Serve; £16,912 6m GMV; Reseller, France; tenure 5 months.
- Momentum: Stable (Sep-Nov £9,034 -&gt; Dec-Feb £7,878); Recently Active (last GMV month: February); 18 orders over 4 month(s).
- Dependency: Low (broker reliance 0%; 0 AM-placed / 18 self-serve orders).
- Engagement: 6665 product views, 100 app days, 71 offer(s), 18 Fleek chats, 0 video requests; basket Mixed.
- Warnings: FEB_SENSITIVE.
WHAT TO DO: Momentum is borderline or depends on February GMV (unconfirmed month). Confirm the recent buying trend, then release or re-route the automated Reinforce Successful Behaviour message.
WHAT NOT TO DO: Do not release the automated message until the momentum check is done.
SUCCESS: GMV run-rate maintained or higher, with GMV in each month of the next quarter.</t>
  </si>
  <si>
    <t xml:space="preserve">KEY_SIGNOFF; H2_SINGLE_MONTH_SPIKE; NO_FEB_GMV (Feb unconfirmed)</t>
  </si>
  <si>
    <t xml:space="preserve">WHY NOW: Key broker-reliant account with healthy spend; downside risk too large for automated initiation.
WHAT WE KNOW:
- Key, Broker-Reliant, Account Managed; £10,234 6m GMV; Reseller, Austria; tenure 7 months.
- Momentum: Stable (Sep-Nov £5,123 -&gt; Dec-Feb £5,111); Recently Active (last GMV month: January); 13 orders over 4 month(s).
- Dependency: High (broker reliance 60%; 8 AM-placed / 5 self-serve orders).
- Engagement: 8 product views, 6 app days, 1 offer(s), 79 Fleek chats, 26 video requests; basket Mixed.
- Warnings: KEY_SIGNOFF; H2_SINGLE_MONTH_SPIKE; NO_FEB_GMV (Feb unconfirmed).
WHAT TO DO: Portfolio Lead and AM decide whether a gradual self-serve shift is appropriate. Record approve / decline and conditions.
WHAT NOT TO DO: No migration communication before sign-off.
SUCCESS: Day 90: Self-Serve Capability Demonstrated (&gt;=25 PDP views, &gt;=6 app days, self-serve share above baseline) with GMV guardrail held.</t>
  </si>
  <si>
    <t xml:space="preserve">WHY NOW: Long-tenured customer returned in Dec-Feb after no Sep-Nov spend.
WHAT WE KNOW:
- Core, AM-Owned / Self-Serving, Account Managed; £4,613 6m GMV; Reseller, United Kingdom; tenure 14 months.
- Momentum: H2 Active / No H1 GMV; Recently Active (last GMV month: February); 6 orders over 2 month(s).
- Dependency: Low (broker reliance 15%; 1 AM-placed / 5 self-serve orders).
- Engagement: 488 product views, 30 app days, 1 offer(s), 24 Fleek chats, 0 video requests; basket Handpick-only.
WHAT TO DO: Welcome-back conversation: what brought them back, what they are sourcing now, how often they plan to buy.
WHAT NOT TO DO: Do not treat them as a brand-new customer.
SUCCESS: New: 2+ orders across 2+ months within 90 days. Returned: orders in at least 2 of the next 3 months.</t>
  </si>
  <si>
    <t xml:space="preserve">WHY NOW: Broker-reliant Core account with healthy, regular spend and repeat self-serve checkout, but little independent browsing.
WHAT WE KNOW:
- Core, Broker-Reliant, Account Managed; £4,461 6m GMV; Reseller, France; tenure 6 months.
- Momentum: Growing (Sep-Nov £1,832 -&gt; Dec-Feb £2,628); Recently Active (last GMV month: January); 12 orders over 5 month(s).
- Dependency: High (broker reliance 51%; 6 AM-placed / 6 self-serve orders).
- Engagement: 10 product views, 3 app days, 1 offer(s), 27 Fleek chats, 4 video requests; basket Bundle-only.
- Warnings: H2_SINGLE_MONTH_SPIKE; NO_FEB_GMV (Feb unconfirmed).
WHAT TO DO: Run the Phase 1 plan: Day 0 app walkthrough focused on finding stock independently; check-in Day 15-30; formal review Day 45; outcome Day 90.
WHAT NOT TO DO: Do not remove AM support; do not mention cost reduction or 'migration'.
SUCCESS: Day 90: Self-Serve Capability Demonstrated (&gt;=25 PDP views, &gt;=6 app days, self-serve share above baseline) with GMV guardrail held.</t>
  </si>
  <si>
    <t xml:space="preserve">WHY NOW: Long-tenured customer returned in Dec-Feb after no Sep-Nov spend.
WHAT WE KNOW:
- Core, AM-Owned / Self-Serving, Account Managed; £2,236 6m GMV; Reseller, Germany; tenure 19 months.
- Momentum: H2 Active / No H1 GMV; Recently Active (last GMV month: February); 2 orders over 2 month(s).
- Dependency: Low (broker reliance 8%; 0 AM-placed / 2 self-serve orders).
- Engagement: 16 product views, 9 app days, 2 offer(s), 0 Fleek chats, 0 video requests; basket Mixed.
- Warnings: LOW_CONFIDENCE.
WHAT TO DO: Welcome-back conversation: what brought them back, what they are sourcing now, how often they plan to buy.
WHAT NOT TO DO: Do not treat them as a brand-new customer.
SUCCESS: New: 2+ orders across 2+ months within 90 days. Returned: orders in at least 2 of the next 3 months.</t>
  </si>
  <si>
    <t xml:space="preserve">WHY NOW: Broker-reliant Core account with healthy spend but only one self-serve order.
WHAT WE KNOW:
- Core, Broker-Reliant, Account Managed; £2,011 6m GMV; Reseller, France; tenure 17 months.
- Momentum: Growing (Sep-Nov £560 -&gt; Dec-Feb £1,450); Recently Active (last GMV month: February); 5 orders over 3 month(s).
- Dependency: High (broker reliance 70%; 4 AM-placed / 1 self-serve orders).
- Engagement: 8 product views, 7 app days, 0 offer(s), 13 Fleek chats, 0 video requests; basket Mixed.
- Warnings: MATERIAL_BROKER_INCONSISTENCY.
WHAT TO DO: Encourage a second self-serve checkout on stock the customer already wants; keep sourcing as usual; re-assess for Phase 1 next run.
WHAT NOT TO DO: Do not reduce sourcing support.
SUCCESS: Day 90: Self-Serve Capability Demonstrated (&gt;=25 PDP views, &gt;=6 app days, self-serve share above baseline) with GMV guardrail held.</t>
  </si>
  <si>
    <t xml:space="preserve">WHY NOW: Low-value broker-reliant account that is still buying.
WHAT WE KNOW:
- Tail, Broker-Reliant, Account Managed; £1,884 6m GMV; Reseller, United Kingdom; tenure 17 months.
- Momentum: Declining (Sep-Nov £1,516 -&gt; Dec-Feb £369); Recently Active (last GMV month: January); 7 orders over 3 month(s).
- Dependency: High (broker reliance 75%; 5 AM-placed / 2 self-serve orders).
- Engagement: 10 product views, 5 app days, 1 offer(s), 24 Fleek chats, 0 video requests; basket Mixed.
- Warnings: H2_SINGLE_MONTH_SPIKE; NO_FEB_GMV (Feb unconfirmed).
WHAT TO DO: Review the card and decide: maintain support / move to lower-touch / automated nurture / revisit later.
WHAT NOT TO DO: No customer message. No ROI claim (no AM cost data).
SUCCESS: Decision logged; broker effort reduced where agreed without GMV loss.</t>
  </si>
  <si>
    <t xml:space="preserve">WHY NOW: Low-value broker-reliant account that is still buying.
WHAT WE KNOW:
- Tail, Broker-Reliant, Account Managed; £1,336 6m GMV; Reseller, United Kingdom; tenure 13 months.
- Momentum: Stable (Sep-Nov £686 -&gt; Dec-Feb £649); Recently Active (last GMV month: February); 5 orders over 3 month(s).
- Dependency: High (broker reliance 80%; 4 AM-placed / 1 self-serve orders).
- Engagement: 7 product views, 6 app days, 1 offer(s), 6 Fleek chats, 1 video requests; basket Mixed.
- Warnings: FEB_SENSITIVE.
WHAT TO DO: Review the card and decide: maintain support / move to lower-touch / automated nurture / revisit later.
WHAT NOT TO DO: No customer message. No ROI claim (no AM cost data).
SUCCESS: Decision logged; broker effort reduced where agreed without GMV loss.</t>
  </si>
  <si>
    <t xml:space="preserve">BORDERLINE_MOMENTUM; MATERIAL_BROKER_INCONSISTENCY; LOW_CONFIDENCE</t>
  </si>
  <si>
    <t xml:space="preserve">Hi {first_name},
Welcome back to Fleek, and thanks for your recent order. You can browse bundles and handpicked stock in the app whenever it suits you. If there's anything specific you're sourcing at the moment, reply to this message and we'll help point you in the right direction.
Best,
{sender_name}</t>
  </si>
  <si>
    <t xml:space="preserve">Stage 4B - Next Best Action summary and validation</t>
  </si>
  <si>
    <t xml:space="preserve">Validation</t>
  </si>
  <si>
    <t xml:space="preserve">Pass?</t>
  </si>
  <si>
    <t xml:space="preserve">Accounts in engine</t>
  </si>
  <si>
    <t xml:space="preserve">Accounts with a primary_nba</t>
  </si>
  <si>
    <t xml:space="preserve">Accounts with an execution_status</t>
  </si>
  <si>
    <t xml:space="preserve">Accounts with an attention_priority</t>
  </si>
  <si>
    <t xml:space="preserve">Reason codes not in library</t>
  </si>
  <si>
    <t xml:space="preserve">Declining Key/Core with automated action</t>
  </si>
  <si>
    <t xml:space="preserve">Key Migration Candidate Ready - Automated/Hybrid</t>
  </si>
  <si>
    <t xml:space="preserve">Critical blocker not on HOLD</t>
  </si>
  <si>
    <t xml:space="preserve">Recent-inactive account with growth nudge</t>
  </si>
  <si>
    <t xml:space="preserve">Retention segments (2, 3, 8) with automated delivery</t>
  </si>
  <si>
    <t xml:space="preserve">Target behaviours mentioning chat or video</t>
  </si>
  <si>
    <t xml:space="preserve">Row-level invalid-combination checks (sum)</t>
  </si>
  <si>
    <t xml:space="preserve">All checks pass</t>
  </si>
  <si>
    <t xml:space="preserve">By primary NBA</t>
  </si>
  <si>
    <t xml:space="preserve">Primary NBA</t>
  </si>
  <si>
    <t xml:space="preserve">Accounts</t>
  </si>
  <si>
    <t xml:space="preserve">GMV</t>
  </si>
  <si>
    <t xml:space="preserve">% GMV</t>
  </si>
  <si>
    <t xml:space="preserve">Seg 1</t>
  </si>
  <si>
    <t xml:space="preserve">Seg 2</t>
  </si>
  <si>
    <t xml:space="preserve">Seg 3</t>
  </si>
  <si>
    <t xml:space="preserve">Seg 4</t>
  </si>
  <si>
    <t xml:space="preserve">Seg 5</t>
  </si>
  <si>
    <t xml:space="preserve">Seg 6</t>
  </si>
  <si>
    <t xml:space="preserve">Seg 7</t>
  </si>
  <si>
    <t xml:space="preserve">Seg 8</t>
  </si>
  <si>
    <t xml:space="preserve">Seg 9</t>
  </si>
  <si>
    <t xml:space="preserve">Total</t>
  </si>
  <si>
    <t xml:space="preserve">By attention priority</t>
  </si>
  <si>
    <t xml:space="preserve">Priority</t>
  </si>
  <si>
    <t xml:space="preserve">Human-delivered</t>
  </si>
  <si>
    <t xml:space="preserve">By execution status</t>
  </si>
  <si>
    <t xml:space="preserve">Execution status</t>
  </si>
  <si>
    <t xml:space="preserve">By reason code</t>
  </si>
  <si>
    <t xml:space="preserve">Migration</t>
  </si>
  <si>
    <t xml:space="preserve">Group</t>
  </si>
  <si>
    <t xml:space="preserve">M1 met (PDP&gt;=50)</t>
  </si>
  <si>
    <t xml:space="preserve">M2 met (app&gt;=10)</t>
  </si>
  <si>
    <t xml:space="preserve">M3 met (offers&gt;=3)</t>
  </si>
  <si>
    <t xml:space="preserve">Status: Baseline</t>
  </si>
  <si>
    <t xml:space="preserve">Phase 1 Ready</t>
  </si>
  <si>
    <t xml:space="preserve">Phase 1 Manual Review</t>
  </si>
  <si>
    <t xml:space="preserve">Key sign-off</t>
  </si>
  <si>
    <t xml:space="preserve">Pre-entry (Core, &lt;2 self-serve orders)</t>
  </si>
  <si>
    <t xml:space="preserve">Growth: Segment 6 and Rising Tail (IDs fixed at build; values live)</t>
  </si>
  <si>
    <t xml:space="preserve">Segment 6</t>
  </si>
  <si>
    <t xml:space="preserve">Rising Tail</t>
  </si>
  <si>
    <t xml:space="preserve">Action queue P0-P3 (order fixed at build: priority, then value tier, then GMV; values live)</t>
  </si>
  <si>
    <t xml:space="preserve">Commercial Value Tier</t>
  </si>
  <si>
    <t xml:space="preserve">ownership</t>
  </si>
  <si>
    <t xml:space="preserve">behavioural_segment</t>
  </si>
  <si>
    <t xml:space="preserve">Dependency Tier</t>
  </si>
  <si>
    <t xml:space="preserve">Momentum</t>
  </si>
  <si>
    <t xml:space="preserve">orders_6m</t>
  </si>
  <si>
    <t xml:space="preserve">self_serve_orders</t>
  </si>
  <si>
    <t xml:space="preserve">Months with GMV</t>
  </si>
  <si>
    <t xml:space="preserve">GMV Dec</t>
  </si>
  <si>
    <t xml:space="preserve">GMV Jan</t>
  </si>
  <si>
    <t xml:space="preserve">GMV Feb</t>
  </si>
  <si>
    <t xml:space="preserve">H2 GMV</t>
  </si>
  <si>
    <t xml:space="preserve">lapse_context</t>
  </si>
  <si>
    <t xml:space="preserve">Behavioural archetype</t>
  </si>
  <si>
    <t xml:space="preserve">Basket type</t>
  </si>
  <si>
    <t xml:space="preserve">pdp_views_6m</t>
  </si>
  <si>
    <t xml:space="preserve">app_active_days_6m</t>
  </si>
  <si>
    <t xml:space="preserve">make_an_offer_6m</t>
  </si>
  <si>
    <t xml:space="preserve">key_account_signoff_required</t>
  </si>
  <si>
    <t xml:space="preserve">Duplicate status</t>
  </si>
  <si>
    <t xml:space="preserve">borderline_momentum</t>
  </si>
  <si>
    <t xml:space="preserve">february_sensitive</t>
  </si>
  <si>
    <t xml:space="preserve">material_broker_inconsistency</t>
  </si>
  <si>
    <t xml:space="preserve">Implied % changes segment</t>
  </si>
  <si>
    <t xml:space="preserve">Low confidence</t>
  </si>
  <si>
    <t xml:space="preserve">Discovery gap (PDP&gt;=50, offers&lt;3)</t>
  </si>
  <si>
    <t xml:space="preserve">Strong self-serve pattern</t>
  </si>
  <si>
    <t xml:space="preserve">Largest H2 month share</t>
  </si>
  <si>
    <t xml:space="preserve">nba_rationale</t>
  </si>
  <si>
    <t xml:space="preserve">target_behaviour</t>
  </si>
  <si>
    <t xml:space="preserve">success_measure</t>
  </si>
  <si>
    <t xml:space="preserve">MIG: M1 baseline PDP (6m)</t>
  </si>
  <si>
    <t xml:space="preserve">MIG: M1 met (&gt;=50)</t>
  </si>
  <si>
    <t xml:space="preserve">MIG: M2 baseline app days (6m)</t>
  </si>
  <si>
    <t xml:space="preserve">MIG: M3 baseline offers (6m)</t>
  </si>
  <si>
    <t xml:space="preserve">MIG: M4 baseline self-serve share</t>
  </si>
  <si>
    <t xml:space="preserve">MIG: buyer cadence</t>
  </si>
  <si>
    <t xml:space="preserve">MIG: usual purchase gap (months)</t>
  </si>
  <si>
    <t xml:space="preserve">gmv_guardrail</t>
  </si>
  <si>
    <t xml:space="preserve">90d INPUT: days in window</t>
  </si>
  <si>
    <t xml:space="preserve">90d INPUT: PDP views</t>
  </si>
  <si>
    <t xml:space="preserve">90d INPUT: app days</t>
  </si>
  <si>
    <t xml:space="preserve">90d INPUT: offers</t>
  </si>
  <si>
    <t xml:space="preserve">90d INPUT: orders</t>
  </si>
  <si>
    <t xml:space="preserve">90d INPUT: self-serve orders</t>
  </si>
  <si>
    <t xml:space="preserve">90d INPUT: GMV</t>
  </si>
  <si>
    <t xml:space="preserve">MIG: GMV guardrail breached</t>
  </si>
  <si>
    <t xml:space="preserve">Check: invalid combinations (must be 0)</t>
  </si>
  <si>
    <t xml:space="preserve">NBA reason-code library (lookup source for NBA Engine)</t>
  </si>
  <si>
    <t xml:space="preserve">default attention_priority</t>
  </si>
  <si>
    <t xml:space="preserve">rationale template</t>
  </si>
  <si>
    <t xml:space="preserve">AM diagnoses the cause of falling spend (supply, price, service, competitor) and agrees a recovery plan; keep human support in place</t>
  </si>
  <si>
    <t xml:space="preserve">Next 90-day GMV back to at least the Sep-Nov (H1) level, or decline arrested; root cause logged</t>
  </si>
  <si>
    <t xml:space="preserve">Broker-led spend is falling. Keep human support in place; AM to diagnose the cause before any migration or product nudge.</t>
  </si>
  <si>
    <t xml:space="preserve">AM investigates supply, price, competition or conversion friction; no additional product nudges</t>
  </si>
  <si>
    <t xml:space="preserve">Root cause logged; next 90-day GMV back to at least the Sep-Nov (H1) level</t>
  </si>
  <si>
    <t xml:space="preserve">Already heavily self-serving (high browsing / offers) but spend is falling. Product adoption is not the issue.</t>
  </si>
  <si>
    <t xml:space="preserve">Win-back conversation: understand why buying stopped and what would restart it</t>
  </si>
  <si>
    <t xml:space="preserve">New order within 90 days, or churn reason logged</t>
  </si>
  <si>
    <t xml:space="preserve">Had a repeat buying pattern (3+ orders across 2+ months) and has stopped buying. Genuine win-back case.</t>
  </si>
  <si>
    <t xml:space="preserve">Confirm expected purchase cadence (one-off, seasonal, project buyer) before calling it churn</t>
  </si>
  <si>
    <t xml:space="preserve">Cadence recorded and account reclassified; order within the stated cadence window</t>
  </si>
  <si>
    <t xml:space="preserve">Apparent lapse rests on 1-2 orders or a single buying month. Verify cadence rather than treating as churn.</t>
  </si>
  <si>
    <t xml:space="preserve">Check the account is still buying and why there was no January/February GMV; hold automated growth nudges</t>
  </si>
  <si>
    <t xml:space="preserve">Order in next 60 days or reason logged; growth action re-assessed on next run</t>
  </si>
  <si>
    <t xml:space="preserve">Growth-type account with an established pattern but no GMV in January or February. Confirm status before any automated growth nudge.</t>
  </si>
  <si>
    <t xml:space="preserve">Independently discover stock (PDP browsing) and use the app regularly; place more orders self-serve; offers optional</t>
  </si>
  <si>
    <t xml:space="preserve">90 days: Progressing -&gt; Capability Demonstrated (PDP, app days, rising self-serve share) with GMV guardrail held</t>
  </si>
  <si>
    <t xml:space="preserve">Broker-reliant with healthy spend and repeat self-serve checkout but little independent browsing. Suitable for Phase 1 guided migration focused on product discovery.</t>
  </si>
  <si>
    <t xml:space="preserve">As Phase 1 Ready once the guardrail warning is resolved</t>
  </si>
  <si>
    <t xml:space="preserve">Warning resolved; then as Phase 1 Ready</t>
  </si>
  <si>
    <t xml:space="preserve">Meets Phase 1 entry criteria but carries a guardrail warning (borderline/February-sensitive momentum, lumpy cadence or broker % inconsistency). Resolve before starting migration.</t>
  </si>
  <si>
    <t xml:space="preserve">If approved: gradual shift to independent discovery with AM retained; otherwise keep current service model</t>
  </si>
  <si>
    <t xml:space="preserve">Sign-off decision logged; if approved, as Phase 1 with a stricter GMV guardrail</t>
  </si>
  <si>
    <t xml:space="preserve">Key broker-reliant account with healthy spend. Technically a migration candidate, but downside risk is too large for automated initiation.</t>
  </si>
  <si>
    <t xml:space="preserve">AM encourages a second self-serve checkout (Phase 1 entry evidence) without reducing support</t>
  </si>
  <si>
    <t xml:space="preserve">2+ self-serve orders, then re-assess for Phase 1</t>
  </si>
  <si>
    <t xml:space="preserve">Broker-reliant Core account with healthy spend but only one self-serve order. Not yet Phase 1 eligible.</t>
  </si>
  <si>
    <t xml:space="preserve">Re-establish the relationship and a regular buying cadence</t>
  </si>
  <si>
    <t xml:space="preserve">Orders in at least 2 of the next 3 months</t>
  </si>
  <si>
    <t xml:space="preserve">Long-tenured customer that returned in H2 after no H1 spend. Re-establish relationship and cadence.</t>
  </si>
  <si>
    <t xml:space="preserve">Onboarding: repeat purchase and regular independent browsing</t>
  </si>
  <si>
    <t xml:space="preserve">2+ orders across 2+ months within 90 days</t>
  </si>
  <si>
    <t xml:space="preserve">New customer (tenure &lt;= 6 months) buying only in H2. Establish a repeat buying pattern.</t>
  </si>
  <si>
    <t xml:space="preserve">Maintain current browsing and purchasing; light-touch reinforcement only</t>
  </si>
  <si>
    <t xml:space="preserve">GMV run-rate maintained or higher; GMV in each month of the next quarter</t>
  </si>
  <si>
    <t xml:space="preserve">Low-dependency account with growing/stable spend, recent activity and strong independent browsing. Reinforce what is working.</t>
  </si>
  <si>
    <t xml:space="preserve">Make offers on items already browsed (3+ offers)</t>
  </si>
  <si>
    <t xml:space="preserve">3+ offers within 90 days and at least one offer-led order; GMV not lower</t>
  </si>
  <si>
    <t xml:space="preserve">Low-dependency account browses meaningfully but makes few offers. Encourage self-directed negotiation.</t>
  </si>
  <si>
    <t xml:space="preserve">Maintain current browsing and purchasing; light-touch reinforcement</t>
  </si>
  <si>
    <t xml:space="preserve">Continued monthly purchasing; crosses £2k Core line within 6 months</t>
  </si>
  <si>
    <t xml:space="preserve">Tail account on the Rising Tail watchlist with an established, recent self-serve pattern.</t>
  </si>
  <si>
    <t xml:space="preserve">Repeat purchase in a third month to establish a pattern</t>
  </si>
  <si>
    <t xml:space="preserve">Order in a new month within 90 days; re-check watchlist next run</t>
  </si>
  <si>
    <t xml:space="preserve">Tail account on the Rising Tail watchlist whose buying pattern is not yet established.</t>
  </si>
  <si>
    <t xml:space="preserve">Internal decision: keep AM coverage, move to low-touch, or automate re-ordering</t>
  </si>
  <si>
    <t xml:space="preserve">Decision logged; broker effort reduced without GMV loss</t>
  </si>
  <si>
    <t xml:space="preserve">Broker-reliant but low value and still buying. Decide whether continued AM/broker effort is justified.</t>
  </si>
  <si>
    <t xml:space="preserve">Automated reactivation only; no human time</t>
  </si>
  <si>
    <t xml:space="preserve">Any order within 90 days</t>
  </si>
  <si>
    <t xml:space="preserve">Low-value account with no recent GMV. Avoid human time.</t>
  </si>
  <si>
    <t xml:space="preserve">Scalable automated engagement matched to nurture sub-context</t>
  </si>
  <si>
    <t xml:space="preserve">Any repeat order within 90 days</t>
  </si>
  <si>
    <t xml:space="preserve">Low-value, low-dependency account. Scalable automated engagement.</t>
  </si>
  <si>
    <t xml:space="preserve">Execution status definitions</t>
  </si>
  <si>
    <t xml:space="preserve">Can run automatically now</t>
  </si>
  <si>
    <t xml:space="preserve">Needs an AM/human; no blocking guardrail</t>
  </si>
  <si>
    <t xml:space="preserve">Human-led with automated behaviour tracking</t>
  </si>
  <si>
    <t xml:space="preserve">NBA stands but a guardrail must be resolved first (Phase 1 Manual Review; automated action where implied broker % would change the segment; automated growth nudge on borderline or February-sensitive momentum)</t>
  </si>
  <si>
    <t xml:space="preserve">Key Migration Candidates</t>
  </si>
  <si>
    <t xml:space="preserve">Unresolved critical blocker (Duplicate status)</t>
  </si>
  <si>
    <t xml:space="preserve">Attention priority</t>
  </si>
  <si>
    <t xml:space="preserve">Critical hold / data resolution</t>
  </si>
  <si>
    <t xml:space="preserve">Revenue protection: Key/Core retention, win-back, verification</t>
  </si>
  <si>
    <t xml:space="preserve">Active commercial intervention: migration (Phase 1 and Key), Establish Key/Core, Growth Opportunity</t>
  </si>
  <si>
    <t xml:space="preserve">Growth / efficiency: Rising Tail, Service Model Review, pre-entry migration, long-tail Discovery-to-Offer, long-tail human reviews</t>
  </si>
  <si>
    <t xml:space="preserve">Automated / monitor</t>
  </si>
  <si>
    <t xml:space="preserve">Guardrail codes (execution context, not reasons for the action)</t>
  </si>
  <si>
    <t xml:space="preserve">Key Migration Candidate</t>
  </si>
  <si>
    <t xml:space="preserve">PHASE1_MANUAL_REVIEW</t>
  </si>
  <si>
    <t xml:space="preserve">Stage 3.1 Phase 1 Manual Review</t>
  </si>
  <si>
    <t xml:space="preserve">BORDERLINE_MOMENTUM</t>
  </si>
  <si>
    <t xml:space="preserve">H2 vs H1 within 5 pts of +/-20%</t>
  </si>
  <si>
    <t xml:space="preserve">Momentum group changes without February</t>
  </si>
  <si>
    <t xml:space="preserve">Provided vs implied broker % crosses gate / band / tier</t>
  </si>
  <si>
    <t xml:space="preserve">3+ orders and one month &gt;= 80% of H2 GMV</t>
  </si>
  <si>
    <t xml:space="preserve">Jan GMV &gt; 0 but Feb = 0; context only</t>
  </si>
  <si>
    <t xml:space="preserve">orders_6m &lt;= 2</t>
  </si>
  <si>
    <t xml:space="preserve">Not recommended as self-serve nudges (Stage 4A): more chat, more video calls, broad bundle adoption. Chat/video remain AM tools.</t>
  </si>
  <si>
    <t xml:space="preserve">Segmentation - validation and distribution</t>
  </si>
  <si>
    <t xml:space="preserve">Validation checks</t>
  </si>
  <si>
    <t xml:space="preserve">Accounts in source (Accounts tab rows)</t>
  </si>
  <si>
    <t xml:space="preserve">Accounts segmented</t>
  </si>
  <si>
    <t xml:space="preserve">Distinct account_ids</t>
  </si>
  <si>
    <t xml:space="preserve">Rows with null / UNASSIGNED action_segment</t>
  </si>
  <si>
    <t xml:space="preserve">Rows with UNASSIGNED behavioural_segment</t>
  </si>
  <si>
    <t xml:space="preserve">Rows matching exactly one rule</t>
  </si>
  <si>
    <t xml:space="preserve">Sum of action-segment counts</t>
  </si>
  <si>
    <t xml:space="preserve">Portfolio GMV (source)</t>
  </si>
  <si>
    <t xml:space="preserve">Sum of action-segment GMV</t>
  </si>
  <si>
    <t xml:space="preserve">Note: February completeness is unconfirmed; momentum treats Feb as a full month.</t>
  </si>
  <si>
    <t xml:space="preserve">Behavioural segments</t>
  </si>
  <si>
    <t xml:space="preserve">Behavioural segment</t>
  </si>
  <si>
    <t xml:space="preserve">% accounts</t>
  </si>
  <si>
    <t xml:space="preserve">Median GMV</t>
  </si>
  <si>
    <t xml:space="preserve">Broker-Reliant</t>
  </si>
  <si>
    <t xml:space="preserve">AM-Owned / Self-Serving</t>
  </si>
  <si>
    <t xml:space="preserve">Self-Serve</t>
  </si>
  <si>
    <t xml:space="preserve">Behavioural segment x value tier (accounts)</t>
  </si>
  <si>
    <t xml:space="preserve">Action segments</t>
  </si>
  <si>
    <t xml:space="preserve">Action segment</t>
  </si>
  <si>
    <t xml:space="preserve">GMV 6m</t>
  </si>
  <si>
    <t xml:space="preserve">Median orders</t>
  </si>
  <si>
    <t xml:space="preserve">Growing</t>
  </si>
  <si>
    <t xml:space="preserve">Stable</t>
  </si>
  <si>
    <t xml:space="preserve">Declining</t>
  </si>
  <si>
    <t xml:space="preserve">Lapsed</t>
  </si>
  <si>
    <t xml:space="preserve">H2 Active / No H1 GMV</t>
  </si>
  <si>
    <t xml:space="preserve">Phase 1 eligible</t>
  </si>
  <si>
    <t xml:space="preserve">Low-confidence flags</t>
  </si>
  <si>
    <t xml:space="preserve">Phase 1 Migration Cohort (eligibility)</t>
  </si>
  <si>
    <t xml:space="preserve">Phase 1 eligible accounts</t>
  </si>
  <si>
    <t xml:space="preserve">Phase 1 eligible GMV</t>
  </si>
  <si>
    <t xml:space="preserve">Phase 1 eligible % of portfolio GMV</t>
  </si>
  <si>
    <t xml:space="preserve">Data-quality flags (portfolio)</t>
  </si>
  <si>
    <t xml:space="preserve">Low confidence (orders&lt;=2)</t>
  </si>
  <si>
    <t xml:space="preserve">Single-month history</t>
  </si>
  <si>
    <t xml:space="preserve">Duplicate status (critical)</t>
  </si>
  <si>
    <t xml:space="preserve">Missing status</t>
  </si>
  <si>
    <t xml:space="preserve">Broker % inconsistent (gap &gt; threshold)</t>
  </si>
  <si>
    <t xml:space="preserve">Stage 3.1 guardrails (context only - segments unchanged)</t>
  </si>
  <si>
    <t xml:space="preserve">Lifecycle context</t>
  </si>
  <si>
    <t xml:space="preserve">Guardrail flags</t>
  </si>
  <si>
    <t xml:space="preserve">Flag</t>
  </si>
  <si>
    <t xml:space="preserve">of which Migration Candidates</t>
  </si>
  <si>
    <t xml:space="preserve">of which Key/Core</t>
  </si>
  <si>
    <t xml:space="preserve">of which Phase 1 eligible</t>
  </si>
  <si>
    <t xml:space="preserve">Key-account sign-off required</t>
  </si>
  <si>
    <t xml:space="preserve">Borderline momentum</t>
  </si>
  <si>
    <t xml:space="preserve">February-sensitive</t>
  </si>
  <si>
    <t xml:space="preserve">Lapsed - Established Buyer Lapsed</t>
  </si>
  <si>
    <t xml:space="preserve">Lapsed - One-Off / Insufficient History</t>
  </si>
  <si>
    <t xml:space="preserve">Material broker inconsistency</t>
  </si>
  <si>
    <t xml:space="preserve">Action segment would change with implied broker %</t>
  </si>
  <si>
    <t xml:space="preserve">Phase 1 Migration Cohort - rollout status of Migration Candidates</t>
  </si>
  <si>
    <t xml:space="preserve">Status</t>
  </si>
  <si>
    <t xml:space="preserve">Total Migration Candidates</t>
  </si>
  <si>
    <t xml:space="preserve">Guardrails by action segment (accounts)</t>
  </si>
  <si>
    <t xml:space="preserve">Lapsed - Established</t>
  </si>
  <si>
    <t xml:space="preserve">Lapsed - One-Off / Verify</t>
  </si>
  <si>
    <t xml:space="preserve">account_status</t>
  </si>
  <si>
    <t xml:space="preserve">tenure_months</t>
  </si>
  <si>
    <t xml:space="preserve">broker_reliance_pct</t>
  </si>
  <si>
    <t xml:space="preserve">Dependency Score</t>
  </si>
  <si>
    <t xml:space="preserve">H1 GMV (Sep-Nov)</t>
  </si>
  <si>
    <t xml:space="preserve">H2 GMV (Dec-Feb)</t>
  </si>
  <si>
    <t xml:space="preserve">H2 vs H1 %</t>
  </si>
  <si>
    <t xml:space="preserve">manual_orders</t>
  </si>
  <si>
    <t xml:space="preserve">phase1_cohort_eligible</t>
  </si>
  <si>
    <t xml:space="preserve">Check: rules matched (must be 1)</t>
  </si>
  <si>
    <t xml:space="preserve">Flag: low confidence (orders&lt;=2)</t>
  </si>
  <si>
    <t xml:space="preserve">Flag: single-month history</t>
  </si>
  <si>
    <t xml:space="preserve">Flag: Duplicate status (critical)</t>
  </si>
  <si>
    <t xml:space="preserve">Flag: missing status</t>
  </si>
  <si>
    <t xml:space="preserve">Implied broker % from order counts</t>
  </si>
  <si>
    <t xml:space="preserve">Broker % gap vs counts (pts)</t>
  </si>
  <si>
    <t xml:space="preserve">Flag: broker % inconsistent</t>
  </si>
  <si>
    <t xml:space="preserve">Confidence / data-quality flags</t>
  </si>
  <si>
    <t xml:space="preserve">GMV Dec+Jan (ex-Feb)</t>
  </si>
  <si>
    <t xml:space="preserve">Momentum ex-Feb (sensitivity)</t>
  </si>
  <si>
    <t xml:space="preserve">Broker sub-score (provided %)</t>
  </si>
  <si>
    <t xml:space="preserve">Broker sub-score (implied %)</t>
  </si>
  <si>
    <t xml:space="preserve">Implied Dependency Score</t>
  </si>
  <si>
    <t xml:space="preserve">Implied Dependency Tier</t>
  </si>
  <si>
    <t xml:space="preserve">Implied behavioural segment</t>
  </si>
  <si>
    <t xml:space="preserve">Implied action segment</t>
  </si>
  <si>
    <t xml:space="preserve">Action segment would change (implied %)</t>
  </si>
  <si>
    <t xml:space="preserve">Guardrail warnings</t>
  </si>
  <si>
    <t xml:space="preserve">Account Managed</t>
  </si>
  <si>
    <t xml:space="preserve">Active</t>
  </si>
  <si>
    <t xml:space="preserve">Duplicate</t>
  </si>
  <si>
    <t xml:space="preserve">Self Serve</t>
  </si>
  <si>
    <t xml:space="preserve">Phase 1 Migration Cohort (cautious operational rollout - not a statistically powered controlled experiment)</t>
  </si>
  <si>
    <t xml:space="preserve">Purpose: test whether selected customers can increase self-serve behaviour, monitor that GMV is preserved, and learn before exposing Key accounts or the wider portfolio.</t>
  </si>
  <si>
    <t xml:space="preserve">Eligible = Migration Candidate AND Core AND orders_6m &gt;= Assumptions!B39 AND self_serve_orders &gt;= Assumptions!B40 AND not Duplicate. Status: Ready / Manual Review (eligible but material broker inconsistency, borderline momentum or February-sensitive) / Not Eligible. All 22 Migration Candidates listed (row order fixed at build; values live).</t>
  </si>
  <si>
    <t xml:space="preserve">Rollout status</t>
  </si>
  <si>
    <t xml:space="preserve">Eligible (criteria met)</t>
  </si>
  <si>
    <t xml:space="preserve">Why not eligible</t>
  </si>
  <si>
    <t xml:space="preserve">Manual-review reasons</t>
  </si>
  <si>
    <t xml:space="preserve">Value tier</t>
  </si>
  <si>
    <t xml:space="preserve">Self-serve share of orders</t>
  </si>
  <si>
    <t xml:space="preserve">Momentum ex-Feb</t>
  </si>
  <si>
    <t xml:space="preserve">Implied broker % (counts)</t>
  </si>
  <si>
    <t xml:space="preserve">Key sign-off required</t>
  </si>
  <si>
    <t xml:space="preserve">Data-quality flags</t>
  </si>
  <si>
    <t xml:space="preserve">Stage 4A - Feature opportunity analysis (descriptive; association only, not causation)</t>
  </si>
  <si>
    <t xml:space="preserve">1. Adoption: % of accounts with usage &gt; 0</t>
  </si>
  <si>
    <t xml:space="preserve">Feature</t>
  </si>
  <si>
    <t xml:space="preserve">All</t>
  </si>
  <si>
    <t xml:space="preserve">Median among users</t>
  </si>
  <si>
    <t xml:space="preserve">Top-10 accounts share of volume</t>
  </si>
  <si>
    <t xml:space="preserve">chat_threads</t>
  </si>
  <si>
    <t xml:space="preserve">video_call_requests</t>
  </si>
  <si>
    <t xml:space="preserve">handpick_orders</t>
  </si>
  <si>
    <t xml:space="preserve">bundle_orders</t>
  </si>
  <si>
    <t xml:space="preserve">2. Share of total feature volume by behavioural segment</t>
  </si>
  <si>
    <t xml:space="preserve">3. Reference populations - median values</t>
  </si>
  <si>
    <t xml:space="preserve">Population</t>
  </si>
  <si>
    <t xml:space="preserve">app days</t>
  </si>
  <si>
    <t xml:space="preserve">PDP views</t>
  </si>
  <si>
    <t xml:space="preserve">offers</t>
  </si>
  <si>
    <t xml:space="preserve">chat</t>
  </si>
  <si>
    <t xml:space="preserve">video</t>
  </si>
  <si>
    <t xml:space="preserve">handpick</t>
  </si>
  <si>
    <t xml:space="preserve">bundle orders</t>
  </si>
  <si>
    <t xml:space="preserve">bundle GMV %</t>
  </si>
  <si>
    <t xml:space="preserve">orders</t>
  </si>
  <si>
    <t xml:space="preserve">self-serve share</t>
  </si>
  <si>
    <t xml:space="preserve">Strong self-serve (Low dep, Key/Core)</t>
  </si>
  <si>
    <t xml:space="preserve">Growing strong self-serve (Segment 6)</t>
  </si>
  <si>
    <t xml:space="preserve">Repeat self-servers (Low dep, orders&gt;=3)</t>
  </si>
  <si>
    <t xml:space="preserve">Lower-value self-serve (Low dep, Tail)</t>
  </si>
  <si>
    <t xml:space="preserve">Migration Candidates</t>
  </si>
  <si>
    <t xml:space="preserve">All Broker-Reliant</t>
  </si>
  <si>
    <t xml:space="preserve">4. Behavioural archetypes</t>
  </si>
  <si>
    <t xml:space="preserve">Archetype</t>
  </si>
  <si>
    <t xml:space="preserve">% Growing/Stable</t>
  </si>
  <si>
    <t xml:space="preserve">Broker-led, product-blind</t>
  </si>
  <si>
    <t xml:space="preserve">Independent browser-buyer</t>
  </si>
  <si>
    <t xml:space="preserve">Engaged but shrinking (Key/Core)</t>
  </si>
  <si>
    <t xml:space="preserve">One-off low-touch buyer</t>
  </si>
  <si>
    <t xml:space="preserve">5. Self-serve milestones met (M1 app days, M2 PDP views, M3 offers)</t>
  </si>
  <si>
    <t xml:space="preserve">0 met</t>
  </si>
  <si>
    <t xml:space="preserve">1 met</t>
  </si>
  <si>
    <t xml:space="preserve">2 met</t>
  </si>
  <si>
    <t xml:space="preserve">3 met</t>
  </si>
  <si>
    <t xml:space="preserve">6. Basket type x behavioural segment (accounts)</t>
  </si>
  <si>
    <t xml:space="preserve">Median AOV</t>
  </si>
  <si>
    <t xml:space="preserve">Bundle-only</t>
  </si>
  <si>
    <t xml:space="preserve">Mixed</t>
  </si>
  <si>
    <t xml:space="preserve">Handpick-only</t>
  </si>
  <si>
    <t xml:space="preserve">7. Rising Tail / Growth Watchlist (proposed context flag)</t>
  </si>
  <si>
    <t xml:space="preserve">Accounts flagged</t>
  </si>
  <si>
    <t xml:space="preserve">GMV flagged</t>
  </si>
  <si>
    <t xml:space="preserve">Accounts (list fixed at build; flag is live on Feature Data)</t>
  </si>
  <si>
    <t xml:space="preserve">ACC-065, ACC-068, ACC-083, ACC-085, ACC-086, ACC-219</t>
  </si>
  <si>
    <t xml:space="preserve">8. Persona check - % using feature</t>
  </si>
  <si>
    <t xml:space="preserve">Reseller</t>
  </si>
  <si>
    <t xml:space="preserve">Retailer</t>
  </si>
  <si>
    <t xml:space="preserve">Retailer excl. ACC-001 &amp; ACC-005</t>
  </si>
  <si>
    <t xml:space="preserve">Caveats: small, observational, single 6-month snapshot. App days and offers are inputs to the Dependency Score, so their gap vs Broker-Reliant accounts is partly by construction; PDP views, chat, video, handpick and bundles are not.</t>
  </si>
  <si>
    <t xml:space="preserve">buyer_persona</t>
  </si>
  <si>
    <t xml:space="preserve">region</t>
  </si>
  <si>
    <t xml:space="preserve">bundle_gmv_share_pct</t>
  </si>
  <si>
    <t xml:space="preserve">Average order value</t>
  </si>
  <si>
    <t xml:space="preserve">M1 app days met</t>
  </si>
  <si>
    <t xml:space="preserve">M2 PDP views met</t>
  </si>
  <si>
    <t xml:space="preserve">M3 offers met</t>
  </si>
  <si>
    <t xml:space="preserve">Milestones met (0-3)</t>
  </si>
  <si>
    <t xml:space="preserve">rising_tail_watchlist (from Segmentation)</t>
  </si>
  <si>
    <t xml:space="preserve">United Kingdom</t>
  </si>
  <si>
    <t xml:space="preserve">United States</t>
  </si>
  <si>
    <t xml:space="preserve">Germany</t>
  </si>
  <si>
    <t xml:space="preserve">ROW</t>
  </si>
  <si>
    <t xml:space="preserve">EU</t>
  </si>
  <si>
    <t xml:space="preserve">France</t>
  </si>
  <si>
    <t xml:space="preserve">Portfolio classification (recommended method)</t>
  </si>
  <si>
    <t xml:space="preserve">Tier</t>
  </si>
  <si>
    <t xml:space="preserve">% of accounts</t>
  </si>
  <si>
    <t xml:space="preserve">% of GMV</t>
  </si>
  <si>
    <t xml:space="preserve">v1 accounts (brief as proposed)</t>
  </si>
  <si>
    <t xml:space="preserve">High</t>
  </si>
  <si>
    <t xml:space="preserve">Medium</t>
  </si>
  <si>
    <t xml:space="preserve">Low</t>
  </si>
  <si>
    <t xml:space="preserve">Benchmark: old binary definition</t>
  </si>
  <si>
    <t xml:space="preserve">Accounts meeting all 4 conditions</t>
  </si>
  <si>
    <t xml:space="preserve">...of which High under new score</t>
  </si>
  <si>
    <t xml:space="preserve">Accounts meeting exactly 3 conditions</t>
  </si>
  <si>
    <t xml:space="preserve">Low-confidence broker-led accounts (&lt;=2 orders)</t>
  </si>
  <si>
    <t xml:space="preserve">Commercial opportunity - summary</t>
  </si>
  <si>
    <t xml:space="preserve">Portfolio GMV (6m)</t>
  </si>
  <si>
    <t xml:space="preserve">Concentration</t>
  </si>
  <si>
    <t xml:space="preserve">Top 1 accounts share</t>
  </si>
  <si>
    <t xml:space="preserve">Top 5 accounts share</t>
  </si>
  <si>
    <t xml:space="preserve">Top 10 accounts share</t>
  </si>
  <si>
    <t xml:space="preserve">Top 20 accounts share</t>
  </si>
  <si>
    <t xml:space="preserve">Top 50 accounts share</t>
  </si>
  <si>
    <t xml:space="preserve">GMV bands (brief)</t>
  </si>
  <si>
    <t xml:space="preserve">Band</t>
  </si>
  <si>
    <t xml:space="preserve">From £</t>
  </si>
  <si>
    <t xml:space="preserve">To £</t>
  </si>
  <si>
    <t xml:space="preserve">High+Med dependency</t>
  </si>
  <si>
    <t xml:space="preserve">&lt;£1k</t>
  </si>
  <si>
    <t xml:space="preserve">£1k-2k</t>
  </si>
  <si>
    <t xml:space="preserve">£2k-5k</t>
  </si>
  <si>
    <t xml:space="preserve">£5k-10k</t>
  </si>
  <si>
    <t xml:space="preserve">£10k-25k</t>
  </si>
  <si>
    <t xml:space="preserve">£25k-50k</t>
  </si>
  <si>
    <t xml:space="preserve">£50k+</t>
  </si>
  <si>
    <t xml:space="preserve">Dependency tier vs value</t>
  </si>
  <si>
    <t xml:space="preserve">Mean GMV</t>
  </si>
  <si>
    <t xml:space="preserve">Median GMV is a static value (computed in Python) - LibreOffice-safe conditional median not used.</t>
  </si>
  <si>
    <t xml:space="preserve">2x2: dependency x value (threshold on Assumptions)</t>
  </si>
  <si>
    <t xml:space="preserve">Quadrant</t>
  </si>
  <si>
    <t xml:space="preserve">Declining or lapsed</t>
  </si>
  <si>
    <t xml:space="preserve">Higher dep / Higher value</t>
  </si>
  <si>
    <t xml:space="preserve">Higher dep / Lower value</t>
  </si>
  <si>
    <t xml:space="preserve">Lower dep / Higher value</t>
  </si>
  <si>
    <t xml:space="preserve">Lower dep / Lower value</t>
  </si>
  <si>
    <t xml:space="preserve">Momentum (H2 vs H1)</t>
  </si>
  <si>
    <t xml:space="preserve">country</t>
  </si>
  <si>
    <t xml:space="preserve">gmv_sep</t>
  </si>
  <si>
    <t xml:space="preserve">gmv_oct</t>
  </si>
  <si>
    <t xml:space="preserve">gmv_nov</t>
  </si>
  <si>
    <t xml:space="preserve">gmv_dec</t>
  </si>
  <si>
    <t xml:space="preserve">gmv_jan</t>
  </si>
  <si>
    <t xml:space="preserve">gmv_feb</t>
  </si>
  <si>
    <t xml:space="preserve">gmv_trend_pct (file)</t>
  </si>
  <si>
    <t xml:space="preserve">Trend check: (Feb-Sep)/Sep</t>
  </si>
  <si>
    <t xml:space="preserve">Last month with GMV</t>
  </si>
  <si>
    <t xml:space="preserve">Low-confidence flag</t>
  </si>
  <si>
    <t xml:space="preserve">Australia</t>
  </si>
  <si>
    <t xml:space="preserve">Austria</t>
  </si>
  <si>
    <t xml:space="preserve">Sweden</t>
  </si>
  <si>
    <t xml:space="preserve">Portugal</t>
  </si>
  <si>
    <t xml:space="preserve">Netherlands</t>
  </si>
  <si>
    <t xml:space="preserve">Belgium</t>
  </si>
  <si>
    <t xml:space="preserve">Switzerland</t>
  </si>
  <si>
    <t xml:space="preserve">New Zealand</t>
  </si>
  <si>
    <t xml:space="preserve">Czech Republic</t>
  </si>
  <si>
    <t xml:space="preserve">Italy</t>
  </si>
  <si>
    <t xml:space="preserve">Ireland</t>
  </si>
  <si>
    <t xml:space="preserve">Romania</t>
  </si>
  <si>
    <t xml:space="preserve">Spain</t>
  </si>
  <si>
    <t xml:space="preserve">Lithuania</t>
  </si>
  <si>
    <t xml:space="preserve">Finland</t>
  </si>
  <si>
    <t xml:space="preserve">Poland</t>
  </si>
  <si>
    <t xml:space="preserve">Slovakia</t>
  </si>
  <si>
    <t xml:space="preserve">Norway</t>
  </si>
  <si>
    <t xml:space="preserve">Hungary</t>
  </si>
  <si>
    <t xml:space="preserve">Denmark</t>
  </si>
  <si>
    <t xml:space="preserve">Broker sub-score</t>
  </si>
  <si>
    <t xml:space="preserve">App sub-score</t>
  </si>
  <si>
    <t xml:space="preserve">Offer sub-score</t>
  </si>
  <si>
    <t xml:space="preserve">Ungated score</t>
  </si>
  <si>
    <t xml:space="preserve">Engagement gap (0-100)</t>
  </si>
  <si>
    <t xml:space="preserve">Old binary: conditions met (of 4)</t>
  </si>
  <si>
    <t xml:space="preserve">v1 score (brief as proposed, no gate)</t>
  </si>
  <si>
    <t xml:space="preserve">v1 tier</t>
  </si>
  <si>
    <t xml:space="preserve">Category</t>
  </si>
  <si>
    <t xml:space="preserve">Why it matters</t>
  </si>
  <si>
    <t xml:space="preserve">v1 score</t>
  </si>
  <si>
    <t xml:space="preserve">Old binary conditions met</t>
  </si>
  <si>
    <t xml:space="preserve">A. Strongly dependent</t>
  </si>
  <si>
    <t xml:space="preserve">84% broker, 4 app days, 0 offers: maxes every sub-score</t>
  </si>
  <si>
    <t xml:space="preserve">22 of 27 orders AM-placed, 5 app days, 0 offers</t>
  </si>
  <si>
    <t xml:space="preserve">84% broker, 3 app days; one offer kept it out of the old binary</t>
  </si>
  <si>
    <t xml:space="preserve">B. High dependency, low value</t>
  </si>
  <si>
    <t xml:space="preserve">82% broker, 1 order, £710 - dependent but tiny and low confidence</t>
  </si>
  <si>
    <t xml:space="preserve">70% broker, 4 app days, £454 - cost-to-serve case, not a revenue case</t>
  </si>
  <si>
    <t xml:space="preserve">81% broker, 4 app days, £1,401 - scores 95 on half the old GMV bar</t>
  </si>
  <si>
    <t xml:space="preserve">C. High value and dependent</t>
  </si>
  <si>
    <t xml:space="preserve">£170k, 32 of 46 orders AM-placed, 3 app days, 0 offers</t>
  </si>
  <si>
    <t xml:space="preserve">£41k, 27 of 36 orders AM-placed, 1 app day; 2 offers excluded it</t>
  </si>
  <si>
    <t xml:space="preserve">£70.6k but only 2 orders (1 manual) - low confidence</t>
  </si>
  <si>
    <t xml:space="preserve">D. Missed by old binary</t>
  </si>
  <si>
    <t xml:space="preserve">£18.7k, 24 manual orders, 1 app day; excluded for making 1 offer</t>
  </si>
  <si>
    <t xml:space="preserve">£11.3k, 18 manual orders, 1 app day; excluded for 1 offer</t>
  </si>
  <si>
    <t xml:space="preserve">£11.0k, 29 of 37 orders manual; excluded for 1 offer</t>
  </si>
  <si>
    <t xml:space="preserve">70% broker, 0 offers; excluded only for GMV £1,448</t>
  </si>
  <si>
    <t xml:space="preserve">E. Account Managed, not broker-reliant</t>
  </si>
  <si>
    <t xml:space="preserve">113 app days, 2,403 PDP views, 6 of 7 orders self-serve</t>
  </si>
  <si>
    <t xml:space="preserve">77 app days, 17 offers, 4 of 5 orders self-serve</t>
  </si>
  <si>
    <t xml:space="preserve">£5.0k, 59 app days, 5 offers, 7 of 8 orders self-serve</t>
  </si>
  <si>
    <t xml:space="preserve">Flaw in brief as proposed</t>
  </si>
  <si>
    <t xml:space="preserve">0 AM orders, 1 order total - scores 50 (Medium) and is an old near-miss</t>
  </si>
  <si>
    <t xml:space="preserve">0 AM orders, broker % exactly 20 - scores 62.5 (Medium) under &lt;20% band</t>
  </si>
  <si>
    <t xml:space="preserve">Data-quality flag</t>
  </si>
  <si>
    <t xml:space="preserve">account_status = "Duplicate" but no matching record found; Medium, £24.6k</t>
  </si>
  <si>
    <t xml:space="preserve">Issue</t>
  </si>
  <si>
    <t xml:space="preserve">Detail</t>
  </si>
  <si>
    <t xml:space="preserve">Handling</t>
  </si>
  <si>
    <t xml:space="preserve">broker_reliance_pct does not reconcile to order counts</t>
  </si>
  <si>
    <t xml:space="preserve">157 of 300 rows differ by &gt;2pts from manual/(manual+self-serve); 21 would change band; e.g. ACC-011 = 1 manual, 0 self-serve, shown as 50%</t>
  </si>
  <si>
    <t xml:space="preserve">Used broker_reliance_pct as given (brief: source of truth). Flagged; confirm definition with data owner</t>
  </si>
  <si>
    <t xml:space="preserve">Account Managed rows with 0 manual orders show 1-20% broker reliance</t>
  </si>
  <si>
    <t xml:space="preserve">122 AM accounts have 0 manual orders but broker % 0-20 (Self Serve rows are exactly 0)</t>
  </si>
  <si>
    <t xml:space="preserve">Treated &lt;=20% as "no meaningful broker use" (gate)</t>
  </si>
  <si>
    <t xml:space="preserve">Broker % is bimodal</t>
  </si>
  <si>
    <t xml:space="preserve">218 accounts at 0-20%, 4 at exactly 20%, none at 21-39%, 78 at 41-84%</t>
  </si>
  <si>
    <t xml:space="preserve">Bands kept; 20-40 band is empty in this batch</t>
  </si>
  <si>
    <t xml:space="preserve">Small order counts</t>
  </si>
  <si>
    <t xml:space="preserve">158 of 300 accounts have 1 order; 15 broker-led accounts have &lt;=2 orders</t>
  </si>
  <si>
    <t xml:space="preserve">Low-confidence flag, not exclusion</t>
  </si>
  <si>
    <t xml:space="preserve">ACC-005 status = "Duplicate"</t>
  </si>
  <si>
    <t xml:space="preserve">No matching record in Accounts (checked persona, country, tenure, GMV)</t>
  </si>
  <si>
    <t xml:space="preserve">Kept in scoring; exclude from outreach until verified</t>
  </si>
  <si>
    <t xml:space="preserve">account_status blank</t>
  </si>
  <si>
    <t xml:space="preserve">134 rows (all 90 Self Serve + 44 AM); only values are Active / Duplicate</t>
  </si>
  <si>
    <t xml:space="preserve">Not used in scoring</t>
  </si>
  <si>
    <t xml:space="preserve">gmv_trend_pct blank</t>
  </si>
  <si>
    <t xml:space="preserve">150 rows - exactly the rows where gmv_sep = 0 (divide by zero)</t>
  </si>
  <si>
    <t xml:space="preserve">Monthly GMV rounding</t>
  </si>
  <si>
    <t xml:space="preserve">38 rows where Sep-Feb sum differs from gmv_total_6m by 1-2 (rounding)</t>
  </si>
  <si>
    <t xml:space="preserve">Immaterial</t>
  </si>
  <si>
    <t xml:space="preserve">App activity may not capture all self-serve</t>
  </si>
  <si>
    <t xml:space="preserve">7 accounts have self-serve orders but 0 app days; 25 have more self-serve orders than app days (e.g. ACC-218: 4 orders, 0 app days, 0 PDP views)</t>
  </si>
  <si>
    <t xml:space="preserve">Flag: confirm whether web/desktop use is counted in app_active_days_6m</t>
  </si>
  <si>
    <t xml:space="preserve">new_accounts tab</t>
  </si>
  <si>
    <t xml:space="preserve">50 rows; 5 IDs already in Accounts (ACC-006, 008, 048, 211, 214)</t>
  </si>
  <si>
    <t xml:space="preserve">Out of scope for this stage</t>
  </si>
  <si>
    <t xml:space="preserve">Duplicates</t>
  </si>
  <si>
    <t xml:space="preserve">0 duplicate account_ids; 0 duplicate rows</t>
  </si>
  <si>
    <t xml:space="preserve">-</t>
  </si>
  <si>
    <t xml:space="preserve">February completeness unconfirmed</t>
  </si>
  <si>
    <t xml:space="preserve">Feb is 14.1% of 6m GMV (Jan 11.2%, Dec 14.6%); 75 accounts active in Feb vs 88 in Jan. Cannot confirm the month is complete.</t>
  </si>
  <si>
    <t xml:space="preserve">Official momentum keeps Feb. Stage 3.1 february_sensitive flag (Sep-Nov vs Dec-Jan, monthly averages): 36 accounts, incl. 4 Migration Candidates (ACC-001, 003, 039, 058). The Stage 3 quick test (Oct-Nov vs Dec-Jan) also dropped September and over-flagged ACC-024 and ACC-033.</t>
  </si>
  <si>
    <t xml:space="preserve">Momentum state "H2 Active / No H1 GMV" renamed</t>
  </si>
  <si>
    <t xml:space="preserve">Now "H2 Active / No H1 GMV". lifecycle_context splits it: New Customer (tenure &lt;= 6 months, 49) vs Returned Customer (tenure &gt; 6 months, 24, e.g. ACC-011 at 34 months).</t>
  </si>
  <si>
    <t xml:space="preserve">Segments 4 and 7 relabelled Establish / Re-establish / Observe and Onboard / Re-engage / Learn</t>
  </si>
  <si>
    <t xml:space="preserve">Broker % vs counts can cross the 20% gate</t>
  </si>
  <si>
    <t xml:space="preserve">4 accounts at 15-19% would be 25-33% from counts (ACC-048, 078, 111, 120). CORRECTION to Stage 3 report: ACC-078 and ACC-111 would score Medium and move from Long-Tail Automated Nurture to Cost-to-Serve / Low-Touch.</t>
  </si>
  <si>
    <t xml:space="preserve">Provided % kept as source of truth; material_broker_inconsistency = TRUE; implied segment shown on Segmentation tab</t>
  </si>
  <si>
    <t xml:space="preserve">Material broker inconsistency (Stage 3.1 rule)</t>
  </si>
  <si>
    <t xml:space="preserve">18 accounts cross the gate, change broker band or change tier; 10 change tier (High&lt;-&gt;Medium or Low-&gt;Medium); 2 change action segment. 9 of the 18 have a gap of 10pts or less (band-boundary cases, e.g. ACC-012 59% vs 61%).</t>
  </si>
  <si>
    <t xml:space="preserve">Manual review only. Raw gap flag (&gt;10pts, 85 accounts) retained for reference</t>
  </si>
  <si>
    <t xml:space="preserve">Lapsed on thin history</t>
  </si>
  <si>
    <t xml:space="preserve">135 of 149 Lapsed accounts have &lt;= 2 orders or only one month with GMV (incl. ACC-002: 2 orders, £70.7k)</t>
  </si>
  <si>
    <t xml:space="preserve">lapse_context = One-Off / Insufficient History - Verify; segment unchanged</t>
  </si>
</sst>
</file>

<file path=xl/styles.xml><?xml version="1.0" encoding="utf-8"?>
<styleSheet xmlns="http://schemas.openxmlformats.org/spreadsheetml/2006/main">
  <numFmts count="6">
    <numFmt numFmtId="164" formatCode="General"/>
    <numFmt numFmtId="165" formatCode="0%"/>
    <numFmt numFmtId="166" formatCode="\£#,##0"/>
    <numFmt numFmtId="167" formatCode="General"/>
    <numFmt numFmtId="168" formatCode="0.0%"/>
    <numFmt numFmtId="169" formatCode="0.0"/>
  </numFmts>
  <fonts count="11">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color theme="1"/>
      <name val="Arial"/>
      <family val="0"/>
      <charset val="1"/>
    </font>
    <font>
      <b val="true"/>
      <sz val="11"/>
      <name val="Arial"/>
      <family val="0"/>
      <charset val="1"/>
    </font>
    <font>
      <sz val="11"/>
      <color rgb="FF0000FF"/>
      <name val="Arial"/>
      <family val="0"/>
      <charset val="1"/>
    </font>
    <font>
      <b val="true"/>
      <sz val="10"/>
      <name val="Arial"/>
      <family val="0"/>
      <charset val="1"/>
    </font>
    <font>
      <sz val="10"/>
      <name val="Arial"/>
      <family val="2"/>
    </font>
    <font>
      <sz val="10"/>
      <color rgb="FF0000FF"/>
      <name val="Arial"/>
      <family val="0"/>
      <charset val="1"/>
    </font>
  </fonts>
  <fills count="7">
    <fill>
      <patternFill patternType="none"/>
    </fill>
    <fill>
      <patternFill patternType="gray125"/>
    </fill>
    <fill>
      <patternFill patternType="solid">
        <fgColor rgb="FFFFFF00"/>
        <bgColor rgb="FFFFFF00"/>
      </patternFill>
    </fill>
    <fill>
      <patternFill patternType="solid">
        <fgColor rgb="FFD9E1F2"/>
        <bgColor rgb="FFE2EFDA"/>
      </patternFill>
    </fill>
    <fill>
      <patternFill patternType="solid">
        <fgColor rgb="FFFCE4D6"/>
        <bgColor rgb="FFFFF2CC"/>
      </patternFill>
    </fill>
    <fill>
      <patternFill patternType="solid">
        <fgColor rgb="FFFFF2CC"/>
        <bgColor rgb="FFFCE4D6"/>
      </patternFill>
    </fill>
    <fill>
      <patternFill patternType="solid">
        <fgColor rgb="FFE2EFDA"/>
        <bgColor rgb="FFD9E1F2"/>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6" fontId="7"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top" textRotation="0" wrapText="tru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6" fillId="4" borderId="0" xfId="0" applyFont="true" applyBorder="false" applyAlignment="true" applyProtection="false">
      <alignment horizontal="general" vertical="top" textRotation="0" wrapText="true" indent="0" shrinkToFit="false"/>
      <protection locked="true" hidden="false"/>
    </xf>
    <xf numFmtId="164" fontId="6" fillId="5"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6" borderId="0" xfId="0" applyFont="true" applyBorder="false" applyAlignment="true" applyProtection="false">
      <alignment horizontal="general" vertical="top" textRotation="0" wrapText="tru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D9E1F2"/>
          <bgColor rgb="FF000000"/>
        </patternFill>
      </fill>
    </dxf>
    <dxf>
      <fill>
        <patternFill patternType="solid">
          <bgColor rgb="FF000000"/>
        </patternFill>
      </fill>
    </dxf>
    <dxf>
      <fill>
        <patternFill patternType="solid">
          <fgColor rgb="FF000000"/>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FFFF00"/>
          <bgColor rgb="FF000000"/>
        </patternFill>
      </fill>
    </dxf>
    <dxf>
      <fill>
        <patternFill patternType="solid">
          <fgColor rgb="FFE2EFDA"/>
          <bgColor rgb="FF000000"/>
        </patternFill>
      </fill>
    </dxf>
  </dxfs>
  <colors>
    <indexedColors>
      <rgbColor rgb="FF000000"/>
      <rgbColor rgb="FFFCE4D6"/>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6.xml"/><Relationship Id="rId3" Type="http://schemas.openxmlformats.org/officeDocument/2006/relationships/vmlDrawing" Target="../drawings/vmlDrawing1.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2.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7.xml"/><Relationship Id="rId3" Type="http://schemas.openxmlformats.org/officeDocument/2006/relationships/vmlDrawing" Target="../drawings/vmlDrawing3.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8.xml"/><Relationship Id="rId3" Type="http://schemas.openxmlformats.org/officeDocument/2006/relationships/vmlDrawing" Target="../drawings/vmlDrawing4.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9.xml"/><Relationship Id="rId3" Type="http://schemas.openxmlformats.org/officeDocument/2006/relationships/vmlDrawing" Target="../drawings/vmlDrawing5.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10.xml"/><Relationship Id="rId3" Type="http://schemas.openxmlformats.org/officeDocument/2006/relationships/vmlDrawing" Target="../drawings/vmlDrawing6.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12"/>
  </cols>
  <sheetData>
    <row r="1" customFormat="false" ht="15" hidden="false" customHeight="false" outlineLevel="0" collapsed="false">
      <c r="A1" s="1" t="s">
        <v>0</v>
      </c>
      <c r="B1" s="2"/>
    </row>
    <row r="2" customFormat="false" ht="15" hidden="false" customHeight="false" outlineLevel="0" collapsed="false">
      <c r="A2" s="2"/>
      <c r="B2" s="2"/>
    </row>
    <row r="3" customFormat="false" ht="15" hidden="false" customHeight="false" outlineLevel="0" collapsed="false">
      <c r="A3" s="3" t="s">
        <v>1</v>
      </c>
      <c r="B3" s="2"/>
    </row>
    <row r="4" customFormat="false" ht="15" hidden="false" customHeight="false" outlineLevel="0" collapsed="false">
      <c r="A4" s="2" t="s">
        <v>2</v>
      </c>
      <c r="B4" s="4" t="n">
        <v>0.5</v>
      </c>
    </row>
    <row r="5" customFormat="false" ht="15" hidden="false" customHeight="false" outlineLevel="0" collapsed="false">
      <c r="A5" s="2" t="s">
        <v>3</v>
      </c>
      <c r="B5" s="4" t="n">
        <v>0.3</v>
      </c>
    </row>
    <row r="6" customFormat="false" ht="15" hidden="false" customHeight="false" outlineLevel="0" collapsed="false">
      <c r="A6" s="2" t="s">
        <v>4</v>
      </c>
      <c r="B6" s="4" t="n">
        <v>0.2</v>
      </c>
    </row>
    <row r="7" customFormat="false" ht="15" hidden="false" customHeight="false" outlineLevel="0" collapsed="false">
      <c r="A7" s="2"/>
      <c r="B7" s="2"/>
    </row>
    <row r="8" customFormat="false" ht="15" hidden="false" customHeight="false" outlineLevel="0" collapsed="false">
      <c r="A8" s="2" t="s">
        <v>5</v>
      </c>
      <c r="B8" s="5" t="n">
        <v>20</v>
      </c>
    </row>
    <row r="9" customFormat="false" ht="15" hidden="false" customHeight="false" outlineLevel="0" collapsed="false">
      <c r="A9" s="2" t="s">
        <v>6</v>
      </c>
      <c r="B9" s="5" t="n">
        <v>70</v>
      </c>
    </row>
    <row r="10" customFormat="false" ht="15" hidden="false" customHeight="false" outlineLevel="0" collapsed="false">
      <c r="A10" s="2" t="s">
        <v>7</v>
      </c>
      <c r="B10" s="5" t="n">
        <v>40</v>
      </c>
    </row>
    <row r="11" customFormat="false" ht="15" hidden="false" customHeight="false" outlineLevel="0" collapsed="false">
      <c r="A11" s="2"/>
      <c r="B11" s="2"/>
    </row>
    <row r="12" customFormat="false" ht="15" hidden="false" customHeight="false" outlineLevel="0" collapsed="false">
      <c r="A12" s="3" t="s">
        <v>8</v>
      </c>
      <c r="B12" s="2"/>
    </row>
    <row r="13" customFormat="false" ht="15" hidden="false" customHeight="false" outlineLevel="0" collapsed="false">
      <c r="A13" s="2" t="s">
        <v>9</v>
      </c>
      <c r="B13" s="5" t="n">
        <v>20</v>
      </c>
    </row>
    <row r="14" customFormat="false" ht="15" hidden="false" customHeight="false" outlineLevel="0" collapsed="false">
      <c r="A14" s="2" t="s">
        <v>10</v>
      </c>
      <c r="B14" s="5" t="n">
        <v>40</v>
      </c>
    </row>
    <row r="15" customFormat="false" ht="15" hidden="false" customHeight="false" outlineLevel="0" collapsed="false">
      <c r="A15" s="2" t="s">
        <v>11</v>
      </c>
      <c r="B15" s="5" t="n">
        <v>60</v>
      </c>
    </row>
    <row r="16" customFormat="false" ht="15" hidden="false" customHeight="false" outlineLevel="0" collapsed="false">
      <c r="A16" s="2" t="s">
        <v>12</v>
      </c>
      <c r="B16" s="5" t="n">
        <v>80</v>
      </c>
    </row>
    <row r="17" customFormat="false" ht="15" hidden="false" customHeight="false" outlineLevel="0" collapsed="false">
      <c r="A17" s="2"/>
      <c r="B17" s="2"/>
    </row>
    <row r="18" customFormat="false" ht="15" hidden="false" customHeight="false" outlineLevel="0" collapsed="false">
      <c r="A18" s="3" t="s">
        <v>13</v>
      </c>
      <c r="B18" s="2"/>
    </row>
    <row r="19" customFormat="false" ht="15" hidden="false" customHeight="false" outlineLevel="0" collapsed="false">
      <c r="A19" s="2" t="s">
        <v>14</v>
      </c>
      <c r="B19" s="5" t="n">
        <v>30</v>
      </c>
    </row>
    <row r="20" customFormat="false" ht="15" hidden="false" customHeight="false" outlineLevel="0" collapsed="false">
      <c r="A20" s="2" t="s">
        <v>15</v>
      </c>
      <c r="B20" s="5" t="n">
        <v>20</v>
      </c>
    </row>
    <row r="21" customFormat="false" ht="15" hidden="false" customHeight="false" outlineLevel="0" collapsed="false">
      <c r="A21" s="2" t="s">
        <v>16</v>
      </c>
      <c r="B21" s="5" t="n">
        <v>10</v>
      </c>
    </row>
    <row r="22" customFormat="false" ht="15" hidden="false" customHeight="false" outlineLevel="0" collapsed="false">
      <c r="A22" s="2" t="s">
        <v>17</v>
      </c>
      <c r="B22" s="5" t="n">
        <v>5</v>
      </c>
    </row>
    <row r="23" customFormat="false" ht="15" hidden="false" customHeight="false" outlineLevel="0" collapsed="false">
      <c r="A23" s="2"/>
      <c r="B23" s="2"/>
    </row>
    <row r="24" customFormat="false" ht="15" hidden="false" customHeight="false" outlineLevel="0" collapsed="false">
      <c r="A24" s="3" t="s">
        <v>18</v>
      </c>
      <c r="B24" s="2"/>
    </row>
    <row r="25" customFormat="false" ht="15" hidden="false" customHeight="false" outlineLevel="0" collapsed="false">
      <c r="A25" s="2" t="s">
        <v>19</v>
      </c>
      <c r="B25" s="5" t="n">
        <v>5</v>
      </c>
    </row>
    <row r="26" customFormat="false" ht="15" hidden="false" customHeight="false" outlineLevel="0" collapsed="false">
      <c r="A26" s="2" t="s">
        <v>15</v>
      </c>
      <c r="B26" s="5" t="n">
        <v>3</v>
      </c>
    </row>
    <row r="27" customFormat="false" ht="15" hidden="false" customHeight="false" outlineLevel="0" collapsed="false">
      <c r="A27" s="2" t="s">
        <v>20</v>
      </c>
      <c r="B27" s="5" t="n">
        <v>2</v>
      </c>
    </row>
    <row r="28" customFormat="false" ht="15" hidden="false" customHeight="false" outlineLevel="0" collapsed="false">
      <c r="A28" s="2" t="s">
        <v>21</v>
      </c>
      <c r="B28" s="5" t="n">
        <v>1</v>
      </c>
    </row>
    <row r="29" customFormat="false" ht="15" hidden="false" customHeight="false" outlineLevel="0" collapsed="false">
      <c r="A29" s="2"/>
      <c r="B29" s="2"/>
    </row>
    <row r="30" customFormat="false" ht="15" hidden="false" customHeight="false" outlineLevel="0" collapsed="false">
      <c r="A30" s="2" t="s">
        <v>22</v>
      </c>
      <c r="B30" s="5" t="n">
        <v>2</v>
      </c>
    </row>
    <row r="31" customFormat="false" ht="15" hidden="false" customHeight="false" outlineLevel="0" collapsed="false">
      <c r="A31" s="2"/>
      <c r="B31" s="2"/>
    </row>
    <row r="32" customFormat="false" ht="15" hidden="false" customHeight="false" outlineLevel="0" collapsed="false">
      <c r="A32" s="2" t="s">
        <v>23</v>
      </c>
      <c r="B32" s="2"/>
    </row>
    <row r="33" customFormat="false" ht="15" hidden="false" customHeight="false" outlineLevel="0" collapsed="false">
      <c r="A33" s="3" t="s">
        <v>24</v>
      </c>
      <c r="B33" s="2"/>
    </row>
    <row r="34" customFormat="false" ht="15" hidden="false" customHeight="false" outlineLevel="0" collapsed="false">
      <c r="A34" s="2" t="s">
        <v>25</v>
      </c>
      <c r="B34" s="6" t="n">
        <v>2000</v>
      </c>
    </row>
    <row r="35" customFormat="false" ht="15" hidden="false" customHeight="false" outlineLevel="0" collapsed="false">
      <c r="A35" s="2" t="s">
        <v>26</v>
      </c>
      <c r="B35" s="6" t="n">
        <v>10000</v>
      </c>
    </row>
    <row r="36" customFormat="false" ht="15" hidden="false" customHeight="false" outlineLevel="0" collapsed="false">
      <c r="A36" s="2" t="s">
        <v>27</v>
      </c>
      <c r="B36" s="4" t="n">
        <v>0.2</v>
      </c>
    </row>
    <row r="37" customFormat="false" ht="15" hidden="false" customHeight="false" outlineLevel="0" collapsed="false">
      <c r="A37" s="2"/>
      <c r="B37" s="2"/>
    </row>
    <row r="38" customFormat="false" ht="15" hidden="false" customHeight="false" outlineLevel="0" collapsed="false">
      <c r="A38" s="3" t="s">
        <v>28</v>
      </c>
      <c r="B38" s="2"/>
    </row>
    <row r="39" customFormat="false" ht="15" hidden="false" customHeight="false" outlineLevel="0" collapsed="false">
      <c r="A39" s="2" t="s">
        <v>29</v>
      </c>
      <c r="B39" s="5" t="n">
        <v>3</v>
      </c>
    </row>
    <row r="40" customFormat="false" ht="15" hidden="false" customHeight="false" outlineLevel="0" collapsed="false">
      <c r="A40" s="2" t="s">
        <v>30</v>
      </c>
      <c r="B40" s="5" t="n">
        <v>2</v>
      </c>
    </row>
    <row r="41" customFormat="false" ht="15" hidden="false" customHeight="false" outlineLevel="0" collapsed="false">
      <c r="A41" s="2" t="s">
        <v>31</v>
      </c>
      <c r="B41" s="5" t="n">
        <v>10</v>
      </c>
    </row>
    <row r="42" customFormat="false" ht="15" hidden="false" customHeight="false" outlineLevel="0" collapsed="false">
      <c r="A42" s="2" t="s">
        <v>32</v>
      </c>
      <c r="B42" s="2"/>
    </row>
    <row r="43" customFormat="false" ht="15" hidden="false" customHeight="false" outlineLevel="0" collapsed="false">
      <c r="A43" s="2" t="s">
        <v>33</v>
      </c>
      <c r="B43" s="2"/>
    </row>
    <row r="44" customFormat="false" ht="15" hidden="false" customHeight="false" outlineLevel="0" collapsed="false">
      <c r="A44" s="2"/>
      <c r="B44" s="2"/>
    </row>
    <row r="45" customFormat="false" ht="15" hidden="false" customHeight="false" outlineLevel="0" collapsed="false">
      <c r="A45" s="3" t="s">
        <v>34</v>
      </c>
      <c r="B45" s="2"/>
    </row>
    <row r="46" customFormat="false" ht="15" hidden="false" customHeight="false" outlineLevel="0" collapsed="false">
      <c r="A46" s="2" t="s">
        <v>35</v>
      </c>
      <c r="B46" s="4" t="n">
        <v>0.05</v>
      </c>
    </row>
    <row r="47" customFormat="false" ht="15" hidden="false" customHeight="false" outlineLevel="0" collapsed="false">
      <c r="A47" s="2" t="s">
        <v>36</v>
      </c>
      <c r="B47" s="5" t="n">
        <v>6</v>
      </c>
    </row>
    <row r="48" customFormat="false" ht="15" hidden="false" customHeight="false" outlineLevel="0" collapsed="false">
      <c r="A48" s="2" t="s">
        <v>37</v>
      </c>
      <c r="B48" s="5" t="n">
        <v>2</v>
      </c>
    </row>
    <row r="49" customFormat="false" ht="15" hidden="false" customHeight="false" outlineLevel="0" collapsed="false">
      <c r="A49" s="2" t="s">
        <v>38</v>
      </c>
      <c r="B49" s="5" t="n">
        <v>1</v>
      </c>
    </row>
    <row r="50" customFormat="false" ht="15" hidden="false" customHeight="false" outlineLevel="0" collapsed="false">
      <c r="A50" s="2" t="s">
        <v>39</v>
      </c>
      <c r="B50" s="2"/>
    </row>
    <row r="51" customFormat="false" ht="15" hidden="false" customHeight="false" outlineLevel="0" collapsed="false">
      <c r="A51" s="2" t="s">
        <v>40</v>
      </c>
      <c r="B51" s="2"/>
    </row>
    <row r="52" customFormat="false" ht="15" hidden="false" customHeight="false" outlineLevel="0" collapsed="false">
      <c r="A52" s="2" t="s">
        <v>41</v>
      </c>
      <c r="B52" s="2"/>
    </row>
    <row r="53" customFormat="false" ht="15" hidden="false" customHeight="false" outlineLevel="0" collapsed="false">
      <c r="A53" s="2" t="s">
        <v>42</v>
      </c>
      <c r="B53" s="2"/>
    </row>
    <row r="54" customFormat="false" ht="15" hidden="false" customHeight="false" outlineLevel="0" collapsed="false">
      <c r="A54" s="2"/>
      <c r="B54" s="2"/>
    </row>
    <row r="55" customFormat="false" ht="15" hidden="false" customHeight="false" outlineLevel="0" collapsed="false">
      <c r="A55" s="2"/>
      <c r="B55" s="2"/>
    </row>
    <row r="56" customFormat="false" ht="15" hidden="false" customHeight="false" outlineLevel="0" collapsed="false">
      <c r="A56" s="3" t="s">
        <v>43</v>
      </c>
      <c r="B56" s="2"/>
    </row>
    <row r="57" customFormat="false" ht="15" hidden="false" customHeight="false" outlineLevel="0" collapsed="false">
      <c r="A57" s="2" t="s">
        <v>44</v>
      </c>
      <c r="B57" s="5" t="n">
        <v>10</v>
      </c>
    </row>
    <row r="58" customFormat="false" ht="15" hidden="false" customHeight="false" outlineLevel="0" collapsed="false">
      <c r="A58" s="2" t="s">
        <v>45</v>
      </c>
      <c r="B58" s="5" t="n">
        <v>50</v>
      </c>
    </row>
    <row r="59" customFormat="false" ht="15" hidden="false" customHeight="false" outlineLevel="0" collapsed="false">
      <c r="A59" s="2" t="s">
        <v>46</v>
      </c>
      <c r="B59" s="5" t="n">
        <v>3</v>
      </c>
    </row>
    <row r="60" customFormat="false" ht="15" hidden="false" customHeight="false" outlineLevel="0" collapsed="false">
      <c r="A60" s="2" t="s">
        <v>47</v>
      </c>
      <c r="B60" s="5" t="n">
        <v>20</v>
      </c>
    </row>
    <row r="61" customFormat="false" ht="15" hidden="false" customHeight="false" outlineLevel="0" collapsed="false">
      <c r="A61" s="2" t="s">
        <v>48</v>
      </c>
      <c r="B61" s="5" t="n">
        <v>200</v>
      </c>
    </row>
    <row r="62" customFormat="false" ht="15" hidden="false" customHeight="false" outlineLevel="0" collapsed="false">
      <c r="A62" s="2" t="s">
        <v>49</v>
      </c>
      <c r="B62" s="5" t="n">
        <v>3</v>
      </c>
    </row>
    <row r="63" customFormat="false" ht="15" hidden="false" customHeight="false" outlineLevel="0" collapsed="false">
      <c r="A63" s="2" t="s">
        <v>50</v>
      </c>
      <c r="B63" s="5" t="n">
        <v>3</v>
      </c>
    </row>
    <row r="64" customFormat="false" ht="15" hidden="false" customHeight="false" outlineLevel="0" collapsed="false">
      <c r="A64" s="2" t="s">
        <v>51</v>
      </c>
      <c r="B64" s="5" t="n">
        <v>1000</v>
      </c>
    </row>
    <row r="65" customFormat="false" ht="15" hidden="false" customHeight="false" outlineLevel="0" collapsed="false">
      <c r="A65" s="2" t="s">
        <v>52</v>
      </c>
      <c r="B65" s="5" t="n">
        <v>3</v>
      </c>
    </row>
    <row r="66" customFormat="false" ht="15" hidden="false" customHeight="false" outlineLevel="0" collapsed="false">
      <c r="A66" s="2" t="s">
        <v>53</v>
      </c>
      <c r="B66" s="5" t="n">
        <v>20</v>
      </c>
    </row>
    <row r="67" customFormat="false" ht="15" hidden="false" customHeight="false" outlineLevel="0" collapsed="false">
      <c r="A67" s="2" t="s">
        <v>54</v>
      </c>
      <c r="B67" s="5" t="n">
        <v>3</v>
      </c>
    </row>
    <row r="68" customFormat="false" ht="15" hidden="false" customHeight="false" outlineLevel="0" collapsed="false">
      <c r="A68" s="2" t="s">
        <v>55</v>
      </c>
      <c r="B68" s="2"/>
    </row>
    <row r="69" customFormat="false" ht="15" hidden="false" customHeight="false" outlineLevel="0" collapsed="false">
      <c r="A69" s="2"/>
      <c r="B69" s="2"/>
    </row>
    <row r="70" customFormat="false" ht="15" hidden="false" customHeight="false" outlineLevel="0" collapsed="false">
      <c r="A70" s="3" t="s">
        <v>56</v>
      </c>
      <c r="B70" s="2"/>
    </row>
    <row r="71" customFormat="false" ht="15" hidden="false" customHeight="false" outlineLevel="0" collapsed="false">
      <c r="A71" s="2" t="s">
        <v>57</v>
      </c>
      <c r="B71" s="5" t="n">
        <v>50</v>
      </c>
    </row>
    <row r="72" customFormat="false" ht="15" hidden="false" customHeight="false" outlineLevel="0" collapsed="false">
      <c r="A72" s="2" t="s">
        <v>58</v>
      </c>
      <c r="B72" s="5" t="n">
        <v>3</v>
      </c>
    </row>
    <row r="73" customFormat="false" ht="15" hidden="false" customHeight="false" outlineLevel="0" collapsed="false">
      <c r="A73" s="2" t="s">
        <v>59</v>
      </c>
      <c r="B73" s="5" t="n">
        <v>3</v>
      </c>
    </row>
    <row r="74" customFormat="false" ht="15" hidden="false" customHeight="false" outlineLevel="0" collapsed="false">
      <c r="A74" s="2" t="s">
        <v>60</v>
      </c>
      <c r="B74" s="5" t="n">
        <v>2</v>
      </c>
    </row>
    <row r="75" customFormat="false" ht="15" hidden="false" customHeight="false" outlineLevel="0" collapsed="false">
      <c r="A75" s="2" t="s">
        <v>61</v>
      </c>
      <c r="B75" s="4" t="n">
        <v>0.8</v>
      </c>
    </row>
    <row r="76" customFormat="false" ht="15" hidden="false" customHeight="false" outlineLevel="0" collapsed="false">
      <c r="A76" s="2" t="s">
        <v>62</v>
      </c>
      <c r="B76" s="5" t="n">
        <v>15</v>
      </c>
    </row>
    <row r="77" customFormat="false" ht="15" hidden="false" customHeight="false" outlineLevel="0" collapsed="false">
      <c r="A77" s="2" t="s">
        <v>63</v>
      </c>
      <c r="B77" s="5" t="n">
        <v>5</v>
      </c>
    </row>
    <row r="78" customFormat="false" ht="15" hidden="false" customHeight="false" outlineLevel="0" collapsed="false">
      <c r="A78" s="2" t="s">
        <v>64</v>
      </c>
      <c r="B78" s="5" t="n">
        <v>25</v>
      </c>
    </row>
    <row r="79" customFormat="false" ht="15" hidden="false" customHeight="false" outlineLevel="0" collapsed="false">
      <c r="A79" s="2" t="s">
        <v>65</v>
      </c>
      <c r="B79" s="5" t="n">
        <v>6</v>
      </c>
    </row>
    <row r="80" customFormat="false" ht="15" hidden="false" customHeight="false" outlineLevel="0" collapsed="false">
      <c r="A80" s="2" t="s">
        <v>66</v>
      </c>
      <c r="B80" s="5" t="n">
        <v>2</v>
      </c>
    </row>
    <row r="81" customFormat="false" ht="15" hidden="false" customHeight="false" outlineLevel="0" collapsed="false">
      <c r="A81" s="2" t="s">
        <v>67</v>
      </c>
      <c r="B81" s="4" t="n">
        <v>0.7</v>
      </c>
    </row>
    <row r="82" customFormat="false" ht="15" hidden="false" customHeight="false" outlineLevel="0" collapsed="false">
      <c r="A82" s="2" t="s">
        <v>68</v>
      </c>
      <c r="B82" s="5" t="n">
        <v>45</v>
      </c>
    </row>
    <row r="83" customFormat="false" ht="15" hidden="false" customHeight="false" outlineLevel="0" collapsed="false">
      <c r="A83" s="2" t="s">
        <v>69</v>
      </c>
      <c r="B83" s="5" t="n">
        <v>3</v>
      </c>
    </row>
    <row r="84" customFormat="false" ht="15" hidden="false" customHeight="false" outlineLevel="0" collapsed="false">
      <c r="A84" s="2" t="s">
        <v>70</v>
      </c>
      <c r="B84" s="5" t="n">
        <v>5</v>
      </c>
    </row>
    <row r="85" customFormat="false" ht="15" hidden="false" customHeight="false" outlineLevel="0" collapsed="false">
      <c r="A85" s="2" t="s">
        <v>71</v>
      </c>
      <c r="B85" s="5" t="n">
        <v>90</v>
      </c>
    </row>
    <row r="86" customFormat="false" ht="15" hidden="false" customHeight="false" outlineLevel="0" collapsed="false">
      <c r="A86" s="2" t="s">
        <v>72</v>
      </c>
      <c r="B86" s="2"/>
    </row>
    <row r="87" customFormat="false" ht="15" hidden="false" customHeight="false" outlineLevel="0" collapsed="false">
      <c r="A87" s="2"/>
      <c r="B87" s="2"/>
    </row>
    <row r="88" customFormat="false" ht="15" hidden="false" customHeight="false" outlineLevel="0" collapsed="false">
      <c r="A88" s="7" t="s">
        <v>73</v>
      </c>
      <c r="B88"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3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9"/>
    <col collapsed="false" customWidth="true" hidden="false" outlineLevel="0" max="3" min="3" style="0" width="8"/>
    <col collapsed="false" customWidth="true" hidden="false" outlineLevel="0" max="4" min="4" style="0" width="11"/>
    <col collapsed="false" customWidth="true" hidden="false" outlineLevel="0" max="5" min="5" style="0" width="24"/>
    <col collapsed="false" customWidth="true" hidden="false" outlineLevel="0" max="7" min="6" style="0" width="26"/>
    <col collapsed="false" customWidth="true" hidden="false" outlineLevel="0" max="8" min="8" style="0" width="22"/>
    <col collapsed="false" customWidth="true" hidden="false" outlineLevel="0" max="9" min="9" style="0" width="18"/>
    <col collapsed="false" customWidth="true" hidden="false" outlineLevel="0" max="10" min="10" style="0" width="22"/>
    <col collapsed="false" customWidth="true" hidden="false" outlineLevel="0" max="13" min="13" style="0" width="16"/>
    <col collapsed="false" customWidth="true" hidden="false" outlineLevel="0" max="14" min="14" style="0" width="26"/>
    <col collapsed="false" customWidth="true" hidden="false" outlineLevel="0" max="15" min="15" style="0" width="40"/>
    <col collapsed="false" customWidth="true" hidden="false" outlineLevel="0" max="17" min="17" style="0" width="40"/>
    <col collapsed="false" customWidth="true" hidden="false" outlineLevel="0" max="19" min="18" style="0" width="34"/>
    <col collapsed="false" customWidth="true" hidden="false" outlineLevel="0" max="20" min="20" style="0" width="40"/>
    <col collapsed="false" customWidth="true" hidden="false" outlineLevel="0" max="21" min="21" style="0" width="26"/>
    <col collapsed="false" customWidth="true" hidden="false" outlineLevel="0" max="22" min="22" style="0" width="16"/>
    <col collapsed="false" customWidth="true" hidden="false" outlineLevel="0" max="23" min="23" style="0" width="60"/>
    <col collapsed="false" customWidth="true" hidden="false" outlineLevel="0" max="24" min="24" style="0" width="75"/>
    <col collapsed="false" customWidth="true" hidden="false" outlineLevel="0" max="27" min="27" style="0" width="45"/>
    <col collapsed="false" customWidth="true" hidden="false" outlineLevel="0" max="35" min="35" style="0" width="40"/>
    <col collapsed="false" customWidth="true" hidden="false" outlineLevel="0" max="36" min="36" style="0" width="18"/>
    <col collapsed="false" customWidth="true" hidden="false" outlineLevel="0" max="37" min="37" style="0" width="26"/>
  </cols>
  <sheetData>
    <row r="1" customFormat="false" ht="15" hidden="false" customHeight="false" outlineLevel="0" collapsed="false">
      <c r="A1" s="7" t="s">
        <v>74</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row>
    <row r="2" customFormat="false" ht="15" hidden="false" customHeight="false" outlineLevel="0" collapsed="false">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customFormat="false" ht="57.45" hidden="false" customHeight="false" outlineLevel="0" collapsed="false">
      <c r="A3" s="8" t="s">
        <v>75</v>
      </c>
      <c r="B3" s="8" t="s">
        <v>76</v>
      </c>
      <c r="C3" s="8" t="s">
        <v>77</v>
      </c>
      <c r="D3" s="8" t="s">
        <v>78</v>
      </c>
      <c r="E3" s="8" t="s">
        <v>79</v>
      </c>
      <c r="F3" s="8" t="s">
        <v>80</v>
      </c>
      <c r="G3" s="8" t="s">
        <v>81</v>
      </c>
      <c r="H3" s="8" t="s">
        <v>82</v>
      </c>
      <c r="I3" s="8" t="s">
        <v>83</v>
      </c>
      <c r="J3" s="8" t="s">
        <v>84</v>
      </c>
      <c r="K3" s="8" t="s">
        <v>85</v>
      </c>
      <c r="L3" s="8" t="s">
        <v>86</v>
      </c>
      <c r="M3" s="8" t="s">
        <v>87</v>
      </c>
      <c r="N3" s="8" t="s">
        <v>88</v>
      </c>
      <c r="O3" s="8" t="s">
        <v>89</v>
      </c>
      <c r="P3" s="8" t="s">
        <v>90</v>
      </c>
      <c r="Q3" s="8" t="s">
        <v>91</v>
      </c>
      <c r="R3" s="8" t="s">
        <v>92</v>
      </c>
      <c r="S3" s="8" t="s">
        <v>93</v>
      </c>
      <c r="T3" s="8" t="s">
        <v>94</v>
      </c>
      <c r="U3" s="8" t="s">
        <v>95</v>
      </c>
      <c r="V3" s="8" t="s">
        <v>96</v>
      </c>
      <c r="W3" s="8" t="s">
        <v>97</v>
      </c>
      <c r="X3" s="8" t="s">
        <v>98</v>
      </c>
      <c r="Y3" s="8" t="s">
        <v>99</v>
      </c>
      <c r="Z3" s="8" t="s">
        <v>100</v>
      </c>
      <c r="AA3" s="8" t="s">
        <v>101</v>
      </c>
      <c r="AB3" s="8" t="s">
        <v>102</v>
      </c>
      <c r="AC3" s="8" t="s">
        <v>103</v>
      </c>
      <c r="AD3" s="8" t="s">
        <v>104</v>
      </c>
      <c r="AE3" s="8" t="s">
        <v>105</v>
      </c>
      <c r="AF3" s="8" t="s">
        <v>106</v>
      </c>
      <c r="AG3" s="8" t="s">
        <v>107</v>
      </c>
      <c r="AH3" s="8" t="s">
        <v>108</v>
      </c>
      <c r="AI3" s="8" t="s">
        <v>109</v>
      </c>
      <c r="AJ3" s="8" t="s">
        <v>110</v>
      </c>
      <c r="AK3" s="8" t="s">
        <v>111</v>
      </c>
      <c r="AL3" s="8" t="s">
        <v>112</v>
      </c>
    </row>
    <row r="4" customFormat="false" ht="90" hidden="false" customHeight="true" outlineLevel="0" collapsed="false">
      <c r="A4" s="2" t="s">
        <v>113</v>
      </c>
      <c r="B4" s="2" t="s">
        <v>114</v>
      </c>
      <c r="C4" s="2" t="s">
        <v>115</v>
      </c>
      <c r="D4" s="9" t="n">
        <v>24555</v>
      </c>
      <c r="E4" s="2" t="s">
        <v>116</v>
      </c>
      <c r="F4" s="2" t="s">
        <v>117</v>
      </c>
      <c r="G4" s="2" t="s">
        <v>118</v>
      </c>
      <c r="H4" s="2" t="s">
        <v>119</v>
      </c>
      <c r="I4" s="2" t="s">
        <v>120</v>
      </c>
      <c r="J4" s="2" t="s">
        <v>121</v>
      </c>
      <c r="K4" s="10" t="b">
        <f aca="false">FALSE()</f>
        <v>0</v>
      </c>
      <c r="L4" s="10" t="b">
        <f aca="false">FALSE()</f>
        <v>0</v>
      </c>
      <c r="M4" s="2" t="s">
        <v>122</v>
      </c>
      <c r="N4" s="2" t="s">
        <v>123</v>
      </c>
      <c r="O4" s="11" t="s">
        <v>124</v>
      </c>
      <c r="P4" s="2" t="n">
        <v>7</v>
      </c>
      <c r="Q4" s="11" t="s">
        <v>125</v>
      </c>
      <c r="R4" s="11" t="s">
        <v>126</v>
      </c>
      <c r="S4" s="11" t="s">
        <v>127</v>
      </c>
      <c r="T4" s="2" t="s">
        <v>128</v>
      </c>
      <c r="U4" s="2" t="s">
        <v>129</v>
      </c>
      <c r="V4" s="2"/>
      <c r="W4" s="2"/>
      <c r="X4" s="11" t="s">
        <v>130</v>
      </c>
      <c r="Y4" s="2"/>
      <c r="Z4" s="2"/>
      <c r="AA4" s="2"/>
      <c r="AB4" s="2"/>
      <c r="AC4" s="2" t="s">
        <v>131</v>
      </c>
      <c r="AD4" s="2" t="s">
        <v>132</v>
      </c>
      <c r="AE4" s="10" t="b">
        <f aca="false">FALSE()</f>
        <v>0</v>
      </c>
      <c r="AF4" s="2" t="s">
        <v>133</v>
      </c>
      <c r="AG4" s="2" t="s">
        <v>134</v>
      </c>
      <c r="AH4" s="2" t="s">
        <v>135</v>
      </c>
      <c r="AI4" s="11" t="s">
        <v>136</v>
      </c>
      <c r="AJ4" s="2" t="s">
        <v>137</v>
      </c>
      <c r="AK4" s="2" t="s">
        <v>137</v>
      </c>
      <c r="AL4" s="2" t="s">
        <v>138</v>
      </c>
    </row>
    <row r="5" customFormat="false" ht="90" hidden="false" customHeight="true" outlineLevel="0" collapsed="false">
      <c r="A5" s="2" t="s">
        <v>139</v>
      </c>
      <c r="B5" s="2" t="s">
        <v>140</v>
      </c>
      <c r="C5" s="2" t="s">
        <v>115</v>
      </c>
      <c r="D5" s="9" t="n">
        <v>70650</v>
      </c>
      <c r="E5" s="2" t="s">
        <v>141</v>
      </c>
      <c r="F5" s="2" t="s">
        <v>142</v>
      </c>
      <c r="G5" s="2" t="s">
        <v>143</v>
      </c>
      <c r="H5" s="2" t="s">
        <v>144</v>
      </c>
      <c r="I5" s="2" t="s">
        <v>145</v>
      </c>
      <c r="J5" s="2" t="s">
        <v>146</v>
      </c>
      <c r="K5" s="10" t="b">
        <f aca="false">FALSE()</f>
        <v>0</v>
      </c>
      <c r="L5" s="10" t="b">
        <f aca="false">FALSE()</f>
        <v>0</v>
      </c>
      <c r="M5" s="2" t="s">
        <v>147</v>
      </c>
      <c r="N5" s="2" t="s">
        <v>123</v>
      </c>
      <c r="O5" s="2" t="s">
        <v>148</v>
      </c>
      <c r="P5" s="2" t="n">
        <v>14</v>
      </c>
      <c r="Q5" s="11" t="s">
        <v>149</v>
      </c>
      <c r="R5" s="11" t="s">
        <v>150</v>
      </c>
      <c r="S5" s="11" t="s">
        <v>151</v>
      </c>
      <c r="T5" s="2" t="s">
        <v>152</v>
      </c>
      <c r="U5" s="2" t="s">
        <v>153</v>
      </c>
      <c r="V5" s="2" t="s">
        <v>154</v>
      </c>
      <c r="W5" s="11" t="s">
        <v>155</v>
      </c>
      <c r="X5" s="11" t="s">
        <v>156</v>
      </c>
      <c r="Y5" s="2"/>
      <c r="Z5" s="2"/>
      <c r="AA5" s="2"/>
      <c r="AB5" s="2"/>
      <c r="AC5" s="2" t="s">
        <v>157</v>
      </c>
      <c r="AD5" s="2" t="s">
        <v>132</v>
      </c>
      <c r="AE5" s="10" t="b">
        <f aca="false">FALSE()</f>
        <v>0</v>
      </c>
      <c r="AF5" s="2" t="s">
        <v>133</v>
      </c>
      <c r="AG5" s="2" t="s">
        <v>158</v>
      </c>
      <c r="AH5" s="2" t="s">
        <v>135</v>
      </c>
      <c r="AI5" s="11" t="s">
        <v>159</v>
      </c>
      <c r="AJ5" s="2" t="s">
        <v>137</v>
      </c>
      <c r="AK5" s="2" t="s">
        <v>137</v>
      </c>
      <c r="AL5" s="2" t="s">
        <v>160</v>
      </c>
    </row>
    <row r="6" customFormat="false" ht="90" hidden="false" customHeight="true" outlineLevel="0" collapsed="false">
      <c r="A6" s="2" t="s">
        <v>161</v>
      </c>
      <c r="B6" s="2" t="s">
        <v>140</v>
      </c>
      <c r="C6" s="2" t="s">
        <v>115</v>
      </c>
      <c r="D6" s="9" t="n">
        <v>19265</v>
      </c>
      <c r="E6" s="2" t="s">
        <v>116</v>
      </c>
      <c r="F6" s="2" t="s">
        <v>117</v>
      </c>
      <c r="G6" s="2" t="s">
        <v>118</v>
      </c>
      <c r="H6" s="2" t="s">
        <v>144</v>
      </c>
      <c r="I6" s="2" t="s">
        <v>145</v>
      </c>
      <c r="J6" s="2" t="s">
        <v>146</v>
      </c>
      <c r="K6" s="10" t="b">
        <f aca="false">FALSE()</f>
        <v>0</v>
      </c>
      <c r="L6" s="10" t="b">
        <f aca="false">FALSE()</f>
        <v>0</v>
      </c>
      <c r="M6" s="2" t="s">
        <v>122</v>
      </c>
      <c r="N6" s="2" t="s">
        <v>123</v>
      </c>
      <c r="O6" s="2" t="s">
        <v>162</v>
      </c>
      <c r="P6" s="2" t="n">
        <v>7</v>
      </c>
      <c r="Q6" s="11" t="s">
        <v>125</v>
      </c>
      <c r="R6" s="11" t="s">
        <v>126</v>
      </c>
      <c r="S6" s="11" t="s">
        <v>127</v>
      </c>
      <c r="T6" s="2" t="s">
        <v>163</v>
      </c>
      <c r="U6" s="2" t="s">
        <v>153</v>
      </c>
      <c r="V6" s="2" t="s">
        <v>164</v>
      </c>
      <c r="W6" s="11" t="s">
        <v>165</v>
      </c>
      <c r="X6" s="11" t="s">
        <v>166</v>
      </c>
      <c r="Y6" s="2"/>
      <c r="Z6" s="2"/>
      <c r="AA6" s="2"/>
      <c r="AB6" s="2"/>
      <c r="AC6" s="2" t="s">
        <v>131</v>
      </c>
      <c r="AD6" s="2" t="s">
        <v>132</v>
      </c>
      <c r="AE6" s="10" t="b">
        <f aca="false">FALSE()</f>
        <v>0</v>
      </c>
      <c r="AF6" s="2" t="s">
        <v>133</v>
      </c>
      <c r="AG6" s="2" t="s">
        <v>134</v>
      </c>
      <c r="AH6" s="2" t="s">
        <v>135</v>
      </c>
      <c r="AI6" s="11" t="s">
        <v>136</v>
      </c>
      <c r="AJ6" s="2" t="s">
        <v>137</v>
      </c>
      <c r="AK6" s="2" t="s">
        <v>137</v>
      </c>
      <c r="AL6" s="2" t="s">
        <v>167</v>
      </c>
    </row>
    <row r="7" customFormat="false" ht="90" hidden="false" customHeight="true" outlineLevel="0" collapsed="false">
      <c r="A7" s="2" t="s">
        <v>168</v>
      </c>
      <c r="B7" s="2" t="s">
        <v>140</v>
      </c>
      <c r="C7" s="2" t="s">
        <v>115</v>
      </c>
      <c r="D7" s="9" t="n">
        <v>18652</v>
      </c>
      <c r="E7" s="2" t="s">
        <v>116</v>
      </c>
      <c r="F7" s="2" t="s">
        <v>117</v>
      </c>
      <c r="G7" s="2" t="s">
        <v>118</v>
      </c>
      <c r="H7" s="2" t="s">
        <v>144</v>
      </c>
      <c r="I7" s="2" t="s">
        <v>145</v>
      </c>
      <c r="J7" s="2" t="s">
        <v>146</v>
      </c>
      <c r="K7" s="10" t="b">
        <f aca="false">FALSE()</f>
        <v>0</v>
      </c>
      <c r="L7" s="10" t="b">
        <f aca="false">FALSE()</f>
        <v>0</v>
      </c>
      <c r="M7" s="2" t="s">
        <v>122</v>
      </c>
      <c r="N7" s="2" t="s">
        <v>123</v>
      </c>
      <c r="O7" s="2" t="s">
        <v>162</v>
      </c>
      <c r="P7" s="2" t="n">
        <v>7</v>
      </c>
      <c r="Q7" s="11" t="s">
        <v>125</v>
      </c>
      <c r="R7" s="11" t="s">
        <v>126</v>
      </c>
      <c r="S7" s="11" t="s">
        <v>127</v>
      </c>
      <c r="T7" s="2"/>
      <c r="U7" s="2" t="s">
        <v>153</v>
      </c>
      <c r="V7" s="2" t="s">
        <v>164</v>
      </c>
      <c r="W7" s="11" t="s">
        <v>165</v>
      </c>
      <c r="X7" s="11" t="s">
        <v>169</v>
      </c>
      <c r="Y7" s="2"/>
      <c r="Z7" s="2"/>
      <c r="AA7" s="2"/>
      <c r="AB7" s="2"/>
      <c r="AC7" s="2" t="s">
        <v>131</v>
      </c>
      <c r="AD7" s="2" t="s">
        <v>132</v>
      </c>
      <c r="AE7" s="10" t="b">
        <f aca="false">FALSE()</f>
        <v>0</v>
      </c>
      <c r="AF7" s="2" t="s">
        <v>133</v>
      </c>
      <c r="AG7" s="2" t="s">
        <v>134</v>
      </c>
      <c r="AH7" s="2" t="s">
        <v>135</v>
      </c>
      <c r="AI7" s="11" t="s">
        <v>136</v>
      </c>
      <c r="AJ7" s="2" t="s">
        <v>137</v>
      </c>
      <c r="AK7" s="2" t="s">
        <v>137</v>
      </c>
      <c r="AL7" s="2" t="s">
        <v>170</v>
      </c>
    </row>
    <row r="8" customFormat="false" ht="90" hidden="false" customHeight="true" outlineLevel="0" collapsed="false">
      <c r="A8" s="2" t="s">
        <v>171</v>
      </c>
      <c r="B8" s="2" t="s">
        <v>140</v>
      </c>
      <c r="C8" s="2" t="s">
        <v>115</v>
      </c>
      <c r="D8" s="9" t="n">
        <v>17026</v>
      </c>
      <c r="E8" s="2" t="s">
        <v>116</v>
      </c>
      <c r="F8" s="2" t="s">
        <v>117</v>
      </c>
      <c r="G8" s="2" t="s">
        <v>118</v>
      </c>
      <c r="H8" s="2" t="s">
        <v>144</v>
      </c>
      <c r="I8" s="2" t="s">
        <v>145</v>
      </c>
      <c r="J8" s="2" t="s">
        <v>146</v>
      </c>
      <c r="K8" s="10" t="b">
        <f aca="false">FALSE()</f>
        <v>0</v>
      </c>
      <c r="L8" s="10" t="b">
        <f aca="false">FALSE()</f>
        <v>0</v>
      </c>
      <c r="M8" s="2" t="s">
        <v>122</v>
      </c>
      <c r="N8" s="2" t="s">
        <v>123</v>
      </c>
      <c r="O8" s="2" t="s">
        <v>162</v>
      </c>
      <c r="P8" s="2" t="n">
        <v>7</v>
      </c>
      <c r="Q8" s="11" t="s">
        <v>125</v>
      </c>
      <c r="R8" s="11" t="s">
        <v>126</v>
      </c>
      <c r="S8" s="11" t="s">
        <v>127</v>
      </c>
      <c r="T8" s="2"/>
      <c r="U8" s="2" t="s">
        <v>153</v>
      </c>
      <c r="V8" s="2" t="s">
        <v>164</v>
      </c>
      <c r="W8" s="11" t="s">
        <v>172</v>
      </c>
      <c r="X8" s="11" t="s">
        <v>173</v>
      </c>
      <c r="Y8" s="2"/>
      <c r="Z8" s="2"/>
      <c r="AA8" s="2"/>
      <c r="AB8" s="2"/>
      <c r="AC8" s="2" t="s">
        <v>131</v>
      </c>
      <c r="AD8" s="2" t="s">
        <v>132</v>
      </c>
      <c r="AE8" s="10" t="b">
        <f aca="false">FALSE()</f>
        <v>0</v>
      </c>
      <c r="AF8" s="2" t="s">
        <v>133</v>
      </c>
      <c r="AG8" s="2" t="s">
        <v>134</v>
      </c>
      <c r="AH8" s="2" t="s">
        <v>135</v>
      </c>
      <c r="AI8" s="11" t="s">
        <v>136</v>
      </c>
      <c r="AJ8" s="2" t="s">
        <v>137</v>
      </c>
      <c r="AK8" s="2" t="s">
        <v>137</v>
      </c>
      <c r="AL8" s="2" t="s">
        <v>174</v>
      </c>
    </row>
    <row r="9" customFormat="false" ht="90" hidden="false" customHeight="true" outlineLevel="0" collapsed="false">
      <c r="A9" s="2" t="s">
        <v>175</v>
      </c>
      <c r="B9" s="2" t="s">
        <v>140</v>
      </c>
      <c r="C9" s="2" t="s">
        <v>115</v>
      </c>
      <c r="D9" s="9" t="n">
        <v>14315</v>
      </c>
      <c r="E9" s="2" t="s">
        <v>116</v>
      </c>
      <c r="F9" s="2" t="s">
        <v>117</v>
      </c>
      <c r="G9" s="2" t="s">
        <v>118</v>
      </c>
      <c r="H9" s="2" t="s">
        <v>144</v>
      </c>
      <c r="I9" s="2" t="s">
        <v>145</v>
      </c>
      <c r="J9" s="2" t="s">
        <v>146</v>
      </c>
      <c r="K9" s="10" t="b">
        <f aca="false">FALSE()</f>
        <v>0</v>
      </c>
      <c r="L9" s="10" t="b">
        <f aca="false">FALSE()</f>
        <v>0</v>
      </c>
      <c r="M9" s="2" t="s">
        <v>122</v>
      </c>
      <c r="N9" s="2" t="s">
        <v>123</v>
      </c>
      <c r="O9" s="2" t="s">
        <v>162</v>
      </c>
      <c r="P9" s="2" t="n">
        <v>7</v>
      </c>
      <c r="Q9" s="11" t="s">
        <v>125</v>
      </c>
      <c r="R9" s="11" t="s">
        <v>126</v>
      </c>
      <c r="S9" s="11" t="s">
        <v>127</v>
      </c>
      <c r="T9" s="2"/>
      <c r="U9" s="2" t="s">
        <v>153</v>
      </c>
      <c r="V9" s="2" t="s">
        <v>164</v>
      </c>
      <c r="W9" s="11" t="s">
        <v>165</v>
      </c>
      <c r="X9" s="11" t="s">
        <v>176</v>
      </c>
      <c r="Y9" s="2"/>
      <c r="Z9" s="2"/>
      <c r="AA9" s="2"/>
      <c r="AB9" s="2"/>
      <c r="AC9" s="2" t="s">
        <v>131</v>
      </c>
      <c r="AD9" s="2" t="s">
        <v>132</v>
      </c>
      <c r="AE9" s="10" t="b">
        <f aca="false">FALSE()</f>
        <v>0</v>
      </c>
      <c r="AF9" s="2" t="s">
        <v>133</v>
      </c>
      <c r="AG9" s="2" t="s">
        <v>134</v>
      </c>
      <c r="AH9" s="2" t="s">
        <v>135</v>
      </c>
      <c r="AI9" s="11" t="s">
        <v>136</v>
      </c>
      <c r="AJ9" s="2" t="s">
        <v>137</v>
      </c>
      <c r="AK9" s="2" t="s">
        <v>137</v>
      </c>
      <c r="AL9" s="2" t="s">
        <v>177</v>
      </c>
    </row>
    <row r="10" customFormat="false" ht="90" hidden="false" customHeight="true" outlineLevel="0" collapsed="false">
      <c r="A10" s="2" t="s">
        <v>178</v>
      </c>
      <c r="B10" s="2" t="s">
        <v>140</v>
      </c>
      <c r="C10" s="2" t="s">
        <v>115</v>
      </c>
      <c r="D10" s="9" t="n">
        <v>13412</v>
      </c>
      <c r="E10" s="2" t="s">
        <v>179</v>
      </c>
      <c r="F10" s="2" t="s">
        <v>117</v>
      </c>
      <c r="G10" s="2" t="s">
        <v>180</v>
      </c>
      <c r="H10" s="2" t="s">
        <v>144</v>
      </c>
      <c r="I10" s="2" t="s">
        <v>145</v>
      </c>
      <c r="J10" s="2" t="s">
        <v>181</v>
      </c>
      <c r="K10" s="10" t="b">
        <f aca="false">TRUE()</f>
        <v>1</v>
      </c>
      <c r="L10" s="10" t="b">
        <f aca="false">FALSE()</f>
        <v>0</v>
      </c>
      <c r="M10" s="2" t="s">
        <v>122</v>
      </c>
      <c r="N10" s="2" t="s">
        <v>182</v>
      </c>
      <c r="O10" s="2" t="s">
        <v>183</v>
      </c>
      <c r="P10" s="2" t="n">
        <v>7</v>
      </c>
      <c r="Q10" s="11" t="s">
        <v>125</v>
      </c>
      <c r="R10" s="11" t="s">
        <v>126</v>
      </c>
      <c r="S10" s="11" t="s">
        <v>127</v>
      </c>
      <c r="T10" s="2" t="s">
        <v>163</v>
      </c>
      <c r="U10" s="2" t="s">
        <v>153</v>
      </c>
      <c r="V10" s="2" t="s">
        <v>184</v>
      </c>
      <c r="W10" s="11" t="s">
        <v>185</v>
      </c>
      <c r="X10" s="11" t="s">
        <v>186</v>
      </c>
      <c r="Y10" s="2"/>
      <c r="Z10" s="2"/>
      <c r="AA10" s="2"/>
      <c r="AB10" s="2"/>
      <c r="AC10" s="2" t="s">
        <v>187</v>
      </c>
      <c r="AD10" s="2" t="s">
        <v>132</v>
      </c>
      <c r="AE10" s="10" t="b">
        <f aca="false">FALSE()</f>
        <v>0</v>
      </c>
      <c r="AF10" s="2" t="s">
        <v>133</v>
      </c>
      <c r="AG10" s="2" t="s">
        <v>134</v>
      </c>
      <c r="AH10" s="2" t="s">
        <v>135</v>
      </c>
      <c r="AI10" s="11" t="s">
        <v>136</v>
      </c>
      <c r="AJ10" s="2" t="s">
        <v>137</v>
      </c>
      <c r="AK10" s="2" t="s">
        <v>137</v>
      </c>
      <c r="AL10" s="2" t="s">
        <v>188</v>
      </c>
    </row>
    <row r="11" customFormat="false" ht="90" hidden="false" customHeight="true" outlineLevel="0" collapsed="false">
      <c r="A11" s="2" t="s">
        <v>189</v>
      </c>
      <c r="B11" s="2" t="s">
        <v>140</v>
      </c>
      <c r="C11" s="2" t="s">
        <v>115</v>
      </c>
      <c r="D11" s="9" t="n">
        <v>11721</v>
      </c>
      <c r="E11" s="2" t="s">
        <v>116</v>
      </c>
      <c r="F11" s="2" t="s">
        <v>117</v>
      </c>
      <c r="G11" s="2" t="s">
        <v>118</v>
      </c>
      <c r="H11" s="2" t="s">
        <v>144</v>
      </c>
      <c r="I11" s="2" t="s">
        <v>145</v>
      </c>
      <c r="J11" s="2" t="s">
        <v>146</v>
      </c>
      <c r="K11" s="10" t="b">
        <f aca="false">FALSE()</f>
        <v>0</v>
      </c>
      <c r="L11" s="10" t="b">
        <f aca="false">FALSE()</f>
        <v>0</v>
      </c>
      <c r="M11" s="2" t="s">
        <v>122</v>
      </c>
      <c r="N11" s="2" t="s">
        <v>123</v>
      </c>
      <c r="O11" s="2" t="s">
        <v>162</v>
      </c>
      <c r="P11" s="2" t="n">
        <v>7</v>
      </c>
      <c r="Q11" s="11" t="s">
        <v>125</v>
      </c>
      <c r="R11" s="11" t="s">
        <v>126</v>
      </c>
      <c r="S11" s="11" t="s">
        <v>127</v>
      </c>
      <c r="T11" s="2"/>
      <c r="U11" s="2" t="s">
        <v>153</v>
      </c>
      <c r="V11" s="2" t="s">
        <v>164</v>
      </c>
      <c r="W11" s="11" t="s">
        <v>165</v>
      </c>
      <c r="X11" s="11" t="s">
        <v>190</v>
      </c>
      <c r="Y11" s="2"/>
      <c r="Z11" s="2"/>
      <c r="AA11" s="2"/>
      <c r="AB11" s="2"/>
      <c r="AC11" s="2" t="s">
        <v>131</v>
      </c>
      <c r="AD11" s="2" t="s">
        <v>132</v>
      </c>
      <c r="AE11" s="10" t="b">
        <f aca="false">FALSE()</f>
        <v>0</v>
      </c>
      <c r="AF11" s="2" t="s">
        <v>133</v>
      </c>
      <c r="AG11" s="2" t="s">
        <v>134</v>
      </c>
      <c r="AH11" s="2" t="s">
        <v>135</v>
      </c>
      <c r="AI11" s="11" t="s">
        <v>136</v>
      </c>
      <c r="AJ11" s="2" t="s">
        <v>137</v>
      </c>
      <c r="AK11" s="2" t="s">
        <v>137</v>
      </c>
      <c r="AL11" s="2" t="s">
        <v>191</v>
      </c>
    </row>
    <row r="12" customFormat="false" ht="90" hidden="false" customHeight="true" outlineLevel="0" collapsed="false">
      <c r="A12" s="2" t="s">
        <v>192</v>
      </c>
      <c r="B12" s="2" t="s">
        <v>140</v>
      </c>
      <c r="C12" s="2" t="s">
        <v>115</v>
      </c>
      <c r="D12" s="9" t="n">
        <v>11481</v>
      </c>
      <c r="E12" s="2" t="s">
        <v>141</v>
      </c>
      <c r="F12" s="2" t="s">
        <v>142</v>
      </c>
      <c r="G12" s="2" t="s">
        <v>193</v>
      </c>
      <c r="H12" s="2" t="s">
        <v>144</v>
      </c>
      <c r="I12" s="2" t="s">
        <v>145</v>
      </c>
      <c r="J12" s="2" t="s">
        <v>146</v>
      </c>
      <c r="K12" s="10" t="b">
        <f aca="false">FALSE()</f>
        <v>0</v>
      </c>
      <c r="L12" s="10" t="b">
        <f aca="false">FALSE()</f>
        <v>0</v>
      </c>
      <c r="M12" s="2" t="s">
        <v>147</v>
      </c>
      <c r="N12" s="2" t="s">
        <v>123</v>
      </c>
      <c r="O12" s="2" t="s">
        <v>194</v>
      </c>
      <c r="P12" s="2" t="n">
        <v>14</v>
      </c>
      <c r="Q12" s="11" t="s">
        <v>149</v>
      </c>
      <c r="R12" s="11" t="s">
        <v>150</v>
      </c>
      <c r="S12" s="11" t="s">
        <v>151</v>
      </c>
      <c r="T12" s="2"/>
      <c r="U12" s="2" t="s">
        <v>153</v>
      </c>
      <c r="V12" s="2" t="s">
        <v>195</v>
      </c>
      <c r="W12" s="11" t="s">
        <v>196</v>
      </c>
      <c r="X12" s="11" t="s">
        <v>197</v>
      </c>
      <c r="Y12" s="2"/>
      <c r="Z12" s="2"/>
      <c r="AA12" s="2"/>
      <c r="AB12" s="2"/>
      <c r="AC12" s="2" t="s">
        <v>187</v>
      </c>
      <c r="AD12" s="2" t="s">
        <v>132</v>
      </c>
      <c r="AE12" s="10" t="b">
        <f aca="false">FALSE()</f>
        <v>0</v>
      </c>
      <c r="AF12" s="2" t="s">
        <v>133</v>
      </c>
      <c r="AG12" s="2" t="s">
        <v>134</v>
      </c>
      <c r="AH12" s="2" t="s">
        <v>135</v>
      </c>
      <c r="AI12" s="11" t="s">
        <v>159</v>
      </c>
      <c r="AJ12" s="2" t="s">
        <v>137</v>
      </c>
      <c r="AK12" s="2" t="s">
        <v>137</v>
      </c>
      <c r="AL12" s="2" t="s">
        <v>198</v>
      </c>
    </row>
    <row r="13" customFormat="false" ht="90" hidden="false" customHeight="true" outlineLevel="0" collapsed="false">
      <c r="A13" s="2" t="s">
        <v>199</v>
      </c>
      <c r="B13" s="2" t="s">
        <v>140</v>
      </c>
      <c r="C13" s="2" t="s">
        <v>115</v>
      </c>
      <c r="D13" s="9" t="n">
        <v>10950</v>
      </c>
      <c r="E13" s="2" t="s">
        <v>116</v>
      </c>
      <c r="F13" s="2" t="s">
        <v>117</v>
      </c>
      <c r="G13" s="2" t="s">
        <v>118</v>
      </c>
      <c r="H13" s="2" t="s">
        <v>144</v>
      </c>
      <c r="I13" s="2" t="s">
        <v>145</v>
      </c>
      <c r="J13" s="2" t="s">
        <v>146</v>
      </c>
      <c r="K13" s="10" t="b">
        <f aca="false">FALSE()</f>
        <v>0</v>
      </c>
      <c r="L13" s="10" t="b">
        <f aca="false">FALSE()</f>
        <v>0</v>
      </c>
      <c r="M13" s="2" t="s">
        <v>122</v>
      </c>
      <c r="N13" s="2" t="s">
        <v>123</v>
      </c>
      <c r="O13" s="2" t="s">
        <v>162</v>
      </c>
      <c r="P13" s="2" t="n">
        <v>7</v>
      </c>
      <c r="Q13" s="11" t="s">
        <v>125</v>
      </c>
      <c r="R13" s="11" t="s">
        <v>126</v>
      </c>
      <c r="S13" s="11" t="s">
        <v>127</v>
      </c>
      <c r="T13" s="2" t="s">
        <v>163</v>
      </c>
      <c r="U13" s="2" t="s">
        <v>153</v>
      </c>
      <c r="V13" s="2" t="s">
        <v>164</v>
      </c>
      <c r="W13" s="11" t="s">
        <v>165</v>
      </c>
      <c r="X13" s="11" t="s">
        <v>200</v>
      </c>
      <c r="Y13" s="2"/>
      <c r="Z13" s="2"/>
      <c r="AA13" s="2"/>
      <c r="AB13" s="2"/>
      <c r="AC13" s="2" t="s">
        <v>131</v>
      </c>
      <c r="AD13" s="2" t="s">
        <v>132</v>
      </c>
      <c r="AE13" s="10" t="b">
        <f aca="false">FALSE()</f>
        <v>0</v>
      </c>
      <c r="AF13" s="2" t="s">
        <v>133</v>
      </c>
      <c r="AG13" s="2" t="s">
        <v>134</v>
      </c>
      <c r="AH13" s="2" t="s">
        <v>135</v>
      </c>
      <c r="AI13" s="11" t="s">
        <v>136</v>
      </c>
      <c r="AJ13" s="2" t="s">
        <v>137</v>
      </c>
      <c r="AK13" s="2" t="s">
        <v>137</v>
      </c>
      <c r="AL13" s="2" t="s">
        <v>201</v>
      </c>
    </row>
    <row r="14" customFormat="false" ht="90" hidden="false" customHeight="true" outlineLevel="0" collapsed="false">
      <c r="A14" s="2" t="s">
        <v>202</v>
      </c>
      <c r="B14" s="2" t="s">
        <v>140</v>
      </c>
      <c r="C14" s="2" t="s">
        <v>203</v>
      </c>
      <c r="D14" s="9" t="n">
        <v>8613</v>
      </c>
      <c r="E14" s="2" t="s">
        <v>116</v>
      </c>
      <c r="F14" s="2" t="s">
        <v>117</v>
      </c>
      <c r="G14" s="2" t="s">
        <v>118</v>
      </c>
      <c r="H14" s="2" t="s">
        <v>144</v>
      </c>
      <c r="I14" s="2" t="s">
        <v>145</v>
      </c>
      <c r="J14" s="2" t="s">
        <v>146</v>
      </c>
      <c r="K14" s="10" t="b">
        <f aca="false">FALSE()</f>
        <v>0</v>
      </c>
      <c r="L14" s="10" t="b">
        <f aca="false">FALSE()</f>
        <v>0</v>
      </c>
      <c r="M14" s="2" t="s">
        <v>122</v>
      </c>
      <c r="N14" s="2" t="s">
        <v>123</v>
      </c>
      <c r="O14" s="2" t="s">
        <v>162</v>
      </c>
      <c r="P14" s="2" t="n">
        <v>7</v>
      </c>
      <c r="Q14" s="11" t="s">
        <v>125</v>
      </c>
      <c r="R14" s="11" t="s">
        <v>126</v>
      </c>
      <c r="S14" s="11" t="s">
        <v>127</v>
      </c>
      <c r="T14" s="2" t="s">
        <v>204</v>
      </c>
      <c r="U14" s="2" t="s">
        <v>153</v>
      </c>
      <c r="V14" s="2" t="s">
        <v>164</v>
      </c>
      <c r="W14" s="11" t="s">
        <v>205</v>
      </c>
      <c r="X14" s="11" t="s">
        <v>206</v>
      </c>
      <c r="Y14" s="2"/>
      <c r="Z14" s="2"/>
      <c r="AA14" s="2"/>
      <c r="AB14" s="2"/>
      <c r="AC14" s="2" t="s">
        <v>131</v>
      </c>
      <c r="AD14" s="2" t="s">
        <v>132</v>
      </c>
      <c r="AE14" s="10" t="b">
        <f aca="false">FALSE()</f>
        <v>0</v>
      </c>
      <c r="AF14" s="2" t="s">
        <v>133</v>
      </c>
      <c r="AG14" s="2" t="s">
        <v>134</v>
      </c>
      <c r="AH14" s="2" t="s">
        <v>135</v>
      </c>
      <c r="AI14" s="11" t="s">
        <v>136</v>
      </c>
      <c r="AJ14" s="2" t="s">
        <v>137</v>
      </c>
      <c r="AK14" s="2" t="s">
        <v>137</v>
      </c>
      <c r="AL14" s="2" t="s">
        <v>207</v>
      </c>
    </row>
    <row r="15" customFormat="false" ht="90" hidden="false" customHeight="true" outlineLevel="0" collapsed="false">
      <c r="A15" s="2" t="s">
        <v>208</v>
      </c>
      <c r="B15" s="2" t="s">
        <v>140</v>
      </c>
      <c r="C15" s="2" t="s">
        <v>203</v>
      </c>
      <c r="D15" s="9" t="n">
        <v>6199</v>
      </c>
      <c r="E15" s="2" t="s">
        <v>116</v>
      </c>
      <c r="F15" s="2" t="s">
        <v>117</v>
      </c>
      <c r="G15" s="2" t="s">
        <v>118</v>
      </c>
      <c r="H15" s="2" t="s">
        <v>144</v>
      </c>
      <c r="I15" s="2" t="s">
        <v>145</v>
      </c>
      <c r="J15" s="2" t="s">
        <v>146</v>
      </c>
      <c r="K15" s="10" t="b">
        <f aca="false">FALSE()</f>
        <v>0</v>
      </c>
      <c r="L15" s="10" t="b">
        <f aca="false">FALSE()</f>
        <v>0</v>
      </c>
      <c r="M15" s="2" t="s">
        <v>122</v>
      </c>
      <c r="N15" s="2" t="s">
        <v>123</v>
      </c>
      <c r="O15" s="2" t="s">
        <v>162</v>
      </c>
      <c r="P15" s="2" t="n">
        <v>7</v>
      </c>
      <c r="Q15" s="11" t="s">
        <v>125</v>
      </c>
      <c r="R15" s="11" t="s">
        <v>126</v>
      </c>
      <c r="S15" s="11" t="s">
        <v>127</v>
      </c>
      <c r="T15" s="2"/>
      <c r="U15" s="2" t="s">
        <v>153</v>
      </c>
      <c r="V15" s="2" t="s">
        <v>164</v>
      </c>
      <c r="W15" s="11" t="s">
        <v>165</v>
      </c>
      <c r="X15" s="11" t="s">
        <v>209</v>
      </c>
      <c r="Y15" s="2"/>
      <c r="Z15" s="2"/>
      <c r="AA15" s="2"/>
      <c r="AB15" s="2"/>
      <c r="AC15" s="2" t="s">
        <v>131</v>
      </c>
      <c r="AD15" s="2" t="s">
        <v>132</v>
      </c>
      <c r="AE15" s="10" t="b">
        <f aca="false">FALSE()</f>
        <v>0</v>
      </c>
      <c r="AF15" s="2" t="s">
        <v>133</v>
      </c>
      <c r="AG15" s="2" t="s">
        <v>134</v>
      </c>
      <c r="AH15" s="2" t="s">
        <v>135</v>
      </c>
      <c r="AI15" s="11" t="s">
        <v>136</v>
      </c>
      <c r="AJ15" s="2" t="s">
        <v>137</v>
      </c>
      <c r="AK15" s="2" t="s">
        <v>137</v>
      </c>
      <c r="AL15" s="2" t="s">
        <v>210</v>
      </c>
    </row>
    <row r="16" customFormat="false" ht="90" hidden="false" customHeight="true" outlineLevel="0" collapsed="false">
      <c r="A16" s="2" t="s">
        <v>211</v>
      </c>
      <c r="B16" s="2" t="s">
        <v>140</v>
      </c>
      <c r="C16" s="2" t="s">
        <v>203</v>
      </c>
      <c r="D16" s="9" t="n">
        <v>6140</v>
      </c>
      <c r="E16" s="2" t="s">
        <v>116</v>
      </c>
      <c r="F16" s="2" t="s">
        <v>117</v>
      </c>
      <c r="G16" s="2" t="s">
        <v>118</v>
      </c>
      <c r="H16" s="2" t="s">
        <v>144</v>
      </c>
      <c r="I16" s="2" t="s">
        <v>145</v>
      </c>
      <c r="J16" s="2" t="s">
        <v>146</v>
      </c>
      <c r="K16" s="10" t="b">
        <f aca="false">FALSE()</f>
        <v>0</v>
      </c>
      <c r="L16" s="10" t="b">
        <f aca="false">FALSE()</f>
        <v>0</v>
      </c>
      <c r="M16" s="2" t="s">
        <v>122</v>
      </c>
      <c r="N16" s="2" t="s">
        <v>123</v>
      </c>
      <c r="O16" s="2" t="s">
        <v>162</v>
      </c>
      <c r="P16" s="2" t="n">
        <v>7</v>
      </c>
      <c r="Q16" s="11" t="s">
        <v>125</v>
      </c>
      <c r="R16" s="11" t="s">
        <v>126</v>
      </c>
      <c r="S16" s="11" t="s">
        <v>127</v>
      </c>
      <c r="T16" s="2" t="s">
        <v>163</v>
      </c>
      <c r="U16" s="2" t="s">
        <v>153</v>
      </c>
      <c r="V16" s="2" t="s">
        <v>164</v>
      </c>
      <c r="W16" s="11" t="s">
        <v>205</v>
      </c>
      <c r="X16" s="11" t="s">
        <v>212</v>
      </c>
      <c r="Y16" s="2"/>
      <c r="Z16" s="2"/>
      <c r="AA16" s="2"/>
      <c r="AB16" s="2"/>
      <c r="AC16" s="2" t="s">
        <v>187</v>
      </c>
      <c r="AD16" s="2" t="s">
        <v>132</v>
      </c>
      <c r="AE16" s="10" t="b">
        <f aca="false">FALSE()</f>
        <v>0</v>
      </c>
      <c r="AF16" s="2" t="s">
        <v>133</v>
      </c>
      <c r="AG16" s="2" t="s">
        <v>134</v>
      </c>
      <c r="AH16" s="2" t="s">
        <v>135</v>
      </c>
      <c r="AI16" s="11" t="s">
        <v>136</v>
      </c>
      <c r="AJ16" s="2" t="s">
        <v>137</v>
      </c>
      <c r="AK16" s="2" t="s">
        <v>137</v>
      </c>
      <c r="AL16" s="2" t="s">
        <v>213</v>
      </c>
    </row>
    <row r="17" customFormat="false" ht="90" hidden="false" customHeight="true" outlineLevel="0" collapsed="false">
      <c r="A17" s="2" t="s">
        <v>214</v>
      </c>
      <c r="B17" s="2" t="s">
        <v>140</v>
      </c>
      <c r="C17" s="2" t="s">
        <v>203</v>
      </c>
      <c r="D17" s="9" t="n">
        <v>5727</v>
      </c>
      <c r="E17" s="2" t="s">
        <v>116</v>
      </c>
      <c r="F17" s="2" t="s">
        <v>117</v>
      </c>
      <c r="G17" s="2" t="s">
        <v>118</v>
      </c>
      <c r="H17" s="2" t="s">
        <v>144</v>
      </c>
      <c r="I17" s="2" t="s">
        <v>145</v>
      </c>
      <c r="J17" s="2" t="s">
        <v>146</v>
      </c>
      <c r="K17" s="10" t="b">
        <f aca="false">FALSE()</f>
        <v>0</v>
      </c>
      <c r="L17" s="10" t="b">
        <f aca="false">FALSE()</f>
        <v>0</v>
      </c>
      <c r="M17" s="2" t="s">
        <v>122</v>
      </c>
      <c r="N17" s="2" t="s">
        <v>123</v>
      </c>
      <c r="O17" s="2" t="s">
        <v>162</v>
      </c>
      <c r="P17" s="2" t="n">
        <v>7</v>
      </c>
      <c r="Q17" s="11" t="s">
        <v>125</v>
      </c>
      <c r="R17" s="11" t="s">
        <v>126</v>
      </c>
      <c r="S17" s="11" t="s">
        <v>127</v>
      </c>
      <c r="T17" s="2" t="s">
        <v>215</v>
      </c>
      <c r="U17" s="2" t="s">
        <v>153</v>
      </c>
      <c r="V17" s="2" t="s">
        <v>164</v>
      </c>
      <c r="W17" s="11" t="s">
        <v>172</v>
      </c>
      <c r="X17" s="11" t="s">
        <v>216</v>
      </c>
      <c r="Y17" s="2"/>
      <c r="Z17" s="2"/>
      <c r="AA17" s="2"/>
      <c r="AB17" s="2"/>
      <c r="AC17" s="2" t="s">
        <v>131</v>
      </c>
      <c r="AD17" s="2" t="s">
        <v>132</v>
      </c>
      <c r="AE17" s="10" t="b">
        <f aca="false">FALSE()</f>
        <v>0</v>
      </c>
      <c r="AF17" s="2" t="s">
        <v>133</v>
      </c>
      <c r="AG17" s="2" t="s">
        <v>158</v>
      </c>
      <c r="AH17" s="2" t="s">
        <v>135</v>
      </c>
      <c r="AI17" s="11" t="s">
        <v>136</v>
      </c>
      <c r="AJ17" s="2" t="s">
        <v>137</v>
      </c>
      <c r="AK17" s="2" t="s">
        <v>137</v>
      </c>
      <c r="AL17" s="2" t="s">
        <v>217</v>
      </c>
    </row>
    <row r="18" customFormat="false" ht="90" hidden="false" customHeight="true" outlineLevel="0" collapsed="false">
      <c r="A18" s="2" t="s">
        <v>218</v>
      </c>
      <c r="B18" s="2" t="s">
        <v>140</v>
      </c>
      <c r="C18" s="2" t="s">
        <v>203</v>
      </c>
      <c r="D18" s="9" t="n">
        <v>4772</v>
      </c>
      <c r="E18" s="2" t="s">
        <v>141</v>
      </c>
      <c r="F18" s="2" t="s">
        <v>142</v>
      </c>
      <c r="G18" s="2" t="s">
        <v>143</v>
      </c>
      <c r="H18" s="2" t="s">
        <v>144</v>
      </c>
      <c r="I18" s="2" t="s">
        <v>145</v>
      </c>
      <c r="J18" s="2" t="s">
        <v>146</v>
      </c>
      <c r="K18" s="10" t="b">
        <f aca="false">FALSE()</f>
        <v>0</v>
      </c>
      <c r="L18" s="10" t="b">
        <f aca="false">FALSE()</f>
        <v>0</v>
      </c>
      <c r="M18" s="2" t="s">
        <v>147</v>
      </c>
      <c r="N18" s="2" t="s">
        <v>123</v>
      </c>
      <c r="O18" s="2" t="s">
        <v>148</v>
      </c>
      <c r="P18" s="2" t="n">
        <v>14</v>
      </c>
      <c r="Q18" s="11" t="s">
        <v>149</v>
      </c>
      <c r="R18" s="11" t="s">
        <v>150</v>
      </c>
      <c r="S18" s="11" t="s">
        <v>151</v>
      </c>
      <c r="T18" s="2" t="s">
        <v>219</v>
      </c>
      <c r="U18" s="2" t="s">
        <v>153</v>
      </c>
      <c r="V18" s="2" t="s">
        <v>154</v>
      </c>
      <c r="W18" s="11" t="s">
        <v>155</v>
      </c>
      <c r="X18" s="11" t="s">
        <v>220</v>
      </c>
      <c r="Y18" s="2"/>
      <c r="Z18" s="2"/>
      <c r="AA18" s="2"/>
      <c r="AB18" s="2"/>
      <c r="AC18" s="2" t="s">
        <v>157</v>
      </c>
      <c r="AD18" s="2" t="s">
        <v>132</v>
      </c>
      <c r="AE18" s="10" t="b">
        <f aca="false">FALSE()</f>
        <v>0</v>
      </c>
      <c r="AF18" s="2" t="s">
        <v>133</v>
      </c>
      <c r="AG18" s="2" t="s">
        <v>158</v>
      </c>
      <c r="AH18" s="2" t="s">
        <v>135</v>
      </c>
      <c r="AI18" s="11" t="s">
        <v>159</v>
      </c>
      <c r="AJ18" s="2" t="s">
        <v>137</v>
      </c>
      <c r="AK18" s="2" t="s">
        <v>137</v>
      </c>
      <c r="AL18" s="2" t="s">
        <v>221</v>
      </c>
    </row>
    <row r="19" customFormat="false" ht="90" hidden="false" customHeight="true" outlineLevel="0" collapsed="false">
      <c r="A19" s="2" t="s">
        <v>222</v>
      </c>
      <c r="B19" s="2" t="s">
        <v>140</v>
      </c>
      <c r="C19" s="2" t="s">
        <v>203</v>
      </c>
      <c r="D19" s="9" t="n">
        <v>4639</v>
      </c>
      <c r="E19" s="2" t="s">
        <v>116</v>
      </c>
      <c r="F19" s="2" t="s">
        <v>117</v>
      </c>
      <c r="G19" s="2" t="s">
        <v>118</v>
      </c>
      <c r="H19" s="2" t="s">
        <v>144</v>
      </c>
      <c r="I19" s="2" t="s">
        <v>145</v>
      </c>
      <c r="J19" s="2" t="s">
        <v>146</v>
      </c>
      <c r="K19" s="10" t="b">
        <f aca="false">FALSE()</f>
        <v>0</v>
      </c>
      <c r="L19" s="10" t="b">
        <f aca="false">FALSE()</f>
        <v>0</v>
      </c>
      <c r="M19" s="2" t="s">
        <v>122</v>
      </c>
      <c r="N19" s="2" t="s">
        <v>123</v>
      </c>
      <c r="O19" s="2" t="s">
        <v>162</v>
      </c>
      <c r="P19" s="2" t="n">
        <v>7</v>
      </c>
      <c r="Q19" s="11" t="s">
        <v>125</v>
      </c>
      <c r="R19" s="11" t="s">
        <v>126</v>
      </c>
      <c r="S19" s="11" t="s">
        <v>127</v>
      </c>
      <c r="T19" s="2" t="s">
        <v>223</v>
      </c>
      <c r="U19" s="2" t="s">
        <v>153</v>
      </c>
      <c r="V19" s="2" t="s">
        <v>164</v>
      </c>
      <c r="W19" s="11" t="s">
        <v>172</v>
      </c>
      <c r="X19" s="11" t="s">
        <v>224</v>
      </c>
      <c r="Y19" s="2"/>
      <c r="Z19" s="2"/>
      <c r="AA19" s="2"/>
      <c r="AB19" s="2"/>
      <c r="AC19" s="2" t="s">
        <v>131</v>
      </c>
      <c r="AD19" s="2" t="s">
        <v>132</v>
      </c>
      <c r="AE19" s="10" t="b">
        <f aca="false">FALSE()</f>
        <v>0</v>
      </c>
      <c r="AF19" s="2" t="s">
        <v>133</v>
      </c>
      <c r="AG19" s="2" t="s">
        <v>134</v>
      </c>
      <c r="AH19" s="2" t="s">
        <v>135</v>
      </c>
      <c r="AI19" s="11" t="s">
        <v>136</v>
      </c>
      <c r="AJ19" s="2" t="s">
        <v>137</v>
      </c>
      <c r="AK19" s="2" t="s">
        <v>137</v>
      </c>
      <c r="AL19" s="2" t="s">
        <v>225</v>
      </c>
    </row>
    <row r="20" customFormat="false" ht="90" hidden="false" customHeight="true" outlineLevel="0" collapsed="false">
      <c r="A20" s="2" t="s">
        <v>226</v>
      </c>
      <c r="B20" s="2" t="s">
        <v>140</v>
      </c>
      <c r="C20" s="2" t="s">
        <v>203</v>
      </c>
      <c r="D20" s="9" t="n">
        <v>4632</v>
      </c>
      <c r="E20" s="2" t="s">
        <v>179</v>
      </c>
      <c r="F20" s="2" t="s">
        <v>117</v>
      </c>
      <c r="G20" s="2" t="s">
        <v>180</v>
      </c>
      <c r="H20" s="2" t="s">
        <v>144</v>
      </c>
      <c r="I20" s="2" t="s">
        <v>145</v>
      </c>
      <c r="J20" s="2" t="s">
        <v>181</v>
      </c>
      <c r="K20" s="10" t="b">
        <f aca="false">TRUE()</f>
        <v>1</v>
      </c>
      <c r="L20" s="10" t="b">
        <f aca="false">FALSE()</f>
        <v>0</v>
      </c>
      <c r="M20" s="2" t="s">
        <v>122</v>
      </c>
      <c r="N20" s="2" t="s">
        <v>182</v>
      </c>
      <c r="O20" s="2" t="s">
        <v>183</v>
      </c>
      <c r="P20" s="2" t="n">
        <v>7</v>
      </c>
      <c r="Q20" s="11" t="s">
        <v>125</v>
      </c>
      <c r="R20" s="11" t="s">
        <v>126</v>
      </c>
      <c r="S20" s="11" t="s">
        <v>127</v>
      </c>
      <c r="T20" s="2" t="s">
        <v>223</v>
      </c>
      <c r="U20" s="2" t="s">
        <v>153</v>
      </c>
      <c r="V20" s="2" t="s">
        <v>184</v>
      </c>
      <c r="W20" s="11" t="s">
        <v>185</v>
      </c>
      <c r="X20" s="11" t="s">
        <v>227</v>
      </c>
      <c r="Y20" s="2"/>
      <c r="Z20" s="2"/>
      <c r="AA20" s="2"/>
      <c r="AB20" s="2"/>
      <c r="AC20" s="2" t="s">
        <v>131</v>
      </c>
      <c r="AD20" s="2" t="s">
        <v>132</v>
      </c>
      <c r="AE20" s="10" t="b">
        <f aca="false">FALSE()</f>
        <v>0</v>
      </c>
      <c r="AF20" s="2" t="s">
        <v>133</v>
      </c>
      <c r="AG20" s="2" t="s">
        <v>134</v>
      </c>
      <c r="AH20" s="2" t="s">
        <v>135</v>
      </c>
      <c r="AI20" s="11" t="s">
        <v>136</v>
      </c>
      <c r="AJ20" s="2" t="s">
        <v>137</v>
      </c>
      <c r="AK20" s="2" t="s">
        <v>137</v>
      </c>
      <c r="AL20" s="2" t="s">
        <v>228</v>
      </c>
    </row>
    <row r="21" customFormat="false" ht="90" hidden="false" customHeight="true" outlineLevel="0" collapsed="false">
      <c r="A21" s="2" t="s">
        <v>229</v>
      </c>
      <c r="B21" s="2" t="s">
        <v>140</v>
      </c>
      <c r="C21" s="2" t="s">
        <v>203</v>
      </c>
      <c r="D21" s="9" t="n">
        <v>4179</v>
      </c>
      <c r="E21" s="2" t="s">
        <v>141</v>
      </c>
      <c r="F21" s="2" t="s">
        <v>142</v>
      </c>
      <c r="G21" s="2" t="s">
        <v>143</v>
      </c>
      <c r="H21" s="2" t="s">
        <v>144</v>
      </c>
      <c r="I21" s="2" t="s">
        <v>145</v>
      </c>
      <c r="J21" s="2" t="s">
        <v>146</v>
      </c>
      <c r="K21" s="10" t="b">
        <f aca="false">FALSE()</f>
        <v>0</v>
      </c>
      <c r="L21" s="10" t="b">
        <f aca="false">FALSE()</f>
        <v>0</v>
      </c>
      <c r="M21" s="2" t="s">
        <v>147</v>
      </c>
      <c r="N21" s="2" t="s">
        <v>123</v>
      </c>
      <c r="O21" s="2" t="s">
        <v>148</v>
      </c>
      <c r="P21" s="2" t="n">
        <v>14</v>
      </c>
      <c r="Q21" s="11" t="s">
        <v>149</v>
      </c>
      <c r="R21" s="11" t="s">
        <v>150</v>
      </c>
      <c r="S21" s="11" t="s">
        <v>151</v>
      </c>
      <c r="T21" s="2" t="s">
        <v>219</v>
      </c>
      <c r="U21" s="2" t="s">
        <v>153</v>
      </c>
      <c r="V21" s="2" t="s">
        <v>154</v>
      </c>
      <c r="W21" s="11" t="s">
        <v>155</v>
      </c>
      <c r="X21" s="11" t="s">
        <v>230</v>
      </c>
      <c r="Y21" s="2"/>
      <c r="Z21" s="2"/>
      <c r="AA21" s="2"/>
      <c r="AB21" s="2"/>
      <c r="AC21" s="2" t="s">
        <v>157</v>
      </c>
      <c r="AD21" s="2" t="s">
        <v>132</v>
      </c>
      <c r="AE21" s="10" t="b">
        <f aca="false">FALSE()</f>
        <v>0</v>
      </c>
      <c r="AF21" s="2" t="s">
        <v>133</v>
      </c>
      <c r="AG21" s="2" t="s">
        <v>158</v>
      </c>
      <c r="AH21" s="2" t="s">
        <v>135</v>
      </c>
      <c r="AI21" s="11" t="s">
        <v>159</v>
      </c>
      <c r="AJ21" s="2" t="s">
        <v>137</v>
      </c>
      <c r="AK21" s="2" t="s">
        <v>137</v>
      </c>
      <c r="AL21" s="2" t="s">
        <v>231</v>
      </c>
    </row>
    <row r="22" customFormat="false" ht="90" hidden="false" customHeight="true" outlineLevel="0" collapsed="false">
      <c r="A22" s="2" t="s">
        <v>232</v>
      </c>
      <c r="B22" s="2" t="s">
        <v>140</v>
      </c>
      <c r="C22" s="2" t="s">
        <v>203</v>
      </c>
      <c r="D22" s="9" t="n">
        <v>3907</v>
      </c>
      <c r="E22" s="2" t="s">
        <v>179</v>
      </c>
      <c r="F22" s="2" t="s">
        <v>142</v>
      </c>
      <c r="G22" s="2" t="s">
        <v>143</v>
      </c>
      <c r="H22" s="2" t="s">
        <v>144</v>
      </c>
      <c r="I22" s="2" t="s">
        <v>145</v>
      </c>
      <c r="J22" s="2" t="s">
        <v>181</v>
      </c>
      <c r="K22" s="10" t="b">
        <f aca="false">TRUE()</f>
        <v>1</v>
      </c>
      <c r="L22" s="10" t="b">
        <f aca="false">FALSE()</f>
        <v>0</v>
      </c>
      <c r="M22" s="2" t="s">
        <v>147</v>
      </c>
      <c r="N22" s="2" t="s">
        <v>182</v>
      </c>
      <c r="O22" s="2" t="s">
        <v>148</v>
      </c>
      <c r="P22" s="2" t="n">
        <v>14</v>
      </c>
      <c r="Q22" s="11" t="s">
        <v>149</v>
      </c>
      <c r="R22" s="11" t="s">
        <v>150</v>
      </c>
      <c r="S22" s="11" t="s">
        <v>151</v>
      </c>
      <c r="T22" s="2" t="s">
        <v>219</v>
      </c>
      <c r="U22" s="2" t="s">
        <v>153</v>
      </c>
      <c r="V22" s="2" t="s">
        <v>154</v>
      </c>
      <c r="W22" s="11" t="s">
        <v>155</v>
      </c>
      <c r="X22" s="11" t="s">
        <v>233</v>
      </c>
      <c r="Y22" s="2"/>
      <c r="Z22" s="2"/>
      <c r="AA22" s="2"/>
      <c r="AB22" s="2"/>
      <c r="AC22" s="2" t="s">
        <v>157</v>
      </c>
      <c r="AD22" s="2" t="s">
        <v>132</v>
      </c>
      <c r="AE22" s="10" t="b">
        <f aca="false">FALSE()</f>
        <v>0</v>
      </c>
      <c r="AF22" s="2" t="s">
        <v>133</v>
      </c>
      <c r="AG22" s="2" t="s">
        <v>158</v>
      </c>
      <c r="AH22" s="2" t="s">
        <v>135</v>
      </c>
      <c r="AI22" s="11" t="s">
        <v>159</v>
      </c>
      <c r="AJ22" s="2" t="s">
        <v>137</v>
      </c>
      <c r="AK22" s="2" t="s">
        <v>137</v>
      </c>
      <c r="AL22" s="2" t="s">
        <v>234</v>
      </c>
    </row>
    <row r="23" customFormat="false" ht="90" hidden="false" customHeight="true" outlineLevel="0" collapsed="false">
      <c r="A23" s="2" t="s">
        <v>235</v>
      </c>
      <c r="B23" s="2" t="s">
        <v>140</v>
      </c>
      <c r="C23" s="2" t="s">
        <v>203</v>
      </c>
      <c r="D23" s="9" t="n">
        <v>3906</v>
      </c>
      <c r="E23" s="2" t="s">
        <v>116</v>
      </c>
      <c r="F23" s="2" t="s">
        <v>117</v>
      </c>
      <c r="G23" s="2" t="s">
        <v>118</v>
      </c>
      <c r="H23" s="2" t="s">
        <v>144</v>
      </c>
      <c r="I23" s="2" t="s">
        <v>145</v>
      </c>
      <c r="J23" s="2" t="s">
        <v>146</v>
      </c>
      <c r="K23" s="10" t="b">
        <f aca="false">FALSE()</f>
        <v>0</v>
      </c>
      <c r="L23" s="10" t="b">
        <f aca="false">FALSE()</f>
        <v>0</v>
      </c>
      <c r="M23" s="2" t="s">
        <v>122</v>
      </c>
      <c r="N23" s="2" t="s">
        <v>123</v>
      </c>
      <c r="O23" s="2" t="s">
        <v>162</v>
      </c>
      <c r="P23" s="2" t="n">
        <v>7</v>
      </c>
      <c r="Q23" s="11" t="s">
        <v>125</v>
      </c>
      <c r="R23" s="11" t="s">
        <v>126</v>
      </c>
      <c r="S23" s="11" t="s">
        <v>127</v>
      </c>
      <c r="T23" s="11" t="s">
        <v>236</v>
      </c>
      <c r="U23" s="2" t="s">
        <v>153</v>
      </c>
      <c r="V23" s="2" t="s">
        <v>164</v>
      </c>
      <c r="W23" s="11" t="s">
        <v>172</v>
      </c>
      <c r="X23" s="11" t="s">
        <v>237</v>
      </c>
      <c r="Y23" s="2"/>
      <c r="Z23" s="2"/>
      <c r="AA23" s="2"/>
      <c r="AB23" s="2"/>
      <c r="AC23" s="2" t="s">
        <v>131</v>
      </c>
      <c r="AD23" s="2" t="s">
        <v>132</v>
      </c>
      <c r="AE23" s="10" t="b">
        <f aca="false">FALSE()</f>
        <v>0</v>
      </c>
      <c r="AF23" s="2" t="s">
        <v>133</v>
      </c>
      <c r="AG23" s="2" t="s">
        <v>134</v>
      </c>
      <c r="AH23" s="2" t="s">
        <v>135</v>
      </c>
      <c r="AI23" s="11" t="s">
        <v>136</v>
      </c>
      <c r="AJ23" s="2" t="s">
        <v>137</v>
      </c>
      <c r="AK23" s="2" t="s">
        <v>137</v>
      </c>
      <c r="AL23" s="2" t="s">
        <v>238</v>
      </c>
    </row>
    <row r="24" customFormat="false" ht="90" hidden="false" customHeight="true" outlineLevel="0" collapsed="false">
      <c r="A24" s="2" t="s">
        <v>239</v>
      </c>
      <c r="B24" s="2" t="s">
        <v>140</v>
      </c>
      <c r="C24" s="2" t="s">
        <v>203</v>
      </c>
      <c r="D24" s="9" t="n">
        <v>3863</v>
      </c>
      <c r="E24" s="2" t="s">
        <v>116</v>
      </c>
      <c r="F24" s="2" t="s">
        <v>117</v>
      </c>
      <c r="G24" s="2" t="s">
        <v>118</v>
      </c>
      <c r="H24" s="2" t="s">
        <v>144</v>
      </c>
      <c r="I24" s="2" t="s">
        <v>145</v>
      </c>
      <c r="J24" s="2" t="s">
        <v>146</v>
      </c>
      <c r="K24" s="10" t="b">
        <f aca="false">FALSE()</f>
        <v>0</v>
      </c>
      <c r="L24" s="10" t="b">
        <f aca="false">FALSE()</f>
        <v>0</v>
      </c>
      <c r="M24" s="2" t="s">
        <v>122</v>
      </c>
      <c r="N24" s="2" t="s">
        <v>123</v>
      </c>
      <c r="O24" s="2" t="s">
        <v>162</v>
      </c>
      <c r="P24" s="2" t="n">
        <v>7</v>
      </c>
      <c r="Q24" s="11" t="s">
        <v>125</v>
      </c>
      <c r="R24" s="11" t="s">
        <v>126</v>
      </c>
      <c r="S24" s="11" t="s">
        <v>127</v>
      </c>
      <c r="T24" s="2"/>
      <c r="U24" s="2" t="s">
        <v>153</v>
      </c>
      <c r="V24" s="2" t="s">
        <v>164</v>
      </c>
      <c r="W24" s="11" t="s">
        <v>165</v>
      </c>
      <c r="X24" s="11" t="s">
        <v>240</v>
      </c>
      <c r="Y24" s="2"/>
      <c r="Z24" s="2"/>
      <c r="AA24" s="2"/>
      <c r="AB24" s="2"/>
      <c r="AC24" s="2" t="s">
        <v>131</v>
      </c>
      <c r="AD24" s="2" t="s">
        <v>132</v>
      </c>
      <c r="AE24" s="10" t="b">
        <f aca="false">FALSE()</f>
        <v>0</v>
      </c>
      <c r="AF24" s="2" t="s">
        <v>133</v>
      </c>
      <c r="AG24" s="2" t="s">
        <v>134</v>
      </c>
      <c r="AH24" s="2" t="s">
        <v>135</v>
      </c>
      <c r="AI24" s="11" t="s">
        <v>136</v>
      </c>
      <c r="AJ24" s="2" t="s">
        <v>137</v>
      </c>
      <c r="AK24" s="2" t="s">
        <v>137</v>
      </c>
      <c r="AL24" s="2" t="s">
        <v>241</v>
      </c>
    </row>
    <row r="25" customFormat="false" ht="90" hidden="false" customHeight="true" outlineLevel="0" collapsed="false">
      <c r="A25" s="2" t="s">
        <v>242</v>
      </c>
      <c r="B25" s="2" t="s">
        <v>140</v>
      </c>
      <c r="C25" s="2" t="s">
        <v>203</v>
      </c>
      <c r="D25" s="9" t="n">
        <v>3702</v>
      </c>
      <c r="E25" s="2" t="s">
        <v>179</v>
      </c>
      <c r="F25" s="2" t="s">
        <v>142</v>
      </c>
      <c r="G25" s="2" t="s">
        <v>143</v>
      </c>
      <c r="H25" s="2" t="s">
        <v>144</v>
      </c>
      <c r="I25" s="2" t="s">
        <v>145</v>
      </c>
      <c r="J25" s="2" t="s">
        <v>146</v>
      </c>
      <c r="K25" s="10" t="b">
        <f aca="false">FALSE()</f>
        <v>0</v>
      </c>
      <c r="L25" s="10" t="b">
        <f aca="false">FALSE()</f>
        <v>0</v>
      </c>
      <c r="M25" s="2" t="s">
        <v>147</v>
      </c>
      <c r="N25" s="2" t="s">
        <v>123</v>
      </c>
      <c r="O25" s="2" t="s">
        <v>148</v>
      </c>
      <c r="P25" s="2" t="n">
        <v>14</v>
      </c>
      <c r="Q25" s="11" t="s">
        <v>149</v>
      </c>
      <c r="R25" s="11" t="s">
        <v>150</v>
      </c>
      <c r="S25" s="11" t="s">
        <v>151</v>
      </c>
      <c r="T25" s="2" t="s">
        <v>219</v>
      </c>
      <c r="U25" s="2" t="s">
        <v>153</v>
      </c>
      <c r="V25" s="2" t="s">
        <v>154</v>
      </c>
      <c r="W25" s="11" t="s">
        <v>155</v>
      </c>
      <c r="X25" s="11" t="s">
        <v>243</v>
      </c>
      <c r="Y25" s="2"/>
      <c r="Z25" s="2"/>
      <c r="AA25" s="2"/>
      <c r="AB25" s="2"/>
      <c r="AC25" s="2" t="s">
        <v>157</v>
      </c>
      <c r="AD25" s="2" t="s">
        <v>132</v>
      </c>
      <c r="AE25" s="10" t="b">
        <f aca="false">FALSE()</f>
        <v>0</v>
      </c>
      <c r="AF25" s="2" t="s">
        <v>133</v>
      </c>
      <c r="AG25" s="2" t="s">
        <v>158</v>
      </c>
      <c r="AH25" s="2" t="s">
        <v>135</v>
      </c>
      <c r="AI25" s="11" t="s">
        <v>159</v>
      </c>
      <c r="AJ25" s="2" t="s">
        <v>137</v>
      </c>
      <c r="AK25" s="2" t="s">
        <v>137</v>
      </c>
      <c r="AL25" s="2" t="s">
        <v>244</v>
      </c>
    </row>
    <row r="26" customFormat="false" ht="90" hidden="false" customHeight="true" outlineLevel="0" collapsed="false">
      <c r="A26" s="2" t="s">
        <v>245</v>
      </c>
      <c r="B26" s="2" t="s">
        <v>140</v>
      </c>
      <c r="C26" s="2" t="s">
        <v>203</v>
      </c>
      <c r="D26" s="9" t="n">
        <v>3579</v>
      </c>
      <c r="E26" s="2" t="s">
        <v>116</v>
      </c>
      <c r="F26" s="2" t="s">
        <v>117</v>
      </c>
      <c r="G26" s="2" t="s">
        <v>118</v>
      </c>
      <c r="H26" s="2" t="s">
        <v>144</v>
      </c>
      <c r="I26" s="2" t="s">
        <v>145</v>
      </c>
      <c r="J26" s="2" t="s">
        <v>146</v>
      </c>
      <c r="K26" s="10" t="b">
        <f aca="false">FALSE()</f>
        <v>0</v>
      </c>
      <c r="L26" s="10" t="b">
        <f aca="false">FALSE()</f>
        <v>0</v>
      </c>
      <c r="M26" s="2" t="s">
        <v>122</v>
      </c>
      <c r="N26" s="2" t="s">
        <v>123</v>
      </c>
      <c r="O26" s="2" t="s">
        <v>162</v>
      </c>
      <c r="P26" s="2" t="n">
        <v>7</v>
      </c>
      <c r="Q26" s="11" t="s">
        <v>125</v>
      </c>
      <c r="R26" s="11" t="s">
        <v>126</v>
      </c>
      <c r="S26" s="11" t="s">
        <v>127</v>
      </c>
      <c r="T26" s="2" t="s">
        <v>215</v>
      </c>
      <c r="U26" s="2" t="s">
        <v>153</v>
      </c>
      <c r="V26" s="2" t="s">
        <v>164</v>
      </c>
      <c r="W26" s="11" t="s">
        <v>172</v>
      </c>
      <c r="X26" s="11" t="s">
        <v>246</v>
      </c>
      <c r="Y26" s="2"/>
      <c r="Z26" s="2"/>
      <c r="AA26" s="2"/>
      <c r="AB26" s="2"/>
      <c r="AC26" s="2" t="s">
        <v>131</v>
      </c>
      <c r="AD26" s="2" t="s">
        <v>132</v>
      </c>
      <c r="AE26" s="10" t="b">
        <f aca="false">FALSE()</f>
        <v>0</v>
      </c>
      <c r="AF26" s="2" t="s">
        <v>133</v>
      </c>
      <c r="AG26" s="2" t="s">
        <v>134</v>
      </c>
      <c r="AH26" s="2" t="s">
        <v>135</v>
      </c>
      <c r="AI26" s="11" t="s">
        <v>136</v>
      </c>
      <c r="AJ26" s="2" t="s">
        <v>137</v>
      </c>
      <c r="AK26" s="2" t="s">
        <v>137</v>
      </c>
      <c r="AL26" s="2" t="s">
        <v>247</v>
      </c>
    </row>
    <row r="27" customFormat="false" ht="90" hidden="false" customHeight="true" outlineLevel="0" collapsed="false">
      <c r="A27" s="2" t="s">
        <v>248</v>
      </c>
      <c r="B27" s="2" t="s">
        <v>140</v>
      </c>
      <c r="C27" s="2" t="s">
        <v>203</v>
      </c>
      <c r="D27" s="9" t="n">
        <v>3549</v>
      </c>
      <c r="E27" s="2" t="s">
        <v>116</v>
      </c>
      <c r="F27" s="2" t="s">
        <v>117</v>
      </c>
      <c r="G27" s="2" t="s">
        <v>118</v>
      </c>
      <c r="H27" s="2" t="s">
        <v>144</v>
      </c>
      <c r="I27" s="2" t="s">
        <v>145</v>
      </c>
      <c r="J27" s="2" t="s">
        <v>146</v>
      </c>
      <c r="K27" s="10" t="b">
        <f aca="false">FALSE()</f>
        <v>0</v>
      </c>
      <c r="L27" s="10" t="b">
        <f aca="false">FALSE()</f>
        <v>0</v>
      </c>
      <c r="M27" s="2" t="s">
        <v>122</v>
      </c>
      <c r="N27" s="2" t="s">
        <v>123</v>
      </c>
      <c r="O27" s="2" t="s">
        <v>162</v>
      </c>
      <c r="P27" s="2" t="n">
        <v>7</v>
      </c>
      <c r="Q27" s="11" t="s">
        <v>125</v>
      </c>
      <c r="R27" s="11" t="s">
        <v>126</v>
      </c>
      <c r="S27" s="11" t="s">
        <v>127</v>
      </c>
      <c r="T27" s="2" t="s">
        <v>249</v>
      </c>
      <c r="U27" s="2" t="s">
        <v>153</v>
      </c>
      <c r="V27" s="2" t="s">
        <v>164</v>
      </c>
      <c r="W27" s="11" t="s">
        <v>165</v>
      </c>
      <c r="X27" s="11" t="s">
        <v>250</v>
      </c>
      <c r="Y27" s="2"/>
      <c r="Z27" s="2"/>
      <c r="AA27" s="2"/>
      <c r="AB27" s="2"/>
      <c r="AC27" s="2" t="s">
        <v>131</v>
      </c>
      <c r="AD27" s="2" t="s">
        <v>132</v>
      </c>
      <c r="AE27" s="10" t="b">
        <f aca="false">FALSE()</f>
        <v>0</v>
      </c>
      <c r="AF27" s="2" t="s">
        <v>133</v>
      </c>
      <c r="AG27" s="2" t="s">
        <v>134</v>
      </c>
      <c r="AH27" s="2" t="s">
        <v>135</v>
      </c>
      <c r="AI27" s="11" t="s">
        <v>136</v>
      </c>
      <c r="AJ27" s="2" t="s">
        <v>137</v>
      </c>
      <c r="AK27" s="2" t="s">
        <v>137</v>
      </c>
      <c r="AL27" s="2" t="s">
        <v>251</v>
      </c>
    </row>
    <row r="28" customFormat="false" ht="90" hidden="false" customHeight="true" outlineLevel="0" collapsed="false">
      <c r="A28" s="2" t="s">
        <v>252</v>
      </c>
      <c r="B28" s="2" t="s">
        <v>140</v>
      </c>
      <c r="C28" s="2" t="s">
        <v>203</v>
      </c>
      <c r="D28" s="9" t="n">
        <v>3497</v>
      </c>
      <c r="E28" s="2" t="s">
        <v>253</v>
      </c>
      <c r="F28" s="2" t="s">
        <v>142</v>
      </c>
      <c r="G28" s="2" t="s">
        <v>254</v>
      </c>
      <c r="H28" s="2" t="s">
        <v>144</v>
      </c>
      <c r="I28" s="2" t="s">
        <v>145</v>
      </c>
      <c r="J28" s="2" t="s">
        <v>181</v>
      </c>
      <c r="K28" s="10" t="b">
        <f aca="false">TRUE()</f>
        <v>1</v>
      </c>
      <c r="L28" s="10" t="b">
        <f aca="false">FALSE()</f>
        <v>0</v>
      </c>
      <c r="M28" s="2" t="s">
        <v>147</v>
      </c>
      <c r="N28" s="2" t="s">
        <v>182</v>
      </c>
      <c r="O28" s="2" t="s">
        <v>255</v>
      </c>
      <c r="P28" s="2" t="n">
        <v>14</v>
      </c>
      <c r="Q28" s="11" t="s">
        <v>149</v>
      </c>
      <c r="R28" s="11" t="s">
        <v>150</v>
      </c>
      <c r="S28" s="11" t="s">
        <v>151</v>
      </c>
      <c r="T28" s="2" t="s">
        <v>163</v>
      </c>
      <c r="U28" s="2" t="s">
        <v>153</v>
      </c>
      <c r="V28" s="2" t="s">
        <v>256</v>
      </c>
      <c r="W28" s="11" t="s">
        <v>257</v>
      </c>
      <c r="X28" s="11" t="s">
        <v>258</v>
      </c>
      <c r="Y28" s="2"/>
      <c r="Z28" s="2"/>
      <c r="AA28" s="2"/>
      <c r="AB28" s="2"/>
      <c r="AC28" s="2" t="s">
        <v>187</v>
      </c>
      <c r="AD28" s="2" t="s">
        <v>132</v>
      </c>
      <c r="AE28" s="10" t="b">
        <f aca="false">FALSE()</f>
        <v>0</v>
      </c>
      <c r="AF28" s="2" t="s">
        <v>133</v>
      </c>
      <c r="AG28" s="2" t="s">
        <v>134</v>
      </c>
      <c r="AH28" s="2" t="s">
        <v>135</v>
      </c>
      <c r="AI28" s="11" t="s">
        <v>159</v>
      </c>
      <c r="AJ28" s="2" t="s">
        <v>137</v>
      </c>
      <c r="AK28" s="2" t="s">
        <v>137</v>
      </c>
      <c r="AL28" s="2" t="s">
        <v>259</v>
      </c>
    </row>
    <row r="29" customFormat="false" ht="90" hidden="false" customHeight="true" outlineLevel="0" collapsed="false">
      <c r="A29" s="2" t="s">
        <v>260</v>
      </c>
      <c r="B29" s="2" t="s">
        <v>140</v>
      </c>
      <c r="C29" s="2" t="s">
        <v>203</v>
      </c>
      <c r="D29" s="9" t="n">
        <v>3478</v>
      </c>
      <c r="E29" s="2" t="s">
        <v>179</v>
      </c>
      <c r="F29" s="2" t="s">
        <v>142</v>
      </c>
      <c r="G29" s="2" t="s">
        <v>143</v>
      </c>
      <c r="H29" s="2" t="s">
        <v>144</v>
      </c>
      <c r="I29" s="2" t="s">
        <v>145</v>
      </c>
      <c r="J29" s="2" t="s">
        <v>146</v>
      </c>
      <c r="K29" s="10" t="b">
        <f aca="false">FALSE()</f>
        <v>0</v>
      </c>
      <c r="L29" s="10" t="b">
        <f aca="false">FALSE()</f>
        <v>0</v>
      </c>
      <c r="M29" s="2" t="s">
        <v>147</v>
      </c>
      <c r="N29" s="2" t="s">
        <v>123</v>
      </c>
      <c r="O29" s="2" t="s">
        <v>148</v>
      </c>
      <c r="P29" s="2" t="n">
        <v>14</v>
      </c>
      <c r="Q29" s="11" t="s">
        <v>149</v>
      </c>
      <c r="R29" s="11" t="s">
        <v>150</v>
      </c>
      <c r="S29" s="11" t="s">
        <v>151</v>
      </c>
      <c r="T29" s="2" t="s">
        <v>219</v>
      </c>
      <c r="U29" s="2" t="s">
        <v>153</v>
      </c>
      <c r="V29" s="2" t="s">
        <v>154</v>
      </c>
      <c r="W29" s="11" t="s">
        <v>155</v>
      </c>
      <c r="X29" s="11" t="s">
        <v>261</v>
      </c>
      <c r="Y29" s="2"/>
      <c r="Z29" s="2"/>
      <c r="AA29" s="2"/>
      <c r="AB29" s="2"/>
      <c r="AC29" s="2" t="s">
        <v>157</v>
      </c>
      <c r="AD29" s="2" t="s">
        <v>132</v>
      </c>
      <c r="AE29" s="10" t="b">
        <f aca="false">FALSE()</f>
        <v>0</v>
      </c>
      <c r="AF29" s="2" t="s">
        <v>133</v>
      </c>
      <c r="AG29" s="2" t="s">
        <v>158</v>
      </c>
      <c r="AH29" s="2" t="s">
        <v>135</v>
      </c>
      <c r="AI29" s="11" t="s">
        <v>159</v>
      </c>
      <c r="AJ29" s="2" t="s">
        <v>137</v>
      </c>
      <c r="AK29" s="2" t="s">
        <v>137</v>
      </c>
      <c r="AL29" s="2" t="s">
        <v>262</v>
      </c>
    </row>
    <row r="30" customFormat="false" ht="90" hidden="false" customHeight="true" outlineLevel="0" collapsed="false">
      <c r="A30" s="2" t="s">
        <v>263</v>
      </c>
      <c r="B30" s="2" t="s">
        <v>140</v>
      </c>
      <c r="C30" s="2" t="s">
        <v>203</v>
      </c>
      <c r="D30" s="9" t="n">
        <v>3434</v>
      </c>
      <c r="E30" s="2" t="s">
        <v>116</v>
      </c>
      <c r="F30" s="2" t="s">
        <v>117</v>
      </c>
      <c r="G30" s="2" t="s">
        <v>118</v>
      </c>
      <c r="H30" s="2" t="s">
        <v>144</v>
      </c>
      <c r="I30" s="2" t="s">
        <v>145</v>
      </c>
      <c r="J30" s="2" t="s">
        <v>146</v>
      </c>
      <c r="K30" s="10" t="b">
        <f aca="false">FALSE()</f>
        <v>0</v>
      </c>
      <c r="L30" s="10" t="b">
        <f aca="false">FALSE()</f>
        <v>0</v>
      </c>
      <c r="M30" s="2" t="s">
        <v>122</v>
      </c>
      <c r="N30" s="2" t="s">
        <v>123</v>
      </c>
      <c r="O30" s="2" t="s">
        <v>162</v>
      </c>
      <c r="P30" s="2" t="n">
        <v>7</v>
      </c>
      <c r="Q30" s="11" t="s">
        <v>125</v>
      </c>
      <c r="R30" s="11" t="s">
        <v>126</v>
      </c>
      <c r="S30" s="11" t="s">
        <v>127</v>
      </c>
      <c r="T30" s="2" t="s">
        <v>223</v>
      </c>
      <c r="U30" s="2" t="s">
        <v>153</v>
      </c>
      <c r="V30" s="2" t="s">
        <v>164</v>
      </c>
      <c r="W30" s="11" t="s">
        <v>165</v>
      </c>
      <c r="X30" s="11" t="s">
        <v>264</v>
      </c>
      <c r="Y30" s="2"/>
      <c r="Z30" s="2"/>
      <c r="AA30" s="2"/>
      <c r="AB30" s="2"/>
      <c r="AC30" s="2" t="s">
        <v>131</v>
      </c>
      <c r="AD30" s="2" t="s">
        <v>132</v>
      </c>
      <c r="AE30" s="10" t="b">
        <f aca="false">FALSE()</f>
        <v>0</v>
      </c>
      <c r="AF30" s="2" t="s">
        <v>133</v>
      </c>
      <c r="AG30" s="2" t="s">
        <v>134</v>
      </c>
      <c r="AH30" s="2" t="s">
        <v>135</v>
      </c>
      <c r="AI30" s="11" t="s">
        <v>136</v>
      </c>
      <c r="AJ30" s="2" t="s">
        <v>137</v>
      </c>
      <c r="AK30" s="2" t="s">
        <v>137</v>
      </c>
      <c r="AL30" s="2" t="s">
        <v>265</v>
      </c>
    </row>
    <row r="31" customFormat="false" ht="90" hidden="false" customHeight="true" outlineLevel="0" collapsed="false">
      <c r="A31" s="2" t="s">
        <v>266</v>
      </c>
      <c r="B31" s="2" t="s">
        <v>140</v>
      </c>
      <c r="C31" s="2" t="s">
        <v>203</v>
      </c>
      <c r="D31" s="9" t="n">
        <v>3383</v>
      </c>
      <c r="E31" s="2" t="s">
        <v>141</v>
      </c>
      <c r="F31" s="2" t="s">
        <v>142</v>
      </c>
      <c r="G31" s="2" t="s">
        <v>143</v>
      </c>
      <c r="H31" s="2" t="s">
        <v>144</v>
      </c>
      <c r="I31" s="2" t="s">
        <v>145</v>
      </c>
      <c r="J31" s="2" t="s">
        <v>146</v>
      </c>
      <c r="K31" s="10" t="b">
        <f aca="false">FALSE()</f>
        <v>0</v>
      </c>
      <c r="L31" s="10" t="b">
        <f aca="false">FALSE()</f>
        <v>0</v>
      </c>
      <c r="M31" s="2" t="s">
        <v>147</v>
      </c>
      <c r="N31" s="2" t="s">
        <v>123</v>
      </c>
      <c r="O31" s="2" t="s">
        <v>148</v>
      </c>
      <c r="P31" s="2" t="n">
        <v>14</v>
      </c>
      <c r="Q31" s="11" t="s">
        <v>149</v>
      </c>
      <c r="R31" s="11" t="s">
        <v>150</v>
      </c>
      <c r="S31" s="11" t="s">
        <v>151</v>
      </c>
      <c r="T31" s="2"/>
      <c r="U31" s="2" t="s">
        <v>153</v>
      </c>
      <c r="V31" s="2" t="s">
        <v>154</v>
      </c>
      <c r="W31" s="11" t="s">
        <v>155</v>
      </c>
      <c r="X31" s="11" t="s">
        <v>267</v>
      </c>
      <c r="Y31" s="2"/>
      <c r="Z31" s="2"/>
      <c r="AA31" s="2"/>
      <c r="AB31" s="2"/>
      <c r="AC31" s="2" t="s">
        <v>157</v>
      </c>
      <c r="AD31" s="2" t="s">
        <v>132</v>
      </c>
      <c r="AE31" s="10" t="b">
        <f aca="false">FALSE()</f>
        <v>0</v>
      </c>
      <c r="AF31" s="2" t="s">
        <v>133</v>
      </c>
      <c r="AG31" s="2" t="s">
        <v>158</v>
      </c>
      <c r="AH31" s="2" t="s">
        <v>135</v>
      </c>
      <c r="AI31" s="11" t="s">
        <v>159</v>
      </c>
      <c r="AJ31" s="2" t="s">
        <v>137</v>
      </c>
      <c r="AK31" s="2" t="s">
        <v>137</v>
      </c>
      <c r="AL31" s="2" t="s">
        <v>268</v>
      </c>
    </row>
    <row r="32" customFormat="false" ht="90" hidden="false" customHeight="true" outlineLevel="0" collapsed="false">
      <c r="A32" s="2" t="s">
        <v>269</v>
      </c>
      <c r="B32" s="2" t="s">
        <v>140</v>
      </c>
      <c r="C32" s="2" t="s">
        <v>203</v>
      </c>
      <c r="D32" s="9" t="n">
        <v>3331</v>
      </c>
      <c r="E32" s="2" t="s">
        <v>116</v>
      </c>
      <c r="F32" s="2" t="s">
        <v>117</v>
      </c>
      <c r="G32" s="2" t="s">
        <v>118</v>
      </c>
      <c r="H32" s="2" t="s">
        <v>144</v>
      </c>
      <c r="I32" s="2" t="s">
        <v>145</v>
      </c>
      <c r="J32" s="2" t="s">
        <v>146</v>
      </c>
      <c r="K32" s="10" t="b">
        <f aca="false">FALSE()</f>
        <v>0</v>
      </c>
      <c r="L32" s="10" t="b">
        <f aca="false">FALSE()</f>
        <v>0</v>
      </c>
      <c r="M32" s="2" t="s">
        <v>122</v>
      </c>
      <c r="N32" s="2" t="s">
        <v>123</v>
      </c>
      <c r="O32" s="2" t="s">
        <v>162</v>
      </c>
      <c r="P32" s="2" t="n">
        <v>7</v>
      </c>
      <c r="Q32" s="11" t="s">
        <v>125</v>
      </c>
      <c r="R32" s="11" t="s">
        <v>126</v>
      </c>
      <c r="S32" s="11" t="s">
        <v>127</v>
      </c>
      <c r="T32" s="2"/>
      <c r="U32" s="2" t="s">
        <v>153</v>
      </c>
      <c r="V32" s="2" t="s">
        <v>164</v>
      </c>
      <c r="W32" s="11" t="s">
        <v>165</v>
      </c>
      <c r="X32" s="11" t="s">
        <v>270</v>
      </c>
      <c r="Y32" s="2"/>
      <c r="Z32" s="2"/>
      <c r="AA32" s="2"/>
      <c r="AB32" s="2"/>
      <c r="AC32" s="2" t="s">
        <v>131</v>
      </c>
      <c r="AD32" s="2" t="s">
        <v>132</v>
      </c>
      <c r="AE32" s="10" t="b">
        <f aca="false">FALSE()</f>
        <v>0</v>
      </c>
      <c r="AF32" s="2" t="s">
        <v>133</v>
      </c>
      <c r="AG32" s="2" t="s">
        <v>134</v>
      </c>
      <c r="AH32" s="2" t="s">
        <v>135</v>
      </c>
      <c r="AI32" s="11" t="s">
        <v>136</v>
      </c>
      <c r="AJ32" s="2" t="s">
        <v>137</v>
      </c>
      <c r="AK32" s="2" t="s">
        <v>137</v>
      </c>
      <c r="AL32" s="2" t="s">
        <v>271</v>
      </c>
    </row>
    <row r="33" customFormat="false" ht="90" hidden="false" customHeight="true" outlineLevel="0" collapsed="false">
      <c r="A33" s="2" t="s">
        <v>272</v>
      </c>
      <c r="B33" s="2" t="s">
        <v>140</v>
      </c>
      <c r="C33" s="2" t="s">
        <v>203</v>
      </c>
      <c r="D33" s="9" t="n">
        <v>3283</v>
      </c>
      <c r="E33" s="2" t="s">
        <v>116</v>
      </c>
      <c r="F33" s="2" t="s">
        <v>117</v>
      </c>
      <c r="G33" s="2" t="s">
        <v>118</v>
      </c>
      <c r="H33" s="2" t="s">
        <v>144</v>
      </c>
      <c r="I33" s="2" t="s">
        <v>145</v>
      </c>
      <c r="J33" s="2" t="s">
        <v>146</v>
      </c>
      <c r="K33" s="10" t="b">
        <f aca="false">FALSE()</f>
        <v>0</v>
      </c>
      <c r="L33" s="10" t="b">
        <f aca="false">FALSE()</f>
        <v>0</v>
      </c>
      <c r="M33" s="2" t="s">
        <v>122</v>
      </c>
      <c r="N33" s="2" t="s">
        <v>123</v>
      </c>
      <c r="O33" s="2" t="s">
        <v>162</v>
      </c>
      <c r="P33" s="2" t="n">
        <v>7</v>
      </c>
      <c r="Q33" s="11" t="s">
        <v>125</v>
      </c>
      <c r="R33" s="11" t="s">
        <v>126</v>
      </c>
      <c r="S33" s="11" t="s">
        <v>127</v>
      </c>
      <c r="T33" s="2" t="s">
        <v>215</v>
      </c>
      <c r="U33" s="2" t="s">
        <v>153</v>
      </c>
      <c r="V33" s="2" t="s">
        <v>164</v>
      </c>
      <c r="W33" s="11" t="s">
        <v>172</v>
      </c>
      <c r="X33" s="11" t="s">
        <v>273</v>
      </c>
      <c r="Y33" s="2"/>
      <c r="Z33" s="2"/>
      <c r="AA33" s="2"/>
      <c r="AB33" s="2"/>
      <c r="AC33" s="2" t="s">
        <v>131</v>
      </c>
      <c r="AD33" s="2" t="s">
        <v>132</v>
      </c>
      <c r="AE33" s="10" t="b">
        <f aca="false">FALSE()</f>
        <v>0</v>
      </c>
      <c r="AF33" s="2" t="s">
        <v>133</v>
      </c>
      <c r="AG33" s="2" t="s">
        <v>158</v>
      </c>
      <c r="AH33" s="2" t="s">
        <v>135</v>
      </c>
      <c r="AI33" s="11" t="s">
        <v>136</v>
      </c>
      <c r="AJ33" s="2" t="s">
        <v>137</v>
      </c>
      <c r="AK33" s="2" t="s">
        <v>137</v>
      </c>
      <c r="AL33" s="2" t="s">
        <v>274</v>
      </c>
    </row>
    <row r="34" customFormat="false" ht="90" hidden="false" customHeight="true" outlineLevel="0" collapsed="false">
      <c r="A34" s="2" t="s">
        <v>275</v>
      </c>
      <c r="B34" s="2" t="s">
        <v>140</v>
      </c>
      <c r="C34" s="2" t="s">
        <v>203</v>
      </c>
      <c r="D34" s="9" t="n">
        <v>3044</v>
      </c>
      <c r="E34" s="2" t="s">
        <v>141</v>
      </c>
      <c r="F34" s="2" t="s">
        <v>142</v>
      </c>
      <c r="G34" s="2" t="s">
        <v>143</v>
      </c>
      <c r="H34" s="2" t="s">
        <v>144</v>
      </c>
      <c r="I34" s="2" t="s">
        <v>145</v>
      </c>
      <c r="J34" s="2" t="s">
        <v>146</v>
      </c>
      <c r="K34" s="10" t="b">
        <f aca="false">FALSE()</f>
        <v>0</v>
      </c>
      <c r="L34" s="10" t="b">
        <f aca="false">FALSE()</f>
        <v>0</v>
      </c>
      <c r="M34" s="2" t="s">
        <v>147</v>
      </c>
      <c r="N34" s="2" t="s">
        <v>123</v>
      </c>
      <c r="O34" s="2" t="s">
        <v>148</v>
      </c>
      <c r="P34" s="2" t="n">
        <v>14</v>
      </c>
      <c r="Q34" s="11" t="s">
        <v>149</v>
      </c>
      <c r="R34" s="11" t="s">
        <v>150</v>
      </c>
      <c r="S34" s="11" t="s">
        <v>151</v>
      </c>
      <c r="T34" s="2"/>
      <c r="U34" s="2" t="s">
        <v>153</v>
      </c>
      <c r="V34" s="2" t="s">
        <v>154</v>
      </c>
      <c r="W34" s="11" t="s">
        <v>155</v>
      </c>
      <c r="X34" s="11" t="s">
        <v>276</v>
      </c>
      <c r="Y34" s="2"/>
      <c r="Z34" s="2"/>
      <c r="AA34" s="2"/>
      <c r="AB34" s="2"/>
      <c r="AC34" s="2" t="s">
        <v>157</v>
      </c>
      <c r="AD34" s="2" t="s">
        <v>132</v>
      </c>
      <c r="AE34" s="10" t="b">
        <f aca="false">FALSE()</f>
        <v>0</v>
      </c>
      <c r="AF34" s="2" t="s">
        <v>133</v>
      </c>
      <c r="AG34" s="2" t="s">
        <v>158</v>
      </c>
      <c r="AH34" s="2" t="s">
        <v>135</v>
      </c>
      <c r="AI34" s="11" t="s">
        <v>159</v>
      </c>
      <c r="AJ34" s="2" t="s">
        <v>137</v>
      </c>
      <c r="AK34" s="2" t="s">
        <v>137</v>
      </c>
      <c r="AL34" s="2" t="s">
        <v>277</v>
      </c>
    </row>
    <row r="35" customFormat="false" ht="90" hidden="false" customHeight="true" outlineLevel="0" collapsed="false">
      <c r="A35" s="2" t="s">
        <v>278</v>
      </c>
      <c r="B35" s="2" t="s">
        <v>140</v>
      </c>
      <c r="C35" s="2" t="s">
        <v>203</v>
      </c>
      <c r="D35" s="9" t="n">
        <v>2992</v>
      </c>
      <c r="E35" s="2" t="s">
        <v>179</v>
      </c>
      <c r="F35" s="2" t="s">
        <v>117</v>
      </c>
      <c r="G35" s="2" t="s">
        <v>180</v>
      </c>
      <c r="H35" s="2" t="s">
        <v>144</v>
      </c>
      <c r="I35" s="2" t="s">
        <v>145</v>
      </c>
      <c r="J35" s="2" t="s">
        <v>146</v>
      </c>
      <c r="K35" s="10" t="b">
        <f aca="false">FALSE()</f>
        <v>0</v>
      </c>
      <c r="L35" s="10" t="b">
        <f aca="false">FALSE()</f>
        <v>0</v>
      </c>
      <c r="M35" s="2" t="s">
        <v>122</v>
      </c>
      <c r="N35" s="2" t="s">
        <v>123</v>
      </c>
      <c r="O35" s="2" t="s">
        <v>183</v>
      </c>
      <c r="P35" s="2" t="n">
        <v>7</v>
      </c>
      <c r="Q35" s="11" t="s">
        <v>125</v>
      </c>
      <c r="R35" s="11" t="s">
        <v>126</v>
      </c>
      <c r="S35" s="11" t="s">
        <v>127</v>
      </c>
      <c r="T35" s="2"/>
      <c r="U35" s="2" t="s">
        <v>153</v>
      </c>
      <c r="V35" s="2" t="s">
        <v>164</v>
      </c>
      <c r="W35" s="11" t="s">
        <v>165</v>
      </c>
      <c r="X35" s="11" t="s">
        <v>279</v>
      </c>
      <c r="Y35" s="2"/>
      <c r="Z35" s="2"/>
      <c r="AA35" s="2"/>
      <c r="AB35" s="2"/>
      <c r="AC35" s="2" t="s">
        <v>131</v>
      </c>
      <c r="AD35" s="2" t="s">
        <v>132</v>
      </c>
      <c r="AE35" s="10" t="b">
        <f aca="false">FALSE()</f>
        <v>0</v>
      </c>
      <c r="AF35" s="2" t="s">
        <v>133</v>
      </c>
      <c r="AG35" s="2" t="s">
        <v>134</v>
      </c>
      <c r="AH35" s="2" t="s">
        <v>135</v>
      </c>
      <c r="AI35" s="11" t="s">
        <v>136</v>
      </c>
      <c r="AJ35" s="2" t="s">
        <v>137</v>
      </c>
      <c r="AK35" s="2" t="s">
        <v>137</v>
      </c>
      <c r="AL35" s="2" t="s">
        <v>280</v>
      </c>
    </row>
    <row r="36" customFormat="false" ht="90" hidden="false" customHeight="true" outlineLevel="0" collapsed="false">
      <c r="A36" s="2" t="s">
        <v>281</v>
      </c>
      <c r="B36" s="2" t="s">
        <v>140</v>
      </c>
      <c r="C36" s="2" t="s">
        <v>203</v>
      </c>
      <c r="D36" s="9" t="n">
        <v>2952</v>
      </c>
      <c r="E36" s="2" t="s">
        <v>116</v>
      </c>
      <c r="F36" s="2" t="s">
        <v>117</v>
      </c>
      <c r="G36" s="2" t="s">
        <v>118</v>
      </c>
      <c r="H36" s="2" t="s">
        <v>144</v>
      </c>
      <c r="I36" s="2" t="s">
        <v>145</v>
      </c>
      <c r="J36" s="2" t="s">
        <v>146</v>
      </c>
      <c r="K36" s="10" t="b">
        <f aca="false">FALSE()</f>
        <v>0</v>
      </c>
      <c r="L36" s="10" t="b">
        <f aca="false">FALSE()</f>
        <v>0</v>
      </c>
      <c r="M36" s="2" t="s">
        <v>122</v>
      </c>
      <c r="N36" s="2" t="s">
        <v>123</v>
      </c>
      <c r="O36" s="2" t="s">
        <v>162</v>
      </c>
      <c r="P36" s="2" t="n">
        <v>7</v>
      </c>
      <c r="Q36" s="11" t="s">
        <v>125</v>
      </c>
      <c r="R36" s="11" t="s">
        <v>126</v>
      </c>
      <c r="S36" s="11" t="s">
        <v>127</v>
      </c>
      <c r="T36" s="2" t="s">
        <v>163</v>
      </c>
      <c r="U36" s="2" t="s">
        <v>153</v>
      </c>
      <c r="V36" s="2" t="s">
        <v>164</v>
      </c>
      <c r="W36" s="11" t="s">
        <v>165</v>
      </c>
      <c r="X36" s="11" t="s">
        <v>282</v>
      </c>
      <c r="Y36" s="2"/>
      <c r="Z36" s="2"/>
      <c r="AA36" s="2"/>
      <c r="AB36" s="2"/>
      <c r="AC36" s="2" t="s">
        <v>187</v>
      </c>
      <c r="AD36" s="2" t="s">
        <v>132</v>
      </c>
      <c r="AE36" s="10" t="b">
        <f aca="false">FALSE()</f>
        <v>0</v>
      </c>
      <c r="AF36" s="2" t="s">
        <v>133</v>
      </c>
      <c r="AG36" s="2" t="s">
        <v>134</v>
      </c>
      <c r="AH36" s="2" t="s">
        <v>135</v>
      </c>
      <c r="AI36" s="11" t="s">
        <v>136</v>
      </c>
      <c r="AJ36" s="2" t="s">
        <v>137</v>
      </c>
      <c r="AK36" s="2" t="s">
        <v>137</v>
      </c>
      <c r="AL36" s="2" t="s">
        <v>283</v>
      </c>
    </row>
    <row r="37" customFormat="false" ht="90" hidden="false" customHeight="true" outlineLevel="0" collapsed="false">
      <c r="A37" s="2" t="s">
        <v>284</v>
      </c>
      <c r="B37" s="2" t="s">
        <v>140</v>
      </c>
      <c r="C37" s="2" t="s">
        <v>203</v>
      </c>
      <c r="D37" s="9" t="n">
        <v>2581</v>
      </c>
      <c r="E37" s="2" t="s">
        <v>116</v>
      </c>
      <c r="F37" s="2" t="s">
        <v>117</v>
      </c>
      <c r="G37" s="2" t="s">
        <v>118</v>
      </c>
      <c r="H37" s="2" t="s">
        <v>144</v>
      </c>
      <c r="I37" s="2" t="s">
        <v>145</v>
      </c>
      <c r="J37" s="2" t="s">
        <v>146</v>
      </c>
      <c r="K37" s="10" t="b">
        <f aca="false">FALSE()</f>
        <v>0</v>
      </c>
      <c r="L37" s="10" t="b">
        <f aca="false">FALSE()</f>
        <v>0</v>
      </c>
      <c r="M37" s="2" t="s">
        <v>122</v>
      </c>
      <c r="N37" s="2" t="s">
        <v>123</v>
      </c>
      <c r="O37" s="2" t="s">
        <v>162</v>
      </c>
      <c r="P37" s="2" t="n">
        <v>7</v>
      </c>
      <c r="Q37" s="11" t="s">
        <v>125</v>
      </c>
      <c r="R37" s="11" t="s">
        <v>126</v>
      </c>
      <c r="S37" s="11" t="s">
        <v>127</v>
      </c>
      <c r="T37" s="2" t="s">
        <v>215</v>
      </c>
      <c r="U37" s="2" t="s">
        <v>153</v>
      </c>
      <c r="V37" s="2" t="s">
        <v>164</v>
      </c>
      <c r="W37" s="11" t="s">
        <v>165</v>
      </c>
      <c r="X37" s="11" t="s">
        <v>285</v>
      </c>
      <c r="Y37" s="2"/>
      <c r="Z37" s="2"/>
      <c r="AA37" s="2"/>
      <c r="AB37" s="2"/>
      <c r="AC37" s="2" t="s">
        <v>131</v>
      </c>
      <c r="AD37" s="2" t="s">
        <v>132</v>
      </c>
      <c r="AE37" s="10" t="b">
        <f aca="false">FALSE()</f>
        <v>0</v>
      </c>
      <c r="AF37" s="2" t="s">
        <v>133</v>
      </c>
      <c r="AG37" s="2" t="s">
        <v>134</v>
      </c>
      <c r="AH37" s="2" t="s">
        <v>135</v>
      </c>
      <c r="AI37" s="11" t="s">
        <v>136</v>
      </c>
      <c r="AJ37" s="2" t="s">
        <v>137</v>
      </c>
      <c r="AK37" s="2" t="s">
        <v>137</v>
      </c>
      <c r="AL37" s="2" t="s">
        <v>286</v>
      </c>
    </row>
    <row r="38" customFormat="false" ht="90" hidden="false" customHeight="true" outlineLevel="0" collapsed="false">
      <c r="A38" s="2" t="s">
        <v>287</v>
      </c>
      <c r="B38" s="2" t="s">
        <v>140</v>
      </c>
      <c r="C38" s="2" t="s">
        <v>203</v>
      </c>
      <c r="D38" s="9" t="n">
        <v>2516</v>
      </c>
      <c r="E38" s="2" t="s">
        <v>116</v>
      </c>
      <c r="F38" s="2" t="s">
        <v>117</v>
      </c>
      <c r="G38" s="2" t="s">
        <v>118</v>
      </c>
      <c r="H38" s="2" t="s">
        <v>144</v>
      </c>
      <c r="I38" s="2" t="s">
        <v>145</v>
      </c>
      <c r="J38" s="2" t="s">
        <v>146</v>
      </c>
      <c r="K38" s="10" t="b">
        <f aca="false">FALSE()</f>
        <v>0</v>
      </c>
      <c r="L38" s="10" t="b">
        <f aca="false">FALSE()</f>
        <v>0</v>
      </c>
      <c r="M38" s="2" t="s">
        <v>122</v>
      </c>
      <c r="N38" s="2" t="s">
        <v>123</v>
      </c>
      <c r="O38" s="2" t="s">
        <v>162</v>
      </c>
      <c r="P38" s="2" t="n">
        <v>7</v>
      </c>
      <c r="Q38" s="11" t="s">
        <v>125</v>
      </c>
      <c r="R38" s="11" t="s">
        <v>126</v>
      </c>
      <c r="S38" s="11" t="s">
        <v>127</v>
      </c>
      <c r="T38" s="2"/>
      <c r="U38" s="2" t="s">
        <v>153</v>
      </c>
      <c r="V38" s="2" t="s">
        <v>164</v>
      </c>
      <c r="W38" s="11" t="s">
        <v>165</v>
      </c>
      <c r="X38" s="11" t="s">
        <v>288</v>
      </c>
      <c r="Y38" s="2"/>
      <c r="Z38" s="2"/>
      <c r="AA38" s="2"/>
      <c r="AB38" s="2"/>
      <c r="AC38" s="2" t="s">
        <v>131</v>
      </c>
      <c r="AD38" s="2" t="s">
        <v>132</v>
      </c>
      <c r="AE38" s="10" t="b">
        <f aca="false">FALSE()</f>
        <v>0</v>
      </c>
      <c r="AF38" s="2" t="s">
        <v>133</v>
      </c>
      <c r="AG38" s="2" t="s">
        <v>134</v>
      </c>
      <c r="AH38" s="2" t="s">
        <v>135</v>
      </c>
      <c r="AI38" s="11" t="s">
        <v>136</v>
      </c>
      <c r="AJ38" s="2" t="s">
        <v>137</v>
      </c>
      <c r="AK38" s="2" t="s">
        <v>137</v>
      </c>
      <c r="AL38" s="2" t="s">
        <v>289</v>
      </c>
    </row>
    <row r="39" customFormat="false" ht="90" hidden="false" customHeight="true" outlineLevel="0" collapsed="false">
      <c r="A39" s="2" t="s">
        <v>290</v>
      </c>
      <c r="B39" s="2" t="s">
        <v>140</v>
      </c>
      <c r="C39" s="2" t="s">
        <v>203</v>
      </c>
      <c r="D39" s="9" t="n">
        <v>2514</v>
      </c>
      <c r="E39" s="2" t="s">
        <v>116</v>
      </c>
      <c r="F39" s="2" t="s">
        <v>117</v>
      </c>
      <c r="G39" s="2" t="s">
        <v>118</v>
      </c>
      <c r="H39" s="2" t="s">
        <v>144</v>
      </c>
      <c r="I39" s="2" t="s">
        <v>145</v>
      </c>
      <c r="J39" s="2" t="s">
        <v>146</v>
      </c>
      <c r="K39" s="10" t="b">
        <f aca="false">FALSE()</f>
        <v>0</v>
      </c>
      <c r="L39" s="10" t="b">
        <f aca="false">FALSE()</f>
        <v>0</v>
      </c>
      <c r="M39" s="2" t="s">
        <v>122</v>
      </c>
      <c r="N39" s="2" t="s">
        <v>123</v>
      </c>
      <c r="O39" s="2" t="s">
        <v>162</v>
      </c>
      <c r="P39" s="2" t="n">
        <v>7</v>
      </c>
      <c r="Q39" s="11" t="s">
        <v>125</v>
      </c>
      <c r="R39" s="11" t="s">
        <v>126</v>
      </c>
      <c r="S39" s="11" t="s">
        <v>127</v>
      </c>
      <c r="T39" s="2"/>
      <c r="U39" s="2" t="s">
        <v>153</v>
      </c>
      <c r="V39" s="2" t="s">
        <v>164</v>
      </c>
      <c r="W39" s="11" t="s">
        <v>205</v>
      </c>
      <c r="X39" s="11" t="s">
        <v>291</v>
      </c>
      <c r="Y39" s="2"/>
      <c r="Z39" s="2"/>
      <c r="AA39" s="2"/>
      <c r="AB39" s="2"/>
      <c r="AC39" s="2" t="s">
        <v>131</v>
      </c>
      <c r="AD39" s="2" t="s">
        <v>132</v>
      </c>
      <c r="AE39" s="10" t="b">
        <f aca="false">FALSE()</f>
        <v>0</v>
      </c>
      <c r="AF39" s="2" t="s">
        <v>133</v>
      </c>
      <c r="AG39" s="2" t="s">
        <v>134</v>
      </c>
      <c r="AH39" s="2" t="s">
        <v>135</v>
      </c>
      <c r="AI39" s="11" t="s">
        <v>136</v>
      </c>
      <c r="AJ39" s="2" t="s">
        <v>137</v>
      </c>
      <c r="AK39" s="2" t="s">
        <v>137</v>
      </c>
      <c r="AL39" s="2" t="s">
        <v>292</v>
      </c>
    </row>
    <row r="40" customFormat="false" ht="90" hidden="false" customHeight="true" outlineLevel="0" collapsed="false">
      <c r="A40" s="2" t="s">
        <v>293</v>
      </c>
      <c r="B40" s="2" t="s">
        <v>140</v>
      </c>
      <c r="C40" s="2" t="s">
        <v>203</v>
      </c>
      <c r="D40" s="9" t="n">
        <v>2262</v>
      </c>
      <c r="E40" s="2" t="s">
        <v>116</v>
      </c>
      <c r="F40" s="2" t="s">
        <v>117</v>
      </c>
      <c r="G40" s="2" t="s">
        <v>118</v>
      </c>
      <c r="H40" s="2" t="s">
        <v>144</v>
      </c>
      <c r="I40" s="2" t="s">
        <v>145</v>
      </c>
      <c r="J40" s="2" t="s">
        <v>146</v>
      </c>
      <c r="K40" s="10" t="b">
        <f aca="false">FALSE()</f>
        <v>0</v>
      </c>
      <c r="L40" s="10" t="b">
        <f aca="false">FALSE()</f>
        <v>0</v>
      </c>
      <c r="M40" s="2" t="s">
        <v>122</v>
      </c>
      <c r="N40" s="2" t="s">
        <v>123</v>
      </c>
      <c r="O40" s="2" t="s">
        <v>162</v>
      </c>
      <c r="P40" s="2" t="n">
        <v>7</v>
      </c>
      <c r="Q40" s="11" t="s">
        <v>125</v>
      </c>
      <c r="R40" s="11" t="s">
        <v>126</v>
      </c>
      <c r="S40" s="11" t="s">
        <v>127</v>
      </c>
      <c r="T40" s="2" t="s">
        <v>294</v>
      </c>
      <c r="U40" s="2" t="s">
        <v>153</v>
      </c>
      <c r="V40" s="2" t="s">
        <v>164</v>
      </c>
      <c r="W40" s="11" t="s">
        <v>172</v>
      </c>
      <c r="X40" s="11" t="s">
        <v>295</v>
      </c>
      <c r="Y40" s="2"/>
      <c r="Z40" s="2"/>
      <c r="AA40" s="2"/>
      <c r="AB40" s="2"/>
      <c r="AC40" s="2" t="s">
        <v>187</v>
      </c>
      <c r="AD40" s="2" t="s">
        <v>132</v>
      </c>
      <c r="AE40" s="10" t="b">
        <f aca="false">FALSE()</f>
        <v>0</v>
      </c>
      <c r="AF40" s="2" t="s">
        <v>133</v>
      </c>
      <c r="AG40" s="2" t="s">
        <v>158</v>
      </c>
      <c r="AH40" s="2" t="s">
        <v>135</v>
      </c>
      <c r="AI40" s="11" t="s">
        <v>136</v>
      </c>
      <c r="AJ40" s="2" t="s">
        <v>137</v>
      </c>
      <c r="AK40" s="2" t="s">
        <v>137</v>
      </c>
      <c r="AL40" s="2" t="s">
        <v>296</v>
      </c>
    </row>
    <row r="41" customFormat="false" ht="90" hidden="false" customHeight="true" outlineLevel="0" collapsed="false">
      <c r="A41" s="2" t="s">
        <v>297</v>
      </c>
      <c r="B41" s="2" t="s">
        <v>140</v>
      </c>
      <c r="C41" s="2" t="s">
        <v>203</v>
      </c>
      <c r="D41" s="9" t="n">
        <v>2214</v>
      </c>
      <c r="E41" s="2" t="s">
        <v>141</v>
      </c>
      <c r="F41" s="2" t="s">
        <v>142</v>
      </c>
      <c r="G41" s="2" t="s">
        <v>143</v>
      </c>
      <c r="H41" s="2" t="s">
        <v>144</v>
      </c>
      <c r="I41" s="2" t="s">
        <v>145</v>
      </c>
      <c r="J41" s="2" t="s">
        <v>146</v>
      </c>
      <c r="K41" s="10" t="b">
        <f aca="false">FALSE()</f>
        <v>0</v>
      </c>
      <c r="L41" s="10" t="b">
        <f aca="false">FALSE()</f>
        <v>0</v>
      </c>
      <c r="M41" s="2" t="s">
        <v>147</v>
      </c>
      <c r="N41" s="2" t="s">
        <v>123</v>
      </c>
      <c r="O41" s="2" t="s">
        <v>148</v>
      </c>
      <c r="P41" s="2" t="n">
        <v>14</v>
      </c>
      <c r="Q41" s="11" t="s">
        <v>149</v>
      </c>
      <c r="R41" s="11" t="s">
        <v>150</v>
      </c>
      <c r="S41" s="11" t="s">
        <v>151</v>
      </c>
      <c r="T41" s="2" t="s">
        <v>298</v>
      </c>
      <c r="U41" s="2" t="s">
        <v>153</v>
      </c>
      <c r="V41" s="2" t="s">
        <v>154</v>
      </c>
      <c r="W41" s="11" t="s">
        <v>155</v>
      </c>
      <c r="X41" s="11" t="s">
        <v>299</v>
      </c>
      <c r="Y41" s="2"/>
      <c r="Z41" s="2"/>
      <c r="AA41" s="2"/>
      <c r="AB41" s="2"/>
      <c r="AC41" s="2" t="s">
        <v>157</v>
      </c>
      <c r="AD41" s="2" t="s">
        <v>132</v>
      </c>
      <c r="AE41" s="10" t="b">
        <f aca="false">FALSE()</f>
        <v>0</v>
      </c>
      <c r="AF41" s="2" t="s">
        <v>133</v>
      </c>
      <c r="AG41" s="2" t="s">
        <v>158</v>
      </c>
      <c r="AH41" s="2" t="s">
        <v>135</v>
      </c>
      <c r="AI41" s="11" t="s">
        <v>159</v>
      </c>
      <c r="AJ41" s="2" t="s">
        <v>137</v>
      </c>
      <c r="AK41" s="2" t="s">
        <v>137</v>
      </c>
      <c r="AL41" s="2" t="s">
        <v>300</v>
      </c>
    </row>
    <row r="42" customFormat="false" ht="90" hidden="false" customHeight="true" outlineLevel="0" collapsed="false">
      <c r="A42" s="2" t="s">
        <v>301</v>
      </c>
      <c r="B42" s="2" t="s">
        <v>140</v>
      </c>
      <c r="C42" s="2" t="s">
        <v>203</v>
      </c>
      <c r="D42" s="9" t="n">
        <v>2116</v>
      </c>
      <c r="E42" s="2" t="s">
        <v>116</v>
      </c>
      <c r="F42" s="2" t="s">
        <v>117</v>
      </c>
      <c r="G42" s="2" t="s">
        <v>118</v>
      </c>
      <c r="H42" s="2" t="s">
        <v>144</v>
      </c>
      <c r="I42" s="2" t="s">
        <v>145</v>
      </c>
      <c r="J42" s="2" t="s">
        <v>146</v>
      </c>
      <c r="K42" s="10" t="b">
        <f aca="false">FALSE()</f>
        <v>0</v>
      </c>
      <c r="L42" s="10" t="b">
        <f aca="false">FALSE()</f>
        <v>0</v>
      </c>
      <c r="M42" s="2" t="s">
        <v>122</v>
      </c>
      <c r="N42" s="2" t="s">
        <v>123</v>
      </c>
      <c r="O42" s="2" t="s">
        <v>162</v>
      </c>
      <c r="P42" s="2" t="n">
        <v>7</v>
      </c>
      <c r="Q42" s="11" t="s">
        <v>125</v>
      </c>
      <c r="R42" s="11" t="s">
        <v>126</v>
      </c>
      <c r="S42" s="11" t="s">
        <v>127</v>
      </c>
      <c r="T42" s="2" t="s">
        <v>163</v>
      </c>
      <c r="U42" s="2" t="s">
        <v>153</v>
      </c>
      <c r="V42" s="2" t="s">
        <v>164</v>
      </c>
      <c r="W42" s="11" t="s">
        <v>205</v>
      </c>
      <c r="X42" s="11" t="s">
        <v>302</v>
      </c>
      <c r="Y42" s="2"/>
      <c r="Z42" s="2"/>
      <c r="AA42" s="2"/>
      <c r="AB42" s="2"/>
      <c r="AC42" s="2" t="s">
        <v>187</v>
      </c>
      <c r="AD42" s="2" t="s">
        <v>132</v>
      </c>
      <c r="AE42" s="10" t="b">
        <f aca="false">FALSE()</f>
        <v>0</v>
      </c>
      <c r="AF42" s="2" t="s">
        <v>133</v>
      </c>
      <c r="AG42" s="2" t="s">
        <v>158</v>
      </c>
      <c r="AH42" s="2" t="s">
        <v>135</v>
      </c>
      <c r="AI42" s="11" t="s">
        <v>136</v>
      </c>
      <c r="AJ42" s="2" t="s">
        <v>137</v>
      </c>
      <c r="AK42" s="2" t="s">
        <v>137</v>
      </c>
      <c r="AL42" s="2" t="s">
        <v>303</v>
      </c>
    </row>
    <row r="43" customFormat="false" ht="90" hidden="false" customHeight="true" outlineLevel="0" collapsed="false">
      <c r="A43" s="2" t="s">
        <v>304</v>
      </c>
      <c r="B43" s="2" t="s">
        <v>140</v>
      </c>
      <c r="C43" s="2" t="s">
        <v>203</v>
      </c>
      <c r="D43" s="9" t="n">
        <v>2031</v>
      </c>
      <c r="E43" s="2" t="s">
        <v>141</v>
      </c>
      <c r="F43" s="2" t="s">
        <v>142</v>
      </c>
      <c r="G43" s="2" t="s">
        <v>193</v>
      </c>
      <c r="H43" s="2" t="s">
        <v>144</v>
      </c>
      <c r="I43" s="2" t="s">
        <v>145</v>
      </c>
      <c r="J43" s="2" t="s">
        <v>146</v>
      </c>
      <c r="K43" s="10" t="b">
        <f aca="false">FALSE()</f>
        <v>0</v>
      </c>
      <c r="L43" s="10" t="b">
        <f aca="false">FALSE()</f>
        <v>0</v>
      </c>
      <c r="M43" s="2" t="s">
        <v>147</v>
      </c>
      <c r="N43" s="2" t="s">
        <v>123</v>
      </c>
      <c r="O43" s="2" t="s">
        <v>194</v>
      </c>
      <c r="P43" s="2" t="n">
        <v>14</v>
      </c>
      <c r="Q43" s="11" t="s">
        <v>149</v>
      </c>
      <c r="R43" s="11" t="s">
        <v>150</v>
      </c>
      <c r="S43" s="11" t="s">
        <v>151</v>
      </c>
      <c r="T43" s="2"/>
      <c r="U43" s="2" t="s">
        <v>153</v>
      </c>
      <c r="V43" s="2" t="s">
        <v>195</v>
      </c>
      <c r="W43" s="11" t="s">
        <v>305</v>
      </c>
      <c r="X43" s="11" t="s">
        <v>306</v>
      </c>
      <c r="Y43" s="2"/>
      <c r="Z43" s="2"/>
      <c r="AA43" s="2"/>
      <c r="AB43" s="2"/>
      <c r="AC43" s="2" t="s">
        <v>187</v>
      </c>
      <c r="AD43" s="2" t="s">
        <v>132</v>
      </c>
      <c r="AE43" s="10" t="b">
        <f aca="false">FALSE()</f>
        <v>0</v>
      </c>
      <c r="AF43" s="2" t="s">
        <v>133</v>
      </c>
      <c r="AG43" s="2" t="s">
        <v>134</v>
      </c>
      <c r="AH43" s="2" t="s">
        <v>135</v>
      </c>
      <c r="AI43" s="11" t="s">
        <v>159</v>
      </c>
      <c r="AJ43" s="2" t="s">
        <v>137</v>
      </c>
      <c r="AK43" s="2" t="s">
        <v>137</v>
      </c>
      <c r="AL43" s="2" t="s">
        <v>307</v>
      </c>
    </row>
    <row r="44" customFormat="false" ht="90" hidden="false" customHeight="true" outlineLevel="0" collapsed="false">
      <c r="A44" s="2" t="s">
        <v>308</v>
      </c>
      <c r="B44" s="2" t="s">
        <v>309</v>
      </c>
      <c r="C44" s="2" t="s">
        <v>115</v>
      </c>
      <c r="D44" s="9" t="n">
        <v>170132</v>
      </c>
      <c r="E44" s="2" t="s">
        <v>310</v>
      </c>
      <c r="F44" s="2" t="s">
        <v>311</v>
      </c>
      <c r="G44" s="2" t="s">
        <v>312</v>
      </c>
      <c r="H44" s="2" t="s">
        <v>313</v>
      </c>
      <c r="I44" s="2" t="s">
        <v>314</v>
      </c>
      <c r="J44" s="2" t="s">
        <v>315</v>
      </c>
      <c r="K44" s="10" t="b">
        <f aca="false">FALSE()</f>
        <v>0</v>
      </c>
      <c r="L44" s="10" t="b">
        <f aca="false">FALSE()</f>
        <v>0</v>
      </c>
      <c r="M44" s="2" t="s">
        <v>316</v>
      </c>
      <c r="N44" s="2" t="s">
        <v>317</v>
      </c>
      <c r="O44" s="11" t="s">
        <v>318</v>
      </c>
      <c r="P44" s="2" t="n">
        <v>15</v>
      </c>
      <c r="Q44" s="11" t="s">
        <v>319</v>
      </c>
      <c r="R44" s="11" t="s">
        <v>320</v>
      </c>
      <c r="S44" s="11" t="s">
        <v>321</v>
      </c>
      <c r="T44" s="2" t="s">
        <v>322</v>
      </c>
      <c r="U44" s="2" t="s">
        <v>323</v>
      </c>
      <c r="V44" s="2"/>
      <c r="W44" s="2"/>
      <c r="X44" s="11" t="s">
        <v>324</v>
      </c>
      <c r="Y44" s="2"/>
      <c r="Z44" s="2"/>
      <c r="AA44" s="2"/>
      <c r="AB44" s="2"/>
      <c r="AC44" s="2" t="s">
        <v>131</v>
      </c>
      <c r="AD44" s="2" t="s">
        <v>132</v>
      </c>
      <c r="AE44" s="10" t="b">
        <f aca="false">FALSE()</f>
        <v>0</v>
      </c>
      <c r="AF44" s="2" t="s">
        <v>133</v>
      </c>
      <c r="AG44" s="2" t="s">
        <v>134</v>
      </c>
      <c r="AH44" s="2" t="s">
        <v>325</v>
      </c>
      <c r="AI44" s="11" t="s">
        <v>326</v>
      </c>
      <c r="AJ44" s="2" t="s">
        <v>137</v>
      </c>
      <c r="AK44" s="2" t="s">
        <v>137</v>
      </c>
      <c r="AL44" s="2" t="s">
        <v>327</v>
      </c>
    </row>
    <row r="45" customFormat="false" ht="90" hidden="false" customHeight="true" outlineLevel="0" collapsed="false">
      <c r="A45" s="2" t="s">
        <v>328</v>
      </c>
      <c r="B45" s="2" t="s">
        <v>309</v>
      </c>
      <c r="C45" s="2" t="s">
        <v>115</v>
      </c>
      <c r="D45" s="9" t="n">
        <v>41039</v>
      </c>
      <c r="E45" s="2" t="s">
        <v>310</v>
      </c>
      <c r="F45" s="2" t="s">
        <v>311</v>
      </c>
      <c r="G45" s="2" t="s">
        <v>312</v>
      </c>
      <c r="H45" s="2" t="s">
        <v>313</v>
      </c>
      <c r="I45" s="2" t="s">
        <v>314</v>
      </c>
      <c r="J45" s="2" t="s">
        <v>315</v>
      </c>
      <c r="K45" s="10" t="b">
        <f aca="false">FALSE()</f>
        <v>0</v>
      </c>
      <c r="L45" s="10" t="b">
        <f aca="false">FALSE()</f>
        <v>0</v>
      </c>
      <c r="M45" s="2" t="s">
        <v>316</v>
      </c>
      <c r="N45" s="2" t="s">
        <v>317</v>
      </c>
      <c r="O45" s="11" t="s">
        <v>318</v>
      </c>
      <c r="P45" s="2" t="n">
        <v>15</v>
      </c>
      <c r="Q45" s="11" t="s">
        <v>319</v>
      </c>
      <c r="R45" s="11" t="s">
        <v>320</v>
      </c>
      <c r="S45" s="11" t="s">
        <v>321</v>
      </c>
      <c r="T45" s="2" t="s">
        <v>322</v>
      </c>
      <c r="U45" s="2" t="s">
        <v>323</v>
      </c>
      <c r="V45" s="2"/>
      <c r="W45" s="2"/>
      <c r="X45" s="11" t="s">
        <v>329</v>
      </c>
      <c r="Y45" s="2"/>
      <c r="Z45" s="2"/>
      <c r="AA45" s="2"/>
      <c r="AB45" s="2"/>
      <c r="AC45" s="2" t="s">
        <v>131</v>
      </c>
      <c r="AD45" s="2" t="s">
        <v>132</v>
      </c>
      <c r="AE45" s="10" t="b">
        <f aca="false">FALSE()</f>
        <v>0</v>
      </c>
      <c r="AF45" s="2" t="s">
        <v>133</v>
      </c>
      <c r="AG45" s="2" t="s">
        <v>134</v>
      </c>
      <c r="AH45" s="2" t="s">
        <v>325</v>
      </c>
      <c r="AI45" s="11" t="s">
        <v>326</v>
      </c>
      <c r="AJ45" s="2" t="s">
        <v>137</v>
      </c>
      <c r="AK45" s="2" t="s">
        <v>137</v>
      </c>
      <c r="AL45" s="2" t="s">
        <v>330</v>
      </c>
    </row>
    <row r="46" customFormat="false" ht="90" hidden="false" customHeight="true" outlineLevel="0" collapsed="false">
      <c r="A46" s="2" t="s">
        <v>331</v>
      </c>
      <c r="B46" s="2" t="s">
        <v>309</v>
      </c>
      <c r="C46" s="2" t="s">
        <v>115</v>
      </c>
      <c r="D46" s="9" t="n">
        <v>27099</v>
      </c>
      <c r="E46" s="2" t="s">
        <v>310</v>
      </c>
      <c r="F46" s="2" t="s">
        <v>311</v>
      </c>
      <c r="G46" s="2" t="s">
        <v>312</v>
      </c>
      <c r="H46" s="2" t="s">
        <v>313</v>
      </c>
      <c r="I46" s="2" t="s">
        <v>314</v>
      </c>
      <c r="J46" s="2" t="s">
        <v>315</v>
      </c>
      <c r="K46" s="10" t="b">
        <f aca="false">FALSE()</f>
        <v>0</v>
      </c>
      <c r="L46" s="10" t="b">
        <f aca="false">FALSE()</f>
        <v>0</v>
      </c>
      <c r="M46" s="2" t="s">
        <v>316</v>
      </c>
      <c r="N46" s="2" t="s">
        <v>317</v>
      </c>
      <c r="O46" s="11" t="s">
        <v>318</v>
      </c>
      <c r="P46" s="2" t="n">
        <v>15</v>
      </c>
      <c r="Q46" s="11" t="s">
        <v>319</v>
      </c>
      <c r="R46" s="11" t="s">
        <v>320</v>
      </c>
      <c r="S46" s="11" t="s">
        <v>321</v>
      </c>
      <c r="T46" s="2" t="s">
        <v>332</v>
      </c>
      <c r="U46" s="2" t="s">
        <v>323</v>
      </c>
      <c r="V46" s="2"/>
      <c r="W46" s="2"/>
      <c r="X46" s="11" t="s">
        <v>333</v>
      </c>
      <c r="Y46" s="2"/>
      <c r="Z46" s="2"/>
      <c r="AA46" s="2"/>
      <c r="AB46" s="2"/>
      <c r="AC46" s="2" t="s">
        <v>131</v>
      </c>
      <c r="AD46" s="2" t="s">
        <v>132</v>
      </c>
      <c r="AE46" s="10" t="b">
        <f aca="false">FALSE()</f>
        <v>0</v>
      </c>
      <c r="AF46" s="2" t="s">
        <v>133</v>
      </c>
      <c r="AG46" s="2" t="s">
        <v>134</v>
      </c>
      <c r="AH46" s="2" t="s">
        <v>325</v>
      </c>
      <c r="AI46" s="11" t="s">
        <v>326</v>
      </c>
      <c r="AJ46" s="2" t="s">
        <v>137</v>
      </c>
      <c r="AK46" s="2" t="s">
        <v>137</v>
      </c>
      <c r="AL46" s="2" t="s">
        <v>334</v>
      </c>
    </row>
    <row r="47" customFormat="false" ht="90" hidden="false" customHeight="true" outlineLevel="0" collapsed="false">
      <c r="A47" s="2" t="s">
        <v>335</v>
      </c>
      <c r="B47" s="2" t="s">
        <v>309</v>
      </c>
      <c r="C47" s="2" t="s">
        <v>115</v>
      </c>
      <c r="D47" s="9" t="n">
        <v>23205</v>
      </c>
      <c r="E47" s="2" t="s">
        <v>310</v>
      </c>
      <c r="F47" s="2" t="s">
        <v>311</v>
      </c>
      <c r="G47" s="2" t="s">
        <v>312</v>
      </c>
      <c r="H47" s="2" t="s">
        <v>313</v>
      </c>
      <c r="I47" s="2" t="s">
        <v>314</v>
      </c>
      <c r="J47" s="2" t="s">
        <v>315</v>
      </c>
      <c r="K47" s="10" t="b">
        <f aca="false">FALSE()</f>
        <v>0</v>
      </c>
      <c r="L47" s="10" t="b">
        <f aca="false">FALSE()</f>
        <v>0</v>
      </c>
      <c r="M47" s="2" t="s">
        <v>316</v>
      </c>
      <c r="N47" s="2" t="s">
        <v>317</v>
      </c>
      <c r="O47" s="11" t="s">
        <v>318</v>
      </c>
      <c r="P47" s="2" t="n">
        <v>15</v>
      </c>
      <c r="Q47" s="11" t="s">
        <v>319</v>
      </c>
      <c r="R47" s="11" t="s">
        <v>320</v>
      </c>
      <c r="S47" s="11" t="s">
        <v>321</v>
      </c>
      <c r="T47" s="2" t="s">
        <v>336</v>
      </c>
      <c r="U47" s="2" t="s">
        <v>323</v>
      </c>
      <c r="V47" s="2"/>
      <c r="W47" s="2"/>
      <c r="X47" s="11" t="s">
        <v>337</v>
      </c>
      <c r="Y47" s="2"/>
      <c r="Z47" s="2"/>
      <c r="AA47" s="2"/>
      <c r="AB47" s="2"/>
      <c r="AC47" s="2" t="s">
        <v>131</v>
      </c>
      <c r="AD47" s="2" t="s">
        <v>132</v>
      </c>
      <c r="AE47" s="10" t="b">
        <f aca="false">FALSE()</f>
        <v>0</v>
      </c>
      <c r="AF47" s="2" t="s">
        <v>133</v>
      </c>
      <c r="AG47" s="2" t="s">
        <v>134</v>
      </c>
      <c r="AH47" s="2" t="s">
        <v>325</v>
      </c>
      <c r="AI47" s="11" t="s">
        <v>326</v>
      </c>
      <c r="AJ47" s="2" t="s">
        <v>137</v>
      </c>
      <c r="AK47" s="2" t="s">
        <v>137</v>
      </c>
      <c r="AL47" s="2" t="s">
        <v>338</v>
      </c>
    </row>
    <row r="48" customFormat="false" ht="90" hidden="false" customHeight="true" outlineLevel="0" collapsed="false">
      <c r="A48" s="2" t="s">
        <v>339</v>
      </c>
      <c r="B48" s="2" t="s">
        <v>309</v>
      </c>
      <c r="C48" s="2" t="s">
        <v>115</v>
      </c>
      <c r="D48" s="9" t="n">
        <v>22089</v>
      </c>
      <c r="E48" s="2" t="s">
        <v>310</v>
      </c>
      <c r="F48" s="2" t="s">
        <v>311</v>
      </c>
      <c r="G48" s="2" t="s">
        <v>312</v>
      </c>
      <c r="H48" s="2" t="s">
        <v>313</v>
      </c>
      <c r="I48" s="2" t="s">
        <v>314</v>
      </c>
      <c r="J48" s="2" t="s">
        <v>315</v>
      </c>
      <c r="K48" s="10" t="b">
        <f aca="false">FALSE()</f>
        <v>0</v>
      </c>
      <c r="L48" s="10" t="b">
        <f aca="false">FALSE()</f>
        <v>0</v>
      </c>
      <c r="M48" s="2" t="s">
        <v>316</v>
      </c>
      <c r="N48" s="2" t="s">
        <v>317</v>
      </c>
      <c r="O48" s="11" t="s">
        <v>318</v>
      </c>
      <c r="P48" s="2" t="n">
        <v>15</v>
      </c>
      <c r="Q48" s="11" t="s">
        <v>319</v>
      </c>
      <c r="R48" s="11" t="s">
        <v>320</v>
      </c>
      <c r="S48" s="11" t="s">
        <v>321</v>
      </c>
      <c r="T48" s="2" t="s">
        <v>336</v>
      </c>
      <c r="U48" s="2" t="s">
        <v>323</v>
      </c>
      <c r="V48" s="2"/>
      <c r="W48" s="2"/>
      <c r="X48" s="11" t="s">
        <v>340</v>
      </c>
      <c r="Y48" s="2"/>
      <c r="Z48" s="2"/>
      <c r="AA48" s="2"/>
      <c r="AB48" s="2"/>
      <c r="AC48" s="2" t="s">
        <v>131</v>
      </c>
      <c r="AD48" s="2" t="s">
        <v>132</v>
      </c>
      <c r="AE48" s="10" t="b">
        <f aca="false">FALSE()</f>
        <v>0</v>
      </c>
      <c r="AF48" s="2" t="s">
        <v>133</v>
      </c>
      <c r="AG48" s="2" t="s">
        <v>134</v>
      </c>
      <c r="AH48" s="2" t="s">
        <v>325</v>
      </c>
      <c r="AI48" s="11" t="s">
        <v>326</v>
      </c>
      <c r="AJ48" s="2" t="s">
        <v>137</v>
      </c>
      <c r="AK48" s="2" t="s">
        <v>137</v>
      </c>
      <c r="AL48" s="2" t="s">
        <v>341</v>
      </c>
    </row>
    <row r="49" customFormat="false" ht="90" hidden="false" customHeight="true" outlineLevel="0" collapsed="false">
      <c r="A49" s="2" t="s">
        <v>342</v>
      </c>
      <c r="B49" s="2" t="s">
        <v>309</v>
      </c>
      <c r="C49" s="2" t="s">
        <v>115</v>
      </c>
      <c r="D49" s="9" t="n">
        <v>15600</v>
      </c>
      <c r="E49" s="2" t="s">
        <v>343</v>
      </c>
      <c r="F49" s="2" t="s">
        <v>344</v>
      </c>
      <c r="G49" s="2" t="s">
        <v>345</v>
      </c>
      <c r="H49" s="2" t="s">
        <v>144</v>
      </c>
      <c r="I49" s="2" t="s">
        <v>145</v>
      </c>
      <c r="J49" s="2" t="s">
        <v>146</v>
      </c>
      <c r="K49" s="10" t="b">
        <f aca="false">FALSE()</f>
        <v>0</v>
      </c>
      <c r="L49" s="10" t="b">
        <f aca="false">FALSE()</f>
        <v>0</v>
      </c>
      <c r="M49" s="2" t="s">
        <v>346</v>
      </c>
      <c r="N49" s="2" t="s">
        <v>123</v>
      </c>
      <c r="O49" s="2" t="s">
        <v>347</v>
      </c>
      <c r="P49" s="2" t="n">
        <v>10</v>
      </c>
      <c r="Q49" s="11" t="s">
        <v>348</v>
      </c>
      <c r="R49" s="2" t="s">
        <v>349</v>
      </c>
      <c r="S49" s="11" t="s">
        <v>350</v>
      </c>
      <c r="T49" s="2" t="s">
        <v>152</v>
      </c>
      <c r="U49" s="2" t="s">
        <v>153</v>
      </c>
      <c r="V49" s="2" t="s">
        <v>351</v>
      </c>
      <c r="W49" s="11" t="s">
        <v>352</v>
      </c>
      <c r="X49" s="11" t="s">
        <v>353</v>
      </c>
      <c r="Y49" s="2"/>
      <c r="Z49" s="2"/>
      <c r="AA49" s="2"/>
      <c r="AB49" s="2"/>
      <c r="AC49" s="2" t="s">
        <v>157</v>
      </c>
      <c r="AD49" s="2" t="s">
        <v>354</v>
      </c>
      <c r="AE49" s="10" t="b">
        <f aca="false">FALSE()</f>
        <v>0</v>
      </c>
      <c r="AF49" s="2" t="s">
        <v>133</v>
      </c>
      <c r="AG49" s="2" t="s">
        <v>158</v>
      </c>
      <c r="AH49" s="2" t="s">
        <v>135</v>
      </c>
      <c r="AI49" s="11" t="s">
        <v>355</v>
      </c>
      <c r="AJ49" s="2" t="s">
        <v>137</v>
      </c>
      <c r="AK49" s="2" t="s">
        <v>137</v>
      </c>
      <c r="AL49" s="2" t="s">
        <v>356</v>
      </c>
    </row>
    <row r="50" customFormat="false" ht="90" hidden="false" customHeight="true" outlineLevel="0" collapsed="false">
      <c r="A50" s="2" t="s">
        <v>357</v>
      </c>
      <c r="B50" s="2" t="s">
        <v>309</v>
      </c>
      <c r="C50" s="2" t="s">
        <v>115</v>
      </c>
      <c r="D50" s="9" t="n">
        <v>14611</v>
      </c>
      <c r="E50" s="2" t="s">
        <v>310</v>
      </c>
      <c r="F50" s="2" t="s">
        <v>311</v>
      </c>
      <c r="G50" s="2" t="s">
        <v>312</v>
      </c>
      <c r="H50" s="2" t="s">
        <v>313</v>
      </c>
      <c r="I50" s="2" t="s">
        <v>314</v>
      </c>
      <c r="J50" s="2" t="s">
        <v>315</v>
      </c>
      <c r="K50" s="10" t="b">
        <f aca="false">FALSE()</f>
        <v>0</v>
      </c>
      <c r="L50" s="10" t="b">
        <f aca="false">FALSE()</f>
        <v>0</v>
      </c>
      <c r="M50" s="2" t="s">
        <v>316</v>
      </c>
      <c r="N50" s="2" t="s">
        <v>317</v>
      </c>
      <c r="O50" s="11" t="s">
        <v>318</v>
      </c>
      <c r="P50" s="2" t="n">
        <v>15</v>
      </c>
      <c r="Q50" s="11" t="s">
        <v>319</v>
      </c>
      <c r="R50" s="11" t="s">
        <v>320</v>
      </c>
      <c r="S50" s="11" t="s">
        <v>321</v>
      </c>
      <c r="T50" s="2" t="s">
        <v>358</v>
      </c>
      <c r="U50" s="2" t="s">
        <v>323</v>
      </c>
      <c r="V50" s="2"/>
      <c r="W50" s="2"/>
      <c r="X50" s="11" t="s">
        <v>359</v>
      </c>
      <c r="Y50" s="2"/>
      <c r="Z50" s="2"/>
      <c r="AA50" s="2"/>
      <c r="AB50" s="2"/>
      <c r="AC50" s="2" t="s">
        <v>131</v>
      </c>
      <c r="AD50" s="2" t="s">
        <v>132</v>
      </c>
      <c r="AE50" s="10" t="b">
        <f aca="false">FALSE()</f>
        <v>0</v>
      </c>
      <c r="AF50" s="2" t="s">
        <v>133</v>
      </c>
      <c r="AG50" s="2" t="s">
        <v>134</v>
      </c>
      <c r="AH50" s="2" t="s">
        <v>325</v>
      </c>
      <c r="AI50" s="11" t="s">
        <v>326</v>
      </c>
      <c r="AJ50" s="2" t="s">
        <v>137</v>
      </c>
      <c r="AK50" s="2" t="s">
        <v>137</v>
      </c>
      <c r="AL50" s="2" t="s">
        <v>360</v>
      </c>
    </row>
    <row r="51" customFormat="false" ht="90" hidden="false" customHeight="true" outlineLevel="0" collapsed="false">
      <c r="A51" s="2" t="s">
        <v>361</v>
      </c>
      <c r="B51" s="2" t="s">
        <v>309</v>
      </c>
      <c r="C51" s="2" t="s">
        <v>115</v>
      </c>
      <c r="D51" s="9" t="n">
        <v>11252</v>
      </c>
      <c r="E51" s="2" t="s">
        <v>310</v>
      </c>
      <c r="F51" s="2" t="s">
        <v>311</v>
      </c>
      <c r="G51" s="2" t="s">
        <v>312</v>
      </c>
      <c r="H51" s="2" t="s">
        <v>313</v>
      </c>
      <c r="I51" s="2" t="s">
        <v>314</v>
      </c>
      <c r="J51" s="2" t="s">
        <v>315</v>
      </c>
      <c r="K51" s="10" t="b">
        <f aca="false">FALSE()</f>
        <v>0</v>
      </c>
      <c r="L51" s="10" t="b">
        <f aca="false">FALSE()</f>
        <v>0</v>
      </c>
      <c r="M51" s="2" t="s">
        <v>316</v>
      </c>
      <c r="N51" s="2" t="s">
        <v>317</v>
      </c>
      <c r="O51" s="11" t="s">
        <v>318</v>
      </c>
      <c r="P51" s="2" t="n">
        <v>15</v>
      </c>
      <c r="Q51" s="11" t="s">
        <v>319</v>
      </c>
      <c r="R51" s="11" t="s">
        <v>320</v>
      </c>
      <c r="S51" s="11" t="s">
        <v>321</v>
      </c>
      <c r="T51" s="2" t="s">
        <v>362</v>
      </c>
      <c r="U51" s="2" t="s">
        <v>323</v>
      </c>
      <c r="V51" s="2"/>
      <c r="W51" s="2"/>
      <c r="X51" s="11" t="s">
        <v>363</v>
      </c>
      <c r="Y51" s="2"/>
      <c r="Z51" s="2"/>
      <c r="AA51" s="2"/>
      <c r="AB51" s="2"/>
      <c r="AC51" s="2" t="s">
        <v>131</v>
      </c>
      <c r="AD51" s="2" t="s">
        <v>132</v>
      </c>
      <c r="AE51" s="10" t="b">
        <f aca="false">FALSE()</f>
        <v>0</v>
      </c>
      <c r="AF51" s="2" t="s">
        <v>133</v>
      </c>
      <c r="AG51" s="2" t="s">
        <v>134</v>
      </c>
      <c r="AH51" s="2" t="s">
        <v>325</v>
      </c>
      <c r="AI51" s="11" t="s">
        <v>326</v>
      </c>
      <c r="AJ51" s="2" t="s">
        <v>137</v>
      </c>
      <c r="AK51" s="2" t="s">
        <v>137</v>
      </c>
      <c r="AL51" s="2" t="s">
        <v>364</v>
      </c>
    </row>
    <row r="52" customFormat="false" ht="90" hidden="false" customHeight="true" outlineLevel="0" collapsed="false">
      <c r="A52" s="2" t="s">
        <v>365</v>
      </c>
      <c r="B52" s="2" t="s">
        <v>309</v>
      </c>
      <c r="C52" s="2" t="s">
        <v>203</v>
      </c>
      <c r="D52" s="9" t="n">
        <v>8581</v>
      </c>
      <c r="E52" s="2" t="s">
        <v>253</v>
      </c>
      <c r="F52" s="2" t="s">
        <v>366</v>
      </c>
      <c r="G52" s="2" t="s">
        <v>367</v>
      </c>
      <c r="H52" s="2" t="s">
        <v>368</v>
      </c>
      <c r="I52" s="2" t="s">
        <v>145</v>
      </c>
      <c r="J52" s="2" t="s">
        <v>369</v>
      </c>
      <c r="K52" s="10" t="b">
        <f aca="false">FALSE()</f>
        <v>0</v>
      </c>
      <c r="L52" s="10" t="b">
        <f aca="false">FALSE()</f>
        <v>0</v>
      </c>
      <c r="M52" s="2" t="s">
        <v>370</v>
      </c>
      <c r="N52" s="2" t="s">
        <v>371</v>
      </c>
      <c r="O52" s="2" t="s">
        <v>372</v>
      </c>
      <c r="P52" s="2" t="n">
        <v>30</v>
      </c>
      <c r="Q52" s="11" t="s">
        <v>373</v>
      </c>
      <c r="R52" s="11" t="s">
        <v>374</v>
      </c>
      <c r="S52" s="2" t="s">
        <v>375</v>
      </c>
      <c r="T52" s="2"/>
      <c r="U52" s="2" t="s">
        <v>153</v>
      </c>
      <c r="V52" s="2" t="s">
        <v>376</v>
      </c>
      <c r="W52" s="11" t="s">
        <v>377</v>
      </c>
      <c r="X52" s="2"/>
      <c r="Y52" s="2"/>
      <c r="Z52" s="2"/>
      <c r="AA52" s="2"/>
      <c r="AB52" s="2"/>
      <c r="AC52" s="2" t="s">
        <v>131</v>
      </c>
      <c r="AD52" s="2" t="s">
        <v>132</v>
      </c>
      <c r="AE52" s="10" t="b">
        <f aca="false">FALSE()</f>
        <v>0</v>
      </c>
      <c r="AF52" s="2" t="s">
        <v>133</v>
      </c>
      <c r="AG52" s="2" t="s">
        <v>134</v>
      </c>
      <c r="AH52" s="2" t="s">
        <v>135</v>
      </c>
      <c r="AI52" s="11" t="s">
        <v>378</v>
      </c>
      <c r="AJ52" s="2" t="s">
        <v>137</v>
      </c>
      <c r="AK52" s="2" t="s">
        <v>137</v>
      </c>
      <c r="AL52" s="2" t="s">
        <v>379</v>
      </c>
    </row>
    <row r="53" customFormat="false" ht="90" hidden="false" customHeight="true" outlineLevel="0" collapsed="false">
      <c r="A53" s="2" t="s">
        <v>380</v>
      </c>
      <c r="B53" s="2" t="s">
        <v>309</v>
      </c>
      <c r="C53" s="2" t="s">
        <v>203</v>
      </c>
      <c r="D53" s="9" t="n">
        <v>7716</v>
      </c>
      <c r="E53" s="2" t="s">
        <v>310</v>
      </c>
      <c r="F53" s="2" t="s">
        <v>311</v>
      </c>
      <c r="G53" s="2" t="s">
        <v>381</v>
      </c>
      <c r="H53" s="2" t="s">
        <v>382</v>
      </c>
      <c r="I53" s="2" t="s">
        <v>145</v>
      </c>
      <c r="J53" s="2" t="s">
        <v>146</v>
      </c>
      <c r="K53" s="10" t="b">
        <f aca="false">FALSE()</f>
        <v>0</v>
      </c>
      <c r="L53" s="10" t="b">
        <f aca="false">FALSE()</f>
        <v>0</v>
      </c>
      <c r="M53" s="2" t="s">
        <v>316</v>
      </c>
      <c r="N53" s="2" t="s">
        <v>317</v>
      </c>
      <c r="O53" s="2" t="s">
        <v>383</v>
      </c>
      <c r="P53" s="2" t="n">
        <v>15</v>
      </c>
      <c r="Q53" s="11" t="s">
        <v>319</v>
      </c>
      <c r="R53" s="11" t="s">
        <v>320</v>
      </c>
      <c r="S53" s="11" t="s">
        <v>321</v>
      </c>
      <c r="T53" s="2"/>
      <c r="U53" s="2" t="s">
        <v>153</v>
      </c>
      <c r="V53" s="2" t="s">
        <v>384</v>
      </c>
      <c r="W53" s="11" t="s">
        <v>385</v>
      </c>
      <c r="X53" s="11" t="s">
        <v>386</v>
      </c>
      <c r="Y53" s="2"/>
      <c r="Z53" s="2"/>
      <c r="AA53" s="2"/>
      <c r="AB53" s="2"/>
      <c r="AC53" s="2" t="s">
        <v>131</v>
      </c>
      <c r="AD53" s="2" t="s">
        <v>132</v>
      </c>
      <c r="AE53" s="10" t="b">
        <f aca="false">FALSE()</f>
        <v>0</v>
      </c>
      <c r="AF53" s="2" t="s">
        <v>387</v>
      </c>
      <c r="AG53" s="2" t="s">
        <v>134</v>
      </c>
      <c r="AH53" s="2" t="s">
        <v>325</v>
      </c>
      <c r="AI53" s="11" t="s">
        <v>326</v>
      </c>
      <c r="AJ53" s="2" t="s">
        <v>137</v>
      </c>
      <c r="AK53" s="2" t="s">
        <v>137</v>
      </c>
      <c r="AL53" s="2" t="s">
        <v>388</v>
      </c>
    </row>
    <row r="54" customFormat="false" ht="90" hidden="false" customHeight="true" outlineLevel="0" collapsed="false">
      <c r="A54" s="2" t="s">
        <v>389</v>
      </c>
      <c r="B54" s="2" t="s">
        <v>309</v>
      </c>
      <c r="C54" s="2" t="s">
        <v>203</v>
      </c>
      <c r="D54" s="9" t="n">
        <v>6452</v>
      </c>
      <c r="E54" s="2" t="s">
        <v>310</v>
      </c>
      <c r="F54" s="2" t="s">
        <v>311</v>
      </c>
      <c r="G54" s="2" t="s">
        <v>390</v>
      </c>
      <c r="H54" s="2" t="s">
        <v>391</v>
      </c>
      <c r="I54" s="2" t="s">
        <v>392</v>
      </c>
      <c r="J54" s="2" t="s">
        <v>146</v>
      </c>
      <c r="K54" s="10" t="b">
        <f aca="false">FALSE()</f>
        <v>0</v>
      </c>
      <c r="L54" s="10" t="b">
        <f aca="false">FALSE()</f>
        <v>0</v>
      </c>
      <c r="M54" s="2" t="s">
        <v>316</v>
      </c>
      <c r="N54" s="2" t="s">
        <v>317</v>
      </c>
      <c r="O54" s="11" t="s">
        <v>393</v>
      </c>
      <c r="P54" s="2" t="n">
        <v>15</v>
      </c>
      <c r="Q54" s="11" t="s">
        <v>319</v>
      </c>
      <c r="R54" s="11" t="s">
        <v>320</v>
      </c>
      <c r="S54" s="11" t="s">
        <v>321</v>
      </c>
      <c r="T54" s="11" t="s">
        <v>394</v>
      </c>
      <c r="U54" s="2" t="s">
        <v>395</v>
      </c>
      <c r="V54" s="2"/>
      <c r="W54" s="2"/>
      <c r="X54" s="11" t="s">
        <v>396</v>
      </c>
      <c r="Y54" s="2"/>
      <c r="Z54" s="2"/>
      <c r="AA54" s="2"/>
      <c r="AB54" s="2"/>
      <c r="AC54" s="2" t="s">
        <v>131</v>
      </c>
      <c r="AD54" s="2" t="s">
        <v>132</v>
      </c>
      <c r="AE54" s="10" t="b">
        <f aca="false">FALSE()</f>
        <v>0</v>
      </c>
      <c r="AF54" s="2" t="s">
        <v>397</v>
      </c>
      <c r="AG54" s="2" t="s">
        <v>158</v>
      </c>
      <c r="AH54" s="2" t="s">
        <v>325</v>
      </c>
      <c r="AI54" s="11" t="s">
        <v>326</v>
      </c>
      <c r="AJ54" s="2" t="s">
        <v>137</v>
      </c>
      <c r="AK54" s="2" t="s">
        <v>137</v>
      </c>
      <c r="AL54" s="2" t="s">
        <v>398</v>
      </c>
    </row>
    <row r="55" customFormat="false" ht="90" hidden="false" customHeight="true" outlineLevel="0" collapsed="false">
      <c r="A55" s="2" t="s">
        <v>399</v>
      </c>
      <c r="B55" s="2" t="s">
        <v>309</v>
      </c>
      <c r="C55" s="2" t="s">
        <v>203</v>
      </c>
      <c r="D55" s="9" t="n">
        <v>5214</v>
      </c>
      <c r="E55" s="2" t="s">
        <v>310</v>
      </c>
      <c r="F55" s="2" t="s">
        <v>311</v>
      </c>
      <c r="G55" s="2" t="s">
        <v>390</v>
      </c>
      <c r="H55" s="2" t="s">
        <v>391</v>
      </c>
      <c r="I55" s="2" t="s">
        <v>392</v>
      </c>
      <c r="J55" s="2" t="s">
        <v>146</v>
      </c>
      <c r="K55" s="10" t="b">
        <f aca="false">FALSE()</f>
        <v>0</v>
      </c>
      <c r="L55" s="10" t="b">
        <f aca="false">FALSE()</f>
        <v>0</v>
      </c>
      <c r="M55" s="2" t="s">
        <v>316</v>
      </c>
      <c r="N55" s="2" t="s">
        <v>317</v>
      </c>
      <c r="O55" s="11" t="s">
        <v>393</v>
      </c>
      <c r="P55" s="2" t="n">
        <v>15</v>
      </c>
      <c r="Q55" s="11" t="s">
        <v>319</v>
      </c>
      <c r="R55" s="11" t="s">
        <v>320</v>
      </c>
      <c r="S55" s="11" t="s">
        <v>321</v>
      </c>
      <c r="T55" s="2" t="s">
        <v>400</v>
      </c>
      <c r="U55" s="2" t="s">
        <v>395</v>
      </c>
      <c r="V55" s="2"/>
      <c r="W55" s="2"/>
      <c r="X55" s="11" t="s">
        <v>401</v>
      </c>
      <c r="Y55" s="2"/>
      <c r="Z55" s="2"/>
      <c r="AA55" s="2"/>
      <c r="AB55" s="2"/>
      <c r="AC55" s="2" t="s">
        <v>131</v>
      </c>
      <c r="AD55" s="2" t="s">
        <v>132</v>
      </c>
      <c r="AE55" s="10" t="b">
        <f aca="false">FALSE()</f>
        <v>0</v>
      </c>
      <c r="AF55" s="2" t="s">
        <v>397</v>
      </c>
      <c r="AG55" s="2" t="s">
        <v>134</v>
      </c>
      <c r="AH55" s="2" t="s">
        <v>325</v>
      </c>
      <c r="AI55" s="11" t="s">
        <v>326</v>
      </c>
      <c r="AJ55" s="2" t="s">
        <v>137</v>
      </c>
      <c r="AK55" s="2" t="s">
        <v>137</v>
      </c>
      <c r="AL55" s="2" t="s">
        <v>402</v>
      </c>
    </row>
    <row r="56" customFormat="false" ht="90" hidden="false" customHeight="true" outlineLevel="0" collapsed="false">
      <c r="A56" s="2" t="s">
        <v>403</v>
      </c>
      <c r="B56" s="2" t="s">
        <v>309</v>
      </c>
      <c r="C56" s="2" t="s">
        <v>203</v>
      </c>
      <c r="D56" s="9" t="n">
        <v>5014</v>
      </c>
      <c r="E56" s="2" t="s">
        <v>253</v>
      </c>
      <c r="F56" s="2" t="s">
        <v>366</v>
      </c>
      <c r="G56" s="2" t="s">
        <v>367</v>
      </c>
      <c r="H56" s="2" t="s">
        <v>368</v>
      </c>
      <c r="I56" s="2" t="s">
        <v>145</v>
      </c>
      <c r="J56" s="2" t="s">
        <v>369</v>
      </c>
      <c r="K56" s="10" t="b">
        <f aca="false">FALSE()</f>
        <v>0</v>
      </c>
      <c r="L56" s="10" t="b">
        <f aca="false">TRUE()</f>
        <v>1</v>
      </c>
      <c r="M56" s="2" t="s">
        <v>370</v>
      </c>
      <c r="N56" s="2" t="s">
        <v>371</v>
      </c>
      <c r="O56" s="2" t="s">
        <v>372</v>
      </c>
      <c r="P56" s="2" t="n">
        <v>30</v>
      </c>
      <c r="Q56" s="11" t="s">
        <v>373</v>
      </c>
      <c r="R56" s="11" t="s">
        <v>374</v>
      </c>
      <c r="S56" s="2" t="s">
        <v>375</v>
      </c>
      <c r="T56" s="2" t="s">
        <v>163</v>
      </c>
      <c r="U56" s="2" t="s">
        <v>153</v>
      </c>
      <c r="V56" s="2" t="s">
        <v>376</v>
      </c>
      <c r="W56" s="11" t="s">
        <v>377</v>
      </c>
      <c r="X56" s="2"/>
      <c r="Y56" s="2"/>
      <c r="Z56" s="2"/>
      <c r="AA56" s="2"/>
      <c r="AB56" s="2"/>
      <c r="AC56" s="2" t="s">
        <v>131</v>
      </c>
      <c r="AD56" s="2" t="s">
        <v>132</v>
      </c>
      <c r="AE56" s="10" t="b">
        <f aca="false">FALSE()</f>
        <v>0</v>
      </c>
      <c r="AF56" s="2" t="s">
        <v>133</v>
      </c>
      <c r="AG56" s="2" t="s">
        <v>134</v>
      </c>
      <c r="AH56" s="2" t="s">
        <v>135</v>
      </c>
      <c r="AI56" s="11" t="s">
        <v>378</v>
      </c>
      <c r="AJ56" s="2" t="s">
        <v>137</v>
      </c>
      <c r="AK56" s="2" t="s">
        <v>137</v>
      </c>
      <c r="AL56" s="2" t="s">
        <v>404</v>
      </c>
    </row>
    <row r="57" customFormat="false" ht="90" hidden="false" customHeight="true" outlineLevel="0" collapsed="false">
      <c r="A57" s="2" t="s">
        <v>405</v>
      </c>
      <c r="B57" s="2" t="s">
        <v>309</v>
      </c>
      <c r="C57" s="2" t="s">
        <v>203</v>
      </c>
      <c r="D57" s="9" t="n">
        <v>4899</v>
      </c>
      <c r="E57" s="2" t="s">
        <v>253</v>
      </c>
      <c r="F57" s="2" t="s">
        <v>366</v>
      </c>
      <c r="G57" s="2" t="s">
        <v>367</v>
      </c>
      <c r="H57" s="2" t="s">
        <v>368</v>
      </c>
      <c r="I57" s="2" t="s">
        <v>145</v>
      </c>
      <c r="J57" s="2" t="s">
        <v>369</v>
      </c>
      <c r="K57" s="10" t="b">
        <f aca="false">FALSE()</f>
        <v>0</v>
      </c>
      <c r="L57" s="10" t="b">
        <f aca="false">FALSE()</f>
        <v>0</v>
      </c>
      <c r="M57" s="2" t="s">
        <v>370</v>
      </c>
      <c r="N57" s="2" t="s">
        <v>371</v>
      </c>
      <c r="O57" s="2" t="s">
        <v>372</v>
      </c>
      <c r="P57" s="2" t="n">
        <v>30</v>
      </c>
      <c r="Q57" s="11" t="s">
        <v>373</v>
      </c>
      <c r="R57" s="11" t="s">
        <v>374</v>
      </c>
      <c r="S57" s="2" t="s">
        <v>375</v>
      </c>
      <c r="T57" s="2" t="s">
        <v>406</v>
      </c>
      <c r="U57" s="2" t="s">
        <v>153</v>
      </c>
      <c r="V57" s="2" t="s">
        <v>376</v>
      </c>
      <c r="W57" s="11" t="s">
        <v>377</v>
      </c>
      <c r="X57" s="2"/>
      <c r="Y57" s="2"/>
      <c r="Z57" s="2"/>
      <c r="AA57" s="2"/>
      <c r="AB57" s="2"/>
      <c r="AC57" s="2" t="s">
        <v>131</v>
      </c>
      <c r="AD57" s="2" t="s">
        <v>132</v>
      </c>
      <c r="AE57" s="10" t="b">
        <f aca="false">FALSE()</f>
        <v>0</v>
      </c>
      <c r="AF57" s="2" t="s">
        <v>133</v>
      </c>
      <c r="AG57" s="2" t="s">
        <v>134</v>
      </c>
      <c r="AH57" s="2" t="s">
        <v>135</v>
      </c>
      <c r="AI57" s="11" t="s">
        <v>378</v>
      </c>
      <c r="AJ57" s="2" t="s">
        <v>137</v>
      </c>
      <c r="AK57" s="2" t="s">
        <v>137</v>
      </c>
      <c r="AL57" s="2" t="s">
        <v>407</v>
      </c>
    </row>
    <row r="58" customFormat="false" ht="90" hidden="false" customHeight="true" outlineLevel="0" collapsed="false">
      <c r="A58" s="2" t="s">
        <v>408</v>
      </c>
      <c r="B58" s="2" t="s">
        <v>309</v>
      </c>
      <c r="C58" s="2" t="s">
        <v>203</v>
      </c>
      <c r="D58" s="9" t="n">
        <v>4678</v>
      </c>
      <c r="E58" s="2" t="s">
        <v>310</v>
      </c>
      <c r="F58" s="2" t="s">
        <v>311</v>
      </c>
      <c r="G58" s="2" t="s">
        <v>381</v>
      </c>
      <c r="H58" s="2" t="s">
        <v>382</v>
      </c>
      <c r="I58" s="2" t="s">
        <v>145</v>
      </c>
      <c r="J58" s="2" t="s">
        <v>146</v>
      </c>
      <c r="K58" s="10" t="b">
        <f aca="false">FALSE()</f>
        <v>0</v>
      </c>
      <c r="L58" s="10" t="b">
        <f aca="false">FALSE()</f>
        <v>0</v>
      </c>
      <c r="M58" s="2" t="s">
        <v>316</v>
      </c>
      <c r="N58" s="2" t="s">
        <v>317</v>
      </c>
      <c r="O58" s="2" t="s">
        <v>383</v>
      </c>
      <c r="P58" s="2" t="n">
        <v>15</v>
      </c>
      <c r="Q58" s="11" t="s">
        <v>319</v>
      </c>
      <c r="R58" s="11" t="s">
        <v>320</v>
      </c>
      <c r="S58" s="11" t="s">
        <v>321</v>
      </c>
      <c r="T58" s="2" t="s">
        <v>406</v>
      </c>
      <c r="U58" s="2" t="s">
        <v>153</v>
      </c>
      <c r="V58" s="2" t="s">
        <v>384</v>
      </c>
      <c r="W58" s="11" t="s">
        <v>409</v>
      </c>
      <c r="X58" s="11" t="s">
        <v>410</v>
      </c>
      <c r="Y58" s="2"/>
      <c r="Z58" s="2"/>
      <c r="AA58" s="2"/>
      <c r="AB58" s="2"/>
      <c r="AC58" s="2" t="s">
        <v>131</v>
      </c>
      <c r="AD58" s="2" t="s">
        <v>132</v>
      </c>
      <c r="AE58" s="10" t="b">
        <f aca="false">FALSE()</f>
        <v>0</v>
      </c>
      <c r="AF58" s="2" t="s">
        <v>387</v>
      </c>
      <c r="AG58" s="2" t="s">
        <v>134</v>
      </c>
      <c r="AH58" s="2" t="s">
        <v>325</v>
      </c>
      <c r="AI58" s="11" t="s">
        <v>326</v>
      </c>
      <c r="AJ58" s="2" t="s">
        <v>137</v>
      </c>
      <c r="AK58" s="2" t="s">
        <v>137</v>
      </c>
      <c r="AL58" s="2" t="s">
        <v>411</v>
      </c>
    </row>
    <row r="59" customFormat="false" ht="90" hidden="false" customHeight="true" outlineLevel="0" collapsed="false">
      <c r="A59" s="2" t="s">
        <v>412</v>
      </c>
      <c r="B59" s="2" t="s">
        <v>309</v>
      </c>
      <c r="C59" s="2" t="s">
        <v>203</v>
      </c>
      <c r="D59" s="9" t="n">
        <v>4415</v>
      </c>
      <c r="E59" s="2" t="s">
        <v>310</v>
      </c>
      <c r="F59" s="2" t="s">
        <v>311</v>
      </c>
      <c r="G59" s="2" t="s">
        <v>381</v>
      </c>
      <c r="H59" s="2" t="s">
        <v>382</v>
      </c>
      <c r="I59" s="2" t="s">
        <v>145</v>
      </c>
      <c r="J59" s="2" t="s">
        <v>146</v>
      </c>
      <c r="K59" s="10" t="b">
        <f aca="false">FALSE()</f>
        <v>0</v>
      </c>
      <c r="L59" s="10" t="b">
        <f aca="false">FALSE()</f>
        <v>0</v>
      </c>
      <c r="M59" s="2" t="s">
        <v>316</v>
      </c>
      <c r="N59" s="2" t="s">
        <v>317</v>
      </c>
      <c r="O59" s="2" t="s">
        <v>383</v>
      </c>
      <c r="P59" s="2" t="n">
        <v>15</v>
      </c>
      <c r="Q59" s="11" t="s">
        <v>319</v>
      </c>
      <c r="R59" s="11" t="s">
        <v>320</v>
      </c>
      <c r="S59" s="11" t="s">
        <v>321</v>
      </c>
      <c r="T59" s="2" t="s">
        <v>223</v>
      </c>
      <c r="U59" s="2" t="s">
        <v>153</v>
      </c>
      <c r="V59" s="2" t="s">
        <v>384</v>
      </c>
      <c r="W59" s="11" t="s">
        <v>413</v>
      </c>
      <c r="X59" s="11" t="s">
        <v>414</v>
      </c>
      <c r="Y59" s="2"/>
      <c r="Z59" s="2"/>
      <c r="AA59" s="2"/>
      <c r="AB59" s="2"/>
      <c r="AC59" s="2" t="s">
        <v>131</v>
      </c>
      <c r="AD59" s="2" t="s">
        <v>132</v>
      </c>
      <c r="AE59" s="10" t="b">
        <f aca="false">FALSE()</f>
        <v>0</v>
      </c>
      <c r="AF59" s="2" t="s">
        <v>387</v>
      </c>
      <c r="AG59" s="2" t="s">
        <v>134</v>
      </c>
      <c r="AH59" s="2" t="s">
        <v>325</v>
      </c>
      <c r="AI59" s="11" t="s">
        <v>326</v>
      </c>
      <c r="AJ59" s="2" t="s">
        <v>137</v>
      </c>
      <c r="AK59" s="2" t="s">
        <v>137</v>
      </c>
      <c r="AL59" s="2" t="s">
        <v>415</v>
      </c>
    </row>
    <row r="60" customFormat="false" ht="90" hidden="false" customHeight="true" outlineLevel="0" collapsed="false">
      <c r="A60" s="2" t="s">
        <v>416</v>
      </c>
      <c r="B60" s="2" t="s">
        <v>309</v>
      </c>
      <c r="C60" s="2" t="s">
        <v>203</v>
      </c>
      <c r="D60" s="9" t="n">
        <v>4372</v>
      </c>
      <c r="E60" s="2" t="s">
        <v>310</v>
      </c>
      <c r="F60" s="2" t="s">
        <v>311</v>
      </c>
      <c r="G60" s="2" t="s">
        <v>381</v>
      </c>
      <c r="H60" s="2" t="s">
        <v>382</v>
      </c>
      <c r="I60" s="2" t="s">
        <v>145</v>
      </c>
      <c r="J60" s="2" t="s">
        <v>146</v>
      </c>
      <c r="K60" s="10" t="b">
        <f aca="false">FALSE()</f>
        <v>0</v>
      </c>
      <c r="L60" s="10" t="b">
        <f aca="false">FALSE()</f>
        <v>0</v>
      </c>
      <c r="M60" s="2" t="s">
        <v>316</v>
      </c>
      <c r="N60" s="2" t="s">
        <v>317</v>
      </c>
      <c r="O60" s="2" t="s">
        <v>383</v>
      </c>
      <c r="P60" s="2" t="n">
        <v>15</v>
      </c>
      <c r="Q60" s="11" t="s">
        <v>319</v>
      </c>
      <c r="R60" s="11" t="s">
        <v>320</v>
      </c>
      <c r="S60" s="11" t="s">
        <v>321</v>
      </c>
      <c r="T60" s="2"/>
      <c r="U60" s="2" t="s">
        <v>153</v>
      </c>
      <c r="V60" s="2" t="s">
        <v>384</v>
      </c>
      <c r="W60" s="11" t="s">
        <v>413</v>
      </c>
      <c r="X60" s="11" t="s">
        <v>417</v>
      </c>
      <c r="Y60" s="2"/>
      <c r="Z60" s="2"/>
      <c r="AA60" s="2"/>
      <c r="AB60" s="2"/>
      <c r="AC60" s="2" t="s">
        <v>131</v>
      </c>
      <c r="AD60" s="2" t="s">
        <v>132</v>
      </c>
      <c r="AE60" s="10" t="b">
        <f aca="false">FALSE()</f>
        <v>0</v>
      </c>
      <c r="AF60" s="2" t="s">
        <v>387</v>
      </c>
      <c r="AG60" s="2" t="s">
        <v>134</v>
      </c>
      <c r="AH60" s="2" t="s">
        <v>325</v>
      </c>
      <c r="AI60" s="11" t="s">
        <v>326</v>
      </c>
      <c r="AJ60" s="2" t="s">
        <v>137</v>
      </c>
      <c r="AK60" s="2" t="s">
        <v>137</v>
      </c>
      <c r="AL60" s="2" t="s">
        <v>418</v>
      </c>
    </row>
    <row r="61" customFormat="false" ht="90" hidden="false" customHeight="true" outlineLevel="0" collapsed="false">
      <c r="A61" s="2" t="s">
        <v>419</v>
      </c>
      <c r="B61" s="2" t="s">
        <v>309</v>
      </c>
      <c r="C61" s="2" t="s">
        <v>203</v>
      </c>
      <c r="D61" s="9" t="n">
        <v>3925</v>
      </c>
      <c r="E61" s="2" t="s">
        <v>310</v>
      </c>
      <c r="F61" s="2" t="s">
        <v>311</v>
      </c>
      <c r="G61" s="2" t="s">
        <v>390</v>
      </c>
      <c r="H61" s="2" t="s">
        <v>391</v>
      </c>
      <c r="I61" s="2" t="s">
        <v>392</v>
      </c>
      <c r="J61" s="2" t="s">
        <v>146</v>
      </c>
      <c r="K61" s="10" t="b">
        <f aca="false">FALSE()</f>
        <v>0</v>
      </c>
      <c r="L61" s="10" t="b">
        <f aca="false">FALSE()</f>
        <v>0</v>
      </c>
      <c r="M61" s="2" t="s">
        <v>316</v>
      </c>
      <c r="N61" s="2" t="s">
        <v>317</v>
      </c>
      <c r="O61" s="11" t="s">
        <v>393</v>
      </c>
      <c r="P61" s="2" t="n">
        <v>15</v>
      </c>
      <c r="Q61" s="11" t="s">
        <v>319</v>
      </c>
      <c r="R61" s="11" t="s">
        <v>320</v>
      </c>
      <c r="S61" s="11" t="s">
        <v>321</v>
      </c>
      <c r="T61" s="2" t="s">
        <v>400</v>
      </c>
      <c r="U61" s="2" t="s">
        <v>395</v>
      </c>
      <c r="V61" s="2"/>
      <c r="W61" s="2"/>
      <c r="X61" s="11" t="s">
        <v>420</v>
      </c>
      <c r="Y61" s="2"/>
      <c r="Z61" s="2"/>
      <c r="AA61" s="2"/>
      <c r="AB61" s="2"/>
      <c r="AC61" s="2" t="s">
        <v>131</v>
      </c>
      <c r="AD61" s="2" t="s">
        <v>132</v>
      </c>
      <c r="AE61" s="10" t="b">
        <f aca="false">FALSE()</f>
        <v>0</v>
      </c>
      <c r="AF61" s="2" t="s">
        <v>397</v>
      </c>
      <c r="AG61" s="2" t="s">
        <v>134</v>
      </c>
      <c r="AH61" s="2" t="s">
        <v>325</v>
      </c>
      <c r="AI61" s="11" t="s">
        <v>326</v>
      </c>
      <c r="AJ61" s="2" t="s">
        <v>137</v>
      </c>
      <c r="AK61" s="2" t="s">
        <v>137</v>
      </c>
      <c r="AL61" s="2" t="s">
        <v>421</v>
      </c>
    </row>
    <row r="62" customFormat="false" ht="90" hidden="false" customHeight="true" outlineLevel="0" collapsed="false">
      <c r="A62" s="2" t="s">
        <v>422</v>
      </c>
      <c r="B62" s="2" t="s">
        <v>309</v>
      </c>
      <c r="C62" s="2" t="s">
        <v>203</v>
      </c>
      <c r="D62" s="9" t="n">
        <v>3879</v>
      </c>
      <c r="E62" s="2" t="s">
        <v>310</v>
      </c>
      <c r="F62" s="2" t="s">
        <v>311</v>
      </c>
      <c r="G62" s="2" t="s">
        <v>390</v>
      </c>
      <c r="H62" s="2" t="s">
        <v>391</v>
      </c>
      <c r="I62" s="2" t="s">
        <v>392</v>
      </c>
      <c r="J62" s="2" t="s">
        <v>146</v>
      </c>
      <c r="K62" s="10" t="b">
        <f aca="false">FALSE()</f>
        <v>0</v>
      </c>
      <c r="L62" s="10" t="b">
        <f aca="false">FALSE()</f>
        <v>0</v>
      </c>
      <c r="M62" s="2" t="s">
        <v>316</v>
      </c>
      <c r="N62" s="2" t="s">
        <v>317</v>
      </c>
      <c r="O62" s="11" t="s">
        <v>393</v>
      </c>
      <c r="P62" s="2" t="n">
        <v>15</v>
      </c>
      <c r="Q62" s="11" t="s">
        <v>319</v>
      </c>
      <c r="R62" s="11" t="s">
        <v>320</v>
      </c>
      <c r="S62" s="11" t="s">
        <v>321</v>
      </c>
      <c r="T62" s="11" t="s">
        <v>423</v>
      </c>
      <c r="U62" s="2" t="s">
        <v>395</v>
      </c>
      <c r="V62" s="2"/>
      <c r="W62" s="2"/>
      <c r="X62" s="11" t="s">
        <v>424</v>
      </c>
      <c r="Y62" s="2"/>
      <c r="Z62" s="2"/>
      <c r="AA62" s="2"/>
      <c r="AB62" s="2"/>
      <c r="AC62" s="2" t="s">
        <v>131</v>
      </c>
      <c r="AD62" s="2" t="s">
        <v>132</v>
      </c>
      <c r="AE62" s="10" t="b">
        <f aca="false">FALSE()</f>
        <v>0</v>
      </c>
      <c r="AF62" s="2" t="s">
        <v>397</v>
      </c>
      <c r="AG62" s="2" t="s">
        <v>158</v>
      </c>
      <c r="AH62" s="2" t="s">
        <v>325</v>
      </c>
      <c r="AI62" s="11" t="s">
        <v>326</v>
      </c>
      <c r="AJ62" s="2" t="s">
        <v>137</v>
      </c>
      <c r="AK62" s="2" t="s">
        <v>137</v>
      </c>
      <c r="AL62" s="2" t="s">
        <v>425</v>
      </c>
    </row>
    <row r="63" customFormat="false" ht="90" hidden="false" customHeight="true" outlineLevel="0" collapsed="false">
      <c r="A63" s="2" t="s">
        <v>426</v>
      </c>
      <c r="B63" s="2" t="s">
        <v>309</v>
      </c>
      <c r="C63" s="2" t="s">
        <v>203</v>
      </c>
      <c r="D63" s="9" t="n">
        <v>3200</v>
      </c>
      <c r="E63" s="2" t="s">
        <v>343</v>
      </c>
      <c r="F63" s="2" t="s">
        <v>344</v>
      </c>
      <c r="G63" s="2" t="s">
        <v>345</v>
      </c>
      <c r="H63" s="2" t="s">
        <v>144</v>
      </c>
      <c r="I63" s="2" t="s">
        <v>145</v>
      </c>
      <c r="J63" s="2" t="s">
        <v>146</v>
      </c>
      <c r="K63" s="10" t="b">
        <f aca="false">FALSE()</f>
        <v>0</v>
      </c>
      <c r="L63" s="10" t="b">
        <f aca="false">FALSE()</f>
        <v>0</v>
      </c>
      <c r="M63" s="2" t="s">
        <v>346</v>
      </c>
      <c r="N63" s="2" t="s">
        <v>123</v>
      </c>
      <c r="O63" s="2" t="s">
        <v>347</v>
      </c>
      <c r="P63" s="2" t="n">
        <v>10</v>
      </c>
      <c r="Q63" s="11" t="s">
        <v>348</v>
      </c>
      <c r="R63" s="2" t="s">
        <v>349</v>
      </c>
      <c r="S63" s="11" t="s">
        <v>350</v>
      </c>
      <c r="T63" s="2"/>
      <c r="U63" s="2" t="s">
        <v>153</v>
      </c>
      <c r="V63" s="2" t="s">
        <v>351</v>
      </c>
      <c r="W63" s="11" t="s">
        <v>427</v>
      </c>
      <c r="X63" s="11" t="s">
        <v>428</v>
      </c>
      <c r="Y63" s="2"/>
      <c r="Z63" s="2"/>
      <c r="AA63" s="2"/>
      <c r="AB63" s="2"/>
      <c r="AC63" s="2" t="s">
        <v>131</v>
      </c>
      <c r="AD63" s="2" t="s">
        <v>354</v>
      </c>
      <c r="AE63" s="10" t="b">
        <f aca="false">FALSE()</f>
        <v>0</v>
      </c>
      <c r="AF63" s="2" t="s">
        <v>133</v>
      </c>
      <c r="AG63" s="2" t="s">
        <v>158</v>
      </c>
      <c r="AH63" s="2" t="s">
        <v>135</v>
      </c>
      <c r="AI63" s="11" t="s">
        <v>355</v>
      </c>
      <c r="AJ63" s="2" t="s">
        <v>137</v>
      </c>
      <c r="AK63" s="2" t="s">
        <v>137</v>
      </c>
      <c r="AL63" s="2" t="s">
        <v>429</v>
      </c>
    </row>
    <row r="64" customFormat="false" ht="90" hidden="false" customHeight="true" outlineLevel="0" collapsed="false">
      <c r="A64" s="2" t="s">
        <v>430</v>
      </c>
      <c r="B64" s="2" t="s">
        <v>309</v>
      </c>
      <c r="C64" s="2" t="s">
        <v>203</v>
      </c>
      <c r="D64" s="9" t="n">
        <v>3113</v>
      </c>
      <c r="E64" s="2" t="s">
        <v>431</v>
      </c>
      <c r="F64" s="2" t="s">
        <v>344</v>
      </c>
      <c r="G64" s="2" t="s">
        <v>345</v>
      </c>
      <c r="H64" s="2" t="s">
        <v>144</v>
      </c>
      <c r="I64" s="2" t="s">
        <v>145</v>
      </c>
      <c r="J64" s="2" t="s">
        <v>146</v>
      </c>
      <c r="K64" s="10" t="b">
        <f aca="false">FALSE()</f>
        <v>0</v>
      </c>
      <c r="L64" s="10" t="b">
        <f aca="false">FALSE()</f>
        <v>0</v>
      </c>
      <c r="M64" s="2" t="s">
        <v>346</v>
      </c>
      <c r="N64" s="2" t="s">
        <v>123</v>
      </c>
      <c r="O64" s="2" t="s">
        <v>347</v>
      </c>
      <c r="P64" s="2" t="n">
        <v>10</v>
      </c>
      <c r="Q64" s="11" t="s">
        <v>348</v>
      </c>
      <c r="R64" s="2" t="s">
        <v>349</v>
      </c>
      <c r="S64" s="11" t="s">
        <v>350</v>
      </c>
      <c r="T64" s="2" t="s">
        <v>432</v>
      </c>
      <c r="U64" s="2" t="s">
        <v>153</v>
      </c>
      <c r="V64" s="2" t="s">
        <v>351</v>
      </c>
      <c r="W64" s="11" t="s">
        <v>352</v>
      </c>
      <c r="X64" s="11" t="s">
        <v>433</v>
      </c>
      <c r="Y64" s="2"/>
      <c r="Z64" s="2"/>
      <c r="AA64" s="2"/>
      <c r="AB64" s="2"/>
      <c r="AC64" s="2" t="s">
        <v>131</v>
      </c>
      <c r="AD64" s="2" t="s">
        <v>354</v>
      </c>
      <c r="AE64" s="10" t="b">
        <f aca="false">FALSE()</f>
        <v>0</v>
      </c>
      <c r="AF64" s="2" t="s">
        <v>133</v>
      </c>
      <c r="AG64" s="2" t="s">
        <v>158</v>
      </c>
      <c r="AH64" s="2" t="s">
        <v>135</v>
      </c>
      <c r="AI64" s="11" t="s">
        <v>355</v>
      </c>
      <c r="AJ64" s="2" t="s">
        <v>137</v>
      </c>
      <c r="AK64" s="2" t="s">
        <v>137</v>
      </c>
      <c r="AL64" s="2" t="s">
        <v>434</v>
      </c>
    </row>
    <row r="65" customFormat="false" ht="90" hidden="false" customHeight="true" outlineLevel="0" collapsed="false">
      <c r="A65" s="2" t="s">
        <v>435</v>
      </c>
      <c r="B65" s="2" t="s">
        <v>309</v>
      </c>
      <c r="C65" s="2" t="s">
        <v>203</v>
      </c>
      <c r="D65" s="9" t="n">
        <v>2402</v>
      </c>
      <c r="E65" s="2" t="s">
        <v>431</v>
      </c>
      <c r="F65" s="2" t="s">
        <v>344</v>
      </c>
      <c r="G65" s="2" t="s">
        <v>436</v>
      </c>
      <c r="H65" s="2" t="s">
        <v>368</v>
      </c>
      <c r="I65" s="2" t="s">
        <v>145</v>
      </c>
      <c r="J65" s="2" t="s">
        <v>369</v>
      </c>
      <c r="K65" s="10" t="b">
        <f aca="false">FALSE()</f>
        <v>0</v>
      </c>
      <c r="L65" s="10" t="b">
        <f aca="false">FALSE()</f>
        <v>0</v>
      </c>
      <c r="M65" s="2" t="s">
        <v>346</v>
      </c>
      <c r="N65" s="2" t="s">
        <v>371</v>
      </c>
      <c r="O65" s="2" t="s">
        <v>437</v>
      </c>
      <c r="P65" s="2" t="n">
        <v>14</v>
      </c>
      <c r="Q65" s="11" t="s">
        <v>348</v>
      </c>
      <c r="R65" s="2" t="s">
        <v>349</v>
      </c>
      <c r="S65" s="11" t="s">
        <v>350</v>
      </c>
      <c r="T65" s="2"/>
      <c r="U65" s="2" t="s">
        <v>153</v>
      </c>
      <c r="V65" s="2" t="s">
        <v>438</v>
      </c>
      <c r="W65" s="11" t="s">
        <v>439</v>
      </c>
      <c r="X65" s="2"/>
      <c r="Y65" s="2"/>
      <c r="Z65" s="2"/>
      <c r="AA65" s="2"/>
      <c r="AB65" s="2"/>
      <c r="AC65" s="2" t="s">
        <v>131</v>
      </c>
      <c r="AD65" s="2" t="s">
        <v>440</v>
      </c>
      <c r="AE65" s="10" t="b">
        <f aca="false">FALSE()</f>
        <v>0</v>
      </c>
      <c r="AF65" s="2" t="s">
        <v>133</v>
      </c>
      <c r="AG65" s="2" t="s">
        <v>134</v>
      </c>
      <c r="AH65" s="2" t="s">
        <v>135</v>
      </c>
      <c r="AI65" s="11" t="s">
        <v>355</v>
      </c>
      <c r="AJ65" s="2" t="s">
        <v>137</v>
      </c>
      <c r="AK65" s="2" t="s">
        <v>137</v>
      </c>
      <c r="AL65" s="2" t="s">
        <v>441</v>
      </c>
    </row>
    <row r="66" customFormat="false" ht="90" hidden="false" customHeight="true" outlineLevel="0" collapsed="false">
      <c r="A66" s="2" t="s">
        <v>442</v>
      </c>
      <c r="B66" s="2" t="s">
        <v>309</v>
      </c>
      <c r="C66" s="2" t="s">
        <v>203</v>
      </c>
      <c r="D66" s="9" t="n">
        <v>2380</v>
      </c>
      <c r="E66" s="2" t="s">
        <v>310</v>
      </c>
      <c r="F66" s="2" t="s">
        <v>311</v>
      </c>
      <c r="G66" s="2" t="s">
        <v>390</v>
      </c>
      <c r="H66" s="2" t="s">
        <v>391</v>
      </c>
      <c r="I66" s="2" t="s">
        <v>392</v>
      </c>
      <c r="J66" s="2" t="s">
        <v>146</v>
      </c>
      <c r="K66" s="10" t="b">
        <f aca="false">FALSE()</f>
        <v>0</v>
      </c>
      <c r="L66" s="10" t="b">
        <f aca="false">FALSE()</f>
        <v>0</v>
      </c>
      <c r="M66" s="2" t="s">
        <v>316</v>
      </c>
      <c r="N66" s="2" t="s">
        <v>317</v>
      </c>
      <c r="O66" s="11" t="s">
        <v>393</v>
      </c>
      <c r="P66" s="2" t="n">
        <v>15</v>
      </c>
      <c r="Q66" s="11" t="s">
        <v>319</v>
      </c>
      <c r="R66" s="11" t="s">
        <v>320</v>
      </c>
      <c r="S66" s="11" t="s">
        <v>321</v>
      </c>
      <c r="T66" s="11" t="s">
        <v>443</v>
      </c>
      <c r="U66" s="2" t="s">
        <v>395</v>
      </c>
      <c r="V66" s="2"/>
      <c r="W66" s="2"/>
      <c r="X66" s="11" t="s">
        <v>444</v>
      </c>
      <c r="Y66" s="2"/>
      <c r="Z66" s="2"/>
      <c r="AA66" s="2"/>
      <c r="AB66" s="2"/>
      <c r="AC66" s="2" t="s">
        <v>131</v>
      </c>
      <c r="AD66" s="2" t="s">
        <v>132</v>
      </c>
      <c r="AE66" s="10" t="b">
        <f aca="false">FALSE()</f>
        <v>0</v>
      </c>
      <c r="AF66" s="2" t="s">
        <v>397</v>
      </c>
      <c r="AG66" s="2" t="s">
        <v>134</v>
      </c>
      <c r="AH66" s="2" t="s">
        <v>325</v>
      </c>
      <c r="AI66" s="11" t="s">
        <v>326</v>
      </c>
      <c r="AJ66" s="2" t="s">
        <v>137</v>
      </c>
      <c r="AK66" s="2" t="s">
        <v>137</v>
      </c>
      <c r="AL66" s="2" t="s">
        <v>445</v>
      </c>
    </row>
    <row r="67" customFormat="false" ht="90" hidden="false" customHeight="true" outlineLevel="0" collapsed="false">
      <c r="A67" s="2" t="s">
        <v>446</v>
      </c>
      <c r="B67" s="2" t="s">
        <v>309</v>
      </c>
      <c r="C67" s="2" t="s">
        <v>203</v>
      </c>
      <c r="D67" s="9" t="n">
        <v>2277</v>
      </c>
      <c r="E67" s="2" t="s">
        <v>310</v>
      </c>
      <c r="F67" s="2" t="s">
        <v>311</v>
      </c>
      <c r="G67" s="2" t="s">
        <v>390</v>
      </c>
      <c r="H67" s="2" t="s">
        <v>391</v>
      </c>
      <c r="I67" s="2" t="s">
        <v>392</v>
      </c>
      <c r="J67" s="2" t="s">
        <v>146</v>
      </c>
      <c r="K67" s="10" t="b">
        <f aca="false">FALSE()</f>
        <v>0</v>
      </c>
      <c r="L67" s="10" t="b">
        <f aca="false">FALSE()</f>
        <v>0</v>
      </c>
      <c r="M67" s="2" t="s">
        <v>316</v>
      </c>
      <c r="N67" s="2" t="s">
        <v>317</v>
      </c>
      <c r="O67" s="11" t="s">
        <v>393</v>
      </c>
      <c r="P67" s="2" t="n">
        <v>15</v>
      </c>
      <c r="Q67" s="11" t="s">
        <v>319</v>
      </c>
      <c r="R67" s="11" t="s">
        <v>320</v>
      </c>
      <c r="S67" s="11" t="s">
        <v>321</v>
      </c>
      <c r="T67" s="11" t="s">
        <v>447</v>
      </c>
      <c r="U67" s="2" t="s">
        <v>395</v>
      </c>
      <c r="V67" s="2"/>
      <c r="W67" s="2"/>
      <c r="X67" s="11" t="s">
        <v>448</v>
      </c>
      <c r="Y67" s="2"/>
      <c r="Z67" s="2"/>
      <c r="AA67" s="2"/>
      <c r="AB67" s="2"/>
      <c r="AC67" s="2" t="s">
        <v>131</v>
      </c>
      <c r="AD67" s="2" t="s">
        <v>132</v>
      </c>
      <c r="AE67" s="10" t="b">
        <f aca="false">FALSE()</f>
        <v>0</v>
      </c>
      <c r="AF67" s="2" t="s">
        <v>397</v>
      </c>
      <c r="AG67" s="2" t="s">
        <v>158</v>
      </c>
      <c r="AH67" s="2" t="s">
        <v>325</v>
      </c>
      <c r="AI67" s="11" t="s">
        <v>326</v>
      </c>
      <c r="AJ67" s="2" t="s">
        <v>137</v>
      </c>
      <c r="AK67" s="2" t="s">
        <v>137</v>
      </c>
      <c r="AL67" s="2" t="s">
        <v>449</v>
      </c>
    </row>
    <row r="68" customFormat="false" ht="90" hidden="false" customHeight="true" outlineLevel="0" collapsed="false">
      <c r="A68" s="2" t="s">
        <v>450</v>
      </c>
      <c r="B68" s="2" t="s">
        <v>451</v>
      </c>
      <c r="C68" s="2" t="s">
        <v>203</v>
      </c>
      <c r="D68" s="9" t="n">
        <v>4513</v>
      </c>
      <c r="E68" s="2" t="s">
        <v>310</v>
      </c>
      <c r="F68" s="2" t="s">
        <v>311</v>
      </c>
      <c r="G68" s="2" t="s">
        <v>452</v>
      </c>
      <c r="H68" s="2" t="s">
        <v>144</v>
      </c>
      <c r="I68" s="2" t="s">
        <v>145</v>
      </c>
      <c r="J68" s="2" t="s">
        <v>146</v>
      </c>
      <c r="K68" s="10" t="b">
        <f aca="false">FALSE()</f>
        <v>0</v>
      </c>
      <c r="L68" s="10" t="b">
        <f aca="false">FALSE()</f>
        <v>0</v>
      </c>
      <c r="M68" s="2" t="s">
        <v>316</v>
      </c>
      <c r="N68" s="2" t="s">
        <v>317</v>
      </c>
      <c r="O68" s="2" t="s">
        <v>453</v>
      </c>
      <c r="P68" s="2" t="n">
        <v>15</v>
      </c>
      <c r="Q68" s="11" t="s">
        <v>319</v>
      </c>
      <c r="R68" s="11" t="s">
        <v>320</v>
      </c>
      <c r="S68" s="11" t="s">
        <v>321</v>
      </c>
      <c r="T68" s="2" t="s">
        <v>298</v>
      </c>
      <c r="U68" s="2" t="s">
        <v>153</v>
      </c>
      <c r="V68" s="2" t="s">
        <v>454</v>
      </c>
      <c r="W68" s="11" t="s">
        <v>455</v>
      </c>
      <c r="X68" s="11" t="s">
        <v>456</v>
      </c>
      <c r="Y68" s="2"/>
      <c r="Z68" s="2"/>
      <c r="AA68" s="2"/>
      <c r="AB68" s="2"/>
      <c r="AC68" s="2" t="s">
        <v>131</v>
      </c>
      <c r="AD68" s="2" t="s">
        <v>132</v>
      </c>
      <c r="AE68" s="10" t="b">
        <f aca="false">FALSE()</f>
        <v>0</v>
      </c>
      <c r="AF68" s="2" t="s">
        <v>133</v>
      </c>
      <c r="AG68" s="2" t="s">
        <v>134</v>
      </c>
      <c r="AH68" s="2" t="s">
        <v>325</v>
      </c>
      <c r="AI68" s="11" t="s">
        <v>326</v>
      </c>
      <c r="AJ68" s="2" t="s">
        <v>137</v>
      </c>
      <c r="AK68" s="2" t="s">
        <v>137</v>
      </c>
      <c r="AL68" s="2" t="s">
        <v>457</v>
      </c>
    </row>
    <row r="69" customFormat="false" ht="90" hidden="false" customHeight="true" outlineLevel="0" collapsed="false">
      <c r="A69" s="2" t="s">
        <v>458</v>
      </c>
      <c r="B69" s="2" t="s">
        <v>451</v>
      </c>
      <c r="C69" s="2" t="s">
        <v>203</v>
      </c>
      <c r="D69" s="9" t="n">
        <v>3913</v>
      </c>
      <c r="E69" s="2" t="s">
        <v>310</v>
      </c>
      <c r="F69" s="2" t="s">
        <v>311</v>
      </c>
      <c r="G69" s="2" t="s">
        <v>452</v>
      </c>
      <c r="H69" s="2" t="s">
        <v>144</v>
      </c>
      <c r="I69" s="2" t="s">
        <v>145</v>
      </c>
      <c r="J69" s="2" t="s">
        <v>146</v>
      </c>
      <c r="K69" s="10" t="b">
        <f aca="false">FALSE()</f>
        <v>0</v>
      </c>
      <c r="L69" s="10" t="b">
        <f aca="false">FALSE()</f>
        <v>0</v>
      </c>
      <c r="M69" s="2" t="s">
        <v>316</v>
      </c>
      <c r="N69" s="2" t="s">
        <v>317</v>
      </c>
      <c r="O69" s="2" t="s">
        <v>453</v>
      </c>
      <c r="P69" s="2" t="n">
        <v>15</v>
      </c>
      <c r="Q69" s="11" t="s">
        <v>319</v>
      </c>
      <c r="R69" s="11" t="s">
        <v>320</v>
      </c>
      <c r="S69" s="11" t="s">
        <v>321</v>
      </c>
      <c r="T69" s="11" t="s">
        <v>459</v>
      </c>
      <c r="U69" s="2" t="s">
        <v>153</v>
      </c>
      <c r="V69" s="2" t="s">
        <v>454</v>
      </c>
      <c r="W69" s="11" t="s">
        <v>455</v>
      </c>
      <c r="X69" s="11" t="s">
        <v>460</v>
      </c>
      <c r="Y69" s="2"/>
      <c r="Z69" s="2"/>
      <c r="AA69" s="2"/>
      <c r="AB69" s="2"/>
      <c r="AC69" s="2" t="s">
        <v>131</v>
      </c>
      <c r="AD69" s="2" t="s">
        <v>132</v>
      </c>
      <c r="AE69" s="10" t="b">
        <f aca="false">FALSE()</f>
        <v>0</v>
      </c>
      <c r="AF69" s="2" t="s">
        <v>133</v>
      </c>
      <c r="AG69" s="2" t="s">
        <v>158</v>
      </c>
      <c r="AH69" s="2" t="s">
        <v>325</v>
      </c>
      <c r="AI69" s="11" t="s">
        <v>326</v>
      </c>
      <c r="AJ69" s="2" t="s">
        <v>137</v>
      </c>
      <c r="AK69" s="2" t="s">
        <v>137</v>
      </c>
      <c r="AL69" s="2" t="s">
        <v>461</v>
      </c>
    </row>
    <row r="70" customFormat="false" ht="90" hidden="false" customHeight="true" outlineLevel="0" collapsed="false">
      <c r="A70" s="2" t="s">
        <v>462</v>
      </c>
      <c r="B70" s="2" t="s">
        <v>451</v>
      </c>
      <c r="C70" s="2" t="s">
        <v>203</v>
      </c>
      <c r="D70" s="9" t="n">
        <v>3626</v>
      </c>
      <c r="E70" s="2" t="s">
        <v>310</v>
      </c>
      <c r="F70" s="2" t="s">
        <v>311</v>
      </c>
      <c r="G70" s="2" t="s">
        <v>452</v>
      </c>
      <c r="H70" s="2" t="s">
        <v>144</v>
      </c>
      <c r="I70" s="2" t="s">
        <v>145</v>
      </c>
      <c r="J70" s="2" t="s">
        <v>146</v>
      </c>
      <c r="K70" s="10" t="b">
        <f aca="false">FALSE()</f>
        <v>0</v>
      </c>
      <c r="L70" s="10" t="b">
        <f aca="false">FALSE()</f>
        <v>0</v>
      </c>
      <c r="M70" s="2" t="s">
        <v>316</v>
      </c>
      <c r="N70" s="2" t="s">
        <v>317</v>
      </c>
      <c r="O70" s="2" t="s">
        <v>453</v>
      </c>
      <c r="P70" s="2" t="n">
        <v>15</v>
      </c>
      <c r="Q70" s="11" t="s">
        <v>319</v>
      </c>
      <c r="R70" s="11" t="s">
        <v>320</v>
      </c>
      <c r="S70" s="11" t="s">
        <v>321</v>
      </c>
      <c r="T70" s="2" t="s">
        <v>463</v>
      </c>
      <c r="U70" s="2" t="s">
        <v>153</v>
      </c>
      <c r="V70" s="2" t="s">
        <v>454</v>
      </c>
      <c r="W70" s="11" t="s">
        <v>455</v>
      </c>
      <c r="X70" s="11" t="s">
        <v>464</v>
      </c>
      <c r="Y70" s="2"/>
      <c r="Z70" s="2"/>
      <c r="AA70" s="2"/>
      <c r="AB70" s="2"/>
      <c r="AC70" s="2" t="s">
        <v>131</v>
      </c>
      <c r="AD70" s="2" t="s">
        <v>132</v>
      </c>
      <c r="AE70" s="10" t="b">
        <f aca="false">FALSE()</f>
        <v>0</v>
      </c>
      <c r="AF70" s="2" t="s">
        <v>133</v>
      </c>
      <c r="AG70" s="2" t="s">
        <v>158</v>
      </c>
      <c r="AH70" s="2" t="s">
        <v>325</v>
      </c>
      <c r="AI70" s="11" t="s">
        <v>326</v>
      </c>
      <c r="AJ70" s="2" t="s">
        <v>137</v>
      </c>
      <c r="AK70" s="2" t="s">
        <v>137</v>
      </c>
      <c r="AL70" s="2" t="s">
        <v>465</v>
      </c>
    </row>
    <row r="71" customFormat="false" ht="90" hidden="false" customHeight="true" outlineLevel="0" collapsed="false">
      <c r="A71" s="2" t="s">
        <v>466</v>
      </c>
      <c r="B71" s="2" t="s">
        <v>451</v>
      </c>
      <c r="C71" s="2" t="s">
        <v>203</v>
      </c>
      <c r="D71" s="9" t="n">
        <v>3111</v>
      </c>
      <c r="E71" s="2" t="s">
        <v>310</v>
      </c>
      <c r="F71" s="2" t="s">
        <v>311</v>
      </c>
      <c r="G71" s="2" t="s">
        <v>452</v>
      </c>
      <c r="H71" s="2" t="s">
        <v>144</v>
      </c>
      <c r="I71" s="2" t="s">
        <v>145</v>
      </c>
      <c r="J71" s="2" t="s">
        <v>146</v>
      </c>
      <c r="K71" s="10" t="b">
        <f aca="false">FALSE()</f>
        <v>0</v>
      </c>
      <c r="L71" s="10" t="b">
        <f aca="false">FALSE()</f>
        <v>0</v>
      </c>
      <c r="M71" s="2" t="s">
        <v>316</v>
      </c>
      <c r="N71" s="2" t="s">
        <v>317</v>
      </c>
      <c r="O71" s="2" t="s">
        <v>453</v>
      </c>
      <c r="P71" s="2" t="n">
        <v>15</v>
      </c>
      <c r="Q71" s="11" t="s">
        <v>319</v>
      </c>
      <c r="R71" s="11" t="s">
        <v>320</v>
      </c>
      <c r="S71" s="11" t="s">
        <v>321</v>
      </c>
      <c r="T71" s="2"/>
      <c r="U71" s="2" t="s">
        <v>153</v>
      </c>
      <c r="V71" s="2" t="s">
        <v>454</v>
      </c>
      <c r="W71" s="11" t="s">
        <v>455</v>
      </c>
      <c r="X71" s="11" t="s">
        <v>467</v>
      </c>
      <c r="Y71" s="2"/>
      <c r="Z71" s="2"/>
      <c r="AA71" s="2"/>
      <c r="AB71" s="2"/>
      <c r="AC71" s="2" t="s">
        <v>131</v>
      </c>
      <c r="AD71" s="2" t="s">
        <v>132</v>
      </c>
      <c r="AE71" s="10" t="b">
        <f aca="false">FALSE()</f>
        <v>0</v>
      </c>
      <c r="AF71" s="2" t="s">
        <v>133</v>
      </c>
      <c r="AG71" s="2" t="s">
        <v>134</v>
      </c>
      <c r="AH71" s="2" t="s">
        <v>325</v>
      </c>
      <c r="AI71" s="11" t="s">
        <v>326</v>
      </c>
      <c r="AJ71" s="2" t="s">
        <v>137</v>
      </c>
      <c r="AK71" s="2" t="s">
        <v>137</v>
      </c>
      <c r="AL71" s="2" t="s">
        <v>468</v>
      </c>
    </row>
    <row r="72" customFormat="false" ht="90" hidden="false" customHeight="true" outlineLevel="0" collapsed="false">
      <c r="A72" s="2" t="s">
        <v>469</v>
      </c>
      <c r="B72" s="2" t="s">
        <v>451</v>
      </c>
      <c r="C72" s="2" t="s">
        <v>203</v>
      </c>
      <c r="D72" s="9" t="n">
        <v>2366</v>
      </c>
      <c r="E72" s="2" t="s">
        <v>310</v>
      </c>
      <c r="F72" s="2" t="s">
        <v>311</v>
      </c>
      <c r="G72" s="2" t="s">
        <v>452</v>
      </c>
      <c r="H72" s="2" t="s">
        <v>144</v>
      </c>
      <c r="I72" s="2" t="s">
        <v>145</v>
      </c>
      <c r="J72" s="2" t="s">
        <v>146</v>
      </c>
      <c r="K72" s="10" t="b">
        <f aca="false">FALSE()</f>
        <v>0</v>
      </c>
      <c r="L72" s="10" t="b">
        <f aca="false">FALSE()</f>
        <v>0</v>
      </c>
      <c r="M72" s="2" t="s">
        <v>316</v>
      </c>
      <c r="N72" s="2" t="s">
        <v>317</v>
      </c>
      <c r="O72" s="2" t="s">
        <v>453</v>
      </c>
      <c r="P72" s="2" t="n">
        <v>15</v>
      </c>
      <c r="Q72" s="11" t="s">
        <v>319</v>
      </c>
      <c r="R72" s="11" t="s">
        <v>320</v>
      </c>
      <c r="S72" s="11" t="s">
        <v>321</v>
      </c>
      <c r="T72" s="2" t="s">
        <v>470</v>
      </c>
      <c r="U72" s="2" t="s">
        <v>153</v>
      </c>
      <c r="V72" s="2" t="s">
        <v>454</v>
      </c>
      <c r="W72" s="11" t="s">
        <v>455</v>
      </c>
      <c r="X72" s="11" t="s">
        <v>471</v>
      </c>
      <c r="Y72" s="2"/>
      <c r="Z72" s="2"/>
      <c r="AA72" s="2"/>
      <c r="AB72" s="2"/>
      <c r="AC72" s="2" t="s">
        <v>187</v>
      </c>
      <c r="AD72" s="2" t="s">
        <v>132</v>
      </c>
      <c r="AE72" s="10" t="b">
        <f aca="false">FALSE()</f>
        <v>0</v>
      </c>
      <c r="AF72" s="2" t="s">
        <v>133</v>
      </c>
      <c r="AG72" s="2" t="s">
        <v>158</v>
      </c>
      <c r="AH72" s="2" t="s">
        <v>325</v>
      </c>
      <c r="AI72" s="11" t="s">
        <v>326</v>
      </c>
      <c r="AJ72" s="2" t="s">
        <v>137</v>
      </c>
      <c r="AK72" s="2" t="s">
        <v>137</v>
      </c>
      <c r="AL72" s="2" t="s">
        <v>472</v>
      </c>
    </row>
    <row r="73" customFormat="false" ht="90" hidden="false" customHeight="true" outlineLevel="0" collapsed="false">
      <c r="A73" s="2" t="s">
        <v>473</v>
      </c>
      <c r="B73" s="2" t="s">
        <v>451</v>
      </c>
      <c r="C73" s="2" t="s">
        <v>474</v>
      </c>
      <c r="D73" s="9" t="n">
        <v>1911</v>
      </c>
      <c r="E73" s="2" t="s">
        <v>475</v>
      </c>
      <c r="F73" s="2" t="s">
        <v>476</v>
      </c>
      <c r="G73" s="2" t="s">
        <v>477</v>
      </c>
      <c r="H73" s="2" t="s">
        <v>144</v>
      </c>
      <c r="I73" s="2" t="s">
        <v>478</v>
      </c>
      <c r="J73" s="2" t="s">
        <v>121</v>
      </c>
      <c r="K73" s="10" t="b">
        <f aca="false">FALSE()</f>
        <v>0</v>
      </c>
      <c r="L73" s="10" t="b">
        <f aca="false">FALSE()</f>
        <v>0</v>
      </c>
      <c r="M73" s="2" t="s">
        <v>479</v>
      </c>
      <c r="N73" s="2" t="s">
        <v>480</v>
      </c>
      <c r="O73" s="11" t="s">
        <v>481</v>
      </c>
      <c r="P73" s="2" t="n">
        <v>14</v>
      </c>
      <c r="Q73" s="11" t="s">
        <v>482</v>
      </c>
      <c r="R73" s="2" t="s">
        <v>483</v>
      </c>
      <c r="S73" s="2" t="s">
        <v>484</v>
      </c>
      <c r="T73" s="2" t="s">
        <v>485</v>
      </c>
      <c r="U73" s="2" t="s">
        <v>486</v>
      </c>
      <c r="V73" s="2"/>
      <c r="W73" s="2"/>
      <c r="X73" s="11" t="s">
        <v>487</v>
      </c>
      <c r="Y73" s="2"/>
      <c r="Z73" s="2"/>
      <c r="AA73" s="2"/>
      <c r="AB73" s="2"/>
      <c r="AC73" s="2" t="s">
        <v>131</v>
      </c>
      <c r="AD73" s="2" t="s">
        <v>132</v>
      </c>
      <c r="AE73" s="10" t="b">
        <f aca="false">FALSE()</f>
        <v>0</v>
      </c>
      <c r="AF73" s="2" t="s">
        <v>133</v>
      </c>
      <c r="AG73" s="2" t="s">
        <v>134</v>
      </c>
      <c r="AH73" s="2" t="s">
        <v>135</v>
      </c>
      <c r="AI73" s="11" t="s">
        <v>488</v>
      </c>
      <c r="AJ73" s="2" t="s">
        <v>137</v>
      </c>
      <c r="AK73" s="2" t="s">
        <v>137</v>
      </c>
      <c r="AL73" s="2" t="s">
        <v>489</v>
      </c>
    </row>
    <row r="74" customFormat="false" ht="90" hidden="false" customHeight="true" outlineLevel="0" collapsed="false">
      <c r="A74" s="2" t="s">
        <v>490</v>
      </c>
      <c r="B74" s="2" t="s">
        <v>451</v>
      </c>
      <c r="C74" s="2" t="s">
        <v>474</v>
      </c>
      <c r="D74" s="9" t="n">
        <v>1812</v>
      </c>
      <c r="E74" s="2" t="s">
        <v>491</v>
      </c>
      <c r="F74" s="2" t="s">
        <v>492</v>
      </c>
      <c r="G74" s="2" t="s">
        <v>493</v>
      </c>
      <c r="H74" s="2" t="s">
        <v>368</v>
      </c>
      <c r="I74" s="2" t="s">
        <v>145</v>
      </c>
      <c r="J74" s="2" t="s">
        <v>369</v>
      </c>
      <c r="K74" s="10" t="b">
        <f aca="false">FALSE()</f>
        <v>0</v>
      </c>
      <c r="L74" s="10" t="b">
        <f aca="false">TRUE()</f>
        <v>1</v>
      </c>
      <c r="M74" s="2" t="s">
        <v>494</v>
      </c>
      <c r="N74" s="2" t="s">
        <v>371</v>
      </c>
      <c r="O74" s="2" t="s">
        <v>495</v>
      </c>
      <c r="P74" s="2" t="n">
        <v>30</v>
      </c>
      <c r="Q74" s="2" t="s">
        <v>496</v>
      </c>
      <c r="R74" s="11" t="s">
        <v>497</v>
      </c>
      <c r="S74" s="11" t="s">
        <v>498</v>
      </c>
      <c r="T74" s="2" t="s">
        <v>406</v>
      </c>
      <c r="U74" s="2" t="s">
        <v>153</v>
      </c>
      <c r="V74" s="2" t="s">
        <v>499</v>
      </c>
      <c r="W74" s="11" t="s">
        <v>500</v>
      </c>
      <c r="X74" s="2"/>
      <c r="Y74" s="2"/>
      <c r="Z74" s="2"/>
      <c r="AA74" s="2"/>
      <c r="AB74" s="2" t="s">
        <v>501</v>
      </c>
      <c r="AC74" s="2" t="s">
        <v>131</v>
      </c>
      <c r="AD74" s="2" t="s">
        <v>354</v>
      </c>
      <c r="AE74" s="10" t="b">
        <f aca="false">TRUE()</f>
        <v>1</v>
      </c>
      <c r="AF74" s="2" t="s">
        <v>133</v>
      </c>
      <c r="AG74" s="2" t="s">
        <v>158</v>
      </c>
      <c r="AH74" s="2" t="s">
        <v>135</v>
      </c>
      <c r="AI74" s="11" t="s">
        <v>502</v>
      </c>
      <c r="AJ74" s="2" t="s">
        <v>137</v>
      </c>
      <c r="AK74" s="2" t="s">
        <v>137</v>
      </c>
      <c r="AL74" s="2" t="s">
        <v>503</v>
      </c>
    </row>
    <row r="75" customFormat="false" ht="90" hidden="false" customHeight="true" outlineLevel="0" collapsed="false">
      <c r="A75" s="2" t="s">
        <v>504</v>
      </c>
      <c r="B75" s="2" t="s">
        <v>451</v>
      </c>
      <c r="C75" s="2" t="s">
        <v>474</v>
      </c>
      <c r="D75" s="9" t="n">
        <v>1759</v>
      </c>
      <c r="E75" s="2" t="s">
        <v>475</v>
      </c>
      <c r="F75" s="2" t="s">
        <v>476</v>
      </c>
      <c r="G75" s="2" t="s">
        <v>477</v>
      </c>
      <c r="H75" s="2" t="s">
        <v>144</v>
      </c>
      <c r="I75" s="2" t="s">
        <v>478</v>
      </c>
      <c r="J75" s="2" t="s">
        <v>121</v>
      </c>
      <c r="K75" s="10" t="b">
        <f aca="false">FALSE()</f>
        <v>0</v>
      </c>
      <c r="L75" s="10" t="b">
        <f aca="false">FALSE()</f>
        <v>0</v>
      </c>
      <c r="M75" s="2" t="s">
        <v>479</v>
      </c>
      <c r="N75" s="2" t="s">
        <v>480</v>
      </c>
      <c r="O75" s="11" t="s">
        <v>481</v>
      </c>
      <c r="P75" s="2" t="n">
        <v>14</v>
      </c>
      <c r="Q75" s="11" t="s">
        <v>482</v>
      </c>
      <c r="R75" s="2" t="s">
        <v>483</v>
      </c>
      <c r="S75" s="2" t="s">
        <v>484</v>
      </c>
      <c r="T75" s="2"/>
      <c r="U75" s="2" t="s">
        <v>486</v>
      </c>
      <c r="V75" s="2"/>
      <c r="W75" s="2"/>
      <c r="X75" s="11" t="s">
        <v>505</v>
      </c>
      <c r="Y75" s="2"/>
      <c r="Z75" s="2"/>
      <c r="AA75" s="2"/>
      <c r="AB75" s="2"/>
      <c r="AC75" s="2" t="s">
        <v>131</v>
      </c>
      <c r="AD75" s="2" t="s">
        <v>132</v>
      </c>
      <c r="AE75" s="10" t="b">
        <f aca="false">FALSE()</f>
        <v>0</v>
      </c>
      <c r="AF75" s="2" t="s">
        <v>133</v>
      </c>
      <c r="AG75" s="2" t="s">
        <v>134</v>
      </c>
      <c r="AH75" s="2" t="s">
        <v>135</v>
      </c>
      <c r="AI75" s="11" t="s">
        <v>488</v>
      </c>
      <c r="AJ75" s="2" t="s">
        <v>137</v>
      </c>
      <c r="AK75" s="2" t="s">
        <v>137</v>
      </c>
      <c r="AL75" s="2" t="s">
        <v>506</v>
      </c>
    </row>
    <row r="76" customFormat="false" ht="90" hidden="false" customHeight="true" outlineLevel="0" collapsed="false">
      <c r="A76" s="2" t="s">
        <v>507</v>
      </c>
      <c r="B76" s="2" t="s">
        <v>451</v>
      </c>
      <c r="C76" s="2" t="s">
        <v>474</v>
      </c>
      <c r="D76" s="9" t="n">
        <v>1706</v>
      </c>
      <c r="E76" s="2" t="s">
        <v>491</v>
      </c>
      <c r="F76" s="2" t="s">
        <v>366</v>
      </c>
      <c r="G76" s="2" t="s">
        <v>508</v>
      </c>
      <c r="H76" s="2" t="s">
        <v>368</v>
      </c>
      <c r="I76" s="2" t="s">
        <v>145</v>
      </c>
      <c r="J76" s="2" t="s">
        <v>369</v>
      </c>
      <c r="K76" s="10" t="b">
        <f aca="false">FALSE()</f>
        <v>0</v>
      </c>
      <c r="L76" s="10" t="b">
        <f aca="false">TRUE()</f>
        <v>1</v>
      </c>
      <c r="M76" s="2" t="s">
        <v>370</v>
      </c>
      <c r="N76" s="2" t="s">
        <v>371</v>
      </c>
      <c r="O76" s="2" t="s">
        <v>372</v>
      </c>
      <c r="P76" s="2" t="n">
        <v>30</v>
      </c>
      <c r="Q76" s="11" t="s">
        <v>373</v>
      </c>
      <c r="R76" s="11" t="s">
        <v>374</v>
      </c>
      <c r="S76" s="2" t="s">
        <v>375</v>
      </c>
      <c r="T76" s="2"/>
      <c r="U76" s="2" t="s">
        <v>153</v>
      </c>
      <c r="V76" s="2" t="s">
        <v>376</v>
      </c>
      <c r="W76" s="11" t="s">
        <v>377</v>
      </c>
      <c r="X76" s="2"/>
      <c r="Y76" s="2"/>
      <c r="Z76" s="2"/>
      <c r="AA76" s="2"/>
      <c r="AB76" s="2"/>
      <c r="AC76" s="2" t="s">
        <v>131</v>
      </c>
      <c r="AD76" s="2" t="s">
        <v>132</v>
      </c>
      <c r="AE76" s="10" t="b">
        <f aca="false">TRUE()</f>
        <v>1</v>
      </c>
      <c r="AF76" s="2" t="s">
        <v>133</v>
      </c>
      <c r="AG76" s="2" t="s">
        <v>134</v>
      </c>
      <c r="AH76" s="2" t="s">
        <v>135</v>
      </c>
      <c r="AI76" s="11" t="s">
        <v>378</v>
      </c>
      <c r="AJ76" s="2" t="s">
        <v>137</v>
      </c>
      <c r="AK76" s="2" t="s">
        <v>137</v>
      </c>
      <c r="AL76" s="2" t="s">
        <v>509</v>
      </c>
    </row>
    <row r="77" customFormat="false" ht="90" hidden="false" customHeight="true" outlineLevel="0" collapsed="false">
      <c r="A77" s="2" t="s">
        <v>510</v>
      </c>
      <c r="B77" s="2" t="s">
        <v>451</v>
      </c>
      <c r="C77" s="2" t="s">
        <v>474</v>
      </c>
      <c r="D77" s="9" t="n">
        <v>1614</v>
      </c>
      <c r="E77" s="2" t="s">
        <v>475</v>
      </c>
      <c r="F77" s="2" t="s">
        <v>476</v>
      </c>
      <c r="G77" s="2" t="s">
        <v>477</v>
      </c>
      <c r="H77" s="2" t="s">
        <v>144</v>
      </c>
      <c r="I77" s="2" t="s">
        <v>478</v>
      </c>
      <c r="J77" s="2" t="s">
        <v>121</v>
      </c>
      <c r="K77" s="10" t="b">
        <f aca="false">FALSE()</f>
        <v>0</v>
      </c>
      <c r="L77" s="10" t="b">
        <f aca="false">FALSE()</f>
        <v>0</v>
      </c>
      <c r="M77" s="2" t="s">
        <v>479</v>
      </c>
      <c r="N77" s="2" t="s">
        <v>480</v>
      </c>
      <c r="O77" s="11" t="s">
        <v>481</v>
      </c>
      <c r="P77" s="2" t="n">
        <v>14</v>
      </c>
      <c r="Q77" s="11" t="s">
        <v>482</v>
      </c>
      <c r="R77" s="2" t="s">
        <v>483</v>
      </c>
      <c r="S77" s="2" t="s">
        <v>484</v>
      </c>
      <c r="T77" s="2" t="s">
        <v>163</v>
      </c>
      <c r="U77" s="2" t="s">
        <v>486</v>
      </c>
      <c r="V77" s="2"/>
      <c r="W77" s="2"/>
      <c r="X77" s="11" t="s">
        <v>511</v>
      </c>
      <c r="Y77" s="2"/>
      <c r="Z77" s="2"/>
      <c r="AA77" s="2"/>
      <c r="AB77" s="2"/>
      <c r="AC77" s="2" t="s">
        <v>131</v>
      </c>
      <c r="AD77" s="2" t="s">
        <v>132</v>
      </c>
      <c r="AE77" s="10" t="b">
        <f aca="false">FALSE()</f>
        <v>0</v>
      </c>
      <c r="AF77" s="2" t="s">
        <v>133</v>
      </c>
      <c r="AG77" s="2" t="s">
        <v>134</v>
      </c>
      <c r="AH77" s="2" t="s">
        <v>135</v>
      </c>
      <c r="AI77" s="11" t="s">
        <v>488</v>
      </c>
      <c r="AJ77" s="2" t="s">
        <v>137</v>
      </c>
      <c r="AK77" s="2" t="s">
        <v>137</v>
      </c>
      <c r="AL77" s="2" t="s">
        <v>512</v>
      </c>
    </row>
    <row r="78" customFormat="false" ht="90" hidden="false" customHeight="true" outlineLevel="0" collapsed="false">
      <c r="A78" s="2" t="s">
        <v>513</v>
      </c>
      <c r="B78" s="2" t="s">
        <v>451</v>
      </c>
      <c r="C78" s="2" t="s">
        <v>474</v>
      </c>
      <c r="D78" s="9" t="n">
        <v>1448</v>
      </c>
      <c r="E78" s="2" t="s">
        <v>475</v>
      </c>
      <c r="F78" s="2" t="s">
        <v>476</v>
      </c>
      <c r="G78" s="2" t="s">
        <v>477</v>
      </c>
      <c r="H78" s="2" t="s">
        <v>144</v>
      </c>
      <c r="I78" s="2" t="s">
        <v>478</v>
      </c>
      <c r="J78" s="2" t="s">
        <v>121</v>
      </c>
      <c r="K78" s="10" t="b">
        <f aca="false">FALSE()</f>
        <v>0</v>
      </c>
      <c r="L78" s="10" t="b">
        <f aca="false">FALSE()</f>
        <v>0</v>
      </c>
      <c r="M78" s="2" t="s">
        <v>479</v>
      </c>
      <c r="N78" s="2" t="s">
        <v>480</v>
      </c>
      <c r="O78" s="11" t="s">
        <v>481</v>
      </c>
      <c r="P78" s="2" t="n">
        <v>14</v>
      </c>
      <c r="Q78" s="11" t="s">
        <v>482</v>
      </c>
      <c r="R78" s="2" t="s">
        <v>483</v>
      </c>
      <c r="S78" s="2" t="s">
        <v>484</v>
      </c>
      <c r="T78" s="11" t="s">
        <v>514</v>
      </c>
      <c r="U78" s="2" t="s">
        <v>486</v>
      </c>
      <c r="V78" s="2"/>
      <c r="W78" s="2"/>
      <c r="X78" s="11" t="s">
        <v>515</v>
      </c>
      <c r="Y78" s="2"/>
      <c r="Z78" s="2"/>
      <c r="AA78" s="2"/>
      <c r="AB78" s="2"/>
      <c r="AC78" s="2" t="s">
        <v>131</v>
      </c>
      <c r="AD78" s="2" t="s">
        <v>354</v>
      </c>
      <c r="AE78" s="10" t="b">
        <f aca="false">FALSE()</f>
        <v>0</v>
      </c>
      <c r="AF78" s="2" t="s">
        <v>133</v>
      </c>
      <c r="AG78" s="2" t="s">
        <v>158</v>
      </c>
      <c r="AH78" s="2" t="s">
        <v>135</v>
      </c>
      <c r="AI78" s="11" t="s">
        <v>488</v>
      </c>
      <c r="AJ78" s="2" t="s">
        <v>137</v>
      </c>
      <c r="AK78" s="2" t="s">
        <v>137</v>
      </c>
      <c r="AL78" s="2" t="s">
        <v>516</v>
      </c>
    </row>
    <row r="79" customFormat="false" ht="90" hidden="false" customHeight="true" outlineLevel="0" collapsed="false">
      <c r="A79" s="2" t="s">
        <v>517</v>
      </c>
      <c r="B79" s="2" t="s">
        <v>451</v>
      </c>
      <c r="C79" s="2" t="s">
        <v>474</v>
      </c>
      <c r="D79" s="9" t="n">
        <v>1422</v>
      </c>
      <c r="E79" s="2" t="s">
        <v>475</v>
      </c>
      <c r="F79" s="2" t="s">
        <v>476</v>
      </c>
      <c r="G79" s="2" t="s">
        <v>477</v>
      </c>
      <c r="H79" s="2" t="s">
        <v>144</v>
      </c>
      <c r="I79" s="2" t="s">
        <v>478</v>
      </c>
      <c r="J79" s="2" t="s">
        <v>121</v>
      </c>
      <c r="K79" s="10" t="b">
        <f aca="false">FALSE()</f>
        <v>0</v>
      </c>
      <c r="L79" s="10" t="b">
        <f aca="false">FALSE()</f>
        <v>0</v>
      </c>
      <c r="M79" s="2" t="s">
        <v>479</v>
      </c>
      <c r="N79" s="2" t="s">
        <v>480</v>
      </c>
      <c r="O79" s="11" t="s">
        <v>481</v>
      </c>
      <c r="P79" s="2" t="n">
        <v>14</v>
      </c>
      <c r="Q79" s="11" t="s">
        <v>482</v>
      </c>
      <c r="R79" s="2" t="s">
        <v>483</v>
      </c>
      <c r="S79" s="2" t="s">
        <v>484</v>
      </c>
      <c r="T79" s="2" t="s">
        <v>223</v>
      </c>
      <c r="U79" s="2" t="s">
        <v>486</v>
      </c>
      <c r="V79" s="2"/>
      <c r="W79" s="2"/>
      <c r="X79" s="11" t="s">
        <v>518</v>
      </c>
      <c r="Y79" s="2"/>
      <c r="Z79" s="2"/>
      <c r="AA79" s="2"/>
      <c r="AB79" s="2"/>
      <c r="AC79" s="2" t="s">
        <v>131</v>
      </c>
      <c r="AD79" s="2" t="s">
        <v>132</v>
      </c>
      <c r="AE79" s="10" t="b">
        <f aca="false">FALSE()</f>
        <v>0</v>
      </c>
      <c r="AF79" s="2" t="s">
        <v>133</v>
      </c>
      <c r="AG79" s="2" t="s">
        <v>158</v>
      </c>
      <c r="AH79" s="2" t="s">
        <v>135</v>
      </c>
      <c r="AI79" s="11" t="s">
        <v>488</v>
      </c>
      <c r="AJ79" s="2" t="s">
        <v>137</v>
      </c>
      <c r="AK79" s="2" t="s">
        <v>137</v>
      </c>
      <c r="AL79" s="2" t="s">
        <v>519</v>
      </c>
    </row>
    <row r="80" customFormat="false" ht="90" hidden="false" customHeight="true" outlineLevel="0" collapsed="false">
      <c r="A80" s="2" t="s">
        <v>520</v>
      </c>
      <c r="B80" s="2" t="s">
        <v>451</v>
      </c>
      <c r="C80" s="2" t="s">
        <v>474</v>
      </c>
      <c r="D80" s="9" t="n">
        <v>1401</v>
      </c>
      <c r="E80" s="2" t="s">
        <v>475</v>
      </c>
      <c r="F80" s="2" t="s">
        <v>476</v>
      </c>
      <c r="G80" s="2" t="s">
        <v>477</v>
      </c>
      <c r="H80" s="2" t="s">
        <v>144</v>
      </c>
      <c r="I80" s="2" t="s">
        <v>478</v>
      </c>
      <c r="J80" s="2" t="s">
        <v>121</v>
      </c>
      <c r="K80" s="10" t="b">
        <f aca="false">FALSE()</f>
        <v>0</v>
      </c>
      <c r="L80" s="10" t="b">
        <f aca="false">FALSE()</f>
        <v>0</v>
      </c>
      <c r="M80" s="2" t="s">
        <v>479</v>
      </c>
      <c r="N80" s="2" t="s">
        <v>480</v>
      </c>
      <c r="O80" s="11" t="s">
        <v>481</v>
      </c>
      <c r="P80" s="2" t="n">
        <v>14</v>
      </c>
      <c r="Q80" s="11" t="s">
        <v>482</v>
      </c>
      <c r="R80" s="2" t="s">
        <v>483</v>
      </c>
      <c r="S80" s="2" t="s">
        <v>484</v>
      </c>
      <c r="T80" s="2" t="s">
        <v>215</v>
      </c>
      <c r="U80" s="2" t="s">
        <v>486</v>
      </c>
      <c r="V80" s="2"/>
      <c r="W80" s="2"/>
      <c r="X80" s="11" t="s">
        <v>521</v>
      </c>
      <c r="Y80" s="2"/>
      <c r="Z80" s="2"/>
      <c r="AA80" s="2"/>
      <c r="AB80" s="2"/>
      <c r="AC80" s="2" t="s">
        <v>131</v>
      </c>
      <c r="AD80" s="2" t="s">
        <v>132</v>
      </c>
      <c r="AE80" s="10" t="b">
        <f aca="false">FALSE()</f>
        <v>0</v>
      </c>
      <c r="AF80" s="2" t="s">
        <v>133</v>
      </c>
      <c r="AG80" s="2" t="s">
        <v>134</v>
      </c>
      <c r="AH80" s="2" t="s">
        <v>135</v>
      </c>
      <c r="AI80" s="11" t="s">
        <v>488</v>
      </c>
      <c r="AJ80" s="2" t="s">
        <v>137</v>
      </c>
      <c r="AK80" s="2" t="s">
        <v>137</v>
      </c>
      <c r="AL80" s="2" t="s">
        <v>522</v>
      </c>
    </row>
    <row r="81" customFormat="false" ht="90" hidden="false" customHeight="true" outlineLevel="0" collapsed="false">
      <c r="A81" s="2" t="s">
        <v>523</v>
      </c>
      <c r="B81" s="2" t="s">
        <v>451</v>
      </c>
      <c r="C81" s="2" t="s">
        <v>474</v>
      </c>
      <c r="D81" s="9" t="n">
        <v>1366</v>
      </c>
      <c r="E81" s="2" t="s">
        <v>491</v>
      </c>
      <c r="F81" s="2" t="s">
        <v>492</v>
      </c>
      <c r="G81" s="2" t="s">
        <v>524</v>
      </c>
      <c r="H81" s="2" t="s">
        <v>391</v>
      </c>
      <c r="I81" s="2" t="s">
        <v>392</v>
      </c>
      <c r="J81" s="2" t="s">
        <v>121</v>
      </c>
      <c r="K81" s="10" t="b">
        <f aca="false">FALSE()</f>
        <v>0</v>
      </c>
      <c r="L81" s="10" t="b">
        <f aca="false">FALSE()</f>
        <v>0</v>
      </c>
      <c r="M81" s="2" t="s">
        <v>494</v>
      </c>
      <c r="N81" s="2" t="s">
        <v>371</v>
      </c>
      <c r="O81" s="11" t="s">
        <v>525</v>
      </c>
      <c r="P81" s="2" t="n">
        <v>30</v>
      </c>
      <c r="Q81" s="2" t="s">
        <v>496</v>
      </c>
      <c r="R81" s="11" t="s">
        <v>497</v>
      </c>
      <c r="S81" s="11" t="s">
        <v>498</v>
      </c>
      <c r="T81" s="11" t="s">
        <v>526</v>
      </c>
      <c r="U81" s="2" t="s">
        <v>395</v>
      </c>
      <c r="V81" s="2"/>
      <c r="W81" s="2"/>
      <c r="X81" s="11" t="s">
        <v>527</v>
      </c>
      <c r="Y81" s="2"/>
      <c r="Z81" s="2"/>
      <c r="AA81" s="2"/>
      <c r="AB81" s="2" t="s">
        <v>528</v>
      </c>
      <c r="AC81" s="2" t="s">
        <v>187</v>
      </c>
      <c r="AD81" s="2" t="s">
        <v>132</v>
      </c>
      <c r="AE81" s="10" t="b">
        <f aca="false">FALSE()</f>
        <v>0</v>
      </c>
      <c r="AF81" s="2" t="s">
        <v>133</v>
      </c>
      <c r="AG81" s="2" t="s">
        <v>158</v>
      </c>
      <c r="AH81" s="2" t="s">
        <v>135</v>
      </c>
      <c r="AI81" s="11" t="s">
        <v>502</v>
      </c>
      <c r="AJ81" s="2" t="s">
        <v>137</v>
      </c>
      <c r="AK81" s="2" t="s">
        <v>137</v>
      </c>
      <c r="AL81" s="2" t="s">
        <v>529</v>
      </c>
    </row>
    <row r="82" customFormat="false" ht="90" hidden="false" customHeight="true" outlineLevel="0" collapsed="false">
      <c r="A82" s="2" t="s">
        <v>530</v>
      </c>
      <c r="B82" s="2" t="s">
        <v>451</v>
      </c>
      <c r="C82" s="2" t="s">
        <v>474</v>
      </c>
      <c r="D82" s="9" t="n">
        <v>1342</v>
      </c>
      <c r="E82" s="2" t="s">
        <v>475</v>
      </c>
      <c r="F82" s="2" t="s">
        <v>476</v>
      </c>
      <c r="G82" s="2" t="s">
        <v>477</v>
      </c>
      <c r="H82" s="2" t="s">
        <v>144</v>
      </c>
      <c r="I82" s="2" t="s">
        <v>478</v>
      </c>
      <c r="J82" s="2" t="s">
        <v>121</v>
      </c>
      <c r="K82" s="10" t="b">
        <f aca="false">FALSE()</f>
        <v>0</v>
      </c>
      <c r="L82" s="10" t="b">
        <f aca="false">FALSE()</f>
        <v>0</v>
      </c>
      <c r="M82" s="2" t="s">
        <v>479</v>
      </c>
      <c r="N82" s="2" t="s">
        <v>480</v>
      </c>
      <c r="O82" s="11" t="s">
        <v>481</v>
      </c>
      <c r="P82" s="2" t="n">
        <v>14</v>
      </c>
      <c r="Q82" s="11" t="s">
        <v>482</v>
      </c>
      <c r="R82" s="2" t="s">
        <v>483</v>
      </c>
      <c r="S82" s="2" t="s">
        <v>484</v>
      </c>
      <c r="T82" s="2"/>
      <c r="U82" s="2" t="s">
        <v>486</v>
      </c>
      <c r="V82" s="2"/>
      <c r="W82" s="2"/>
      <c r="X82" s="11" t="s">
        <v>531</v>
      </c>
      <c r="Y82" s="2"/>
      <c r="Z82" s="2"/>
      <c r="AA82" s="2"/>
      <c r="AB82" s="2"/>
      <c r="AC82" s="2" t="s">
        <v>131</v>
      </c>
      <c r="AD82" s="2" t="s">
        <v>354</v>
      </c>
      <c r="AE82" s="10" t="b">
        <f aca="false">FALSE()</f>
        <v>0</v>
      </c>
      <c r="AF82" s="2" t="s">
        <v>133</v>
      </c>
      <c r="AG82" s="2" t="s">
        <v>158</v>
      </c>
      <c r="AH82" s="2" t="s">
        <v>135</v>
      </c>
      <c r="AI82" s="11" t="s">
        <v>488</v>
      </c>
      <c r="AJ82" s="2" t="s">
        <v>137</v>
      </c>
      <c r="AK82" s="2" t="s">
        <v>137</v>
      </c>
      <c r="AL82" s="2" t="s">
        <v>532</v>
      </c>
    </row>
    <row r="83" customFormat="false" ht="90" hidden="false" customHeight="true" outlineLevel="0" collapsed="false">
      <c r="A83" s="2" t="s">
        <v>533</v>
      </c>
      <c r="B83" s="2" t="s">
        <v>451</v>
      </c>
      <c r="C83" s="2" t="s">
        <v>474</v>
      </c>
      <c r="D83" s="9" t="n">
        <v>1217</v>
      </c>
      <c r="E83" s="2" t="s">
        <v>491</v>
      </c>
      <c r="F83" s="2" t="s">
        <v>366</v>
      </c>
      <c r="G83" s="2" t="s">
        <v>508</v>
      </c>
      <c r="H83" s="2" t="s">
        <v>368</v>
      </c>
      <c r="I83" s="2" t="s">
        <v>145</v>
      </c>
      <c r="J83" s="2" t="s">
        <v>369</v>
      </c>
      <c r="K83" s="10" t="b">
        <f aca="false">FALSE()</f>
        <v>0</v>
      </c>
      <c r="L83" s="10" t="b">
        <f aca="false">TRUE()</f>
        <v>1</v>
      </c>
      <c r="M83" s="2" t="s">
        <v>370</v>
      </c>
      <c r="N83" s="2" t="s">
        <v>371</v>
      </c>
      <c r="O83" s="2" t="s">
        <v>372</v>
      </c>
      <c r="P83" s="2" t="n">
        <v>30</v>
      </c>
      <c r="Q83" s="11" t="s">
        <v>373</v>
      </c>
      <c r="R83" s="11" t="s">
        <v>374</v>
      </c>
      <c r="S83" s="2" t="s">
        <v>375</v>
      </c>
      <c r="T83" s="2"/>
      <c r="U83" s="2" t="s">
        <v>153</v>
      </c>
      <c r="V83" s="2" t="s">
        <v>376</v>
      </c>
      <c r="W83" s="11" t="s">
        <v>534</v>
      </c>
      <c r="X83" s="2"/>
      <c r="Y83" s="2" t="s">
        <v>535</v>
      </c>
      <c r="Z83" s="2" t="s">
        <v>536</v>
      </c>
      <c r="AA83" s="11" t="s">
        <v>537</v>
      </c>
      <c r="AB83" s="2"/>
      <c r="AC83" s="2" t="s">
        <v>131</v>
      </c>
      <c r="AD83" s="2" t="s">
        <v>132</v>
      </c>
      <c r="AE83" s="10" t="b">
        <f aca="false">TRUE()</f>
        <v>1</v>
      </c>
      <c r="AF83" s="2" t="s">
        <v>133</v>
      </c>
      <c r="AG83" s="2" t="s">
        <v>134</v>
      </c>
      <c r="AH83" s="2" t="s">
        <v>135</v>
      </c>
      <c r="AI83" s="11" t="s">
        <v>378</v>
      </c>
      <c r="AJ83" s="2" t="s">
        <v>137</v>
      </c>
      <c r="AK83" s="2" t="s">
        <v>137</v>
      </c>
      <c r="AL83" s="2" t="s">
        <v>538</v>
      </c>
    </row>
    <row r="84" customFormat="false" ht="90" hidden="false" customHeight="true" outlineLevel="0" collapsed="false">
      <c r="A84" s="2" t="s">
        <v>539</v>
      </c>
      <c r="B84" s="2" t="s">
        <v>451</v>
      </c>
      <c r="C84" s="2" t="s">
        <v>474</v>
      </c>
      <c r="D84" s="9" t="n">
        <v>1166</v>
      </c>
      <c r="E84" s="2" t="s">
        <v>491</v>
      </c>
      <c r="F84" s="2" t="s">
        <v>366</v>
      </c>
      <c r="G84" s="2" t="s">
        <v>508</v>
      </c>
      <c r="H84" s="2" t="s">
        <v>368</v>
      </c>
      <c r="I84" s="2" t="s">
        <v>145</v>
      </c>
      <c r="J84" s="2" t="s">
        <v>369</v>
      </c>
      <c r="K84" s="10" t="b">
        <f aca="false">FALSE()</f>
        <v>0</v>
      </c>
      <c r="L84" s="10" t="b">
        <f aca="false">TRUE()</f>
        <v>1</v>
      </c>
      <c r="M84" s="2" t="s">
        <v>370</v>
      </c>
      <c r="N84" s="2" t="s">
        <v>371</v>
      </c>
      <c r="O84" s="2" t="s">
        <v>372</v>
      </c>
      <c r="P84" s="2" t="n">
        <v>30</v>
      </c>
      <c r="Q84" s="11" t="s">
        <v>373</v>
      </c>
      <c r="R84" s="11" t="s">
        <v>374</v>
      </c>
      <c r="S84" s="2" t="s">
        <v>375</v>
      </c>
      <c r="T84" s="2"/>
      <c r="U84" s="2" t="s">
        <v>153</v>
      </c>
      <c r="V84" s="2" t="s">
        <v>376</v>
      </c>
      <c r="W84" s="11" t="s">
        <v>534</v>
      </c>
      <c r="X84" s="2"/>
      <c r="Y84" s="2" t="s">
        <v>535</v>
      </c>
      <c r="Z84" s="2" t="s">
        <v>536</v>
      </c>
      <c r="AA84" s="11" t="s">
        <v>537</v>
      </c>
      <c r="AB84" s="2"/>
      <c r="AC84" s="2" t="s">
        <v>131</v>
      </c>
      <c r="AD84" s="2" t="s">
        <v>132</v>
      </c>
      <c r="AE84" s="10" t="b">
        <f aca="false">TRUE()</f>
        <v>1</v>
      </c>
      <c r="AF84" s="2" t="s">
        <v>133</v>
      </c>
      <c r="AG84" s="2" t="s">
        <v>158</v>
      </c>
      <c r="AH84" s="2" t="s">
        <v>135</v>
      </c>
      <c r="AI84" s="11" t="s">
        <v>378</v>
      </c>
      <c r="AJ84" s="2" t="s">
        <v>137</v>
      </c>
      <c r="AK84" s="2" t="s">
        <v>137</v>
      </c>
      <c r="AL84" s="2" t="s">
        <v>540</v>
      </c>
    </row>
    <row r="85" customFormat="false" ht="90" hidden="false" customHeight="true" outlineLevel="0" collapsed="false">
      <c r="A85" s="2" t="s">
        <v>541</v>
      </c>
      <c r="B85" s="2" t="s">
        <v>451</v>
      </c>
      <c r="C85" s="2" t="s">
        <v>474</v>
      </c>
      <c r="D85" s="9" t="n">
        <v>1166</v>
      </c>
      <c r="E85" s="2" t="s">
        <v>491</v>
      </c>
      <c r="F85" s="2" t="s">
        <v>542</v>
      </c>
      <c r="G85" s="2" t="s">
        <v>543</v>
      </c>
      <c r="H85" s="2" t="s">
        <v>368</v>
      </c>
      <c r="I85" s="2" t="s">
        <v>145</v>
      </c>
      <c r="J85" s="2" t="s">
        <v>369</v>
      </c>
      <c r="K85" s="10" t="b">
        <f aca="false">FALSE()</f>
        <v>0</v>
      </c>
      <c r="L85" s="10" t="b">
        <f aca="false">FALSE()</f>
        <v>0</v>
      </c>
      <c r="M85" s="2" t="s">
        <v>544</v>
      </c>
      <c r="N85" s="2" t="s">
        <v>371</v>
      </c>
      <c r="O85" s="2" t="s">
        <v>545</v>
      </c>
      <c r="P85" s="2" t="n">
        <v>14</v>
      </c>
      <c r="Q85" s="11" t="s">
        <v>546</v>
      </c>
      <c r="R85" s="11" t="s">
        <v>547</v>
      </c>
      <c r="S85" s="11" t="s">
        <v>548</v>
      </c>
      <c r="T85" s="2"/>
      <c r="U85" s="2" t="s">
        <v>153</v>
      </c>
      <c r="V85" s="2" t="s">
        <v>549</v>
      </c>
      <c r="W85" s="11" t="s">
        <v>550</v>
      </c>
      <c r="X85" s="2"/>
      <c r="Y85" s="2"/>
      <c r="Z85" s="2"/>
      <c r="AA85" s="2"/>
      <c r="AB85" s="2"/>
      <c r="AC85" s="2" t="s">
        <v>131</v>
      </c>
      <c r="AD85" s="2" t="s">
        <v>440</v>
      </c>
      <c r="AE85" s="10" t="b">
        <f aca="false">TRUE()</f>
        <v>1</v>
      </c>
      <c r="AF85" s="2" t="s">
        <v>133</v>
      </c>
      <c r="AG85" s="2" t="s">
        <v>134</v>
      </c>
      <c r="AH85" s="2" t="s">
        <v>135</v>
      </c>
      <c r="AI85" s="11" t="s">
        <v>551</v>
      </c>
      <c r="AJ85" s="2" t="s">
        <v>137</v>
      </c>
      <c r="AK85" s="2" t="s">
        <v>137</v>
      </c>
      <c r="AL85" s="2" t="s">
        <v>552</v>
      </c>
    </row>
    <row r="86" customFormat="false" ht="90" hidden="false" customHeight="true" outlineLevel="0" collapsed="false">
      <c r="A86" s="2" t="s">
        <v>553</v>
      </c>
      <c r="B86" s="2" t="s">
        <v>451</v>
      </c>
      <c r="C86" s="2" t="s">
        <v>474</v>
      </c>
      <c r="D86" s="9" t="n">
        <v>1153</v>
      </c>
      <c r="E86" s="2" t="s">
        <v>491</v>
      </c>
      <c r="F86" s="2" t="s">
        <v>492</v>
      </c>
      <c r="G86" s="2" t="s">
        <v>493</v>
      </c>
      <c r="H86" s="2" t="s">
        <v>368</v>
      </c>
      <c r="I86" s="2" t="s">
        <v>145</v>
      </c>
      <c r="J86" s="2" t="s">
        <v>369</v>
      </c>
      <c r="K86" s="10" t="b">
        <f aca="false">FALSE()</f>
        <v>0</v>
      </c>
      <c r="L86" s="10" t="b">
        <f aca="false">TRUE()</f>
        <v>1</v>
      </c>
      <c r="M86" s="2" t="s">
        <v>494</v>
      </c>
      <c r="N86" s="2" t="s">
        <v>371</v>
      </c>
      <c r="O86" s="2" t="s">
        <v>495</v>
      </c>
      <c r="P86" s="2" t="n">
        <v>30</v>
      </c>
      <c r="Q86" s="2" t="s">
        <v>496</v>
      </c>
      <c r="R86" s="11" t="s">
        <v>497</v>
      </c>
      <c r="S86" s="11" t="s">
        <v>498</v>
      </c>
      <c r="T86" s="2" t="s">
        <v>215</v>
      </c>
      <c r="U86" s="2" t="s">
        <v>153</v>
      </c>
      <c r="V86" s="2" t="s">
        <v>499</v>
      </c>
      <c r="W86" s="11" t="s">
        <v>554</v>
      </c>
      <c r="X86" s="2"/>
      <c r="Y86" s="2"/>
      <c r="Z86" s="2"/>
      <c r="AA86" s="2"/>
      <c r="AB86" s="2" t="s">
        <v>501</v>
      </c>
      <c r="AC86" s="2" t="s">
        <v>131</v>
      </c>
      <c r="AD86" s="2" t="s">
        <v>132</v>
      </c>
      <c r="AE86" s="10" t="b">
        <f aca="false">TRUE()</f>
        <v>1</v>
      </c>
      <c r="AF86" s="2" t="s">
        <v>133</v>
      </c>
      <c r="AG86" s="2" t="s">
        <v>158</v>
      </c>
      <c r="AH86" s="2" t="s">
        <v>135</v>
      </c>
      <c r="AI86" s="11" t="s">
        <v>502</v>
      </c>
      <c r="AJ86" s="2" t="s">
        <v>137</v>
      </c>
      <c r="AK86" s="2" t="s">
        <v>137</v>
      </c>
      <c r="AL86" s="2" t="s">
        <v>555</v>
      </c>
    </row>
    <row r="87" customFormat="false" ht="90" hidden="false" customHeight="true" outlineLevel="0" collapsed="false">
      <c r="A87" s="2" t="s">
        <v>556</v>
      </c>
      <c r="B87" s="2" t="s">
        <v>451</v>
      </c>
      <c r="C87" s="2" t="s">
        <v>474</v>
      </c>
      <c r="D87" s="9" t="n">
        <v>718</v>
      </c>
      <c r="E87" s="2" t="s">
        <v>475</v>
      </c>
      <c r="F87" s="2" t="s">
        <v>476</v>
      </c>
      <c r="G87" s="2" t="s">
        <v>477</v>
      </c>
      <c r="H87" s="2" t="s">
        <v>144</v>
      </c>
      <c r="I87" s="2" t="s">
        <v>478</v>
      </c>
      <c r="J87" s="2" t="s">
        <v>121</v>
      </c>
      <c r="K87" s="10" t="b">
        <f aca="false">FALSE()</f>
        <v>0</v>
      </c>
      <c r="L87" s="10" t="b">
        <f aca="false">FALSE()</f>
        <v>0</v>
      </c>
      <c r="M87" s="2" t="s">
        <v>479</v>
      </c>
      <c r="N87" s="2" t="s">
        <v>480</v>
      </c>
      <c r="O87" s="11" t="s">
        <v>481</v>
      </c>
      <c r="P87" s="2" t="n">
        <v>14</v>
      </c>
      <c r="Q87" s="11" t="s">
        <v>482</v>
      </c>
      <c r="R87" s="2" t="s">
        <v>483</v>
      </c>
      <c r="S87" s="2" t="s">
        <v>484</v>
      </c>
      <c r="T87" s="2" t="s">
        <v>557</v>
      </c>
      <c r="U87" s="2" t="s">
        <v>486</v>
      </c>
      <c r="V87" s="2"/>
      <c r="W87" s="2"/>
      <c r="X87" s="11" t="s">
        <v>558</v>
      </c>
      <c r="Y87" s="2"/>
      <c r="Z87" s="2"/>
      <c r="AA87" s="2"/>
      <c r="AB87" s="2"/>
      <c r="AC87" s="2" t="s">
        <v>131</v>
      </c>
      <c r="AD87" s="2" t="s">
        <v>132</v>
      </c>
      <c r="AE87" s="10" t="b">
        <f aca="false">FALSE()</f>
        <v>0</v>
      </c>
      <c r="AF87" s="2" t="s">
        <v>133</v>
      </c>
      <c r="AG87" s="2" t="s">
        <v>158</v>
      </c>
      <c r="AH87" s="2" t="s">
        <v>135</v>
      </c>
      <c r="AI87" s="11" t="s">
        <v>488</v>
      </c>
      <c r="AJ87" s="2" t="s">
        <v>137</v>
      </c>
      <c r="AK87" s="2" t="s">
        <v>137</v>
      </c>
      <c r="AL87" s="2" t="s">
        <v>559</v>
      </c>
    </row>
    <row r="88" customFormat="false" ht="90" hidden="false" customHeight="true" outlineLevel="0" collapsed="false">
      <c r="A88" s="2" t="s">
        <v>560</v>
      </c>
      <c r="B88" s="2" t="s">
        <v>451</v>
      </c>
      <c r="C88" s="2" t="s">
        <v>474</v>
      </c>
      <c r="D88" s="9" t="n">
        <v>592</v>
      </c>
      <c r="E88" s="2" t="s">
        <v>491</v>
      </c>
      <c r="F88" s="2" t="s">
        <v>542</v>
      </c>
      <c r="G88" s="2" t="s">
        <v>543</v>
      </c>
      <c r="H88" s="2" t="s">
        <v>391</v>
      </c>
      <c r="I88" s="2" t="s">
        <v>392</v>
      </c>
      <c r="J88" s="2" t="s">
        <v>121</v>
      </c>
      <c r="K88" s="10" t="b">
        <f aca="false">FALSE()</f>
        <v>0</v>
      </c>
      <c r="L88" s="10" t="b">
        <f aca="false">FALSE()</f>
        <v>0</v>
      </c>
      <c r="M88" s="2" t="s">
        <v>544</v>
      </c>
      <c r="N88" s="2" t="s">
        <v>371</v>
      </c>
      <c r="O88" s="11" t="s">
        <v>525</v>
      </c>
      <c r="P88" s="2" t="n">
        <v>14</v>
      </c>
      <c r="Q88" s="11" t="s">
        <v>546</v>
      </c>
      <c r="R88" s="11" t="s">
        <v>547</v>
      </c>
      <c r="S88" s="11" t="s">
        <v>548</v>
      </c>
      <c r="T88" s="11" t="s">
        <v>561</v>
      </c>
      <c r="U88" s="2" t="s">
        <v>395</v>
      </c>
      <c r="V88" s="2"/>
      <c r="W88" s="2"/>
      <c r="X88" s="11" t="s">
        <v>562</v>
      </c>
      <c r="Y88" s="2"/>
      <c r="Z88" s="2"/>
      <c r="AA88" s="2"/>
      <c r="AB88" s="2"/>
      <c r="AC88" s="2" t="s">
        <v>131</v>
      </c>
      <c r="AD88" s="2" t="s">
        <v>132</v>
      </c>
      <c r="AE88" s="10" t="b">
        <f aca="false">FALSE()</f>
        <v>0</v>
      </c>
      <c r="AF88" s="2" t="s">
        <v>133</v>
      </c>
      <c r="AG88" s="2" t="s">
        <v>158</v>
      </c>
      <c r="AH88" s="2" t="s">
        <v>135</v>
      </c>
      <c r="AI88" s="11" t="s">
        <v>551</v>
      </c>
      <c r="AJ88" s="2" t="s">
        <v>137</v>
      </c>
      <c r="AK88" s="2" t="s">
        <v>137</v>
      </c>
      <c r="AL88" s="2" t="s">
        <v>563</v>
      </c>
    </row>
    <row r="89" customFormat="false" ht="90" hidden="false" customHeight="true" outlineLevel="0" collapsed="false">
      <c r="A89" s="2" t="s">
        <v>564</v>
      </c>
      <c r="B89" s="2" t="s">
        <v>451</v>
      </c>
      <c r="C89" s="2" t="s">
        <v>474</v>
      </c>
      <c r="D89" s="9" t="n">
        <v>263</v>
      </c>
      <c r="E89" s="2" t="s">
        <v>491</v>
      </c>
      <c r="F89" s="2" t="s">
        <v>542</v>
      </c>
      <c r="G89" s="2" t="s">
        <v>543</v>
      </c>
      <c r="H89" s="2" t="s">
        <v>368</v>
      </c>
      <c r="I89" s="2" t="s">
        <v>145</v>
      </c>
      <c r="J89" s="2" t="s">
        <v>369</v>
      </c>
      <c r="K89" s="10" t="b">
        <f aca="false">FALSE()</f>
        <v>0</v>
      </c>
      <c r="L89" s="10" t="b">
        <f aca="false">FALSE()</f>
        <v>0</v>
      </c>
      <c r="M89" s="2" t="s">
        <v>544</v>
      </c>
      <c r="N89" s="2" t="s">
        <v>371</v>
      </c>
      <c r="O89" s="2" t="s">
        <v>545</v>
      </c>
      <c r="P89" s="2" t="n">
        <v>14</v>
      </c>
      <c r="Q89" s="11" t="s">
        <v>546</v>
      </c>
      <c r="R89" s="11" t="s">
        <v>547</v>
      </c>
      <c r="S89" s="11" t="s">
        <v>548</v>
      </c>
      <c r="T89" s="2" t="s">
        <v>219</v>
      </c>
      <c r="U89" s="2" t="s">
        <v>153</v>
      </c>
      <c r="V89" s="2" t="s">
        <v>549</v>
      </c>
      <c r="W89" s="11" t="s">
        <v>550</v>
      </c>
      <c r="X89" s="2"/>
      <c r="Y89" s="2"/>
      <c r="Z89" s="2"/>
      <c r="AA89" s="2"/>
      <c r="AB89" s="2"/>
      <c r="AC89" s="2" t="s">
        <v>131</v>
      </c>
      <c r="AD89" s="2" t="s">
        <v>440</v>
      </c>
      <c r="AE89" s="10" t="b">
        <f aca="false">FALSE()</f>
        <v>0</v>
      </c>
      <c r="AF89" s="2" t="s">
        <v>133</v>
      </c>
      <c r="AG89" s="2" t="s">
        <v>158</v>
      </c>
      <c r="AH89" s="2" t="s">
        <v>135</v>
      </c>
      <c r="AI89" s="11" t="s">
        <v>551</v>
      </c>
      <c r="AJ89" s="2" t="s">
        <v>137</v>
      </c>
      <c r="AK89" s="2" t="s">
        <v>137</v>
      </c>
      <c r="AL89" s="2" t="s">
        <v>565</v>
      </c>
    </row>
    <row r="90" customFormat="false" ht="90" hidden="false" customHeight="true" outlineLevel="0" collapsed="false">
      <c r="A90" s="2" t="s">
        <v>566</v>
      </c>
      <c r="B90" s="2" t="s">
        <v>451</v>
      </c>
      <c r="C90" s="2" t="s">
        <v>474</v>
      </c>
      <c r="D90" s="9" t="n">
        <v>249</v>
      </c>
      <c r="E90" s="2" t="s">
        <v>491</v>
      </c>
      <c r="F90" s="2" t="s">
        <v>542</v>
      </c>
      <c r="G90" s="2" t="s">
        <v>543</v>
      </c>
      <c r="H90" s="2" t="s">
        <v>368</v>
      </c>
      <c r="I90" s="2" t="s">
        <v>145</v>
      </c>
      <c r="J90" s="2" t="s">
        <v>369</v>
      </c>
      <c r="K90" s="10" t="b">
        <f aca="false">FALSE()</f>
        <v>0</v>
      </c>
      <c r="L90" s="10" t="b">
        <f aca="false">TRUE()</f>
        <v>1</v>
      </c>
      <c r="M90" s="2" t="s">
        <v>544</v>
      </c>
      <c r="N90" s="2" t="s">
        <v>371</v>
      </c>
      <c r="O90" s="2" t="s">
        <v>545</v>
      </c>
      <c r="P90" s="2" t="n">
        <v>14</v>
      </c>
      <c r="Q90" s="11" t="s">
        <v>546</v>
      </c>
      <c r="R90" s="11" t="s">
        <v>547</v>
      </c>
      <c r="S90" s="11" t="s">
        <v>548</v>
      </c>
      <c r="T90" s="2" t="s">
        <v>557</v>
      </c>
      <c r="U90" s="2" t="s">
        <v>153</v>
      </c>
      <c r="V90" s="2" t="s">
        <v>549</v>
      </c>
      <c r="W90" s="11" t="s">
        <v>550</v>
      </c>
      <c r="X90" s="2"/>
      <c r="Y90" s="2"/>
      <c r="Z90" s="2"/>
      <c r="AA90" s="2"/>
      <c r="AB90" s="2"/>
      <c r="AC90" s="2" t="s">
        <v>131</v>
      </c>
      <c r="AD90" s="2" t="s">
        <v>132</v>
      </c>
      <c r="AE90" s="10" t="b">
        <f aca="false">FALSE()</f>
        <v>0</v>
      </c>
      <c r="AF90" s="2" t="s">
        <v>133</v>
      </c>
      <c r="AG90" s="2" t="s">
        <v>158</v>
      </c>
      <c r="AH90" s="2" t="s">
        <v>135</v>
      </c>
      <c r="AI90" s="11" t="s">
        <v>551</v>
      </c>
      <c r="AJ90" s="2" t="s">
        <v>137</v>
      </c>
      <c r="AK90" s="2" t="s">
        <v>137</v>
      </c>
      <c r="AL90" s="2" t="s">
        <v>567</v>
      </c>
    </row>
    <row r="91" customFormat="false" ht="90" hidden="false" customHeight="true" outlineLevel="0" collapsed="false">
      <c r="A91" s="2" t="s">
        <v>568</v>
      </c>
      <c r="B91" s="2" t="s">
        <v>569</v>
      </c>
      <c r="C91" s="2" t="s">
        <v>474</v>
      </c>
      <c r="D91" s="9" t="n">
        <v>1963</v>
      </c>
      <c r="E91" s="2" t="s">
        <v>491</v>
      </c>
      <c r="F91" s="2" t="s">
        <v>492</v>
      </c>
      <c r="G91" s="2" t="s">
        <v>524</v>
      </c>
      <c r="H91" s="2" t="s">
        <v>368</v>
      </c>
      <c r="I91" s="2" t="s">
        <v>145</v>
      </c>
      <c r="J91" s="2" t="s">
        <v>369</v>
      </c>
      <c r="K91" s="10" t="b">
        <f aca="false">FALSE()</f>
        <v>0</v>
      </c>
      <c r="L91" s="10" t="b">
        <f aca="false">TRUE()</f>
        <v>1</v>
      </c>
      <c r="M91" s="2" t="s">
        <v>494</v>
      </c>
      <c r="N91" s="2" t="s">
        <v>371</v>
      </c>
      <c r="O91" s="2" t="s">
        <v>495</v>
      </c>
      <c r="P91" s="2" t="n">
        <v>60</v>
      </c>
      <c r="Q91" s="2" t="s">
        <v>496</v>
      </c>
      <c r="R91" s="11" t="s">
        <v>497</v>
      </c>
      <c r="S91" s="11" t="s">
        <v>498</v>
      </c>
      <c r="T91" s="2" t="s">
        <v>219</v>
      </c>
      <c r="U91" s="2" t="s">
        <v>153</v>
      </c>
      <c r="V91" s="2" t="s">
        <v>570</v>
      </c>
      <c r="W91" s="11" t="s">
        <v>571</v>
      </c>
      <c r="X91" s="2"/>
      <c r="Y91" s="2"/>
      <c r="Z91" s="2"/>
      <c r="AA91" s="2"/>
      <c r="AB91" s="2" t="s">
        <v>572</v>
      </c>
      <c r="AC91" s="2" t="s">
        <v>157</v>
      </c>
      <c r="AD91" s="2" t="s">
        <v>132</v>
      </c>
      <c r="AE91" s="10" t="b">
        <f aca="false">FALSE()</f>
        <v>0</v>
      </c>
      <c r="AF91" s="2" t="s">
        <v>133</v>
      </c>
      <c r="AG91" s="2" t="s">
        <v>158</v>
      </c>
      <c r="AH91" s="2" t="s">
        <v>135</v>
      </c>
      <c r="AI91" s="11" t="s">
        <v>502</v>
      </c>
      <c r="AJ91" s="2" t="s">
        <v>137</v>
      </c>
      <c r="AK91" s="2" t="s">
        <v>137</v>
      </c>
      <c r="AL91" s="2" t="s">
        <v>573</v>
      </c>
    </row>
    <row r="92" customFormat="false" ht="90" hidden="false" customHeight="true" outlineLevel="0" collapsed="false">
      <c r="A92" s="2" t="s">
        <v>574</v>
      </c>
      <c r="B92" s="2" t="s">
        <v>569</v>
      </c>
      <c r="C92" s="2" t="s">
        <v>474</v>
      </c>
      <c r="D92" s="9" t="n">
        <v>1791</v>
      </c>
      <c r="E92" s="2" t="s">
        <v>491</v>
      </c>
      <c r="F92" s="2" t="s">
        <v>492</v>
      </c>
      <c r="G92" s="2" t="s">
        <v>524</v>
      </c>
      <c r="H92" s="2" t="s">
        <v>368</v>
      </c>
      <c r="I92" s="2" t="s">
        <v>145</v>
      </c>
      <c r="J92" s="2" t="s">
        <v>369</v>
      </c>
      <c r="K92" s="10" t="b">
        <f aca="false">FALSE()</f>
        <v>0</v>
      </c>
      <c r="L92" s="10" t="b">
        <f aca="false">TRUE()</f>
        <v>1</v>
      </c>
      <c r="M92" s="2" t="s">
        <v>494</v>
      </c>
      <c r="N92" s="2" t="s">
        <v>371</v>
      </c>
      <c r="O92" s="2" t="s">
        <v>495</v>
      </c>
      <c r="P92" s="2" t="n">
        <v>60</v>
      </c>
      <c r="Q92" s="2" t="s">
        <v>496</v>
      </c>
      <c r="R92" s="11" t="s">
        <v>497</v>
      </c>
      <c r="S92" s="11" t="s">
        <v>498</v>
      </c>
      <c r="T92" s="2"/>
      <c r="U92" s="2" t="s">
        <v>153</v>
      </c>
      <c r="V92" s="2" t="s">
        <v>570</v>
      </c>
      <c r="W92" s="11" t="s">
        <v>575</v>
      </c>
      <c r="X92" s="2"/>
      <c r="Y92" s="2"/>
      <c r="Z92" s="2"/>
      <c r="AA92" s="2"/>
      <c r="AB92" s="2" t="s">
        <v>572</v>
      </c>
      <c r="AC92" s="2" t="s">
        <v>187</v>
      </c>
      <c r="AD92" s="2" t="s">
        <v>132</v>
      </c>
      <c r="AE92" s="10" t="b">
        <f aca="false">FALSE()</f>
        <v>0</v>
      </c>
      <c r="AF92" s="2" t="s">
        <v>133</v>
      </c>
      <c r="AG92" s="2" t="s">
        <v>158</v>
      </c>
      <c r="AH92" s="2" t="s">
        <v>135</v>
      </c>
      <c r="AI92" s="11" t="s">
        <v>502</v>
      </c>
      <c r="AJ92" s="2" t="s">
        <v>137</v>
      </c>
      <c r="AK92" s="2" t="s">
        <v>137</v>
      </c>
      <c r="AL92" s="2" t="s">
        <v>576</v>
      </c>
    </row>
    <row r="93" customFormat="false" ht="90" hidden="false" customHeight="true" outlineLevel="0" collapsed="false">
      <c r="A93" s="2" t="s">
        <v>577</v>
      </c>
      <c r="B93" s="2" t="s">
        <v>569</v>
      </c>
      <c r="C93" s="2" t="s">
        <v>474</v>
      </c>
      <c r="D93" s="9" t="n">
        <v>1682</v>
      </c>
      <c r="E93" s="2" t="s">
        <v>491</v>
      </c>
      <c r="F93" s="2" t="s">
        <v>492</v>
      </c>
      <c r="G93" s="2" t="s">
        <v>524</v>
      </c>
      <c r="H93" s="2" t="s">
        <v>368</v>
      </c>
      <c r="I93" s="2" t="s">
        <v>145</v>
      </c>
      <c r="J93" s="2" t="s">
        <v>369</v>
      </c>
      <c r="K93" s="10" t="b">
        <f aca="false">FALSE()</f>
        <v>0</v>
      </c>
      <c r="L93" s="10" t="b">
        <f aca="false">TRUE()</f>
        <v>1</v>
      </c>
      <c r="M93" s="2" t="s">
        <v>494</v>
      </c>
      <c r="N93" s="2" t="s">
        <v>371</v>
      </c>
      <c r="O93" s="2" t="s">
        <v>495</v>
      </c>
      <c r="P93" s="2" t="n">
        <v>30</v>
      </c>
      <c r="Q93" s="2" t="s">
        <v>496</v>
      </c>
      <c r="R93" s="11" t="s">
        <v>497</v>
      </c>
      <c r="S93" s="11" t="s">
        <v>498</v>
      </c>
      <c r="T93" s="2"/>
      <c r="U93" s="2" t="s">
        <v>153</v>
      </c>
      <c r="V93" s="2" t="s">
        <v>578</v>
      </c>
      <c r="W93" s="11" t="s">
        <v>579</v>
      </c>
      <c r="X93" s="2"/>
      <c r="Y93" s="2"/>
      <c r="Z93" s="2"/>
      <c r="AA93" s="2"/>
      <c r="AB93" s="2" t="s">
        <v>580</v>
      </c>
      <c r="AC93" s="2" t="s">
        <v>131</v>
      </c>
      <c r="AD93" s="2" t="s">
        <v>132</v>
      </c>
      <c r="AE93" s="10" t="b">
        <f aca="false">FALSE()</f>
        <v>0</v>
      </c>
      <c r="AF93" s="2" t="s">
        <v>133</v>
      </c>
      <c r="AG93" s="2" t="s">
        <v>134</v>
      </c>
      <c r="AH93" s="2" t="s">
        <v>135</v>
      </c>
      <c r="AI93" s="11" t="s">
        <v>502</v>
      </c>
      <c r="AJ93" s="2" t="s">
        <v>137</v>
      </c>
      <c r="AK93" s="2" t="s">
        <v>137</v>
      </c>
      <c r="AL93" s="2" t="s">
        <v>581</v>
      </c>
    </row>
    <row r="94" customFormat="false" ht="90" hidden="false" customHeight="true" outlineLevel="0" collapsed="false">
      <c r="A94" s="2" t="s">
        <v>582</v>
      </c>
      <c r="B94" s="2" t="s">
        <v>569</v>
      </c>
      <c r="C94" s="2" t="s">
        <v>474</v>
      </c>
      <c r="D94" s="9" t="n">
        <v>1671</v>
      </c>
      <c r="E94" s="2" t="s">
        <v>491</v>
      </c>
      <c r="F94" s="2" t="s">
        <v>492</v>
      </c>
      <c r="G94" s="2" t="s">
        <v>524</v>
      </c>
      <c r="H94" s="2" t="s">
        <v>368</v>
      </c>
      <c r="I94" s="2" t="s">
        <v>145</v>
      </c>
      <c r="J94" s="2" t="s">
        <v>369</v>
      </c>
      <c r="K94" s="10" t="b">
        <f aca="false">FALSE()</f>
        <v>0</v>
      </c>
      <c r="L94" s="10" t="b">
        <f aca="false">TRUE()</f>
        <v>1</v>
      </c>
      <c r="M94" s="2" t="s">
        <v>494</v>
      </c>
      <c r="N94" s="2" t="s">
        <v>371</v>
      </c>
      <c r="O94" s="2" t="s">
        <v>495</v>
      </c>
      <c r="P94" s="2" t="n">
        <v>60</v>
      </c>
      <c r="Q94" s="2" t="s">
        <v>496</v>
      </c>
      <c r="R94" s="11" t="s">
        <v>497</v>
      </c>
      <c r="S94" s="11" t="s">
        <v>498</v>
      </c>
      <c r="T94" s="2" t="s">
        <v>219</v>
      </c>
      <c r="U94" s="2" t="s">
        <v>153</v>
      </c>
      <c r="V94" s="2" t="s">
        <v>570</v>
      </c>
      <c r="W94" s="11" t="s">
        <v>571</v>
      </c>
      <c r="X94" s="2"/>
      <c r="Y94" s="2"/>
      <c r="Z94" s="2"/>
      <c r="AA94" s="2"/>
      <c r="AB94" s="2" t="s">
        <v>572</v>
      </c>
      <c r="AC94" s="2" t="s">
        <v>157</v>
      </c>
      <c r="AD94" s="2" t="s">
        <v>132</v>
      </c>
      <c r="AE94" s="10" t="b">
        <f aca="false">FALSE()</f>
        <v>0</v>
      </c>
      <c r="AF94" s="2" t="s">
        <v>133</v>
      </c>
      <c r="AG94" s="2" t="s">
        <v>158</v>
      </c>
      <c r="AH94" s="2" t="s">
        <v>135</v>
      </c>
      <c r="AI94" s="11" t="s">
        <v>502</v>
      </c>
      <c r="AJ94" s="2" t="s">
        <v>137</v>
      </c>
      <c r="AK94" s="2" t="s">
        <v>137</v>
      </c>
      <c r="AL94" s="2" t="s">
        <v>583</v>
      </c>
    </row>
    <row r="95" customFormat="false" ht="90" hidden="false" customHeight="true" outlineLevel="0" collapsed="false">
      <c r="A95" s="2" t="s">
        <v>584</v>
      </c>
      <c r="B95" s="2" t="s">
        <v>569</v>
      </c>
      <c r="C95" s="2" t="s">
        <v>474</v>
      </c>
      <c r="D95" s="9" t="n">
        <v>1542</v>
      </c>
      <c r="E95" s="2" t="s">
        <v>491</v>
      </c>
      <c r="F95" s="2" t="s">
        <v>492</v>
      </c>
      <c r="G95" s="2" t="s">
        <v>524</v>
      </c>
      <c r="H95" s="2" t="s">
        <v>368</v>
      </c>
      <c r="I95" s="2" t="s">
        <v>145</v>
      </c>
      <c r="J95" s="2" t="s">
        <v>369</v>
      </c>
      <c r="K95" s="10" t="b">
        <f aca="false">FALSE()</f>
        <v>0</v>
      </c>
      <c r="L95" s="10" t="b">
        <f aca="false">TRUE()</f>
        <v>1</v>
      </c>
      <c r="M95" s="2" t="s">
        <v>494</v>
      </c>
      <c r="N95" s="2" t="s">
        <v>371</v>
      </c>
      <c r="O95" s="2" t="s">
        <v>495</v>
      </c>
      <c r="P95" s="2" t="n">
        <v>30</v>
      </c>
      <c r="Q95" s="2" t="s">
        <v>496</v>
      </c>
      <c r="R95" s="11" t="s">
        <v>497</v>
      </c>
      <c r="S95" s="11" t="s">
        <v>498</v>
      </c>
      <c r="T95" s="2" t="s">
        <v>223</v>
      </c>
      <c r="U95" s="2" t="s">
        <v>153</v>
      </c>
      <c r="V95" s="2" t="s">
        <v>578</v>
      </c>
      <c r="W95" s="11" t="s">
        <v>579</v>
      </c>
      <c r="X95" s="2"/>
      <c r="Y95" s="2"/>
      <c r="Z95" s="2"/>
      <c r="AA95" s="2"/>
      <c r="AB95" s="2" t="s">
        <v>580</v>
      </c>
      <c r="AC95" s="2" t="s">
        <v>131</v>
      </c>
      <c r="AD95" s="2" t="s">
        <v>132</v>
      </c>
      <c r="AE95" s="10" t="b">
        <f aca="false">FALSE()</f>
        <v>0</v>
      </c>
      <c r="AF95" s="2" t="s">
        <v>133</v>
      </c>
      <c r="AG95" s="2" t="s">
        <v>134</v>
      </c>
      <c r="AH95" s="2" t="s">
        <v>135</v>
      </c>
      <c r="AI95" s="11" t="s">
        <v>502</v>
      </c>
      <c r="AJ95" s="2" t="s">
        <v>137</v>
      </c>
      <c r="AK95" s="2" t="s">
        <v>137</v>
      </c>
      <c r="AL95" s="2" t="s">
        <v>585</v>
      </c>
    </row>
    <row r="96" customFormat="false" ht="90" hidden="false" customHeight="true" outlineLevel="0" collapsed="false">
      <c r="A96" s="2" t="s">
        <v>586</v>
      </c>
      <c r="B96" s="2" t="s">
        <v>569</v>
      </c>
      <c r="C96" s="2" t="s">
        <v>474</v>
      </c>
      <c r="D96" s="9" t="n">
        <v>1501</v>
      </c>
      <c r="E96" s="2" t="s">
        <v>491</v>
      </c>
      <c r="F96" s="2" t="s">
        <v>492</v>
      </c>
      <c r="G96" s="2" t="s">
        <v>524</v>
      </c>
      <c r="H96" s="2" t="s">
        <v>368</v>
      </c>
      <c r="I96" s="2" t="s">
        <v>145</v>
      </c>
      <c r="J96" s="2" t="s">
        <v>369</v>
      </c>
      <c r="K96" s="10" t="b">
        <f aca="false">FALSE()</f>
        <v>0</v>
      </c>
      <c r="L96" s="10" t="b">
        <f aca="false">TRUE()</f>
        <v>1</v>
      </c>
      <c r="M96" s="2" t="s">
        <v>494</v>
      </c>
      <c r="N96" s="2" t="s">
        <v>371</v>
      </c>
      <c r="O96" s="2" t="s">
        <v>495</v>
      </c>
      <c r="P96" s="2" t="n">
        <v>30</v>
      </c>
      <c r="Q96" s="2" t="s">
        <v>496</v>
      </c>
      <c r="R96" s="11" t="s">
        <v>497</v>
      </c>
      <c r="S96" s="11" t="s">
        <v>498</v>
      </c>
      <c r="T96" s="2" t="s">
        <v>219</v>
      </c>
      <c r="U96" s="2" t="s">
        <v>153</v>
      </c>
      <c r="V96" s="2" t="s">
        <v>587</v>
      </c>
      <c r="W96" s="11" t="s">
        <v>588</v>
      </c>
      <c r="X96" s="2"/>
      <c r="Y96" s="2"/>
      <c r="Z96" s="2"/>
      <c r="AA96" s="2"/>
      <c r="AB96" s="2" t="s">
        <v>589</v>
      </c>
      <c r="AC96" s="2" t="s">
        <v>157</v>
      </c>
      <c r="AD96" s="2" t="s">
        <v>354</v>
      </c>
      <c r="AE96" s="10" t="b">
        <f aca="false">FALSE()</f>
        <v>0</v>
      </c>
      <c r="AF96" s="2" t="s">
        <v>133</v>
      </c>
      <c r="AG96" s="2" t="s">
        <v>158</v>
      </c>
      <c r="AH96" s="2" t="s">
        <v>135</v>
      </c>
      <c r="AI96" s="11" t="s">
        <v>502</v>
      </c>
      <c r="AJ96" s="2" t="s">
        <v>137</v>
      </c>
      <c r="AK96" s="2" t="s">
        <v>137</v>
      </c>
      <c r="AL96" s="2" t="s">
        <v>590</v>
      </c>
    </row>
    <row r="97" customFormat="false" ht="90" hidden="false" customHeight="true" outlineLevel="0" collapsed="false">
      <c r="A97" s="2" t="s">
        <v>591</v>
      </c>
      <c r="B97" s="2" t="s">
        <v>569</v>
      </c>
      <c r="C97" s="2" t="s">
        <v>474</v>
      </c>
      <c r="D97" s="9" t="n">
        <v>1422</v>
      </c>
      <c r="E97" s="2" t="s">
        <v>491</v>
      </c>
      <c r="F97" s="2" t="s">
        <v>492</v>
      </c>
      <c r="G97" s="2" t="s">
        <v>524</v>
      </c>
      <c r="H97" s="2" t="s">
        <v>368</v>
      </c>
      <c r="I97" s="2" t="s">
        <v>145</v>
      </c>
      <c r="J97" s="2" t="s">
        <v>369</v>
      </c>
      <c r="K97" s="10" t="b">
        <f aca="false">FALSE()</f>
        <v>0</v>
      </c>
      <c r="L97" s="10" t="b">
        <f aca="false">TRUE()</f>
        <v>1</v>
      </c>
      <c r="M97" s="2" t="s">
        <v>494</v>
      </c>
      <c r="N97" s="2" t="s">
        <v>371</v>
      </c>
      <c r="O97" s="2" t="s">
        <v>495</v>
      </c>
      <c r="P97" s="2" t="n">
        <v>60</v>
      </c>
      <c r="Q97" s="2" t="s">
        <v>496</v>
      </c>
      <c r="R97" s="11" t="s">
        <v>497</v>
      </c>
      <c r="S97" s="11" t="s">
        <v>498</v>
      </c>
      <c r="T97" s="2" t="s">
        <v>219</v>
      </c>
      <c r="U97" s="2" t="s">
        <v>153</v>
      </c>
      <c r="V97" s="2" t="s">
        <v>570</v>
      </c>
      <c r="W97" s="11" t="s">
        <v>592</v>
      </c>
      <c r="X97" s="2"/>
      <c r="Y97" s="2"/>
      <c r="Z97" s="2"/>
      <c r="AA97" s="2"/>
      <c r="AB97" s="2" t="s">
        <v>572</v>
      </c>
      <c r="AC97" s="2" t="s">
        <v>157</v>
      </c>
      <c r="AD97" s="2" t="s">
        <v>132</v>
      </c>
      <c r="AE97" s="10" t="b">
        <f aca="false">FALSE()</f>
        <v>0</v>
      </c>
      <c r="AF97" s="2" t="s">
        <v>133</v>
      </c>
      <c r="AG97" s="2" t="s">
        <v>158</v>
      </c>
      <c r="AH97" s="2" t="s">
        <v>135</v>
      </c>
      <c r="AI97" s="11" t="s">
        <v>502</v>
      </c>
      <c r="AJ97" s="2" t="s">
        <v>137</v>
      </c>
      <c r="AK97" s="2" t="s">
        <v>137</v>
      </c>
      <c r="AL97" s="2" t="s">
        <v>593</v>
      </c>
    </row>
    <row r="98" customFormat="false" ht="90" hidden="false" customHeight="true" outlineLevel="0" collapsed="false">
      <c r="A98" s="2" t="s">
        <v>594</v>
      </c>
      <c r="B98" s="2" t="s">
        <v>569</v>
      </c>
      <c r="C98" s="2" t="s">
        <v>474</v>
      </c>
      <c r="D98" s="9" t="n">
        <v>1342</v>
      </c>
      <c r="E98" s="2" t="s">
        <v>475</v>
      </c>
      <c r="F98" s="2" t="s">
        <v>492</v>
      </c>
      <c r="G98" s="2" t="s">
        <v>595</v>
      </c>
      <c r="H98" s="2" t="s">
        <v>368</v>
      </c>
      <c r="I98" s="2" t="s">
        <v>145</v>
      </c>
      <c r="J98" s="2" t="s">
        <v>369</v>
      </c>
      <c r="K98" s="10" t="b">
        <f aca="false">FALSE()</f>
        <v>0</v>
      </c>
      <c r="L98" s="10" t="b">
        <f aca="false">TRUE()</f>
        <v>1</v>
      </c>
      <c r="M98" s="2" t="s">
        <v>494</v>
      </c>
      <c r="N98" s="2" t="s">
        <v>371</v>
      </c>
      <c r="O98" s="2" t="s">
        <v>495</v>
      </c>
      <c r="P98" s="2" t="n">
        <v>60</v>
      </c>
      <c r="Q98" s="2" t="s">
        <v>496</v>
      </c>
      <c r="R98" s="11" t="s">
        <v>497</v>
      </c>
      <c r="S98" s="11" t="s">
        <v>498</v>
      </c>
      <c r="T98" s="2" t="s">
        <v>298</v>
      </c>
      <c r="U98" s="2" t="s">
        <v>153</v>
      </c>
      <c r="V98" s="2" t="s">
        <v>570</v>
      </c>
      <c r="W98" s="11" t="s">
        <v>571</v>
      </c>
      <c r="X98" s="2"/>
      <c r="Y98" s="2"/>
      <c r="Z98" s="2"/>
      <c r="AA98" s="2"/>
      <c r="AB98" s="2" t="s">
        <v>572</v>
      </c>
      <c r="AC98" s="2" t="s">
        <v>157</v>
      </c>
      <c r="AD98" s="2" t="s">
        <v>132</v>
      </c>
      <c r="AE98" s="10" t="b">
        <f aca="false">FALSE()</f>
        <v>0</v>
      </c>
      <c r="AF98" s="2" t="s">
        <v>133</v>
      </c>
      <c r="AG98" s="2" t="s">
        <v>158</v>
      </c>
      <c r="AH98" s="2" t="s">
        <v>135</v>
      </c>
      <c r="AI98" s="11" t="s">
        <v>502</v>
      </c>
      <c r="AJ98" s="2" t="s">
        <v>137</v>
      </c>
      <c r="AK98" s="2" t="s">
        <v>137</v>
      </c>
      <c r="AL98" s="2" t="s">
        <v>596</v>
      </c>
    </row>
    <row r="99" customFormat="false" ht="90" hidden="false" customHeight="true" outlineLevel="0" collapsed="false">
      <c r="A99" s="2" t="s">
        <v>597</v>
      </c>
      <c r="B99" s="2" t="s">
        <v>569</v>
      </c>
      <c r="C99" s="2" t="s">
        <v>474</v>
      </c>
      <c r="D99" s="9" t="n">
        <v>1289</v>
      </c>
      <c r="E99" s="2" t="s">
        <v>475</v>
      </c>
      <c r="F99" s="2" t="s">
        <v>492</v>
      </c>
      <c r="G99" s="2" t="s">
        <v>595</v>
      </c>
      <c r="H99" s="2" t="s">
        <v>368</v>
      </c>
      <c r="I99" s="2" t="s">
        <v>145</v>
      </c>
      <c r="J99" s="2" t="s">
        <v>369</v>
      </c>
      <c r="K99" s="10" t="b">
        <f aca="false">FALSE()</f>
        <v>0</v>
      </c>
      <c r="L99" s="10" t="b">
        <f aca="false">TRUE()</f>
        <v>1</v>
      </c>
      <c r="M99" s="2" t="s">
        <v>494</v>
      </c>
      <c r="N99" s="2" t="s">
        <v>371</v>
      </c>
      <c r="O99" s="2" t="s">
        <v>495</v>
      </c>
      <c r="P99" s="2" t="n">
        <v>60</v>
      </c>
      <c r="Q99" s="2" t="s">
        <v>496</v>
      </c>
      <c r="R99" s="11" t="s">
        <v>497</v>
      </c>
      <c r="S99" s="11" t="s">
        <v>498</v>
      </c>
      <c r="T99" s="2"/>
      <c r="U99" s="2" t="s">
        <v>153</v>
      </c>
      <c r="V99" s="2" t="s">
        <v>570</v>
      </c>
      <c r="W99" s="11" t="s">
        <v>592</v>
      </c>
      <c r="X99" s="2"/>
      <c r="Y99" s="2"/>
      <c r="Z99" s="2"/>
      <c r="AA99" s="2"/>
      <c r="AB99" s="2" t="s">
        <v>572</v>
      </c>
      <c r="AC99" s="2" t="s">
        <v>187</v>
      </c>
      <c r="AD99" s="2" t="s">
        <v>132</v>
      </c>
      <c r="AE99" s="10" t="b">
        <f aca="false">FALSE()</f>
        <v>0</v>
      </c>
      <c r="AF99" s="2" t="s">
        <v>133</v>
      </c>
      <c r="AG99" s="2" t="s">
        <v>158</v>
      </c>
      <c r="AH99" s="2" t="s">
        <v>135</v>
      </c>
      <c r="AI99" s="11" t="s">
        <v>502</v>
      </c>
      <c r="AJ99" s="2" t="s">
        <v>137</v>
      </c>
      <c r="AK99" s="2" t="s">
        <v>137</v>
      </c>
      <c r="AL99" s="2" t="s">
        <v>598</v>
      </c>
    </row>
    <row r="100" customFormat="false" ht="90" hidden="false" customHeight="true" outlineLevel="0" collapsed="false">
      <c r="A100" s="2" t="s">
        <v>599</v>
      </c>
      <c r="B100" s="2" t="s">
        <v>569</v>
      </c>
      <c r="C100" s="2" t="s">
        <v>474</v>
      </c>
      <c r="D100" s="9" t="n">
        <v>1263</v>
      </c>
      <c r="E100" s="2" t="s">
        <v>491</v>
      </c>
      <c r="F100" s="2" t="s">
        <v>492</v>
      </c>
      <c r="G100" s="2" t="s">
        <v>524</v>
      </c>
      <c r="H100" s="2" t="s">
        <v>368</v>
      </c>
      <c r="I100" s="2" t="s">
        <v>145</v>
      </c>
      <c r="J100" s="2" t="s">
        <v>369</v>
      </c>
      <c r="K100" s="10" t="b">
        <f aca="false">FALSE()</f>
        <v>0</v>
      </c>
      <c r="L100" s="10" t="b">
        <f aca="false">TRUE()</f>
        <v>1</v>
      </c>
      <c r="M100" s="2" t="s">
        <v>494</v>
      </c>
      <c r="N100" s="2" t="s">
        <v>371</v>
      </c>
      <c r="O100" s="2" t="s">
        <v>495</v>
      </c>
      <c r="P100" s="2" t="n">
        <v>60</v>
      </c>
      <c r="Q100" s="2" t="s">
        <v>496</v>
      </c>
      <c r="R100" s="11" t="s">
        <v>497</v>
      </c>
      <c r="S100" s="11" t="s">
        <v>498</v>
      </c>
      <c r="T100" s="2"/>
      <c r="U100" s="2" t="s">
        <v>153</v>
      </c>
      <c r="V100" s="2" t="s">
        <v>570</v>
      </c>
      <c r="W100" s="11" t="s">
        <v>571</v>
      </c>
      <c r="X100" s="2"/>
      <c r="Y100" s="2"/>
      <c r="Z100" s="2"/>
      <c r="AA100" s="2"/>
      <c r="AB100" s="2" t="s">
        <v>572</v>
      </c>
      <c r="AC100" s="2" t="s">
        <v>187</v>
      </c>
      <c r="AD100" s="2" t="s">
        <v>132</v>
      </c>
      <c r="AE100" s="10" t="b">
        <f aca="false">FALSE()</f>
        <v>0</v>
      </c>
      <c r="AF100" s="2" t="s">
        <v>133</v>
      </c>
      <c r="AG100" s="2" t="s">
        <v>158</v>
      </c>
      <c r="AH100" s="2" t="s">
        <v>135</v>
      </c>
      <c r="AI100" s="11" t="s">
        <v>502</v>
      </c>
      <c r="AJ100" s="2" t="s">
        <v>137</v>
      </c>
      <c r="AK100" s="2" t="s">
        <v>137</v>
      </c>
      <c r="AL100" s="2" t="s">
        <v>600</v>
      </c>
    </row>
    <row r="101" customFormat="false" ht="90" hidden="false" customHeight="true" outlineLevel="0" collapsed="false">
      <c r="A101" s="2" t="s">
        <v>601</v>
      </c>
      <c r="B101" s="2" t="s">
        <v>569</v>
      </c>
      <c r="C101" s="2" t="s">
        <v>474</v>
      </c>
      <c r="D101" s="9" t="n">
        <v>1219</v>
      </c>
      <c r="E101" s="2" t="s">
        <v>491</v>
      </c>
      <c r="F101" s="2" t="s">
        <v>492</v>
      </c>
      <c r="G101" s="2" t="s">
        <v>524</v>
      </c>
      <c r="H101" s="2" t="s">
        <v>368</v>
      </c>
      <c r="I101" s="2" t="s">
        <v>145</v>
      </c>
      <c r="J101" s="2" t="s">
        <v>369</v>
      </c>
      <c r="K101" s="10" t="b">
        <f aca="false">FALSE()</f>
        <v>0</v>
      </c>
      <c r="L101" s="10" t="b">
        <f aca="false">FALSE()</f>
        <v>0</v>
      </c>
      <c r="M101" s="2" t="s">
        <v>494</v>
      </c>
      <c r="N101" s="2" t="s">
        <v>371</v>
      </c>
      <c r="O101" s="2" t="s">
        <v>495</v>
      </c>
      <c r="P101" s="2" t="n">
        <v>60</v>
      </c>
      <c r="Q101" s="2" t="s">
        <v>496</v>
      </c>
      <c r="R101" s="11" t="s">
        <v>497</v>
      </c>
      <c r="S101" s="11" t="s">
        <v>498</v>
      </c>
      <c r="T101" s="2"/>
      <c r="U101" s="2" t="s">
        <v>153</v>
      </c>
      <c r="V101" s="2" t="s">
        <v>570</v>
      </c>
      <c r="W101" s="11" t="s">
        <v>571</v>
      </c>
      <c r="X101" s="2"/>
      <c r="Y101" s="2"/>
      <c r="Z101" s="2"/>
      <c r="AA101" s="2"/>
      <c r="AB101" s="2" t="s">
        <v>572</v>
      </c>
      <c r="AC101" s="2" t="s">
        <v>157</v>
      </c>
      <c r="AD101" s="2" t="s">
        <v>132</v>
      </c>
      <c r="AE101" s="10" t="b">
        <f aca="false">FALSE()</f>
        <v>0</v>
      </c>
      <c r="AF101" s="2" t="s">
        <v>133</v>
      </c>
      <c r="AG101" s="2" t="s">
        <v>158</v>
      </c>
      <c r="AH101" s="2" t="s">
        <v>135</v>
      </c>
      <c r="AI101" s="11" t="s">
        <v>502</v>
      </c>
      <c r="AJ101" s="2" t="s">
        <v>137</v>
      </c>
      <c r="AK101" s="2" t="s">
        <v>137</v>
      </c>
      <c r="AL101" s="2" t="s">
        <v>602</v>
      </c>
    </row>
    <row r="102" customFormat="false" ht="90" hidden="false" customHeight="true" outlineLevel="0" collapsed="false">
      <c r="A102" s="2" t="s">
        <v>603</v>
      </c>
      <c r="B102" s="2" t="s">
        <v>569</v>
      </c>
      <c r="C102" s="2" t="s">
        <v>474</v>
      </c>
      <c r="D102" s="9" t="n">
        <v>1185</v>
      </c>
      <c r="E102" s="2" t="s">
        <v>491</v>
      </c>
      <c r="F102" s="2" t="s">
        <v>492</v>
      </c>
      <c r="G102" s="2" t="s">
        <v>524</v>
      </c>
      <c r="H102" s="2" t="s">
        <v>368</v>
      </c>
      <c r="I102" s="2" t="s">
        <v>145</v>
      </c>
      <c r="J102" s="2" t="s">
        <v>369</v>
      </c>
      <c r="K102" s="10" t="b">
        <f aca="false">FALSE()</f>
        <v>0</v>
      </c>
      <c r="L102" s="10" t="b">
        <f aca="false">TRUE()</f>
        <v>1</v>
      </c>
      <c r="M102" s="2" t="s">
        <v>494</v>
      </c>
      <c r="N102" s="2" t="s">
        <v>371</v>
      </c>
      <c r="O102" s="2" t="s">
        <v>495</v>
      </c>
      <c r="P102" s="2" t="n">
        <v>60</v>
      </c>
      <c r="Q102" s="2" t="s">
        <v>496</v>
      </c>
      <c r="R102" s="11" t="s">
        <v>497</v>
      </c>
      <c r="S102" s="11" t="s">
        <v>498</v>
      </c>
      <c r="T102" s="2" t="s">
        <v>219</v>
      </c>
      <c r="U102" s="2" t="s">
        <v>153</v>
      </c>
      <c r="V102" s="2" t="s">
        <v>570</v>
      </c>
      <c r="W102" s="11" t="s">
        <v>571</v>
      </c>
      <c r="X102" s="2"/>
      <c r="Y102" s="2"/>
      <c r="Z102" s="2"/>
      <c r="AA102" s="2"/>
      <c r="AB102" s="2" t="s">
        <v>572</v>
      </c>
      <c r="AC102" s="2" t="s">
        <v>157</v>
      </c>
      <c r="AD102" s="2" t="s">
        <v>132</v>
      </c>
      <c r="AE102" s="10" t="b">
        <f aca="false">FALSE()</f>
        <v>0</v>
      </c>
      <c r="AF102" s="2" t="s">
        <v>133</v>
      </c>
      <c r="AG102" s="2" t="s">
        <v>158</v>
      </c>
      <c r="AH102" s="2" t="s">
        <v>135</v>
      </c>
      <c r="AI102" s="11" t="s">
        <v>502</v>
      </c>
      <c r="AJ102" s="2" t="s">
        <v>137</v>
      </c>
      <c r="AK102" s="2" t="s">
        <v>137</v>
      </c>
      <c r="AL102" s="2" t="s">
        <v>604</v>
      </c>
    </row>
    <row r="103" customFormat="false" ht="90" hidden="false" customHeight="true" outlineLevel="0" collapsed="false">
      <c r="A103" s="2" t="s">
        <v>605</v>
      </c>
      <c r="B103" s="2" t="s">
        <v>569</v>
      </c>
      <c r="C103" s="2" t="s">
        <v>474</v>
      </c>
      <c r="D103" s="9" t="n">
        <v>1119</v>
      </c>
      <c r="E103" s="2" t="s">
        <v>491</v>
      </c>
      <c r="F103" s="2" t="s">
        <v>492</v>
      </c>
      <c r="G103" s="2" t="s">
        <v>524</v>
      </c>
      <c r="H103" s="2" t="s">
        <v>368</v>
      </c>
      <c r="I103" s="2" t="s">
        <v>145</v>
      </c>
      <c r="J103" s="2" t="s">
        <v>369</v>
      </c>
      <c r="K103" s="10" t="b">
        <f aca="false">FALSE()</f>
        <v>0</v>
      </c>
      <c r="L103" s="10" t="b">
        <f aca="false">FALSE()</f>
        <v>0</v>
      </c>
      <c r="M103" s="2" t="s">
        <v>494</v>
      </c>
      <c r="N103" s="2" t="s">
        <v>371</v>
      </c>
      <c r="O103" s="2" t="s">
        <v>495</v>
      </c>
      <c r="P103" s="2" t="n">
        <v>30</v>
      </c>
      <c r="Q103" s="2" t="s">
        <v>496</v>
      </c>
      <c r="R103" s="11" t="s">
        <v>497</v>
      </c>
      <c r="S103" s="11" t="s">
        <v>498</v>
      </c>
      <c r="T103" s="2" t="s">
        <v>219</v>
      </c>
      <c r="U103" s="2" t="s">
        <v>153</v>
      </c>
      <c r="V103" s="2" t="s">
        <v>606</v>
      </c>
      <c r="W103" s="11" t="s">
        <v>607</v>
      </c>
      <c r="X103" s="2"/>
      <c r="Y103" s="2"/>
      <c r="Z103" s="2"/>
      <c r="AA103" s="2"/>
      <c r="AB103" s="2" t="s">
        <v>608</v>
      </c>
      <c r="AC103" s="2" t="s">
        <v>157</v>
      </c>
      <c r="AD103" s="2" t="s">
        <v>440</v>
      </c>
      <c r="AE103" s="10" t="b">
        <f aca="false">FALSE()</f>
        <v>0</v>
      </c>
      <c r="AF103" s="2" t="s">
        <v>133</v>
      </c>
      <c r="AG103" s="2" t="s">
        <v>158</v>
      </c>
      <c r="AH103" s="2" t="s">
        <v>135</v>
      </c>
      <c r="AI103" s="11" t="s">
        <v>502</v>
      </c>
      <c r="AJ103" s="2" t="s">
        <v>137</v>
      </c>
      <c r="AK103" s="2" t="s">
        <v>137</v>
      </c>
      <c r="AL103" s="2" t="s">
        <v>609</v>
      </c>
    </row>
    <row r="104" customFormat="false" ht="90" hidden="false" customHeight="true" outlineLevel="0" collapsed="false">
      <c r="A104" s="2" t="s">
        <v>610</v>
      </c>
      <c r="B104" s="2" t="s">
        <v>569</v>
      </c>
      <c r="C104" s="2" t="s">
        <v>474</v>
      </c>
      <c r="D104" s="9" t="n">
        <v>1079</v>
      </c>
      <c r="E104" s="2" t="s">
        <v>475</v>
      </c>
      <c r="F104" s="2" t="s">
        <v>492</v>
      </c>
      <c r="G104" s="2" t="s">
        <v>595</v>
      </c>
      <c r="H104" s="2" t="s">
        <v>368</v>
      </c>
      <c r="I104" s="2" t="s">
        <v>145</v>
      </c>
      <c r="J104" s="2" t="s">
        <v>369</v>
      </c>
      <c r="K104" s="10" t="b">
        <f aca="false">FALSE()</f>
        <v>0</v>
      </c>
      <c r="L104" s="10" t="b">
        <f aca="false">TRUE()</f>
        <v>1</v>
      </c>
      <c r="M104" s="2" t="s">
        <v>494</v>
      </c>
      <c r="N104" s="2" t="s">
        <v>371</v>
      </c>
      <c r="O104" s="2" t="s">
        <v>495</v>
      </c>
      <c r="P104" s="2" t="n">
        <v>60</v>
      </c>
      <c r="Q104" s="2" t="s">
        <v>496</v>
      </c>
      <c r="R104" s="11" t="s">
        <v>497</v>
      </c>
      <c r="S104" s="11" t="s">
        <v>498</v>
      </c>
      <c r="T104" s="2"/>
      <c r="U104" s="2" t="s">
        <v>153</v>
      </c>
      <c r="V104" s="2" t="s">
        <v>570</v>
      </c>
      <c r="W104" s="11" t="s">
        <v>571</v>
      </c>
      <c r="X104" s="2"/>
      <c r="Y104" s="2"/>
      <c r="Z104" s="2"/>
      <c r="AA104" s="2"/>
      <c r="AB104" s="2" t="s">
        <v>572</v>
      </c>
      <c r="AC104" s="2" t="s">
        <v>187</v>
      </c>
      <c r="AD104" s="2" t="s">
        <v>132</v>
      </c>
      <c r="AE104" s="10" t="b">
        <f aca="false">FALSE()</f>
        <v>0</v>
      </c>
      <c r="AF104" s="2" t="s">
        <v>133</v>
      </c>
      <c r="AG104" s="2" t="s">
        <v>158</v>
      </c>
      <c r="AH104" s="2" t="s">
        <v>135</v>
      </c>
      <c r="AI104" s="11" t="s">
        <v>502</v>
      </c>
      <c r="AJ104" s="2" t="s">
        <v>137</v>
      </c>
      <c r="AK104" s="2" t="s">
        <v>137</v>
      </c>
      <c r="AL104" s="2" t="s">
        <v>611</v>
      </c>
    </row>
    <row r="105" customFormat="false" ht="90" hidden="false" customHeight="true" outlineLevel="0" collapsed="false">
      <c r="A105" s="2" t="s">
        <v>612</v>
      </c>
      <c r="B105" s="2" t="s">
        <v>569</v>
      </c>
      <c r="C105" s="2" t="s">
        <v>474</v>
      </c>
      <c r="D105" s="9" t="n">
        <v>1071</v>
      </c>
      <c r="E105" s="2" t="s">
        <v>475</v>
      </c>
      <c r="F105" s="2" t="s">
        <v>492</v>
      </c>
      <c r="G105" s="2" t="s">
        <v>595</v>
      </c>
      <c r="H105" s="2" t="s">
        <v>368</v>
      </c>
      <c r="I105" s="2" t="s">
        <v>145</v>
      </c>
      <c r="J105" s="2" t="s">
        <v>369</v>
      </c>
      <c r="K105" s="10" t="b">
        <f aca="false">FALSE()</f>
        <v>0</v>
      </c>
      <c r="L105" s="10" t="b">
        <f aca="false">TRUE()</f>
        <v>1</v>
      </c>
      <c r="M105" s="2" t="s">
        <v>494</v>
      </c>
      <c r="N105" s="2" t="s">
        <v>371</v>
      </c>
      <c r="O105" s="2" t="s">
        <v>495</v>
      </c>
      <c r="P105" s="2" t="n">
        <v>60</v>
      </c>
      <c r="Q105" s="2" t="s">
        <v>496</v>
      </c>
      <c r="R105" s="11" t="s">
        <v>497</v>
      </c>
      <c r="S105" s="11" t="s">
        <v>498</v>
      </c>
      <c r="T105" s="2" t="s">
        <v>219</v>
      </c>
      <c r="U105" s="2" t="s">
        <v>153</v>
      </c>
      <c r="V105" s="2" t="s">
        <v>570</v>
      </c>
      <c r="W105" s="11" t="s">
        <v>571</v>
      </c>
      <c r="X105" s="2"/>
      <c r="Y105" s="2"/>
      <c r="Z105" s="2"/>
      <c r="AA105" s="2"/>
      <c r="AB105" s="2" t="s">
        <v>572</v>
      </c>
      <c r="AC105" s="2" t="s">
        <v>157</v>
      </c>
      <c r="AD105" s="2" t="s">
        <v>132</v>
      </c>
      <c r="AE105" s="10" t="b">
        <f aca="false">FALSE()</f>
        <v>0</v>
      </c>
      <c r="AF105" s="2" t="s">
        <v>133</v>
      </c>
      <c r="AG105" s="2" t="s">
        <v>158</v>
      </c>
      <c r="AH105" s="2" t="s">
        <v>135</v>
      </c>
      <c r="AI105" s="11" t="s">
        <v>502</v>
      </c>
      <c r="AJ105" s="2" t="s">
        <v>137</v>
      </c>
      <c r="AK105" s="2" t="s">
        <v>137</v>
      </c>
      <c r="AL105" s="2" t="s">
        <v>613</v>
      </c>
    </row>
    <row r="106" customFormat="false" ht="90" hidden="false" customHeight="true" outlineLevel="0" collapsed="false">
      <c r="A106" s="2" t="s">
        <v>614</v>
      </c>
      <c r="B106" s="2" t="s">
        <v>569</v>
      </c>
      <c r="C106" s="2" t="s">
        <v>474</v>
      </c>
      <c r="D106" s="9" t="n">
        <v>1011</v>
      </c>
      <c r="E106" s="2" t="s">
        <v>491</v>
      </c>
      <c r="F106" s="2" t="s">
        <v>492</v>
      </c>
      <c r="G106" s="2" t="s">
        <v>524</v>
      </c>
      <c r="H106" s="2" t="s">
        <v>368</v>
      </c>
      <c r="I106" s="2" t="s">
        <v>145</v>
      </c>
      <c r="J106" s="2" t="s">
        <v>369</v>
      </c>
      <c r="K106" s="10" t="b">
        <f aca="false">FALSE()</f>
        <v>0</v>
      </c>
      <c r="L106" s="10" t="b">
        <f aca="false">TRUE()</f>
        <v>1</v>
      </c>
      <c r="M106" s="2" t="s">
        <v>494</v>
      </c>
      <c r="N106" s="2" t="s">
        <v>371</v>
      </c>
      <c r="O106" s="2" t="s">
        <v>495</v>
      </c>
      <c r="P106" s="2" t="n">
        <v>60</v>
      </c>
      <c r="Q106" s="2" t="s">
        <v>496</v>
      </c>
      <c r="R106" s="11" t="s">
        <v>497</v>
      </c>
      <c r="S106" s="11" t="s">
        <v>498</v>
      </c>
      <c r="T106" s="2" t="s">
        <v>219</v>
      </c>
      <c r="U106" s="2" t="s">
        <v>153</v>
      </c>
      <c r="V106" s="2" t="s">
        <v>570</v>
      </c>
      <c r="W106" s="11" t="s">
        <v>592</v>
      </c>
      <c r="X106" s="2"/>
      <c r="Y106" s="2"/>
      <c r="Z106" s="2"/>
      <c r="AA106" s="2"/>
      <c r="AB106" s="2" t="s">
        <v>572</v>
      </c>
      <c r="AC106" s="2" t="s">
        <v>157</v>
      </c>
      <c r="AD106" s="2" t="s">
        <v>132</v>
      </c>
      <c r="AE106" s="10" t="b">
        <f aca="false">FALSE()</f>
        <v>0</v>
      </c>
      <c r="AF106" s="2" t="s">
        <v>133</v>
      </c>
      <c r="AG106" s="2" t="s">
        <v>158</v>
      </c>
      <c r="AH106" s="2" t="s">
        <v>135</v>
      </c>
      <c r="AI106" s="11" t="s">
        <v>502</v>
      </c>
      <c r="AJ106" s="2" t="s">
        <v>137</v>
      </c>
      <c r="AK106" s="2" t="s">
        <v>137</v>
      </c>
      <c r="AL106" s="2" t="s">
        <v>615</v>
      </c>
    </row>
    <row r="107" customFormat="false" ht="90" hidden="false" customHeight="true" outlineLevel="0" collapsed="false">
      <c r="A107" s="2" t="s">
        <v>616</v>
      </c>
      <c r="B107" s="2" t="s">
        <v>569</v>
      </c>
      <c r="C107" s="2" t="s">
        <v>474</v>
      </c>
      <c r="D107" s="9" t="n">
        <v>987</v>
      </c>
      <c r="E107" s="2" t="s">
        <v>491</v>
      </c>
      <c r="F107" s="2" t="s">
        <v>492</v>
      </c>
      <c r="G107" s="2" t="s">
        <v>524</v>
      </c>
      <c r="H107" s="2" t="s">
        <v>368</v>
      </c>
      <c r="I107" s="2" t="s">
        <v>145</v>
      </c>
      <c r="J107" s="2" t="s">
        <v>369</v>
      </c>
      <c r="K107" s="10" t="b">
        <f aca="false">FALSE()</f>
        <v>0</v>
      </c>
      <c r="L107" s="10" t="b">
        <f aca="false">TRUE()</f>
        <v>1</v>
      </c>
      <c r="M107" s="2" t="s">
        <v>494</v>
      </c>
      <c r="N107" s="2" t="s">
        <v>371</v>
      </c>
      <c r="O107" s="2" t="s">
        <v>495</v>
      </c>
      <c r="P107" s="2" t="n">
        <v>30</v>
      </c>
      <c r="Q107" s="2" t="s">
        <v>496</v>
      </c>
      <c r="R107" s="11" t="s">
        <v>497</v>
      </c>
      <c r="S107" s="11" t="s">
        <v>498</v>
      </c>
      <c r="T107" s="2"/>
      <c r="U107" s="2" t="s">
        <v>153</v>
      </c>
      <c r="V107" s="2" t="s">
        <v>578</v>
      </c>
      <c r="W107" s="11" t="s">
        <v>579</v>
      </c>
      <c r="X107" s="2"/>
      <c r="Y107" s="2"/>
      <c r="Z107" s="2"/>
      <c r="AA107" s="2"/>
      <c r="AB107" s="2" t="s">
        <v>580</v>
      </c>
      <c r="AC107" s="2" t="s">
        <v>131</v>
      </c>
      <c r="AD107" s="2" t="s">
        <v>132</v>
      </c>
      <c r="AE107" s="10" t="b">
        <f aca="false">FALSE()</f>
        <v>0</v>
      </c>
      <c r="AF107" s="2" t="s">
        <v>133</v>
      </c>
      <c r="AG107" s="2" t="s">
        <v>134</v>
      </c>
      <c r="AH107" s="2" t="s">
        <v>135</v>
      </c>
      <c r="AI107" s="11" t="s">
        <v>502</v>
      </c>
      <c r="AJ107" s="2" t="s">
        <v>137</v>
      </c>
      <c r="AK107" s="2" t="s">
        <v>137</v>
      </c>
      <c r="AL107" s="2" t="s">
        <v>617</v>
      </c>
    </row>
    <row r="108" customFormat="false" ht="90" hidden="false" customHeight="true" outlineLevel="0" collapsed="false">
      <c r="A108" s="2" t="s">
        <v>618</v>
      </c>
      <c r="B108" s="2" t="s">
        <v>569</v>
      </c>
      <c r="C108" s="2" t="s">
        <v>474</v>
      </c>
      <c r="D108" s="9" t="n">
        <v>982</v>
      </c>
      <c r="E108" s="2" t="s">
        <v>491</v>
      </c>
      <c r="F108" s="2" t="s">
        <v>492</v>
      </c>
      <c r="G108" s="2" t="s">
        <v>524</v>
      </c>
      <c r="H108" s="2" t="s">
        <v>368</v>
      </c>
      <c r="I108" s="2" t="s">
        <v>145</v>
      </c>
      <c r="J108" s="2" t="s">
        <v>369</v>
      </c>
      <c r="K108" s="10" t="b">
        <f aca="false">FALSE()</f>
        <v>0</v>
      </c>
      <c r="L108" s="10" t="b">
        <f aca="false">TRUE()</f>
        <v>1</v>
      </c>
      <c r="M108" s="2" t="s">
        <v>494</v>
      </c>
      <c r="N108" s="2" t="s">
        <v>371</v>
      </c>
      <c r="O108" s="2" t="s">
        <v>495</v>
      </c>
      <c r="P108" s="2" t="n">
        <v>60</v>
      </c>
      <c r="Q108" s="2" t="s">
        <v>496</v>
      </c>
      <c r="R108" s="11" t="s">
        <v>497</v>
      </c>
      <c r="S108" s="11" t="s">
        <v>498</v>
      </c>
      <c r="T108" s="2"/>
      <c r="U108" s="2" t="s">
        <v>153</v>
      </c>
      <c r="V108" s="2" t="s">
        <v>570</v>
      </c>
      <c r="W108" s="11" t="s">
        <v>575</v>
      </c>
      <c r="X108" s="2"/>
      <c r="Y108" s="2"/>
      <c r="Z108" s="2"/>
      <c r="AA108" s="2"/>
      <c r="AB108" s="2" t="s">
        <v>572</v>
      </c>
      <c r="AC108" s="2" t="s">
        <v>157</v>
      </c>
      <c r="AD108" s="2" t="s">
        <v>132</v>
      </c>
      <c r="AE108" s="10" t="b">
        <f aca="false">FALSE()</f>
        <v>0</v>
      </c>
      <c r="AF108" s="2" t="s">
        <v>133</v>
      </c>
      <c r="AG108" s="2" t="s">
        <v>158</v>
      </c>
      <c r="AH108" s="2" t="s">
        <v>135</v>
      </c>
      <c r="AI108" s="11" t="s">
        <v>502</v>
      </c>
      <c r="AJ108" s="2" t="s">
        <v>137</v>
      </c>
      <c r="AK108" s="2" t="s">
        <v>137</v>
      </c>
      <c r="AL108" s="2" t="s">
        <v>619</v>
      </c>
    </row>
    <row r="109" customFormat="false" ht="90" hidden="false" customHeight="true" outlineLevel="0" collapsed="false">
      <c r="A109" s="2" t="s">
        <v>620</v>
      </c>
      <c r="B109" s="2" t="s">
        <v>569</v>
      </c>
      <c r="C109" s="2" t="s">
        <v>474</v>
      </c>
      <c r="D109" s="9" t="n">
        <v>944</v>
      </c>
      <c r="E109" s="2" t="s">
        <v>491</v>
      </c>
      <c r="F109" s="2" t="s">
        <v>492</v>
      </c>
      <c r="G109" s="2" t="s">
        <v>524</v>
      </c>
      <c r="H109" s="2" t="s">
        <v>368</v>
      </c>
      <c r="I109" s="2" t="s">
        <v>145</v>
      </c>
      <c r="J109" s="2" t="s">
        <v>369</v>
      </c>
      <c r="K109" s="10" t="b">
        <f aca="false">FALSE()</f>
        <v>0</v>
      </c>
      <c r="L109" s="10" t="b">
        <f aca="false">TRUE()</f>
        <v>1</v>
      </c>
      <c r="M109" s="2" t="s">
        <v>494</v>
      </c>
      <c r="N109" s="2" t="s">
        <v>371</v>
      </c>
      <c r="O109" s="2" t="s">
        <v>495</v>
      </c>
      <c r="P109" s="2" t="n">
        <v>60</v>
      </c>
      <c r="Q109" s="2" t="s">
        <v>496</v>
      </c>
      <c r="R109" s="11" t="s">
        <v>497</v>
      </c>
      <c r="S109" s="11" t="s">
        <v>498</v>
      </c>
      <c r="T109" s="2" t="s">
        <v>219</v>
      </c>
      <c r="U109" s="2" t="s">
        <v>153</v>
      </c>
      <c r="V109" s="2" t="s">
        <v>570</v>
      </c>
      <c r="W109" s="11" t="s">
        <v>571</v>
      </c>
      <c r="X109" s="2"/>
      <c r="Y109" s="2"/>
      <c r="Z109" s="2"/>
      <c r="AA109" s="2"/>
      <c r="AB109" s="2" t="s">
        <v>572</v>
      </c>
      <c r="AC109" s="2" t="s">
        <v>157</v>
      </c>
      <c r="AD109" s="2" t="s">
        <v>132</v>
      </c>
      <c r="AE109" s="10" t="b">
        <f aca="false">FALSE()</f>
        <v>0</v>
      </c>
      <c r="AF109" s="2" t="s">
        <v>133</v>
      </c>
      <c r="AG109" s="2" t="s">
        <v>158</v>
      </c>
      <c r="AH109" s="2" t="s">
        <v>135</v>
      </c>
      <c r="AI109" s="11" t="s">
        <v>502</v>
      </c>
      <c r="AJ109" s="2" t="s">
        <v>137</v>
      </c>
      <c r="AK109" s="2" t="s">
        <v>137</v>
      </c>
      <c r="AL109" s="2" t="s">
        <v>621</v>
      </c>
    </row>
    <row r="110" customFormat="false" ht="90" hidden="false" customHeight="true" outlineLevel="0" collapsed="false">
      <c r="A110" s="2" t="s">
        <v>622</v>
      </c>
      <c r="B110" s="2" t="s">
        <v>569</v>
      </c>
      <c r="C110" s="2" t="s">
        <v>474</v>
      </c>
      <c r="D110" s="9" t="n">
        <v>925</v>
      </c>
      <c r="E110" s="2" t="s">
        <v>491</v>
      </c>
      <c r="F110" s="2" t="s">
        <v>492</v>
      </c>
      <c r="G110" s="2" t="s">
        <v>524</v>
      </c>
      <c r="H110" s="2" t="s">
        <v>368</v>
      </c>
      <c r="I110" s="2" t="s">
        <v>145</v>
      </c>
      <c r="J110" s="2" t="s">
        <v>369</v>
      </c>
      <c r="K110" s="10" t="b">
        <f aca="false">FALSE()</f>
        <v>0</v>
      </c>
      <c r="L110" s="10" t="b">
        <f aca="false">FALSE()</f>
        <v>0</v>
      </c>
      <c r="M110" s="2" t="s">
        <v>494</v>
      </c>
      <c r="N110" s="2" t="s">
        <v>371</v>
      </c>
      <c r="O110" s="2" t="s">
        <v>495</v>
      </c>
      <c r="P110" s="2" t="n">
        <v>30</v>
      </c>
      <c r="Q110" s="2" t="s">
        <v>496</v>
      </c>
      <c r="R110" s="11" t="s">
        <v>497</v>
      </c>
      <c r="S110" s="11" t="s">
        <v>498</v>
      </c>
      <c r="T110" s="2"/>
      <c r="U110" s="2" t="s">
        <v>153</v>
      </c>
      <c r="V110" s="2" t="s">
        <v>606</v>
      </c>
      <c r="W110" s="11" t="s">
        <v>607</v>
      </c>
      <c r="X110" s="2"/>
      <c r="Y110" s="2"/>
      <c r="Z110" s="2"/>
      <c r="AA110" s="2"/>
      <c r="AB110" s="2" t="s">
        <v>608</v>
      </c>
      <c r="AC110" s="2" t="s">
        <v>131</v>
      </c>
      <c r="AD110" s="2" t="s">
        <v>440</v>
      </c>
      <c r="AE110" s="10" t="b">
        <f aca="false">FALSE()</f>
        <v>0</v>
      </c>
      <c r="AF110" s="2" t="s">
        <v>133</v>
      </c>
      <c r="AG110" s="2" t="s">
        <v>158</v>
      </c>
      <c r="AH110" s="2" t="s">
        <v>135</v>
      </c>
      <c r="AI110" s="11" t="s">
        <v>502</v>
      </c>
      <c r="AJ110" s="2" t="s">
        <v>137</v>
      </c>
      <c r="AK110" s="2" t="s">
        <v>137</v>
      </c>
      <c r="AL110" s="2" t="s">
        <v>623</v>
      </c>
    </row>
    <row r="111" customFormat="false" ht="90" hidden="false" customHeight="true" outlineLevel="0" collapsed="false">
      <c r="A111" s="2" t="s">
        <v>624</v>
      </c>
      <c r="B111" s="2" t="s">
        <v>569</v>
      </c>
      <c r="C111" s="2" t="s">
        <v>474</v>
      </c>
      <c r="D111" s="9" t="n">
        <v>908</v>
      </c>
      <c r="E111" s="2" t="s">
        <v>491</v>
      </c>
      <c r="F111" s="2" t="s">
        <v>492</v>
      </c>
      <c r="G111" s="2" t="s">
        <v>524</v>
      </c>
      <c r="H111" s="2" t="s">
        <v>368</v>
      </c>
      <c r="I111" s="2" t="s">
        <v>145</v>
      </c>
      <c r="J111" s="2" t="s">
        <v>369</v>
      </c>
      <c r="K111" s="10" t="b">
        <f aca="false">FALSE()</f>
        <v>0</v>
      </c>
      <c r="L111" s="10" t="b">
        <f aca="false">TRUE()</f>
        <v>1</v>
      </c>
      <c r="M111" s="2" t="s">
        <v>494</v>
      </c>
      <c r="N111" s="2" t="s">
        <v>371</v>
      </c>
      <c r="O111" s="2" t="s">
        <v>495</v>
      </c>
      <c r="P111" s="2" t="n">
        <v>30</v>
      </c>
      <c r="Q111" s="2" t="s">
        <v>496</v>
      </c>
      <c r="R111" s="11" t="s">
        <v>497</v>
      </c>
      <c r="S111" s="11" t="s">
        <v>498</v>
      </c>
      <c r="T111" s="2" t="s">
        <v>406</v>
      </c>
      <c r="U111" s="2" t="s">
        <v>153</v>
      </c>
      <c r="V111" s="2" t="s">
        <v>578</v>
      </c>
      <c r="W111" s="11" t="s">
        <v>625</v>
      </c>
      <c r="X111" s="2"/>
      <c r="Y111" s="2"/>
      <c r="Z111" s="2"/>
      <c r="AA111" s="2"/>
      <c r="AB111" s="2" t="s">
        <v>580</v>
      </c>
      <c r="AC111" s="2" t="s">
        <v>131</v>
      </c>
      <c r="AD111" s="2" t="s">
        <v>132</v>
      </c>
      <c r="AE111" s="10" t="b">
        <f aca="false">FALSE()</f>
        <v>0</v>
      </c>
      <c r="AF111" s="2" t="s">
        <v>133</v>
      </c>
      <c r="AG111" s="2" t="s">
        <v>158</v>
      </c>
      <c r="AH111" s="2" t="s">
        <v>135</v>
      </c>
      <c r="AI111" s="11" t="s">
        <v>502</v>
      </c>
      <c r="AJ111" s="2" t="s">
        <v>137</v>
      </c>
      <c r="AK111" s="2" t="s">
        <v>137</v>
      </c>
      <c r="AL111" s="2" t="s">
        <v>626</v>
      </c>
    </row>
    <row r="112" customFormat="false" ht="90" hidden="false" customHeight="true" outlineLevel="0" collapsed="false">
      <c r="A112" s="2" t="s">
        <v>627</v>
      </c>
      <c r="B112" s="2" t="s">
        <v>569</v>
      </c>
      <c r="C112" s="2" t="s">
        <v>474</v>
      </c>
      <c r="D112" s="9" t="n">
        <v>896</v>
      </c>
      <c r="E112" s="2" t="s">
        <v>491</v>
      </c>
      <c r="F112" s="2" t="s">
        <v>492</v>
      </c>
      <c r="G112" s="2" t="s">
        <v>524</v>
      </c>
      <c r="H112" s="2" t="s">
        <v>368</v>
      </c>
      <c r="I112" s="2" t="s">
        <v>145</v>
      </c>
      <c r="J112" s="2" t="s">
        <v>369</v>
      </c>
      <c r="K112" s="10" t="b">
        <f aca="false">FALSE()</f>
        <v>0</v>
      </c>
      <c r="L112" s="10" t="b">
        <f aca="false">TRUE()</f>
        <v>1</v>
      </c>
      <c r="M112" s="2" t="s">
        <v>494</v>
      </c>
      <c r="N112" s="2" t="s">
        <v>371</v>
      </c>
      <c r="O112" s="2" t="s">
        <v>495</v>
      </c>
      <c r="P112" s="2" t="n">
        <v>60</v>
      </c>
      <c r="Q112" s="2" t="s">
        <v>496</v>
      </c>
      <c r="R112" s="11" t="s">
        <v>497</v>
      </c>
      <c r="S112" s="11" t="s">
        <v>498</v>
      </c>
      <c r="T112" s="2" t="s">
        <v>219</v>
      </c>
      <c r="U112" s="2" t="s">
        <v>153</v>
      </c>
      <c r="V112" s="2" t="s">
        <v>570</v>
      </c>
      <c r="W112" s="11" t="s">
        <v>571</v>
      </c>
      <c r="X112" s="2"/>
      <c r="Y112" s="2"/>
      <c r="Z112" s="2"/>
      <c r="AA112" s="2"/>
      <c r="AB112" s="2" t="s">
        <v>572</v>
      </c>
      <c r="AC112" s="2" t="s">
        <v>157</v>
      </c>
      <c r="AD112" s="2" t="s">
        <v>132</v>
      </c>
      <c r="AE112" s="10" t="b">
        <f aca="false">FALSE()</f>
        <v>0</v>
      </c>
      <c r="AF112" s="2" t="s">
        <v>133</v>
      </c>
      <c r="AG112" s="2" t="s">
        <v>158</v>
      </c>
      <c r="AH112" s="2" t="s">
        <v>135</v>
      </c>
      <c r="AI112" s="11" t="s">
        <v>502</v>
      </c>
      <c r="AJ112" s="2" t="s">
        <v>137</v>
      </c>
      <c r="AK112" s="2" t="s">
        <v>137</v>
      </c>
      <c r="AL112" s="2" t="s">
        <v>628</v>
      </c>
    </row>
    <row r="113" customFormat="false" ht="90" hidden="false" customHeight="true" outlineLevel="0" collapsed="false">
      <c r="A113" s="2" t="s">
        <v>629</v>
      </c>
      <c r="B113" s="2" t="s">
        <v>569</v>
      </c>
      <c r="C113" s="2" t="s">
        <v>474</v>
      </c>
      <c r="D113" s="9" t="n">
        <v>892</v>
      </c>
      <c r="E113" s="2" t="s">
        <v>491</v>
      </c>
      <c r="F113" s="2" t="s">
        <v>492</v>
      </c>
      <c r="G113" s="2" t="s">
        <v>524</v>
      </c>
      <c r="H113" s="2" t="s">
        <v>368</v>
      </c>
      <c r="I113" s="2" t="s">
        <v>145</v>
      </c>
      <c r="J113" s="2" t="s">
        <v>369</v>
      </c>
      <c r="K113" s="10" t="b">
        <f aca="false">FALSE()</f>
        <v>0</v>
      </c>
      <c r="L113" s="10" t="b">
        <f aca="false">TRUE()</f>
        <v>1</v>
      </c>
      <c r="M113" s="2" t="s">
        <v>494</v>
      </c>
      <c r="N113" s="2" t="s">
        <v>371</v>
      </c>
      <c r="O113" s="2" t="s">
        <v>495</v>
      </c>
      <c r="P113" s="2" t="n">
        <v>60</v>
      </c>
      <c r="Q113" s="2" t="s">
        <v>496</v>
      </c>
      <c r="R113" s="11" t="s">
        <v>497</v>
      </c>
      <c r="S113" s="11" t="s">
        <v>498</v>
      </c>
      <c r="T113" s="2" t="s">
        <v>219</v>
      </c>
      <c r="U113" s="2" t="s">
        <v>153</v>
      </c>
      <c r="V113" s="2" t="s">
        <v>570</v>
      </c>
      <c r="W113" s="11" t="s">
        <v>571</v>
      </c>
      <c r="X113" s="2"/>
      <c r="Y113" s="2"/>
      <c r="Z113" s="2"/>
      <c r="AA113" s="2"/>
      <c r="AB113" s="2" t="s">
        <v>572</v>
      </c>
      <c r="AC113" s="2" t="s">
        <v>157</v>
      </c>
      <c r="AD113" s="2" t="s">
        <v>132</v>
      </c>
      <c r="AE113" s="10" t="b">
        <f aca="false">FALSE()</f>
        <v>0</v>
      </c>
      <c r="AF113" s="2" t="s">
        <v>133</v>
      </c>
      <c r="AG113" s="2" t="s">
        <v>158</v>
      </c>
      <c r="AH113" s="2" t="s">
        <v>135</v>
      </c>
      <c r="AI113" s="11" t="s">
        <v>502</v>
      </c>
      <c r="AJ113" s="2" t="s">
        <v>137</v>
      </c>
      <c r="AK113" s="2" t="s">
        <v>137</v>
      </c>
      <c r="AL113" s="2" t="s">
        <v>630</v>
      </c>
    </row>
    <row r="114" customFormat="false" ht="90" hidden="false" customHeight="true" outlineLevel="0" collapsed="false">
      <c r="A114" s="2" t="s">
        <v>631</v>
      </c>
      <c r="B114" s="2" t="s">
        <v>569</v>
      </c>
      <c r="C114" s="2" t="s">
        <v>474</v>
      </c>
      <c r="D114" s="9" t="n">
        <v>880</v>
      </c>
      <c r="E114" s="2" t="s">
        <v>491</v>
      </c>
      <c r="F114" s="2" t="s">
        <v>492</v>
      </c>
      <c r="G114" s="2" t="s">
        <v>524</v>
      </c>
      <c r="H114" s="2" t="s">
        <v>368</v>
      </c>
      <c r="I114" s="2" t="s">
        <v>145</v>
      </c>
      <c r="J114" s="2" t="s">
        <v>369</v>
      </c>
      <c r="K114" s="10" t="b">
        <f aca="false">FALSE()</f>
        <v>0</v>
      </c>
      <c r="L114" s="10" t="b">
        <f aca="false">FALSE()</f>
        <v>0</v>
      </c>
      <c r="M114" s="2" t="s">
        <v>494</v>
      </c>
      <c r="N114" s="2" t="s">
        <v>371</v>
      </c>
      <c r="O114" s="2" t="s">
        <v>495</v>
      </c>
      <c r="P114" s="2" t="n">
        <v>30</v>
      </c>
      <c r="Q114" s="2" t="s">
        <v>496</v>
      </c>
      <c r="R114" s="11" t="s">
        <v>497</v>
      </c>
      <c r="S114" s="11" t="s">
        <v>498</v>
      </c>
      <c r="T114" s="2" t="s">
        <v>632</v>
      </c>
      <c r="U114" s="2" t="s">
        <v>153</v>
      </c>
      <c r="V114" s="2" t="s">
        <v>606</v>
      </c>
      <c r="W114" s="11" t="s">
        <v>607</v>
      </c>
      <c r="X114" s="2"/>
      <c r="Y114" s="2"/>
      <c r="Z114" s="2"/>
      <c r="AA114" s="2"/>
      <c r="AB114" s="2" t="s">
        <v>608</v>
      </c>
      <c r="AC114" s="2" t="s">
        <v>131</v>
      </c>
      <c r="AD114" s="2" t="s">
        <v>440</v>
      </c>
      <c r="AE114" s="10" t="b">
        <f aca="false">FALSE()</f>
        <v>0</v>
      </c>
      <c r="AF114" s="2" t="s">
        <v>133</v>
      </c>
      <c r="AG114" s="2" t="s">
        <v>158</v>
      </c>
      <c r="AH114" s="2" t="s">
        <v>135</v>
      </c>
      <c r="AI114" s="11" t="s">
        <v>502</v>
      </c>
      <c r="AJ114" s="2" t="s">
        <v>137</v>
      </c>
      <c r="AK114" s="2" t="s">
        <v>137</v>
      </c>
      <c r="AL114" s="2" t="s">
        <v>633</v>
      </c>
    </row>
    <row r="115" customFormat="false" ht="90" hidden="false" customHeight="true" outlineLevel="0" collapsed="false">
      <c r="A115" s="2" t="s">
        <v>634</v>
      </c>
      <c r="B115" s="2" t="s">
        <v>569</v>
      </c>
      <c r="C115" s="2" t="s">
        <v>474</v>
      </c>
      <c r="D115" s="9" t="n">
        <v>874</v>
      </c>
      <c r="E115" s="2" t="s">
        <v>475</v>
      </c>
      <c r="F115" s="2" t="s">
        <v>492</v>
      </c>
      <c r="G115" s="2" t="s">
        <v>595</v>
      </c>
      <c r="H115" s="2" t="s">
        <v>368</v>
      </c>
      <c r="I115" s="2" t="s">
        <v>145</v>
      </c>
      <c r="J115" s="2" t="s">
        <v>369</v>
      </c>
      <c r="K115" s="10" t="b">
        <f aca="false">FALSE()</f>
        <v>0</v>
      </c>
      <c r="L115" s="10" t="b">
        <f aca="false">TRUE()</f>
        <v>1</v>
      </c>
      <c r="M115" s="2" t="s">
        <v>494</v>
      </c>
      <c r="N115" s="2" t="s">
        <v>371</v>
      </c>
      <c r="O115" s="2" t="s">
        <v>495</v>
      </c>
      <c r="P115" s="2" t="n">
        <v>60</v>
      </c>
      <c r="Q115" s="2" t="s">
        <v>496</v>
      </c>
      <c r="R115" s="11" t="s">
        <v>497</v>
      </c>
      <c r="S115" s="11" t="s">
        <v>498</v>
      </c>
      <c r="T115" s="2" t="s">
        <v>219</v>
      </c>
      <c r="U115" s="2" t="s">
        <v>153</v>
      </c>
      <c r="V115" s="2" t="s">
        <v>570</v>
      </c>
      <c r="W115" s="11" t="s">
        <v>571</v>
      </c>
      <c r="X115" s="2"/>
      <c r="Y115" s="2"/>
      <c r="Z115" s="2"/>
      <c r="AA115" s="2"/>
      <c r="AB115" s="2" t="s">
        <v>572</v>
      </c>
      <c r="AC115" s="2" t="s">
        <v>157</v>
      </c>
      <c r="AD115" s="2" t="s">
        <v>132</v>
      </c>
      <c r="AE115" s="10" t="b">
        <f aca="false">FALSE()</f>
        <v>0</v>
      </c>
      <c r="AF115" s="2" t="s">
        <v>133</v>
      </c>
      <c r="AG115" s="2" t="s">
        <v>158</v>
      </c>
      <c r="AH115" s="2" t="s">
        <v>135</v>
      </c>
      <c r="AI115" s="11" t="s">
        <v>502</v>
      </c>
      <c r="AJ115" s="2" t="s">
        <v>137</v>
      </c>
      <c r="AK115" s="2" t="s">
        <v>137</v>
      </c>
      <c r="AL115" s="2" t="s">
        <v>635</v>
      </c>
    </row>
    <row r="116" customFormat="false" ht="90" hidden="false" customHeight="true" outlineLevel="0" collapsed="false">
      <c r="A116" s="2" t="s">
        <v>636</v>
      </c>
      <c r="B116" s="2" t="s">
        <v>569</v>
      </c>
      <c r="C116" s="2" t="s">
        <v>474</v>
      </c>
      <c r="D116" s="9" t="n">
        <v>852</v>
      </c>
      <c r="E116" s="2" t="s">
        <v>491</v>
      </c>
      <c r="F116" s="2" t="s">
        <v>492</v>
      </c>
      <c r="G116" s="2" t="s">
        <v>524</v>
      </c>
      <c r="H116" s="2" t="s">
        <v>368</v>
      </c>
      <c r="I116" s="2" t="s">
        <v>145</v>
      </c>
      <c r="J116" s="2" t="s">
        <v>369</v>
      </c>
      <c r="K116" s="10" t="b">
        <f aca="false">FALSE()</f>
        <v>0</v>
      </c>
      <c r="L116" s="10" t="b">
        <f aca="false">TRUE()</f>
        <v>1</v>
      </c>
      <c r="M116" s="2" t="s">
        <v>494</v>
      </c>
      <c r="N116" s="2" t="s">
        <v>371</v>
      </c>
      <c r="O116" s="2" t="s">
        <v>495</v>
      </c>
      <c r="P116" s="2" t="n">
        <v>60</v>
      </c>
      <c r="Q116" s="2" t="s">
        <v>496</v>
      </c>
      <c r="R116" s="11" t="s">
        <v>497</v>
      </c>
      <c r="S116" s="11" t="s">
        <v>498</v>
      </c>
      <c r="T116" s="2"/>
      <c r="U116" s="2" t="s">
        <v>153</v>
      </c>
      <c r="V116" s="2" t="s">
        <v>570</v>
      </c>
      <c r="W116" s="11" t="s">
        <v>571</v>
      </c>
      <c r="X116" s="2"/>
      <c r="Y116" s="2"/>
      <c r="Z116" s="2"/>
      <c r="AA116" s="2"/>
      <c r="AB116" s="2" t="s">
        <v>572</v>
      </c>
      <c r="AC116" s="2" t="s">
        <v>187</v>
      </c>
      <c r="AD116" s="2" t="s">
        <v>132</v>
      </c>
      <c r="AE116" s="10" t="b">
        <f aca="false">FALSE()</f>
        <v>0</v>
      </c>
      <c r="AF116" s="2" t="s">
        <v>133</v>
      </c>
      <c r="AG116" s="2" t="s">
        <v>158</v>
      </c>
      <c r="AH116" s="2" t="s">
        <v>135</v>
      </c>
      <c r="AI116" s="11" t="s">
        <v>502</v>
      </c>
      <c r="AJ116" s="2" t="s">
        <v>137</v>
      </c>
      <c r="AK116" s="2" t="s">
        <v>137</v>
      </c>
      <c r="AL116" s="2" t="s">
        <v>637</v>
      </c>
    </row>
    <row r="117" customFormat="false" ht="90" hidden="false" customHeight="true" outlineLevel="0" collapsed="false">
      <c r="A117" s="2" t="s">
        <v>638</v>
      </c>
      <c r="B117" s="2" t="s">
        <v>569</v>
      </c>
      <c r="C117" s="2" t="s">
        <v>474</v>
      </c>
      <c r="D117" s="9" t="n">
        <v>844</v>
      </c>
      <c r="E117" s="2" t="s">
        <v>491</v>
      </c>
      <c r="F117" s="2" t="s">
        <v>492</v>
      </c>
      <c r="G117" s="2" t="s">
        <v>524</v>
      </c>
      <c r="H117" s="2" t="s">
        <v>368</v>
      </c>
      <c r="I117" s="2" t="s">
        <v>145</v>
      </c>
      <c r="J117" s="2" t="s">
        <v>369</v>
      </c>
      <c r="K117" s="10" t="b">
        <f aca="false">FALSE()</f>
        <v>0</v>
      </c>
      <c r="L117" s="10" t="b">
        <f aca="false">TRUE()</f>
        <v>1</v>
      </c>
      <c r="M117" s="2" t="s">
        <v>494</v>
      </c>
      <c r="N117" s="2" t="s">
        <v>371</v>
      </c>
      <c r="O117" s="2" t="s">
        <v>495</v>
      </c>
      <c r="P117" s="2" t="n">
        <v>60</v>
      </c>
      <c r="Q117" s="2" t="s">
        <v>496</v>
      </c>
      <c r="R117" s="11" t="s">
        <v>497</v>
      </c>
      <c r="S117" s="11" t="s">
        <v>498</v>
      </c>
      <c r="T117" s="2"/>
      <c r="U117" s="2" t="s">
        <v>153</v>
      </c>
      <c r="V117" s="2" t="s">
        <v>570</v>
      </c>
      <c r="W117" s="11" t="s">
        <v>571</v>
      </c>
      <c r="X117" s="2"/>
      <c r="Y117" s="2"/>
      <c r="Z117" s="2"/>
      <c r="AA117" s="2"/>
      <c r="AB117" s="2" t="s">
        <v>572</v>
      </c>
      <c r="AC117" s="2" t="s">
        <v>187</v>
      </c>
      <c r="AD117" s="2" t="s">
        <v>132</v>
      </c>
      <c r="AE117" s="10" t="b">
        <f aca="false">FALSE()</f>
        <v>0</v>
      </c>
      <c r="AF117" s="2" t="s">
        <v>133</v>
      </c>
      <c r="AG117" s="2" t="s">
        <v>158</v>
      </c>
      <c r="AH117" s="2" t="s">
        <v>135</v>
      </c>
      <c r="AI117" s="11" t="s">
        <v>502</v>
      </c>
      <c r="AJ117" s="2" t="s">
        <v>137</v>
      </c>
      <c r="AK117" s="2" t="s">
        <v>137</v>
      </c>
      <c r="AL117" s="2" t="s">
        <v>639</v>
      </c>
    </row>
    <row r="118" customFormat="false" ht="90" hidden="false" customHeight="true" outlineLevel="0" collapsed="false">
      <c r="A118" s="2" t="s">
        <v>640</v>
      </c>
      <c r="B118" s="2" t="s">
        <v>569</v>
      </c>
      <c r="C118" s="2" t="s">
        <v>474</v>
      </c>
      <c r="D118" s="9" t="n">
        <v>840</v>
      </c>
      <c r="E118" s="2" t="s">
        <v>491</v>
      </c>
      <c r="F118" s="2" t="s">
        <v>492</v>
      </c>
      <c r="G118" s="2" t="s">
        <v>524</v>
      </c>
      <c r="H118" s="2" t="s">
        <v>368</v>
      </c>
      <c r="I118" s="2" t="s">
        <v>145</v>
      </c>
      <c r="J118" s="2" t="s">
        <v>369</v>
      </c>
      <c r="K118" s="10" t="b">
        <f aca="false">FALSE()</f>
        <v>0</v>
      </c>
      <c r="L118" s="10" t="b">
        <f aca="false">TRUE()</f>
        <v>1</v>
      </c>
      <c r="M118" s="2" t="s">
        <v>494</v>
      </c>
      <c r="N118" s="2" t="s">
        <v>371</v>
      </c>
      <c r="O118" s="2" t="s">
        <v>495</v>
      </c>
      <c r="P118" s="2" t="n">
        <v>60</v>
      </c>
      <c r="Q118" s="2" t="s">
        <v>496</v>
      </c>
      <c r="R118" s="11" t="s">
        <v>497</v>
      </c>
      <c r="S118" s="11" t="s">
        <v>498</v>
      </c>
      <c r="T118" s="2" t="s">
        <v>219</v>
      </c>
      <c r="U118" s="2" t="s">
        <v>153</v>
      </c>
      <c r="V118" s="2" t="s">
        <v>570</v>
      </c>
      <c r="W118" s="11" t="s">
        <v>571</v>
      </c>
      <c r="X118" s="2"/>
      <c r="Y118" s="2"/>
      <c r="Z118" s="2"/>
      <c r="AA118" s="2"/>
      <c r="AB118" s="2" t="s">
        <v>572</v>
      </c>
      <c r="AC118" s="2" t="s">
        <v>157</v>
      </c>
      <c r="AD118" s="2" t="s">
        <v>132</v>
      </c>
      <c r="AE118" s="10" t="b">
        <f aca="false">FALSE()</f>
        <v>0</v>
      </c>
      <c r="AF118" s="2" t="s">
        <v>133</v>
      </c>
      <c r="AG118" s="2" t="s">
        <v>158</v>
      </c>
      <c r="AH118" s="2" t="s">
        <v>135</v>
      </c>
      <c r="AI118" s="11" t="s">
        <v>502</v>
      </c>
      <c r="AJ118" s="2" t="s">
        <v>137</v>
      </c>
      <c r="AK118" s="2" t="s">
        <v>137</v>
      </c>
      <c r="AL118" s="2" t="s">
        <v>641</v>
      </c>
    </row>
    <row r="119" customFormat="false" ht="90" hidden="false" customHeight="true" outlineLevel="0" collapsed="false">
      <c r="A119" s="2" t="s">
        <v>642</v>
      </c>
      <c r="B119" s="2" t="s">
        <v>569</v>
      </c>
      <c r="C119" s="2" t="s">
        <v>474</v>
      </c>
      <c r="D119" s="9" t="n">
        <v>834</v>
      </c>
      <c r="E119" s="2" t="s">
        <v>491</v>
      </c>
      <c r="F119" s="2" t="s">
        <v>492</v>
      </c>
      <c r="G119" s="2" t="s">
        <v>524</v>
      </c>
      <c r="H119" s="2" t="s">
        <v>368</v>
      </c>
      <c r="I119" s="2" t="s">
        <v>145</v>
      </c>
      <c r="J119" s="2" t="s">
        <v>369</v>
      </c>
      <c r="K119" s="10" t="b">
        <f aca="false">FALSE()</f>
        <v>0</v>
      </c>
      <c r="L119" s="10" t="b">
        <f aca="false">TRUE()</f>
        <v>1</v>
      </c>
      <c r="M119" s="2" t="s">
        <v>494</v>
      </c>
      <c r="N119" s="2" t="s">
        <v>371</v>
      </c>
      <c r="O119" s="2" t="s">
        <v>495</v>
      </c>
      <c r="P119" s="2" t="n">
        <v>60</v>
      </c>
      <c r="Q119" s="2" t="s">
        <v>496</v>
      </c>
      <c r="R119" s="11" t="s">
        <v>497</v>
      </c>
      <c r="S119" s="11" t="s">
        <v>498</v>
      </c>
      <c r="T119" s="2"/>
      <c r="U119" s="2" t="s">
        <v>153</v>
      </c>
      <c r="V119" s="2" t="s">
        <v>570</v>
      </c>
      <c r="W119" s="11" t="s">
        <v>571</v>
      </c>
      <c r="X119" s="2"/>
      <c r="Y119" s="2"/>
      <c r="Z119" s="2"/>
      <c r="AA119" s="2"/>
      <c r="AB119" s="2" t="s">
        <v>572</v>
      </c>
      <c r="AC119" s="2" t="s">
        <v>187</v>
      </c>
      <c r="AD119" s="2" t="s">
        <v>132</v>
      </c>
      <c r="AE119" s="10" t="b">
        <f aca="false">FALSE()</f>
        <v>0</v>
      </c>
      <c r="AF119" s="2" t="s">
        <v>133</v>
      </c>
      <c r="AG119" s="2" t="s">
        <v>158</v>
      </c>
      <c r="AH119" s="2" t="s">
        <v>135</v>
      </c>
      <c r="AI119" s="11" t="s">
        <v>502</v>
      </c>
      <c r="AJ119" s="2" t="s">
        <v>137</v>
      </c>
      <c r="AK119" s="2" t="s">
        <v>137</v>
      </c>
      <c r="AL119" s="2" t="s">
        <v>643</v>
      </c>
    </row>
    <row r="120" customFormat="false" ht="90" hidden="false" customHeight="true" outlineLevel="0" collapsed="false">
      <c r="A120" s="2" t="s">
        <v>644</v>
      </c>
      <c r="B120" s="2" t="s">
        <v>569</v>
      </c>
      <c r="C120" s="2" t="s">
        <v>474</v>
      </c>
      <c r="D120" s="9" t="n">
        <v>788</v>
      </c>
      <c r="E120" s="2" t="s">
        <v>491</v>
      </c>
      <c r="F120" s="2" t="s">
        <v>492</v>
      </c>
      <c r="G120" s="2" t="s">
        <v>524</v>
      </c>
      <c r="H120" s="2" t="s">
        <v>368</v>
      </c>
      <c r="I120" s="2" t="s">
        <v>145</v>
      </c>
      <c r="J120" s="2" t="s">
        <v>369</v>
      </c>
      <c r="K120" s="10" t="b">
        <f aca="false">FALSE()</f>
        <v>0</v>
      </c>
      <c r="L120" s="10" t="b">
        <f aca="false">TRUE()</f>
        <v>1</v>
      </c>
      <c r="M120" s="2" t="s">
        <v>494</v>
      </c>
      <c r="N120" s="2" t="s">
        <v>371</v>
      </c>
      <c r="O120" s="2" t="s">
        <v>495</v>
      </c>
      <c r="P120" s="2" t="n">
        <v>30</v>
      </c>
      <c r="Q120" s="2" t="s">
        <v>496</v>
      </c>
      <c r="R120" s="11" t="s">
        <v>497</v>
      </c>
      <c r="S120" s="11" t="s">
        <v>498</v>
      </c>
      <c r="T120" s="2" t="s">
        <v>219</v>
      </c>
      <c r="U120" s="2" t="s">
        <v>153</v>
      </c>
      <c r="V120" s="2" t="s">
        <v>587</v>
      </c>
      <c r="W120" s="11" t="s">
        <v>645</v>
      </c>
      <c r="X120" s="2"/>
      <c r="Y120" s="2"/>
      <c r="Z120" s="2"/>
      <c r="AA120" s="2"/>
      <c r="AB120" s="2" t="s">
        <v>589</v>
      </c>
      <c r="AC120" s="2" t="s">
        <v>157</v>
      </c>
      <c r="AD120" s="2" t="s">
        <v>354</v>
      </c>
      <c r="AE120" s="10" t="b">
        <f aca="false">FALSE()</f>
        <v>0</v>
      </c>
      <c r="AF120" s="2" t="s">
        <v>133</v>
      </c>
      <c r="AG120" s="2" t="s">
        <v>158</v>
      </c>
      <c r="AH120" s="2" t="s">
        <v>135</v>
      </c>
      <c r="AI120" s="11" t="s">
        <v>502</v>
      </c>
      <c r="AJ120" s="2" t="s">
        <v>137</v>
      </c>
      <c r="AK120" s="2" t="s">
        <v>137</v>
      </c>
      <c r="AL120" s="2" t="s">
        <v>646</v>
      </c>
    </row>
    <row r="121" customFormat="false" ht="90" hidden="false" customHeight="true" outlineLevel="0" collapsed="false">
      <c r="A121" s="2" t="s">
        <v>647</v>
      </c>
      <c r="B121" s="2" t="s">
        <v>569</v>
      </c>
      <c r="C121" s="2" t="s">
        <v>474</v>
      </c>
      <c r="D121" s="9" t="n">
        <v>763</v>
      </c>
      <c r="E121" s="2" t="s">
        <v>491</v>
      </c>
      <c r="F121" s="2" t="s">
        <v>492</v>
      </c>
      <c r="G121" s="2" t="s">
        <v>524</v>
      </c>
      <c r="H121" s="2" t="s">
        <v>368</v>
      </c>
      <c r="I121" s="2" t="s">
        <v>145</v>
      </c>
      <c r="J121" s="2" t="s">
        <v>369</v>
      </c>
      <c r="K121" s="10" t="b">
        <f aca="false">FALSE()</f>
        <v>0</v>
      </c>
      <c r="L121" s="10" t="b">
        <f aca="false">TRUE()</f>
        <v>1</v>
      </c>
      <c r="M121" s="2" t="s">
        <v>494</v>
      </c>
      <c r="N121" s="2" t="s">
        <v>371</v>
      </c>
      <c r="O121" s="2" t="s">
        <v>495</v>
      </c>
      <c r="P121" s="2" t="n">
        <v>60</v>
      </c>
      <c r="Q121" s="2" t="s">
        <v>496</v>
      </c>
      <c r="R121" s="11" t="s">
        <v>497</v>
      </c>
      <c r="S121" s="11" t="s">
        <v>498</v>
      </c>
      <c r="T121" s="2" t="s">
        <v>219</v>
      </c>
      <c r="U121" s="2" t="s">
        <v>153</v>
      </c>
      <c r="V121" s="2" t="s">
        <v>570</v>
      </c>
      <c r="W121" s="11" t="s">
        <v>571</v>
      </c>
      <c r="X121" s="2"/>
      <c r="Y121" s="2"/>
      <c r="Z121" s="2"/>
      <c r="AA121" s="2"/>
      <c r="AB121" s="2" t="s">
        <v>572</v>
      </c>
      <c r="AC121" s="2" t="s">
        <v>157</v>
      </c>
      <c r="AD121" s="2" t="s">
        <v>132</v>
      </c>
      <c r="AE121" s="10" t="b">
        <f aca="false">FALSE()</f>
        <v>0</v>
      </c>
      <c r="AF121" s="2" t="s">
        <v>133</v>
      </c>
      <c r="AG121" s="2" t="s">
        <v>158</v>
      </c>
      <c r="AH121" s="2" t="s">
        <v>135</v>
      </c>
      <c r="AI121" s="11" t="s">
        <v>502</v>
      </c>
      <c r="AJ121" s="2" t="s">
        <v>137</v>
      </c>
      <c r="AK121" s="2" t="s">
        <v>137</v>
      </c>
      <c r="AL121" s="2" t="s">
        <v>648</v>
      </c>
    </row>
    <row r="122" customFormat="false" ht="90" hidden="false" customHeight="true" outlineLevel="0" collapsed="false">
      <c r="A122" s="2" t="s">
        <v>649</v>
      </c>
      <c r="B122" s="2" t="s">
        <v>569</v>
      </c>
      <c r="C122" s="2" t="s">
        <v>474</v>
      </c>
      <c r="D122" s="9" t="n">
        <v>757</v>
      </c>
      <c r="E122" s="2" t="s">
        <v>491</v>
      </c>
      <c r="F122" s="2" t="s">
        <v>492</v>
      </c>
      <c r="G122" s="2" t="s">
        <v>524</v>
      </c>
      <c r="H122" s="2" t="s">
        <v>368</v>
      </c>
      <c r="I122" s="2" t="s">
        <v>145</v>
      </c>
      <c r="J122" s="2" t="s">
        <v>369</v>
      </c>
      <c r="K122" s="10" t="b">
        <f aca="false">FALSE()</f>
        <v>0</v>
      </c>
      <c r="L122" s="10" t="b">
        <f aca="false">TRUE()</f>
        <v>1</v>
      </c>
      <c r="M122" s="2" t="s">
        <v>494</v>
      </c>
      <c r="N122" s="2" t="s">
        <v>371</v>
      </c>
      <c r="O122" s="2" t="s">
        <v>495</v>
      </c>
      <c r="P122" s="2" t="n">
        <v>60</v>
      </c>
      <c r="Q122" s="2" t="s">
        <v>496</v>
      </c>
      <c r="R122" s="11" t="s">
        <v>497</v>
      </c>
      <c r="S122" s="11" t="s">
        <v>498</v>
      </c>
      <c r="T122" s="2" t="s">
        <v>219</v>
      </c>
      <c r="U122" s="2" t="s">
        <v>153</v>
      </c>
      <c r="V122" s="2" t="s">
        <v>570</v>
      </c>
      <c r="W122" s="11" t="s">
        <v>592</v>
      </c>
      <c r="X122" s="2"/>
      <c r="Y122" s="2"/>
      <c r="Z122" s="2"/>
      <c r="AA122" s="2"/>
      <c r="AB122" s="2" t="s">
        <v>572</v>
      </c>
      <c r="AC122" s="2" t="s">
        <v>157</v>
      </c>
      <c r="AD122" s="2" t="s">
        <v>132</v>
      </c>
      <c r="AE122" s="10" t="b">
        <f aca="false">FALSE()</f>
        <v>0</v>
      </c>
      <c r="AF122" s="2" t="s">
        <v>133</v>
      </c>
      <c r="AG122" s="2" t="s">
        <v>158</v>
      </c>
      <c r="AH122" s="2" t="s">
        <v>135</v>
      </c>
      <c r="AI122" s="11" t="s">
        <v>502</v>
      </c>
      <c r="AJ122" s="2" t="s">
        <v>137</v>
      </c>
      <c r="AK122" s="2" t="s">
        <v>137</v>
      </c>
      <c r="AL122" s="2" t="s">
        <v>650</v>
      </c>
    </row>
    <row r="123" customFormat="false" ht="90" hidden="false" customHeight="true" outlineLevel="0" collapsed="false">
      <c r="A123" s="2" t="s">
        <v>651</v>
      </c>
      <c r="B123" s="2" t="s">
        <v>569</v>
      </c>
      <c r="C123" s="2" t="s">
        <v>474</v>
      </c>
      <c r="D123" s="9" t="n">
        <v>710</v>
      </c>
      <c r="E123" s="2" t="s">
        <v>475</v>
      </c>
      <c r="F123" s="2" t="s">
        <v>492</v>
      </c>
      <c r="G123" s="2" t="s">
        <v>595</v>
      </c>
      <c r="H123" s="2" t="s">
        <v>368</v>
      </c>
      <c r="I123" s="2" t="s">
        <v>145</v>
      </c>
      <c r="J123" s="2" t="s">
        <v>369</v>
      </c>
      <c r="K123" s="10" t="b">
        <f aca="false">FALSE()</f>
        <v>0</v>
      </c>
      <c r="L123" s="10" t="b">
        <f aca="false">TRUE()</f>
        <v>1</v>
      </c>
      <c r="M123" s="2" t="s">
        <v>494</v>
      </c>
      <c r="N123" s="2" t="s">
        <v>371</v>
      </c>
      <c r="O123" s="2" t="s">
        <v>495</v>
      </c>
      <c r="P123" s="2" t="n">
        <v>60</v>
      </c>
      <c r="Q123" s="2" t="s">
        <v>496</v>
      </c>
      <c r="R123" s="11" t="s">
        <v>497</v>
      </c>
      <c r="S123" s="11" t="s">
        <v>498</v>
      </c>
      <c r="T123" s="2" t="s">
        <v>219</v>
      </c>
      <c r="U123" s="2" t="s">
        <v>153</v>
      </c>
      <c r="V123" s="2" t="s">
        <v>570</v>
      </c>
      <c r="W123" s="11" t="s">
        <v>571</v>
      </c>
      <c r="X123" s="2"/>
      <c r="Y123" s="2"/>
      <c r="Z123" s="2"/>
      <c r="AA123" s="2"/>
      <c r="AB123" s="2" t="s">
        <v>572</v>
      </c>
      <c r="AC123" s="2" t="s">
        <v>157</v>
      </c>
      <c r="AD123" s="2" t="s">
        <v>132</v>
      </c>
      <c r="AE123" s="10" t="b">
        <f aca="false">FALSE()</f>
        <v>0</v>
      </c>
      <c r="AF123" s="2" t="s">
        <v>133</v>
      </c>
      <c r="AG123" s="2" t="s">
        <v>158</v>
      </c>
      <c r="AH123" s="2" t="s">
        <v>135</v>
      </c>
      <c r="AI123" s="11" t="s">
        <v>502</v>
      </c>
      <c r="AJ123" s="2" t="s">
        <v>137</v>
      </c>
      <c r="AK123" s="2" t="s">
        <v>137</v>
      </c>
      <c r="AL123" s="2" t="s">
        <v>652</v>
      </c>
    </row>
    <row r="124" customFormat="false" ht="90" hidden="false" customHeight="true" outlineLevel="0" collapsed="false">
      <c r="A124" s="2" t="s">
        <v>653</v>
      </c>
      <c r="B124" s="2" t="s">
        <v>569</v>
      </c>
      <c r="C124" s="2" t="s">
        <v>474</v>
      </c>
      <c r="D124" s="9" t="n">
        <v>680</v>
      </c>
      <c r="E124" s="2" t="s">
        <v>491</v>
      </c>
      <c r="F124" s="2" t="s">
        <v>492</v>
      </c>
      <c r="G124" s="2" t="s">
        <v>524</v>
      </c>
      <c r="H124" s="2" t="s">
        <v>368</v>
      </c>
      <c r="I124" s="2" t="s">
        <v>145</v>
      </c>
      <c r="J124" s="2" t="s">
        <v>369</v>
      </c>
      <c r="K124" s="10" t="b">
        <f aca="false">FALSE()</f>
        <v>0</v>
      </c>
      <c r="L124" s="10" t="b">
        <f aca="false">TRUE()</f>
        <v>1</v>
      </c>
      <c r="M124" s="2" t="s">
        <v>494</v>
      </c>
      <c r="N124" s="2" t="s">
        <v>371</v>
      </c>
      <c r="O124" s="2" t="s">
        <v>495</v>
      </c>
      <c r="P124" s="2" t="n">
        <v>30</v>
      </c>
      <c r="Q124" s="2" t="s">
        <v>496</v>
      </c>
      <c r="R124" s="11" t="s">
        <v>497</v>
      </c>
      <c r="S124" s="11" t="s">
        <v>498</v>
      </c>
      <c r="T124" s="2" t="s">
        <v>557</v>
      </c>
      <c r="U124" s="2" t="s">
        <v>153</v>
      </c>
      <c r="V124" s="2" t="s">
        <v>587</v>
      </c>
      <c r="W124" s="11" t="s">
        <v>588</v>
      </c>
      <c r="X124" s="2"/>
      <c r="Y124" s="2"/>
      <c r="Z124" s="2"/>
      <c r="AA124" s="2"/>
      <c r="AB124" s="2" t="s">
        <v>589</v>
      </c>
      <c r="AC124" s="2" t="s">
        <v>131</v>
      </c>
      <c r="AD124" s="2" t="s">
        <v>354</v>
      </c>
      <c r="AE124" s="10" t="b">
        <f aca="false">FALSE()</f>
        <v>0</v>
      </c>
      <c r="AF124" s="2" t="s">
        <v>133</v>
      </c>
      <c r="AG124" s="2" t="s">
        <v>158</v>
      </c>
      <c r="AH124" s="2" t="s">
        <v>135</v>
      </c>
      <c r="AI124" s="11" t="s">
        <v>502</v>
      </c>
      <c r="AJ124" s="2" t="s">
        <v>137</v>
      </c>
      <c r="AK124" s="2" t="s">
        <v>137</v>
      </c>
      <c r="AL124" s="2" t="s">
        <v>654</v>
      </c>
    </row>
    <row r="125" customFormat="false" ht="90" hidden="false" customHeight="true" outlineLevel="0" collapsed="false">
      <c r="A125" s="2" t="s">
        <v>655</v>
      </c>
      <c r="B125" s="2" t="s">
        <v>569</v>
      </c>
      <c r="C125" s="2" t="s">
        <v>474</v>
      </c>
      <c r="D125" s="9" t="n">
        <v>675</v>
      </c>
      <c r="E125" s="2" t="s">
        <v>475</v>
      </c>
      <c r="F125" s="2" t="s">
        <v>492</v>
      </c>
      <c r="G125" s="2" t="s">
        <v>595</v>
      </c>
      <c r="H125" s="2" t="s">
        <v>368</v>
      </c>
      <c r="I125" s="2" t="s">
        <v>145</v>
      </c>
      <c r="J125" s="2" t="s">
        <v>369</v>
      </c>
      <c r="K125" s="10" t="b">
        <f aca="false">FALSE()</f>
        <v>0</v>
      </c>
      <c r="L125" s="10" t="b">
        <f aca="false">TRUE()</f>
        <v>1</v>
      </c>
      <c r="M125" s="2" t="s">
        <v>494</v>
      </c>
      <c r="N125" s="2" t="s">
        <v>371</v>
      </c>
      <c r="O125" s="2" t="s">
        <v>495</v>
      </c>
      <c r="P125" s="2" t="n">
        <v>60</v>
      </c>
      <c r="Q125" s="2" t="s">
        <v>496</v>
      </c>
      <c r="R125" s="11" t="s">
        <v>497</v>
      </c>
      <c r="S125" s="11" t="s">
        <v>498</v>
      </c>
      <c r="T125" s="2" t="s">
        <v>219</v>
      </c>
      <c r="U125" s="2" t="s">
        <v>153</v>
      </c>
      <c r="V125" s="2" t="s">
        <v>570</v>
      </c>
      <c r="W125" s="11" t="s">
        <v>571</v>
      </c>
      <c r="X125" s="2"/>
      <c r="Y125" s="2"/>
      <c r="Z125" s="2"/>
      <c r="AA125" s="2"/>
      <c r="AB125" s="2" t="s">
        <v>572</v>
      </c>
      <c r="AC125" s="2" t="s">
        <v>157</v>
      </c>
      <c r="AD125" s="2" t="s">
        <v>132</v>
      </c>
      <c r="AE125" s="10" t="b">
        <f aca="false">FALSE()</f>
        <v>0</v>
      </c>
      <c r="AF125" s="2" t="s">
        <v>133</v>
      </c>
      <c r="AG125" s="2" t="s">
        <v>158</v>
      </c>
      <c r="AH125" s="2" t="s">
        <v>135</v>
      </c>
      <c r="AI125" s="11" t="s">
        <v>502</v>
      </c>
      <c r="AJ125" s="2" t="s">
        <v>137</v>
      </c>
      <c r="AK125" s="2" t="s">
        <v>137</v>
      </c>
      <c r="AL125" s="2" t="s">
        <v>656</v>
      </c>
    </row>
    <row r="126" customFormat="false" ht="90" hidden="false" customHeight="true" outlineLevel="0" collapsed="false">
      <c r="A126" s="2" t="s">
        <v>657</v>
      </c>
      <c r="B126" s="2" t="s">
        <v>569</v>
      </c>
      <c r="C126" s="2" t="s">
        <v>474</v>
      </c>
      <c r="D126" s="9" t="n">
        <v>663</v>
      </c>
      <c r="E126" s="2" t="s">
        <v>491</v>
      </c>
      <c r="F126" s="2" t="s">
        <v>492</v>
      </c>
      <c r="G126" s="2" t="s">
        <v>524</v>
      </c>
      <c r="H126" s="2" t="s">
        <v>368</v>
      </c>
      <c r="I126" s="2" t="s">
        <v>145</v>
      </c>
      <c r="J126" s="2" t="s">
        <v>369</v>
      </c>
      <c r="K126" s="10" t="b">
        <f aca="false">FALSE()</f>
        <v>0</v>
      </c>
      <c r="L126" s="10" t="b">
        <f aca="false">TRUE()</f>
        <v>1</v>
      </c>
      <c r="M126" s="2" t="s">
        <v>494</v>
      </c>
      <c r="N126" s="2" t="s">
        <v>371</v>
      </c>
      <c r="O126" s="2" t="s">
        <v>495</v>
      </c>
      <c r="P126" s="2" t="n">
        <v>30</v>
      </c>
      <c r="Q126" s="2" t="s">
        <v>496</v>
      </c>
      <c r="R126" s="11" t="s">
        <v>497</v>
      </c>
      <c r="S126" s="11" t="s">
        <v>498</v>
      </c>
      <c r="T126" s="2" t="s">
        <v>163</v>
      </c>
      <c r="U126" s="2" t="s">
        <v>153</v>
      </c>
      <c r="V126" s="2" t="s">
        <v>658</v>
      </c>
      <c r="W126" s="11" t="s">
        <v>659</v>
      </c>
      <c r="X126" s="2"/>
      <c r="Y126" s="2"/>
      <c r="Z126" s="2"/>
      <c r="AA126" s="2"/>
      <c r="AB126" s="2" t="s">
        <v>528</v>
      </c>
      <c r="AC126" s="2" t="s">
        <v>187</v>
      </c>
      <c r="AD126" s="2" t="s">
        <v>132</v>
      </c>
      <c r="AE126" s="10" t="b">
        <f aca="false">FALSE()</f>
        <v>0</v>
      </c>
      <c r="AF126" s="2" t="s">
        <v>133</v>
      </c>
      <c r="AG126" s="2" t="s">
        <v>134</v>
      </c>
      <c r="AH126" s="2" t="s">
        <v>135</v>
      </c>
      <c r="AI126" s="11" t="s">
        <v>502</v>
      </c>
      <c r="AJ126" s="2" t="s">
        <v>137</v>
      </c>
      <c r="AK126" s="2" t="s">
        <v>137</v>
      </c>
      <c r="AL126" s="2" t="s">
        <v>660</v>
      </c>
    </row>
    <row r="127" customFormat="false" ht="90" hidden="false" customHeight="true" outlineLevel="0" collapsed="false">
      <c r="A127" s="2" t="s">
        <v>661</v>
      </c>
      <c r="B127" s="2" t="s">
        <v>569</v>
      </c>
      <c r="C127" s="2" t="s">
        <v>474</v>
      </c>
      <c r="D127" s="9" t="n">
        <v>607</v>
      </c>
      <c r="E127" s="2" t="s">
        <v>491</v>
      </c>
      <c r="F127" s="2" t="s">
        <v>492</v>
      </c>
      <c r="G127" s="2" t="s">
        <v>524</v>
      </c>
      <c r="H127" s="2" t="s">
        <v>368</v>
      </c>
      <c r="I127" s="2" t="s">
        <v>145</v>
      </c>
      <c r="J127" s="2" t="s">
        <v>369</v>
      </c>
      <c r="K127" s="10" t="b">
        <f aca="false">FALSE()</f>
        <v>0</v>
      </c>
      <c r="L127" s="10" t="b">
        <f aca="false">TRUE()</f>
        <v>1</v>
      </c>
      <c r="M127" s="2" t="s">
        <v>494</v>
      </c>
      <c r="N127" s="2" t="s">
        <v>371</v>
      </c>
      <c r="O127" s="2" t="s">
        <v>495</v>
      </c>
      <c r="P127" s="2" t="n">
        <v>30</v>
      </c>
      <c r="Q127" s="2" t="s">
        <v>496</v>
      </c>
      <c r="R127" s="11" t="s">
        <v>497</v>
      </c>
      <c r="S127" s="11" t="s">
        <v>498</v>
      </c>
      <c r="T127" s="2" t="s">
        <v>632</v>
      </c>
      <c r="U127" s="2" t="s">
        <v>153</v>
      </c>
      <c r="V127" s="2" t="s">
        <v>662</v>
      </c>
      <c r="W127" s="11" t="s">
        <v>663</v>
      </c>
      <c r="X127" s="2"/>
      <c r="Y127" s="2"/>
      <c r="Z127" s="2"/>
      <c r="AA127" s="2"/>
      <c r="AB127" s="2" t="s">
        <v>664</v>
      </c>
      <c r="AC127" s="2" t="s">
        <v>131</v>
      </c>
      <c r="AD127" s="2" t="s">
        <v>132</v>
      </c>
      <c r="AE127" s="10" t="b">
        <f aca="false">FALSE()</f>
        <v>0</v>
      </c>
      <c r="AF127" s="2" t="s">
        <v>133</v>
      </c>
      <c r="AG127" s="2" t="s">
        <v>158</v>
      </c>
      <c r="AH127" s="2" t="s">
        <v>135</v>
      </c>
      <c r="AI127" s="11" t="s">
        <v>502</v>
      </c>
      <c r="AJ127" s="2" t="s">
        <v>137</v>
      </c>
      <c r="AK127" s="2" t="s">
        <v>137</v>
      </c>
      <c r="AL127" s="2" t="s">
        <v>665</v>
      </c>
    </row>
    <row r="128" customFormat="false" ht="90" hidden="false" customHeight="true" outlineLevel="0" collapsed="false">
      <c r="A128" s="2" t="s">
        <v>666</v>
      </c>
      <c r="B128" s="2" t="s">
        <v>569</v>
      </c>
      <c r="C128" s="2" t="s">
        <v>474</v>
      </c>
      <c r="D128" s="9" t="n">
        <v>594</v>
      </c>
      <c r="E128" s="2" t="s">
        <v>491</v>
      </c>
      <c r="F128" s="2" t="s">
        <v>492</v>
      </c>
      <c r="G128" s="2" t="s">
        <v>524</v>
      </c>
      <c r="H128" s="2" t="s">
        <v>368</v>
      </c>
      <c r="I128" s="2" t="s">
        <v>145</v>
      </c>
      <c r="J128" s="2" t="s">
        <v>369</v>
      </c>
      <c r="K128" s="10" t="b">
        <f aca="false">FALSE()</f>
        <v>0</v>
      </c>
      <c r="L128" s="10" t="b">
        <f aca="false">TRUE()</f>
        <v>1</v>
      </c>
      <c r="M128" s="2" t="s">
        <v>494</v>
      </c>
      <c r="N128" s="2" t="s">
        <v>371</v>
      </c>
      <c r="O128" s="2" t="s">
        <v>495</v>
      </c>
      <c r="P128" s="2" t="n">
        <v>60</v>
      </c>
      <c r="Q128" s="2" t="s">
        <v>496</v>
      </c>
      <c r="R128" s="11" t="s">
        <v>497</v>
      </c>
      <c r="S128" s="11" t="s">
        <v>498</v>
      </c>
      <c r="T128" s="2" t="s">
        <v>219</v>
      </c>
      <c r="U128" s="2" t="s">
        <v>153</v>
      </c>
      <c r="V128" s="2" t="s">
        <v>570</v>
      </c>
      <c r="W128" s="11" t="s">
        <v>592</v>
      </c>
      <c r="X128" s="2"/>
      <c r="Y128" s="2"/>
      <c r="Z128" s="2"/>
      <c r="AA128" s="2"/>
      <c r="AB128" s="2" t="s">
        <v>572</v>
      </c>
      <c r="AC128" s="2" t="s">
        <v>157</v>
      </c>
      <c r="AD128" s="2" t="s">
        <v>132</v>
      </c>
      <c r="AE128" s="10" t="b">
        <f aca="false">FALSE()</f>
        <v>0</v>
      </c>
      <c r="AF128" s="2" t="s">
        <v>133</v>
      </c>
      <c r="AG128" s="2" t="s">
        <v>158</v>
      </c>
      <c r="AH128" s="2" t="s">
        <v>135</v>
      </c>
      <c r="AI128" s="11" t="s">
        <v>502</v>
      </c>
      <c r="AJ128" s="2" t="s">
        <v>137</v>
      </c>
      <c r="AK128" s="2" t="s">
        <v>137</v>
      </c>
      <c r="AL128" s="2" t="s">
        <v>667</v>
      </c>
    </row>
    <row r="129" customFormat="false" ht="90" hidden="false" customHeight="true" outlineLevel="0" collapsed="false">
      <c r="A129" s="2" t="s">
        <v>668</v>
      </c>
      <c r="B129" s="2" t="s">
        <v>569</v>
      </c>
      <c r="C129" s="2" t="s">
        <v>474</v>
      </c>
      <c r="D129" s="9" t="n">
        <v>586</v>
      </c>
      <c r="E129" s="2" t="s">
        <v>491</v>
      </c>
      <c r="F129" s="2" t="s">
        <v>492</v>
      </c>
      <c r="G129" s="2" t="s">
        <v>524</v>
      </c>
      <c r="H129" s="2" t="s">
        <v>368</v>
      </c>
      <c r="I129" s="2" t="s">
        <v>145</v>
      </c>
      <c r="J129" s="2" t="s">
        <v>369</v>
      </c>
      <c r="K129" s="10" t="b">
        <f aca="false">FALSE()</f>
        <v>0</v>
      </c>
      <c r="L129" s="10" t="b">
        <f aca="false">TRUE()</f>
        <v>1</v>
      </c>
      <c r="M129" s="2" t="s">
        <v>494</v>
      </c>
      <c r="N129" s="2" t="s">
        <v>371</v>
      </c>
      <c r="O129" s="2" t="s">
        <v>495</v>
      </c>
      <c r="P129" s="2" t="n">
        <v>60</v>
      </c>
      <c r="Q129" s="2" t="s">
        <v>496</v>
      </c>
      <c r="R129" s="11" t="s">
        <v>497</v>
      </c>
      <c r="S129" s="11" t="s">
        <v>498</v>
      </c>
      <c r="T129" s="2" t="s">
        <v>219</v>
      </c>
      <c r="U129" s="2" t="s">
        <v>153</v>
      </c>
      <c r="V129" s="2" t="s">
        <v>570</v>
      </c>
      <c r="W129" s="11" t="s">
        <v>571</v>
      </c>
      <c r="X129" s="2"/>
      <c r="Y129" s="2"/>
      <c r="Z129" s="2"/>
      <c r="AA129" s="2"/>
      <c r="AB129" s="2" t="s">
        <v>572</v>
      </c>
      <c r="AC129" s="2" t="s">
        <v>157</v>
      </c>
      <c r="AD129" s="2" t="s">
        <v>132</v>
      </c>
      <c r="AE129" s="10" t="b">
        <f aca="false">FALSE()</f>
        <v>0</v>
      </c>
      <c r="AF129" s="2" t="s">
        <v>133</v>
      </c>
      <c r="AG129" s="2" t="s">
        <v>158</v>
      </c>
      <c r="AH129" s="2" t="s">
        <v>135</v>
      </c>
      <c r="AI129" s="11" t="s">
        <v>502</v>
      </c>
      <c r="AJ129" s="2" t="s">
        <v>137</v>
      </c>
      <c r="AK129" s="2" t="s">
        <v>137</v>
      </c>
      <c r="AL129" s="2" t="s">
        <v>669</v>
      </c>
    </row>
    <row r="130" customFormat="false" ht="90" hidden="false" customHeight="true" outlineLevel="0" collapsed="false">
      <c r="A130" s="2" t="s">
        <v>670</v>
      </c>
      <c r="B130" s="2" t="s">
        <v>569</v>
      </c>
      <c r="C130" s="2" t="s">
        <v>474</v>
      </c>
      <c r="D130" s="9" t="n">
        <v>580</v>
      </c>
      <c r="E130" s="2" t="s">
        <v>475</v>
      </c>
      <c r="F130" s="2" t="s">
        <v>492</v>
      </c>
      <c r="G130" s="2" t="s">
        <v>595</v>
      </c>
      <c r="H130" s="2" t="s">
        <v>368</v>
      </c>
      <c r="I130" s="2" t="s">
        <v>145</v>
      </c>
      <c r="J130" s="2" t="s">
        <v>369</v>
      </c>
      <c r="K130" s="10" t="b">
        <f aca="false">FALSE()</f>
        <v>0</v>
      </c>
      <c r="L130" s="10" t="b">
        <f aca="false">TRUE()</f>
        <v>1</v>
      </c>
      <c r="M130" s="2" t="s">
        <v>494</v>
      </c>
      <c r="N130" s="2" t="s">
        <v>371</v>
      </c>
      <c r="O130" s="2" t="s">
        <v>495</v>
      </c>
      <c r="P130" s="2" t="n">
        <v>60</v>
      </c>
      <c r="Q130" s="2" t="s">
        <v>496</v>
      </c>
      <c r="R130" s="11" t="s">
        <v>497</v>
      </c>
      <c r="S130" s="11" t="s">
        <v>498</v>
      </c>
      <c r="T130" s="2" t="s">
        <v>152</v>
      </c>
      <c r="U130" s="2" t="s">
        <v>153</v>
      </c>
      <c r="V130" s="2" t="s">
        <v>570</v>
      </c>
      <c r="W130" s="11" t="s">
        <v>571</v>
      </c>
      <c r="X130" s="2"/>
      <c r="Y130" s="2"/>
      <c r="Z130" s="2"/>
      <c r="AA130" s="2"/>
      <c r="AB130" s="2" t="s">
        <v>572</v>
      </c>
      <c r="AC130" s="2" t="s">
        <v>157</v>
      </c>
      <c r="AD130" s="2" t="s">
        <v>132</v>
      </c>
      <c r="AE130" s="10" t="b">
        <f aca="false">FALSE()</f>
        <v>0</v>
      </c>
      <c r="AF130" s="2" t="s">
        <v>133</v>
      </c>
      <c r="AG130" s="2" t="s">
        <v>158</v>
      </c>
      <c r="AH130" s="2" t="s">
        <v>135</v>
      </c>
      <c r="AI130" s="11" t="s">
        <v>502</v>
      </c>
      <c r="AJ130" s="2" t="s">
        <v>137</v>
      </c>
      <c r="AK130" s="2" t="s">
        <v>137</v>
      </c>
      <c r="AL130" s="2" t="s">
        <v>671</v>
      </c>
    </row>
    <row r="131" customFormat="false" ht="90" hidden="false" customHeight="true" outlineLevel="0" collapsed="false">
      <c r="A131" s="2" t="s">
        <v>672</v>
      </c>
      <c r="B131" s="2" t="s">
        <v>569</v>
      </c>
      <c r="C131" s="2" t="s">
        <v>474</v>
      </c>
      <c r="D131" s="9" t="n">
        <v>576</v>
      </c>
      <c r="E131" s="2" t="s">
        <v>475</v>
      </c>
      <c r="F131" s="2" t="s">
        <v>492</v>
      </c>
      <c r="G131" s="2" t="s">
        <v>595</v>
      </c>
      <c r="H131" s="2" t="s">
        <v>368</v>
      </c>
      <c r="I131" s="2" t="s">
        <v>145</v>
      </c>
      <c r="J131" s="2" t="s">
        <v>369</v>
      </c>
      <c r="K131" s="10" t="b">
        <f aca="false">FALSE()</f>
        <v>0</v>
      </c>
      <c r="L131" s="10" t="b">
        <f aca="false">TRUE()</f>
        <v>1</v>
      </c>
      <c r="M131" s="2" t="s">
        <v>494</v>
      </c>
      <c r="N131" s="2" t="s">
        <v>371</v>
      </c>
      <c r="O131" s="2" t="s">
        <v>495</v>
      </c>
      <c r="P131" s="2" t="n">
        <v>60</v>
      </c>
      <c r="Q131" s="2" t="s">
        <v>496</v>
      </c>
      <c r="R131" s="11" t="s">
        <v>497</v>
      </c>
      <c r="S131" s="11" t="s">
        <v>498</v>
      </c>
      <c r="T131" s="2" t="s">
        <v>219</v>
      </c>
      <c r="U131" s="2" t="s">
        <v>153</v>
      </c>
      <c r="V131" s="2" t="s">
        <v>570</v>
      </c>
      <c r="W131" s="11" t="s">
        <v>575</v>
      </c>
      <c r="X131" s="2"/>
      <c r="Y131" s="2"/>
      <c r="Z131" s="2"/>
      <c r="AA131" s="2"/>
      <c r="AB131" s="2" t="s">
        <v>572</v>
      </c>
      <c r="AC131" s="2" t="s">
        <v>157</v>
      </c>
      <c r="AD131" s="2" t="s">
        <v>132</v>
      </c>
      <c r="AE131" s="10" t="b">
        <f aca="false">FALSE()</f>
        <v>0</v>
      </c>
      <c r="AF131" s="2" t="s">
        <v>133</v>
      </c>
      <c r="AG131" s="2" t="s">
        <v>158</v>
      </c>
      <c r="AH131" s="2" t="s">
        <v>135</v>
      </c>
      <c r="AI131" s="11" t="s">
        <v>502</v>
      </c>
      <c r="AJ131" s="2" t="s">
        <v>137</v>
      </c>
      <c r="AK131" s="2" t="s">
        <v>137</v>
      </c>
      <c r="AL131" s="2" t="s">
        <v>673</v>
      </c>
    </row>
    <row r="132" customFormat="false" ht="90" hidden="false" customHeight="true" outlineLevel="0" collapsed="false">
      <c r="A132" s="2" t="s">
        <v>674</v>
      </c>
      <c r="B132" s="2" t="s">
        <v>569</v>
      </c>
      <c r="C132" s="2" t="s">
        <v>474</v>
      </c>
      <c r="D132" s="9" t="n">
        <v>574</v>
      </c>
      <c r="E132" s="2" t="s">
        <v>491</v>
      </c>
      <c r="F132" s="2" t="s">
        <v>492</v>
      </c>
      <c r="G132" s="2" t="s">
        <v>524</v>
      </c>
      <c r="H132" s="2" t="s">
        <v>368</v>
      </c>
      <c r="I132" s="2" t="s">
        <v>145</v>
      </c>
      <c r="J132" s="2" t="s">
        <v>369</v>
      </c>
      <c r="K132" s="10" t="b">
        <f aca="false">FALSE()</f>
        <v>0</v>
      </c>
      <c r="L132" s="10" t="b">
        <f aca="false">TRUE()</f>
        <v>1</v>
      </c>
      <c r="M132" s="2" t="s">
        <v>494</v>
      </c>
      <c r="N132" s="2" t="s">
        <v>371</v>
      </c>
      <c r="O132" s="2" t="s">
        <v>495</v>
      </c>
      <c r="P132" s="2" t="n">
        <v>60</v>
      </c>
      <c r="Q132" s="2" t="s">
        <v>496</v>
      </c>
      <c r="R132" s="11" t="s">
        <v>497</v>
      </c>
      <c r="S132" s="11" t="s">
        <v>498</v>
      </c>
      <c r="T132" s="2" t="s">
        <v>219</v>
      </c>
      <c r="U132" s="2" t="s">
        <v>153</v>
      </c>
      <c r="V132" s="2" t="s">
        <v>570</v>
      </c>
      <c r="W132" s="11" t="s">
        <v>571</v>
      </c>
      <c r="X132" s="2"/>
      <c r="Y132" s="2"/>
      <c r="Z132" s="2"/>
      <c r="AA132" s="2"/>
      <c r="AB132" s="2" t="s">
        <v>572</v>
      </c>
      <c r="AC132" s="2" t="s">
        <v>157</v>
      </c>
      <c r="AD132" s="2" t="s">
        <v>132</v>
      </c>
      <c r="AE132" s="10" t="b">
        <f aca="false">FALSE()</f>
        <v>0</v>
      </c>
      <c r="AF132" s="2" t="s">
        <v>133</v>
      </c>
      <c r="AG132" s="2" t="s">
        <v>158</v>
      </c>
      <c r="AH132" s="2" t="s">
        <v>135</v>
      </c>
      <c r="AI132" s="11" t="s">
        <v>502</v>
      </c>
      <c r="AJ132" s="2" t="s">
        <v>137</v>
      </c>
      <c r="AK132" s="2" t="s">
        <v>137</v>
      </c>
      <c r="AL132" s="2" t="s">
        <v>675</v>
      </c>
    </row>
    <row r="133" customFormat="false" ht="90" hidden="false" customHeight="true" outlineLevel="0" collapsed="false">
      <c r="A133" s="2" t="s">
        <v>676</v>
      </c>
      <c r="B133" s="2" t="s">
        <v>569</v>
      </c>
      <c r="C133" s="2" t="s">
        <v>474</v>
      </c>
      <c r="D133" s="9" t="n">
        <v>550</v>
      </c>
      <c r="E133" s="2" t="s">
        <v>491</v>
      </c>
      <c r="F133" s="2" t="s">
        <v>492</v>
      </c>
      <c r="G133" s="2" t="s">
        <v>524</v>
      </c>
      <c r="H133" s="2" t="s">
        <v>368</v>
      </c>
      <c r="I133" s="2" t="s">
        <v>145</v>
      </c>
      <c r="J133" s="2" t="s">
        <v>369</v>
      </c>
      <c r="K133" s="10" t="b">
        <f aca="false">FALSE()</f>
        <v>0</v>
      </c>
      <c r="L133" s="10" t="b">
        <f aca="false">FALSE()</f>
        <v>0</v>
      </c>
      <c r="M133" s="2" t="s">
        <v>494</v>
      </c>
      <c r="N133" s="2" t="s">
        <v>371</v>
      </c>
      <c r="O133" s="2" t="s">
        <v>495</v>
      </c>
      <c r="P133" s="2" t="n">
        <v>60</v>
      </c>
      <c r="Q133" s="2" t="s">
        <v>496</v>
      </c>
      <c r="R133" s="11" t="s">
        <v>497</v>
      </c>
      <c r="S133" s="11" t="s">
        <v>498</v>
      </c>
      <c r="T133" s="2" t="s">
        <v>219</v>
      </c>
      <c r="U133" s="2" t="s">
        <v>153</v>
      </c>
      <c r="V133" s="2" t="s">
        <v>570</v>
      </c>
      <c r="W133" s="11" t="s">
        <v>571</v>
      </c>
      <c r="X133" s="2"/>
      <c r="Y133" s="2"/>
      <c r="Z133" s="2"/>
      <c r="AA133" s="2"/>
      <c r="AB133" s="2" t="s">
        <v>572</v>
      </c>
      <c r="AC133" s="2" t="s">
        <v>157</v>
      </c>
      <c r="AD133" s="2" t="s">
        <v>132</v>
      </c>
      <c r="AE133" s="10" t="b">
        <f aca="false">FALSE()</f>
        <v>0</v>
      </c>
      <c r="AF133" s="2" t="s">
        <v>133</v>
      </c>
      <c r="AG133" s="2" t="s">
        <v>158</v>
      </c>
      <c r="AH133" s="2" t="s">
        <v>135</v>
      </c>
      <c r="AI133" s="11" t="s">
        <v>502</v>
      </c>
      <c r="AJ133" s="2" t="s">
        <v>137</v>
      </c>
      <c r="AK133" s="2" t="s">
        <v>137</v>
      </c>
      <c r="AL133" s="2" t="s">
        <v>677</v>
      </c>
    </row>
    <row r="134" customFormat="false" ht="90" hidden="false" customHeight="true" outlineLevel="0" collapsed="false">
      <c r="A134" s="2" t="s">
        <v>678</v>
      </c>
      <c r="B134" s="2" t="s">
        <v>569</v>
      </c>
      <c r="C134" s="2" t="s">
        <v>474</v>
      </c>
      <c r="D134" s="9" t="n">
        <v>523</v>
      </c>
      <c r="E134" s="2" t="s">
        <v>491</v>
      </c>
      <c r="F134" s="2" t="s">
        <v>492</v>
      </c>
      <c r="G134" s="2" t="s">
        <v>524</v>
      </c>
      <c r="H134" s="2" t="s">
        <v>368</v>
      </c>
      <c r="I134" s="2" t="s">
        <v>145</v>
      </c>
      <c r="J134" s="2" t="s">
        <v>369</v>
      </c>
      <c r="K134" s="10" t="b">
        <f aca="false">FALSE()</f>
        <v>0</v>
      </c>
      <c r="L134" s="10" t="b">
        <f aca="false">TRUE()</f>
        <v>1</v>
      </c>
      <c r="M134" s="2" t="s">
        <v>494</v>
      </c>
      <c r="N134" s="2" t="s">
        <v>371</v>
      </c>
      <c r="O134" s="2" t="s">
        <v>495</v>
      </c>
      <c r="P134" s="2" t="n">
        <v>60</v>
      </c>
      <c r="Q134" s="2" t="s">
        <v>496</v>
      </c>
      <c r="R134" s="11" t="s">
        <v>497</v>
      </c>
      <c r="S134" s="11" t="s">
        <v>498</v>
      </c>
      <c r="T134" s="2"/>
      <c r="U134" s="2" t="s">
        <v>153</v>
      </c>
      <c r="V134" s="2" t="s">
        <v>570</v>
      </c>
      <c r="W134" s="11" t="s">
        <v>575</v>
      </c>
      <c r="X134" s="2"/>
      <c r="Y134" s="2"/>
      <c r="Z134" s="2"/>
      <c r="AA134" s="2"/>
      <c r="AB134" s="2" t="s">
        <v>572</v>
      </c>
      <c r="AC134" s="2" t="s">
        <v>187</v>
      </c>
      <c r="AD134" s="2" t="s">
        <v>132</v>
      </c>
      <c r="AE134" s="10" t="b">
        <f aca="false">FALSE()</f>
        <v>0</v>
      </c>
      <c r="AF134" s="2" t="s">
        <v>133</v>
      </c>
      <c r="AG134" s="2" t="s">
        <v>158</v>
      </c>
      <c r="AH134" s="2" t="s">
        <v>135</v>
      </c>
      <c r="AI134" s="11" t="s">
        <v>502</v>
      </c>
      <c r="AJ134" s="2" t="s">
        <v>137</v>
      </c>
      <c r="AK134" s="2" t="s">
        <v>137</v>
      </c>
      <c r="AL134" s="2" t="s">
        <v>679</v>
      </c>
    </row>
    <row r="135" customFormat="false" ht="90" hidden="false" customHeight="true" outlineLevel="0" collapsed="false">
      <c r="A135" s="2" t="s">
        <v>680</v>
      </c>
      <c r="B135" s="2" t="s">
        <v>569</v>
      </c>
      <c r="C135" s="2" t="s">
        <v>474</v>
      </c>
      <c r="D135" s="9" t="n">
        <v>519</v>
      </c>
      <c r="E135" s="2" t="s">
        <v>491</v>
      </c>
      <c r="F135" s="2" t="s">
        <v>492</v>
      </c>
      <c r="G135" s="2" t="s">
        <v>524</v>
      </c>
      <c r="H135" s="2" t="s">
        <v>368</v>
      </c>
      <c r="I135" s="2" t="s">
        <v>145</v>
      </c>
      <c r="J135" s="2" t="s">
        <v>369</v>
      </c>
      <c r="K135" s="10" t="b">
        <f aca="false">FALSE()</f>
        <v>0</v>
      </c>
      <c r="L135" s="10" t="b">
        <f aca="false">TRUE()</f>
        <v>1</v>
      </c>
      <c r="M135" s="2" t="s">
        <v>494</v>
      </c>
      <c r="N135" s="2" t="s">
        <v>371</v>
      </c>
      <c r="O135" s="2" t="s">
        <v>495</v>
      </c>
      <c r="P135" s="2" t="n">
        <v>30</v>
      </c>
      <c r="Q135" s="2" t="s">
        <v>496</v>
      </c>
      <c r="R135" s="11" t="s">
        <v>497</v>
      </c>
      <c r="S135" s="11" t="s">
        <v>498</v>
      </c>
      <c r="T135" s="2" t="s">
        <v>219</v>
      </c>
      <c r="U135" s="2" t="s">
        <v>153</v>
      </c>
      <c r="V135" s="2" t="s">
        <v>587</v>
      </c>
      <c r="W135" s="11" t="s">
        <v>645</v>
      </c>
      <c r="X135" s="2"/>
      <c r="Y135" s="2"/>
      <c r="Z135" s="2"/>
      <c r="AA135" s="2"/>
      <c r="AB135" s="2" t="s">
        <v>589</v>
      </c>
      <c r="AC135" s="2" t="s">
        <v>157</v>
      </c>
      <c r="AD135" s="2" t="s">
        <v>354</v>
      </c>
      <c r="AE135" s="10" t="b">
        <f aca="false">FALSE()</f>
        <v>0</v>
      </c>
      <c r="AF135" s="2" t="s">
        <v>133</v>
      </c>
      <c r="AG135" s="2" t="s">
        <v>158</v>
      </c>
      <c r="AH135" s="2" t="s">
        <v>135</v>
      </c>
      <c r="AI135" s="11" t="s">
        <v>502</v>
      </c>
      <c r="AJ135" s="2" t="s">
        <v>137</v>
      </c>
      <c r="AK135" s="2" t="s">
        <v>137</v>
      </c>
      <c r="AL135" s="2" t="s">
        <v>681</v>
      </c>
    </row>
    <row r="136" customFormat="false" ht="90" hidden="false" customHeight="true" outlineLevel="0" collapsed="false">
      <c r="A136" s="2" t="s">
        <v>682</v>
      </c>
      <c r="B136" s="2" t="s">
        <v>569</v>
      </c>
      <c r="C136" s="2" t="s">
        <v>474</v>
      </c>
      <c r="D136" s="9" t="n">
        <v>501</v>
      </c>
      <c r="E136" s="2" t="s">
        <v>491</v>
      </c>
      <c r="F136" s="2" t="s">
        <v>492</v>
      </c>
      <c r="G136" s="2" t="s">
        <v>524</v>
      </c>
      <c r="H136" s="2" t="s">
        <v>368</v>
      </c>
      <c r="I136" s="2" t="s">
        <v>145</v>
      </c>
      <c r="J136" s="2" t="s">
        <v>369</v>
      </c>
      <c r="K136" s="10" t="b">
        <f aca="false">FALSE()</f>
        <v>0</v>
      </c>
      <c r="L136" s="10" t="b">
        <f aca="false">FALSE()</f>
        <v>0</v>
      </c>
      <c r="M136" s="2" t="s">
        <v>494</v>
      </c>
      <c r="N136" s="2" t="s">
        <v>371</v>
      </c>
      <c r="O136" s="2" t="s">
        <v>495</v>
      </c>
      <c r="P136" s="2" t="n">
        <v>30</v>
      </c>
      <c r="Q136" s="2" t="s">
        <v>496</v>
      </c>
      <c r="R136" s="11" t="s">
        <v>497</v>
      </c>
      <c r="S136" s="11" t="s">
        <v>498</v>
      </c>
      <c r="T136" s="2" t="s">
        <v>557</v>
      </c>
      <c r="U136" s="2" t="s">
        <v>153</v>
      </c>
      <c r="V136" s="2" t="s">
        <v>606</v>
      </c>
      <c r="W136" s="11" t="s">
        <v>607</v>
      </c>
      <c r="X136" s="2"/>
      <c r="Y136" s="2"/>
      <c r="Z136" s="2"/>
      <c r="AA136" s="2"/>
      <c r="AB136" s="2" t="s">
        <v>608</v>
      </c>
      <c r="AC136" s="2" t="s">
        <v>131</v>
      </c>
      <c r="AD136" s="2" t="s">
        <v>440</v>
      </c>
      <c r="AE136" s="10" t="b">
        <f aca="false">FALSE()</f>
        <v>0</v>
      </c>
      <c r="AF136" s="2" t="s">
        <v>133</v>
      </c>
      <c r="AG136" s="2" t="s">
        <v>158</v>
      </c>
      <c r="AH136" s="2" t="s">
        <v>135</v>
      </c>
      <c r="AI136" s="11" t="s">
        <v>502</v>
      </c>
      <c r="AJ136" s="2" t="s">
        <v>137</v>
      </c>
      <c r="AK136" s="2" t="s">
        <v>137</v>
      </c>
      <c r="AL136" s="2" t="s">
        <v>683</v>
      </c>
    </row>
    <row r="137" customFormat="false" ht="90" hidden="false" customHeight="true" outlineLevel="0" collapsed="false">
      <c r="A137" s="2" t="s">
        <v>684</v>
      </c>
      <c r="B137" s="2" t="s">
        <v>569</v>
      </c>
      <c r="C137" s="2" t="s">
        <v>474</v>
      </c>
      <c r="D137" s="9" t="n">
        <v>493</v>
      </c>
      <c r="E137" s="2" t="s">
        <v>491</v>
      </c>
      <c r="F137" s="2" t="s">
        <v>492</v>
      </c>
      <c r="G137" s="2" t="s">
        <v>524</v>
      </c>
      <c r="H137" s="2" t="s">
        <v>368</v>
      </c>
      <c r="I137" s="2" t="s">
        <v>145</v>
      </c>
      <c r="J137" s="2" t="s">
        <v>369</v>
      </c>
      <c r="K137" s="10" t="b">
        <f aca="false">FALSE()</f>
        <v>0</v>
      </c>
      <c r="L137" s="10" t="b">
        <f aca="false">FALSE()</f>
        <v>0</v>
      </c>
      <c r="M137" s="2" t="s">
        <v>494</v>
      </c>
      <c r="N137" s="2" t="s">
        <v>371</v>
      </c>
      <c r="O137" s="2" t="s">
        <v>495</v>
      </c>
      <c r="P137" s="2" t="n">
        <v>60</v>
      </c>
      <c r="Q137" s="2" t="s">
        <v>496</v>
      </c>
      <c r="R137" s="11" t="s">
        <v>497</v>
      </c>
      <c r="S137" s="11" t="s">
        <v>498</v>
      </c>
      <c r="T137" s="2"/>
      <c r="U137" s="2" t="s">
        <v>153</v>
      </c>
      <c r="V137" s="2" t="s">
        <v>570</v>
      </c>
      <c r="W137" s="11" t="s">
        <v>575</v>
      </c>
      <c r="X137" s="2"/>
      <c r="Y137" s="2"/>
      <c r="Z137" s="2"/>
      <c r="AA137" s="2"/>
      <c r="AB137" s="2" t="s">
        <v>572</v>
      </c>
      <c r="AC137" s="2" t="s">
        <v>187</v>
      </c>
      <c r="AD137" s="2" t="s">
        <v>132</v>
      </c>
      <c r="AE137" s="10" t="b">
        <f aca="false">FALSE()</f>
        <v>0</v>
      </c>
      <c r="AF137" s="2" t="s">
        <v>133</v>
      </c>
      <c r="AG137" s="2" t="s">
        <v>158</v>
      </c>
      <c r="AH137" s="2" t="s">
        <v>135</v>
      </c>
      <c r="AI137" s="11" t="s">
        <v>502</v>
      </c>
      <c r="AJ137" s="2" t="s">
        <v>137</v>
      </c>
      <c r="AK137" s="2" t="s">
        <v>137</v>
      </c>
      <c r="AL137" s="2" t="s">
        <v>685</v>
      </c>
    </row>
    <row r="138" customFormat="false" ht="90" hidden="false" customHeight="true" outlineLevel="0" collapsed="false">
      <c r="A138" s="2" t="s">
        <v>686</v>
      </c>
      <c r="B138" s="2" t="s">
        <v>569</v>
      </c>
      <c r="C138" s="2" t="s">
        <v>474</v>
      </c>
      <c r="D138" s="9" t="n">
        <v>489</v>
      </c>
      <c r="E138" s="2" t="s">
        <v>491</v>
      </c>
      <c r="F138" s="2" t="s">
        <v>492</v>
      </c>
      <c r="G138" s="2" t="s">
        <v>524</v>
      </c>
      <c r="H138" s="2" t="s">
        <v>368</v>
      </c>
      <c r="I138" s="2" t="s">
        <v>145</v>
      </c>
      <c r="J138" s="2" t="s">
        <v>369</v>
      </c>
      <c r="K138" s="10" t="b">
        <f aca="false">FALSE()</f>
        <v>0</v>
      </c>
      <c r="L138" s="10" t="b">
        <f aca="false">TRUE()</f>
        <v>1</v>
      </c>
      <c r="M138" s="2" t="s">
        <v>494</v>
      </c>
      <c r="N138" s="2" t="s">
        <v>371</v>
      </c>
      <c r="O138" s="2" t="s">
        <v>495</v>
      </c>
      <c r="P138" s="2" t="n">
        <v>30</v>
      </c>
      <c r="Q138" s="2" t="s">
        <v>496</v>
      </c>
      <c r="R138" s="11" t="s">
        <v>497</v>
      </c>
      <c r="S138" s="11" t="s">
        <v>498</v>
      </c>
      <c r="T138" s="2"/>
      <c r="U138" s="2" t="s">
        <v>153</v>
      </c>
      <c r="V138" s="2" t="s">
        <v>658</v>
      </c>
      <c r="W138" s="11" t="s">
        <v>687</v>
      </c>
      <c r="X138" s="2"/>
      <c r="Y138" s="2"/>
      <c r="Z138" s="2"/>
      <c r="AA138" s="2"/>
      <c r="AB138" s="2" t="s">
        <v>528</v>
      </c>
      <c r="AC138" s="2" t="s">
        <v>131</v>
      </c>
      <c r="AD138" s="2" t="s">
        <v>132</v>
      </c>
      <c r="AE138" s="10" t="b">
        <f aca="false">FALSE()</f>
        <v>0</v>
      </c>
      <c r="AF138" s="2" t="s">
        <v>133</v>
      </c>
      <c r="AG138" s="2" t="s">
        <v>158</v>
      </c>
      <c r="AH138" s="2" t="s">
        <v>135</v>
      </c>
      <c r="AI138" s="11" t="s">
        <v>502</v>
      </c>
      <c r="AJ138" s="2" t="s">
        <v>137</v>
      </c>
      <c r="AK138" s="2" t="s">
        <v>137</v>
      </c>
      <c r="AL138" s="2" t="s">
        <v>688</v>
      </c>
    </row>
    <row r="139" customFormat="false" ht="90" hidden="false" customHeight="true" outlineLevel="0" collapsed="false">
      <c r="A139" s="2" t="s">
        <v>689</v>
      </c>
      <c r="B139" s="2" t="s">
        <v>569</v>
      </c>
      <c r="C139" s="2" t="s">
        <v>474</v>
      </c>
      <c r="D139" s="9" t="n">
        <v>489</v>
      </c>
      <c r="E139" s="2" t="s">
        <v>491</v>
      </c>
      <c r="F139" s="2" t="s">
        <v>492</v>
      </c>
      <c r="G139" s="2" t="s">
        <v>524</v>
      </c>
      <c r="H139" s="2" t="s">
        <v>368</v>
      </c>
      <c r="I139" s="2" t="s">
        <v>145</v>
      </c>
      <c r="J139" s="2" t="s">
        <v>369</v>
      </c>
      <c r="K139" s="10" t="b">
        <f aca="false">FALSE()</f>
        <v>0</v>
      </c>
      <c r="L139" s="10" t="b">
        <f aca="false">TRUE()</f>
        <v>1</v>
      </c>
      <c r="M139" s="2" t="s">
        <v>494</v>
      </c>
      <c r="N139" s="2" t="s">
        <v>371</v>
      </c>
      <c r="O139" s="2" t="s">
        <v>495</v>
      </c>
      <c r="P139" s="2" t="n">
        <v>60</v>
      </c>
      <c r="Q139" s="2" t="s">
        <v>496</v>
      </c>
      <c r="R139" s="11" t="s">
        <v>497</v>
      </c>
      <c r="S139" s="11" t="s">
        <v>498</v>
      </c>
      <c r="T139" s="2" t="s">
        <v>219</v>
      </c>
      <c r="U139" s="2" t="s">
        <v>153</v>
      </c>
      <c r="V139" s="2" t="s">
        <v>570</v>
      </c>
      <c r="W139" s="11" t="s">
        <v>571</v>
      </c>
      <c r="X139" s="2"/>
      <c r="Y139" s="2"/>
      <c r="Z139" s="2"/>
      <c r="AA139" s="2"/>
      <c r="AB139" s="2" t="s">
        <v>572</v>
      </c>
      <c r="AC139" s="2" t="s">
        <v>157</v>
      </c>
      <c r="AD139" s="2" t="s">
        <v>132</v>
      </c>
      <c r="AE139" s="10" t="b">
        <f aca="false">FALSE()</f>
        <v>0</v>
      </c>
      <c r="AF139" s="2" t="s">
        <v>133</v>
      </c>
      <c r="AG139" s="2" t="s">
        <v>158</v>
      </c>
      <c r="AH139" s="2" t="s">
        <v>135</v>
      </c>
      <c r="AI139" s="11" t="s">
        <v>502</v>
      </c>
      <c r="AJ139" s="2" t="s">
        <v>137</v>
      </c>
      <c r="AK139" s="2" t="s">
        <v>137</v>
      </c>
      <c r="AL139" s="2" t="s">
        <v>690</v>
      </c>
    </row>
    <row r="140" customFormat="false" ht="90" hidden="false" customHeight="true" outlineLevel="0" collapsed="false">
      <c r="A140" s="2" t="s">
        <v>691</v>
      </c>
      <c r="B140" s="2" t="s">
        <v>569</v>
      </c>
      <c r="C140" s="2" t="s">
        <v>474</v>
      </c>
      <c r="D140" s="9" t="n">
        <v>486</v>
      </c>
      <c r="E140" s="2" t="s">
        <v>491</v>
      </c>
      <c r="F140" s="2" t="s">
        <v>492</v>
      </c>
      <c r="G140" s="2" t="s">
        <v>524</v>
      </c>
      <c r="H140" s="2" t="s">
        <v>368</v>
      </c>
      <c r="I140" s="2" t="s">
        <v>145</v>
      </c>
      <c r="J140" s="2" t="s">
        <v>369</v>
      </c>
      <c r="K140" s="10" t="b">
        <f aca="false">FALSE()</f>
        <v>0</v>
      </c>
      <c r="L140" s="10" t="b">
        <f aca="false">FALSE()</f>
        <v>0</v>
      </c>
      <c r="M140" s="2" t="s">
        <v>494</v>
      </c>
      <c r="N140" s="2" t="s">
        <v>371</v>
      </c>
      <c r="O140" s="2" t="s">
        <v>495</v>
      </c>
      <c r="P140" s="2" t="n">
        <v>60</v>
      </c>
      <c r="Q140" s="2" t="s">
        <v>496</v>
      </c>
      <c r="R140" s="11" t="s">
        <v>497</v>
      </c>
      <c r="S140" s="11" t="s">
        <v>498</v>
      </c>
      <c r="T140" s="2" t="s">
        <v>219</v>
      </c>
      <c r="U140" s="2" t="s">
        <v>153</v>
      </c>
      <c r="V140" s="2" t="s">
        <v>570</v>
      </c>
      <c r="W140" s="11" t="s">
        <v>571</v>
      </c>
      <c r="X140" s="2"/>
      <c r="Y140" s="2"/>
      <c r="Z140" s="2"/>
      <c r="AA140" s="2"/>
      <c r="AB140" s="2" t="s">
        <v>572</v>
      </c>
      <c r="AC140" s="2" t="s">
        <v>157</v>
      </c>
      <c r="AD140" s="2" t="s">
        <v>132</v>
      </c>
      <c r="AE140" s="10" t="b">
        <f aca="false">FALSE()</f>
        <v>0</v>
      </c>
      <c r="AF140" s="2" t="s">
        <v>133</v>
      </c>
      <c r="AG140" s="2" t="s">
        <v>158</v>
      </c>
      <c r="AH140" s="2" t="s">
        <v>135</v>
      </c>
      <c r="AI140" s="11" t="s">
        <v>502</v>
      </c>
      <c r="AJ140" s="2" t="s">
        <v>137</v>
      </c>
      <c r="AK140" s="2" t="s">
        <v>137</v>
      </c>
      <c r="AL140" s="2" t="s">
        <v>692</v>
      </c>
    </row>
    <row r="141" customFormat="false" ht="90" hidden="false" customHeight="true" outlineLevel="0" collapsed="false">
      <c r="A141" s="2" t="s">
        <v>693</v>
      </c>
      <c r="B141" s="2" t="s">
        <v>569</v>
      </c>
      <c r="C141" s="2" t="s">
        <v>474</v>
      </c>
      <c r="D141" s="9" t="n">
        <v>471</v>
      </c>
      <c r="E141" s="2" t="s">
        <v>491</v>
      </c>
      <c r="F141" s="2" t="s">
        <v>492</v>
      </c>
      <c r="G141" s="2" t="s">
        <v>524</v>
      </c>
      <c r="H141" s="2" t="s">
        <v>368</v>
      </c>
      <c r="I141" s="2" t="s">
        <v>145</v>
      </c>
      <c r="J141" s="2" t="s">
        <v>369</v>
      </c>
      <c r="K141" s="10" t="b">
        <f aca="false">FALSE()</f>
        <v>0</v>
      </c>
      <c r="L141" s="10" t="b">
        <f aca="false">TRUE()</f>
        <v>1</v>
      </c>
      <c r="M141" s="2" t="s">
        <v>494</v>
      </c>
      <c r="N141" s="2" t="s">
        <v>371</v>
      </c>
      <c r="O141" s="2" t="s">
        <v>495</v>
      </c>
      <c r="P141" s="2" t="n">
        <v>60</v>
      </c>
      <c r="Q141" s="2" t="s">
        <v>496</v>
      </c>
      <c r="R141" s="11" t="s">
        <v>497</v>
      </c>
      <c r="S141" s="11" t="s">
        <v>498</v>
      </c>
      <c r="T141" s="2" t="s">
        <v>298</v>
      </c>
      <c r="U141" s="2" t="s">
        <v>153</v>
      </c>
      <c r="V141" s="2" t="s">
        <v>570</v>
      </c>
      <c r="W141" s="11" t="s">
        <v>592</v>
      </c>
      <c r="X141" s="2"/>
      <c r="Y141" s="2"/>
      <c r="Z141" s="2"/>
      <c r="AA141" s="2"/>
      <c r="AB141" s="2" t="s">
        <v>572</v>
      </c>
      <c r="AC141" s="2" t="s">
        <v>187</v>
      </c>
      <c r="AD141" s="2" t="s">
        <v>132</v>
      </c>
      <c r="AE141" s="10" t="b">
        <f aca="false">FALSE()</f>
        <v>0</v>
      </c>
      <c r="AF141" s="2" t="s">
        <v>133</v>
      </c>
      <c r="AG141" s="2" t="s">
        <v>158</v>
      </c>
      <c r="AH141" s="2" t="s">
        <v>135</v>
      </c>
      <c r="AI141" s="11" t="s">
        <v>502</v>
      </c>
      <c r="AJ141" s="2" t="s">
        <v>137</v>
      </c>
      <c r="AK141" s="2" t="s">
        <v>137</v>
      </c>
      <c r="AL141" s="2" t="s">
        <v>694</v>
      </c>
    </row>
    <row r="142" customFormat="false" ht="90" hidden="false" customHeight="true" outlineLevel="0" collapsed="false">
      <c r="A142" s="2" t="s">
        <v>695</v>
      </c>
      <c r="B142" s="2" t="s">
        <v>569</v>
      </c>
      <c r="C142" s="2" t="s">
        <v>474</v>
      </c>
      <c r="D142" s="9" t="n">
        <v>468</v>
      </c>
      <c r="E142" s="2" t="s">
        <v>491</v>
      </c>
      <c r="F142" s="2" t="s">
        <v>492</v>
      </c>
      <c r="G142" s="2" t="s">
        <v>524</v>
      </c>
      <c r="H142" s="2" t="s">
        <v>368</v>
      </c>
      <c r="I142" s="2" t="s">
        <v>145</v>
      </c>
      <c r="J142" s="2" t="s">
        <v>369</v>
      </c>
      <c r="K142" s="10" t="b">
        <f aca="false">FALSE()</f>
        <v>0</v>
      </c>
      <c r="L142" s="10" t="b">
        <f aca="false">TRUE()</f>
        <v>1</v>
      </c>
      <c r="M142" s="2" t="s">
        <v>494</v>
      </c>
      <c r="N142" s="2" t="s">
        <v>371</v>
      </c>
      <c r="O142" s="2" t="s">
        <v>495</v>
      </c>
      <c r="P142" s="2" t="n">
        <v>60</v>
      </c>
      <c r="Q142" s="2" t="s">
        <v>496</v>
      </c>
      <c r="R142" s="11" t="s">
        <v>497</v>
      </c>
      <c r="S142" s="11" t="s">
        <v>498</v>
      </c>
      <c r="T142" s="2" t="s">
        <v>219</v>
      </c>
      <c r="U142" s="2" t="s">
        <v>153</v>
      </c>
      <c r="V142" s="2" t="s">
        <v>570</v>
      </c>
      <c r="W142" s="11" t="s">
        <v>592</v>
      </c>
      <c r="X142" s="2"/>
      <c r="Y142" s="2"/>
      <c r="Z142" s="2"/>
      <c r="AA142" s="2"/>
      <c r="AB142" s="2" t="s">
        <v>572</v>
      </c>
      <c r="AC142" s="2" t="s">
        <v>157</v>
      </c>
      <c r="AD142" s="2" t="s">
        <v>132</v>
      </c>
      <c r="AE142" s="10" t="b">
        <f aca="false">FALSE()</f>
        <v>0</v>
      </c>
      <c r="AF142" s="2" t="s">
        <v>133</v>
      </c>
      <c r="AG142" s="2" t="s">
        <v>158</v>
      </c>
      <c r="AH142" s="2" t="s">
        <v>135</v>
      </c>
      <c r="AI142" s="11" t="s">
        <v>502</v>
      </c>
      <c r="AJ142" s="2" t="s">
        <v>137</v>
      </c>
      <c r="AK142" s="2" t="s">
        <v>137</v>
      </c>
      <c r="AL142" s="2" t="s">
        <v>696</v>
      </c>
    </row>
    <row r="143" customFormat="false" ht="90" hidden="false" customHeight="true" outlineLevel="0" collapsed="false">
      <c r="A143" s="2" t="s">
        <v>697</v>
      </c>
      <c r="B143" s="2" t="s">
        <v>569</v>
      </c>
      <c r="C143" s="2" t="s">
        <v>474</v>
      </c>
      <c r="D143" s="9" t="n">
        <v>461</v>
      </c>
      <c r="E143" s="2" t="s">
        <v>491</v>
      </c>
      <c r="F143" s="2" t="s">
        <v>492</v>
      </c>
      <c r="G143" s="2" t="s">
        <v>524</v>
      </c>
      <c r="H143" s="2" t="s">
        <v>368</v>
      </c>
      <c r="I143" s="2" t="s">
        <v>145</v>
      </c>
      <c r="J143" s="2" t="s">
        <v>369</v>
      </c>
      <c r="K143" s="10" t="b">
        <f aca="false">FALSE()</f>
        <v>0</v>
      </c>
      <c r="L143" s="10" t="b">
        <f aca="false">FALSE()</f>
        <v>0</v>
      </c>
      <c r="M143" s="2" t="s">
        <v>494</v>
      </c>
      <c r="N143" s="2" t="s">
        <v>371</v>
      </c>
      <c r="O143" s="2" t="s">
        <v>495</v>
      </c>
      <c r="P143" s="2" t="n">
        <v>30</v>
      </c>
      <c r="Q143" s="2" t="s">
        <v>496</v>
      </c>
      <c r="R143" s="11" t="s">
        <v>497</v>
      </c>
      <c r="S143" s="11" t="s">
        <v>498</v>
      </c>
      <c r="T143" s="2" t="s">
        <v>632</v>
      </c>
      <c r="U143" s="2" t="s">
        <v>153</v>
      </c>
      <c r="V143" s="2" t="s">
        <v>606</v>
      </c>
      <c r="W143" s="11" t="s">
        <v>607</v>
      </c>
      <c r="X143" s="2"/>
      <c r="Y143" s="2"/>
      <c r="Z143" s="2"/>
      <c r="AA143" s="2"/>
      <c r="AB143" s="2" t="s">
        <v>608</v>
      </c>
      <c r="AC143" s="2" t="s">
        <v>131</v>
      </c>
      <c r="AD143" s="2" t="s">
        <v>440</v>
      </c>
      <c r="AE143" s="10" t="b">
        <f aca="false">FALSE()</f>
        <v>0</v>
      </c>
      <c r="AF143" s="2" t="s">
        <v>133</v>
      </c>
      <c r="AG143" s="2" t="s">
        <v>158</v>
      </c>
      <c r="AH143" s="2" t="s">
        <v>135</v>
      </c>
      <c r="AI143" s="11" t="s">
        <v>502</v>
      </c>
      <c r="AJ143" s="2" t="s">
        <v>137</v>
      </c>
      <c r="AK143" s="2" t="s">
        <v>137</v>
      </c>
      <c r="AL143" s="2" t="s">
        <v>698</v>
      </c>
    </row>
    <row r="144" customFormat="false" ht="90" hidden="false" customHeight="true" outlineLevel="0" collapsed="false">
      <c r="A144" s="2" t="s">
        <v>699</v>
      </c>
      <c r="B144" s="2" t="s">
        <v>569</v>
      </c>
      <c r="C144" s="2" t="s">
        <v>474</v>
      </c>
      <c r="D144" s="9" t="n">
        <v>459</v>
      </c>
      <c r="E144" s="2" t="s">
        <v>491</v>
      </c>
      <c r="F144" s="2" t="s">
        <v>492</v>
      </c>
      <c r="G144" s="2" t="s">
        <v>524</v>
      </c>
      <c r="H144" s="2" t="s">
        <v>368</v>
      </c>
      <c r="I144" s="2" t="s">
        <v>145</v>
      </c>
      <c r="J144" s="2" t="s">
        <v>369</v>
      </c>
      <c r="K144" s="10" t="b">
        <f aca="false">FALSE()</f>
        <v>0</v>
      </c>
      <c r="L144" s="10" t="b">
        <f aca="false">TRUE()</f>
        <v>1</v>
      </c>
      <c r="M144" s="2" t="s">
        <v>494</v>
      </c>
      <c r="N144" s="2" t="s">
        <v>371</v>
      </c>
      <c r="O144" s="2" t="s">
        <v>495</v>
      </c>
      <c r="P144" s="2" t="n">
        <v>60</v>
      </c>
      <c r="Q144" s="2" t="s">
        <v>496</v>
      </c>
      <c r="R144" s="11" t="s">
        <v>497</v>
      </c>
      <c r="S144" s="11" t="s">
        <v>498</v>
      </c>
      <c r="T144" s="2"/>
      <c r="U144" s="2" t="s">
        <v>153</v>
      </c>
      <c r="V144" s="2" t="s">
        <v>570</v>
      </c>
      <c r="W144" s="11" t="s">
        <v>592</v>
      </c>
      <c r="X144" s="2"/>
      <c r="Y144" s="2"/>
      <c r="Z144" s="2"/>
      <c r="AA144" s="2"/>
      <c r="AB144" s="2" t="s">
        <v>572</v>
      </c>
      <c r="AC144" s="2" t="s">
        <v>187</v>
      </c>
      <c r="AD144" s="2" t="s">
        <v>132</v>
      </c>
      <c r="AE144" s="10" t="b">
        <f aca="false">FALSE()</f>
        <v>0</v>
      </c>
      <c r="AF144" s="2" t="s">
        <v>133</v>
      </c>
      <c r="AG144" s="2" t="s">
        <v>158</v>
      </c>
      <c r="AH144" s="2" t="s">
        <v>135</v>
      </c>
      <c r="AI144" s="11" t="s">
        <v>502</v>
      </c>
      <c r="AJ144" s="2" t="s">
        <v>137</v>
      </c>
      <c r="AK144" s="2" t="s">
        <v>137</v>
      </c>
      <c r="AL144" s="2" t="s">
        <v>700</v>
      </c>
    </row>
    <row r="145" customFormat="false" ht="90" hidden="false" customHeight="true" outlineLevel="0" collapsed="false">
      <c r="A145" s="2" t="s">
        <v>701</v>
      </c>
      <c r="B145" s="2" t="s">
        <v>569</v>
      </c>
      <c r="C145" s="2" t="s">
        <v>474</v>
      </c>
      <c r="D145" s="9" t="n">
        <v>457</v>
      </c>
      <c r="E145" s="2" t="s">
        <v>491</v>
      </c>
      <c r="F145" s="2" t="s">
        <v>492</v>
      </c>
      <c r="G145" s="2" t="s">
        <v>524</v>
      </c>
      <c r="H145" s="2" t="s">
        <v>368</v>
      </c>
      <c r="I145" s="2" t="s">
        <v>145</v>
      </c>
      <c r="J145" s="2" t="s">
        <v>369</v>
      </c>
      <c r="K145" s="10" t="b">
        <f aca="false">FALSE()</f>
        <v>0</v>
      </c>
      <c r="L145" s="10" t="b">
        <f aca="false">FALSE()</f>
        <v>0</v>
      </c>
      <c r="M145" s="2" t="s">
        <v>494</v>
      </c>
      <c r="N145" s="2" t="s">
        <v>371</v>
      </c>
      <c r="O145" s="2" t="s">
        <v>495</v>
      </c>
      <c r="P145" s="2" t="n">
        <v>30</v>
      </c>
      <c r="Q145" s="2" t="s">
        <v>496</v>
      </c>
      <c r="R145" s="11" t="s">
        <v>497</v>
      </c>
      <c r="S145" s="11" t="s">
        <v>498</v>
      </c>
      <c r="T145" s="2" t="s">
        <v>632</v>
      </c>
      <c r="U145" s="2" t="s">
        <v>153</v>
      </c>
      <c r="V145" s="2" t="s">
        <v>606</v>
      </c>
      <c r="W145" s="11" t="s">
        <v>607</v>
      </c>
      <c r="X145" s="2"/>
      <c r="Y145" s="2"/>
      <c r="Z145" s="2"/>
      <c r="AA145" s="2"/>
      <c r="AB145" s="2" t="s">
        <v>608</v>
      </c>
      <c r="AC145" s="2" t="s">
        <v>131</v>
      </c>
      <c r="AD145" s="2" t="s">
        <v>440</v>
      </c>
      <c r="AE145" s="10" t="b">
        <f aca="false">FALSE()</f>
        <v>0</v>
      </c>
      <c r="AF145" s="2" t="s">
        <v>133</v>
      </c>
      <c r="AG145" s="2" t="s">
        <v>158</v>
      </c>
      <c r="AH145" s="2" t="s">
        <v>135</v>
      </c>
      <c r="AI145" s="11" t="s">
        <v>502</v>
      </c>
      <c r="AJ145" s="2" t="s">
        <v>137</v>
      </c>
      <c r="AK145" s="2" t="s">
        <v>137</v>
      </c>
      <c r="AL145" s="2" t="s">
        <v>702</v>
      </c>
    </row>
    <row r="146" customFormat="false" ht="90" hidden="false" customHeight="true" outlineLevel="0" collapsed="false">
      <c r="A146" s="2" t="s">
        <v>703</v>
      </c>
      <c r="B146" s="2" t="s">
        <v>569</v>
      </c>
      <c r="C146" s="2" t="s">
        <v>474</v>
      </c>
      <c r="D146" s="9" t="n">
        <v>454</v>
      </c>
      <c r="E146" s="2" t="s">
        <v>475</v>
      </c>
      <c r="F146" s="2" t="s">
        <v>492</v>
      </c>
      <c r="G146" s="2" t="s">
        <v>595</v>
      </c>
      <c r="H146" s="2" t="s">
        <v>368</v>
      </c>
      <c r="I146" s="2" t="s">
        <v>145</v>
      </c>
      <c r="J146" s="2" t="s">
        <v>369</v>
      </c>
      <c r="K146" s="10" t="b">
        <f aca="false">FALSE()</f>
        <v>0</v>
      </c>
      <c r="L146" s="10" t="b">
        <f aca="false">TRUE()</f>
        <v>1</v>
      </c>
      <c r="M146" s="2" t="s">
        <v>494</v>
      </c>
      <c r="N146" s="2" t="s">
        <v>371</v>
      </c>
      <c r="O146" s="2" t="s">
        <v>495</v>
      </c>
      <c r="P146" s="2" t="n">
        <v>60</v>
      </c>
      <c r="Q146" s="2" t="s">
        <v>496</v>
      </c>
      <c r="R146" s="11" t="s">
        <v>497</v>
      </c>
      <c r="S146" s="11" t="s">
        <v>498</v>
      </c>
      <c r="T146" s="2" t="s">
        <v>163</v>
      </c>
      <c r="U146" s="2" t="s">
        <v>153</v>
      </c>
      <c r="V146" s="2" t="s">
        <v>570</v>
      </c>
      <c r="W146" s="11" t="s">
        <v>571</v>
      </c>
      <c r="X146" s="2"/>
      <c r="Y146" s="2"/>
      <c r="Z146" s="2"/>
      <c r="AA146" s="2"/>
      <c r="AB146" s="2" t="s">
        <v>572</v>
      </c>
      <c r="AC146" s="2" t="s">
        <v>157</v>
      </c>
      <c r="AD146" s="2" t="s">
        <v>354</v>
      </c>
      <c r="AE146" s="10" t="b">
        <f aca="false">FALSE()</f>
        <v>0</v>
      </c>
      <c r="AF146" s="2" t="s">
        <v>133</v>
      </c>
      <c r="AG146" s="2" t="s">
        <v>158</v>
      </c>
      <c r="AH146" s="2" t="s">
        <v>135</v>
      </c>
      <c r="AI146" s="11" t="s">
        <v>502</v>
      </c>
      <c r="AJ146" s="2" t="s">
        <v>137</v>
      </c>
      <c r="AK146" s="2" t="s">
        <v>137</v>
      </c>
      <c r="AL146" s="2" t="s">
        <v>704</v>
      </c>
    </row>
    <row r="147" customFormat="false" ht="90" hidden="false" customHeight="true" outlineLevel="0" collapsed="false">
      <c r="A147" s="2" t="s">
        <v>705</v>
      </c>
      <c r="B147" s="2" t="s">
        <v>569</v>
      </c>
      <c r="C147" s="2" t="s">
        <v>474</v>
      </c>
      <c r="D147" s="9" t="n">
        <v>447</v>
      </c>
      <c r="E147" s="2" t="s">
        <v>491</v>
      </c>
      <c r="F147" s="2" t="s">
        <v>492</v>
      </c>
      <c r="G147" s="2" t="s">
        <v>524</v>
      </c>
      <c r="H147" s="2" t="s">
        <v>368</v>
      </c>
      <c r="I147" s="2" t="s">
        <v>145</v>
      </c>
      <c r="J147" s="2" t="s">
        <v>369</v>
      </c>
      <c r="K147" s="10" t="b">
        <f aca="false">FALSE()</f>
        <v>0</v>
      </c>
      <c r="L147" s="10" t="b">
        <f aca="false">TRUE()</f>
        <v>1</v>
      </c>
      <c r="M147" s="2" t="s">
        <v>494</v>
      </c>
      <c r="N147" s="2" t="s">
        <v>371</v>
      </c>
      <c r="O147" s="2" t="s">
        <v>495</v>
      </c>
      <c r="P147" s="2" t="n">
        <v>60</v>
      </c>
      <c r="Q147" s="2" t="s">
        <v>496</v>
      </c>
      <c r="R147" s="11" t="s">
        <v>497</v>
      </c>
      <c r="S147" s="11" t="s">
        <v>498</v>
      </c>
      <c r="T147" s="2" t="s">
        <v>219</v>
      </c>
      <c r="U147" s="2" t="s">
        <v>153</v>
      </c>
      <c r="V147" s="2" t="s">
        <v>570</v>
      </c>
      <c r="W147" s="11" t="s">
        <v>571</v>
      </c>
      <c r="X147" s="2"/>
      <c r="Y147" s="2"/>
      <c r="Z147" s="2"/>
      <c r="AA147" s="2"/>
      <c r="AB147" s="2" t="s">
        <v>572</v>
      </c>
      <c r="AC147" s="2" t="s">
        <v>157</v>
      </c>
      <c r="AD147" s="2" t="s">
        <v>132</v>
      </c>
      <c r="AE147" s="10" t="b">
        <f aca="false">FALSE()</f>
        <v>0</v>
      </c>
      <c r="AF147" s="2" t="s">
        <v>133</v>
      </c>
      <c r="AG147" s="2" t="s">
        <v>158</v>
      </c>
      <c r="AH147" s="2" t="s">
        <v>135</v>
      </c>
      <c r="AI147" s="11" t="s">
        <v>502</v>
      </c>
      <c r="AJ147" s="2" t="s">
        <v>137</v>
      </c>
      <c r="AK147" s="2" t="s">
        <v>137</v>
      </c>
      <c r="AL147" s="2" t="s">
        <v>706</v>
      </c>
    </row>
    <row r="148" customFormat="false" ht="90" hidden="false" customHeight="true" outlineLevel="0" collapsed="false">
      <c r="A148" s="2" t="s">
        <v>707</v>
      </c>
      <c r="B148" s="2" t="s">
        <v>569</v>
      </c>
      <c r="C148" s="2" t="s">
        <v>474</v>
      </c>
      <c r="D148" s="9" t="n">
        <v>446</v>
      </c>
      <c r="E148" s="2" t="s">
        <v>491</v>
      </c>
      <c r="F148" s="2" t="s">
        <v>492</v>
      </c>
      <c r="G148" s="2" t="s">
        <v>524</v>
      </c>
      <c r="H148" s="2" t="s">
        <v>368</v>
      </c>
      <c r="I148" s="2" t="s">
        <v>145</v>
      </c>
      <c r="J148" s="2" t="s">
        <v>369</v>
      </c>
      <c r="K148" s="10" t="b">
        <f aca="false">FALSE()</f>
        <v>0</v>
      </c>
      <c r="L148" s="10" t="b">
        <f aca="false">TRUE()</f>
        <v>1</v>
      </c>
      <c r="M148" s="2" t="s">
        <v>494</v>
      </c>
      <c r="N148" s="2" t="s">
        <v>371</v>
      </c>
      <c r="O148" s="2" t="s">
        <v>495</v>
      </c>
      <c r="P148" s="2" t="n">
        <v>60</v>
      </c>
      <c r="Q148" s="2" t="s">
        <v>496</v>
      </c>
      <c r="R148" s="11" t="s">
        <v>497</v>
      </c>
      <c r="S148" s="11" t="s">
        <v>498</v>
      </c>
      <c r="T148" s="2" t="s">
        <v>219</v>
      </c>
      <c r="U148" s="2" t="s">
        <v>153</v>
      </c>
      <c r="V148" s="2" t="s">
        <v>570</v>
      </c>
      <c r="W148" s="11" t="s">
        <v>571</v>
      </c>
      <c r="X148" s="2"/>
      <c r="Y148" s="2"/>
      <c r="Z148" s="2"/>
      <c r="AA148" s="2"/>
      <c r="AB148" s="2" t="s">
        <v>572</v>
      </c>
      <c r="AC148" s="2" t="s">
        <v>157</v>
      </c>
      <c r="AD148" s="2" t="s">
        <v>132</v>
      </c>
      <c r="AE148" s="10" t="b">
        <f aca="false">FALSE()</f>
        <v>0</v>
      </c>
      <c r="AF148" s="2" t="s">
        <v>133</v>
      </c>
      <c r="AG148" s="2" t="s">
        <v>158</v>
      </c>
      <c r="AH148" s="2" t="s">
        <v>135</v>
      </c>
      <c r="AI148" s="11" t="s">
        <v>502</v>
      </c>
      <c r="AJ148" s="2" t="s">
        <v>137</v>
      </c>
      <c r="AK148" s="2" t="s">
        <v>137</v>
      </c>
      <c r="AL148" s="2" t="s">
        <v>708</v>
      </c>
    </row>
    <row r="149" customFormat="false" ht="90" hidden="false" customHeight="true" outlineLevel="0" collapsed="false">
      <c r="A149" s="2" t="s">
        <v>709</v>
      </c>
      <c r="B149" s="2" t="s">
        <v>569</v>
      </c>
      <c r="C149" s="2" t="s">
        <v>474</v>
      </c>
      <c r="D149" s="9" t="n">
        <v>443</v>
      </c>
      <c r="E149" s="2" t="s">
        <v>491</v>
      </c>
      <c r="F149" s="2" t="s">
        <v>492</v>
      </c>
      <c r="G149" s="2" t="s">
        <v>524</v>
      </c>
      <c r="H149" s="2" t="s">
        <v>368</v>
      </c>
      <c r="I149" s="2" t="s">
        <v>145</v>
      </c>
      <c r="J149" s="2" t="s">
        <v>369</v>
      </c>
      <c r="K149" s="10" t="b">
        <f aca="false">FALSE()</f>
        <v>0</v>
      </c>
      <c r="L149" s="10" t="b">
        <f aca="false">TRUE()</f>
        <v>1</v>
      </c>
      <c r="M149" s="2" t="s">
        <v>494</v>
      </c>
      <c r="N149" s="2" t="s">
        <v>371</v>
      </c>
      <c r="O149" s="2" t="s">
        <v>495</v>
      </c>
      <c r="P149" s="2" t="n">
        <v>60</v>
      </c>
      <c r="Q149" s="2" t="s">
        <v>496</v>
      </c>
      <c r="R149" s="11" t="s">
        <v>497</v>
      </c>
      <c r="S149" s="11" t="s">
        <v>498</v>
      </c>
      <c r="T149" s="2" t="s">
        <v>219</v>
      </c>
      <c r="U149" s="2" t="s">
        <v>153</v>
      </c>
      <c r="V149" s="2" t="s">
        <v>570</v>
      </c>
      <c r="W149" s="11" t="s">
        <v>592</v>
      </c>
      <c r="X149" s="2"/>
      <c r="Y149" s="2"/>
      <c r="Z149" s="2"/>
      <c r="AA149" s="2"/>
      <c r="AB149" s="2" t="s">
        <v>572</v>
      </c>
      <c r="AC149" s="2" t="s">
        <v>157</v>
      </c>
      <c r="AD149" s="2" t="s">
        <v>132</v>
      </c>
      <c r="AE149" s="10" t="b">
        <f aca="false">FALSE()</f>
        <v>0</v>
      </c>
      <c r="AF149" s="2" t="s">
        <v>133</v>
      </c>
      <c r="AG149" s="2" t="s">
        <v>158</v>
      </c>
      <c r="AH149" s="2" t="s">
        <v>135</v>
      </c>
      <c r="AI149" s="11" t="s">
        <v>502</v>
      </c>
      <c r="AJ149" s="2" t="s">
        <v>137</v>
      </c>
      <c r="AK149" s="2" t="s">
        <v>137</v>
      </c>
      <c r="AL149" s="2" t="s">
        <v>710</v>
      </c>
    </row>
    <row r="150" customFormat="false" ht="90" hidden="false" customHeight="true" outlineLevel="0" collapsed="false">
      <c r="A150" s="2" t="s">
        <v>711</v>
      </c>
      <c r="B150" s="2" t="s">
        <v>569</v>
      </c>
      <c r="C150" s="2" t="s">
        <v>474</v>
      </c>
      <c r="D150" s="9" t="n">
        <v>442</v>
      </c>
      <c r="E150" s="2" t="s">
        <v>491</v>
      </c>
      <c r="F150" s="2" t="s">
        <v>492</v>
      </c>
      <c r="G150" s="2" t="s">
        <v>524</v>
      </c>
      <c r="H150" s="2" t="s">
        <v>368</v>
      </c>
      <c r="I150" s="2" t="s">
        <v>145</v>
      </c>
      <c r="J150" s="2" t="s">
        <v>369</v>
      </c>
      <c r="K150" s="10" t="b">
        <f aca="false">FALSE()</f>
        <v>0</v>
      </c>
      <c r="L150" s="10" t="b">
        <f aca="false">FALSE()</f>
        <v>0</v>
      </c>
      <c r="M150" s="2" t="s">
        <v>494</v>
      </c>
      <c r="N150" s="2" t="s">
        <v>371</v>
      </c>
      <c r="O150" s="2" t="s">
        <v>495</v>
      </c>
      <c r="P150" s="2" t="n">
        <v>30</v>
      </c>
      <c r="Q150" s="2" t="s">
        <v>496</v>
      </c>
      <c r="R150" s="11" t="s">
        <v>497</v>
      </c>
      <c r="S150" s="11" t="s">
        <v>498</v>
      </c>
      <c r="T150" s="2" t="s">
        <v>557</v>
      </c>
      <c r="U150" s="2" t="s">
        <v>153</v>
      </c>
      <c r="V150" s="2" t="s">
        <v>606</v>
      </c>
      <c r="W150" s="11" t="s">
        <v>607</v>
      </c>
      <c r="X150" s="2"/>
      <c r="Y150" s="2"/>
      <c r="Z150" s="2"/>
      <c r="AA150" s="2"/>
      <c r="AB150" s="2" t="s">
        <v>608</v>
      </c>
      <c r="AC150" s="2" t="s">
        <v>131</v>
      </c>
      <c r="AD150" s="2" t="s">
        <v>440</v>
      </c>
      <c r="AE150" s="10" t="b">
        <f aca="false">FALSE()</f>
        <v>0</v>
      </c>
      <c r="AF150" s="2" t="s">
        <v>133</v>
      </c>
      <c r="AG150" s="2" t="s">
        <v>158</v>
      </c>
      <c r="AH150" s="2" t="s">
        <v>135</v>
      </c>
      <c r="AI150" s="11" t="s">
        <v>502</v>
      </c>
      <c r="AJ150" s="2" t="s">
        <v>137</v>
      </c>
      <c r="AK150" s="2" t="s">
        <v>137</v>
      </c>
      <c r="AL150" s="2" t="s">
        <v>712</v>
      </c>
    </row>
    <row r="151" customFormat="false" ht="90" hidden="false" customHeight="true" outlineLevel="0" collapsed="false">
      <c r="A151" s="2" t="s">
        <v>713</v>
      </c>
      <c r="B151" s="2" t="s">
        <v>569</v>
      </c>
      <c r="C151" s="2" t="s">
        <v>474</v>
      </c>
      <c r="D151" s="9" t="n">
        <v>422</v>
      </c>
      <c r="E151" s="2" t="s">
        <v>491</v>
      </c>
      <c r="F151" s="2" t="s">
        <v>492</v>
      </c>
      <c r="G151" s="2" t="s">
        <v>524</v>
      </c>
      <c r="H151" s="2" t="s">
        <v>368</v>
      </c>
      <c r="I151" s="2" t="s">
        <v>145</v>
      </c>
      <c r="J151" s="2" t="s">
        <v>369</v>
      </c>
      <c r="K151" s="10" t="b">
        <f aca="false">FALSE()</f>
        <v>0</v>
      </c>
      <c r="L151" s="10" t="b">
        <f aca="false">FALSE()</f>
        <v>0</v>
      </c>
      <c r="M151" s="2" t="s">
        <v>494</v>
      </c>
      <c r="N151" s="2" t="s">
        <v>371</v>
      </c>
      <c r="O151" s="2" t="s">
        <v>495</v>
      </c>
      <c r="P151" s="2" t="n">
        <v>30</v>
      </c>
      <c r="Q151" s="2" t="s">
        <v>496</v>
      </c>
      <c r="R151" s="11" t="s">
        <v>497</v>
      </c>
      <c r="S151" s="11" t="s">
        <v>498</v>
      </c>
      <c r="T151" s="11" t="s">
        <v>714</v>
      </c>
      <c r="U151" s="2" t="s">
        <v>153</v>
      </c>
      <c r="V151" s="2" t="s">
        <v>658</v>
      </c>
      <c r="W151" s="11" t="s">
        <v>687</v>
      </c>
      <c r="X151" s="2"/>
      <c r="Y151" s="2"/>
      <c r="Z151" s="2"/>
      <c r="AA151" s="2"/>
      <c r="AB151" s="2" t="s">
        <v>528</v>
      </c>
      <c r="AC151" s="2" t="s">
        <v>131</v>
      </c>
      <c r="AD151" s="2" t="s">
        <v>132</v>
      </c>
      <c r="AE151" s="10" t="b">
        <f aca="false">FALSE()</f>
        <v>0</v>
      </c>
      <c r="AF151" s="2" t="s">
        <v>133</v>
      </c>
      <c r="AG151" s="2" t="s">
        <v>158</v>
      </c>
      <c r="AH151" s="2" t="s">
        <v>135</v>
      </c>
      <c r="AI151" s="11" t="s">
        <v>502</v>
      </c>
      <c r="AJ151" s="2" t="s">
        <v>137</v>
      </c>
      <c r="AK151" s="2" t="s">
        <v>137</v>
      </c>
      <c r="AL151" s="2" t="s">
        <v>715</v>
      </c>
    </row>
    <row r="152" customFormat="false" ht="90" hidden="false" customHeight="true" outlineLevel="0" collapsed="false">
      <c r="A152" s="2" t="s">
        <v>716</v>
      </c>
      <c r="B152" s="2" t="s">
        <v>569</v>
      </c>
      <c r="C152" s="2" t="s">
        <v>474</v>
      </c>
      <c r="D152" s="9" t="n">
        <v>416</v>
      </c>
      <c r="E152" s="2" t="s">
        <v>491</v>
      </c>
      <c r="F152" s="2" t="s">
        <v>492</v>
      </c>
      <c r="G152" s="2" t="s">
        <v>524</v>
      </c>
      <c r="H152" s="2" t="s">
        <v>368</v>
      </c>
      <c r="I152" s="2" t="s">
        <v>145</v>
      </c>
      <c r="J152" s="2" t="s">
        <v>369</v>
      </c>
      <c r="K152" s="10" t="b">
        <f aca="false">FALSE()</f>
        <v>0</v>
      </c>
      <c r="L152" s="10" t="b">
        <f aca="false">FALSE()</f>
        <v>0</v>
      </c>
      <c r="M152" s="2" t="s">
        <v>494</v>
      </c>
      <c r="N152" s="2" t="s">
        <v>371</v>
      </c>
      <c r="O152" s="2" t="s">
        <v>495</v>
      </c>
      <c r="P152" s="2" t="n">
        <v>30</v>
      </c>
      <c r="Q152" s="2" t="s">
        <v>496</v>
      </c>
      <c r="R152" s="11" t="s">
        <v>497</v>
      </c>
      <c r="S152" s="11" t="s">
        <v>498</v>
      </c>
      <c r="T152" s="2" t="s">
        <v>219</v>
      </c>
      <c r="U152" s="2" t="s">
        <v>153</v>
      </c>
      <c r="V152" s="2" t="s">
        <v>658</v>
      </c>
      <c r="W152" s="11" t="s">
        <v>687</v>
      </c>
      <c r="X152" s="2"/>
      <c r="Y152" s="2"/>
      <c r="Z152" s="2"/>
      <c r="AA152" s="2"/>
      <c r="AB152" s="2" t="s">
        <v>528</v>
      </c>
      <c r="AC152" s="2" t="s">
        <v>157</v>
      </c>
      <c r="AD152" s="2" t="s">
        <v>132</v>
      </c>
      <c r="AE152" s="10" t="b">
        <f aca="false">FALSE()</f>
        <v>0</v>
      </c>
      <c r="AF152" s="2" t="s">
        <v>133</v>
      </c>
      <c r="AG152" s="2" t="s">
        <v>158</v>
      </c>
      <c r="AH152" s="2" t="s">
        <v>135</v>
      </c>
      <c r="AI152" s="11" t="s">
        <v>502</v>
      </c>
      <c r="AJ152" s="2" t="s">
        <v>137</v>
      </c>
      <c r="AK152" s="2" t="s">
        <v>137</v>
      </c>
      <c r="AL152" s="2" t="s">
        <v>717</v>
      </c>
    </row>
    <row r="153" customFormat="false" ht="90" hidden="false" customHeight="true" outlineLevel="0" collapsed="false">
      <c r="A153" s="2" t="s">
        <v>718</v>
      </c>
      <c r="B153" s="2" t="s">
        <v>569</v>
      </c>
      <c r="C153" s="2" t="s">
        <v>474</v>
      </c>
      <c r="D153" s="9" t="n">
        <v>399</v>
      </c>
      <c r="E153" s="2" t="s">
        <v>491</v>
      </c>
      <c r="F153" s="2" t="s">
        <v>492</v>
      </c>
      <c r="G153" s="2" t="s">
        <v>524</v>
      </c>
      <c r="H153" s="2" t="s">
        <v>368</v>
      </c>
      <c r="I153" s="2" t="s">
        <v>145</v>
      </c>
      <c r="J153" s="2" t="s">
        <v>369</v>
      </c>
      <c r="K153" s="10" t="b">
        <f aca="false">FALSE()</f>
        <v>0</v>
      </c>
      <c r="L153" s="10" t="b">
        <f aca="false">FALSE()</f>
        <v>0</v>
      </c>
      <c r="M153" s="2" t="s">
        <v>494</v>
      </c>
      <c r="N153" s="2" t="s">
        <v>371</v>
      </c>
      <c r="O153" s="2" t="s">
        <v>495</v>
      </c>
      <c r="P153" s="2" t="n">
        <v>60</v>
      </c>
      <c r="Q153" s="2" t="s">
        <v>496</v>
      </c>
      <c r="R153" s="11" t="s">
        <v>497</v>
      </c>
      <c r="S153" s="11" t="s">
        <v>498</v>
      </c>
      <c r="T153" s="2" t="s">
        <v>219</v>
      </c>
      <c r="U153" s="2" t="s">
        <v>153</v>
      </c>
      <c r="V153" s="2" t="s">
        <v>570</v>
      </c>
      <c r="W153" s="11" t="s">
        <v>571</v>
      </c>
      <c r="X153" s="2"/>
      <c r="Y153" s="2"/>
      <c r="Z153" s="2"/>
      <c r="AA153" s="2"/>
      <c r="AB153" s="2" t="s">
        <v>572</v>
      </c>
      <c r="AC153" s="2" t="s">
        <v>157</v>
      </c>
      <c r="AD153" s="2" t="s">
        <v>132</v>
      </c>
      <c r="AE153" s="10" t="b">
        <f aca="false">FALSE()</f>
        <v>0</v>
      </c>
      <c r="AF153" s="2" t="s">
        <v>133</v>
      </c>
      <c r="AG153" s="2" t="s">
        <v>158</v>
      </c>
      <c r="AH153" s="2" t="s">
        <v>135</v>
      </c>
      <c r="AI153" s="11" t="s">
        <v>502</v>
      </c>
      <c r="AJ153" s="2" t="s">
        <v>137</v>
      </c>
      <c r="AK153" s="2" t="s">
        <v>137</v>
      </c>
      <c r="AL153" s="2" t="s">
        <v>719</v>
      </c>
    </row>
    <row r="154" customFormat="false" ht="90" hidden="false" customHeight="true" outlineLevel="0" collapsed="false">
      <c r="A154" s="2" t="s">
        <v>720</v>
      </c>
      <c r="B154" s="2" t="s">
        <v>569</v>
      </c>
      <c r="C154" s="2" t="s">
        <v>474</v>
      </c>
      <c r="D154" s="9" t="n">
        <v>395</v>
      </c>
      <c r="E154" s="2" t="s">
        <v>491</v>
      </c>
      <c r="F154" s="2" t="s">
        <v>492</v>
      </c>
      <c r="G154" s="2" t="s">
        <v>524</v>
      </c>
      <c r="H154" s="2" t="s">
        <v>368</v>
      </c>
      <c r="I154" s="2" t="s">
        <v>145</v>
      </c>
      <c r="J154" s="2" t="s">
        <v>369</v>
      </c>
      <c r="K154" s="10" t="b">
        <f aca="false">FALSE()</f>
        <v>0</v>
      </c>
      <c r="L154" s="10" t="b">
        <f aca="false">FALSE()</f>
        <v>0</v>
      </c>
      <c r="M154" s="2" t="s">
        <v>494</v>
      </c>
      <c r="N154" s="2" t="s">
        <v>371</v>
      </c>
      <c r="O154" s="2" t="s">
        <v>495</v>
      </c>
      <c r="P154" s="2" t="n">
        <v>30</v>
      </c>
      <c r="Q154" s="2" t="s">
        <v>496</v>
      </c>
      <c r="R154" s="11" t="s">
        <v>497</v>
      </c>
      <c r="S154" s="11" t="s">
        <v>498</v>
      </c>
      <c r="T154" s="2" t="s">
        <v>219</v>
      </c>
      <c r="U154" s="2" t="s">
        <v>153</v>
      </c>
      <c r="V154" s="2" t="s">
        <v>662</v>
      </c>
      <c r="W154" s="11" t="s">
        <v>663</v>
      </c>
      <c r="X154" s="2"/>
      <c r="Y154" s="2"/>
      <c r="Z154" s="2"/>
      <c r="AA154" s="2"/>
      <c r="AB154" s="2" t="s">
        <v>664</v>
      </c>
      <c r="AC154" s="2" t="s">
        <v>157</v>
      </c>
      <c r="AD154" s="2" t="s">
        <v>132</v>
      </c>
      <c r="AE154" s="10" t="b">
        <f aca="false">FALSE()</f>
        <v>0</v>
      </c>
      <c r="AF154" s="2" t="s">
        <v>133</v>
      </c>
      <c r="AG154" s="2" t="s">
        <v>158</v>
      </c>
      <c r="AH154" s="2" t="s">
        <v>135</v>
      </c>
      <c r="AI154" s="11" t="s">
        <v>502</v>
      </c>
      <c r="AJ154" s="2" t="s">
        <v>137</v>
      </c>
      <c r="AK154" s="2" t="s">
        <v>137</v>
      </c>
      <c r="AL154" s="2" t="s">
        <v>721</v>
      </c>
    </row>
    <row r="155" customFormat="false" ht="90" hidden="false" customHeight="true" outlineLevel="0" collapsed="false">
      <c r="A155" s="2" t="s">
        <v>722</v>
      </c>
      <c r="B155" s="2" t="s">
        <v>569</v>
      </c>
      <c r="C155" s="2" t="s">
        <v>474</v>
      </c>
      <c r="D155" s="9" t="n">
        <v>393</v>
      </c>
      <c r="E155" s="2" t="s">
        <v>491</v>
      </c>
      <c r="F155" s="2" t="s">
        <v>492</v>
      </c>
      <c r="G155" s="2" t="s">
        <v>524</v>
      </c>
      <c r="H155" s="2" t="s">
        <v>368</v>
      </c>
      <c r="I155" s="2" t="s">
        <v>145</v>
      </c>
      <c r="J155" s="2" t="s">
        <v>369</v>
      </c>
      <c r="K155" s="10" t="b">
        <f aca="false">FALSE()</f>
        <v>0</v>
      </c>
      <c r="L155" s="10" t="b">
        <f aca="false">FALSE()</f>
        <v>0</v>
      </c>
      <c r="M155" s="2" t="s">
        <v>494</v>
      </c>
      <c r="N155" s="2" t="s">
        <v>371</v>
      </c>
      <c r="O155" s="2" t="s">
        <v>495</v>
      </c>
      <c r="P155" s="2" t="n">
        <v>30</v>
      </c>
      <c r="Q155" s="2" t="s">
        <v>496</v>
      </c>
      <c r="R155" s="11" t="s">
        <v>497</v>
      </c>
      <c r="S155" s="11" t="s">
        <v>498</v>
      </c>
      <c r="T155" s="2" t="s">
        <v>632</v>
      </c>
      <c r="U155" s="2" t="s">
        <v>153</v>
      </c>
      <c r="V155" s="2" t="s">
        <v>606</v>
      </c>
      <c r="W155" s="11" t="s">
        <v>607</v>
      </c>
      <c r="X155" s="2"/>
      <c r="Y155" s="2"/>
      <c r="Z155" s="2"/>
      <c r="AA155" s="2"/>
      <c r="AB155" s="2" t="s">
        <v>608</v>
      </c>
      <c r="AC155" s="2" t="s">
        <v>131</v>
      </c>
      <c r="AD155" s="2" t="s">
        <v>440</v>
      </c>
      <c r="AE155" s="10" t="b">
        <f aca="false">FALSE()</f>
        <v>0</v>
      </c>
      <c r="AF155" s="2" t="s">
        <v>133</v>
      </c>
      <c r="AG155" s="2" t="s">
        <v>158</v>
      </c>
      <c r="AH155" s="2" t="s">
        <v>135</v>
      </c>
      <c r="AI155" s="11" t="s">
        <v>502</v>
      </c>
      <c r="AJ155" s="2" t="s">
        <v>137</v>
      </c>
      <c r="AK155" s="2" t="s">
        <v>137</v>
      </c>
      <c r="AL155" s="2" t="s">
        <v>723</v>
      </c>
    </row>
    <row r="156" customFormat="false" ht="90" hidden="false" customHeight="true" outlineLevel="0" collapsed="false">
      <c r="A156" s="2" t="s">
        <v>724</v>
      </c>
      <c r="B156" s="2" t="s">
        <v>569</v>
      </c>
      <c r="C156" s="2" t="s">
        <v>474</v>
      </c>
      <c r="D156" s="9" t="n">
        <v>392</v>
      </c>
      <c r="E156" s="2" t="s">
        <v>491</v>
      </c>
      <c r="F156" s="2" t="s">
        <v>492</v>
      </c>
      <c r="G156" s="2" t="s">
        <v>524</v>
      </c>
      <c r="H156" s="2" t="s">
        <v>368</v>
      </c>
      <c r="I156" s="2" t="s">
        <v>145</v>
      </c>
      <c r="J156" s="2" t="s">
        <v>369</v>
      </c>
      <c r="K156" s="10" t="b">
        <f aca="false">FALSE()</f>
        <v>0</v>
      </c>
      <c r="L156" s="10" t="b">
        <f aca="false">TRUE()</f>
        <v>1</v>
      </c>
      <c r="M156" s="2" t="s">
        <v>494</v>
      </c>
      <c r="N156" s="2" t="s">
        <v>371</v>
      </c>
      <c r="O156" s="2" t="s">
        <v>495</v>
      </c>
      <c r="P156" s="2" t="n">
        <v>60</v>
      </c>
      <c r="Q156" s="2" t="s">
        <v>496</v>
      </c>
      <c r="R156" s="11" t="s">
        <v>497</v>
      </c>
      <c r="S156" s="11" t="s">
        <v>498</v>
      </c>
      <c r="T156" s="2" t="s">
        <v>219</v>
      </c>
      <c r="U156" s="2" t="s">
        <v>153</v>
      </c>
      <c r="V156" s="2" t="s">
        <v>570</v>
      </c>
      <c r="W156" s="11" t="s">
        <v>571</v>
      </c>
      <c r="X156" s="2"/>
      <c r="Y156" s="2"/>
      <c r="Z156" s="2"/>
      <c r="AA156" s="2"/>
      <c r="AB156" s="2" t="s">
        <v>572</v>
      </c>
      <c r="AC156" s="2" t="s">
        <v>157</v>
      </c>
      <c r="AD156" s="2" t="s">
        <v>132</v>
      </c>
      <c r="AE156" s="10" t="b">
        <f aca="false">FALSE()</f>
        <v>0</v>
      </c>
      <c r="AF156" s="2" t="s">
        <v>133</v>
      </c>
      <c r="AG156" s="2" t="s">
        <v>158</v>
      </c>
      <c r="AH156" s="2" t="s">
        <v>135</v>
      </c>
      <c r="AI156" s="11" t="s">
        <v>502</v>
      </c>
      <c r="AJ156" s="2" t="s">
        <v>137</v>
      </c>
      <c r="AK156" s="2" t="s">
        <v>137</v>
      </c>
      <c r="AL156" s="2" t="s">
        <v>725</v>
      </c>
    </row>
    <row r="157" customFormat="false" ht="90" hidden="false" customHeight="true" outlineLevel="0" collapsed="false">
      <c r="A157" s="2" t="s">
        <v>726</v>
      </c>
      <c r="B157" s="2" t="s">
        <v>569</v>
      </c>
      <c r="C157" s="2" t="s">
        <v>474</v>
      </c>
      <c r="D157" s="9" t="n">
        <v>386</v>
      </c>
      <c r="E157" s="2" t="s">
        <v>475</v>
      </c>
      <c r="F157" s="2" t="s">
        <v>492</v>
      </c>
      <c r="G157" s="2" t="s">
        <v>595</v>
      </c>
      <c r="H157" s="2" t="s">
        <v>368</v>
      </c>
      <c r="I157" s="2" t="s">
        <v>145</v>
      </c>
      <c r="J157" s="2" t="s">
        <v>369</v>
      </c>
      <c r="K157" s="10" t="b">
        <f aca="false">FALSE()</f>
        <v>0</v>
      </c>
      <c r="L157" s="10" t="b">
        <f aca="false">TRUE()</f>
        <v>1</v>
      </c>
      <c r="M157" s="2" t="s">
        <v>494</v>
      </c>
      <c r="N157" s="2" t="s">
        <v>371</v>
      </c>
      <c r="O157" s="2" t="s">
        <v>495</v>
      </c>
      <c r="P157" s="2" t="n">
        <v>60</v>
      </c>
      <c r="Q157" s="2" t="s">
        <v>496</v>
      </c>
      <c r="R157" s="11" t="s">
        <v>497</v>
      </c>
      <c r="S157" s="11" t="s">
        <v>498</v>
      </c>
      <c r="T157" s="2" t="s">
        <v>152</v>
      </c>
      <c r="U157" s="2" t="s">
        <v>153</v>
      </c>
      <c r="V157" s="2" t="s">
        <v>570</v>
      </c>
      <c r="W157" s="11" t="s">
        <v>571</v>
      </c>
      <c r="X157" s="2"/>
      <c r="Y157" s="2"/>
      <c r="Z157" s="2"/>
      <c r="AA157" s="2"/>
      <c r="AB157" s="2" t="s">
        <v>572</v>
      </c>
      <c r="AC157" s="2" t="s">
        <v>157</v>
      </c>
      <c r="AD157" s="2" t="s">
        <v>132</v>
      </c>
      <c r="AE157" s="10" t="b">
        <f aca="false">FALSE()</f>
        <v>0</v>
      </c>
      <c r="AF157" s="2" t="s">
        <v>133</v>
      </c>
      <c r="AG157" s="2" t="s">
        <v>158</v>
      </c>
      <c r="AH157" s="2" t="s">
        <v>135</v>
      </c>
      <c r="AI157" s="11" t="s">
        <v>502</v>
      </c>
      <c r="AJ157" s="2" t="s">
        <v>137</v>
      </c>
      <c r="AK157" s="2" t="s">
        <v>137</v>
      </c>
      <c r="AL157" s="2" t="s">
        <v>727</v>
      </c>
    </row>
    <row r="158" customFormat="false" ht="90" hidden="false" customHeight="true" outlineLevel="0" collapsed="false">
      <c r="A158" s="2" t="s">
        <v>728</v>
      </c>
      <c r="B158" s="2" t="s">
        <v>569</v>
      </c>
      <c r="C158" s="2" t="s">
        <v>474</v>
      </c>
      <c r="D158" s="9" t="n">
        <v>384</v>
      </c>
      <c r="E158" s="2" t="s">
        <v>491</v>
      </c>
      <c r="F158" s="2" t="s">
        <v>492</v>
      </c>
      <c r="G158" s="2" t="s">
        <v>524</v>
      </c>
      <c r="H158" s="2" t="s">
        <v>368</v>
      </c>
      <c r="I158" s="2" t="s">
        <v>145</v>
      </c>
      <c r="J158" s="2" t="s">
        <v>369</v>
      </c>
      <c r="K158" s="10" t="b">
        <f aca="false">FALSE()</f>
        <v>0</v>
      </c>
      <c r="L158" s="10" t="b">
        <f aca="false">FALSE()</f>
        <v>0</v>
      </c>
      <c r="M158" s="2" t="s">
        <v>494</v>
      </c>
      <c r="N158" s="2" t="s">
        <v>371</v>
      </c>
      <c r="O158" s="2" t="s">
        <v>495</v>
      </c>
      <c r="P158" s="2" t="n">
        <v>30</v>
      </c>
      <c r="Q158" s="2" t="s">
        <v>496</v>
      </c>
      <c r="R158" s="11" t="s">
        <v>497</v>
      </c>
      <c r="S158" s="11" t="s">
        <v>498</v>
      </c>
      <c r="T158" s="2" t="s">
        <v>557</v>
      </c>
      <c r="U158" s="2" t="s">
        <v>153</v>
      </c>
      <c r="V158" s="2" t="s">
        <v>606</v>
      </c>
      <c r="W158" s="11" t="s">
        <v>607</v>
      </c>
      <c r="X158" s="2"/>
      <c r="Y158" s="2"/>
      <c r="Z158" s="2"/>
      <c r="AA158" s="2"/>
      <c r="AB158" s="2" t="s">
        <v>608</v>
      </c>
      <c r="AC158" s="2" t="s">
        <v>131</v>
      </c>
      <c r="AD158" s="2" t="s">
        <v>440</v>
      </c>
      <c r="AE158" s="10" t="b">
        <f aca="false">FALSE()</f>
        <v>0</v>
      </c>
      <c r="AF158" s="2" t="s">
        <v>133</v>
      </c>
      <c r="AG158" s="2" t="s">
        <v>158</v>
      </c>
      <c r="AH158" s="2" t="s">
        <v>135</v>
      </c>
      <c r="AI158" s="11" t="s">
        <v>502</v>
      </c>
      <c r="AJ158" s="2" t="s">
        <v>137</v>
      </c>
      <c r="AK158" s="2" t="s">
        <v>137</v>
      </c>
      <c r="AL158" s="2" t="s">
        <v>729</v>
      </c>
    </row>
    <row r="159" customFormat="false" ht="90" hidden="false" customHeight="true" outlineLevel="0" collapsed="false">
      <c r="A159" s="2" t="s">
        <v>730</v>
      </c>
      <c r="B159" s="2" t="s">
        <v>569</v>
      </c>
      <c r="C159" s="2" t="s">
        <v>474</v>
      </c>
      <c r="D159" s="9" t="n">
        <v>379</v>
      </c>
      <c r="E159" s="2" t="s">
        <v>475</v>
      </c>
      <c r="F159" s="2" t="s">
        <v>492</v>
      </c>
      <c r="G159" s="2" t="s">
        <v>595</v>
      </c>
      <c r="H159" s="2" t="s">
        <v>368</v>
      </c>
      <c r="I159" s="2" t="s">
        <v>145</v>
      </c>
      <c r="J159" s="2" t="s">
        <v>369</v>
      </c>
      <c r="K159" s="10" t="b">
        <f aca="false">FALSE()</f>
        <v>0</v>
      </c>
      <c r="L159" s="10" t="b">
        <f aca="false">TRUE()</f>
        <v>1</v>
      </c>
      <c r="M159" s="2" t="s">
        <v>494</v>
      </c>
      <c r="N159" s="2" t="s">
        <v>371</v>
      </c>
      <c r="O159" s="2" t="s">
        <v>495</v>
      </c>
      <c r="P159" s="2" t="n">
        <v>60</v>
      </c>
      <c r="Q159" s="2" t="s">
        <v>496</v>
      </c>
      <c r="R159" s="11" t="s">
        <v>497</v>
      </c>
      <c r="S159" s="11" t="s">
        <v>498</v>
      </c>
      <c r="T159" s="2" t="s">
        <v>219</v>
      </c>
      <c r="U159" s="2" t="s">
        <v>153</v>
      </c>
      <c r="V159" s="2" t="s">
        <v>570</v>
      </c>
      <c r="W159" s="11" t="s">
        <v>571</v>
      </c>
      <c r="X159" s="2"/>
      <c r="Y159" s="2"/>
      <c r="Z159" s="2"/>
      <c r="AA159" s="2"/>
      <c r="AB159" s="2" t="s">
        <v>572</v>
      </c>
      <c r="AC159" s="2" t="s">
        <v>157</v>
      </c>
      <c r="AD159" s="2" t="s">
        <v>132</v>
      </c>
      <c r="AE159" s="10" t="b">
        <f aca="false">FALSE()</f>
        <v>0</v>
      </c>
      <c r="AF159" s="2" t="s">
        <v>133</v>
      </c>
      <c r="AG159" s="2" t="s">
        <v>158</v>
      </c>
      <c r="AH159" s="2" t="s">
        <v>135</v>
      </c>
      <c r="AI159" s="11" t="s">
        <v>502</v>
      </c>
      <c r="AJ159" s="2" t="s">
        <v>137</v>
      </c>
      <c r="AK159" s="2" t="s">
        <v>137</v>
      </c>
      <c r="AL159" s="2" t="s">
        <v>731</v>
      </c>
    </row>
    <row r="160" customFormat="false" ht="90" hidden="false" customHeight="true" outlineLevel="0" collapsed="false">
      <c r="A160" s="2" t="s">
        <v>732</v>
      </c>
      <c r="B160" s="2" t="s">
        <v>569</v>
      </c>
      <c r="C160" s="2" t="s">
        <v>474</v>
      </c>
      <c r="D160" s="9" t="n">
        <v>377</v>
      </c>
      <c r="E160" s="2" t="s">
        <v>491</v>
      </c>
      <c r="F160" s="2" t="s">
        <v>492</v>
      </c>
      <c r="G160" s="2" t="s">
        <v>524</v>
      </c>
      <c r="H160" s="2" t="s">
        <v>368</v>
      </c>
      <c r="I160" s="2" t="s">
        <v>145</v>
      </c>
      <c r="J160" s="2" t="s">
        <v>369</v>
      </c>
      <c r="K160" s="10" t="b">
        <f aca="false">FALSE()</f>
        <v>0</v>
      </c>
      <c r="L160" s="10" t="b">
        <f aca="false">TRUE()</f>
        <v>1</v>
      </c>
      <c r="M160" s="2" t="s">
        <v>494</v>
      </c>
      <c r="N160" s="2" t="s">
        <v>371</v>
      </c>
      <c r="O160" s="2" t="s">
        <v>495</v>
      </c>
      <c r="P160" s="2" t="n">
        <v>60</v>
      </c>
      <c r="Q160" s="2" t="s">
        <v>496</v>
      </c>
      <c r="R160" s="11" t="s">
        <v>497</v>
      </c>
      <c r="S160" s="11" t="s">
        <v>498</v>
      </c>
      <c r="T160" s="2" t="s">
        <v>219</v>
      </c>
      <c r="U160" s="2" t="s">
        <v>153</v>
      </c>
      <c r="V160" s="2" t="s">
        <v>570</v>
      </c>
      <c r="W160" s="11" t="s">
        <v>592</v>
      </c>
      <c r="X160" s="2"/>
      <c r="Y160" s="2"/>
      <c r="Z160" s="2"/>
      <c r="AA160" s="2"/>
      <c r="AB160" s="2" t="s">
        <v>572</v>
      </c>
      <c r="AC160" s="2" t="s">
        <v>157</v>
      </c>
      <c r="AD160" s="2" t="s">
        <v>132</v>
      </c>
      <c r="AE160" s="10" t="b">
        <f aca="false">FALSE()</f>
        <v>0</v>
      </c>
      <c r="AF160" s="2" t="s">
        <v>133</v>
      </c>
      <c r="AG160" s="2" t="s">
        <v>158</v>
      </c>
      <c r="AH160" s="2" t="s">
        <v>135</v>
      </c>
      <c r="AI160" s="11" t="s">
        <v>502</v>
      </c>
      <c r="AJ160" s="2" t="s">
        <v>137</v>
      </c>
      <c r="AK160" s="2" t="s">
        <v>137</v>
      </c>
      <c r="AL160" s="2" t="s">
        <v>733</v>
      </c>
    </row>
    <row r="161" customFormat="false" ht="90" hidden="false" customHeight="true" outlineLevel="0" collapsed="false">
      <c r="A161" s="2" t="s">
        <v>734</v>
      </c>
      <c r="B161" s="2" t="s">
        <v>569</v>
      </c>
      <c r="C161" s="2" t="s">
        <v>474</v>
      </c>
      <c r="D161" s="9" t="n">
        <v>371</v>
      </c>
      <c r="E161" s="2" t="s">
        <v>491</v>
      </c>
      <c r="F161" s="2" t="s">
        <v>492</v>
      </c>
      <c r="G161" s="2" t="s">
        <v>524</v>
      </c>
      <c r="H161" s="2" t="s">
        <v>368</v>
      </c>
      <c r="I161" s="2" t="s">
        <v>145</v>
      </c>
      <c r="J161" s="2" t="s">
        <v>369</v>
      </c>
      <c r="K161" s="10" t="b">
        <f aca="false">FALSE()</f>
        <v>0</v>
      </c>
      <c r="L161" s="10" t="b">
        <f aca="false">FALSE()</f>
        <v>0</v>
      </c>
      <c r="M161" s="2" t="s">
        <v>494</v>
      </c>
      <c r="N161" s="2" t="s">
        <v>371</v>
      </c>
      <c r="O161" s="2" t="s">
        <v>495</v>
      </c>
      <c r="P161" s="2" t="n">
        <v>30</v>
      </c>
      <c r="Q161" s="2" t="s">
        <v>496</v>
      </c>
      <c r="R161" s="11" t="s">
        <v>497</v>
      </c>
      <c r="S161" s="11" t="s">
        <v>498</v>
      </c>
      <c r="T161" s="2" t="s">
        <v>557</v>
      </c>
      <c r="U161" s="2" t="s">
        <v>153</v>
      </c>
      <c r="V161" s="2" t="s">
        <v>606</v>
      </c>
      <c r="W161" s="11" t="s">
        <v>607</v>
      </c>
      <c r="X161" s="2"/>
      <c r="Y161" s="2"/>
      <c r="Z161" s="2"/>
      <c r="AA161" s="2"/>
      <c r="AB161" s="2" t="s">
        <v>608</v>
      </c>
      <c r="AC161" s="2" t="s">
        <v>131</v>
      </c>
      <c r="AD161" s="2" t="s">
        <v>440</v>
      </c>
      <c r="AE161" s="10" t="b">
        <f aca="false">FALSE()</f>
        <v>0</v>
      </c>
      <c r="AF161" s="2" t="s">
        <v>133</v>
      </c>
      <c r="AG161" s="2" t="s">
        <v>158</v>
      </c>
      <c r="AH161" s="2" t="s">
        <v>135</v>
      </c>
      <c r="AI161" s="11" t="s">
        <v>502</v>
      </c>
      <c r="AJ161" s="2" t="s">
        <v>137</v>
      </c>
      <c r="AK161" s="2" t="s">
        <v>137</v>
      </c>
      <c r="AL161" s="2" t="s">
        <v>735</v>
      </c>
    </row>
    <row r="162" customFormat="false" ht="90" hidden="false" customHeight="true" outlineLevel="0" collapsed="false">
      <c r="A162" s="2" t="s">
        <v>736</v>
      </c>
      <c r="B162" s="2" t="s">
        <v>569</v>
      </c>
      <c r="C162" s="2" t="s">
        <v>474</v>
      </c>
      <c r="D162" s="9" t="n">
        <v>371</v>
      </c>
      <c r="E162" s="2" t="s">
        <v>491</v>
      </c>
      <c r="F162" s="2" t="s">
        <v>492</v>
      </c>
      <c r="G162" s="2" t="s">
        <v>524</v>
      </c>
      <c r="H162" s="2" t="s">
        <v>368</v>
      </c>
      <c r="I162" s="2" t="s">
        <v>145</v>
      </c>
      <c r="J162" s="2" t="s">
        <v>369</v>
      </c>
      <c r="K162" s="10" t="b">
        <f aca="false">FALSE()</f>
        <v>0</v>
      </c>
      <c r="L162" s="10" t="b">
        <f aca="false">FALSE()</f>
        <v>0</v>
      </c>
      <c r="M162" s="2" t="s">
        <v>494</v>
      </c>
      <c r="N162" s="2" t="s">
        <v>371</v>
      </c>
      <c r="O162" s="2" t="s">
        <v>495</v>
      </c>
      <c r="P162" s="2" t="n">
        <v>30</v>
      </c>
      <c r="Q162" s="2" t="s">
        <v>496</v>
      </c>
      <c r="R162" s="11" t="s">
        <v>497</v>
      </c>
      <c r="S162" s="11" t="s">
        <v>498</v>
      </c>
      <c r="T162" s="2" t="s">
        <v>557</v>
      </c>
      <c r="U162" s="2" t="s">
        <v>153</v>
      </c>
      <c r="V162" s="2" t="s">
        <v>606</v>
      </c>
      <c r="W162" s="11" t="s">
        <v>607</v>
      </c>
      <c r="X162" s="2"/>
      <c r="Y162" s="2"/>
      <c r="Z162" s="2"/>
      <c r="AA162" s="2"/>
      <c r="AB162" s="2" t="s">
        <v>608</v>
      </c>
      <c r="AC162" s="2" t="s">
        <v>131</v>
      </c>
      <c r="AD162" s="2" t="s">
        <v>440</v>
      </c>
      <c r="AE162" s="10" t="b">
        <f aca="false">FALSE()</f>
        <v>0</v>
      </c>
      <c r="AF162" s="2" t="s">
        <v>133</v>
      </c>
      <c r="AG162" s="2" t="s">
        <v>158</v>
      </c>
      <c r="AH162" s="2" t="s">
        <v>135</v>
      </c>
      <c r="AI162" s="11" t="s">
        <v>502</v>
      </c>
      <c r="AJ162" s="2" t="s">
        <v>137</v>
      </c>
      <c r="AK162" s="2" t="s">
        <v>137</v>
      </c>
      <c r="AL162" s="2" t="s">
        <v>737</v>
      </c>
    </row>
    <row r="163" customFormat="false" ht="90" hidden="false" customHeight="true" outlineLevel="0" collapsed="false">
      <c r="A163" s="2" t="s">
        <v>738</v>
      </c>
      <c r="B163" s="2" t="s">
        <v>569</v>
      </c>
      <c r="C163" s="2" t="s">
        <v>474</v>
      </c>
      <c r="D163" s="9" t="n">
        <v>363</v>
      </c>
      <c r="E163" s="2" t="s">
        <v>491</v>
      </c>
      <c r="F163" s="2" t="s">
        <v>492</v>
      </c>
      <c r="G163" s="2" t="s">
        <v>524</v>
      </c>
      <c r="H163" s="2" t="s">
        <v>368</v>
      </c>
      <c r="I163" s="2" t="s">
        <v>145</v>
      </c>
      <c r="J163" s="2" t="s">
        <v>369</v>
      </c>
      <c r="K163" s="10" t="b">
        <f aca="false">FALSE()</f>
        <v>0</v>
      </c>
      <c r="L163" s="10" t="b">
        <f aca="false">TRUE()</f>
        <v>1</v>
      </c>
      <c r="M163" s="2" t="s">
        <v>494</v>
      </c>
      <c r="N163" s="2" t="s">
        <v>371</v>
      </c>
      <c r="O163" s="2" t="s">
        <v>495</v>
      </c>
      <c r="P163" s="2" t="n">
        <v>30</v>
      </c>
      <c r="Q163" s="2" t="s">
        <v>496</v>
      </c>
      <c r="R163" s="11" t="s">
        <v>497</v>
      </c>
      <c r="S163" s="11" t="s">
        <v>498</v>
      </c>
      <c r="T163" s="2" t="s">
        <v>557</v>
      </c>
      <c r="U163" s="2" t="s">
        <v>153</v>
      </c>
      <c r="V163" s="2" t="s">
        <v>587</v>
      </c>
      <c r="W163" s="11" t="s">
        <v>588</v>
      </c>
      <c r="X163" s="2"/>
      <c r="Y163" s="2"/>
      <c r="Z163" s="2"/>
      <c r="AA163" s="2"/>
      <c r="AB163" s="2" t="s">
        <v>589</v>
      </c>
      <c r="AC163" s="2" t="s">
        <v>131</v>
      </c>
      <c r="AD163" s="2" t="s">
        <v>354</v>
      </c>
      <c r="AE163" s="10" t="b">
        <f aca="false">FALSE()</f>
        <v>0</v>
      </c>
      <c r="AF163" s="2" t="s">
        <v>133</v>
      </c>
      <c r="AG163" s="2" t="s">
        <v>158</v>
      </c>
      <c r="AH163" s="2" t="s">
        <v>135</v>
      </c>
      <c r="AI163" s="11" t="s">
        <v>502</v>
      </c>
      <c r="AJ163" s="2" t="s">
        <v>137</v>
      </c>
      <c r="AK163" s="2" t="s">
        <v>137</v>
      </c>
      <c r="AL163" s="2" t="s">
        <v>739</v>
      </c>
    </row>
    <row r="164" customFormat="false" ht="90" hidden="false" customHeight="true" outlineLevel="0" collapsed="false">
      <c r="A164" s="2" t="s">
        <v>740</v>
      </c>
      <c r="B164" s="2" t="s">
        <v>569</v>
      </c>
      <c r="C164" s="2" t="s">
        <v>474</v>
      </c>
      <c r="D164" s="9" t="n">
        <v>360</v>
      </c>
      <c r="E164" s="2" t="s">
        <v>491</v>
      </c>
      <c r="F164" s="2" t="s">
        <v>492</v>
      </c>
      <c r="G164" s="2" t="s">
        <v>524</v>
      </c>
      <c r="H164" s="2" t="s">
        <v>368</v>
      </c>
      <c r="I164" s="2" t="s">
        <v>145</v>
      </c>
      <c r="J164" s="2" t="s">
        <v>369</v>
      </c>
      <c r="K164" s="10" t="b">
        <f aca="false">FALSE()</f>
        <v>0</v>
      </c>
      <c r="L164" s="10" t="b">
        <f aca="false">TRUE()</f>
        <v>1</v>
      </c>
      <c r="M164" s="2" t="s">
        <v>494</v>
      </c>
      <c r="N164" s="2" t="s">
        <v>371</v>
      </c>
      <c r="O164" s="2" t="s">
        <v>495</v>
      </c>
      <c r="P164" s="2" t="n">
        <v>60</v>
      </c>
      <c r="Q164" s="2" t="s">
        <v>496</v>
      </c>
      <c r="R164" s="11" t="s">
        <v>497</v>
      </c>
      <c r="S164" s="11" t="s">
        <v>498</v>
      </c>
      <c r="T164" s="2" t="s">
        <v>219</v>
      </c>
      <c r="U164" s="2" t="s">
        <v>153</v>
      </c>
      <c r="V164" s="2" t="s">
        <v>570</v>
      </c>
      <c r="W164" s="11" t="s">
        <v>571</v>
      </c>
      <c r="X164" s="2"/>
      <c r="Y164" s="2"/>
      <c r="Z164" s="2"/>
      <c r="AA164" s="2"/>
      <c r="AB164" s="2" t="s">
        <v>572</v>
      </c>
      <c r="AC164" s="2" t="s">
        <v>157</v>
      </c>
      <c r="AD164" s="2" t="s">
        <v>132</v>
      </c>
      <c r="AE164" s="10" t="b">
        <f aca="false">FALSE()</f>
        <v>0</v>
      </c>
      <c r="AF164" s="2" t="s">
        <v>133</v>
      </c>
      <c r="AG164" s="2" t="s">
        <v>158</v>
      </c>
      <c r="AH164" s="2" t="s">
        <v>135</v>
      </c>
      <c r="AI164" s="11" t="s">
        <v>502</v>
      </c>
      <c r="AJ164" s="2" t="s">
        <v>137</v>
      </c>
      <c r="AK164" s="2" t="s">
        <v>137</v>
      </c>
      <c r="AL164" s="2" t="s">
        <v>741</v>
      </c>
    </row>
    <row r="165" customFormat="false" ht="90" hidden="false" customHeight="true" outlineLevel="0" collapsed="false">
      <c r="A165" s="2" t="s">
        <v>742</v>
      </c>
      <c r="B165" s="2" t="s">
        <v>569</v>
      </c>
      <c r="C165" s="2" t="s">
        <v>474</v>
      </c>
      <c r="D165" s="9" t="n">
        <v>356</v>
      </c>
      <c r="E165" s="2" t="s">
        <v>491</v>
      </c>
      <c r="F165" s="2" t="s">
        <v>492</v>
      </c>
      <c r="G165" s="2" t="s">
        <v>524</v>
      </c>
      <c r="H165" s="2" t="s">
        <v>368</v>
      </c>
      <c r="I165" s="2" t="s">
        <v>145</v>
      </c>
      <c r="J165" s="2" t="s">
        <v>369</v>
      </c>
      <c r="K165" s="10" t="b">
        <f aca="false">FALSE()</f>
        <v>0</v>
      </c>
      <c r="L165" s="10" t="b">
        <f aca="false">TRUE()</f>
        <v>1</v>
      </c>
      <c r="M165" s="2" t="s">
        <v>494</v>
      </c>
      <c r="N165" s="2" t="s">
        <v>371</v>
      </c>
      <c r="O165" s="2" t="s">
        <v>495</v>
      </c>
      <c r="P165" s="2" t="n">
        <v>60</v>
      </c>
      <c r="Q165" s="2" t="s">
        <v>496</v>
      </c>
      <c r="R165" s="11" t="s">
        <v>497</v>
      </c>
      <c r="S165" s="11" t="s">
        <v>498</v>
      </c>
      <c r="T165" s="2" t="s">
        <v>219</v>
      </c>
      <c r="U165" s="2" t="s">
        <v>153</v>
      </c>
      <c r="V165" s="2" t="s">
        <v>570</v>
      </c>
      <c r="W165" s="11" t="s">
        <v>571</v>
      </c>
      <c r="X165" s="2"/>
      <c r="Y165" s="2"/>
      <c r="Z165" s="2"/>
      <c r="AA165" s="2"/>
      <c r="AB165" s="2" t="s">
        <v>572</v>
      </c>
      <c r="AC165" s="2" t="s">
        <v>157</v>
      </c>
      <c r="AD165" s="2" t="s">
        <v>132</v>
      </c>
      <c r="AE165" s="10" t="b">
        <f aca="false">FALSE()</f>
        <v>0</v>
      </c>
      <c r="AF165" s="2" t="s">
        <v>133</v>
      </c>
      <c r="AG165" s="2" t="s">
        <v>158</v>
      </c>
      <c r="AH165" s="2" t="s">
        <v>135</v>
      </c>
      <c r="AI165" s="11" t="s">
        <v>502</v>
      </c>
      <c r="AJ165" s="2" t="s">
        <v>137</v>
      </c>
      <c r="AK165" s="2" t="s">
        <v>137</v>
      </c>
      <c r="AL165" s="2" t="s">
        <v>743</v>
      </c>
    </row>
    <row r="166" customFormat="false" ht="90" hidden="false" customHeight="true" outlineLevel="0" collapsed="false">
      <c r="A166" s="2" t="s">
        <v>744</v>
      </c>
      <c r="B166" s="2" t="s">
        <v>569</v>
      </c>
      <c r="C166" s="2" t="s">
        <v>474</v>
      </c>
      <c r="D166" s="9" t="n">
        <v>355</v>
      </c>
      <c r="E166" s="2" t="s">
        <v>491</v>
      </c>
      <c r="F166" s="2" t="s">
        <v>492</v>
      </c>
      <c r="G166" s="2" t="s">
        <v>524</v>
      </c>
      <c r="H166" s="2" t="s">
        <v>368</v>
      </c>
      <c r="I166" s="2" t="s">
        <v>145</v>
      </c>
      <c r="J166" s="2" t="s">
        <v>369</v>
      </c>
      <c r="K166" s="10" t="b">
        <f aca="false">FALSE()</f>
        <v>0</v>
      </c>
      <c r="L166" s="10" t="b">
        <f aca="false">TRUE()</f>
        <v>1</v>
      </c>
      <c r="M166" s="2" t="s">
        <v>494</v>
      </c>
      <c r="N166" s="2" t="s">
        <v>371</v>
      </c>
      <c r="O166" s="2" t="s">
        <v>495</v>
      </c>
      <c r="P166" s="2" t="n">
        <v>30</v>
      </c>
      <c r="Q166" s="2" t="s">
        <v>496</v>
      </c>
      <c r="R166" s="11" t="s">
        <v>497</v>
      </c>
      <c r="S166" s="11" t="s">
        <v>498</v>
      </c>
      <c r="T166" s="2" t="s">
        <v>632</v>
      </c>
      <c r="U166" s="2" t="s">
        <v>153</v>
      </c>
      <c r="V166" s="2" t="s">
        <v>587</v>
      </c>
      <c r="W166" s="11" t="s">
        <v>645</v>
      </c>
      <c r="X166" s="2"/>
      <c r="Y166" s="2"/>
      <c r="Z166" s="2"/>
      <c r="AA166" s="2"/>
      <c r="AB166" s="2" t="s">
        <v>589</v>
      </c>
      <c r="AC166" s="2" t="s">
        <v>131</v>
      </c>
      <c r="AD166" s="2" t="s">
        <v>354</v>
      </c>
      <c r="AE166" s="10" t="b">
        <f aca="false">FALSE()</f>
        <v>0</v>
      </c>
      <c r="AF166" s="2" t="s">
        <v>133</v>
      </c>
      <c r="AG166" s="2" t="s">
        <v>158</v>
      </c>
      <c r="AH166" s="2" t="s">
        <v>135</v>
      </c>
      <c r="AI166" s="11" t="s">
        <v>502</v>
      </c>
      <c r="AJ166" s="2" t="s">
        <v>137</v>
      </c>
      <c r="AK166" s="2" t="s">
        <v>137</v>
      </c>
      <c r="AL166" s="2" t="s">
        <v>745</v>
      </c>
    </row>
    <row r="167" customFormat="false" ht="90" hidden="false" customHeight="true" outlineLevel="0" collapsed="false">
      <c r="A167" s="2" t="s">
        <v>746</v>
      </c>
      <c r="B167" s="2" t="s">
        <v>569</v>
      </c>
      <c r="C167" s="2" t="s">
        <v>474</v>
      </c>
      <c r="D167" s="9" t="n">
        <v>353</v>
      </c>
      <c r="E167" s="2" t="s">
        <v>491</v>
      </c>
      <c r="F167" s="2" t="s">
        <v>492</v>
      </c>
      <c r="G167" s="2" t="s">
        <v>524</v>
      </c>
      <c r="H167" s="2" t="s">
        <v>368</v>
      </c>
      <c r="I167" s="2" t="s">
        <v>145</v>
      </c>
      <c r="J167" s="2" t="s">
        <v>369</v>
      </c>
      <c r="K167" s="10" t="b">
        <f aca="false">FALSE()</f>
        <v>0</v>
      </c>
      <c r="L167" s="10" t="b">
        <f aca="false">TRUE()</f>
        <v>1</v>
      </c>
      <c r="M167" s="2" t="s">
        <v>494</v>
      </c>
      <c r="N167" s="2" t="s">
        <v>371</v>
      </c>
      <c r="O167" s="2" t="s">
        <v>495</v>
      </c>
      <c r="P167" s="2" t="n">
        <v>60</v>
      </c>
      <c r="Q167" s="2" t="s">
        <v>496</v>
      </c>
      <c r="R167" s="11" t="s">
        <v>497</v>
      </c>
      <c r="S167" s="11" t="s">
        <v>498</v>
      </c>
      <c r="T167" s="2" t="s">
        <v>219</v>
      </c>
      <c r="U167" s="2" t="s">
        <v>153</v>
      </c>
      <c r="V167" s="2" t="s">
        <v>570</v>
      </c>
      <c r="W167" s="11" t="s">
        <v>571</v>
      </c>
      <c r="X167" s="2"/>
      <c r="Y167" s="2"/>
      <c r="Z167" s="2"/>
      <c r="AA167" s="2"/>
      <c r="AB167" s="2" t="s">
        <v>572</v>
      </c>
      <c r="AC167" s="2" t="s">
        <v>157</v>
      </c>
      <c r="AD167" s="2" t="s">
        <v>132</v>
      </c>
      <c r="AE167" s="10" t="b">
        <f aca="false">FALSE()</f>
        <v>0</v>
      </c>
      <c r="AF167" s="2" t="s">
        <v>133</v>
      </c>
      <c r="AG167" s="2" t="s">
        <v>158</v>
      </c>
      <c r="AH167" s="2" t="s">
        <v>135</v>
      </c>
      <c r="AI167" s="11" t="s">
        <v>502</v>
      </c>
      <c r="AJ167" s="2" t="s">
        <v>137</v>
      </c>
      <c r="AK167" s="2" t="s">
        <v>137</v>
      </c>
      <c r="AL167" s="2" t="s">
        <v>747</v>
      </c>
    </row>
    <row r="168" customFormat="false" ht="90" hidden="false" customHeight="true" outlineLevel="0" collapsed="false">
      <c r="A168" s="2" t="s">
        <v>748</v>
      </c>
      <c r="B168" s="2" t="s">
        <v>569</v>
      </c>
      <c r="C168" s="2" t="s">
        <v>474</v>
      </c>
      <c r="D168" s="9" t="n">
        <v>353</v>
      </c>
      <c r="E168" s="2" t="s">
        <v>491</v>
      </c>
      <c r="F168" s="2" t="s">
        <v>492</v>
      </c>
      <c r="G168" s="2" t="s">
        <v>524</v>
      </c>
      <c r="H168" s="2" t="s">
        <v>368</v>
      </c>
      <c r="I168" s="2" t="s">
        <v>145</v>
      </c>
      <c r="J168" s="2" t="s">
        <v>369</v>
      </c>
      <c r="K168" s="10" t="b">
        <f aca="false">FALSE()</f>
        <v>0</v>
      </c>
      <c r="L168" s="10" t="b">
        <f aca="false">FALSE()</f>
        <v>0</v>
      </c>
      <c r="M168" s="2" t="s">
        <v>494</v>
      </c>
      <c r="N168" s="2" t="s">
        <v>371</v>
      </c>
      <c r="O168" s="2" t="s">
        <v>495</v>
      </c>
      <c r="P168" s="2" t="n">
        <v>30</v>
      </c>
      <c r="Q168" s="2" t="s">
        <v>496</v>
      </c>
      <c r="R168" s="11" t="s">
        <v>497</v>
      </c>
      <c r="S168" s="11" t="s">
        <v>498</v>
      </c>
      <c r="T168" s="2" t="s">
        <v>557</v>
      </c>
      <c r="U168" s="2" t="s">
        <v>153</v>
      </c>
      <c r="V168" s="2" t="s">
        <v>606</v>
      </c>
      <c r="W168" s="11" t="s">
        <v>607</v>
      </c>
      <c r="X168" s="2"/>
      <c r="Y168" s="2"/>
      <c r="Z168" s="2"/>
      <c r="AA168" s="2"/>
      <c r="AB168" s="2" t="s">
        <v>608</v>
      </c>
      <c r="AC168" s="2" t="s">
        <v>131</v>
      </c>
      <c r="AD168" s="2" t="s">
        <v>440</v>
      </c>
      <c r="AE168" s="10" t="b">
        <f aca="false">FALSE()</f>
        <v>0</v>
      </c>
      <c r="AF168" s="2" t="s">
        <v>133</v>
      </c>
      <c r="AG168" s="2" t="s">
        <v>158</v>
      </c>
      <c r="AH168" s="2" t="s">
        <v>135</v>
      </c>
      <c r="AI168" s="11" t="s">
        <v>502</v>
      </c>
      <c r="AJ168" s="2" t="s">
        <v>137</v>
      </c>
      <c r="AK168" s="2" t="s">
        <v>137</v>
      </c>
      <c r="AL168" s="2" t="s">
        <v>749</v>
      </c>
    </row>
    <row r="169" customFormat="false" ht="90" hidden="false" customHeight="true" outlineLevel="0" collapsed="false">
      <c r="A169" s="2" t="s">
        <v>750</v>
      </c>
      <c r="B169" s="2" t="s">
        <v>569</v>
      </c>
      <c r="C169" s="2" t="s">
        <v>474</v>
      </c>
      <c r="D169" s="9" t="n">
        <v>345</v>
      </c>
      <c r="E169" s="2" t="s">
        <v>475</v>
      </c>
      <c r="F169" s="2" t="s">
        <v>492</v>
      </c>
      <c r="G169" s="2" t="s">
        <v>595</v>
      </c>
      <c r="H169" s="2" t="s">
        <v>368</v>
      </c>
      <c r="I169" s="2" t="s">
        <v>145</v>
      </c>
      <c r="J169" s="2" t="s">
        <v>369</v>
      </c>
      <c r="K169" s="10" t="b">
        <f aca="false">FALSE()</f>
        <v>0</v>
      </c>
      <c r="L169" s="10" t="b">
        <f aca="false">TRUE()</f>
        <v>1</v>
      </c>
      <c r="M169" s="2" t="s">
        <v>494</v>
      </c>
      <c r="N169" s="2" t="s">
        <v>371</v>
      </c>
      <c r="O169" s="2" t="s">
        <v>495</v>
      </c>
      <c r="P169" s="2" t="n">
        <v>60</v>
      </c>
      <c r="Q169" s="2" t="s">
        <v>496</v>
      </c>
      <c r="R169" s="11" t="s">
        <v>497</v>
      </c>
      <c r="S169" s="11" t="s">
        <v>498</v>
      </c>
      <c r="T169" s="2" t="s">
        <v>219</v>
      </c>
      <c r="U169" s="2" t="s">
        <v>153</v>
      </c>
      <c r="V169" s="2" t="s">
        <v>570</v>
      </c>
      <c r="W169" s="11" t="s">
        <v>571</v>
      </c>
      <c r="X169" s="2"/>
      <c r="Y169" s="2"/>
      <c r="Z169" s="2"/>
      <c r="AA169" s="2"/>
      <c r="AB169" s="2" t="s">
        <v>572</v>
      </c>
      <c r="AC169" s="2" t="s">
        <v>157</v>
      </c>
      <c r="AD169" s="2" t="s">
        <v>132</v>
      </c>
      <c r="AE169" s="10" t="b">
        <f aca="false">FALSE()</f>
        <v>0</v>
      </c>
      <c r="AF169" s="2" t="s">
        <v>133</v>
      </c>
      <c r="AG169" s="2" t="s">
        <v>158</v>
      </c>
      <c r="AH169" s="2" t="s">
        <v>135</v>
      </c>
      <c r="AI169" s="11" t="s">
        <v>502</v>
      </c>
      <c r="AJ169" s="2" t="s">
        <v>137</v>
      </c>
      <c r="AK169" s="2" t="s">
        <v>137</v>
      </c>
      <c r="AL169" s="2" t="s">
        <v>751</v>
      </c>
    </row>
    <row r="170" customFormat="false" ht="90" hidden="false" customHeight="true" outlineLevel="0" collapsed="false">
      <c r="A170" s="2" t="s">
        <v>752</v>
      </c>
      <c r="B170" s="2" t="s">
        <v>569</v>
      </c>
      <c r="C170" s="2" t="s">
        <v>474</v>
      </c>
      <c r="D170" s="9" t="n">
        <v>345</v>
      </c>
      <c r="E170" s="2" t="s">
        <v>491</v>
      </c>
      <c r="F170" s="2" t="s">
        <v>492</v>
      </c>
      <c r="G170" s="2" t="s">
        <v>524</v>
      </c>
      <c r="H170" s="2" t="s">
        <v>368</v>
      </c>
      <c r="I170" s="2" t="s">
        <v>145</v>
      </c>
      <c r="J170" s="2" t="s">
        <v>369</v>
      </c>
      <c r="K170" s="10" t="b">
        <f aca="false">FALSE()</f>
        <v>0</v>
      </c>
      <c r="L170" s="10" t="b">
        <f aca="false">FALSE()</f>
        <v>0</v>
      </c>
      <c r="M170" s="2" t="s">
        <v>494</v>
      </c>
      <c r="N170" s="2" t="s">
        <v>371</v>
      </c>
      <c r="O170" s="2" t="s">
        <v>495</v>
      </c>
      <c r="P170" s="2" t="n">
        <v>60</v>
      </c>
      <c r="Q170" s="2" t="s">
        <v>496</v>
      </c>
      <c r="R170" s="11" t="s">
        <v>497</v>
      </c>
      <c r="S170" s="11" t="s">
        <v>498</v>
      </c>
      <c r="T170" s="2" t="s">
        <v>219</v>
      </c>
      <c r="U170" s="2" t="s">
        <v>153</v>
      </c>
      <c r="V170" s="2" t="s">
        <v>570</v>
      </c>
      <c r="W170" s="11" t="s">
        <v>571</v>
      </c>
      <c r="X170" s="2"/>
      <c r="Y170" s="2"/>
      <c r="Z170" s="2"/>
      <c r="AA170" s="2"/>
      <c r="AB170" s="2" t="s">
        <v>572</v>
      </c>
      <c r="AC170" s="2" t="s">
        <v>157</v>
      </c>
      <c r="AD170" s="2" t="s">
        <v>132</v>
      </c>
      <c r="AE170" s="10" t="b">
        <f aca="false">FALSE()</f>
        <v>0</v>
      </c>
      <c r="AF170" s="2" t="s">
        <v>133</v>
      </c>
      <c r="AG170" s="2" t="s">
        <v>158</v>
      </c>
      <c r="AH170" s="2" t="s">
        <v>135</v>
      </c>
      <c r="AI170" s="11" t="s">
        <v>502</v>
      </c>
      <c r="AJ170" s="2" t="s">
        <v>137</v>
      </c>
      <c r="AK170" s="2" t="s">
        <v>137</v>
      </c>
      <c r="AL170" s="2" t="s">
        <v>753</v>
      </c>
    </row>
    <row r="171" customFormat="false" ht="90" hidden="false" customHeight="true" outlineLevel="0" collapsed="false">
      <c r="A171" s="2" t="s">
        <v>754</v>
      </c>
      <c r="B171" s="2" t="s">
        <v>569</v>
      </c>
      <c r="C171" s="2" t="s">
        <v>474</v>
      </c>
      <c r="D171" s="9" t="n">
        <v>344</v>
      </c>
      <c r="E171" s="2" t="s">
        <v>491</v>
      </c>
      <c r="F171" s="2" t="s">
        <v>492</v>
      </c>
      <c r="G171" s="2" t="s">
        <v>524</v>
      </c>
      <c r="H171" s="2" t="s">
        <v>368</v>
      </c>
      <c r="I171" s="2" t="s">
        <v>145</v>
      </c>
      <c r="J171" s="2" t="s">
        <v>369</v>
      </c>
      <c r="K171" s="10" t="b">
        <f aca="false">FALSE()</f>
        <v>0</v>
      </c>
      <c r="L171" s="10" t="b">
        <f aca="false">TRUE()</f>
        <v>1</v>
      </c>
      <c r="M171" s="2" t="s">
        <v>494</v>
      </c>
      <c r="N171" s="2" t="s">
        <v>371</v>
      </c>
      <c r="O171" s="2" t="s">
        <v>495</v>
      </c>
      <c r="P171" s="2" t="n">
        <v>30</v>
      </c>
      <c r="Q171" s="2" t="s">
        <v>496</v>
      </c>
      <c r="R171" s="11" t="s">
        <v>497</v>
      </c>
      <c r="S171" s="11" t="s">
        <v>498</v>
      </c>
      <c r="T171" s="2" t="s">
        <v>632</v>
      </c>
      <c r="U171" s="2" t="s">
        <v>153</v>
      </c>
      <c r="V171" s="2" t="s">
        <v>662</v>
      </c>
      <c r="W171" s="11" t="s">
        <v>663</v>
      </c>
      <c r="X171" s="2"/>
      <c r="Y171" s="2"/>
      <c r="Z171" s="2"/>
      <c r="AA171" s="2"/>
      <c r="AB171" s="2" t="s">
        <v>664</v>
      </c>
      <c r="AC171" s="2" t="s">
        <v>131</v>
      </c>
      <c r="AD171" s="2" t="s">
        <v>132</v>
      </c>
      <c r="AE171" s="10" t="b">
        <f aca="false">FALSE()</f>
        <v>0</v>
      </c>
      <c r="AF171" s="2" t="s">
        <v>133</v>
      </c>
      <c r="AG171" s="2" t="s">
        <v>158</v>
      </c>
      <c r="AH171" s="2" t="s">
        <v>135</v>
      </c>
      <c r="AI171" s="11" t="s">
        <v>502</v>
      </c>
      <c r="AJ171" s="2" t="s">
        <v>137</v>
      </c>
      <c r="AK171" s="2" t="s">
        <v>137</v>
      </c>
      <c r="AL171" s="2" t="s">
        <v>755</v>
      </c>
    </row>
    <row r="172" customFormat="false" ht="90" hidden="false" customHeight="true" outlineLevel="0" collapsed="false">
      <c r="A172" s="2" t="s">
        <v>756</v>
      </c>
      <c r="B172" s="2" t="s">
        <v>569</v>
      </c>
      <c r="C172" s="2" t="s">
        <v>474</v>
      </c>
      <c r="D172" s="9" t="n">
        <v>337</v>
      </c>
      <c r="E172" s="2" t="s">
        <v>491</v>
      </c>
      <c r="F172" s="2" t="s">
        <v>492</v>
      </c>
      <c r="G172" s="2" t="s">
        <v>524</v>
      </c>
      <c r="H172" s="2" t="s">
        <v>368</v>
      </c>
      <c r="I172" s="2" t="s">
        <v>145</v>
      </c>
      <c r="J172" s="2" t="s">
        <v>369</v>
      </c>
      <c r="K172" s="10" t="b">
        <f aca="false">FALSE()</f>
        <v>0</v>
      </c>
      <c r="L172" s="10" t="b">
        <f aca="false">FALSE()</f>
        <v>0</v>
      </c>
      <c r="M172" s="2" t="s">
        <v>494</v>
      </c>
      <c r="N172" s="2" t="s">
        <v>371</v>
      </c>
      <c r="O172" s="2" t="s">
        <v>495</v>
      </c>
      <c r="P172" s="2" t="n">
        <v>30</v>
      </c>
      <c r="Q172" s="2" t="s">
        <v>496</v>
      </c>
      <c r="R172" s="11" t="s">
        <v>497</v>
      </c>
      <c r="S172" s="11" t="s">
        <v>498</v>
      </c>
      <c r="T172" s="2" t="s">
        <v>557</v>
      </c>
      <c r="U172" s="2" t="s">
        <v>153</v>
      </c>
      <c r="V172" s="2" t="s">
        <v>606</v>
      </c>
      <c r="W172" s="11" t="s">
        <v>607</v>
      </c>
      <c r="X172" s="2"/>
      <c r="Y172" s="2"/>
      <c r="Z172" s="2"/>
      <c r="AA172" s="2"/>
      <c r="AB172" s="2" t="s">
        <v>608</v>
      </c>
      <c r="AC172" s="2" t="s">
        <v>131</v>
      </c>
      <c r="AD172" s="2" t="s">
        <v>440</v>
      </c>
      <c r="AE172" s="10" t="b">
        <f aca="false">FALSE()</f>
        <v>0</v>
      </c>
      <c r="AF172" s="2" t="s">
        <v>133</v>
      </c>
      <c r="AG172" s="2" t="s">
        <v>158</v>
      </c>
      <c r="AH172" s="2" t="s">
        <v>135</v>
      </c>
      <c r="AI172" s="11" t="s">
        <v>502</v>
      </c>
      <c r="AJ172" s="2" t="s">
        <v>137</v>
      </c>
      <c r="AK172" s="2" t="s">
        <v>137</v>
      </c>
      <c r="AL172" s="2" t="s">
        <v>757</v>
      </c>
    </row>
    <row r="173" customFormat="false" ht="90" hidden="false" customHeight="true" outlineLevel="0" collapsed="false">
      <c r="A173" s="2" t="s">
        <v>758</v>
      </c>
      <c r="B173" s="2" t="s">
        <v>569</v>
      </c>
      <c r="C173" s="2" t="s">
        <v>474</v>
      </c>
      <c r="D173" s="9" t="n">
        <v>336</v>
      </c>
      <c r="E173" s="2" t="s">
        <v>491</v>
      </c>
      <c r="F173" s="2" t="s">
        <v>492</v>
      </c>
      <c r="G173" s="2" t="s">
        <v>524</v>
      </c>
      <c r="H173" s="2" t="s">
        <v>368</v>
      </c>
      <c r="I173" s="2" t="s">
        <v>145</v>
      </c>
      <c r="J173" s="2" t="s">
        <v>369</v>
      </c>
      <c r="K173" s="10" t="b">
        <f aca="false">FALSE()</f>
        <v>0</v>
      </c>
      <c r="L173" s="10" t="b">
        <f aca="false">FALSE()</f>
        <v>0</v>
      </c>
      <c r="M173" s="2" t="s">
        <v>494</v>
      </c>
      <c r="N173" s="2" t="s">
        <v>371</v>
      </c>
      <c r="O173" s="2" t="s">
        <v>495</v>
      </c>
      <c r="P173" s="2" t="n">
        <v>60</v>
      </c>
      <c r="Q173" s="2" t="s">
        <v>496</v>
      </c>
      <c r="R173" s="11" t="s">
        <v>497</v>
      </c>
      <c r="S173" s="11" t="s">
        <v>498</v>
      </c>
      <c r="T173" s="2" t="s">
        <v>219</v>
      </c>
      <c r="U173" s="2" t="s">
        <v>153</v>
      </c>
      <c r="V173" s="2" t="s">
        <v>570</v>
      </c>
      <c r="W173" s="11" t="s">
        <v>571</v>
      </c>
      <c r="X173" s="2"/>
      <c r="Y173" s="2"/>
      <c r="Z173" s="2"/>
      <c r="AA173" s="2"/>
      <c r="AB173" s="2" t="s">
        <v>572</v>
      </c>
      <c r="AC173" s="2" t="s">
        <v>157</v>
      </c>
      <c r="AD173" s="2" t="s">
        <v>132</v>
      </c>
      <c r="AE173" s="10" t="b">
        <f aca="false">FALSE()</f>
        <v>0</v>
      </c>
      <c r="AF173" s="2" t="s">
        <v>133</v>
      </c>
      <c r="AG173" s="2" t="s">
        <v>158</v>
      </c>
      <c r="AH173" s="2" t="s">
        <v>135</v>
      </c>
      <c r="AI173" s="11" t="s">
        <v>502</v>
      </c>
      <c r="AJ173" s="2" t="s">
        <v>137</v>
      </c>
      <c r="AK173" s="2" t="s">
        <v>137</v>
      </c>
      <c r="AL173" s="2" t="s">
        <v>759</v>
      </c>
    </row>
    <row r="174" customFormat="false" ht="90" hidden="false" customHeight="true" outlineLevel="0" collapsed="false">
      <c r="A174" s="2" t="s">
        <v>760</v>
      </c>
      <c r="B174" s="2" t="s">
        <v>569</v>
      </c>
      <c r="C174" s="2" t="s">
        <v>474</v>
      </c>
      <c r="D174" s="9" t="n">
        <v>332</v>
      </c>
      <c r="E174" s="2" t="s">
        <v>491</v>
      </c>
      <c r="F174" s="2" t="s">
        <v>492</v>
      </c>
      <c r="G174" s="2" t="s">
        <v>524</v>
      </c>
      <c r="H174" s="2" t="s">
        <v>368</v>
      </c>
      <c r="I174" s="2" t="s">
        <v>145</v>
      </c>
      <c r="J174" s="2" t="s">
        <v>369</v>
      </c>
      <c r="K174" s="10" t="b">
        <f aca="false">FALSE()</f>
        <v>0</v>
      </c>
      <c r="L174" s="10" t="b">
        <f aca="false">FALSE()</f>
        <v>0</v>
      </c>
      <c r="M174" s="2" t="s">
        <v>494</v>
      </c>
      <c r="N174" s="2" t="s">
        <v>371</v>
      </c>
      <c r="O174" s="2" t="s">
        <v>495</v>
      </c>
      <c r="P174" s="2" t="n">
        <v>30</v>
      </c>
      <c r="Q174" s="2" t="s">
        <v>496</v>
      </c>
      <c r="R174" s="11" t="s">
        <v>497</v>
      </c>
      <c r="S174" s="11" t="s">
        <v>498</v>
      </c>
      <c r="T174" s="2" t="s">
        <v>557</v>
      </c>
      <c r="U174" s="2" t="s">
        <v>153</v>
      </c>
      <c r="V174" s="2" t="s">
        <v>606</v>
      </c>
      <c r="W174" s="11" t="s">
        <v>607</v>
      </c>
      <c r="X174" s="2"/>
      <c r="Y174" s="2"/>
      <c r="Z174" s="2"/>
      <c r="AA174" s="2"/>
      <c r="AB174" s="2" t="s">
        <v>608</v>
      </c>
      <c r="AC174" s="2" t="s">
        <v>131</v>
      </c>
      <c r="AD174" s="2" t="s">
        <v>440</v>
      </c>
      <c r="AE174" s="10" t="b">
        <f aca="false">FALSE()</f>
        <v>0</v>
      </c>
      <c r="AF174" s="2" t="s">
        <v>133</v>
      </c>
      <c r="AG174" s="2" t="s">
        <v>158</v>
      </c>
      <c r="AH174" s="2" t="s">
        <v>135</v>
      </c>
      <c r="AI174" s="11" t="s">
        <v>502</v>
      </c>
      <c r="AJ174" s="2" t="s">
        <v>137</v>
      </c>
      <c r="AK174" s="2" t="s">
        <v>137</v>
      </c>
      <c r="AL174" s="2" t="s">
        <v>761</v>
      </c>
    </row>
    <row r="175" customFormat="false" ht="90" hidden="false" customHeight="true" outlineLevel="0" collapsed="false">
      <c r="A175" s="2" t="s">
        <v>762</v>
      </c>
      <c r="B175" s="2" t="s">
        <v>569</v>
      </c>
      <c r="C175" s="2" t="s">
        <v>474</v>
      </c>
      <c r="D175" s="9" t="n">
        <v>329</v>
      </c>
      <c r="E175" s="2" t="s">
        <v>491</v>
      </c>
      <c r="F175" s="2" t="s">
        <v>492</v>
      </c>
      <c r="G175" s="2" t="s">
        <v>524</v>
      </c>
      <c r="H175" s="2" t="s">
        <v>368</v>
      </c>
      <c r="I175" s="2" t="s">
        <v>145</v>
      </c>
      <c r="J175" s="2" t="s">
        <v>369</v>
      </c>
      <c r="K175" s="10" t="b">
        <f aca="false">FALSE()</f>
        <v>0</v>
      </c>
      <c r="L175" s="10" t="b">
        <f aca="false">TRUE()</f>
        <v>1</v>
      </c>
      <c r="M175" s="2" t="s">
        <v>494</v>
      </c>
      <c r="N175" s="2" t="s">
        <v>371</v>
      </c>
      <c r="O175" s="2" t="s">
        <v>495</v>
      </c>
      <c r="P175" s="2" t="n">
        <v>60</v>
      </c>
      <c r="Q175" s="2" t="s">
        <v>496</v>
      </c>
      <c r="R175" s="11" t="s">
        <v>497</v>
      </c>
      <c r="S175" s="11" t="s">
        <v>498</v>
      </c>
      <c r="T175" s="2" t="s">
        <v>219</v>
      </c>
      <c r="U175" s="2" t="s">
        <v>153</v>
      </c>
      <c r="V175" s="2" t="s">
        <v>570</v>
      </c>
      <c r="W175" s="11" t="s">
        <v>571</v>
      </c>
      <c r="X175" s="2"/>
      <c r="Y175" s="2"/>
      <c r="Z175" s="2"/>
      <c r="AA175" s="2"/>
      <c r="AB175" s="2" t="s">
        <v>572</v>
      </c>
      <c r="AC175" s="2" t="s">
        <v>157</v>
      </c>
      <c r="AD175" s="2" t="s">
        <v>132</v>
      </c>
      <c r="AE175" s="10" t="b">
        <f aca="false">FALSE()</f>
        <v>0</v>
      </c>
      <c r="AF175" s="2" t="s">
        <v>133</v>
      </c>
      <c r="AG175" s="2" t="s">
        <v>158</v>
      </c>
      <c r="AH175" s="2" t="s">
        <v>135</v>
      </c>
      <c r="AI175" s="11" t="s">
        <v>502</v>
      </c>
      <c r="AJ175" s="2" t="s">
        <v>137</v>
      </c>
      <c r="AK175" s="2" t="s">
        <v>137</v>
      </c>
      <c r="AL175" s="2" t="s">
        <v>763</v>
      </c>
    </row>
    <row r="176" customFormat="false" ht="90" hidden="false" customHeight="true" outlineLevel="0" collapsed="false">
      <c r="A176" s="2" t="s">
        <v>764</v>
      </c>
      <c r="B176" s="2" t="s">
        <v>569</v>
      </c>
      <c r="C176" s="2" t="s">
        <v>474</v>
      </c>
      <c r="D176" s="9" t="n">
        <v>322</v>
      </c>
      <c r="E176" s="2" t="s">
        <v>491</v>
      </c>
      <c r="F176" s="2" t="s">
        <v>492</v>
      </c>
      <c r="G176" s="2" t="s">
        <v>524</v>
      </c>
      <c r="H176" s="2" t="s">
        <v>368</v>
      </c>
      <c r="I176" s="2" t="s">
        <v>145</v>
      </c>
      <c r="J176" s="2" t="s">
        <v>369</v>
      </c>
      <c r="K176" s="10" t="b">
        <f aca="false">FALSE()</f>
        <v>0</v>
      </c>
      <c r="L176" s="10" t="b">
        <f aca="false">TRUE()</f>
        <v>1</v>
      </c>
      <c r="M176" s="2" t="s">
        <v>494</v>
      </c>
      <c r="N176" s="2" t="s">
        <v>371</v>
      </c>
      <c r="O176" s="2" t="s">
        <v>495</v>
      </c>
      <c r="P176" s="2" t="n">
        <v>60</v>
      </c>
      <c r="Q176" s="2" t="s">
        <v>496</v>
      </c>
      <c r="R176" s="11" t="s">
        <v>497</v>
      </c>
      <c r="S176" s="11" t="s">
        <v>498</v>
      </c>
      <c r="T176" s="2" t="s">
        <v>219</v>
      </c>
      <c r="U176" s="2" t="s">
        <v>153</v>
      </c>
      <c r="V176" s="2" t="s">
        <v>570</v>
      </c>
      <c r="W176" s="11" t="s">
        <v>571</v>
      </c>
      <c r="X176" s="2"/>
      <c r="Y176" s="2"/>
      <c r="Z176" s="2"/>
      <c r="AA176" s="2"/>
      <c r="AB176" s="2" t="s">
        <v>572</v>
      </c>
      <c r="AC176" s="2" t="s">
        <v>157</v>
      </c>
      <c r="AD176" s="2" t="s">
        <v>132</v>
      </c>
      <c r="AE176" s="10" t="b">
        <f aca="false">FALSE()</f>
        <v>0</v>
      </c>
      <c r="AF176" s="2" t="s">
        <v>133</v>
      </c>
      <c r="AG176" s="2" t="s">
        <v>158</v>
      </c>
      <c r="AH176" s="2" t="s">
        <v>135</v>
      </c>
      <c r="AI176" s="11" t="s">
        <v>502</v>
      </c>
      <c r="AJ176" s="2" t="s">
        <v>137</v>
      </c>
      <c r="AK176" s="2" t="s">
        <v>137</v>
      </c>
      <c r="AL176" s="2" t="s">
        <v>765</v>
      </c>
    </row>
    <row r="177" customFormat="false" ht="90" hidden="false" customHeight="true" outlineLevel="0" collapsed="false">
      <c r="A177" s="2" t="s">
        <v>766</v>
      </c>
      <c r="B177" s="2" t="s">
        <v>569</v>
      </c>
      <c r="C177" s="2" t="s">
        <v>474</v>
      </c>
      <c r="D177" s="9" t="n">
        <v>322</v>
      </c>
      <c r="E177" s="2" t="s">
        <v>491</v>
      </c>
      <c r="F177" s="2" t="s">
        <v>492</v>
      </c>
      <c r="G177" s="2" t="s">
        <v>524</v>
      </c>
      <c r="H177" s="2" t="s">
        <v>368</v>
      </c>
      <c r="I177" s="2" t="s">
        <v>145</v>
      </c>
      <c r="J177" s="2" t="s">
        <v>369</v>
      </c>
      <c r="K177" s="10" t="b">
        <f aca="false">FALSE()</f>
        <v>0</v>
      </c>
      <c r="L177" s="10" t="b">
        <f aca="false">FALSE()</f>
        <v>0</v>
      </c>
      <c r="M177" s="2" t="s">
        <v>494</v>
      </c>
      <c r="N177" s="2" t="s">
        <v>371</v>
      </c>
      <c r="O177" s="2" t="s">
        <v>495</v>
      </c>
      <c r="P177" s="2" t="n">
        <v>30</v>
      </c>
      <c r="Q177" s="2" t="s">
        <v>496</v>
      </c>
      <c r="R177" s="11" t="s">
        <v>497</v>
      </c>
      <c r="S177" s="11" t="s">
        <v>498</v>
      </c>
      <c r="T177" s="2" t="s">
        <v>557</v>
      </c>
      <c r="U177" s="2" t="s">
        <v>153</v>
      </c>
      <c r="V177" s="2" t="s">
        <v>606</v>
      </c>
      <c r="W177" s="11" t="s">
        <v>607</v>
      </c>
      <c r="X177" s="2"/>
      <c r="Y177" s="2"/>
      <c r="Z177" s="2"/>
      <c r="AA177" s="2"/>
      <c r="AB177" s="2" t="s">
        <v>608</v>
      </c>
      <c r="AC177" s="2" t="s">
        <v>131</v>
      </c>
      <c r="AD177" s="2" t="s">
        <v>440</v>
      </c>
      <c r="AE177" s="10" t="b">
        <f aca="false">FALSE()</f>
        <v>0</v>
      </c>
      <c r="AF177" s="2" t="s">
        <v>133</v>
      </c>
      <c r="AG177" s="2" t="s">
        <v>158</v>
      </c>
      <c r="AH177" s="2" t="s">
        <v>135</v>
      </c>
      <c r="AI177" s="11" t="s">
        <v>502</v>
      </c>
      <c r="AJ177" s="2" t="s">
        <v>137</v>
      </c>
      <c r="AK177" s="2" t="s">
        <v>137</v>
      </c>
      <c r="AL177" s="2" t="s">
        <v>767</v>
      </c>
    </row>
    <row r="178" customFormat="false" ht="90" hidden="false" customHeight="true" outlineLevel="0" collapsed="false">
      <c r="A178" s="2" t="s">
        <v>768</v>
      </c>
      <c r="B178" s="2" t="s">
        <v>569</v>
      </c>
      <c r="C178" s="2" t="s">
        <v>474</v>
      </c>
      <c r="D178" s="9" t="n">
        <v>320</v>
      </c>
      <c r="E178" s="2" t="s">
        <v>491</v>
      </c>
      <c r="F178" s="2" t="s">
        <v>492</v>
      </c>
      <c r="G178" s="2" t="s">
        <v>524</v>
      </c>
      <c r="H178" s="2" t="s">
        <v>368</v>
      </c>
      <c r="I178" s="2" t="s">
        <v>145</v>
      </c>
      <c r="J178" s="2" t="s">
        <v>369</v>
      </c>
      <c r="K178" s="10" t="b">
        <f aca="false">FALSE()</f>
        <v>0</v>
      </c>
      <c r="L178" s="10" t="b">
        <f aca="false">TRUE()</f>
        <v>1</v>
      </c>
      <c r="M178" s="2" t="s">
        <v>494</v>
      </c>
      <c r="N178" s="2" t="s">
        <v>371</v>
      </c>
      <c r="O178" s="2" t="s">
        <v>495</v>
      </c>
      <c r="P178" s="2" t="n">
        <v>60</v>
      </c>
      <c r="Q178" s="2" t="s">
        <v>496</v>
      </c>
      <c r="R178" s="11" t="s">
        <v>497</v>
      </c>
      <c r="S178" s="11" t="s">
        <v>498</v>
      </c>
      <c r="T178" s="2" t="s">
        <v>219</v>
      </c>
      <c r="U178" s="2" t="s">
        <v>153</v>
      </c>
      <c r="V178" s="2" t="s">
        <v>570</v>
      </c>
      <c r="W178" s="11" t="s">
        <v>571</v>
      </c>
      <c r="X178" s="2"/>
      <c r="Y178" s="2"/>
      <c r="Z178" s="2"/>
      <c r="AA178" s="2"/>
      <c r="AB178" s="2" t="s">
        <v>572</v>
      </c>
      <c r="AC178" s="2" t="s">
        <v>157</v>
      </c>
      <c r="AD178" s="2" t="s">
        <v>132</v>
      </c>
      <c r="AE178" s="10" t="b">
        <f aca="false">FALSE()</f>
        <v>0</v>
      </c>
      <c r="AF178" s="2" t="s">
        <v>133</v>
      </c>
      <c r="AG178" s="2" t="s">
        <v>158</v>
      </c>
      <c r="AH178" s="2" t="s">
        <v>135</v>
      </c>
      <c r="AI178" s="11" t="s">
        <v>502</v>
      </c>
      <c r="AJ178" s="2" t="s">
        <v>137</v>
      </c>
      <c r="AK178" s="2" t="s">
        <v>137</v>
      </c>
      <c r="AL178" s="2" t="s">
        <v>769</v>
      </c>
    </row>
    <row r="179" customFormat="false" ht="90" hidden="false" customHeight="true" outlineLevel="0" collapsed="false">
      <c r="A179" s="2" t="s">
        <v>770</v>
      </c>
      <c r="B179" s="2" t="s">
        <v>569</v>
      </c>
      <c r="C179" s="2" t="s">
        <v>474</v>
      </c>
      <c r="D179" s="9" t="n">
        <v>316</v>
      </c>
      <c r="E179" s="2" t="s">
        <v>491</v>
      </c>
      <c r="F179" s="2" t="s">
        <v>492</v>
      </c>
      <c r="G179" s="2" t="s">
        <v>524</v>
      </c>
      <c r="H179" s="2" t="s">
        <v>368</v>
      </c>
      <c r="I179" s="2" t="s">
        <v>145</v>
      </c>
      <c r="J179" s="2" t="s">
        <v>369</v>
      </c>
      <c r="K179" s="10" t="b">
        <f aca="false">FALSE()</f>
        <v>0</v>
      </c>
      <c r="L179" s="10" t="b">
        <f aca="false">FALSE()</f>
        <v>0</v>
      </c>
      <c r="M179" s="2" t="s">
        <v>494</v>
      </c>
      <c r="N179" s="2" t="s">
        <v>371</v>
      </c>
      <c r="O179" s="2" t="s">
        <v>495</v>
      </c>
      <c r="P179" s="2" t="n">
        <v>60</v>
      </c>
      <c r="Q179" s="2" t="s">
        <v>496</v>
      </c>
      <c r="R179" s="11" t="s">
        <v>497</v>
      </c>
      <c r="S179" s="11" t="s">
        <v>498</v>
      </c>
      <c r="T179" s="2" t="s">
        <v>219</v>
      </c>
      <c r="U179" s="2" t="s">
        <v>153</v>
      </c>
      <c r="V179" s="2" t="s">
        <v>570</v>
      </c>
      <c r="W179" s="11" t="s">
        <v>571</v>
      </c>
      <c r="X179" s="2"/>
      <c r="Y179" s="2"/>
      <c r="Z179" s="2"/>
      <c r="AA179" s="2"/>
      <c r="AB179" s="2" t="s">
        <v>572</v>
      </c>
      <c r="AC179" s="2" t="s">
        <v>157</v>
      </c>
      <c r="AD179" s="2" t="s">
        <v>132</v>
      </c>
      <c r="AE179" s="10" t="b">
        <f aca="false">FALSE()</f>
        <v>0</v>
      </c>
      <c r="AF179" s="2" t="s">
        <v>133</v>
      </c>
      <c r="AG179" s="2" t="s">
        <v>158</v>
      </c>
      <c r="AH179" s="2" t="s">
        <v>135</v>
      </c>
      <c r="AI179" s="11" t="s">
        <v>502</v>
      </c>
      <c r="AJ179" s="2" t="s">
        <v>137</v>
      </c>
      <c r="AK179" s="2" t="s">
        <v>137</v>
      </c>
      <c r="AL179" s="2" t="s">
        <v>771</v>
      </c>
    </row>
    <row r="180" customFormat="false" ht="90" hidden="false" customHeight="true" outlineLevel="0" collapsed="false">
      <c r="A180" s="2" t="s">
        <v>772</v>
      </c>
      <c r="B180" s="2" t="s">
        <v>569</v>
      </c>
      <c r="C180" s="2" t="s">
        <v>474</v>
      </c>
      <c r="D180" s="9" t="n">
        <v>313</v>
      </c>
      <c r="E180" s="2" t="s">
        <v>491</v>
      </c>
      <c r="F180" s="2" t="s">
        <v>492</v>
      </c>
      <c r="G180" s="2" t="s">
        <v>524</v>
      </c>
      <c r="H180" s="2" t="s">
        <v>368</v>
      </c>
      <c r="I180" s="2" t="s">
        <v>145</v>
      </c>
      <c r="J180" s="2" t="s">
        <v>369</v>
      </c>
      <c r="K180" s="10" t="b">
        <f aca="false">FALSE()</f>
        <v>0</v>
      </c>
      <c r="L180" s="10" t="b">
        <f aca="false">TRUE()</f>
        <v>1</v>
      </c>
      <c r="M180" s="2" t="s">
        <v>494</v>
      </c>
      <c r="N180" s="2" t="s">
        <v>371</v>
      </c>
      <c r="O180" s="2" t="s">
        <v>495</v>
      </c>
      <c r="P180" s="2" t="n">
        <v>30</v>
      </c>
      <c r="Q180" s="2" t="s">
        <v>496</v>
      </c>
      <c r="R180" s="11" t="s">
        <v>497</v>
      </c>
      <c r="S180" s="11" t="s">
        <v>498</v>
      </c>
      <c r="T180" s="2" t="s">
        <v>557</v>
      </c>
      <c r="U180" s="2" t="s">
        <v>153</v>
      </c>
      <c r="V180" s="2" t="s">
        <v>587</v>
      </c>
      <c r="W180" s="11" t="s">
        <v>645</v>
      </c>
      <c r="X180" s="2"/>
      <c r="Y180" s="2"/>
      <c r="Z180" s="2"/>
      <c r="AA180" s="2"/>
      <c r="AB180" s="2" t="s">
        <v>589</v>
      </c>
      <c r="AC180" s="2" t="s">
        <v>131</v>
      </c>
      <c r="AD180" s="2" t="s">
        <v>354</v>
      </c>
      <c r="AE180" s="10" t="b">
        <f aca="false">FALSE()</f>
        <v>0</v>
      </c>
      <c r="AF180" s="2" t="s">
        <v>133</v>
      </c>
      <c r="AG180" s="2" t="s">
        <v>158</v>
      </c>
      <c r="AH180" s="2" t="s">
        <v>135</v>
      </c>
      <c r="AI180" s="11" t="s">
        <v>502</v>
      </c>
      <c r="AJ180" s="2" t="s">
        <v>137</v>
      </c>
      <c r="AK180" s="2" t="s">
        <v>137</v>
      </c>
      <c r="AL180" s="2" t="s">
        <v>773</v>
      </c>
    </row>
    <row r="181" customFormat="false" ht="90" hidden="false" customHeight="true" outlineLevel="0" collapsed="false">
      <c r="A181" s="2" t="s">
        <v>774</v>
      </c>
      <c r="B181" s="2" t="s">
        <v>569</v>
      </c>
      <c r="C181" s="2" t="s">
        <v>474</v>
      </c>
      <c r="D181" s="9" t="n">
        <v>312</v>
      </c>
      <c r="E181" s="2" t="s">
        <v>491</v>
      </c>
      <c r="F181" s="2" t="s">
        <v>492</v>
      </c>
      <c r="G181" s="2" t="s">
        <v>524</v>
      </c>
      <c r="H181" s="2" t="s">
        <v>368</v>
      </c>
      <c r="I181" s="2" t="s">
        <v>145</v>
      </c>
      <c r="J181" s="2" t="s">
        <v>369</v>
      </c>
      <c r="K181" s="10" t="b">
        <f aca="false">FALSE()</f>
        <v>0</v>
      </c>
      <c r="L181" s="10" t="b">
        <f aca="false">TRUE()</f>
        <v>1</v>
      </c>
      <c r="M181" s="2" t="s">
        <v>494</v>
      </c>
      <c r="N181" s="2" t="s">
        <v>371</v>
      </c>
      <c r="O181" s="2" t="s">
        <v>495</v>
      </c>
      <c r="P181" s="2" t="n">
        <v>60</v>
      </c>
      <c r="Q181" s="2" t="s">
        <v>496</v>
      </c>
      <c r="R181" s="11" t="s">
        <v>497</v>
      </c>
      <c r="S181" s="11" t="s">
        <v>498</v>
      </c>
      <c r="T181" s="2" t="s">
        <v>219</v>
      </c>
      <c r="U181" s="2" t="s">
        <v>153</v>
      </c>
      <c r="V181" s="2" t="s">
        <v>570</v>
      </c>
      <c r="W181" s="11" t="s">
        <v>592</v>
      </c>
      <c r="X181" s="2"/>
      <c r="Y181" s="2"/>
      <c r="Z181" s="2"/>
      <c r="AA181" s="2"/>
      <c r="AB181" s="2" t="s">
        <v>572</v>
      </c>
      <c r="AC181" s="2" t="s">
        <v>157</v>
      </c>
      <c r="AD181" s="2" t="s">
        <v>132</v>
      </c>
      <c r="AE181" s="10" t="b">
        <f aca="false">FALSE()</f>
        <v>0</v>
      </c>
      <c r="AF181" s="2" t="s">
        <v>133</v>
      </c>
      <c r="AG181" s="2" t="s">
        <v>158</v>
      </c>
      <c r="AH181" s="2" t="s">
        <v>135</v>
      </c>
      <c r="AI181" s="11" t="s">
        <v>502</v>
      </c>
      <c r="AJ181" s="2" t="s">
        <v>137</v>
      </c>
      <c r="AK181" s="2" t="s">
        <v>137</v>
      </c>
      <c r="AL181" s="2" t="s">
        <v>775</v>
      </c>
    </row>
    <row r="182" customFormat="false" ht="90" hidden="false" customHeight="true" outlineLevel="0" collapsed="false">
      <c r="A182" s="2" t="s">
        <v>776</v>
      </c>
      <c r="B182" s="2" t="s">
        <v>569</v>
      </c>
      <c r="C182" s="2" t="s">
        <v>474</v>
      </c>
      <c r="D182" s="9" t="n">
        <v>312</v>
      </c>
      <c r="E182" s="2" t="s">
        <v>491</v>
      </c>
      <c r="F182" s="2" t="s">
        <v>492</v>
      </c>
      <c r="G182" s="2" t="s">
        <v>524</v>
      </c>
      <c r="H182" s="2" t="s">
        <v>368</v>
      </c>
      <c r="I182" s="2" t="s">
        <v>145</v>
      </c>
      <c r="J182" s="2" t="s">
        <v>369</v>
      </c>
      <c r="K182" s="10" t="b">
        <f aca="false">FALSE()</f>
        <v>0</v>
      </c>
      <c r="L182" s="10" t="b">
        <f aca="false">FALSE()</f>
        <v>0</v>
      </c>
      <c r="M182" s="2" t="s">
        <v>494</v>
      </c>
      <c r="N182" s="2" t="s">
        <v>371</v>
      </c>
      <c r="O182" s="2" t="s">
        <v>495</v>
      </c>
      <c r="P182" s="2" t="n">
        <v>60</v>
      </c>
      <c r="Q182" s="2" t="s">
        <v>496</v>
      </c>
      <c r="R182" s="11" t="s">
        <v>497</v>
      </c>
      <c r="S182" s="11" t="s">
        <v>498</v>
      </c>
      <c r="T182" s="2" t="s">
        <v>219</v>
      </c>
      <c r="U182" s="2" t="s">
        <v>153</v>
      </c>
      <c r="V182" s="2" t="s">
        <v>570</v>
      </c>
      <c r="W182" s="11" t="s">
        <v>571</v>
      </c>
      <c r="X182" s="2"/>
      <c r="Y182" s="2"/>
      <c r="Z182" s="2"/>
      <c r="AA182" s="2"/>
      <c r="AB182" s="2" t="s">
        <v>572</v>
      </c>
      <c r="AC182" s="2" t="s">
        <v>157</v>
      </c>
      <c r="AD182" s="2" t="s">
        <v>132</v>
      </c>
      <c r="AE182" s="10" t="b">
        <f aca="false">FALSE()</f>
        <v>0</v>
      </c>
      <c r="AF182" s="2" t="s">
        <v>133</v>
      </c>
      <c r="AG182" s="2" t="s">
        <v>158</v>
      </c>
      <c r="AH182" s="2" t="s">
        <v>135</v>
      </c>
      <c r="AI182" s="11" t="s">
        <v>502</v>
      </c>
      <c r="AJ182" s="2" t="s">
        <v>137</v>
      </c>
      <c r="AK182" s="2" t="s">
        <v>137</v>
      </c>
      <c r="AL182" s="2" t="s">
        <v>777</v>
      </c>
    </row>
    <row r="183" customFormat="false" ht="90" hidden="false" customHeight="true" outlineLevel="0" collapsed="false">
      <c r="A183" s="2" t="s">
        <v>778</v>
      </c>
      <c r="B183" s="2" t="s">
        <v>569</v>
      </c>
      <c r="C183" s="2" t="s">
        <v>474</v>
      </c>
      <c r="D183" s="9" t="n">
        <v>308</v>
      </c>
      <c r="E183" s="2" t="s">
        <v>491</v>
      </c>
      <c r="F183" s="2" t="s">
        <v>492</v>
      </c>
      <c r="G183" s="2" t="s">
        <v>524</v>
      </c>
      <c r="H183" s="2" t="s">
        <v>368</v>
      </c>
      <c r="I183" s="2" t="s">
        <v>145</v>
      </c>
      <c r="J183" s="2" t="s">
        <v>369</v>
      </c>
      <c r="K183" s="10" t="b">
        <f aca="false">FALSE()</f>
        <v>0</v>
      </c>
      <c r="L183" s="10" t="b">
        <f aca="false">TRUE()</f>
        <v>1</v>
      </c>
      <c r="M183" s="2" t="s">
        <v>494</v>
      </c>
      <c r="N183" s="2" t="s">
        <v>371</v>
      </c>
      <c r="O183" s="2" t="s">
        <v>495</v>
      </c>
      <c r="P183" s="2" t="n">
        <v>60</v>
      </c>
      <c r="Q183" s="2" t="s">
        <v>496</v>
      </c>
      <c r="R183" s="11" t="s">
        <v>497</v>
      </c>
      <c r="S183" s="11" t="s">
        <v>498</v>
      </c>
      <c r="T183" s="2" t="s">
        <v>219</v>
      </c>
      <c r="U183" s="2" t="s">
        <v>153</v>
      </c>
      <c r="V183" s="2" t="s">
        <v>570</v>
      </c>
      <c r="W183" s="11" t="s">
        <v>571</v>
      </c>
      <c r="X183" s="2"/>
      <c r="Y183" s="2"/>
      <c r="Z183" s="2"/>
      <c r="AA183" s="2"/>
      <c r="AB183" s="2" t="s">
        <v>572</v>
      </c>
      <c r="AC183" s="2" t="s">
        <v>157</v>
      </c>
      <c r="AD183" s="2" t="s">
        <v>132</v>
      </c>
      <c r="AE183" s="10" t="b">
        <f aca="false">FALSE()</f>
        <v>0</v>
      </c>
      <c r="AF183" s="2" t="s">
        <v>133</v>
      </c>
      <c r="AG183" s="2" t="s">
        <v>158</v>
      </c>
      <c r="AH183" s="2" t="s">
        <v>135</v>
      </c>
      <c r="AI183" s="11" t="s">
        <v>502</v>
      </c>
      <c r="AJ183" s="2" t="s">
        <v>137</v>
      </c>
      <c r="AK183" s="2" t="s">
        <v>137</v>
      </c>
      <c r="AL183" s="2" t="s">
        <v>779</v>
      </c>
    </row>
    <row r="184" customFormat="false" ht="90" hidden="false" customHeight="true" outlineLevel="0" collapsed="false">
      <c r="A184" s="2" t="s">
        <v>780</v>
      </c>
      <c r="B184" s="2" t="s">
        <v>569</v>
      </c>
      <c r="C184" s="2" t="s">
        <v>474</v>
      </c>
      <c r="D184" s="9" t="n">
        <v>308</v>
      </c>
      <c r="E184" s="2" t="s">
        <v>491</v>
      </c>
      <c r="F184" s="2" t="s">
        <v>492</v>
      </c>
      <c r="G184" s="2" t="s">
        <v>524</v>
      </c>
      <c r="H184" s="2" t="s">
        <v>368</v>
      </c>
      <c r="I184" s="2" t="s">
        <v>145</v>
      </c>
      <c r="J184" s="2" t="s">
        <v>369</v>
      </c>
      <c r="K184" s="10" t="b">
        <f aca="false">FALSE()</f>
        <v>0</v>
      </c>
      <c r="L184" s="10" t="b">
        <f aca="false">FALSE()</f>
        <v>0</v>
      </c>
      <c r="M184" s="2" t="s">
        <v>494</v>
      </c>
      <c r="N184" s="2" t="s">
        <v>371</v>
      </c>
      <c r="O184" s="2" t="s">
        <v>495</v>
      </c>
      <c r="P184" s="2" t="n">
        <v>30</v>
      </c>
      <c r="Q184" s="2" t="s">
        <v>496</v>
      </c>
      <c r="R184" s="11" t="s">
        <v>497</v>
      </c>
      <c r="S184" s="11" t="s">
        <v>498</v>
      </c>
      <c r="T184" s="2" t="s">
        <v>632</v>
      </c>
      <c r="U184" s="2" t="s">
        <v>153</v>
      </c>
      <c r="V184" s="2" t="s">
        <v>606</v>
      </c>
      <c r="W184" s="11" t="s">
        <v>607</v>
      </c>
      <c r="X184" s="2"/>
      <c r="Y184" s="2"/>
      <c r="Z184" s="2"/>
      <c r="AA184" s="2"/>
      <c r="AB184" s="2" t="s">
        <v>608</v>
      </c>
      <c r="AC184" s="2" t="s">
        <v>131</v>
      </c>
      <c r="AD184" s="2" t="s">
        <v>440</v>
      </c>
      <c r="AE184" s="10" t="b">
        <f aca="false">FALSE()</f>
        <v>0</v>
      </c>
      <c r="AF184" s="2" t="s">
        <v>133</v>
      </c>
      <c r="AG184" s="2" t="s">
        <v>158</v>
      </c>
      <c r="AH184" s="2" t="s">
        <v>135</v>
      </c>
      <c r="AI184" s="11" t="s">
        <v>502</v>
      </c>
      <c r="AJ184" s="2" t="s">
        <v>137</v>
      </c>
      <c r="AK184" s="2" t="s">
        <v>137</v>
      </c>
      <c r="AL184" s="2" t="s">
        <v>781</v>
      </c>
    </row>
    <row r="185" customFormat="false" ht="90" hidden="false" customHeight="true" outlineLevel="0" collapsed="false">
      <c r="A185" s="2" t="s">
        <v>782</v>
      </c>
      <c r="B185" s="2" t="s">
        <v>569</v>
      </c>
      <c r="C185" s="2" t="s">
        <v>474</v>
      </c>
      <c r="D185" s="9" t="n">
        <v>306</v>
      </c>
      <c r="E185" s="2" t="s">
        <v>491</v>
      </c>
      <c r="F185" s="2" t="s">
        <v>492</v>
      </c>
      <c r="G185" s="2" t="s">
        <v>524</v>
      </c>
      <c r="H185" s="2" t="s">
        <v>368</v>
      </c>
      <c r="I185" s="2" t="s">
        <v>145</v>
      </c>
      <c r="J185" s="2" t="s">
        <v>369</v>
      </c>
      <c r="K185" s="10" t="b">
        <f aca="false">FALSE()</f>
        <v>0</v>
      </c>
      <c r="L185" s="10" t="b">
        <f aca="false">TRUE()</f>
        <v>1</v>
      </c>
      <c r="M185" s="2" t="s">
        <v>494</v>
      </c>
      <c r="N185" s="2" t="s">
        <v>371</v>
      </c>
      <c r="O185" s="2" t="s">
        <v>495</v>
      </c>
      <c r="P185" s="2" t="n">
        <v>60</v>
      </c>
      <c r="Q185" s="2" t="s">
        <v>496</v>
      </c>
      <c r="R185" s="11" t="s">
        <v>497</v>
      </c>
      <c r="S185" s="11" t="s">
        <v>498</v>
      </c>
      <c r="T185" s="2" t="s">
        <v>219</v>
      </c>
      <c r="U185" s="2" t="s">
        <v>153</v>
      </c>
      <c r="V185" s="2" t="s">
        <v>570</v>
      </c>
      <c r="W185" s="11" t="s">
        <v>571</v>
      </c>
      <c r="X185" s="2"/>
      <c r="Y185" s="2"/>
      <c r="Z185" s="2"/>
      <c r="AA185" s="2"/>
      <c r="AB185" s="2" t="s">
        <v>572</v>
      </c>
      <c r="AC185" s="2" t="s">
        <v>157</v>
      </c>
      <c r="AD185" s="2" t="s">
        <v>132</v>
      </c>
      <c r="AE185" s="10" t="b">
        <f aca="false">FALSE()</f>
        <v>0</v>
      </c>
      <c r="AF185" s="2" t="s">
        <v>133</v>
      </c>
      <c r="AG185" s="2" t="s">
        <v>158</v>
      </c>
      <c r="AH185" s="2" t="s">
        <v>135</v>
      </c>
      <c r="AI185" s="11" t="s">
        <v>502</v>
      </c>
      <c r="AJ185" s="2" t="s">
        <v>137</v>
      </c>
      <c r="AK185" s="2" t="s">
        <v>137</v>
      </c>
      <c r="AL185" s="2" t="s">
        <v>783</v>
      </c>
    </row>
    <row r="186" customFormat="false" ht="90" hidden="false" customHeight="true" outlineLevel="0" collapsed="false">
      <c r="A186" s="2" t="s">
        <v>784</v>
      </c>
      <c r="B186" s="2" t="s">
        <v>569</v>
      </c>
      <c r="C186" s="2" t="s">
        <v>474</v>
      </c>
      <c r="D186" s="9" t="n">
        <v>305</v>
      </c>
      <c r="E186" s="2" t="s">
        <v>491</v>
      </c>
      <c r="F186" s="2" t="s">
        <v>492</v>
      </c>
      <c r="G186" s="2" t="s">
        <v>524</v>
      </c>
      <c r="H186" s="2" t="s">
        <v>368</v>
      </c>
      <c r="I186" s="2" t="s">
        <v>145</v>
      </c>
      <c r="J186" s="2" t="s">
        <v>369</v>
      </c>
      <c r="K186" s="10" t="b">
        <f aca="false">FALSE()</f>
        <v>0</v>
      </c>
      <c r="L186" s="10" t="b">
        <f aca="false">TRUE()</f>
        <v>1</v>
      </c>
      <c r="M186" s="2" t="s">
        <v>494</v>
      </c>
      <c r="N186" s="2" t="s">
        <v>371</v>
      </c>
      <c r="O186" s="2" t="s">
        <v>495</v>
      </c>
      <c r="P186" s="2" t="n">
        <v>30</v>
      </c>
      <c r="Q186" s="2" t="s">
        <v>496</v>
      </c>
      <c r="R186" s="11" t="s">
        <v>497</v>
      </c>
      <c r="S186" s="11" t="s">
        <v>498</v>
      </c>
      <c r="T186" s="2" t="s">
        <v>632</v>
      </c>
      <c r="U186" s="2" t="s">
        <v>153</v>
      </c>
      <c r="V186" s="2" t="s">
        <v>587</v>
      </c>
      <c r="W186" s="11" t="s">
        <v>645</v>
      </c>
      <c r="X186" s="2"/>
      <c r="Y186" s="2"/>
      <c r="Z186" s="2"/>
      <c r="AA186" s="2"/>
      <c r="AB186" s="2" t="s">
        <v>589</v>
      </c>
      <c r="AC186" s="2" t="s">
        <v>131</v>
      </c>
      <c r="AD186" s="2" t="s">
        <v>354</v>
      </c>
      <c r="AE186" s="10" t="b">
        <f aca="false">FALSE()</f>
        <v>0</v>
      </c>
      <c r="AF186" s="2" t="s">
        <v>133</v>
      </c>
      <c r="AG186" s="2" t="s">
        <v>158</v>
      </c>
      <c r="AH186" s="2" t="s">
        <v>135</v>
      </c>
      <c r="AI186" s="11" t="s">
        <v>502</v>
      </c>
      <c r="AJ186" s="2" t="s">
        <v>137</v>
      </c>
      <c r="AK186" s="2" t="s">
        <v>137</v>
      </c>
      <c r="AL186" s="2" t="s">
        <v>785</v>
      </c>
    </row>
    <row r="187" customFormat="false" ht="90" hidden="false" customHeight="true" outlineLevel="0" collapsed="false">
      <c r="A187" s="2" t="s">
        <v>786</v>
      </c>
      <c r="B187" s="2" t="s">
        <v>569</v>
      </c>
      <c r="C187" s="2" t="s">
        <v>474</v>
      </c>
      <c r="D187" s="9" t="n">
        <v>304</v>
      </c>
      <c r="E187" s="2" t="s">
        <v>491</v>
      </c>
      <c r="F187" s="2" t="s">
        <v>492</v>
      </c>
      <c r="G187" s="2" t="s">
        <v>524</v>
      </c>
      <c r="H187" s="2" t="s">
        <v>368</v>
      </c>
      <c r="I187" s="2" t="s">
        <v>145</v>
      </c>
      <c r="J187" s="2" t="s">
        <v>369</v>
      </c>
      <c r="K187" s="10" t="b">
        <f aca="false">FALSE()</f>
        <v>0</v>
      </c>
      <c r="L187" s="10" t="b">
        <f aca="false">FALSE()</f>
        <v>0</v>
      </c>
      <c r="M187" s="2" t="s">
        <v>494</v>
      </c>
      <c r="N187" s="2" t="s">
        <v>371</v>
      </c>
      <c r="O187" s="2" t="s">
        <v>495</v>
      </c>
      <c r="P187" s="2" t="n">
        <v>30</v>
      </c>
      <c r="Q187" s="2" t="s">
        <v>496</v>
      </c>
      <c r="R187" s="11" t="s">
        <v>497</v>
      </c>
      <c r="S187" s="11" t="s">
        <v>498</v>
      </c>
      <c r="T187" s="2" t="s">
        <v>557</v>
      </c>
      <c r="U187" s="2" t="s">
        <v>153</v>
      </c>
      <c r="V187" s="2" t="s">
        <v>606</v>
      </c>
      <c r="W187" s="11" t="s">
        <v>607</v>
      </c>
      <c r="X187" s="2"/>
      <c r="Y187" s="2"/>
      <c r="Z187" s="2"/>
      <c r="AA187" s="2"/>
      <c r="AB187" s="2" t="s">
        <v>608</v>
      </c>
      <c r="AC187" s="2" t="s">
        <v>131</v>
      </c>
      <c r="AD187" s="2" t="s">
        <v>440</v>
      </c>
      <c r="AE187" s="10" t="b">
        <f aca="false">FALSE()</f>
        <v>0</v>
      </c>
      <c r="AF187" s="2" t="s">
        <v>133</v>
      </c>
      <c r="AG187" s="2" t="s">
        <v>158</v>
      </c>
      <c r="AH187" s="2" t="s">
        <v>135</v>
      </c>
      <c r="AI187" s="11" t="s">
        <v>502</v>
      </c>
      <c r="AJ187" s="2" t="s">
        <v>137</v>
      </c>
      <c r="AK187" s="2" t="s">
        <v>137</v>
      </c>
      <c r="AL187" s="2" t="s">
        <v>787</v>
      </c>
    </row>
    <row r="188" customFormat="false" ht="90" hidden="false" customHeight="true" outlineLevel="0" collapsed="false">
      <c r="A188" s="2" t="s">
        <v>788</v>
      </c>
      <c r="B188" s="2" t="s">
        <v>569</v>
      </c>
      <c r="C188" s="2" t="s">
        <v>474</v>
      </c>
      <c r="D188" s="9" t="n">
        <v>303</v>
      </c>
      <c r="E188" s="2" t="s">
        <v>491</v>
      </c>
      <c r="F188" s="2" t="s">
        <v>492</v>
      </c>
      <c r="G188" s="2" t="s">
        <v>524</v>
      </c>
      <c r="H188" s="2" t="s">
        <v>368</v>
      </c>
      <c r="I188" s="2" t="s">
        <v>145</v>
      </c>
      <c r="J188" s="2" t="s">
        <v>369</v>
      </c>
      <c r="K188" s="10" t="b">
        <f aca="false">FALSE()</f>
        <v>0</v>
      </c>
      <c r="L188" s="10" t="b">
        <f aca="false">FALSE()</f>
        <v>0</v>
      </c>
      <c r="M188" s="2" t="s">
        <v>494</v>
      </c>
      <c r="N188" s="2" t="s">
        <v>371</v>
      </c>
      <c r="O188" s="2" t="s">
        <v>495</v>
      </c>
      <c r="P188" s="2" t="n">
        <v>60</v>
      </c>
      <c r="Q188" s="2" t="s">
        <v>496</v>
      </c>
      <c r="R188" s="11" t="s">
        <v>497</v>
      </c>
      <c r="S188" s="11" t="s">
        <v>498</v>
      </c>
      <c r="T188" s="2" t="s">
        <v>219</v>
      </c>
      <c r="U188" s="2" t="s">
        <v>153</v>
      </c>
      <c r="V188" s="2" t="s">
        <v>570</v>
      </c>
      <c r="W188" s="11" t="s">
        <v>592</v>
      </c>
      <c r="X188" s="2"/>
      <c r="Y188" s="2"/>
      <c r="Z188" s="2"/>
      <c r="AA188" s="2"/>
      <c r="AB188" s="2" t="s">
        <v>572</v>
      </c>
      <c r="AC188" s="2" t="s">
        <v>157</v>
      </c>
      <c r="AD188" s="2" t="s">
        <v>132</v>
      </c>
      <c r="AE188" s="10" t="b">
        <f aca="false">FALSE()</f>
        <v>0</v>
      </c>
      <c r="AF188" s="2" t="s">
        <v>133</v>
      </c>
      <c r="AG188" s="2" t="s">
        <v>158</v>
      </c>
      <c r="AH188" s="2" t="s">
        <v>135</v>
      </c>
      <c r="AI188" s="11" t="s">
        <v>502</v>
      </c>
      <c r="AJ188" s="2" t="s">
        <v>137</v>
      </c>
      <c r="AK188" s="2" t="s">
        <v>137</v>
      </c>
      <c r="AL188" s="2" t="s">
        <v>789</v>
      </c>
    </row>
    <row r="189" customFormat="false" ht="90" hidden="false" customHeight="true" outlineLevel="0" collapsed="false">
      <c r="A189" s="2" t="s">
        <v>790</v>
      </c>
      <c r="B189" s="2" t="s">
        <v>569</v>
      </c>
      <c r="C189" s="2" t="s">
        <v>474</v>
      </c>
      <c r="D189" s="9" t="n">
        <v>298</v>
      </c>
      <c r="E189" s="2" t="s">
        <v>491</v>
      </c>
      <c r="F189" s="2" t="s">
        <v>492</v>
      </c>
      <c r="G189" s="2" t="s">
        <v>524</v>
      </c>
      <c r="H189" s="2" t="s">
        <v>368</v>
      </c>
      <c r="I189" s="2" t="s">
        <v>145</v>
      </c>
      <c r="J189" s="2" t="s">
        <v>369</v>
      </c>
      <c r="K189" s="10" t="b">
        <f aca="false">FALSE()</f>
        <v>0</v>
      </c>
      <c r="L189" s="10" t="b">
        <f aca="false">TRUE()</f>
        <v>1</v>
      </c>
      <c r="M189" s="2" t="s">
        <v>494</v>
      </c>
      <c r="N189" s="2" t="s">
        <v>371</v>
      </c>
      <c r="O189" s="2" t="s">
        <v>495</v>
      </c>
      <c r="P189" s="2" t="n">
        <v>60</v>
      </c>
      <c r="Q189" s="2" t="s">
        <v>496</v>
      </c>
      <c r="R189" s="11" t="s">
        <v>497</v>
      </c>
      <c r="S189" s="11" t="s">
        <v>498</v>
      </c>
      <c r="T189" s="2"/>
      <c r="U189" s="2" t="s">
        <v>153</v>
      </c>
      <c r="V189" s="2" t="s">
        <v>570</v>
      </c>
      <c r="W189" s="11" t="s">
        <v>571</v>
      </c>
      <c r="X189" s="2"/>
      <c r="Y189" s="2"/>
      <c r="Z189" s="2"/>
      <c r="AA189" s="2"/>
      <c r="AB189" s="2" t="s">
        <v>572</v>
      </c>
      <c r="AC189" s="2" t="s">
        <v>187</v>
      </c>
      <c r="AD189" s="2" t="s">
        <v>132</v>
      </c>
      <c r="AE189" s="10" t="b">
        <f aca="false">FALSE()</f>
        <v>0</v>
      </c>
      <c r="AF189" s="2" t="s">
        <v>133</v>
      </c>
      <c r="AG189" s="2" t="s">
        <v>158</v>
      </c>
      <c r="AH189" s="2" t="s">
        <v>135</v>
      </c>
      <c r="AI189" s="11" t="s">
        <v>502</v>
      </c>
      <c r="AJ189" s="2" t="s">
        <v>137</v>
      </c>
      <c r="AK189" s="2" t="s">
        <v>137</v>
      </c>
      <c r="AL189" s="2" t="s">
        <v>791</v>
      </c>
    </row>
    <row r="190" customFormat="false" ht="90" hidden="false" customHeight="true" outlineLevel="0" collapsed="false">
      <c r="A190" s="2" t="s">
        <v>792</v>
      </c>
      <c r="B190" s="2" t="s">
        <v>569</v>
      </c>
      <c r="C190" s="2" t="s">
        <v>474</v>
      </c>
      <c r="D190" s="9" t="n">
        <v>298</v>
      </c>
      <c r="E190" s="2" t="s">
        <v>491</v>
      </c>
      <c r="F190" s="2" t="s">
        <v>492</v>
      </c>
      <c r="G190" s="2" t="s">
        <v>524</v>
      </c>
      <c r="H190" s="2" t="s">
        <v>368</v>
      </c>
      <c r="I190" s="2" t="s">
        <v>145</v>
      </c>
      <c r="J190" s="2" t="s">
        <v>369</v>
      </c>
      <c r="K190" s="10" t="b">
        <f aca="false">FALSE()</f>
        <v>0</v>
      </c>
      <c r="L190" s="10" t="b">
        <f aca="false">FALSE()</f>
        <v>0</v>
      </c>
      <c r="M190" s="2" t="s">
        <v>494</v>
      </c>
      <c r="N190" s="2" t="s">
        <v>371</v>
      </c>
      <c r="O190" s="2" t="s">
        <v>495</v>
      </c>
      <c r="P190" s="2" t="n">
        <v>60</v>
      </c>
      <c r="Q190" s="2" t="s">
        <v>496</v>
      </c>
      <c r="R190" s="11" t="s">
        <v>497</v>
      </c>
      <c r="S190" s="11" t="s">
        <v>498</v>
      </c>
      <c r="T190" s="2" t="s">
        <v>219</v>
      </c>
      <c r="U190" s="2" t="s">
        <v>153</v>
      </c>
      <c r="V190" s="2" t="s">
        <v>570</v>
      </c>
      <c r="W190" s="11" t="s">
        <v>571</v>
      </c>
      <c r="X190" s="2"/>
      <c r="Y190" s="2"/>
      <c r="Z190" s="2"/>
      <c r="AA190" s="2"/>
      <c r="AB190" s="2" t="s">
        <v>572</v>
      </c>
      <c r="AC190" s="2" t="s">
        <v>157</v>
      </c>
      <c r="AD190" s="2" t="s">
        <v>132</v>
      </c>
      <c r="AE190" s="10" t="b">
        <f aca="false">FALSE()</f>
        <v>0</v>
      </c>
      <c r="AF190" s="2" t="s">
        <v>133</v>
      </c>
      <c r="AG190" s="2" t="s">
        <v>158</v>
      </c>
      <c r="AH190" s="2" t="s">
        <v>135</v>
      </c>
      <c r="AI190" s="11" t="s">
        <v>502</v>
      </c>
      <c r="AJ190" s="2" t="s">
        <v>137</v>
      </c>
      <c r="AK190" s="2" t="s">
        <v>137</v>
      </c>
      <c r="AL190" s="2" t="s">
        <v>793</v>
      </c>
    </row>
    <row r="191" customFormat="false" ht="90" hidden="false" customHeight="true" outlineLevel="0" collapsed="false">
      <c r="A191" s="2" t="s">
        <v>794</v>
      </c>
      <c r="B191" s="2" t="s">
        <v>569</v>
      </c>
      <c r="C191" s="2" t="s">
        <v>474</v>
      </c>
      <c r="D191" s="9" t="n">
        <v>296</v>
      </c>
      <c r="E191" s="2" t="s">
        <v>491</v>
      </c>
      <c r="F191" s="2" t="s">
        <v>492</v>
      </c>
      <c r="G191" s="2" t="s">
        <v>524</v>
      </c>
      <c r="H191" s="2" t="s">
        <v>368</v>
      </c>
      <c r="I191" s="2" t="s">
        <v>145</v>
      </c>
      <c r="J191" s="2" t="s">
        <v>369</v>
      </c>
      <c r="K191" s="10" t="b">
        <f aca="false">FALSE()</f>
        <v>0</v>
      </c>
      <c r="L191" s="10" t="b">
        <f aca="false">TRUE()</f>
        <v>1</v>
      </c>
      <c r="M191" s="2" t="s">
        <v>494</v>
      </c>
      <c r="N191" s="2" t="s">
        <v>371</v>
      </c>
      <c r="O191" s="2" t="s">
        <v>495</v>
      </c>
      <c r="P191" s="2" t="n">
        <v>60</v>
      </c>
      <c r="Q191" s="2" t="s">
        <v>496</v>
      </c>
      <c r="R191" s="11" t="s">
        <v>497</v>
      </c>
      <c r="S191" s="11" t="s">
        <v>498</v>
      </c>
      <c r="T191" s="2" t="s">
        <v>219</v>
      </c>
      <c r="U191" s="2" t="s">
        <v>153</v>
      </c>
      <c r="V191" s="2" t="s">
        <v>570</v>
      </c>
      <c r="W191" s="11" t="s">
        <v>571</v>
      </c>
      <c r="X191" s="2"/>
      <c r="Y191" s="2"/>
      <c r="Z191" s="2"/>
      <c r="AA191" s="2"/>
      <c r="AB191" s="2" t="s">
        <v>572</v>
      </c>
      <c r="AC191" s="2" t="s">
        <v>157</v>
      </c>
      <c r="AD191" s="2" t="s">
        <v>132</v>
      </c>
      <c r="AE191" s="10" t="b">
        <f aca="false">FALSE()</f>
        <v>0</v>
      </c>
      <c r="AF191" s="2" t="s">
        <v>133</v>
      </c>
      <c r="AG191" s="2" t="s">
        <v>158</v>
      </c>
      <c r="AH191" s="2" t="s">
        <v>135</v>
      </c>
      <c r="AI191" s="11" t="s">
        <v>502</v>
      </c>
      <c r="AJ191" s="2" t="s">
        <v>137</v>
      </c>
      <c r="AK191" s="2" t="s">
        <v>137</v>
      </c>
      <c r="AL191" s="2" t="s">
        <v>795</v>
      </c>
    </row>
    <row r="192" customFormat="false" ht="90" hidden="false" customHeight="true" outlineLevel="0" collapsed="false">
      <c r="A192" s="2" t="s">
        <v>796</v>
      </c>
      <c r="B192" s="2" t="s">
        <v>569</v>
      </c>
      <c r="C192" s="2" t="s">
        <v>474</v>
      </c>
      <c r="D192" s="9" t="n">
        <v>294</v>
      </c>
      <c r="E192" s="2" t="s">
        <v>491</v>
      </c>
      <c r="F192" s="2" t="s">
        <v>492</v>
      </c>
      <c r="G192" s="2" t="s">
        <v>524</v>
      </c>
      <c r="H192" s="2" t="s">
        <v>368</v>
      </c>
      <c r="I192" s="2" t="s">
        <v>145</v>
      </c>
      <c r="J192" s="2" t="s">
        <v>369</v>
      </c>
      <c r="K192" s="10" t="b">
        <f aca="false">FALSE()</f>
        <v>0</v>
      </c>
      <c r="L192" s="10" t="b">
        <f aca="false">FALSE()</f>
        <v>0</v>
      </c>
      <c r="M192" s="2" t="s">
        <v>494</v>
      </c>
      <c r="N192" s="2" t="s">
        <v>371</v>
      </c>
      <c r="O192" s="2" t="s">
        <v>495</v>
      </c>
      <c r="P192" s="2" t="n">
        <v>60</v>
      </c>
      <c r="Q192" s="2" t="s">
        <v>496</v>
      </c>
      <c r="R192" s="11" t="s">
        <v>497</v>
      </c>
      <c r="S192" s="11" t="s">
        <v>498</v>
      </c>
      <c r="T192" s="2" t="s">
        <v>219</v>
      </c>
      <c r="U192" s="2" t="s">
        <v>153</v>
      </c>
      <c r="V192" s="2" t="s">
        <v>570</v>
      </c>
      <c r="W192" s="11" t="s">
        <v>571</v>
      </c>
      <c r="X192" s="2"/>
      <c r="Y192" s="2"/>
      <c r="Z192" s="2"/>
      <c r="AA192" s="2"/>
      <c r="AB192" s="2" t="s">
        <v>572</v>
      </c>
      <c r="AC192" s="2" t="s">
        <v>157</v>
      </c>
      <c r="AD192" s="2" t="s">
        <v>132</v>
      </c>
      <c r="AE192" s="10" t="b">
        <f aca="false">FALSE()</f>
        <v>0</v>
      </c>
      <c r="AF192" s="2" t="s">
        <v>133</v>
      </c>
      <c r="AG192" s="2" t="s">
        <v>158</v>
      </c>
      <c r="AH192" s="2" t="s">
        <v>135</v>
      </c>
      <c r="AI192" s="11" t="s">
        <v>502</v>
      </c>
      <c r="AJ192" s="2" t="s">
        <v>137</v>
      </c>
      <c r="AK192" s="2" t="s">
        <v>137</v>
      </c>
      <c r="AL192" s="2" t="s">
        <v>797</v>
      </c>
    </row>
    <row r="193" customFormat="false" ht="90" hidden="false" customHeight="true" outlineLevel="0" collapsed="false">
      <c r="A193" s="2" t="s">
        <v>798</v>
      </c>
      <c r="B193" s="2" t="s">
        <v>569</v>
      </c>
      <c r="C193" s="2" t="s">
        <v>474</v>
      </c>
      <c r="D193" s="9" t="n">
        <v>291</v>
      </c>
      <c r="E193" s="2" t="s">
        <v>491</v>
      </c>
      <c r="F193" s="2" t="s">
        <v>492</v>
      </c>
      <c r="G193" s="2" t="s">
        <v>524</v>
      </c>
      <c r="H193" s="2" t="s">
        <v>368</v>
      </c>
      <c r="I193" s="2" t="s">
        <v>145</v>
      </c>
      <c r="J193" s="2" t="s">
        <v>369</v>
      </c>
      <c r="K193" s="10" t="b">
        <f aca="false">FALSE()</f>
        <v>0</v>
      </c>
      <c r="L193" s="10" t="b">
        <f aca="false">TRUE()</f>
        <v>1</v>
      </c>
      <c r="M193" s="2" t="s">
        <v>494</v>
      </c>
      <c r="N193" s="2" t="s">
        <v>371</v>
      </c>
      <c r="O193" s="2" t="s">
        <v>495</v>
      </c>
      <c r="P193" s="2" t="n">
        <v>60</v>
      </c>
      <c r="Q193" s="2" t="s">
        <v>496</v>
      </c>
      <c r="R193" s="11" t="s">
        <v>497</v>
      </c>
      <c r="S193" s="11" t="s">
        <v>498</v>
      </c>
      <c r="T193" s="2" t="s">
        <v>219</v>
      </c>
      <c r="U193" s="2" t="s">
        <v>153</v>
      </c>
      <c r="V193" s="2" t="s">
        <v>570</v>
      </c>
      <c r="W193" s="11" t="s">
        <v>571</v>
      </c>
      <c r="X193" s="2"/>
      <c r="Y193" s="2"/>
      <c r="Z193" s="2"/>
      <c r="AA193" s="2"/>
      <c r="AB193" s="2" t="s">
        <v>572</v>
      </c>
      <c r="AC193" s="2" t="s">
        <v>157</v>
      </c>
      <c r="AD193" s="2" t="s">
        <v>132</v>
      </c>
      <c r="AE193" s="10" t="b">
        <f aca="false">FALSE()</f>
        <v>0</v>
      </c>
      <c r="AF193" s="2" t="s">
        <v>133</v>
      </c>
      <c r="AG193" s="2" t="s">
        <v>158</v>
      </c>
      <c r="AH193" s="2" t="s">
        <v>135</v>
      </c>
      <c r="AI193" s="11" t="s">
        <v>502</v>
      </c>
      <c r="AJ193" s="2" t="s">
        <v>137</v>
      </c>
      <c r="AK193" s="2" t="s">
        <v>137</v>
      </c>
      <c r="AL193" s="2" t="s">
        <v>799</v>
      </c>
    </row>
    <row r="194" customFormat="false" ht="90" hidden="false" customHeight="true" outlineLevel="0" collapsed="false">
      <c r="A194" s="2" t="s">
        <v>800</v>
      </c>
      <c r="B194" s="2" t="s">
        <v>569</v>
      </c>
      <c r="C194" s="2" t="s">
        <v>474</v>
      </c>
      <c r="D194" s="9" t="n">
        <v>289</v>
      </c>
      <c r="E194" s="2" t="s">
        <v>491</v>
      </c>
      <c r="F194" s="2" t="s">
        <v>492</v>
      </c>
      <c r="G194" s="2" t="s">
        <v>524</v>
      </c>
      <c r="H194" s="2" t="s">
        <v>368</v>
      </c>
      <c r="I194" s="2" t="s">
        <v>145</v>
      </c>
      <c r="J194" s="2" t="s">
        <v>369</v>
      </c>
      <c r="K194" s="10" t="b">
        <f aca="false">FALSE()</f>
        <v>0</v>
      </c>
      <c r="L194" s="10" t="b">
        <f aca="false">TRUE()</f>
        <v>1</v>
      </c>
      <c r="M194" s="2" t="s">
        <v>494</v>
      </c>
      <c r="N194" s="2" t="s">
        <v>371</v>
      </c>
      <c r="O194" s="2" t="s">
        <v>495</v>
      </c>
      <c r="P194" s="2" t="n">
        <v>60</v>
      </c>
      <c r="Q194" s="2" t="s">
        <v>496</v>
      </c>
      <c r="R194" s="11" t="s">
        <v>497</v>
      </c>
      <c r="S194" s="11" t="s">
        <v>498</v>
      </c>
      <c r="T194" s="2" t="s">
        <v>219</v>
      </c>
      <c r="U194" s="2" t="s">
        <v>153</v>
      </c>
      <c r="V194" s="2" t="s">
        <v>570</v>
      </c>
      <c r="W194" s="11" t="s">
        <v>571</v>
      </c>
      <c r="X194" s="2"/>
      <c r="Y194" s="2"/>
      <c r="Z194" s="2"/>
      <c r="AA194" s="2"/>
      <c r="AB194" s="2" t="s">
        <v>572</v>
      </c>
      <c r="AC194" s="2" t="s">
        <v>157</v>
      </c>
      <c r="AD194" s="2" t="s">
        <v>132</v>
      </c>
      <c r="AE194" s="10" t="b">
        <f aca="false">FALSE()</f>
        <v>0</v>
      </c>
      <c r="AF194" s="2" t="s">
        <v>133</v>
      </c>
      <c r="AG194" s="2" t="s">
        <v>158</v>
      </c>
      <c r="AH194" s="2" t="s">
        <v>135</v>
      </c>
      <c r="AI194" s="11" t="s">
        <v>502</v>
      </c>
      <c r="AJ194" s="2" t="s">
        <v>137</v>
      </c>
      <c r="AK194" s="2" t="s">
        <v>137</v>
      </c>
      <c r="AL194" s="2" t="s">
        <v>801</v>
      </c>
    </row>
    <row r="195" customFormat="false" ht="90" hidden="false" customHeight="true" outlineLevel="0" collapsed="false">
      <c r="A195" s="2" t="s">
        <v>802</v>
      </c>
      <c r="B195" s="2" t="s">
        <v>569</v>
      </c>
      <c r="C195" s="2" t="s">
        <v>474</v>
      </c>
      <c r="D195" s="9" t="n">
        <v>284</v>
      </c>
      <c r="E195" s="2" t="s">
        <v>491</v>
      </c>
      <c r="F195" s="2" t="s">
        <v>492</v>
      </c>
      <c r="G195" s="2" t="s">
        <v>524</v>
      </c>
      <c r="H195" s="2" t="s">
        <v>368</v>
      </c>
      <c r="I195" s="2" t="s">
        <v>145</v>
      </c>
      <c r="J195" s="2" t="s">
        <v>369</v>
      </c>
      <c r="K195" s="10" t="b">
        <f aca="false">FALSE()</f>
        <v>0</v>
      </c>
      <c r="L195" s="10" t="b">
        <f aca="false">TRUE()</f>
        <v>1</v>
      </c>
      <c r="M195" s="2" t="s">
        <v>494</v>
      </c>
      <c r="N195" s="2" t="s">
        <v>371</v>
      </c>
      <c r="O195" s="2" t="s">
        <v>495</v>
      </c>
      <c r="P195" s="2" t="n">
        <v>60</v>
      </c>
      <c r="Q195" s="2" t="s">
        <v>496</v>
      </c>
      <c r="R195" s="11" t="s">
        <v>497</v>
      </c>
      <c r="S195" s="11" t="s">
        <v>498</v>
      </c>
      <c r="T195" s="2" t="s">
        <v>219</v>
      </c>
      <c r="U195" s="2" t="s">
        <v>153</v>
      </c>
      <c r="V195" s="2" t="s">
        <v>570</v>
      </c>
      <c r="W195" s="11" t="s">
        <v>571</v>
      </c>
      <c r="X195" s="2"/>
      <c r="Y195" s="2"/>
      <c r="Z195" s="2"/>
      <c r="AA195" s="2"/>
      <c r="AB195" s="2" t="s">
        <v>572</v>
      </c>
      <c r="AC195" s="2" t="s">
        <v>157</v>
      </c>
      <c r="AD195" s="2" t="s">
        <v>132</v>
      </c>
      <c r="AE195" s="10" t="b">
        <f aca="false">FALSE()</f>
        <v>0</v>
      </c>
      <c r="AF195" s="2" t="s">
        <v>133</v>
      </c>
      <c r="AG195" s="2" t="s">
        <v>158</v>
      </c>
      <c r="AH195" s="2" t="s">
        <v>135</v>
      </c>
      <c r="AI195" s="11" t="s">
        <v>502</v>
      </c>
      <c r="AJ195" s="2" t="s">
        <v>137</v>
      </c>
      <c r="AK195" s="2" t="s">
        <v>137</v>
      </c>
      <c r="AL195" s="2" t="s">
        <v>803</v>
      </c>
    </row>
    <row r="196" customFormat="false" ht="90" hidden="false" customHeight="true" outlineLevel="0" collapsed="false">
      <c r="A196" s="2" t="s">
        <v>804</v>
      </c>
      <c r="B196" s="2" t="s">
        <v>569</v>
      </c>
      <c r="C196" s="2" t="s">
        <v>474</v>
      </c>
      <c r="D196" s="9" t="n">
        <v>282</v>
      </c>
      <c r="E196" s="2" t="s">
        <v>491</v>
      </c>
      <c r="F196" s="2" t="s">
        <v>492</v>
      </c>
      <c r="G196" s="2" t="s">
        <v>524</v>
      </c>
      <c r="H196" s="2" t="s">
        <v>368</v>
      </c>
      <c r="I196" s="2" t="s">
        <v>145</v>
      </c>
      <c r="J196" s="2" t="s">
        <v>369</v>
      </c>
      <c r="K196" s="10" t="b">
        <f aca="false">FALSE()</f>
        <v>0</v>
      </c>
      <c r="L196" s="10" t="b">
        <f aca="false">TRUE()</f>
        <v>1</v>
      </c>
      <c r="M196" s="2" t="s">
        <v>494</v>
      </c>
      <c r="N196" s="2" t="s">
        <v>371</v>
      </c>
      <c r="O196" s="2" t="s">
        <v>495</v>
      </c>
      <c r="P196" s="2" t="n">
        <v>60</v>
      </c>
      <c r="Q196" s="2" t="s">
        <v>496</v>
      </c>
      <c r="R196" s="11" t="s">
        <v>497</v>
      </c>
      <c r="S196" s="11" t="s">
        <v>498</v>
      </c>
      <c r="T196" s="2" t="s">
        <v>219</v>
      </c>
      <c r="U196" s="2" t="s">
        <v>153</v>
      </c>
      <c r="V196" s="2" t="s">
        <v>570</v>
      </c>
      <c r="W196" s="11" t="s">
        <v>571</v>
      </c>
      <c r="X196" s="2"/>
      <c r="Y196" s="2"/>
      <c r="Z196" s="2"/>
      <c r="AA196" s="2"/>
      <c r="AB196" s="2" t="s">
        <v>572</v>
      </c>
      <c r="AC196" s="2" t="s">
        <v>157</v>
      </c>
      <c r="AD196" s="2" t="s">
        <v>132</v>
      </c>
      <c r="AE196" s="10" t="b">
        <f aca="false">FALSE()</f>
        <v>0</v>
      </c>
      <c r="AF196" s="2" t="s">
        <v>133</v>
      </c>
      <c r="AG196" s="2" t="s">
        <v>158</v>
      </c>
      <c r="AH196" s="2" t="s">
        <v>135</v>
      </c>
      <c r="AI196" s="11" t="s">
        <v>502</v>
      </c>
      <c r="AJ196" s="2" t="s">
        <v>137</v>
      </c>
      <c r="AK196" s="2" t="s">
        <v>137</v>
      </c>
      <c r="AL196" s="2" t="s">
        <v>805</v>
      </c>
    </row>
    <row r="197" customFormat="false" ht="90" hidden="false" customHeight="true" outlineLevel="0" collapsed="false">
      <c r="A197" s="2" t="s">
        <v>806</v>
      </c>
      <c r="B197" s="2" t="s">
        <v>569</v>
      </c>
      <c r="C197" s="2" t="s">
        <v>474</v>
      </c>
      <c r="D197" s="9" t="n">
        <v>281</v>
      </c>
      <c r="E197" s="2" t="s">
        <v>491</v>
      </c>
      <c r="F197" s="2" t="s">
        <v>492</v>
      </c>
      <c r="G197" s="2" t="s">
        <v>524</v>
      </c>
      <c r="H197" s="2" t="s">
        <v>368</v>
      </c>
      <c r="I197" s="2" t="s">
        <v>145</v>
      </c>
      <c r="J197" s="2" t="s">
        <v>369</v>
      </c>
      <c r="K197" s="10" t="b">
        <f aca="false">FALSE()</f>
        <v>0</v>
      </c>
      <c r="L197" s="10" t="b">
        <f aca="false">FALSE()</f>
        <v>0</v>
      </c>
      <c r="M197" s="2" t="s">
        <v>494</v>
      </c>
      <c r="N197" s="2" t="s">
        <v>371</v>
      </c>
      <c r="O197" s="2" t="s">
        <v>495</v>
      </c>
      <c r="P197" s="2" t="n">
        <v>60</v>
      </c>
      <c r="Q197" s="2" t="s">
        <v>496</v>
      </c>
      <c r="R197" s="11" t="s">
        <v>497</v>
      </c>
      <c r="S197" s="11" t="s">
        <v>498</v>
      </c>
      <c r="T197" s="2" t="s">
        <v>219</v>
      </c>
      <c r="U197" s="2" t="s">
        <v>153</v>
      </c>
      <c r="V197" s="2" t="s">
        <v>570</v>
      </c>
      <c r="W197" s="11" t="s">
        <v>592</v>
      </c>
      <c r="X197" s="2"/>
      <c r="Y197" s="2"/>
      <c r="Z197" s="2"/>
      <c r="AA197" s="2"/>
      <c r="AB197" s="2" t="s">
        <v>572</v>
      </c>
      <c r="AC197" s="2" t="s">
        <v>157</v>
      </c>
      <c r="AD197" s="2" t="s">
        <v>132</v>
      </c>
      <c r="AE197" s="10" t="b">
        <f aca="false">FALSE()</f>
        <v>0</v>
      </c>
      <c r="AF197" s="2" t="s">
        <v>133</v>
      </c>
      <c r="AG197" s="2" t="s">
        <v>158</v>
      </c>
      <c r="AH197" s="2" t="s">
        <v>135</v>
      </c>
      <c r="AI197" s="11" t="s">
        <v>502</v>
      </c>
      <c r="AJ197" s="2" t="s">
        <v>137</v>
      </c>
      <c r="AK197" s="2" t="s">
        <v>137</v>
      </c>
      <c r="AL197" s="2" t="s">
        <v>807</v>
      </c>
    </row>
    <row r="198" customFormat="false" ht="90" hidden="false" customHeight="true" outlineLevel="0" collapsed="false">
      <c r="A198" s="2" t="s">
        <v>808</v>
      </c>
      <c r="B198" s="2" t="s">
        <v>569</v>
      </c>
      <c r="C198" s="2" t="s">
        <v>474</v>
      </c>
      <c r="D198" s="9" t="n">
        <v>279</v>
      </c>
      <c r="E198" s="2" t="s">
        <v>491</v>
      </c>
      <c r="F198" s="2" t="s">
        <v>492</v>
      </c>
      <c r="G198" s="2" t="s">
        <v>524</v>
      </c>
      <c r="H198" s="2" t="s">
        <v>368</v>
      </c>
      <c r="I198" s="2" t="s">
        <v>145</v>
      </c>
      <c r="J198" s="2" t="s">
        <v>369</v>
      </c>
      <c r="K198" s="10" t="b">
        <f aca="false">FALSE()</f>
        <v>0</v>
      </c>
      <c r="L198" s="10" t="b">
        <f aca="false">FALSE()</f>
        <v>0</v>
      </c>
      <c r="M198" s="2" t="s">
        <v>494</v>
      </c>
      <c r="N198" s="2" t="s">
        <v>371</v>
      </c>
      <c r="O198" s="2" t="s">
        <v>495</v>
      </c>
      <c r="P198" s="2" t="n">
        <v>30</v>
      </c>
      <c r="Q198" s="2" t="s">
        <v>496</v>
      </c>
      <c r="R198" s="11" t="s">
        <v>497</v>
      </c>
      <c r="S198" s="11" t="s">
        <v>498</v>
      </c>
      <c r="T198" s="2" t="s">
        <v>632</v>
      </c>
      <c r="U198" s="2" t="s">
        <v>153</v>
      </c>
      <c r="V198" s="2" t="s">
        <v>606</v>
      </c>
      <c r="W198" s="11" t="s">
        <v>607</v>
      </c>
      <c r="X198" s="2"/>
      <c r="Y198" s="2"/>
      <c r="Z198" s="2"/>
      <c r="AA198" s="2"/>
      <c r="AB198" s="2" t="s">
        <v>608</v>
      </c>
      <c r="AC198" s="2" t="s">
        <v>131</v>
      </c>
      <c r="AD198" s="2" t="s">
        <v>440</v>
      </c>
      <c r="AE198" s="10" t="b">
        <f aca="false">FALSE()</f>
        <v>0</v>
      </c>
      <c r="AF198" s="2" t="s">
        <v>133</v>
      </c>
      <c r="AG198" s="2" t="s">
        <v>158</v>
      </c>
      <c r="AH198" s="2" t="s">
        <v>135</v>
      </c>
      <c r="AI198" s="11" t="s">
        <v>502</v>
      </c>
      <c r="AJ198" s="2" t="s">
        <v>137</v>
      </c>
      <c r="AK198" s="2" t="s">
        <v>137</v>
      </c>
      <c r="AL198" s="2" t="s">
        <v>809</v>
      </c>
    </row>
    <row r="199" customFormat="false" ht="90" hidden="false" customHeight="true" outlineLevel="0" collapsed="false">
      <c r="A199" s="2" t="s">
        <v>810</v>
      </c>
      <c r="B199" s="2" t="s">
        <v>569</v>
      </c>
      <c r="C199" s="2" t="s">
        <v>474</v>
      </c>
      <c r="D199" s="9" t="n">
        <v>274</v>
      </c>
      <c r="E199" s="2" t="s">
        <v>491</v>
      </c>
      <c r="F199" s="2" t="s">
        <v>492</v>
      </c>
      <c r="G199" s="2" t="s">
        <v>524</v>
      </c>
      <c r="H199" s="2" t="s">
        <v>368</v>
      </c>
      <c r="I199" s="2" t="s">
        <v>145</v>
      </c>
      <c r="J199" s="2" t="s">
        <v>369</v>
      </c>
      <c r="K199" s="10" t="b">
        <f aca="false">FALSE()</f>
        <v>0</v>
      </c>
      <c r="L199" s="10" t="b">
        <f aca="false">FALSE()</f>
        <v>0</v>
      </c>
      <c r="M199" s="2" t="s">
        <v>494</v>
      </c>
      <c r="N199" s="2" t="s">
        <v>371</v>
      </c>
      <c r="O199" s="2" t="s">
        <v>495</v>
      </c>
      <c r="P199" s="2" t="n">
        <v>30</v>
      </c>
      <c r="Q199" s="2" t="s">
        <v>496</v>
      </c>
      <c r="R199" s="11" t="s">
        <v>497</v>
      </c>
      <c r="S199" s="11" t="s">
        <v>498</v>
      </c>
      <c r="T199" s="2" t="s">
        <v>557</v>
      </c>
      <c r="U199" s="2" t="s">
        <v>153</v>
      </c>
      <c r="V199" s="2" t="s">
        <v>606</v>
      </c>
      <c r="W199" s="11" t="s">
        <v>607</v>
      </c>
      <c r="X199" s="2"/>
      <c r="Y199" s="2"/>
      <c r="Z199" s="2"/>
      <c r="AA199" s="2"/>
      <c r="AB199" s="2" t="s">
        <v>608</v>
      </c>
      <c r="AC199" s="2" t="s">
        <v>131</v>
      </c>
      <c r="AD199" s="2" t="s">
        <v>440</v>
      </c>
      <c r="AE199" s="10" t="b">
        <f aca="false">FALSE()</f>
        <v>0</v>
      </c>
      <c r="AF199" s="2" t="s">
        <v>133</v>
      </c>
      <c r="AG199" s="2" t="s">
        <v>158</v>
      </c>
      <c r="AH199" s="2" t="s">
        <v>135</v>
      </c>
      <c r="AI199" s="11" t="s">
        <v>502</v>
      </c>
      <c r="AJ199" s="2" t="s">
        <v>137</v>
      </c>
      <c r="AK199" s="2" t="s">
        <v>137</v>
      </c>
      <c r="AL199" s="2" t="s">
        <v>811</v>
      </c>
    </row>
    <row r="200" customFormat="false" ht="90" hidden="false" customHeight="true" outlineLevel="0" collapsed="false">
      <c r="A200" s="2" t="s">
        <v>812</v>
      </c>
      <c r="B200" s="2" t="s">
        <v>569</v>
      </c>
      <c r="C200" s="2" t="s">
        <v>474</v>
      </c>
      <c r="D200" s="9" t="n">
        <v>273</v>
      </c>
      <c r="E200" s="2" t="s">
        <v>491</v>
      </c>
      <c r="F200" s="2" t="s">
        <v>492</v>
      </c>
      <c r="G200" s="2" t="s">
        <v>524</v>
      </c>
      <c r="H200" s="2" t="s">
        <v>368</v>
      </c>
      <c r="I200" s="2" t="s">
        <v>145</v>
      </c>
      <c r="J200" s="2" t="s">
        <v>369</v>
      </c>
      <c r="K200" s="10" t="b">
        <f aca="false">FALSE()</f>
        <v>0</v>
      </c>
      <c r="L200" s="10" t="b">
        <f aca="false">TRUE()</f>
        <v>1</v>
      </c>
      <c r="M200" s="2" t="s">
        <v>494</v>
      </c>
      <c r="N200" s="2" t="s">
        <v>371</v>
      </c>
      <c r="O200" s="2" t="s">
        <v>495</v>
      </c>
      <c r="P200" s="2" t="n">
        <v>60</v>
      </c>
      <c r="Q200" s="2" t="s">
        <v>496</v>
      </c>
      <c r="R200" s="11" t="s">
        <v>497</v>
      </c>
      <c r="S200" s="11" t="s">
        <v>498</v>
      </c>
      <c r="T200" s="2" t="s">
        <v>219</v>
      </c>
      <c r="U200" s="2" t="s">
        <v>153</v>
      </c>
      <c r="V200" s="2" t="s">
        <v>570</v>
      </c>
      <c r="W200" s="11" t="s">
        <v>571</v>
      </c>
      <c r="X200" s="2"/>
      <c r="Y200" s="2"/>
      <c r="Z200" s="2"/>
      <c r="AA200" s="2"/>
      <c r="AB200" s="2" t="s">
        <v>572</v>
      </c>
      <c r="AC200" s="2" t="s">
        <v>157</v>
      </c>
      <c r="AD200" s="2" t="s">
        <v>132</v>
      </c>
      <c r="AE200" s="10" t="b">
        <f aca="false">FALSE()</f>
        <v>0</v>
      </c>
      <c r="AF200" s="2" t="s">
        <v>133</v>
      </c>
      <c r="AG200" s="2" t="s">
        <v>158</v>
      </c>
      <c r="AH200" s="2" t="s">
        <v>135</v>
      </c>
      <c r="AI200" s="11" t="s">
        <v>502</v>
      </c>
      <c r="AJ200" s="2" t="s">
        <v>137</v>
      </c>
      <c r="AK200" s="2" t="s">
        <v>137</v>
      </c>
      <c r="AL200" s="2" t="s">
        <v>813</v>
      </c>
    </row>
    <row r="201" customFormat="false" ht="90" hidden="false" customHeight="true" outlineLevel="0" collapsed="false">
      <c r="A201" s="2" t="s">
        <v>814</v>
      </c>
      <c r="B201" s="2" t="s">
        <v>569</v>
      </c>
      <c r="C201" s="2" t="s">
        <v>474</v>
      </c>
      <c r="D201" s="9" t="n">
        <v>272</v>
      </c>
      <c r="E201" s="2" t="s">
        <v>491</v>
      </c>
      <c r="F201" s="2" t="s">
        <v>492</v>
      </c>
      <c r="G201" s="2" t="s">
        <v>524</v>
      </c>
      <c r="H201" s="2" t="s">
        <v>368</v>
      </c>
      <c r="I201" s="2" t="s">
        <v>145</v>
      </c>
      <c r="J201" s="2" t="s">
        <v>369</v>
      </c>
      <c r="K201" s="10" t="b">
        <f aca="false">FALSE()</f>
        <v>0</v>
      </c>
      <c r="L201" s="10" t="b">
        <f aca="false">TRUE()</f>
        <v>1</v>
      </c>
      <c r="M201" s="2" t="s">
        <v>494</v>
      </c>
      <c r="N201" s="2" t="s">
        <v>371</v>
      </c>
      <c r="O201" s="2" t="s">
        <v>495</v>
      </c>
      <c r="P201" s="2" t="n">
        <v>60</v>
      </c>
      <c r="Q201" s="2" t="s">
        <v>496</v>
      </c>
      <c r="R201" s="11" t="s">
        <v>497</v>
      </c>
      <c r="S201" s="11" t="s">
        <v>498</v>
      </c>
      <c r="T201" s="2" t="s">
        <v>219</v>
      </c>
      <c r="U201" s="2" t="s">
        <v>153</v>
      </c>
      <c r="V201" s="2" t="s">
        <v>570</v>
      </c>
      <c r="W201" s="11" t="s">
        <v>592</v>
      </c>
      <c r="X201" s="2"/>
      <c r="Y201" s="2"/>
      <c r="Z201" s="2"/>
      <c r="AA201" s="2"/>
      <c r="AB201" s="2" t="s">
        <v>572</v>
      </c>
      <c r="AC201" s="2" t="s">
        <v>157</v>
      </c>
      <c r="AD201" s="2" t="s">
        <v>132</v>
      </c>
      <c r="AE201" s="10" t="b">
        <f aca="false">FALSE()</f>
        <v>0</v>
      </c>
      <c r="AF201" s="2" t="s">
        <v>133</v>
      </c>
      <c r="AG201" s="2" t="s">
        <v>158</v>
      </c>
      <c r="AH201" s="2" t="s">
        <v>135</v>
      </c>
      <c r="AI201" s="11" t="s">
        <v>502</v>
      </c>
      <c r="AJ201" s="2" t="s">
        <v>137</v>
      </c>
      <c r="AK201" s="2" t="s">
        <v>137</v>
      </c>
      <c r="AL201" s="2" t="s">
        <v>815</v>
      </c>
    </row>
    <row r="202" customFormat="false" ht="90" hidden="false" customHeight="true" outlineLevel="0" collapsed="false">
      <c r="A202" s="2" t="s">
        <v>816</v>
      </c>
      <c r="B202" s="2" t="s">
        <v>569</v>
      </c>
      <c r="C202" s="2" t="s">
        <v>474</v>
      </c>
      <c r="D202" s="9" t="n">
        <v>270</v>
      </c>
      <c r="E202" s="2" t="s">
        <v>491</v>
      </c>
      <c r="F202" s="2" t="s">
        <v>492</v>
      </c>
      <c r="G202" s="2" t="s">
        <v>524</v>
      </c>
      <c r="H202" s="2" t="s">
        <v>368</v>
      </c>
      <c r="I202" s="2" t="s">
        <v>145</v>
      </c>
      <c r="J202" s="2" t="s">
        <v>369</v>
      </c>
      <c r="K202" s="10" t="b">
        <f aca="false">FALSE()</f>
        <v>0</v>
      </c>
      <c r="L202" s="10" t="b">
        <f aca="false">FALSE()</f>
        <v>0</v>
      </c>
      <c r="M202" s="2" t="s">
        <v>494</v>
      </c>
      <c r="N202" s="2" t="s">
        <v>371</v>
      </c>
      <c r="O202" s="2" t="s">
        <v>495</v>
      </c>
      <c r="P202" s="2" t="n">
        <v>60</v>
      </c>
      <c r="Q202" s="2" t="s">
        <v>496</v>
      </c>
      <c r="R202" s="11" t="s">
        <v>497</v>
      </c>
      <c r="S202" s="11" t="s">
        <v>498</v>
      </c>
      <c r="T202" s="2" t="s">
        <v>219</v>
      </c>
      <c r="U202" s="2" t="s">
        <v>153</v>
      </c>
      <c r="V202" s="2" t="s">
        <v>570</v>
      </c>
      <c r="W202" s="11" t="s">
        <v>571</v>
      </c>
      <c r="X202" s="2"/>
      <c r="Y202" s="2"/>
      <c r="Z202" s="2"/>
      <c r="AA202" s="2"/>
      <c r="AB202" s="2" t="s">
        <v>572</v>
      </c>
      <c r="AC202" s="2" t="s">
        <v>157</v>
      </c>
      <c r="AD202" s="2" t="s">
        <v>132</v>
      </c>
      <c r="AE202" s="10" t="b">
        <f aca="false">FALSE()</f>
        <v>0</v>
      </c>
      <c r="AF202" s="2" t="s">
        <v>133</v>
      </c>
      <c r="AG202" s="2" t="s">
        <v>158</v>
      </c>
      <c r="AH202" s="2" t="s">
        <v>135</v>
      </c>
      <c r="AI202" s="11" t="s">
        <v>502</v>
      </c>
      <c r="AJ202" s="2" t="s">
        <v>137</v>
      </c>
      <c r="AK202" s="2" t="s">
        <v>137</v>
      </c>
      <c r="AL202" s="2" t="s">
        <v>817</v>
      </c>
    </row>
    <row r="203" customFormat="false" ht="90" hidden="false" customHeight="true" outlineLevel="0" collapsed="false">
      <c r="A203" s="2" t="s">
        <v>818</v>
      </c>
      <c r="B203" s="2" t="s">
        <v>569</v>
      </c>
      <c r="C203" s="2" t="s">
        <v>474</v>
      </c>
      <c r="D203" s="9" t="n">
        <v>269</v>
      </c>
      <c r="E203" s="2" t="s">
        <v>491</v>
      </c>
      <c r="F203" s="2" t="s">
        <v>492</v>
      </c>
      <c r="G203" s="2" t="s">
        <v>524</v>
      </c>
      <c r="H203" s="2" t="s">
        <v>368</v>
      </c>
      <c r="I203" s="2" t="s">
        <v>145</v>
      </c>
      <c r="J203" s="2" t="s">
        <v>369</v>
      </c>
      <c r="K203" s="10" t="b">
        <f aca="false">FALSE()</f>
        <v>0</v>
      </c>
      <c r="L203" s="10" t="b">
        <f aca="false">TRUE()</f>
        <v>1</v>
      </c>
      <c r="M203" s="2" t="s">
        <v>494</v>
      </c>
      <c r="N203" s="2" t="s">
        <v>371</v>
      </c>
      <c r="O203" s="2" t="s">
        <v>495</v>
      </c>
      <c r="P203" s="2" t="n">
        <v>60</v>
      </c>
      <c r="Q203" s="2" t="s">
        <v>496</v>
      </c>
      <c r="R203" s="11" t="s">
        <v>497</v>
      </c>
      <c r="S203" s="11" t="s">
        <v>498</v>
      </c>
      <c r="T203" s="2" t="s">
        <v>219</v>
      </c>
      <c r="U203" s="2" t="s">
        <v>153</v>
      </c>
      <c r="V203" s="2" t="s">
        <v>570</v>
      </c>
      <c r="W203" s="11" t="s">
        <v>571</v>
      </c>
      <c r="X203" s="2"/>
      <c r="Y203" s="2"/>
      <c r="Z203" s="2"/>
      <c r="AA203" s="2"/>
      <c r="AB203" s="2" t="s">
        <v>572</v>
      </c>
      <c r="AC203" s="2" t="s">
        <v>157</v>
      </c>
      <c r="AD203" s="2" t="s">
        <v>132</v>
      </c>
      <c r="AE203" s="10" t="b">
        <f aca="false">FALSE()</f>
        <v>0</v>
      </c>
      <c r="AF203" s="2" t="s">
        <v>133</v>
      </c>
      <c r="AG203" s="2" t="s">
        <v>158</v>
      </c>
      <c r="AH203" s="2" t="s">
        <v>135</v>
      </c>
      <c r="AI203" s="11" t="s">
        <v>502</v>
      </c>
      <c r="AJ203" s="2" t="s">
        <v>137</v>
      </c>
      <c r="AK203" s="2" t="s">
        <v>137</v>
      </c>
      <c r="AL203" s="2" t="s">
        <v>819</v>
      </c>
    </row>
    <row r="204" customFormat="false" ht="90" hidden="false" customHeight="true" outlineLevel="0" collapsed="false">
      <c r="A204" s="2" t="s">
        <v>820</v>
      </c>
      <c r="B204" s="2" t="s">
        <v>569</v>
      </c>
      <c r="C204" s="2" t="s">
        <v>474</v>
      </c>
      <c r="D204" s="9" t="n">
        <v>269</v>
      </c>
      <c r="E204" s="2" t="s">
        <v>491</v>
      </c>
      <c r="F204" s="2" t="s">
        <v>492</v>
      </c>
      <c r="G204" s="2" t="s">
        <v>524</v>
      </c>
      <c r="H204" s="2" t="s">
        <v>368</v>
      </c>
      <c r="I204" s="2" t="s">
        <v>145</v>
      </c>
      <c r="J204" s="2" t="s">
        <v>369</v>
      </c>
      <c r="K204" s="10" t="b">
        <f aca="false">FALSE()</f>
        <v>0</v>
      </c>
      <c r="L204" s="10" t="b">
        <f aca="false">FALSE()</f>
        <v>0</v>
      </c>
      <c r="M204" s="2" t="s">
        <v>494</v>
      </c>
      <c r="N204" s="2" t="s">
        <v>371</v>
      </c>
      <c r="O204" s="2" t="s">
        <v>495</v>
      </c>
      <c r="P204" s="2" t="n">
        <v>30</v>
      </c>
      <c r="Q204" s="2" t="s">
        <v>496</v>
      </c>
      <c r="R204" s="11" t="s">
        <v>497</v>
      </c>
      <c r="S204" s="11" t="s">
        <v>498</v>
      </c>
      <c r="T204" s="2" t="s">
        <v>219</v>
      </c>
      <c r="U204" s="2" t="s">
        <v>153</v>
      </c>
      <c r="V204" s="2" t="s">
        <v>606</v>
      </c>
      <c r="W204" s="11" t="s">
        <v>607</v>
      </c>
      <c r="X204" s="2"/>
      <c r="Y204" s="2"/>
      <c r="Z204" s="2"/>
      <c r="AA204" s="2"/>
      <c r="AB204" s="2" t="s">
        <v>608</v>
      </c>
      <c r="AC204" s="2" t="s">
        <v>157</v>
      </c>
      <c r="AD204" s="2" t="s">
        <v>440</v>
      </c>
      <c r="AE204" s="10" t="b">
        <f aca="false">FALSE()</f>
        <v>0</v>
      </c>
      <c r="AF204" s="2" t="s">
        <v>133</v>
      </c>
      <c r="AG204" s="2" t="s">
        <v>158</v>
      </c>
      <c r="AH204" s="2" t="s">
        <v>135</v>
      </c>
      <c r="AI204" s="11" t="s">
        <v>502</v>
      </c>
      <c r="AJ204" s="2" t="s">
        <v>137</v>
      </c>
      <c r="AK204" s="2" t="s">
        <v>137</v>
      </c>
      <c r="AL204" s="2" t="s">
        <v>821</v>
      </c>
    </row>
    <row r="205" customFormat="false" ht="90" hidden="false" customHeight="true" outlineLevel="0" collapsed="false">
      <c r="A205" s="2" t="s">
        <v>822</v>
      </c>
      <c r="B205" s="2" t="s">
        <v>569</v>
      </c>
      <c r="C205" s="2" t="s">
        <v>474</v>
      </c>
      <c r="D205" s="9" t="n">
        <v>261</v>
      </c>
      <c r="E205" s="2" t="s">
        <v>491</v>
      </c>
      <c r="F205" s="2" t="s">
        <v>492</v>
      </c>
      <c r="G205" s="2" t="s">
        <v>524</v>
      </c>
      <c r="H205" s="2" t="s">
        <v>368</v>
      </c>
      <c r="I205" s="2" t="s">
        <v>145</v>
      </c>
      <c r="J205" s="2" t="s">
        <v>369</v>
      </c>
      <c r="K205" s="10" t="b">
        <f aca="false">FALSE()</f>
        <v>0</v>
      </c>
      <c r="L205" s="10" t="b">
        <f aca="false">TRUE()</f>
        <v>1</v>
      </c>
      <c r="M205" s="2" t="s">
        <v>494</v>
      </c>
      <c r="N205" s="2" t="s">
        <v>371</v>
      </c>
      <c r="O205" s="2" t="s">
        <v>495</v>
      </c>
      <c r="P205" s="2" t="n">
        <v>60</v>
      </c>
      <c r="Q205" s="2" t="s">
        <v>496</v>
      </c>
      <c r="R205" s="11" t="s">
        <v>497</v>
      </c>
      <c r="S205" s="11" t="s">
        <v>498</v>
      </c>
      <c r="T205" s="2" t="s">
        <v>219</v>
      </c>
      <c r="U205" s="2" t="s">
        <v>153</v>
      </c>
      <c r="V205" s="2" t="s">
        <v>570</v>
      </c>
      <c r="W205" s="11" t="s">
        <v>571</v>
      </c>
      <c r="X205" s="2"/>
      <c r="Y205" s="2"/>
      <c r="Z205" s="2"/>
      <c r="AA205" s="2"/>
      <c r="AB205" s="2" t="s">
        <v>572</v>
      </c>
      <c r="AC205" s="2" t="s">
        <v>157</v>
      </c>
      <c r="AD205" s="2" t="s">
        <v>132</v>
      </c>
      <c r="AE205" s="10" t="b">
        <f aca="false">FALSE()</f>
        <v>0</v>
      </c>
      <c r="AF205" s="2" t="s">
        <v>133</v>
      </c>
      <c r="AG205" s="2" t="s">
        <v>158</v>
      </c>
      <c r="AH205" s="2" t="s">
        <v>135</v>
      </c>
      <c r="AI205" s="11" t="s">
        <v>502</v>
      </c>
      <c r="AJ205" s="2" t="s">
        <v>137</v>
      </c>
      <c r="AK205" s="2" t="s">
        <v>137</v>
      </c>
      <c r="AL205" s="2" t="s">
        <v>823</v>
      </c>
    </row>
    <row r="206" customFormat="false" ht="90" hidden="false" customHeight="true" outlineLevel="0" collapsed="false">
      <c r="A206" s="2" t="s">
        <v>824</v>
      </c>
      <c r="B206" s="2" t="s">
        <v>569</v>
      </c>
      <c r="C206" s="2" t="s">
        <v>474</v>
      </c>
      <c r="D206" s="9" t="n">
        <v>260</v>
      </c>
      <c r="E206" s="2" t="s">
        <v>491</v>
      </c>
      <c r="F206" s="2" t="s">
        <v>492</v>
      </c>
      <c r="G206" s="2" t="s">
        <v>524</v>
      </c>
      <c r="H206" s="2" t="s">
        <v>368</v>
      </c>
      <c r="I206" s="2" t="s">
        <v>145</v>
      </c>
      <c r="J206" s="2" t="s">
        <v>369</v>
      </c>
      <c r="K206" s="10" t="b">
        <f aca="false">FALSE()</f>
        <v>0</v>
      </c>
      <c r="L206" s="10" t="b">
        <f aca="false">FALSE()</f>
        <v>0</v>
      </c>
      <c r="M206" s="2" t="s">
        <v>494</v>
      </c>
      <c r="N206" s="2" t="s">
        <v>371</v>
      </c>
      <c r="O206" s="2" t="s">
        <v>495</v>
      </c>
      <c r="P206" s="2" t="n">
        <v>60</v>
      </c>
      <c r="Q206" s="2" t="s">
        <v>496</v>
      </c>
      <c r="R206" s="11" t="s">
        <v>497</v>
      </c>
      <c r="S206" s="11" t="s">
        <v>498</v>
      </c>
      <c r="T206" s="2" t="s">
        <v>219</v>
      </c>
      <c r="U206" s="2" t="s">
        <v>153</v>
      </c>
      <c r="V206" s="2" t="s">
        <v>570</v>
      </c>
      <c r="W206" s="11" t="s">
        <v>571</v>
      </c>
      <c r="X206" s="2"/>
      <c r="Y206" s="2"/>
      <c r="Z206" s="2"/>
      <c r="AA206" s="2"/>
      <c r="AB206" s="2" t="s">
        <v>572</v>
      </c>
      <c r="AC206" s="2" t="s">
        <v>157</v>
      </c>
      <c r="AD206" s="2" t="s">
        <v>132</v>
      </c>
      <c r="AE206" s="10" t="b">
        <f aca="false">FALSE()</f>
        <v>0</v>
      </c>
      <c r="AF206" s="2" t="s">
        <v>133</v>
      </c>
      <c r="AG206" s="2" t="s">
        <v>158</v>
      </c>
      <c r="AH206" s="2" t="s">
        <v>135</v>
      </c>
      <c r="AI206" s="11" t="s">
        <v>502</v>
      </c>
      <c r="AJ206" s="2" t="s">
        <v>137</v>
      </c>
      <c r="AK206" s="2" t="s">
        <v>137</v>
      </c>
      <c r="AL206" s="2" t="s">
        <v>825</v>
      </c>
    </row>
    <row r="207" customFormat="false" ht="90" hidden="false" customHeight="true" outlineLevel="0" collapsed="false">
      <c r="A207" s="2" t="s">
        <v>826</v>
      </c>
      <c r="B207" s="2" t="s">
        <v>569</v>
      </c>
      <c r="C207" s="2" t="s">
        <v>474</v>
      </c>
      <c r="D207" s="9" t="n">
        <v>255</v>
      </c>
      <c r="E207" s="2" t="s">
        <v>491</v>
      </c>
      <c r="F207" s="2" t="s">
        <v>492</v>
      </c>
      <c r="G207" s="2" t="s">
        <v>524</v>
      </c>
      <c r="H207" s="2" t="s">
        <v>368</v>
      </c>
      <c r="I207" s="2" t="s">
        <v>145</v>
      </c>
      <c r="J207" s="2" t="s">
        <v>369</v>
      </c>
      <c r="K207" s="10" t="b">
        <f aca="false">FALSE()</f>
        <v>0</v>
      </c>
      <c r="L207" s="10" t="b">
        <f aca="false">TRUE()</f>
        <v>1</v>
      </c>
      <c r="M207" s="2" t="s">
        <v>494</v>
      </c>
      <c r="N207" s="2" t="s">
        <v>371</v>
      </c>
      <c r="O207" s="2" t="s">
        <v>495</v>
      </c>
      <c r="P207" s="2" t="n">
        <v>30</v>
      </c>
      <c r="Q207" s="2" t="s">
        <v>496</v>
      </c>
      <c r="R207" s="11" t="s">
        <v>497</v>
      </c>
      <c r="S207" s="11" t="s">
        <v>498</v>
      </c>
      <c r="T207" s="2" t="s">
        <v>632</v>
      </c>
      <c r="U207" s="2" t="s">
        <v>153</v>
      </c>
      <c r="V207" s="2" t="s">
        <v>587</v>
      </c>
      <c r="W207" s="11" t="s">
        <v>645</v>
      </c>
      <c r="X207" s="2"/>
      <c r="Y207" s="2"/>
      <c r="Z207" s="2"/>
      <c r="AA207" s="2"/>
      <c r="AB207" s="2" t="s">
        <v>589</v>
      </c>
      <c r="AC207" s="2" t="s">
        <v>131</v>
      </c>
      <c r="AD207" s="2" t="s">
        <v>354</v>
      </c>
      <c r="AE207" s="10" t="b">
        <f aca="false">FALSE()</f>
        <v>0</v>
      </c>
      <c r="AF207" s="2" t="s">
        <v>133</v>
      </c>
      <c r="AG207" s="2" t="s">
        <v>158</v>
      </c>
      <c r="AH207" s="2" t="s">
        <v>135</v>
      </c>
      <c r="AI207" s="11" t="s">
        <v>502</v>
      </c>
      <c r="AJ207" s="2" t="s">
        <v>137</v>
      </c>
      <c r="AK207" s="2" t="s">
        <v>137</v>
      </c>
      <c r="AL207" s="2" t="s">
        <v>827</v>
      </c>
    </row>
    <row r="208" customFormat="false" ht="90" hidden="false" customHeight="true" outlineLevel="0" collapsed="false">
      <c r="A208" s="2" t="s">
        <v>828</v>
      </c>
      <c r="B208" s="2" t="s">
        <v>569</v>
      </c>
      <c r="C208" s="2" t="s">
        <v>474</v>
      </c>
      <c r="D208" s="9" t="n">
        <v>254</v>
      </c>
      <c r="E208" s="2" t="s">
        <v>491</v>
      </c>
      <c r="F208" s="2" t="s">
        <v>492</v>
      </c>
      <c r="G208" s="2" t="s">
        <v>524</v>
      </c>
      <c r="H208" s="2" t="s">
        <v>368</v>
      </c>
      <c r="I208" s="2" t="s">
        <v>145</v>
      </c>
      <c r="J208" s="2" t="s">
        <v>369</v>
      </c>
      <c r="K208" s="10" t="b">
        <f aca="false">FALSE()</f>
        <v>0</v>
      </c>
      <c r="L208" s="10" t="b">
        <f aca="false">TRUE()</f>
        <v>1</v>
      </c>
      <c r="M208" s="2" t="s">
        <v>494</v>
      </c>
      <c r="N208" s="2" t="s">
        <v>371</v>
      </c>
      <c r="O208" s="2" t="s">
        <v>495</v>
      </c>
      <c r="P208" s="2" t="n">
        <v>60</v>
      </c>
      <c r="Q208" s="2" t="s">
        <v>496</v>
      </c>
      <c r="R208" s="11" t="s">
        <v>497</v>
      </c>
      <c r="S208" s="11" t="s">
        <v>498</v>
      </c>
      <c r="T208" s="2" t="s">
        <v>219</v>
      </c>
      <c r="U208" s="2" t="s">
        <v>153</v>
      </c>
      <c r="V208" s="2" t="s">
        <v>570</v>
      </c>
      <c r="W208" s="11" t="s">
        <v>592</v>
      </c>
      <c r="X208" s="2"/>
      <c r="Y208" s="2"/>
      <c r="Z208" s="2"/>
      <c r="AA208" s="2"/>
      <c r="AB208" s="2" t="s">
        <v>572</v>
      </c>
      <c r="AC208" s="2" t="s">
        <v>157</v>
      </c>
      <c r="AD208" s="2" t="s">
        <v>132</v>
      </c>
      <c r="AE208" s="10" t="b">
        <f aca="false">FALSE()</f>
        <v>0</v>
      </c>
      <c r="AF208" s="2" t="s">
        <v>133</v>
      </c>
      <c r="AG208" s="2" t="s">
        <v>158</v>
      </c>
      <c r="AH208" s="2" t="s">
        <v>135</v>
      </c>
      <c r="AI208" s="11" t="s">
        <v>502</v>
      </c>
      <c r="AJ208" s="2" t="s">
        <v>137</v>
      </c>
      <c r="AK208" s="2" t="s">
        <v>137</v>
      </c>
      <c r="AL208" s="2" t="s">
        <v>829</v>
      </c>
    </row>
    <row r="209" customFormat="false" ht="90" hidden="false" customHeight="true" outlineLevel="0" collapsed="false">
      <c r="A209" s="2" t="s">
        <v>830</v>
      </c>
      <c r="B209" s="2" t="s">
        <v>569</v>
      </c>
      <c r="C209" s="2" t="s">
        <v>474</v>
      </c>
      <c r="D209" s="9" t="n">
        <v>254</v>
      </c>
      <c r="E209" s="2" t="s">
        <v>491</v>
      </c>
      <c r="F209" s="2" t="s">
        <v>492</v>
      </c>
      <c r="G209" s="2" t="s">
        <v>524</v>
      </c>
      <c r="H209" s="2" t="s">
        <v>368</v>
      </c>
      <c r="I209" s="2" t="s">
        <v>145</v>
      </c>
      <c r="J209" s="2" t="s">
        <v>369</v>
      </c>
      <c r="K209" s="10" t="b">
        <f aca="false">FALSE()</f>
        <v>0</v>
      </c>
      <c r="L209" s="10" t="b">
        <f aca="false">TRUE()</f>
        <v>1</v>
      </c>
      <c r="M209" s="2" t="s">
        <v>494</v>
      </c>
      <c r="N209" s="2" t="s">
        <v>371</v>
      </c>
      <c r="O209" s="2" t="s">
        <v>495</v>
      </c>
      <c r="P209" s="2" t="n">
        <v>60</v>
      </c>
      <c r="Q209" s="2" t="s">
        <v>496</v>
      </c>
      <c r="R209" s="11" t="s">
        <v>497</v>
      </c>
      <c r="S209" s="11" t="s">
        <v>498</v>
      </c>
      <c r="T209" s="2" t="s">
        <v>219</v>
      </c>
      <c r="U209" s="2" t="s">
        <v>153</v>
      </c>
      <c r="V209" s="2" t="s">
        <v>570</v>
      </c>
      <c r="W209" s="11" t="s">
        <v>571</v>
      </c>
      <c r="X209" s="2"/>
      <c r="Y209" s="2"/>
      <c r="Z209" s="2"/>
      <c r="AA209" s="2"/>
      <c r="AB209" s="2" t="s">
        <v>572</v>
      </c>
      <c r="AC209" s="2" t="s">
        <v>157</v>
      </c>
      <c r="AD209" s="2" t="s">
        <v>132</v>
      </c>
      <c r="AE209" s="10" t="b">
        <f aca="false">FALSE()</f>
        <v>0</v>
      </c>
      <c r="AF209" s="2" t="s">
        <v>133</v>
      </c>
      <c r="AG209" s="2" t="s">
        <v>158</v>
      </c>
      <c r="AH209" s="2" t="s">
        <v>135</v>
      </c>
      <c r="AI209" s="11" t="s">
        <v>502</v>
      </c>
      <c r="AJ209" s="2" t="s">
        <v>137</v>
      </c>
      <c r="AK209" s="2" t="s">
        <v>137</v>
      </c>
      <c r="AL209" s="2" t="s">
        <v>831</v>
      </c>
    </row>
    <row r="210" customFormat="false" ht="90" hidden="false" customHeight="true" outlineLevel="0" collapsed="false">
      <c r="A210" s="2" t="s">
        <v>832</v>
      </c>
      <c r="B210" s="2" t="s">
        <v>569</v>
      </c>
      <c r="C210" s="2" t="s">
        <v>474</v>
      </c>
      <c r="D210" s="9" t="n">
        <v>253</v>
      </c>
      <c r="E210" s="2" t="s">
        <v>491</v>
      </c>
      <c r="F210" s="2" t="s">
        <v>492</v>
      </c>
      <c r="G210" s="2" t="s">
        <v>524</v>
      </c>
      <c r="H210" s="2" t="s">
        <v>368</v>
      </c>
      <c r="I210" s="2" t="s">
        <v>145</v>
      </c>
      <c r="J210" s="2" t="s">
        <v>369</v>
      </c>
      <c r="K210" s="10" t="b">
        <f aca="false">FALSE()</f>
        <v>0</v>
      </c>
      <c r="L210" s="10" t="b">
        <f aca="false">TRUE()</f>
        <v>1</v>
      </c>
      <c r="M210" s="2" t="s">
        <v>494</v>
      </c>
      <c r="N210" s="2" t="s">
        <v>371</v>
      </c>
      <c r="O210" s="2" t="s">
        <v>495</v>
      </c>
      <c r="P210" s="2" t="n">
        <v>60</v>
      </c>
      <c r="Q210" s="2" t="s">
        <v>496</v>
      </c>
      <c r="R210" s="11" t="s">
        <v>497</v>
      </c>
      <c r="S210" s="11" t="s">
        <v>498</v>
      </c>
      <c r="T210" s="2" t="s">
        <v>219</v>
      </c>
      <c r="U210" s="2" t="s">
        <v>153</v>
      </c>
      <c r="V210" s="2" t="s">
        <v>570</v>
      </c>
      <c r="W210" s="11" t="s">
        <v>571</v>
      </c>
      <c r="X210" s="2"/>
      <c r="Y210" s="2"/>
      <c r="Z210" s="2"/>
      <c r="AA210" s="2"/>
      <c r="AB210" s="2" t="s">
        <v>572</v>
      </c>
      <c r="AC210" s="2" t="s">
        <v>157</v>
      </c>
      <c r="AD210" s="2" t="s">
        <v>132</v>
      </c>
      <c r="AE210" s="10" t="b">
        <f aca="false">FALSE()</f>
        <v>0</v>
      </c>
      <c r="AF210" s="2" t="s">
        <v>133</v>
      </c>
      <c r="AG210" s="2" t="s">
        <v>158</v>
      </c>
      <c r="AH210" s="2" t="s">
        <v>135</v>
      </c>
      <c r="AI210" s="11" t="s">
        <v>502</v>
      </c>
      <c r="AJ210" s="2" t="s">
        <v>137</v>
      </c>
      <c r="AK210" s="2" t="s">
        <v>137</v>
      </c>
      <c r="AL210" s="2" t="s">
        <v>833</v>
      </c>
    </row>
    <row r="211" customFormat="false" ht="90" hidden="false" customHeight="true" outlineLevel="0" collapsed="false">
      <c r="A211" s="2" t="s">
        <v>834</v>
      </c>
      <c r="B211" s="2" t="s">
        <v>569</v>
      </c>
      <c r="C211" s="2" t="s">
        <v>474</v>
      </c>
      <c r="D211" s="9" t="n">
        <v>248</v>
      </c>
      <c r="E211" s="2" t="s">
        <v>491</v>
      </c>
      <c r="F211" s="2" t="s">
        <v>492</v>
      </c>
      <c r="G211" s="2" t="s">
        <v>524</v>
      </c>
      <c r="H211" s="2" t="s">
        <v>368</v>
      </c>
      <c r="I211" s="2" t="s">
        <v>145</v>
      </c>
      <c r="J211" s="2" t="s">
        <v>369</v>
      </c>
      <c r="K211" s="10" t="b">
        <f aca="false">FALSE()</f>
        <v>0</v>
      </c>
      <c r="L211" s="10" t="b">
        <f aca="false">TRUE()</f>
        <v>1</v>
      </c>
      <c r="M211" s="2" t="s">
        <v>494</v>
      </c>
      <c r="N211" s="2" t="s">
        <v>371</v>
      </c>
      <c r="O211" s="2" t="s">
        <v>495</v>
      </c>
      <c r="P211" s="2" t="n">
        <v>60</v>
      </c>
      <c r="Q211" s="2" t="s">
        <v>496</v>
      </c>
      <c r="R211" s="11" t="s">
        <v>497</v>
      </c>
      <c r="S211" s="11" t="s">
        <v>498</v>
      </c>
      <c r="T211" s="2" t="s">
        <v>219</v>
      </c>
      <c r="U211" s="2" t="s">
        <v>153</v>
      </c>
      <c r="V211" s="2" t="s">
        <v>570</v>
      </c>
      <c r="W211" s="11" t="s">
        <v>592</v>
      </c>
      <c r="X211" s="2"/>
      <c r="Y211" s="2"/>
      <c r="Z211" s="2"/>
      <c r="AA211" s="2"/>
      <c r="AB211" s="2" t="s">
        <v>572</v>
      </c>
      <c r="AC211" s="2" t="s">
        <v>157</v>
      </c>
      <c r="AD211" s="2" t="s">
        <v>132</v>
      </c>
      <c r="AE211" s="10" t="b">
        <f aca="false">FALSE()</f>
        <v>0</v>
      </c>
      <c r="AF211" s="2" t="s">
        <v>133</v>
      </c>
      <c r="AG211" s="2" t="s">
        <v>158</v>
      </c>
      <c r="AH211" s="2" t="s">
        <v>135</v>
      </c>
      <c r="AI211" s="11" t="s">
        <v>502</v>
      </c>
      <c r="AJ211" s="2" t="s">
        <v>137</v>
      </c>
      <c r="AK211" s="2" t="s">
        <v>137</v>
      </c>
      <c r="AL211" s="2" t="s">
        <v>835</v>
      </c>
    </row>
    <row r="212" customFormat="false" ht="90" hidden="false" customHeight="true" outlineLevel="0" collapsed="false">
      <c r="A212" s="2" t="s">
        <v>836</v>
      </c>
      <c r="B212" s="2" t="s">
        <v>569</v>
      </c>
      <c r="C212" s="2" t="s">
        <v>474</v>
      </c>
      <c r="D212" s="9" t="n">
        <v>246</v>
      </c>
      <c r="E212" s="2" t="s">
        <v>491</v>
      </c>
      <c r="F212" s="2" t="s">
        <v>492</v>
      </c>
      <c r="G212" s="2" t="s">
        <v>524</v>
      </c>
      <c r="H212" s="2" t="s">
        <v>368</v>
      </c>
      <c r="I212" s="2" t="s">
        <v>145</v>
      </c>
      <c r="J212" s="2" t="s">
        <v>369</v>
      </c>
      <c r="K212" s="10" t="b">
        <f aca="false">FALSE()</f>
        <v>0</v>
      </c>
      <c r="L212" s="10" t="b">
        <f aca="false">FALSE()</f>
        <v>0</v>
      </c>
      <c r="M212" s="2" t="s">
        <v>494</v>
      </c>
      <c r="N212" s="2" t="s">
        <v>371</v>
      </c>
      <c r="O212" s="2" t="s">
        <v>495</v>
      </c>
      <c r="P212" s="2" t="n">
        <v>60</v>
      </c>
      <c r="Q212" s="2" t="s">
        <v>496</v>
      </c>
      <c r="R212" s="11" t="s">
        <v>497</v>
      </c>
      <c r="S212" s="11" t="s">
        <v>498</v>
      </c>
      <c r="T212" s="2" t="s">
        <v>219</v>
      </c>
      <c r="U212" s="2" t="s">
        <v>153</v>
      </c>
      <c r="V212" s="2" t="s">
        <v>570</v>
      </c>
      <c r="W212" s="11" t="s">
        <v>571</v>
      </c>
      <c r="X212" s="2"/>
      <c r="Y212" s="2"/>
      <c r="Z212" s="2"/>
      <c r="AA212" s="2"/>
      <c r="AB212" s="2" t="s">
        <v>572</v>
      </c>
      <c r="AC212" s="2" t="s">
        <v>157</v>
      </c>
      <c r="AD212" s="2" t="s">
        <v>132</v>
      </c>
      <c r="AE212" s="10" t="b">
        <f aca="false">FALSE()</f>
        <v>0</v>
      </c>
      <c r="AF212" s="2" t="s">
        <v>133</v>
      </c>
      <c r="AG212" s="2" t="s">
        <v>158</v>
      </c>
      <c r="AH212" s="2" t="s">
        <v>135</v>
      </c>
      <c r="AI212" s="11" t="s">
        <v>502</v>
      </c>
      <c r="AJ212" s="2" t="s">
        <v>137</v>
      </c>
      <c r="AK212" s="2" t="s">
        <v>137</v>
      </c>
      <c r="AL212" s="2" t="s">
        <v>837</v>
      </c>
    </row>
    <row r="213" customFormat="false" ht="90" hidden="false" customHeight="true" outlineLevel="0" collapsed="false">
      <c r="A213" s="2" t="s">
        <v>838</v>
      </c>
      <c r="B213" s="2" t="s">
        <v>569</v>
      </c>
      <c r="C213" s="2" t="s">
        <v>474</v>
      </c>
      <c r="D213" s="9" t="n">
        <v>242</v>
      </c>
      <c r="E213" s="2" t="s">
        <v>491</v>
      </c>
      <c r="F213" s="2" t="s">
        <v>492</v>
      </c>
      <c r="G213" s="2" t="s">
        <v>524</v>
      </c>
      <c r="H213" s="2" t="s">
        <v>368</v>
      </c>
      <c r="I213" s="2" t="s">
        <v>145</v>
      </c>
      <c r="J213" s="2" t="s">
        <v>369</v>
      </c>
      <c r="K213" s="10" t="b">
        <f aca="false">FALSE()</f>
        <v>0</v>
      </c>
      <c r="L213" s="10" t="b">
        <f aca="false">TRUE()</f>
        <v>1</v>
      </c>
      <c r="M213" s="2" t="s">
        <v>494</v>
      </c>
      <c r="N213" s="2" t="s">
        <v>371</v>
      </c>
      <c r="O213" s="2" t="s">
        <v>495</v>
      </c>
      <c r="P213" s="2" t="n">
        <v>60</v>
      </c>
      <c r="Q213" s="2" t="s">
        <v>496</v>
      </c>
      <c r="R213" s="11" t="s">
        <v>497</v>
      </c>
      <c r="S213" s="11" t="s">
        <v>498</v>
      </c>
      <c r="T213" s="2" t="s">
        <v>219</v>
      </c>
      <c r="U213" s="2" t="s">
        <v>153</v>
      </c>
      <c r="V213" s="2" t="s">
        <v>570</v>
      </c>
      <c r="W213" s="11" t="s">
        <v>571</v>
      </c>
      <c r="X213" s="2"/>
      <c r="Y213" s="2"/>
      <c r="Z213" s="2"/>
      <c r="AA213" s="2"/>
      <c r="AB213" s="2" t="s">
        <v>572</v>
      </c>
      <c r="AC213" s="2" t="s">
        <v>157</v>
      </c>
      <c r="AD213" s="2" t="s">
        <v>132</v>
      </c>
      <c r="AE213" s="10" t="b">
        <f aca="false">FALSE()</f>
        <v>0</v>
      </c>
      <c r="AF213" s="2" t="s">
        <v>133</v>
      </c>
      <c r="AG213" s="2" t="s">
        <v>158</v>
      </c>
      <c r="AH213" s="2" t="s">
        <v>135</v>
      </c>
      <c r="AI213" s="11" t="s">
        <v>502</v>
      </c>
      <c r="AJ213" s="2" t="s">
        <v>137</v>
      </c>
      <c r="AK213" s="2" t="s">
        <v>137</v>
      </c>
      <c r="AL213" s="2" t="s">
        <v>839</v>
      </c>
    </row>
    <row r="214" customFormat="false" ht="90" hidden="false" customHeight="true" outlineLevel="0" collapsed="false">
      <c r="A214" s="2" t="s">
        <v>840</v>
      </c>
      <c r="B214" s="2" t="s">
        <v>569</v>
      </c>
      <c r="C214" s="2" t="s">
        <v>474</v>
      </c>
      <c r="D214" s="9" t="n">
        <v>242</v>
      </c>
      <c r="E214" s="2" t="s">
        <v>491</v>
      </c>
      <c r="F214" s="2" t="s">
        <v>492</v>
      </c>
      <c r="G214" s="2" t="s">
        <v>524</v>
      </c>
      <c r="H214" s="2" t="s">
        <v>368</v>
      </c>
      <c r="I214" s="2" t="s">
        <v>145</v>
      </c>
      <c r="J214" s="2" t="s">
        <v>369</v>
      </c>
      <c r="K214" s="10" t="b">
        <f aca="false">FALSE()</f>
        <v>0</v>
      </c>
      <c r="L214" s="10" t="b">
        <f aca="false">FALSE()</f>
        <v>0</v>
      </c>
      <c r="M214" s="2" t="s">
        <v>494</v>
      </c>
      <c r="N214" s="2" t="s">
        <v>371</v>
      </c>
      <c r="O214" s="2" t="s">
        <v>495</v>
      </c>
      <c r="P214" s="2" t="n">
        <v>30</v>
      </c>
      <c r="Q214" s="2" t="s">
        <v>496</v>
      </c>
      <c r="R214" s="11" t="s">
        <v>497</v>
      </c>
      <c r="S214" s="11" t="s">
        <v>498</v>
      </c>
      <c r="T214" s="2" t="s">
        <v>632</v>
      </c>
      <c r="U214" s="2" t="s">
        <v>153</v>
      </c>
      <c r="V214" s="2" t="s">
        <v>606</v>
      </c>
      <c r="W214" s="11" t="s">
        <v>607</v>
      </c>
      <c r="X214" s="2"/>
      <c r="Y214" s="2"/>
      <c r="Z214" s="2"/>
      <c r="AA214" s="2"/>
      <c r="AB214" s="2" t="s">
        <v>608</v>
      </c>
      <c r="AC214" s="2" t="s">
        <v>131</v>
      </c>
      <c r="AD214" s="2" t="s">
        <v>440</v>
      </c>
      <c r="AE214" s="10" t="b">
        <f aca="false">FALSE()</f>
        <v>0</v>
      </c>
      <c r="AF214" s="2" t="s">
        <v>133</v>
      </c>
      <c r="AG214" s="2" t="s">
        <v>158</v>
      </c>
      <c r="AH214" s="2" t="s">
        <v>135</v>
      </c>
      <c r="AI214" s="11" t="s">
        <v>502</v>
      </c>
      <c r="AJ214" s="2" t="s">
        <v>137</v>
      </c>
      <c r="AK214" s="2" t="s">
        <v>137</v>
      </c>
      <c r="AL214" s="2" t="s">
        <v>841</v>
      </c>
    </row>
    <row r="215" customFormat="false" ht="90" hidden="false" customHeight="true" outlineLevel="0" collapsed="false">
      <c r="A215" s="2" t="s">
        <v>842</v>
      </c>
      <c r="B215" s="2" t="s">
        <v>569</v>
      </c>
      <c r="C215" s="2" t="s">
        <v>474</v>
      </c>
      <c r="D215" s="9" t="n">
        <v>240</v>
      </c>
      <c r="E215" s="2" t="s">
        <v>491</v>
      </c>
      <c r="F215" s="2" t="s">
        <v>492</v>
      </c>
      <c r="G215" s="2" t="s">
        <v>524</v>
      </c>
      <c r="H215" s="2" t="s">
        <v>368</v>
      </c>
      <c r="I215" s="2" t="s">
        <v>145</v>
      </c>
      <c r="J215" s="2" t="s">
        <v>369</v>
      </c>
      <c r="K215" s="10" t="b">
        <f aca="false">FALSE()</f>
        <v>0</v>
      </c>
      <c r="L215" s="10" t="b">
        <f aca="false">TRUE()</f>
        <v>1</v>
      </c>
      <c r="M215" s="2" t="s">
        <v>494</v>
      </c>
      <c r="N215" s="2" t="s">
        <v>371</v>
      </c>
      <c r="O215" s="2" t="s">
        <v>495</v>
      </c>
      <c r="P215" s="2" t="n">
        <v>60</v>
      </c>
      <c r="Q215" s="2" t="s">
        <v>496</v>
      </c>
      <c r="R215" s="11" t="s">
        <v>497</v>
      </c>
      <c r="S215" s="11" t="s">
        <v>498</v>
      </c>
      <c r="T215" s="2" t="s">
        <v>219</v>
      </c>
      <c r="U215" s="2" t="s">
        <v>153</v>
      </c>
      <c r="V215" s="2" t="s">
        <v>570</v>
      </c>
      <c r="W215" s="11" t="s">
        <v>571</v>
      </c>
      <c r="X215" s="2"/>
      <c r="Y215" s="2"/>
      <c r="Z215" s="2"/>
      <c r="AA215" s="2"/>
      <c r="AB215" s="2" t="s">
        <v>572</v>
      </c>
      <c r="AC215" s="2" t="s">
        <v>157</v>
      </c>
      <c r="AD215" s="2" t="s">
        <v>132</v>
      </c>
      <c r="AE215" s="10" t="b">
        <f aca="false">FALSE()</f>
        <v>0</v>
      </c>
      <c r="AF215" s="2" t="s">
        <v>133</v>
      </c>
      <c r="AG215" s="2" t="s">
        <v>158</v>
      </c>
      <c r="AH215" s="2" t="s">
        <v>135</v>
      </c>
      <c r="AI215" s="11" t="s">
        <v>502</v>
      </c>
      <c r="AJ215" s="2" t="s">
        <v>137</v>
      </c>
      <c r="AK215" s="2" t="s">
        <v>137</v>
      </c>
      <c r="AL215" s="2" t="s">
        <v>843</v>
      </c>
    </row>
    <row r="216" customFormat="false" ht="90" hidden="false" customHeight="true" outlineLevel="0" collapsed="false">
      <c r="A216" s="2" t="s">
        <v>844</v>
      </c>
      <c r="B216" s="2" t="s">
        <v>569</v>
      </c>
      <c r="C216" s="2" t="s">
        <v>474</v>
      </c>
      <c r="D216" s="9" t="n">
        <v>230</v>
      </c>
      <c r="E216" s="2" t="s">
        <v>491</v>
      </c>
      <c r="F216" s="2" t="s">
        <v>492</v>
      </c>
      <c r="G216" s="2" t="s">
        <v>524</v>
      </c>
      <c r="H216" s="2" t="s">
        <v>368</v>
      </c>
      <c r="I216" s="2" t="s">
        <v>145</v>
      </c>
      <c r="J216" s="2" t="s">
        <v>369</v>
      </c>
      <c r="K216" s="10" t="b">
        <f aca="false">FALSE()</f>
        <v>0</v>
      </c>
      <c r="L216" s="10" t="b">
        <f aca="false">TRUE()</f>
        <v>1</v>
      </c>
      <c r="M216" s="2" t="s">
        <v>494</v>
      </c>
      <c r="N216" s="2" t="s">
        <v>371</v>
      </c>
      <c r="O216" s="2" t="s">
        <v>495</v>
      </c>
      <c r="P216" s="2" t="n">
        <v>60</v>
      </c>
      <c r="Q216" s="2" t="s">
        <v>496</v>
      </c>
      <c r="R216" s="11" t="s">
        <v>497</v>
      </c>
      <c r="S216" s="11" t="s">
        <v>498</v>
      </c>
      <c r="T216" s="2" t="s">
        <v>219</v>
      </c>
      <c r="U216" s="2" t="s">
        <v>153</v>
      </c>
      <c r="V216" s="2" t="s">
        <v>570</v>
      </c>
      <c r="W216" s="11" t="s">
        <v>571</v>
      </c>
      <c r="X216" s="2"/>
      <c r="Y216" s="2"/>
      <c r="Z216" s="2"/>
      <c r="AA216" s="2"/>
      <c r="AB216" s="2" t="s">
        <v>572</v>
      </c>
      <c r="AC216" s="2" t="s">
        <v>157</v>
      </c>
      <c r="AD216" s="2" t="s">
        <v>132</v>
      </c>
      <c r="AE216" s="10" t="b">
        <f aca="false">FALSE()</f>
        <v>0</v>
      </c>
      <c r="AF216" s="2" t="s">
        <v>133</v>
      </c>
      <c r="AG216" s="2" t="s">
        <v>158</v>
      </c>
      <c r="AH216" s="2" t="s">
        <v>135</v>
      </c>
      <c r="AI216" s="11" t="s">
        <v>502</v>
      </c>
      <c r="AJ216" s="2" t="s">
        <v>137</v>
      </c>
      <c r="AK216" s="2" t="s">
        <v>137</v>
      </c>
      <c r="AL216" s="2" t="s">
        <v>845</v>
      </c>
    </row>
    <row r="217" customFormat="false" ht="90" hidden="false" customHeight="true" outlineLevel="0" collapsed="false">
      <c r="A217" s="2" t="s">
        <v>846</v>
      </c>
      <c r="B217" s="2" t="s">
        <v>569</v>
      </c>
      <c r="C217" s="2" t="s">
        <v>474</v>
      </c>
      <c r="D217" s="9" t="n">
        <v>222</v>
      </c>
      <c r="E217" s="2" t="s">
        <v>491</v>
      </c>
      <c r="F217" s="2" t="s">
        <v>492</v>
      </c>
      <c r="G217" s="2" t="s">
        <v>524</v>
      </c>
      <c r="H217" s="2" t="s">
        <v>368</v>
      </c>
      <c r="I217" s="2" t="s">
        <v>145</v>
      </c>
      <c r="J217" s="2" t="s">
        <v>369</v>
      </c>
      <c r="K217" s="10" t="b">
        <f aca="false">FALSE()</f>
        <v>0</v>
      </c>
      <c r="L217" s="10" t="b">
        <f aca="false">TRUE()</f>
        <v>1</v>
      </c>
      <c r="M217" s="2" t="s">
        <v>494</v>
      </c>
      <c r="N217" s="2" t="s">
        <v>371</v>
      </c>
      <c r="O217" s="2" t="s">
        <v>495</v>
      </c>
      <c r="P217" s="2" t="n">
        <v>60</v>
      </c>
      <c r="Q217" s="2" t="s">
        <v>496</v>
      </c>
      <c r="R217" s="11" t="s">
        <v>497</v>
      </c>
      <c r="S217" s="11" t="s">
        <v>498</v>
      </c>
      <c r="T217" s="2" t="s">
        <v>219</v>
      </c>
      <c r="U217" s="2" t="s">
        <v>153</v>
      </c>
      <c r="V217" s="2" t="s">
        <v>570</v>
      </c>
      <c r="W217" s="11" t="s">
        <v>575</v>
      </c>
      <c r="X217" s="2"/>
      <c r="Y217" s="2"/>
      <c r="Z217" s="2"/>
      <c r="AA217" s="2"/>
      <c r="AB217" s="2" t="s">
        <v>572</v>
      </c>
      <c r="AC217" s="2" t="s">
        <v>157</v>
      </c>
      <c r="AD217" s="2" t="s">
        <v>132</v>
      </c>
      <c r="AE217" s="10" t="b">
        <f aca="false">FALSE()</f>
        <v>0</v>
      </c>
      <c r="AF217" s="2" t="s">
        <v>133</v>
      </c>
      <c r="AG217" s="2" t="s">
        <v>158</v>
      </c>
      <c r="AH217" s="2" t="s">
        <v>135</v>
      </c>
      <c r="AI217" s="11" t="s">
        <v>502</v>
      </c>
      <c r="AJ217" s="2" t="s">
        <v>137</v>
      </c>
      <c r="AK217" s="2" t="s">
        <v>137</v>
      </c>
      <c r="AL217" s="2" t="s">
        <v>847</v>
      </c>
    </row>
    <row r="218" customFormat="false" ht="90" hidden="false" customHeight="true" outlineLevel="0" collapsed="false">
      <c r="A218" s="2" t="s">
        <v>848</v>
      </c>
      <c r="B218" s="2" t="s">
        <v>569</v>
      </c>
      <c r="C218" s="2" t="s">
        <v>474</v>
      </c>
      <c r="D218" s="9" t="n">
        <v>217</v>
      </c>
      <c r="E218" s="2" t="s">
        <v>491</v>
      </c>
      <c r="F218" s="2" t="s">
        <v>492</v>
      </c>
      <c r="G218" s="2" t="s">
        <v>524</v>
      </c>
      <c r="H218" s="2" t="s">
        <v>368</v>
      </c>
      <c r="I218" s="2" t="s">
        <v>145</v>
      </c>
      <c r="J218" s="2" t="s">
        <v>369</v>
      </c>
      <c r="K218" s="10" t="b">
        <f aca="false">FALSE()</f>
        <v>0</v>
      </c>
      <c r="L218" s="10" t="b">
        <f aca="false">TRUE()</f>
        <v>1</v>
      </c>
      <c r="M218" s="2" t="s">
        <v>494</v>
      </c>
      <c r="N218" s="2" t="s">
        <v>371</v>
      </c>
      <c r="O218" s="2" t="s">
        <v>495</v>
      </c>
      <c r="P218" s="2" t="n">
        <v>60</v>
      </c>
      <c r="Q218" s="2" t="s">
        <v>496</v>
      </c>
      <c r="R218" s="11" t="s">
        <v>497</v>
      </c>
      <c r="S218" s="11" t="s">
        <v>498</v>
      </c>
      <c r="T218" s="2" t="s">
        <v>219</v>
      </c>
      <c r="U218" s="2" t="s">
        <v>153</v>
      </c>
      <c r="V218" s="2" t="s">
        <v>570</v>
      </c>
      <c r="W218" s="11" t="s">
        <v>571</v>
      </c>
      <c r="X218" s="2"/>
      <c r="Y218" s="2"/>
      <c r="Z218" s="2"/>
      <c r="AA218" s="2"/>
      <c r="AB218" s="2" t="s">
        <v>572</v>
      </c>
      <c r="AC218" s="2" t="s">
        <v>157</v>
      </c>
      <c r="AD218" s="2" t="s">
        <v>132</v>
      </c>
      <c r="AE218" s="10" t="b">
        <f aca="false">FALSE()</f>
        <v>0</v>
      </c>
      <c r="AF218" s="2" t="s">
        <v>133</v>
      </c>
      <c r="AG218" s="2" t="s">
        <v>158</v>
      </c>
      <c r="AH218" s="2" t="s">
        <v>135</v>
      </c>
      <c r="AI218" s="11" t="s">
        <v>502</v>
      </c>
      <c r="AJ218" s="2" t="s">
        <v>137</v>
      </c>
      <c r="AK218" s="2" t="s">
        <v>137</v>
      </c>
      <c r="AL218" s="2" t="s">
        <v>849</v>
      </c>
    </row>
    <row r="219" customFormat="false" ht="90" hidden="false" customHeight="true" outlineLevel="0" collapsed="false">
      <c r="A219" s="2" t="s">
        <v>850</v>
      </c>
      <c r="B219" s="2" t="s">
        <v>569</v>
      </c>
      <c r="C219" s="2" t="s">
        <v>474</v>
      </c>
      <c r="D219" s="9" t="n">
        <v>216</v>
      </c>
      <c r="E219" s="2" t="s">
        <v>491</v>
      </c>
      <c r="F219" s="2" t="s">
        <v>492</v>
      </c>
      <c r="G219" s="2" t="s">
        <v>524</v>
      </c>
      <c r="H219" s="2" t="s">
        <v>368</v>
      </c>
      <c r="I219" s="2" t="s">
        <v>145</v>
      </c>
      <c r="J219" s="2" t="s">
        <v>369</v>
      </c>
      <c r="K219" s="10" t="b">
        <f aca="false">FALSE()</f>
        <v>0</v>
      </c>
      <c r="L219" s="10" t="b">
        <f aca="false">FALSE()</f>
        <v>0</v>
      </c>
      <c r="M219" s="2" t="s">
        <v>494</v>
      </c>
      <c r="N219" s="2" t="s">
        <v>371</v>
      </c>
      <c r="O219" s="2" t="s">
        <v>495</v>
      </c>
      <c r="P219" s="2" t="n">
        <v>60</v>
      </c>
      <c r="Q219" s="2" t="s">
        <v>496</v>
      </c>
      <c r="R219" s="11" t="s">
        <v>497</v>
      </c>
      <c r="S219" s="11" t="s">
        <v>498</v>
      </c>
      <c r="T219" s="2" t="s">
        <v>219</v>
      </c>
      <c r="U219" s="2" t="s">
        <v>153</v>
      </c>
      <c r="V219" s="2" t="s">
        <v>570</v>
      </c>
      <c r="W219" s="11" t="s">
        <v>575</v>
      </c>
      <c r="X219" s="2"/>
      <c r="Y219" s="2"/>
      <c r="Z219" s="2"/>
      <c r="AA219" s="2"/>
      <c r="AB219" s="2" t="s">
        <v>572</v>
      </c>
      <c r="AC219" s="2" t="s">
        <v>157</v>
      </c>
      <c r="AD219" s="2" t="s">
        <v>132</v>
      </c>
      <c r="AE219" s="10" t="b">
        <f aca="false">FALSE()</f>
        <v>0</v>
      </c>
      <c r="AF219" s="2" t="s">
        <v>133</v>
      </c>
      <c r="AG219" s="2" t="s">
        <v>158</v>
      </c>
      <c r="AH219" s="2" t="s">
        <v>135</v>
      </c>
      <c r="AI219" s="11" t="s">
        <v>502</v>
      </c>
      <c r="AJ219" s="2" t="s">
        <v>137</v>
      </c>
      <c r="AK219" s="2" t="s">
        <v>137</v>
      </c>
      <c r="AL219" s="2" t="s">
        <v>851</v>
      </c>
    </row>
    <row r="220" customFormat="false" ht="90" hidden="false" customHeight="true" outlineLevel="0" collapsed="false">
      <c r="A220" s="2" t="s">
        <v>852</v>
      </c>
      <c r="B220" s="2" t="s">
        <v>569</v>
      </c>
      <c r="C220" s="2" t="s">
        <v>474</v>
      </c>
      <c r="D220" s="9" t="n">
        <v>216</v>
      </c>
      <c r="E220" s="2" t="s">
        <v>491</v>
      </c>
      <c r="F220" s="2" t="s">
        <v>492</v>
      </c>
      <c r="G220" s="2" t="s">
        <v>524</v>
      </c>
      <c r="H220" s="2" t="s">
        <v>368</v>
      </c>
      <c r="I220" s="2" t="s">
        <v>145</v>
      </c>
      <c r="J220" s="2" t="s">
        <v>369</v>
      </c>
      <c r="K220" s="10" t="b">
        <f aca="false">FALSE()</f>
        <v>0</v>
      </c>
      <c r="L220" s="10" t="b">
        <f aca="false">FALSE()</f>
        <v>0</v>
      </c>
      <c r="M220" s="2" t="s">
        <v>494</v>
      </c>
      <c r="N220" s="2" t="s">
        <v>371</v>
      </c>
      <c r="O220" s="2" t="s">
        <v>495</v>
      </c>
      <c r="P220" s="2" t="n">
        <v>60</v>
      </c>
      <c r="Q220" s="2" t="s">
        <v>496</v>
      </c>
      <c r="R220" s="11" t="s">
        <v>497</v>
      </c>
      <c r="S220" s="11" t="s">
        <v>498</v>
      </c>
      <c r="T220" s="2" t="s">
        <v>219</v>
      </c>
      <c r="U220" s="2" t="s">
        <v>153</v>
      </c>
      <c r="V220" s="2" t="s">
        <v>570</v>
      </c>
      <c r="W220" s="11" t="s">
        <v>571</v>
      </c>
      <c r="X220" s="2"/>
      <c r="Y220" s="2"/>
      <c r="Z220" s="2"/>
      <c r="AA220" s="2"/>
      <c r="AB220" s="2" t="s">
        <v>572</v>
      </c>
      <c r="AC220" s="2" t="s">
        <v>157</v>
      </c>
      <c r="AD220" s="2" t="s">
        <v>132</v>
      </c>
      <c r="AE220" s="10" t="b">
        <f aca="false">FALSE()</f>
        <v>0</v>
      </c>
      <c r="AF220" s="2" t="s">
        <v>133</v>
      </c>
      <c r="AG220" s="2" t="s">
        <v>158</v>
      </c>
      <c r="AH220" s="2" t="s">
        <v>135</v>
      </c>
      <c r="AI220" s="11" t="s">
        <v>502</v>
      </c>
      <c r="AJ220" s="2" t="s">
        <v>137</v>
      </c>
      <c r="AK220" s="2" t="s">
        <v>137</v>
      </c>
      <c r="AL220" s="2" t="s">
        <v>853</v>
      </c>
    </row>
    <row r="221" customFormat="false" ht="90" hidden="false" customHeight="true" outlineLevel="0" collapsed="false">
      <c r="A221" s="2" t="s">
        <v>854</v>
      </c>
      <c r="B221" s="2" t="s">
        <v>569</v>
      </c>
      <c r="C221" s="2" t="s">
        <v>474</v>
      </c>
      <c r="D221" s="9" t="n">
        <v>212</v>
      </c>
      <c r="E221" s="2" t="s">
        <v>491</v>
      </c>
      <c r="F221" s="2" t="s">
        <v>492</v>
      </c>
      <c r="G221" s="2" t="s">
        <v>524</v>
      </c>
      <c r="H221" s="2" t="s">
        <v>368</v>
      </c>
      <c r="I221" s="2" t="s">
        <v>145</v>
      </c>
      <c r="J221" s="2" t="s">
        <v>369</v>
      </c>
      <c r="K221" s="10" t="b">
        <f aca="false">FALSE()</f>
        <v>0</v>
      </c>
      <c r="L221" s="10" t="b">
        <f aca="false">FALSE()</f>
        <v>0</v>
      </c>
      <c r="M221" s="2" t="s">
        <v>494</v>
      </c>
      <c r="N221" s="2" t="s">
        <v>371</v>
      </c>
      <c r="O221" s="2" t="s">
        <v>495</v>
      </c>
      <c r="P221" s="2" t="n">
        <v>30</v>
      </c>
      <c r="Q221" s="2" t="s">
        <v>496</v>
      </c>
      <c r="R221" s="11" t="s">
        <v>497</v>
      </c>
      <c r="S221" s="11" t="s">
        <v>498</v>
      </c>
      <c r="T221" s="2" t="s">
        <v>557</v>
      </c>
      <c r="U221" s="2" t="s">
        <v>153</v>
      </c>
      <c r="V221" s="2" t="s">
        <v>606</v>
      </c>
      <c r="W221" s="11" t="s">
        <v>607</v>
      </c>
      <c r="X221" s="2"/>
      <c r="Y221" s="2"/>
      <c r="Z221" s="2"/>
      <c r="AA221" s="2"/>
      <c r="AB221" s="2" t="s">
        <v>608</v>
      </c>
      <c r="AC221" s="2" t="s">
        <v>131</v>
      </c>
      <c r="AD221" s="2" t="s">
        <v>440</v>
      </c>
      <c r="AE221" s="10" t="b">
        <f aca="false">FALSE()</f>
        <v>0</v>
      </c>
      <c r="AF221" s="2" t="s">
        <v>133</v>
      </c>
      <c r="AG221" s="2" t="s">
        <v>158</v>
      </c>
      <c r="AH221" s="2" t="s">
        <v>135</v>
      </c>
      <c r="AI221" s="11" t="s">
        <v>502</v>
      </c>
      <c r="AJ221" s="2" t="s">
        <v>137</v>
      </c>
      <c r="AK221" s="2" t="s">
        <v>137</v>
      </c>
      <c r="AL221" s="2" t="s">
        <v>855</v>
      </c>
    </row>
    <row r="222" customFormat="false" ht="90" hidden="false" customHeight="true" outlineLevel="0" collapsed="false">
      <c r="A222" s="2" t="s">
        <v>856</v>
      </c>
      <c r="B222" s="2" t="s">
        <v>569</v>
      </c>
      <c r="C222" s="2" t="s">
        <v>474</v>
      </c>
      <c r="D222" s="9" t="n">
        <v>211</v>
      </c>
      <c r="E222" s="2" t="s">
        <v>491</v>
      </c>
      <c r="F222" s="2" t="s">
        <v>492</v>
      </c>
      <c r="G222" s="2" t="s">
        <v>524</v>
      </c>
      <c r="H222" s="2" t="s">
        <v>368</v>
      </c>
      <c r="I222" s="2" t="s">
        <v>145</v>
      </c>
      <c r="J222" s="2" t="s">
        <v>369</v>
      </c>
      <c r="K222" s="10" t="b">
        <f aca="false">FALSE()</f>
        <v>0</v>
      </c>
      <c r="L222" s="10" t="b">
        <f aca="false">FALSE()</f>
        <v>0</v>
      </c>
      <c r="M222" s="2" t="s">
        <v>494</v>
      </c>
      <c r="N222" s="2" t="s">
        <v>371</v>
      </c>
      <c r="O222" s="2" t="s">
        <v>495</v>
      </c>
      <c r="P222" s="2" t="n">
        <v>30</v>
      </c>
      <c r="Q222" s="2" t="s">
        <v>496</v>
      </c>
      <c r="R222" s="11" t="s">
        <v>497</v>
      </c>
      <c r="S222" s="11" t="s">
        <v>498</v>
      </c>
      <c r="T222" s="2" t="s">
        <v>632</v>
      </c>
      <c r="U222" s="2" t="s">
        <v>153</v>
      </c>
      <c r="V222" s="2" t="s">
        <v>606</v>
      </c>
      <c r="W222" s="11" t="s">
        <v>607</v>
      </c>
      <c r="X222" s="2"/>
      <c r="Y222" s="2"/>
      <c r="Z222" s="2"/>
      <c r="AA222" s="2"/>
      <c r="AB222" s="2" t="s">
        <v>608</v>
      </c>
      <c r="AC222" s="2" t="s">
        <v>131</v>
      </c>
      <c r="AD222" s="2" t="s">
        <v>440</v>
      </c>
      <c r="AE222" s="10" t="b">
        <f aca="false">FALSE()</f>
        <v>0</v>
      </c>
      <c r="AF222" s="2" t="s">
        <v>133</v>
      </c>
      <c r="AG222" s="2" t="s">
        <v>158</v>
      </c>
      <c r="AH222" s="2" t="s">
        <v>135</v>
      </c>
      <c r="AI222" s="11" t="s">
        <v>502</v>
      </c>
      <c r="AJ222" s="2" t="s">
        <v>137</v>
      </c>
      <c r="AK222" s="2" t="s">
        <v>137</v>
      </c>
      <c r="AL222" s="2" t="s">
        <v>857</v>
      </c>
    </row>
    <row r="223" customFormat="false" ht="90" hidden="false" customHeight="true" outlineLevel="0" collapsed="false">
      <c r="A223" s="2" t="s">
        <v>858</v>
      </c>
      <c r="B223" s="2" t="s">
        <v>569</v>
      </c>
      <c r="C223" s="2" t="s">
        <v>474</v>
      </c>
      <c r="D223" s="9" t="n">
        <v>209</v>
      </c>
      <c r="E223" s="2" t="s">
        <v>491</v>
      </c>
      <c r="F223" s="2" t="s">
        <v>492</v>
      </c>
      <c r="G223" s="2" t="s">
        <v>524</v>
      </c>
      <c r="H223" s="2" t="s">
        <v>368</v>
      </c>
      <c r="I223" s="2" t="s">
        <v>145</v>
      </c>
      <c r="J223" s="2" t="s">
        <v>369</v>
      </c>
      <c r="K223" s="10" t="b">
        <f aca="false">FALSE()</f>
        <v>0</v>
      </c>
      <c r="L223" s="10" t="b">
        <f aca="false">TRUE()</f>
        <v>1</v>
      </c>
      <c r="M223" s="2" t="s">
        <v>494</v>
      </c>
      <c r="N223" s="2" t="s">
        <v>371</v>
      </c>
      <c r="O223" s="2" t="s">
        <v>495</v>
      </c>
      <c r="P223" s="2" t="n">
        <v>60</v>
      </c>
      <c r="Q223" s="2" t="s">
        <v>496</v>
      </c>
      <c r="R223" s="11" t="s">
        <v>497</v>
      </c>
      <c r="S223" s="11" t="s">
        <v>498</v>
      </c>
      <c r="T223" s="2" t="s">
        <v>219</v>
      </c>
      <c r="U223" s="2" t="s">
        <v>153</v>
      </c>
      <c r="V223" s="2" t="s">
        <v>570</v>
      </c>
      <c r="W223" s="11" t="s">
        <v>571</v>
      </c>
      <c r="X223" s="2"/>
      <c r="Y223" s="2"/>
      <c r="Z223" s="2"/>
      <c r="AA223" s="2"/>
      <c r="AB223" s="2" t="s">
        <v>572</v>
      </c>
      <c r="AC223" s="2" t="s">
        <v>157</v>
      </c>
      <c r="AD223" s="2" t="s">
        <v>132</v>
      </c>
      <c r="AE223" s="10" t="b">
        <f aca="false">FALSE()</f>
        <v>0</v>
      </c>
      <c r="AF223" s="2" t="s">
        <v>133</v>
      </c>
      <c r="AG223" s="2" t="s">
        <v>158</v>
      </c>
      <c r="AH223" s="2" t="s">
        <v>135</v>
      </c>
      <c r="AI223" s="11" t="s">
        <v>502</v>
      </c>
      <c r="AJ223" s="2" t="s">
        <v>137</v>
      </c>
      <c r="AK223" s="2" t="s">
        <v>137</v>
      </c>
      <c r="AL223" s="2" t="s">
        <v>859</v>
      </c>
    </row>
    <row r="224" customFormat="false" ht="90" hidden="false" customHeight="true" outlineLevel="0" collapsed="false">
      <c r="A224" s="2" t="s">
        <v>860</v>
      </c>
      <c r="B224" s="2" t="s">
        <v>569</v>
      </c>
      <c r="C224" s="2" t="s">
        <v>474</v>
      </c>
      <c r="D224" s="9" t="n">
        <v>209</v>
      </c>
      <c r="E224" s="2" t="s">
        <v>491</v>
      </c>
      <c r="F224" s="2" t="s">
        <v>492</v>
      </c>
      <c r="G224" s="2" t="s">
        <v>524</v>
      </c>
      <c r="H224" s="2" t="s">
        <v>368</v>
      </c>
      <c r="I224" s="2" t="s">
        <v>145</v>
      </c>
      <c r="J224" s="2" t="s">
        <v>369</v>
      </c>
      <c r="K224" s="10" t="b">
        <f aca="false">FALSE()</f>
        <v>0</v>
      </c>
      <c r="L224" s="10" t="b">
        <f aca="false">FALSE()</f>
        <v>0</v>
      </c>
      <c r="M224" s="2" t="s">
        <v>494</v>
      </c>
      <c r="N224" s="2" t="s">
        <v>371</v>
      </c>
      <c r="O224" s="2" t="s">
        <v>495</v>
      </c>
      <c r="P224" s="2" t="n">
        <v>30</v>
      </c>
      <c r="Q224" s="2" t="s">
        <v>496</v>
      </c>
      <c r="R224" s="11" t="s">
        <v>497</v>
      </c>
      <c r="S224" s="11" t="s">
        <v>498</v>
      </c>
      <c r="T224" s="2" t="s">
        <v>557</v>
      </c>
      <c r="U224" s="2" t="s">
        <v>153</v>
      </c>
      <c r="V224" s="2" t="s">
        <v>606</v>
      </c>
      <c r="W224" s="11" t="s">
        <v>607</v>
      </c>
      <c r="X224" s="2"/>
      <c r="Y224" s="2"/>
      <c r="Z224" s="2"/>
      <c r="AA224" s="2"/>
      <c r="AB224" s="2" t="s">
        <v>608</v>
      </c>
      <c r="AC224" s="2" t="s">
        <v>131</v>
      </c>
      <c r="AD224" s="2" t="s">
        <v>440</v>
      </c>
      <c r="AE224" s="10" t="b">
        <f aca="false">FALSE()</f>
        <v>0</v>
      </c>
      <c r="AF224" s="2" t="s">
        <v>133</v>
      </c>
      <c r="AG224" s="2" t="s">
        <v>158</v>
      </c>
      <c r="AH224" s="2" t="s">
        <v>135</v>
      </c>
      <c r="AI224" s="11" t="s">
        <v>502</v>
      </c>
      <c r="AJ224" s="2" t="s">
        <v>137</v>
      </c>
      <c r="AK224" s="2" t="s">
        <v>137</v>
      </c>
      <c r="AL224" s="2" t="s">
        <v>861</v>
      </c>
    </row>
    <row r="225" customFormat="false" ht="90" hidden="false" customHeight="true" outlineLevel="0" collapsed="false">
      <c r="A225" s="2" t="s">
        <v>862</v>
      </c>
      <c r="B225" s="2" t="s">
        <v>569</v>
      </c>
      <c r="C225" s="2" t="s">
        <v>474</v>
      </c>
      <c r="D225" s="9" t="n">
        <v>200</v>
      </c>
      <c r="E225" s="2" t="s">
        <v>491</v>
      </c>
      <c r="F225" s="2" t="s">
        <v>492</v>
      </c>
      <c r="G225" s="2" t="s">
        <v>524</v>
      </c>
      <c r="H225" s="2" t="s">
        <v>368</v>
      </c>
      <c r="I225" s="2" t="s">
        <v>145</v>
      </c>
      <c r="J225" s="2" t="s">
        <v>369</v>
      </c>
      <c r="K225" s="10" t="b">
        <f aca="false">FALSE()</f>
        <v>0</v>
      </c>
      <c r="L225" s="10" t="b">
        <f aca="false">TRUE()</f>
        <v>1</v>
      </c>
      <c r="M225" s="2" t="s">
        <v>494</v>
      </c>
      <c r="N225" s="2" t="s">
        <v>371</v>
      </c>
      <c r="O225" s="2" t="s">
        <v>495</v>
      </c>
      <c r="P225" s="2" t="n">
        <v>60</v>
      </c>
      <c r="Q225" s="2" t="s">
        <v>496</v>
      </c>
      <c r="R225" s="11" t="s">
        <v>497</v>
      </c>
      <c r="S225" s="11" t="s">
        <v>498</v>
      </c>
      <c r="T225" s="2" t="s">
        <v>219</v>
      </c>
      <c r="U225" s="2" t="s">
        <v>153</v>
      </c>
      <c r="V225" s="2" t="s">
        <v>570</v>
      </c>
      <c r="W225" s="11" t="s">
        <v>571</v>
      </c>
      <c r="X225" s="2"/>
      <c r="Y225" s="2"/>
      <c r="Z225" s="2"/>
      <c r="AA225" s="2"/>
      <c r="AB225" s="2" t="s">
        <v>572</v>
      </c>
      <c r="AC225" s="2" t="s">
        <v>157</v>
      </c>
      <c r="AD225" s="2" t="s">
        <v>132</v>
      </c>
      <c r="AE225" s="10" t="b">
        <f aca="false">FALSE()</f>
        <v>0</v>
      </c>
      <c r="AF225" s="2" t="s">
        <v>133</v>
      </c>
      <c r="AG225" s="2" t="s">
        <v>158</v>
      </c>
      <c r="AH225" s="2" t="s">
        <v>135</v>
      </c>
      <c r="AI225" s="11" t="s">
        <v>502</v>
      </c>
      <c r="AJ225" s="2" t="s">
        <v>137</v>
      </c>
      <c r="AK225" s="2" t="s">
        <v>137</v>
      </c>
      <c r="AL225" s="2" t="s">
        <v>863</v>
      </c>
    </row>
    <row r="226" customFormat="false" ht="90" hidden="false" customHeight="true" outlineLevel="0" collapsed="false">
      <c r="A226" s="2" t="s">
        <v>864</v>
      </c>
      <c r="B226" s="2" t="s">
        <v>569</v>
      </c>
      <c r="C226" s="2" t="s">
        <v>474</v>
      </c>
      <c r="D226" s="9" t="n">
        <v>200</v>
      </c>
      <c r="E226" s="2" t="s">
        <v>491</v>
      </c>
      <c r="F226" s="2" t="s">
        <v>492</v>
      </c>
      <c r="G226" s="2" t="s">
        <v>524</v>
      </c>
      <c r="H226" s="2" t="s">
        <v>368</v>
      </c>
      <c r="I226" s="2" t="s">
        <v>145</v>
      </c>
      <c r="J226" s="2" t="s">
        <v>369</v>
      </c>
      <c r="K226" s="10" t="b">
        <f aca="false">FALSE()</f>
        <v>0</v>
      </c>
      <c r="L226" s="10" t="b">
        <f aca="false">TRUE()</f>
        <v>1</v>
      </c>
      <c r="M226" s="2" t="s">
        <v>494</v>
      </c>
      <c r="N226" s="2" t="s">
        <v>371</v>
      </c>
      <c r="O226" s="2" t="s">
        <v>495</v>
      </c>
      <c r="P226" s="2" t="n">
        <v>60</v>
      </c>
      <c r="Q226" s="2" t="s">
        <v>496</v>
      </c>
      <c r="R226" s="11" t="s">
        <v>497</v>
      </c>
      <c r="S226" s="11" t="s">
        <v>498</v>
      </c>
      <c r="T226" s="2" t="s">
        <v>219</v>
      </c>
      <c r="U226" s="2" t="s">
        <v>153</v>
      </c>
      <c r="V226" s="2" t="s">
        <v>570</v>
      </c>
      <c r="W226" s="11" t="s">
        <v>571</v>
      </c>
      <c r="X226" s="2"/>
      <c r="Y226" s="2"/>
      <c r="Z226" s="2"/>
      <c r="AA226" s="2"/>
      <c r="AB226" s="2" t="s">
        <v>572</v>
      </c>
      <c r="AC226" s="2" t="s">
        <v>157</v>
      </c>
      <c r="AD226" s="2" t="s">
        <v>132</v>
      </c>
      <c r="AE226" s="10" t="b">
        <f aca="false">FALSE()</f>
        <v>0</v>
      </c>
      <c r="AF226" s="2" t="s">
        <v>133</v>
      </c>
      <c r="AG226" s="2" t="s">
        <v>158</v>
      </c>
      <c r="AH226" s="2" t="s">
        <v>135</v>
      </c>
      <c r="AI226" s="11" t="s">
        <v>502</v>
      </c>
      <c r="AJ226" s="2" t="s">
        <v>137</v>
      </c>
      <c r="AK226" s="2" t="s">
        <v>137</v>
      </c>
      <c r="AL226" s="2" t="s">
        <v>865</v>
      </c>
    </row>
    <row r="227" customFormat="false" ht="90" hidden="false" customHeight="true" outlineLevel="0" collapsed="false">
      <c r="A227" s="2" t="s">
        <v>866</v>
      </c>
      <c r="B227" s="2" t="s">
        <v>569</v>
      </c>
      <c r="C227" s="2" t="s">
        <v>474</v>
      </c>
      <c r="D227" s="9" t="n">
        <v>196</v>
      </c>
      <c r="E227" s="2" t="s">
        <v>491</v>
      </c>
      <c r="F227" s="2" t="s">
        <v>492</v>
      </c>
      <c r="G227" s="2" t="s">
        <v>524</v>
      </c>
      <c r="H227" s="2" t="s">
        <v>368</v>
      </c>
      <c r="I227" s="2" t="s">
        <v>145</v>
      </c>
      <c r="J227" s="2" t="s">
        <v>369</v>
      </c>
      <c r="K227" s="10" t="b">
        <f aca="false">FALSE()</f>
        <v>0</v>
      </c>
      <c r="L227" s="10" t="b">
        <f aca="false">TRUE()</f>
        <v>1</v>
      </c>
      <c r="M227" s="2" t="s">
        <v>494</v>
      </c>
      <c r="N227" s="2" t="s">
        <v>371</v>
      </c>
      <c r="O227" s="2" t="s">
        <v>495</v>
      </c>
      <c r="P227" s="2" t="n">
        <v>60</v>
      </c>
      <c r="Q227" s="2" t="s">
        <v>496</v>
      </c>
      <c r="R227" s="11" t="s">
        <v>497</v>
      </c>
      <c r="S227" s="11" t="s">
        <v>498</v>
      </c>
      <c r="T227" s="2" t="s">
        <v>219</v>
      </c>
      <c r="U227" s="2" t="s">
        <v>153</v>
      </c>
      <c r="V227" s="2" t="s">
        <v>570</v>
      </c>
      <c r="W227" s="11" t="s">
        <v>592</v>
      </c>
      <c r="X227" s="2"/>
      <c r="Y227" s="2"/>
      <c r="Z227" s="2"/>
      <c r="AA227" s="2"/>
      <c r="AB227" s="2" t="s">
        <v>572</v>
      </c>
      <c r="AC227" s="2" t="s">
        <v>157</v>
      </c>
      <c r="AD227" s="2" t="s">
        <v>132</v>
      </c>
      <c r="AE227" s="10" t="b">
        <f aca="false">FALSE()</f>
        <v>0</v>
      </c>
      <c r="AF227" s="2" t="s">
        <v>133</v>
      </c>
      <c r="AG227" s="2" t="s">
        <v>158</v>
      </c>
      <c r="AH227" s="2" t="s">
        <v>135</v>
      </c>
      <c r="AI227" s="11" t="s">
        <v>502</v>
      </c>
      <c r="AJ227" s="2" t="s">
        <v>137</v>
      </c>
      <c r="AK227" s="2" t="s">
        <v>137</v>
      </c>
      <c r="AL227" s="2" t="s">
        <v>867</v>
      </c>
    </row>
    <row r="228" customFormat="false" ht="90" hidden="false" customHeight="true" outlineLevel="0" collapsed="false">
      <c r="A228" s="2" t="s">
        <v>868</v>
      </c>
      <c r="B228" s="2" t="s">
        <v>569</v>
      </c>
      <c r="C228" s="2" t="s">
        <v>474</v>
      </c>
      <c r="D228" s="9" t="n">
        <v>196</v>
      </c>
      <c r="E228" s="2" t="s">
        <v>491</v>
      </c>
      <c r="F228" s="2" t="s">
        <v>492</v>
      </c>
      <c r="G228" s="2" t="s">
        <v>524</v>
      </c>
      <c r="H228" s="2" t="s">
        <v>368</v>
      </c>
      <c r="I228" s="2" t="s">
        <v>145</v>
      </c>
      <c r="J228" s="2" t="s">
        <v>369</v>
      </c>
      <c r="K228" s="10" t="b">
        <f aca="false">FALSE()</f>
        <v>0</v>
      </c>
      <c r="L228" s="10" t="b">
        <f aca="false">FALSE()</f>
        <v>0</v>
      </c>
      <c r="M228" s="2" t="s">
        <v>494</v>
      </c>
      <c r="N228" s="2" t="s">
        <v>371</v>
      </c>
      <c r="O228" s="2" t="s">
        <v>495</v>
      </c>
      <c r="P228" s="2" t="n">
        <v>30</v>
      </c>
      <c r="Q228" s="2" t="s">
        <v>496</v>
      </c>
      <c r="R228" s="11" t="s">
        <v>497</v>
      </c>
      <c r="S228" s="11" t="s">
        <v>498</v>
      </c>
      <c r="T228" s="2" t="s">
        <v>557</v>
      </c>
      <c r="U228" s="2" t="s">
        <v>153</v>
      </c>
      <c r="V228" s="2" t="s">
        <v>606</v>
      </c>
      <c r="W228" s="11" t="s">
        <v>607</v>
      </c>
      <c r="X228" s="2"/>
      <c r="Y228" s="2"/>
      <c r="Z228" s="2"/>
      <c r="AA228" s="2"/>
      <c r="AB228" s="2" t="s">
        <v>608</v>
      </c>
      <c r="AC228" s="2" t="s">
        <v>131</v>
      </c>
      <c r="AD228" s="2" t="s">
        <v>440</v>
      </c>
      <c r="AE228" s="10" t="b">
        <f aca="false">FALSE()</f>
        <v>0</v>
      </c>
      <c r="AF228" s="2" t="s">
        <v>133</v>
      </c>
      <c r="AG228" s="2" t="s">
        <v>158</v>
      </c>
      <c r="AH228" s="2" t="s">
        <v>135</v>
      </c>
      <c r="AI228" s="11" t="s">
        <v>502</v>
      </c>
      <c r="AJ228" s="2" t="s">
        <v>137</v>
      </c>
      <c r="AK228" s="2" t="s">
        <v>137</v>
      </c>
      <c r="AL228" s="2" t="s">
        <v>869</v>
      </c>
    </row>
    <row r="229" customFormat="false" ht="90" hidden="false" customHeight="true" outlineLevel="0" collapsed="false">
      <c r="A229" s="2" t="s">
        <v>870</v>
      </c>
      <c r="B229" s="2" t="s">
        <v>569</v>
      </c>
      <c r="C229" s="2" t="s">
        <v>474</v>
      </c>
      <c r="D229" s="9" t="n">
        <v>192</v>
      </c>
      <c r="E229" s="2" t="s">
        <v>491</v>
      </c>
      <c r="F229" s="2" t="s">
        <v>492</v>
      </c>
      <c r="G229" s="2" t="s">
        <v>524</v>
      </c>
      <c r="H229" s="2" t="s">
        <v>368</v>
      </c>
      <c r="I229" s="2" t="s">
        <v>145</v>
      </c>
      <c r="J229" s="2" t="s">
        <v>369</v>
      </c>
      <c r="K229" s="10" t="b">
        <f aca="false">FALSE()</f>
        <v>0</v>
      </c>
      <c r="L229" s="10" t="b">
        <f aca="false">TRUE()</f>
        <v>1</v>
      </c>
      <c r="M229" s="2" t="s">
        <v>494</v>
      </c>
      <c r="N229" s="2" t="s">
        <v>371</v>
      </c>
      <c r="O229" s="2" t="s">
        <v>495</v>
      </c>
      <c r="P229" s="2" t="n">
        <v>60</v>
      </c>
      <c r="Q229" s="2" t="s">
        <v>496</v>
      </c>
      <c r="R229" s="11" t="s">
        <v>497</v>
      </c>
      <c r="S229" s="11" t="s">
        <v>498</v>
      </c>
      <c r="T229" s="2" t="s">
        <v>219</v>
      </c>
      <c r="U229" s="2" t="s">
        <v>153</v>
      </c>
      <c r="V229" s="2" t="s">
        <v>570</v>
      </c>
      <c r="W229" s="11" t="s">
        <v>571</v>
      </c>
      <c r="X229" s="2"/>
      <c r="Y229" s="2"/>
      <c r="Z229" s="2"/>
      <c r="AA229" s="2"/>
      <c r="AB229" s="2" t="s">
        <v>572</v>
      </c>
      <c r="AC229" s="2" t="s">
        <v>157</v>
      </c>
      <c r="AD229" s="2" t="s">
        <v>132</v>
      </c>
      <c r="AE229" s="10" t="b">
        <f aca="false">FALSE()</f>
        <v>0</v>
      </c>
      <c r="AF229" s="2" t="s">
        <v>133</v>
      </c>
      <c r="AG229" s="2" t="s">
        <v>158</v>
      </c>
      <c r="AH229" s="2" t="s">
        <v>135</v>
      </c>
      <c r="AI229" s="11" t="s">
        <v>502</v>
      </c>
      <c r="AJ229" s="2" t="s">
        <v>137</v>
      </c>
      <c r="AK229" s="2" t="s">
        <v>137</v>
      </c>
      <c r="AL229" s="2" t="s">
        <v>871</v>
      </c>
    </row>
    <row r="230" customFormat="false" ht="90" hidden="false" customHeight="true" outlineLevel="0" collapsed="false">
      <c r="A230" s="2" t="s">
        <v>872</v>
      </c>
      <c r="B230" s="2" t="s">
        <v>569</v>
      </c>
      <c r="C230" s="2" t="s">
        <v>474</v>
      </c>
      <c r="D230" s="9" t="n">
        <v>188</v>
      </c>
      <c r="E230" s="2" t="s">
        <v>491</v>
      </c>
      <c r="F230" s="2" t="s">
        <v>492</v>
      </c>
      <c r="G230" s="2" t="s">
        <v>524</v>
      </c>
      <c r="H230" s="2" t="s">
        <v>368</v>
      </c>
      <c r="I230" s="2" t="s">
        <v>145</v>
      </c>
      <c r="J230" s="2" t="s">
        <v>369</v>
      </c>
      <c r="K230" s="10" t="b">
        <f aca="false">FALSE()</f>
        <v>0</v>
      </c>
      <c r="L230" s="10" t="b">
        <f aca="false">FALSE()</f>
        <v>0</v>
      </c>
      <c r="M230" s="2" t="s">
        <v>494</v>
      </c>
      <c r="N230" s="2" t="s">
        <v>371</v>
      </c>
      <c r="O230" s="2" t="s">
        <v>495</v>
      </c>
      <c r="P230" s="2" t="n">
        <v>60</v>
      </c>
      <c r="Q230" s="2" t="s">
        <v>496</v>
      </c>
      <c r="R230" s="11" t="s">
        <v>497</v>
      </c>
      <c r="S230" s="11" t="s">
        <v>498</v>
      </c>
      <c r="T230" s="2" t="s">
        <v>219</v>
      </c>
      <c r="U230" s="2" t="s">
        <v>153</v>
      </c>
      <c r="V230" s="2" t="s">
        <v>570</v>
      </c>
      <c r="W230" s="11" t="s">
        <v>571</v>
      </c>
      <c r="X230" s="2"/>
      <c r="Y230" s="2"/>
      <c r="Z230" s="2"/>
      <c r="AA230" s="2"/>
      <c r="AB230" s="2" t="s">
        <v>572</v>
      </c>
      <c r="AC230" s="2" t="s">
        <v>157</v>
      </c>
      <c r="AD230" s="2" t="s">
        <v>132</v>
      </c>
      <c r="AE230" s="10" t="b">
        <f aca="false">FALSE()</f>
        <v>0</v>
      </c>
      <c r="AF230" s="2" t="s">
        <v>133</v>
      </c>
      <c r="AG230" s="2" t="s">
        <v>158</v>
      </c>
      <c r="AH230" s="2" t="s">
        <v>135</v>
      </c>
      <c r="AI230" s="11" t="s">
        <v>502</v>
      </c>
      <c r="AJ230" s="2" t="s">
        <v>137</v>
      </c>
      <c r="AK230" s="2" t="s">
        <v>137</v>
      </c>
      <c r="AL230" s="2" t="s">
        <v>873</v>
      </c>
    </row>
    <row r="231" customFormat="false" ht="90" hidden="false" customHeight="true" outlineLevel="0" collapsed="false">
      <c r="A231" s="2" t="s">
        <v>874</v>
      </c>
      <c r="B231" s="2" t="s">
        <v>569</v>
      </c>
      <c r="C231" s="2" t="s">
        <v>474</v>
      </c>
      <c r="D231" s="9" t="n">
        <v>186</v>
      </c>
      <c r="E231" s="2" t="s">
        <v>491</v>
      </c>
      <c r="F231" s="2" t="s">
        <v>492</v>
      </c>
      <c r="G231" s="2" t="s">
        <v>524</v>
      </c>
      <c r="H231" s="2" t="s">
        <v>368</v>
      </c>
      <c r="I231" s="2" t="s">
        <v>145</v>
      </c>
      <c r="J231" s="2" t="s">
        <v>369</v>
      </c>
      <c r="K231" s="10" t="b">
        <f aca="false">FALSE()</f>
        <v>0</v>
      </c>
      <c r="L231" s="10" t="b">
        <f aca="false">TRUE()</f>
        <v>1</v>
      </c>
      <c r="M231" s="2" t="s">
        <v>494</v>
      </c>
      <c r="N231" s="2" t="s">
        <v>371</v>
      </c>
      <c r="O231" s="2" t="s">
        <v>495</v>
      </c>
      <c r="P231" s="2" t="n">
        <v>60</v>
      </c>
      <c r="Q231" s="2" t="s">
        <v>496</v>
      </c>
      <c r="R231" s="11" t="s">
        <v>497</v>
      </c>
      <c r="S231" s="11" t="s">
        <v>498</v>
      </c>
      <c r="T231" s="2" t="s">
        <v>219</v>
      </c>
      <c r="U231" s="2" t="s">
        <v>153</v>
      </c>
      <c r="V231" s="2" t="s">
        <v>570</v>
      </c>
      <c r="W231" s="11" t="s">
        <v>571</v>
      </c>
      <c r="X231" s="2"/>
      <c r="Y231" s="2"/>
      <c r="Z231" s="2"/>
      <c r="AA231" s="2"/>
      <c r="AB231" s="2" t="s">
        <v>572</v>
      </c>
      <c r="AC231" s="2" t="s">
        <v>157</v>
      </c>
      <c r="AD231" s="2" t="s">
        <v>132</v>
      </c>
      <c r="AE231" s="10" t="b">
        <f aca="false">FALSE()</f>
        <v>0</v>
      </c>
      <c r="AF231" s="2" t="s">
        <v>133</v>
      </c>
      <c r="AG231" s="2" t="s">
        <v>158</v>
      </c>
      <c r="AH231" s="2" t="s">
        <v>135</v>
      </c>
      <c r="AI231" s="11" t="s">
        <v>502</v>
      </c>
      <c r="AJ231" s="2" t="s">
        <v>137</v>
      </c>
      <c r="AK231" s="2" t="s">
        <v>137</v>
      </c>
      <c r="AL231" s="2" t="s">
        <v>875</v>
      </c>
    </row>
    <row r="232" customFormat="false" ht="90" hidden="false" customHeight="true" outlineLevel="0" collapsed="false">
      <c r="A232" s="2" t="s">
        <v>876</v>
      </c>
      <c r="B232" s="2" t="s">
        <v>569</v>
      </c>
      <c r="C232" s="2" t="s">
        <v>474</v>
      </c>
      <c r="D232" s="9" t="n">
        <v>186</v>
      </c>
      <c r="E232" s="2" t="s">
        <v>491</v>
      </c>
      <c r="F232" s="2" t="s">
        <v>492</v>
      </c>
      <c r="G232" s="2" t="s">
        <v>524</v>
      </c>
      <c r="H232" s="2" t="s">
        <v>368</v>
      </c>
      <c r="I232" s="2" t="s">
        <v>145</v>
      </c>
      <c r="J232" s="2" t="s">
        <v>369</v>
      </c>
      <c r="K232" s="10" t="b">
        <f aca="false">FALSE()</f>
        <v>0</v>
      </c>
      <c r="L232" s="10" t="b">
        <f aca="false">FALSE()</f>
        <v>0</v>
      </c>
      <c r="M232" s="2" t="s">
        <v>494</v>
      </c>
      <c r="N232" s="2" t="s">
        <v>371</v>
      </c>
      <c r="O232" s="2" t="s">
        <v>495</v>
      </c>
      <c r="P232" s="2" t="n">
        <v>60</v>
      </c>
      <c r="Q232" s="2" t="s">
        <v>496</v>
      </c>
      <c r="R232" s="11" t="s">
        <v>497</v>
      </c>
      <c r="S232" s="11" t="s">
        <v>498</v>
      </c>
      <c r="T232" s="2" t="s">
        <v>219</v>
      </c>
      <c r="U232" s="2" t="s">
        <v>153</v>
      </c>
      <c r="V232" s="2" t="s">
        <v>570</v>
      </c>
      <c r="W232" s="11" t="s">
        <v>571</v>
      </c>
      <c r="X232" s="2"/>
      <c r="Y232" s="2"/>
      <c r="Z232" s="2"/>
      <c r="AA232" s="2"/>
      <c r="AB232" s="2" t="s">
        <v>572</v>
      </c>
      <c r="AC232" s="2" t="s">
        <v>157</v>
      </c>
      <c r="AD232" s="2" t="s">
        <v>132</v>
      </c>
      <c r="AE232" s="10" t="b">
        <f aca="false">FALSE()</f>
        <v>0</v>
      </c>
      <c r="AF232" s="2" t="s">
        <v>133</v>
      </c>
      <c r="AG232" s="2" t="s">
        <v>158</v>
      </c>
      <c r="AH232" s="2" t="s">
        <v>135</v>
      </c>
      <c r="AI232" s="11" t="s">
        <v>502</v>
      </c>
      <c r="AJ232" s="2" t="s">
        <v>137</v>
      </c>
      <c r="AK232" s="2" t="s">
        <v>137</v>
      </c>
      <c r="AL232" s="2" t="s">
        <v>877</v>
      </c>
    </row>
    <row r="233" customFormat="false" ht="90" hidden="false" customHeight="true" outlineLevel="0" collapsed="false">
      <c r="A233" s="2" t="s">
        <v>878</v>
      </c>
      <c r="B233" s="2" t="s">
        <v>569</v>
      </c>
      <c r="C233" s="2" t="s">
        <v>474</v>
      </c>
      <c r="D233" s="9" t="n">
        <v>185</v>
      </c>
      <c r="E233" s="2" t="s">
        <v>491</v>
      </c>
      <c r="F233" s="2" t="s">
        <v>492</v>
      </c>
      <c r="G233" s="2" t="s">
        <v>524</v>
      </c>
      <c r="H233" s="2" t="s">
        <v>368</v>
      </c>
      <c r="I233" s="2" t="s">
        <v>145</v>
      </c>
      <c r="J233" s="2" t="s">
        <v>369</v>
      </c>
      <c r="K233" s="10" t="b">
        <f aca="false">FALSE()</f>
        <v>0</v>
      </c>
      <c r="L233" s="10" t="b">
        <f aca="false">TRUE()</f>
        <v>1</v>
      </c>
      <c r="M233" s="2" t="s">
        <v>494</v>
      </c>
      <c r="N233" s="2" t="s">
        <v>371</v>
      </c>
      <c r="O233" s="2" t="s">
        <v>495</v>
      </c>
      <c r="P233" s="2" t="n">
        <v>30</v>
      </c>
      <c r="Q233" s="2" t="s">
        <v>496</v>
      </c>
      <c r="R233" s="11" t="s">
        <v>497</v>
      </c>
      <c r="S233" s="11" t="s">
        <v>498</v>
      </c>
      <c r="T233" s="2" t="s">
        <v>557</v>
      </c>
      <c r="U233" s="2" t="s">
        <v>153</v>
      </c>
      <c r="V233" s="2" t="s">
        <v>587</v>
      </c>
      <c r="W233" s="11" t="s">
        <v>645</v>
      </c>
      <c r="X233" s="2"/>
      <c r="Y233" s="2"/>
      <c r="Z233" s="2"/>
      <c r="AA233" s="2"/>
      <c r="AB233" s="2" t="s">
        <v>589</v>
      </c>
      <c r="AC233" s="2" t="s">
        <v>131</v>
      </c>
      <c r="AD233" s="2" t="s">
        <v>354</v>
      </c>
      <c r="AE233" s="10" t="b">
        <f aca="false">FALSE()</f>
        <v>0</v>
      </c>
      <c r="AF233" s="2" t="s">
        <v>133</v>
      </c>
      <c r="AG233" s="2" t="s">
        <v>158</v>
      </c>
      <c r="AH233" s="2" t="s">
        <v>135</v>
      </c>
      <c r="AI233" s="11" t="s">
        <v>502</v>
      </c>
      <c r="AJ233" s="2" t="s">
        <v>137</v>
      </c>
      <c r="AK233" s="2" t="s">
        <v>137</v>
      </c>
      <c r="AL233" s="2" t="s">
        <v>879</v>
      </c>
    </row>
    <row r="234" customFormat="false" ht="90" hidden="false" customHeight="true" outlineLevel="0" collapsed="false">
      <c r="A234" s="2" t="s">
        <v>880</v>
      </c>
      <c r="B234" s="2" t="s">
        <v>569</v>
      </c>
      <c r="C234" s="2" t="s">
        <v>474</v>
      </c>
      <c r="D234" s="9" t="n">
        <v>182</v>
      </c>
      <c r="E234" s="2" t="s">
        <v>491</v>
      </c>
      <c r="F234" s="2" t="s">
        <v>492</v>
      </c>
      <c r="G234" s="2" t="s">
        <v>524</v>
      </c>
      <c r="H234" s="2" t="s">
        <v>368</v>
      </c>
      <c r="I234" s="2" t="s">
        <v>145</v>
      </c>
      <c r="J234" s="2" t="s">
        <v>369</v>
      </c>
      <c r="K234" s="10" t="b">
        <f aca="false">FALSE()</f>
        <v>0</v>
      </c>
      <c r="L234" s="10" t="b">
        <f aca="false">FALSE()</f>
        <v>0</v>
      </c>
      <c r="M234" s="2" t="s">
        <v>494</v>
      </c>
      <c r="N234" s="2" t="s">
        <v>371</v>
      </c>
      <c r="O234" s="2" t="s">
        <v>495</v>
      </c>
      <c r="P234" s="2" t="n">
        <v>30</v>
      </c>
      <c r="Q234" s="2" t="s">
        <v>496</v>
      </c>
      <c r="R234" s="11" t="s">
        <v>497</v>
      </c>
      <c r="S234" s="11" t="s">
        <v>498</v>
      </c>
      <c r="T234" s="2" t="s">
        <v>557</v>
      </c>
      <c r="U234" s="2" t="s">
        <v>153</v>
      </c>
      <c r="V234" s="2" t="s">
        <v>606</v>
      </c>
      <c r="W234" s="11" t="s">
        <v>607</v>
      </c>
      <c r="X234" s="2"/>
      <c r="Y234" s="2"/>
      <c r="Z234" s="2"/>
      <c r="AA234" s="2"/>
      <c r="AB234" s="2" t="s">
        <v>608</v>
      </c>
      <c r="AC234" s="2" t="s">
        <v>131</v>
      </c>
      <c r="AD234" s="2" t="s">
        <v>440</v>
      </c>
      <c r="AE234" s="10" t="b">
        <f aca="false">FALSE()</f>
        <v>0</v>
      </c>
      <c r="AF234" s="2" t="s">
        <v>133</v>
      </c>
      <c r="AG234" s="2" t="s">
        <v>158</v>
      </c>
      <c r="AH234" s="2" t="s">
        <v>135</v>
      </c>
      <c r="AI234" s="11" t="s">
        <v>502</v>
      </c>
      <c r="AJ234" s="2" t="s">
        <v>137</v>
      </c>
      <c r="AK234" s="2" t="s">
        <v>137</v>
      </c>
      <c r="AL234" s="2" t="s">
        <v>881</v>
      </c>
    </row>
    <row r="235" customFormat="false" ht="90" hidden="false" customHeight="true" outlineLevel="0" collapsed="false">
      <c r="A235" s="2" t="s">
        <v>882</v>
      </c>
      <c r="B235" s="2" t="s">
        <v>569</v>
      </c>
      <c r="C235" s="2" t="s">
        <v>474</v>
      </c>
      <c r="D235" s="9" t="n">
        <v>181</v>
      </c>
      <c r="E235" s="2" t="s">
        <v>491</v>
      </c>
      <c r="F235" s="2" t="s">
        <v>492</v>
      </c>
      <c r="G235" s="2" t="s">
        <v>524</v>
      </c>
      <c r="H235" s="2" t="s">
        <v>368</v>
      </c>
      <c r="I235" s="2" t="s">
        <v>145</v>
      </c>
      <c r="J235" s="2" t="s">
        <v>369</v>
      </c>
      <c r="K235" s="10" t="b">
        <f aca="false">FALSE()</f>
        <v>0</v>
      </c>
      <c r="L235" s="10" t="b">
        <f aca="false">FALSE()</f>
        <v>0</v>
      </c>
      <c r="M235" s="2" t="s">
        <v>494</v>
      </c>
      <c r="N235" s="2" t="s">
        <v>371</v>
      </c>
      <c r="O235" s="2" t="s">
        <v>495</v>
      </c>
      <c r="P235" s="2" t="n">
        <v>30</v>
      </c>
      <c r="Q235" s="2" t="s">
        <v>496</v>
      </c>
      <c r="R235" s="11" t="s">
        <v>497</v>
      </c>
      <c r="S235" s="11" t="s">
        <v>498</v>
      </c>
      <c r="T235" s="2" t="s">
        <v>557</v>
      </c>
      <c r="U235" s="2" t="s">
        <v>153</v>
      </c>
      <c r="V235" s="2" t="s">
        <v>606</v>
      </c>
      <c r="W235" s="11" t="s">
        <v>607</v>
      </c>
      <c r="X235" s="2"/>
      <c r="Y235" s="2"/>
      <c r="Z235" s="2"/>
      <c r="AA235" s="2"/>
      <c r="AB235" s="2" t="s">
        <v>608</v>
      </c>
      <c r="AC235" s="2" t="s">
        <v>131</v>
      </c>
      <c r="AD235" s="2" t="s">
        <v>440</v>
      </c>
      <c r="AE235" s="10" t="b">
        <f aca="false">FALSE()</f>
        <v>0</v>
      </c>
      <c r="AF235" s="2" t="s">
        <v>133</v>
      </c>
      <c r="AG235" s="2" t="s">
        <v>158</v>
      </c>
      <c r="AH235" s="2" t="s">
        <v>135</v>
      </c>
      <c r="AI235" s="11" t="s">
        <v>502</v>
      </c>
      <c r="AJ235" s="2" t="s">
        <v>137</v>
      </c>
      <c r="AK235" s="2" t="s">
        <v>137</v>
      </c>
      <c r="AL235" s="2" t="s">
        <v>883</v>
      </c>
    </row>
    <row r="236" customFormat="false" ht="90" hidden="false" customHeight="true" outlineLevel="0" collapsed="false">
      <c r="A236" s="2" t="s">
        <v>884</v>
      </c>
      <c r="B236" s="2" t="s">
        <v>569</v>
      </c>
      <c r="C236" s="2" t="s">
        <v>474</v>
      </c>
      <c r="D236" s="9" t="n">
        <v>180</v>
      </c>
      <c r="E236" s="2" t="s">
        <v>491</v>
      </c>
      <c r="F236" s="2" t="s">
        <v>492</v>
      </c>
      <c r="G236" s="2" t="s">
        <v>524</v>
      </c>
      <c r="H236" s="2" t="s">
        <v>368</v>
      </c>
      <c r="I236" s="2" t="s">
        <v>145</v>
      </c>
      <c r="J236" s="2" t="s">
        <v>369</v>
      </c>
      <c r="K236" s="10" t="b">
        <f aca="false">FALSE()</f>
        <v>0</v>
      </c>
      <c r="L236" s="10" t="b">
        <f aca="false">FALSE()</f>
        <v>0</v>
      </c>
      <c r="M236" s="2" t="s">
        <v>494</v>
      </c>
      <c r="N236" s="2" t="s">
        <v>371</v>
      </c>
      <c r="O236" s="2" t="s">
        <v>495</v>
      </c>
      <c r="P236" s="2" t="n">
        <v>60</v>
      </c>
      <c r="Q236" s="2" t="s">
        <v>496</v>
      </c>
      <c r="R236" s="11" t="s">
        <v>497</v>
      </c>
      <c r="S236" s="11" t="s">
        <v>498</v>
      </c>
      <c r="T236" s="2" t="s">
        <v>219</v>
      </c>
      <c r="U236" s="2" t="s">
        <v>153</v>
      </c>
      <c r="V236" s="2" t="s">
        <v>570</v>
      </c>
      <c r="W236" s="11" t="s">
        <v>571</v>
      </c>
      <c r="X236" s="2"/>
      <c r="Y236" s="2"/>
      <c r="Z236" s="2"/>
      <c r="AA236" s="2"/>
      <c r="AB236" s="2" t="s">
        <v>572</v>
      </c>
      <c r="AC236" s="2" t="s">
        <v>157</v>
      </c>
      <c r="AD236" s="2" t="s">
        <v>132</v>
      </c>
      <c r="AE236" s="10" t="b">
        <f aca="false">FALSE()</f>
        <v>0</v>
      </c>
      <c r="AF236" s="2" t="s">
        <v>133</v>
      </c>
      <c r="AG236" s="2" t="s">
        <v>158</v>
      </c>
      <c r="AH236" s="2" t="s">
        <v>135</v>
      </c>
      <c r="AI236" s="11" t="s">
        <v>502</v>
      </c>
      <c r="AJ236" s="2" t="s">
        <v>137</v>
      </c>
      <c r="AK236" s="2" t="s">
        <v>137</v>
      </c>
      <c r="AL236" s="2" t="s">
        <v>885</v>
      </c>
    </row>
    <row r="237" customFormat="false" ht="90" hidden="false" customHeight="true" outlineLevel="0" collapsed="false">
      <c r="A237" s="2" t="s">
        <v>886</v>
      </c>
      <c r="B237" s="2" t="s">
        <v>569</v>
      </c>
      <c r="C237" s="2" t="s">
        <v>474</v>
      </c>
      <c r="D237" s="9" t="n">
        <v>176</v>
      </c>
      <c r="E237" s="2" t="s">
        <v>491</v>
      </c>
      <c r="F237" s="2" t="s">
        <v>492</v>
      </c>
      <c r="G237" s="2" t="s">
        <v>524</v>
      </c>
      <c r="H237" s="2" t="s">
        <v>368</v>
      </c>
      <c r="I237" s="2" t="s">
        <v>145</v>
      </c>
      <c r="J237" s="2" t="s">
        <v>369</v>
      </c>
      <c r="K237" s="10" t="b">
        <f aca="false">FALSE()</f>
        <v>0</v>
      </c>
      <c r="L237" s="10" t="b">
        <f aca="false">TRUE()</f>
        <v>1</v>
      </c>
      <c r="M237" s="2" t="s">
        <v>494</v>
      </c>
      <c r="N237" s="2" t="s">
        <v>371</v>
      </c>
      <c r="O237" s="2" t="s">
        <v>495</v>
      </c>
      <c r="P237" s="2" t="n">
        <v>60</v>
      </c>
      <c r="Q237" s="2" t="s">
        <v>496</v>
      </c>
      <c r="R237" s="11" t="s">
        <v>497</v>
      </c>
      <c r="S237" s="11" t="s">
        <v>498</v>
      </c>
      <c r="T237" s="2" t="s">
        <v>219</v>
      </c>
      <c r="U237" s="2" t="s">
        <v>153</v>
      </c>
      <c r="V237" s="2" t="s">
        <v>570</v>
      </c>
      <c r="W237" s="11" t="s">
        <v>571</v>
      </c>
      <c r="X237" s="2"/>
      <c r="Y237" s="2"/>
      <c r="Z237" s="2"/>
      <c r="AA237" s="2"/>
      <c r="AB237" s="2" t="s">
        <v>572</v>
      </c>
      <c r="AC237" s="2" t="s">
        <v>157</v>
      </c>
      <c r="AD237" s="2" t="s">
        <v>132</v>
      </c>
      <c r="AE237" s="10" t="b">
        <f aca="false">FALSE()</f>
        <v>0</v>
      </c>
      <c r="AF237" s="2" t="s">
        <v>133</v>
      </c>
      <c r="AG237" s="2" t="s">
        <v>158</v>
      </c>
      <c r="AH237" s="2" t="s">
        <v>135</v>
      </c>
      <c r="AI237" s="11" t="s">
        <v>502</v>
      </c>
      <c r="AJ237" s="2" t="s">
        <v>137</v>
      </c>
      <c r="AK237" s="2" t="s">
        <v>137</v>
      </c>
      <c r="AL237" s="2" t="s">
        <v>887</v>
      </c>
    </row>
    <row r="238" customFormat="false" ht="90" hidden="false" customHeight="true" outlineLevel="0" collapsed="false">
      <c r="A238" s="2" t="s">
        <v>888</v>
      </c>
      <c r="B238" s="2" t="s">
        <v>569</v>
      </c>
      <c r="C238" s="2" t="s">
        <v>474</v>
      </c>
      <c r="D238" s="9" t="n">
        <v>173</v>
      </c>
      <c r="E238" s="2" t="s">
        <v>491</v>
      </c>
      <c r="F238" s="2" t="s">
        <v>492</v>
      </c>
      <c r="G238" s="2" t="s">
        <v>524</v>
      </c>
      <c r="H238" s="2" t="s">
        <v>368</v>
      </c>
      <c r="I238" s="2" t="s">
        <v>145</v>
      </c>
      <c r="J238" s="2" t="s">
        <v>369</v>
      </c>
      <c r="K238" s="10" t="b">
        <f aca="false">FALSE()</f>
        <v>0</v>
      </c>
      <c r="L238" s="10" t="b">
        <f aca="false">FALSE()</f>
        <v>0</v>
      </c>
      <c r="M238" s="2" t="s">
        <v>494</v>
      </c>
      <c r="N238" s="2" t="s">
        <v>371</v>
      </c>
      <c r="O238" s="2" t="s">
        <v>495</v>
      </c>
      <c r="P238" s="2" t="n">
        <v>60</v>
      </c>
      <c r="Q238" s="2" t="s">
        <v>496</v>
      </c>
      <c r="R238" s="11" t="s">
        <v>497</v>
      </c>
      <c r="S238" s="11" t="s">
        <v>498</v>
      </c>
      <c r="T238" s="2" t="s">
        <v>219</v>
      </c>
      <c r="U238" s="2" t="s">
        <v>153</v>
      </c>
      <c r="V238" s="2" t="s">
        <v>570</v>
      </c>
      <c r="W238" s="11" t="s">
        <v>571</v>
      </c>
      <c r="X238" s="2"/>
      <c r="Y238" s="2"/>
      <c r="Z238" s="2"/>
      <c r="AA238" s="2"/>
      <c r="AB238" s="2" t="s">
        <v>572</v>
      </c>
      <c r="AC238" s="2" t="s">
        <v>157</v>
      </c>
      <c r="AD238" s="2" t="s">
        <v>132</v>
      </c>
      <c r="AE238" s="10" t="b">
        <f aca="false">FALSE()</f>
        <v>0</v>
      </c>
      <c r="AF238" s="2" t="s">
        <v>133</v>
      </c>
      <c r="AG238" s="2" t="s">
        <v>158</v>
      </c>
      <c r="AH238" s="2" t="s">
        <v>135</v>
      </c>
      <c r="AI238" s="11" t="s">
        <v>502</v>
      </c>
      <c r="AJ238" s="2" t="s">
        <v>137</v>
      </c>
      <c r="AK238" s="2" t="s">
        <v>137</v>
      </c>
      <c r="AL238" s="2" t="s">
        <v>889</v>
      </c>
    </row>
    <row r="239" customFormat="false" ht="90" hidden="false" customHeight="true" outlineLevel="0" collapsed="false">
      <c r="A239" s="2" t="s">
        <v>890</v>
      </c>
      <c r="B239" s="2" t="s">
        <v>569</v>
      </c>
      <c r="C239" s="2" t="s">
        <v>474</v>
      </c>
      <c r="D239" s="9" t="n">
        <v>172</v>
      </c>
      <c r="E239" s="2" t="s">
        <v>491</v>
      </c>
      <c r="F239" s="2" t="s">
        <v>492</v>
      </c>
      <c r="G239" s="2" t="s">
        <v>524</v>
      </c>
      <c r="H239" s="2" t="s">
        <v>368</v>
      </c>
      <c r="I239" s="2" t="s">
        <v>145</v>
      </c>
      <c r="J239" s="2" t="s">
        <v>369</v>
      </c>
      <c r="K239" s="10" t="b">
        <f aca="false">FALSE()</f>
        <v>0</v>
      </c>
      <c r="L239" s="10" t="b">
        <f aca="false">TRUE()</f>
        <v>1</v>
      </c>
      <c r="M239" s="2" t="s">
        <v>494</v>
      </c>
      <c r="N239" s="2" t="s">
        <v>371</v>
      </c>
      <c r="O239" s="2" t="s">
        <v>495</v>
      </c>
      <c r="P239" s="2" t="n">
        <v>60</v>
      </c>
      <c r="Q239" s="2" t="s">
        <v>496</v>
      </c>
      <c r="R239" s="11" t="s">
        <v>497</v>
      </c>
      <c r="S239" s="11" t="s">
        <v>498</v>
      </c>
      <c r="T239" s="2" t="s">
        <v>219</v>
      </c>
      <c r="U239" s="2" t="s">
        <v>153</v>
      </c>
      <c r="V239" s="2" t="s">
        <v>570</v>
      </c>
      <c r="W239" s="11" t="s">
        <v>571</v>
      </c>
      <c r="X239" s="2"/>
      <c r="Y239" s="2"/>
      <c r="Z239" s="2"/>
      <c r="AA239" s="2"/>
      <c r="AB239" s="2" t="s">
        <v>572</v>
      </c>
      <c r="AC239" s="2" t="s">
        <v>157</v>
      </c>
      <c r="AD239" s="2" t="s">
        <v>132</v>
      </c>
      <c r="AE239" s="10" t="b">
        <f aca="false">FALSE()</f>
        <v>0</v>
      </c>
      <c r="AF239" s="2" t="s">
        <v>133</v>
      </c>
      <c r="AG239" s="2" t="s">
        <v>158</v>
      </c>
      <c r="AH239" s="2" t="s">
        <v>135</v>
      </c>
      <c r="AI239" s="11" t="s">
        <v>502</v>
      </c>
      <c r="AJ239" s="2" t="s">
        <v>137</v>
      </c>
      <c r="AK239" s="2" t="s">
        <v>137</v>
      </c>
      <c r="AL239" s="2" t="s">
        <v>891</v>
      </c>
    </row>
    <row r="240" customFormat="false" ht="90" hidden="false" customHeight="true" outlineLevel="0" collapsed="false">
      <c r="A240" s="2" t="s">
        <v>892</v>
      </c>
      <c r="B240" s="2" t="s">
        <v>569</v>
      </c>
      <c r="C240" s="2" t="s">
        <v>474</v>
      </c>
      <c r="D240" s="9" t="n">
        <v>170</v>
      </c>
      <c r="E240" s="2" t="s">
        <v>491</v>
      </c>
      <c r="F240" s="2" t="s">
        <v>492</v>
      </c>
      <c r="G240" s="2" t="s">
        <v>524</v>
      </c>
      <c r="H240" s="2" t="s">
        <v>368</v>
      </c>
      <c r="I240" s="2" t="s">
        <v>145</v>
      </c>
      <c r="J240" s="2" t="s">
        <v>369</v>
      </c>
      <c r="K240" s="10" t="b">
        <f aca="false">FALSE()</f>
        <v>0</v>
      </c>
      <c r="L240" s="10" t="b">
        <f aca="false">FALSE()</f>
        <v>0</v>
      </c>
      <c r="M240" s="2" t="s">
        <v>494</v>
      </c>
      <c r="N240" s="2" t="s">
        <v>371</v>
      </c>
      <c r="O240" s="2" t="s">
        <v>495</v>
      </c>
      <c r="P240" s="2" t="n">
        <v>30</v>
      </c>
      <c r="Q240" s="2" t="s">
        <v>496</v>
      </c>
      <c r="R240" s="11" t="s">
        <v>497</v>
      </c>
      <c r="S240" s="11" t="s">
        <v>498</v>
      </c>
      <c r="T240" s="2" t="s">
        <v>219</v>
      </c>
      <c r="U240" s="2" t="s">
        <v>153</v>
      </c>
      <c r="V240" s="2" t="s">
        <v>606</v>
      </c>
      <c r="W240" s="11" t="s">
        <v>607</v>
      </c>
      <c r="X240" s="2"/>
      <c r="Y240" s="2"/>
      <c r="Z240" s="2"/>
      <c r="AA240" s="2"/>
      <c r="AB240" s="2" t="s">
        <v>608</v>
      </c>
      <c r="AC240" s="2" t="s">
        <v>157</v>
      </c>
      <c r="AD240" s="2" t="s">
        <v>440</v>
      </c>
      <c r="AE240" s="10" t="b">
        <f aca="false">FALSE()</f>
        <v>0</v>
      </c>
      <c r="AF240" s="2" t="s">
        <v>133</v>
      </c>
      <c r="AG240" s="2" t="s">
        <v>158</v>
      </c>
      <c r="AH240" s="2" t="s">
        <v>135</v>
      </c>
      <c r="AI240" s="11" t="s">
        <v>502</v>
      </c>
      <c r="AJ240" s="2" t="s">
        <v>137</v>
      </c>
      <c r="AK240" s="2" t="s">
        <v>137</v>
      </c>
      <c r="AL240" s="2" t="s">
        <v>893</v>
      </c>
    </row>
    <row r="241" customFormat="false" ht="90" hidden="false" customHeight="true" outlineLevel="0" collapsed="false">
      <c r="A241" s="2" t="s">
        <v>894</v>
      </c>
      <c r="B241" s="2" t="s">
        <v>569</v>
      </c>
      <c r="C241" s="2" t="s">
        <v>474</v>
      </c>
      <c r="D241" s="9" t="n">
        <v>164</v>
      </c>
      <c r="E241" s="2" t="s">
        <v>491</v>
      </c>
      <c r="F241" s="2" t="s">
        <v>492</v>
      </c>
      <c r="G241" s="2" t="s">
        <v>524</v>
      </c>
      <c r="H241" s="2" t="s">
        <v>368</v>
      </c>
      <c r="I241" s="2" t="s">
        <v>145</v>
      </c>
      <c r="J241" s="2" t="s">
        <v>369</v>
      </c>
      <c r="K241" s="10" t="b">
        <f aca="false">FALSE()</f>
        <v>0</v>
      </c>
      <c r="L241" s="10" t="b">
        <f aca="false">TRUE()</f>
        <v>1</v>
      </c>
      <c r="M241" s="2" t="s">
        <v>494</v>
      </c>
      <c r="N241" s="2" t="s">
        <v>371</v>
      </c>
      <c r="O241" s="2" t="s">
        <v>495</v>
      </c>
      <c r="P241" s="2" t="n">
        <v>60</v>
      </c>
      <c r="Q241" s="2" t="s">
        <v>496</v>
      </c>
      <c r="R241" s="11" t="s">
        <v>497</v>
      </c>
      <c r="S241" s="11" t="s">
        <v>498</v>
      </c>
      <c r="T241" s="2" t="s">
        <v>219</v>
      </c>
      <c r="U241" s="2" t="s">
        <v>153</v>
      </c>
      <c r="V241" s="2" t="s">
        <v>570</v>
      </c>
      <c r="W241" s="11" t="s">
        <v>571</v>
      </c>
      <c r="X241" s="2"/>
      <c r="Y241" s="2"/>
      <c r="Z241" s="2"/>
      <c r="AA241" s="2"/>
      <c r="AB241" s="2" t="s">
        <v>572</v>
      </c>
      <c r="AC241" s="2" t="s">
        <v>157</v>
      </c>
      <c r="AD241" s="2" t="s">
        <v>132</v>
      </c>
      <c r="AE241" s="10" t="b">
        <f aca="false">FALSE()</f>
        <v>0</v>
      </c>
      <c r="AF241" s="2" t="s">
        <v>133</v>
      </c>
      <c r="AG241" s="2" t="s">
        <v>158</v>
      </c>
      <c r="AH241" s="2" t="s">
        <v>135</v>
      </c>
      <c r="AI241" s="11" t="s">
        <v>502</v>
      </c>
      <c r="AJ241" s="2" t="s">
        <v>137</v>
      </c>
      <c r="AK241" s="2" t="s">
        <v>137</v>
      </c>
      <c r="AL241" s="2" t="s">
        <v>895</v>
      </c>
    </row>
    <row r="242" customFormat="false" ht="90" hidden="false" customHeight="true" outlineLevel="0" collapsed="false">
      <c r="A242" s="2" t="s">
        <v>896</v>
      </c>
      <c r="B242" s="2" t="s">
        <v>569</v>
      </c>
      <c r="C242" s="2" t="s">
        <v>474</v>
      </c>
      <c r="D242" s="9" t="n">
        <v>164</v>
      </c>
      <c r="E242" s="2" t="s">
        <v>491</v>
      </c>
      <c r="F242" s="2" t="s">
        <v>492</v>
      </c>
      <c r="G242" s="2" t="s">
        <v>524</v>
      </c>
      <c r="H242" s="2" t="s">
        <v>368</v>
      </c>
      <c r="I242" s="2" t="s">
        <v>145</v>
      </c>
      <c r="J242" s="2" t="s">
        <v>369</v>
      </c>
      <c r="K242" s="10" t="b">
        <f aca="false">FALSE()</f>
        <v>0</v>
      </c>
      <c r="L242" s="10" t="b">
        <f aca="false">TRUE()</f>
        <v>1</v>
      </c>
      <c r="M242" s="2" t="s">
        <v>494</v>
      </c>
      <c r="N242" s="2" t="s">
        <v>371</v>
      </c>
      <c r="O242" s="2" t="s">
        <v>495</v>
      </c>
      <c r="P242" s="2" t="n">
        <v>30</v>
      </c>
      <c r="Q242" s="2" t="s">
        <v>496</v>
      </c>
      <c r="R242" s="11" t="s">
        <v>497</v>
      </c>
      <c r="S242" s="11" t="s">
        <v>498</v>
      </c>
      <c r="T242" s="2" t="s">
        <v>632</v>
      </c>
      <c r="U242" s="2" t="s">
        <v>153</v>
      </c>
      <c r="V242" s="2" t="s">
        <v>587</v>
      </c>
      <c r="W242" s="11" t="s">
        <v>645</v>
      </c>
      <c r="X242" s="2"/>
      <c r="Y242" s="2"/>
      <c r="Z242" s="2"/>
      <c r="AA242" s="2"/>
      <c r="AB242" s="2" t="s">
        <v>589</v>
      </c>
      <c r="AC242" s="2" t="s">
        <v>131</v>
      </c>
      <c r="AD242" s="2" t="s">
        <v>354</v>
      </c>
      <c r="AE242" s="10" t="b">
        <f aca="false">FALSE()</f>
        <v>0</v>
      </c>
      <c r="AF242" s="2" t="s">
        <v>133</v>
      </c>
      <c r="AG242" s="2" t="s">
        <v>158</v>
      </c>
      <c r="AH242" s="2" t="s">
        <v>135</v>
      </c>
      <c r="AI242" s="11" t="s">
        <v>502</v>
      </c>
      <c r="AJ242" s="2" t="s">
        <v>137</v>
      </c>
      <c r="AK242" s="2" t="s">
        <v>137</v>
      </c>
      <c r="AL242" s="2" t="s">
        <v>897</v>
      </c>
    </row>
    <row r="243" customFormat="false" ht="90" hidden="false" customHeight="true" outlineLevel="0" collapsed="false">
      <c r="A243" s="2" t="s">
        <v>898</v>
      </c>
      <c r="B243" s="2" t="s">
        <v>569</v>
      </c>
      <c r="C243" s="2" t="s">
        <v>474</v>
      </c>
      <c r="D243" s="9" t="n">
        <v>156</v>
      </c>
      <c r="E243" s="2" t="s">
        <v>491</v>
      </c>
      <c r="F243" s="2" t="s">
        <v>492</v>
      </c>
      <c r="G243" s="2" t="s">
        <v>524</v>
      </c>
      <c r="H243" s="2" t="s">
        <v>368</v>
      </c>
      <c r="I243" s="2" t="s">
        <v>145</v>
      </c>
      <c r="J243" s="2" t="s">
        <v>369</v>
      </c>
      <c r="K243" s="10" t="b">
        <f aca="false">FALSE()</f>
        <v>0</v>
      </c>
      <c r="L243" s="10" t="b">
        <f aca="false">TRUE()</f>
        <v>1</v>
      </c>
      <c r="M243" s="2" t="s">
        <v>494</v>
      </c>
      <c r="N243" s="2" t="s">
        <v>371</v>
      </c>
      <c r="O243" s="2" t="s">
        <v>495</v>
      </c>
      <c r="P243" s="2" t="n">
        <v>60</v>
      </c>
      <c r="Q243" s="2" t="s">
        <v>496</v>
      </c>
      <c r="R243" s="11" t="s">
        <v>497</v>
      </c>
      <c r="S243" s="11" t="s">
        <v>498</v>
      </c>
      <c r="T243" s="2" t="s">
        <v>219</v>
      </c>
      <c r="U243" s="2" t="s">
        <v>153</v>
      </c>
      <c r="V243" s="2" t="s">
        <v>570</v>
      </c>
      <c r="W243" s="11" t="s">
        <v>592</v>
      </c>
      <c r="X243" s="2"/>
      <c r="Y243" s="2"/>
      <c r="Z243" s="2"/>
      <c r="AA243" s="2"/>
      <c r="AB243" s="2" t="s">
        <v>572</v>
      </c>
      <c r="AC243" s="2" t="s">
        <v>157</v>
      </c>
      <c r="AD243" s="2" t="s">
        <v>132</v>
      </c>
      <c r="AE243" s="10" t="b">
        <f aca="false">FALSE()</f>
        <v>0</v>
      </c>
      <c r="AF243" s="2" t="s">
        <v>133</v>
      </c>
      <c r="AG243" s="2" t="s">
        <v>158</v>
      </c>
      <c r="AH243" s="2" t="s">
        <v>135</v>
      </c>
      <c r="AI243" s="11" t="s">
        <v>502</v>
      </c>
      <c r="AJ243" s="2" t="s">
        <v>137</v>
      </c>
      <c r="AK243" s="2" t="s">
        <v>137</v>
      </c>
      <c r="AL243" s="2" t="s">
        <v>899</v>
      </c>
    </row>
    <row r="244" customFormat="false" ht="90" hidden="false" customHeight="true" outlineLevel="0" collapsed="false">
      <c r="A244" s="2" t="s">
        <v>900</v>
      </c>
      <c r="B244" s="2" t="s">
        <v>569</v>
      </c>
      <c r="C244" s="2" t="s">
        <v>474</v>
      </c>
      <c r="D244" s="9" t="n">
        <v>154</v>
      </c>
      <c r="E244" s="2" t="s">
        <v>491</v>
      </c>
      <c r="F244" s="2" t="s">
        <v>492</v>
      </c>
      <c r="G244" s="2" t="s">
        <v>524</v>
      </c>
      <c r="H244" s="2" t="s">
        <v>368</v>
      </c>
      <c r="I244" s="2" t="s">
        <v>145</v>
      </c>
      <c r="J244" s="2" t="s">
        <v>369</v>
      </c>
      <c r="K244" s="10" t="b">
        <f aca="false">FALSE()</f>
        <v>0</v>
      </c>
      <c r="L244" s="10" t="b">
        <f aca="false">FALSE()</f>
        <v>0</v>
      </c>
      <c r="M244" s="2" t="s">
        <v>494</v>
      </c>
      <c r="N244" s="2" t="s">
        <v>371</v>
      </c>
      <c r="O244" s="2" t="s">
        <v>495</v>
      </c>
      <c r="P244" s="2" t="n">
        <v>30</v>
      </c>
      <c r="Q244" s="2" t="s">
        <v>496</v>
      </c>
      <c r="R244" s="11" t="s">
        <v>497</v>
      </c>
      <c r="S244" s="11" t="s">
        <v>498</v>
      </c>
      <c r="T244" s="2" t="s">
        <v>557</v>
      </c>
      <c r="U244" s="2" t="s">
        <v>153</v>
      </c>
      <c r="V244" s="2" t="s">
        <v>606</v>
      </c>
      <c r="W244" s="11" t="s">
        <v>607</v>
      </c>
      <c r="X244" s="2"/>
      <c r="Y244" s="2"/>
      <c r="Z244" s="2"/>
      <c r="AA244" s="2"/>
      <c r="AB244" s="2" t="s">
        <v>608</v>
      </c>
      <c r="AC244" s="2" t="s">
        <v>131</v>
      </c>
      <c r="AD244" s="2" t="s">
        <v>440</v>
      </c>
      <c r="AE244" s="10" t="b">
        <f aca="false">FALSE()</f>
        <v>0</v>
      </c>
      <c r="AF244" s="2" t="s">
        <v>133</v>
      </c>
      <c r="AG244" s="2" t="s">
        <v>158</v>
      </c>
      <c r="AH244" s="2" t="s">
        <v>135</v>
      </c>
      <c r="AI244" s="11" t="s">
        <v>502</v>
      </c>
      <c r="AJ244" s="2" t="s">
        <v>137</v>
      </c>
      <c r="AK244" s="2" t="s">
        <v>137</v>
      </c>
      <c r="AL244" s="2" t="s">
        <v>901</v>
      </c>
    </row>
    <row r="245" customFormat="false" ht="90" hidden="false" customHeight="true" outlineLevel="0" collapsed="false">
      <c r="A245" s="2" t="s">
        <v>902</v>
      </c>
      <c r="B245" s="2" t="s">
        <v>569</v>
      </c>
      <c r="C245" s="2" t="s">
        <v>474</v>
      </c>
      <c r="D245" s="9" t="n">
        <v>153</v>
      </c>
      <c r="E245" s="2" t="s">
        <v>491</v>
      </c>
      <c r="F245" s="2" t="s">
        <v>492</v>
      </c>
      <c r="G245" s="2" t="s">
        <v>524</v>
      </c>
      <c r="H245" s="2" t="s">
        <v>368</v>
      </c>
      <c r="I245" s="2" t="s">
        <v>145</v>
      </c>
      <c r="J245" s="2" t="s">
        <v>369</v>
      </c>
      <c r="K245" s="10" t="b">
        <f aca="false">FALSE()</f>
        <v>0</v>
      </c>
      <c r="L245" s="10" t="b">
        <f aca="false">TRUE()</f>
        <v>1</v>
      </c>
      <c r="M245" s="2" t="s">
        <v>494</v>
      </c>
      <c r="N245" s="2" t="s">
        <v>371</v>
      </c>
      <c r="O245" s="2" t="s">
        <v>495</v>
      </c>
      <c r="P245" s="2" t="n">
        <v>60</v>
      </c>
      <c r="Q245" s="2" t="s">
        <v>496</v>
      </c>
      <c r="R245" s="11" t="s">
        <v>497</v>
      </c>
      <c r="S245" s="11" t="s">
        <v>498</v>
      </c>
      <c r="T245" s="2" t="s">
        <v>219</v>
      </c>
      <c r="U245" s="2" t="s">
        <v>153</v>
      </c>
      <c r="V245" s="2" t="s">
        <v>570</v>
      </c>
      <c r="W245" s="11" t="s">
        <v>571</v>
      </c>
      <c r="X245" s="2"/>
      <c r="Y245" s="2"/>
      <c r="Z245" s="2"/>
      <c r="AA245" s="2"/>
      <c r="AB245" s="2" t="s">
        <v>572</v>
      </c>
      <c r="AC245" s="2" t="s">
        <v>157</v>
      </c>
      <c r="AD245" s="2" t="s">
        <v>132</v>
      </c>
      <c r="AE245" s="10" t="b">
        <f aca="false">FALSE()</f>
        <v>0</v>
      </c>
      <c r="AF245" s="2" t="s">
        <v>133</v>
      </c>
      <c r="AG245" s="2" t="s">
        <v>158</v>
      </c>
      <c r="AH245" s="2" t="s">
        <v>135</v>
      </c>
      <c r="AI245" s="11" t="s">
        <v>502</v>
      </c>
      <c r="AJ245" s="2" t="s">
        <v>137</v>
      </c>
      <c r="AK245" s="2" t="s">
        <v>137</v>
      </c>
      <c r="AL245" s="2" t="s">
        <v>903</v>
      </c>
    </row>
    <row r="246" customFormat="false" ht="90" hidden="false" customHeight="true" outlineLevel="0" collapsed="false">
      <c r="A246" s="2" t="s">
        <v>904</v>
      </c>
      <c r="B246" s="2" t="s">
        <v>569</v>
      </c>
      <c r="C246" s="2" t="s">
        <v>474</v>
      </c>
      <c r="D246" s="9" t="n">
        <v>152</v>
      </c>
      <c r="E246" s="2" t="s">
        <v>491</v>
      </c>
      <c r="F246" s="2" t="s">
        <v>492</v>
      </c>
      <c r="G246" s="2" t="s">
        <v>524</v>
      </c>
      <c r="H246" s="2" t="s">
        <v>368</v>
      </c>
      <c r="I246" s="2" t="s">
        <v>145</v>
      </c>
      <c r="J246" s="2" t="s">
        <v>369</v>
      </c>
      <c r="K246" s="10" t="b">
        <f aca="false">FALSE()</f>
        <v>0</v>
      </c>
      <c r="L246" s="10" t="b">
        <f aca="false">TRUE()</f>
        <v>1</v>
      </c>
      <c r="M246" s="2" t="s">
        <v>494</v>
      </c>
      <c r="N246" s="2" t="s">
        <v>371</v>
      </c>
      <c r="O246" s="2" t="s">
        <v>495</v>
      </c>
      <c r="P246" s="2" t="n">
        <v>30</v>
      </c>
      <c r="Q246" s="2" t="s">
        <v>496</v>
      </c>
      <c r="R246" s="11" t="s">
        <v>497</v>
      </c>
      <c r="S246" s="11" t="s">
        <v>498</v>
      </c>
      <c r="T246" s="2" t="s">
        <v>557</v>
      </c>
      <c r="U246" s="2" t="s">
        <v>153</v>
      </c>
      <c r="V246" s="2" t="s">
        <v>587</v>
      </c>
      <c r="W246" s="11" t="s">
        <v>645</v>
      </c>
      <c r="X246" s="2"/>
      <c r="Y246" s="2"/>
      <c r="Z246" s="2"/>
      <c r="AA246" s="2"/>
      <c r="AB246" s="2" t="s">
        <v>589</v>
      </c>
      <c r="AC246" s="2" t="s">
        <v>131</v>
      </c>
      <c r="AD246" s="2" t="s">
        <v>354</v>
      </c>
      <c r="AE246" s="10" t="b">
        <f aca="false">FALSE()</f>
        <v>0</v>
      </c>
      <c r="AF246" s="2" t="s">
        <v>133</v>
      </c>
      <c r="AG246" s="2" t="s">
        <v>158</v>
      </c>
      <c r="AH246" s="2" t="s">
        <v>135</v>
      </c>
      <c r="AI246" s="11" t="s">
        <v>502</v>
      </c>
      <c r="AJ246" s="2" t="s">
        <v>137</v>
      </c>
      <c r="AK246" s="2" t="s">
        <v>137</v>
      </c>
      <c r="AL246" s="2" t="s">
        <v>905</v>
      </c>
    </row>
    <row r="247" customFormat="false" ht="90" hidden="false" customHeight="true" outlineLevel="0" collapsed="false">
      <c r="A247" s="2" t="s">
        <v>906</v>
      </c>
      <c r="B247" s="2" t="s">
        <v>569</v>
      </c>
      <c r="C247" s="2" t="s">
        <v>474</v>
      </c>
      <c r="D247" s="9" t="n">
        <v>149</v>
      </c>
      <c r="E247" s="2" t="s">
        <v>491</v>
      </c>
      <c r="F247" s="2" t="s">
        <v>492</v>
      </c>
      <c r="G247" s="2" t="s">
        <v>524</v>
      </c>
      <c r="H247" s="2" t="s">
        <v>368</v>
      </c>
      <c r="I247" s="2" t="s">
        <v>145</v>
      </c>
      <c r="J247" s="2" t="s">
        <v>369</v>
      </c>
      <c r="K247" s="10" t="b">
        <f aca="false">FALSE()</f>
        <v>0</v>
      </c>
      <c r="L247" s="10" t="b">
        <f aca="false">TRUE()</f>
        <v>1</v>
      </c>
      <c r="M247" s="2" t="s">
        <v>494</v>
      </c>
      <c r="N247" s="2" t="s">
        <v>371</v>
      </c>
      <c r="O247" s="2" t="s">
        <v>495</v>
      </c>
      <c r="P247" s="2" t="n">
        <v>60</v>
      </c>
      <c r="Q247" s="2" t="s">
        <v>496</v>
      </c>
      <c r="R247" s="11" t="s">
        <v>497</v>
      </c>
      <c r="S247" s="11" t="s">
        <v>498</v>
      </c>
      <c r="T247" s="2" t="s">
        <v>219</v>
      </c>
      <c r="U247" s="2" t="s">
        <v>153</v>
      </c>
      <c r="V247" s="2" t="s">
        <v>570</v>
      </c>
      <c r="W247" s="11" t="s">
        <v>571</v>
      </c>
      <c r="X247" s="2"/>
      <c r="Y247" s="2"/>
      <c r="Z247" s="2"/>
      <c r="AA247" s="2"/>
      <c r="AB247" s="2" t="s">
        <v>572</v>
      </c>
      <c r="AC247" s="2" t="s">
        <v>157</v>
      </c>
      <c r="AD247" s="2" t="s">
        <v>132</v>
      </c>
      <c r="AE247" s="10" t="b">
        <f aca="false">FALSE()</f>
        <v>0</v>
      </c>
      <c r="AF247" s="2" t="s">
        <v>133</v>
      </c>
      <c r="AG247" s="2" t="s">
        <v>158</v>
      </c>
      <c r="AH247" s="2" t="s">
        <v>135</v>
      </c>
      <c r="AI247" s="11" t="s">
        <v>502</v>
      </c>
      <c r="AJ247" s="2" t="s">
        <v>137</v>
      </c>
      <c r="AK247" s="2" t="s">
        <v>137</v>
      </c>
      <c r="AL247" s="2" t="s">
        <v>907</v>
      </c>
    </row>
    <row r="248" customFormat="false" ht="90" hidden="false" customHeight="true" outlineLevel="0" collapsed="false">
      <c r="A248" s="2" t="s">
        <v>908</v>
      </c>
      <c r="B248" s="2" t="s">
        <v>569</v>
      </c>
      <c r="C248" s="2" t="s">
        <v>474</v>
      </c>
      <c r="D248" s="9" t="n">
        <v>147</v>
      </c>
      <c r="E248" s="2" t="s">
        <v>491</v>
      </c>
      <c r="F248" s="2" t="s">
        <v>492</v>
      </c>
      <c r="G248" s="2" t="s">
        <v>524</v>
      </c>
      <c r="H248" s="2" t="s">
        <v>368</v>
      </c>
      <c r="I248" s="2" t="s">
        <v>145</v>
      </c>
      <c r="J248" s="2" t="s">
        <v>369</v>
      </c>
      <c r="K248" s="10" t="b">
        <f aca="false">FALSE()</f>
        <v>0</v>
      </c>
      <c r="L248" s="10" t="b">
        <f aca="false">FALSE()</f>
        <v>0</v>
      </c>
      <c r="M248" s="2" t="s">
        <v>494</v>
      </c>
      <c r="N248" s="2" t="s">
        <v>371</v>
      </c>
      <c r="O248" s="2" t="s">
        <v>495</v>
      </c>
      <c r="P248" s="2" t="n">
        <v>30</v>
      </c>
      <c r="Q248" s="2" t="s">
        <v>496</v>
      </c>
      <c r="R248" s="11" t="s">
        <v>497</v>
      </c>
      <c r="S248" s="11" t="s">
        <v>498</v>
      </c>
      <c r="T248" s="2" t="s">
        <v>557</v>
      </c>
      <c r="U248" s="2" t="s">
        <v>153</v>
      </c>
      <c r="V248" s="2" t="s">
        <v>606</v>
      </c>
      <c r="W248" s="11" t="s">
        <v>607</v>
      </c>
      <c r="X248" s="2"/>
      <c r="Y248" s="2"/>
      <c r="Z248" s="2"/>
      <c r="AA248" s="2"/>
      <c r="AB248" s="2" t="s">
        <v>608</v>
      </c>
      <c r="AC248" s="2" t="s">
        <v>131</v>
      </c>
      <c r="AD248" s="2" t="s">
        <v>440</v>
      </c>
      <c r="AE248" s="10" t="b">
        <f aca="false">FALSE()</f>
        <v>0</v>
      </c>
      <c r="AF248" s="2" t="s">
        <v>133</v>
      </c>
      <c r="AG248" s="2" t="s">
        <v>158</v>
      </c>
      <c r="AH248" s="2" t="s">
        <v>135</v>
      </c>
      <c r="AI248" s="11" t="s">
        <v>502</v>
      </c>
      <c r="AJ248" s="2" t="s">
        <v>137</v>
      </c>
      <c r="AK248" s="2" t="s">
        <v>137</v>
      </c>
      <c r="AL248" s="2" t="s">
        <v>909</v>
      </c>
    </row>
    <row r="249" customFormat="false" ht="90" hidden="false" customHeight="true" outlineLevel="0" collapsed="false">
      <c r="A249" s="2" t="s">
        <v>910</v>
      </c>
      <c r="B249" s="2" t="s">
        <v>569</v>
      </c>
      <c r="C249" s="2" t="s">
        <v>474</v>
      </c>
      <c r="D249" s="9" t="n">
        <v>146</v>
      </c>
      <c r="E249" s="2" t="s">
        <v>491</v>
      </c>
      <c r="F249" s="2" t="s">
        <v>492</v>
      </c>
      <c r="G249" s="2" t="s">
        <v>524</v>
      </c>
      <c r="H249" s="2" t="s">
        <v>368</v>
      </c>
      <c r="I249" s="2" t="s">
        <v>145</v>
      </c>
      <c r="J249" s="2" t="s">
        <v>369</v>
      </c>
      <c r="K249" s="10" t="b">
        <f aca="false">FALSE()</f>
        <v>0</v>
      </c>
      <c r="L249" s="10" t="b">
        <f aca="false">TRUE()</f>
        <v>1</v>
      </c>
      <c r="M249" s="2" t="s">
        <v>494</v>
      </c>
      <c r="N249" s="2" t="s">
        <v>371</v>
      </c>
      <c r="O249" s="2" t="s">
        <v>495</v>
      </c>
      <c r="P249" s="2" t="n">
        <v>60</v>
      </c>
      <c r="Q249" s="2" t="s">
        <v>496</v>
      </c>
      <c r="R249" s="11" t="s">
        <v>497</v>
      </c>
      <c r="S249" s="11" t="s">
        <v>498</v>
      </c>
      <c r="T249" s="2" t="s">
        <v>219</v>
      </c>
      <c r="U249" s="2" t="s">
        <v>153</v>
      </c>
      <c r="V249" s="2" t="s">
        <v>570</v>
      </c>
      <c r="W249" s="11" t="s">
        <v>571</v>
      </c>
      <c r="X249" s="2"/>
      <c r="Y249" s="2"/>
      <c r="Z249" s="2"/>
      <c r="AA249" s="2"/>
      <c r="AB249" s="2" t="s">
        <v>572</v>
      </c>
      <c r="AC249" s="2" t="s">
        <v>157</v>
      </c>
      <c r="AD249" s="2" t="s">
        <v>132</v>
      </c>
      <c r="AE249" s="10" t="b">
        <f aca="false">FALSE()</f>
        <v>0</v>
      </c>
      <c r="AF249" s="2" t="s">
        <v>133</v>
      </c>
      <c r="AG249" s="2" t="s">
        <v>158</v>
      </c>
      <c r="AH249" s="2" t="s">
        <v>135</v>
      </c>
      <c r="AI249" s="11" t="s">
        <v>502</v>
      </c>
      <c r="AJ249" s="2" t="s">
        <v>137</v>
      </c>
      <c r="AK249" s="2" t="s">
        <v>137</v>
      </c>
      <c r="AL249" s="2" t="s">
        <v>911</v>
      </c>
    </row>
    <row r="250" customFormat="false" ht="90" hidden="false" customHeight="true" outlineLevel="0" collapsed="false">
      <c r="A250" s="2" t="s">
        <v>912</v>
      </c>
      <c r="B250" s="2" t="s">
        <v>569</v>
      </c>
      <c r="C250" s="2" t="s">
        <v>474</v>
      </c>
      <c r="D250" s="9" t="n">
        <v>145</v>
      </c>
      <c r="E250" s="2" t="s">
        <v>491</v>
      </c>
      <c r="F250" s="2" t="s">
        <v>492</v>
      </c>
      <c r="G250" s="2" t="s">
        <v>524</v>
      </c>
      <c r="H250" s="2" t="s">
        <v>368</v>
      </c>
      <c r="I250" s="2" t="s">
        <v>145</v>
      </c>
      <c r="J250" s="2" t="s">
        <v>369</v>
      </c>
      <c r="K250" s="10" t="b">
        <f aca="false">FALSE()</f>
        <v>0</v>
      </c>
      <c r="L250" s="10" t="b">
        <f aca="false">TRUE()</f>
        <v>1</v>
      </c>
      <c r="M250" s="2" t="s">
        <v>494</v>
      </c>
      <c r="N250" s="2" t="s">
        <v>371</v>
      </c>
      <c r="O250" s="2" t="s">
        <v>495</v>
      </c>
      <c r="P250" s="2" t="n">
        <v>60</v>
      </c>
      <c r="Q250" s="2" t="s">
        <v>496</v>
      </c>
      <c r="R250" s="11" t="s">
        <v>497</v>
      </c>
      <c r="S250" s="11" t="s">
        <v>498</v>
      </c>
      <c r="T250" s="2" t="s">
        <v>219</v>
      </c>
      <c r="U250" s="2" t="s">
        <v>153</v>
      </c>
      <c r="V250" s="2" t="s">
        <v>570</v>
      </c>
      <c r="W250" s="11" t="s">
        <v>571</v>
      </c>
      <c r="X250" s="2"/>
      <c r="Y250" s="2"/>
      <c r="Z250" s="2"/>
      <c r="AA250" s="2"/>
      <c r="AB250" s="2" t="s">
        <v>572</v>
      </c>
      <c r="AC250" s="2" t="s">
        <v>157</v>
      </c>
      <c r="AD250" s="2" t="s">
        <v>132</v>
      </c>
      <c r="AE250" s="10" t="b">
        <f aca="false">FALSE()</f>
        <v>0</v>
      </c>
      <c r="AF250" s="2" t="s">
        <v>133</v>
      </c>
      <c r="AG250" s="2" t="s">
        <v>158</v>
      </c>
      <c r="AH250" s="2" t="s">
        <v>135</v>
      </c>
      <c r="AI250" s="11" t="s">
        <v>502</v>
      </c>
      <c r="AJ250" s="2" t="s">
        <v>137</v>
      </c>
      <c r="AK250" s="2" t="s">
        <v>137</v>
      </c>
      <c r="AL250" s="2" t="s">
        <v>913</v>
      </c>
    </row>
    <row r="251" customFormat="false" ht="90" hidden="false" customHeight="true" outlineLevel="0" collapsed="false">
      <c r="A251" s="2" t="s">
        <v>914</v>
      </c>
      <c r="B251" s="2" t="s">
        <v>569</v>
      </c>
      <c r="C251" s="2" t="s">
        <v>474</v>
      </c>
      <c r="D251" s="9" t="n">
        <v>143</v>
      </c>
      <c r="E251" s="2" t="s">
        <v>491</v>
      </c>
      <c r="F251" s="2" t="s">
        <v>492</v>
      </c>
      <c r="G251" s="2" t="s">
        <v>524</v>
      </c>
      <c r="H251" s="2" t="s">
        <v>368</v>
      </c>
      <c r="I251" s="2" t="s">
        <v>145</v>
      </c>
      <c r="J251" s="2" t="s">
        <v>369</v>
      </c>
      <c r="K251" s="10" t="b">
        <f aca="false">FALSE()</f>
        <v>0</v>
      </c>
      <c r="L251" s="10" t="b">
        <f aca="false">FALSE()</f>
        <v>0</v>
      </c>
      <c r="M251" s="2" t="s">
        <v>494</v>
      </c>
      <c r="N251" s="2" t="s">
        <v>371</v>
      </c>
      <c r="O251" s="2" t="s">
        <v>495</v>
      </c>
      <c r="P251" s="2" t="n">
        <v>30</v>
      </c>
      <c r="Q251" s="2" t="s">
        <v>496</v>
      </c>
      <c r="R251" s="11" t="s">
        <v>497</v>
      </c>
      <c r="S251" s="11" t="s">
        <v>498</v>
      </c>
      <c r="T251" s="2" t="s">
        <v>632</v>
      </c>
      <c r="U251" s="2" t="s">
        <v>153</v>
      </c>
      <c r="V251" s="2" t="s">
        <v>606</v>
      </c>
      <c r="W251" s="11" t="s">
        <v>607</v>
      </c>
      <c r="X251" s="2"/>
      <c r="Y251" s="2"/>
      <c r="Z251" s="2"/>
      <c r="AA251" s="2"/>
      <c r="AB251" s="2" t="s">
        <v>608</v>
      </c>
      <c r="AC251" s="2" t="s">
        <v>131</v>
      </c>
      <c r="AD251" s="2" t="s">
        <v>440</v>
      </c>
      <c r="AE251" s="10" t="b">
        <f aca="false">FALSE()</f>
        <v>0</v>
      </c>
      <c r="AF251" s="2" t="s">
        <v>133</v>
      </c>
      <c r="AG251" s="2" t="s">
        <v>158</v>
      </c>
      <c r="AH251" s="2" t="s">
        <v>135</v>
      </c>
      <c r="AI251" s="11" t="s">
        <v>502</v>
      </c>
      <c r="AJ251" s="2" t="s">
        <v>137</v>
      </c>
      <c r="AK251" s="2" t="s">
        <v>137</v>
      </c>
      <c r="AL251" s="2" t="s">
        <v>915</v>
      </c>
    </row>
    <row r="252" customFormat="false" ht="90" hidden="false" customHeight="true" outlineLevel="0" collapsed="false">
      <c r="A252" s="2" t="s">
        <v>916</v>
      </c>
      <c r="B252" s="2" t="s">
        <v>569</v>
      </c>
      <c r="C252" s="2" t="s">
        <v>474</v>
      </c>
      <c r="D252" s="9" t="n">
        <v>142</v>
      </c>
      <c r="E252" s="2" t="s">
        <v>491</v>
      </c>
      <c r="F252" s="2" t="s">
        <v>492</v>
      </c>
      <c r="G252" s="2" t="s">
        <v>524</v>
      </c>
      <c r="H252" s="2" t="s">
        <v>368</v>
      </c>
      <c r="I252" s="2" t="s">
        <v>145</v>
      </c>
      <c r="J252" s="2" t="s">
        <v>369</v>
      </c>
      <c r="K252" s="10" t="b">
        <f aca="false">FALSE()</f>
        <v>0</v>
      </c>
      <c r="L252" s="10" t="b">
        <f aca="false">FALSE()</f>
        <v>0</v>
      </c>
      <c r="M252" s="2" t="s">
        <v>494</v>
      </c>
      <c r="N252" s="2" t="s">
        <v>371</v>
      </c>
      <c r="O252" s="2" t="s">
        <v>495</v>
      </c>
      <c r="P252" s="2" t="n">
        <v>30</v>
      </c>
      <c r="Q252" s="2" t="s">
        <v>496</v>
      </c>
      <c r="R252" s="11" t="s">
        <v>497</v>
      </c>
      <c r="S252" s="11" t="s">
        <v>498</v>
      </c>
      <c r="T252" s="2" t="s">
        <v>557</v>
      </c>
      <c r="U252" s="2" t="s">
        <v>153</v>
      </c>
      <c r="V252" s="2" t="s">
        <v>606</v>
      </c>
      <c r="W252" s="11" t="s">
        <v>607</v>
      </c>
      <c r="X252" s="2"/>
      <c r="Y252" s="2"/>
      <c r="Z252" s="2"/>
      <c r="AA252" s="2"/>
      <c r="AB252" s="2" t="s">
        <v>608</v>
      </c>
      <c r="AC252" s="2" t="s">
        <v>131</v>
      </c>
      <c r="AD252" s="2" t="s">
        <v>440</v>
      </c>
      <c r="AE252" s="10" t="b">
        <f aca="false">FALSE()</f>
        <v>0</v>
      </c>
      <c r="AF252" s="2" t="s">
        <v>133</v>
      </c>
      <c r="AG252" s="2" t="s">
        <v>158</v>
      </c>
      <c r="AH252" s="2" t="s">
        <v>135</v>
      </c>
      <c r="AI252" s="11" t="s">
        <v>502</v>
      </c>
      <c r="AJ252" s="2" t="s">
        <v>137</v>
      </c>
      <c r="AK252" s="2" t="s">
        <v>137</v>
      </c>
      <c r="AL252" s="2" t="s">
        <v>917</v>
      </c>
    </row>
    <row r="253" customFormat="false" ht="90" hidden="false" customHeight="true" outlineLevel="0" collapsed="false">
      <c r="A253" s="2" t="s">
        <v>918</v>
      </c>
      <c r="B253" s="2" t="s">
        <v>569</v>
      </c>
      <c r="C253" s="2" t="s">
        <v>474</v>
      </c>
      <c r="D253" s="9" t="n">
        <v>140</v>
      </c>
      <c r="E253" s="2" t="s">
        <v>491</v>
      </c>
      <c r="F253" s="2" t="s">
        <v>492</v>
      </c>
      <c r="G253" s="2" t="s">
        <v>524</v>
      </c>
      <c r="H253" s="2" t="s">
        <v>368</v>
      </c>
      <c r="I253" s="2" t="s">
        <v>145</v>
      </c>
      <c r="J253" s="2" t="s">
        <v>369</v>
      </c>
      <c r="K253" s="10" t="b">
        <f aca="false">FALSE()</f>
        <v>0</v>
      </c>
      <c r="L253" s="10" t="b">
        <f aca="false">FALSE()</f>
        <v>0</v>
      </c>
      <c r="M253" s="2" t="s">
        <v>494</v>
      </c>
      <c r="N253" s="2" t="s">
        <v>371</v>
      </c>
      <c r="O253" s="2" t="s">
        <v>495</v>
      </c>
      <c r="P253" s="2" t="n">
        <v>30</v>
      </c>
      <c r="Q253" s="2" t="s">
        <v>496</v>
      </c>
      <c r="R253" s="11" t="s">
        <v>497</v>
      </c>
      <c r="S253" s="11" t="s">
        <v>498</v>
      </c>
      <c r="T253" s="2" t="s">
        <v>632</v>
      </c>
      <c r="U253" s="2" t="s">
        <v>153</v>
      </c>
      <c r="V253" s="2" t="s">
        <v>606</v>
      </c>
      <c r="W253" s="11" t="s">
        <v>607</v>
      </c>
      <c r="X253" s="2"/>
      <c r="Y253" s="2"/>
      <c r="Z253" s="2"/>
      <c r="AA253" s="2"/>
      <c r="AB253" s="2" t="s">
        <v>608</v>
      </c>
      <c r="AC253" s="2" t="s">
        <v>131</v>
      </c>
      <c r="AD253" s="2" t="s">
        <v>440</v>
      </c>
      <c r="AE253" s="10" t="b">
        <f aca="false">FALSE()</f>
        <v>0</v>
      </c>
      <c r="AF253" s="2" t="s">
        <v>133</v>
      </c>
      <c r="AG253" s="2" t="s">
        <v>158</v>
      </c>
      <c r="AH253" s="2" t="s">
        <v>135</v>
      </c>
      <c r="AI253" s="11" t="s">
        <v>502</v>
      </c>
      <c r="AJ253" s="2" t="s">
        <v>137</v>
      </c>
      <c r="AK253" s="2" t="s">
        <v>137</v>
      </c>
      <c r="AL253" s="2" t="s">
        <v>919</v>
      </c>
    </row>
    <row r="254" customFormat="false" ht="90" hidden="false" customHeight="true" outlineLevel="0" collapsed="false">
      <c r="A254" s="2" t="s">
        <v>920</v>
      </c>
      <c r="B254" s="2" t="s">
        <v>569</v>
      </c>
      <c r="C254" s="2" t="s">
        <v>474</v>
      </c>
      <c r="D254" s="9" t="n">
        <v>138</v>
      </c>
      <c r="E254" s="2" t="s">
        <v>491</v>
      </c>
      <c r="F254" s="2" t="s">
        <v>492</v>
      </c>
      <c r="G254" s="2" t="s">
        <v>524</v>
      </c>
      <c r="H254" s="2" t="s">
        <v>368</v>
      </c>
      <c r="I254" s="2" t="s">
        <v>145</v>
      </c>
      <c r="J254" s="2" t="s">
        <v>369</v>
      </c>
      <c r="K254" s="10" t="b">
        <f aca="false">FALSE()</f>
        <v>0</v>
      </c>
      <c r="L254" s="10" t="b">
        <f aca="false">FALSE()</f>
        <v>0</v>
      </c>
      <c r="M254" s="2" t="s">
        <v>494</v>
      </c>
      <c r="N254" s="2" t="s">
        <v>371</v>
      </c>
      <c r="O254" s="2" t="s">
        <v>495</v>
      </c>
      <c r="P254" s="2" t="n">
        <v>60</v>
      </c>
      <c r="Q254" s="2" t="s">
        <v>496</v>
      </c>
      <c r="R254" s="11" t="s">
        <v>497</v>
      </c>
      <c r="S254" s="11" t="s">
        <v>498</v>
      </c>
      <c r="T254" s="2" t="s">
        <v>219</v>
      </c>
      <c r="U254" s="2" t="s">
        <v>153</v>
      </c>
      <c r="V254" s="2" t="s">
        <v>570</v>
      </c>
      <c r="W254" s="11" t="s">
        <v>571</v>
      </c>
      <c r="X254" s="2"/>
      <c r="Y254" s="2"/>
      <c r="Z254" s="2"/>
      <c r="AA254" s="2"/>
      <c r="AB254" s="2" t="s">
        <v>572</v>
      </c>
      <c r="AC254" s="2" t="s">
        <v>157</v>
      </c>
      <c r="AD254" s="2" t="s">
        <v>132</v>
      </c>
      <c r="AE254" s="10" t="b">
        <f aca="false">FALSE()</f>
        <v>0</v>
      </c>
      <c r="AF254" s="2" t="s">
        <v>133</v>
      </c>
      <c r="AG254" s="2" t="s">
        <v>158</v>
      </c>
      <c r="AH254" s="2" t="s">
        <v>135</v>
      </c>
      <c r="AI254" s="11" t="s">
        <v>502</v>
      </c>
      <c r="AJ254" s="2" t="s">
        <v>137</v>
      </c>
      <c r="AK254" s="2" t="s">
        <v>137</v>
      </c>
      <c r="AL254" s="2" t="s">
        <v>921</v>
      </c>
    </row>
    <row r="255" customFormat="false" ht="90" hidden="false" customHeight="true" outlineLevel="0" collapsed="false">
      <c r="A255" s="2" t="s">
        <v>922</v>
      </c>
      <c r="B255" s="2" t="s">
        <v>569</v>
      </c>
      <c r="C255" s="2" t="s">
        <v>474</v>
      </c>
      <c r="D255" s="9" t="n">
        <v>134</v>
      </c>
      <c r="E255" s="2" t="s">
        <v>491</v>
      </c>
      <c r="F255" s="2" t="s">
        <v>492</v>
      </c>
      <c r="G255" s="2" t="s">
        <v>524</v>
      </c>
      <c r="H255" s="2" t="s">
        <v>368</v>
      </c>
      <c r="I255" s="2" t="s">
        <v>145</v>
      </c>
      <c r="J255" s="2" t="s">
        <v>369</v>
      </c>
      <c r="K255" s="10" t="b">
        <f aca="false">FALSE()</f>
        <v>0</v>
      </c>
      <c r="L255" s="10" t="b">
        <f aca="false">TRUE()</f>
        <v>1</v>
      </c>
      <c r="M255" s="2" t="s">
        <v>494</v>
      </c>
      <c r="N255" s="2" t="s">
        <v>371</v>
      </c>
      <c r="O255" s="2" t="s">
        <v>495</v>
      </c>
      <c r="P255" s="2" t="n">
        <v>60</v>
      </c>
      <c r="Q255" s="2" t="s">
        <v>496</v>
      </c>
      <c r="R255" s="11" t="s">
        <v>497</v>
      </c>
      <c r="S255" s="11" t="s">
        <v>498</v>
      </c>
      <c r="T255" s="2" t="s">
        <v>219</v>
      </c>
      <c r="U255" s="2" t="s">
        <v>153</v>
      </c>
      <c r="V255" s="2" t="s">
        <v>570</v>
      </c>
      <c r="W255" s="11" t="s">
        <v>571</v>
      </c>
      <c r="X255" s="2"/>
      <c r="Y255" s="2"/>
      <c r="Z255" s="2"/>
      <c r="AA255" s="2"/>
      <c r="AB255" s="2" t="s">
        <v>572</v>
      </c>
      <c r="AC255" s="2" t="s">
        <v>157</v>
      </c>
      <c r="AD255" s="2" t="s">
        <v>132</v>
      </c>
      <c r="AE255" s="10" t="b">
        <f aca="false">FALSE()</f>
        <v>0</v>
      </c>
      <c r="AF255" s="2" t="s">
        <v>133</v>
      </c>
      <c r="AG255" s="2" t="s">
        <v>158</v>
      </c>
      <c r="AH255" s="2" t="s">
        <v>135</v>
      </c>
      <c r="AI255" s="11" t="s">
        <v>502</v>
      </c>
      <c r="AJ255" s="2" t="s">
        <v>137</v>
      </c>
      <c r="AK255" s="2" t="s">
        <v>137</v>
      </c>
      <c r="AL255" s="2" t="s">
        <v>923</v>
      </c>
    </row>
    <row r="256" customFormat="false" ht="90" hidden="false" customHeight="true" outlineLevel="0" collapsed="false">
      <c r="A256" s="2" t="s">
        <v>924</v>
      </c>
      <c r="B256" s="2" t="s">
        <v>569</v>
      </c>
      <c r="C256" s="2" t="s">
        <v>474</v>
      </c>
      <c r="D256" s="9" t="n">
        <v>131</v>
      </c>
      <c r="E256" s="2" t="s">
        <v>491</v>
      </c>
      <c r="F256" s="2" t="s">
        <v>492</v>
      </c>
      <c r="G256" s="2" t="s">
        <v>524</v>
      </c>
      <c r="H256" s="2" t="s">
        <v>368</v>
      </c>
      <c r="I256" s="2" t="s">
        <v>145</v>
      </c>
      <c r="J256" s="2" t="s">
        <v>369</v>
      </c>
      <c r="K256" s="10" t="b">
        <f aca="false">FALSE()</f>
        <v>0</v>
      </c>
      <c r="L256" s="10" t="b">
        <f aca="false">FALSE()</f>
        <v>0</v>
      </c>
      <c r="M256" s="2" t="s">
        <v>494</v>
      </c>
      <c r="N256" s="2" t="s">
        <v>371</v>
      </c>
      <c r="O256" s="2" t="s">
        <v>495</v>
      </c>
      <c r="P256" s="2" t="n">
        <v>30</v>
      </c>
      <c r="Q256" s="2" t="s">
        <v>496</v>
      </c>
      <c r="R256" s="11" t="s">
        <v>497</v>
      </c>
      <c r="S256" s="11" t="s">
        <v>498</v>
      </c>
      <c r="T256" s="2" t="s">
        <v>219</v>
      </c>
      <c r="U256" s="2" t="s">
        <v>153</v>
      </c>
      <c r="V256" s="2" t="s">
        <v>606</v>
      </c>
      <c r="W256" s="11" t="s">
        <v>607</v>
      </c>
      <c r="X256" s="2"/>
      <c r="Y256" s="2"/>
      <c r="Z256" s="2"/>
      <c r="AA256" s="2"/>
      <c r="AB256" s="2" t="s">
        <v>608</v>
      </c>
      <c r="AC256" s="2" t="s">
        <v>157</v>
      </c>
      <c r="AD256" s="2" t="s">
        <v>440</v>
      </c>
      <c r="AE256" s="10" t="b">
        <f aca="false">FALSE()</f>
        <v>0</v>
      </c>
      <c r="AF256" s="2" t="s">
        <v>133</v>
      </c>
      <c r="AG256" s="2" t="s">
        <v>158</v>
      </c>
      <c r="AH256" s="2" t="s">
        <v>135</v>
      </c>
      <c r="AI256" s="11" t="s">
        <v>502</v>
      </c>
      <c r="AJ256" s="2" t="s">
        <v>137</v>
      </c>
      <c r="AK256" s="2" t="s">
        <v>137</v>
      </c>
      <c r="AL256" s="2" t="s">
        <v>925</v>
      </c>
    </row>
    <row r="257" customFormat="false" ht="90" hidden="false" customHeight="true" outlineLevel="0" collapsed="false">
      <c r="A257" s="2" t="s">
        <v>926</v>
      </c>
      <c r="B257" s="2" t="s">
        <v>569</v>
      </c>
      <c r="C257" s="2" t="s">
        <v>474</v>
      </c>
      <c r="D257" s="9" t="n">
        <v>123</v>
      </c>
      <c r="E257" s="2" t="s">
        <v>491</v>
      </c>
      <c r="F257" s="2" t="s">
        <v>492</v>
      </c>
      <c r="G257" s="2" t="s">
        <v>524</v>
      </c>
      <c r="H257" s="2" t="s">
        <v>368</v>
      </c>
      <c r="I257" s="2" t="s">
        <v>145</v>
      </c>
      <c r="J257" s="2" t="s">
        <v>369</v>
      </c>
      <c r="K257" s="10" t="b">
        <f aca="false">FALSE()</f>
        <v>0</v>
      </c>
      <c r="L257" s="10" t="b">
        <f aca="false">TRUE()</f>
        <v>1</v>
      </c>
      <c r="M257" s="2" t="s">
        <v>494</v>
      </c>
      <c r="N257" s="2" t="s">
        <v>371</v>
      </c>
      <c r="O257" s="2" t="s">
        <v>495</v>
      </c>
      <c r="P257" s="2" t="n">
        <v>30</v>
      </c>
      <c r="Q257" s="2" t="s">
        <v>496</v>
      </c>
      <c r="R257" s="11" t="s">
        <v>497</v>
      </c>
      <c r="S257" s="11" t="s">
        <v>498</v>
      </c>
      <c r="T257" s="2" t="s">
        <v>557</v>
      </c>
      <c r="U257" s="2" t="s">
        <v>153</v>
      </c>
      <c r="V257" s="2" t="s">
        <v>587</v>
      </c>
      <c r="W257" s="11" t="s">
        <v>645</v>
      </c>
      <c r="X257" s="2"/>
      <c r="Y257" s="2"/>
      <c r="Z257" s="2"/>
      <c r="AA257" s="2"/>
      <c r="AB257" s="2" t="s">
        <v>589</v>
      </c>
      <c r="AC257" s="2" t="s">
        <v>131</v>
      </c>
      <c r="AD257" s="2" t="s">
        <v>354</v>
      </c>
      <c r="AE257" s="10" t="b">
        <f aca="false">FALSE()</f>
        <v>0</v>
      </c>
      <c r="AF257" s="2" t="s">
        <v>133</v>
      </c>
      <c r="AG257" s="2" t="s">
        <v>158</v>
      </c>
      <c r="AH257" s="2" t="s">
        <v>135</v>
      </c>
      <c r="AI257" s="11" t="s">
        <v>502</v>
      </c>
      <c r="AJ257" s="2" t="s">
        <v>137</v>
      </c>
      <c r="AK257" s="2" t="s">
        <v>137</v>
      </c>
      <c r="AL257" s="2" t="s">
        <v>927</v>
      </c>
    </row>
    <row r="258" customFormat="false" ht="90" hidden="false" customHeight="true" outlineLevel="0" collapsed="false">
      <c r="A258" s="2" t="s">
        <v>928</v>
      </c>
      <c r="B258" s="2" t="s">
        <v>569</v>
      </c>
      <c r="C258" s="2" t="s">
        <v>474</v>
      </c>
      <c r="D258" s="9" t="n">
        <v>123</v>
      </c>
      <c r="E258" s="2" t="s">
        <v>491</v>
      </c>
      <c r="F258" s="2" t="s">
        <v>492</v>
      </c>
      <c r="G258" s="2" t="s">
        <v>524</v>
      </c>
      <c r="H258" s="2" t="s">
        <v>368</v>
      </c>
      <c r="I258" s="2" t="s">
        <v>145</v>
      </c>
      <c r="J258" s="2" t="s">
        <v>369</v>
      </c>
      <c r="K258" s="10" t="b">
        <f aca="false">FALSE()</f>
        <v>0</v>
      </c>
      <c r="L258" s="10" t="b">
        <f aca="false">FALSE()</f>
        <v>0</v>
      </c>
      <c r="M258" s="2" t="s">
        <v>494</v>
      </c>
      <c r="N258" s="2" t="s">
        <v>371</v>
      </c>
      <c r="O258" s="2" t="s">
        <v>495</v>
      </c>
      <c r="P258" s="2" t="n">
        <v>30</v>
      </c>
      <c r="Q258" s="2" t="s">
        <v>496</v>
      </c>
      <c r="R258" s="11" t="s">
        <v>497</v>
      </c>
      <c r="S258" s="11" t="s">
        <v>498</v>
      </c>
      <c r="T258" s="2" t="s">
        <v>557</v>
      </c>
      <c r="U258" s="2" t="s">
        <v>153</v>
      </c>
      <c r="V258" s="2" t="s">
        <v>606</v>
      </c>
      <c r="W258" s="11" t="s">
        <v>607</v>
      </c>
      <c r="X258" s="2"/>
      <c r="Y258" s="2"/>
      <c r="Z258" s="2"/>
      <c r="AA258" s="2"/>
      <c r="AB258" s="2" t="s">
        <v>608</v>
      </c>
      <c r="AC258" s="2" t="s">
        <v>131</v>
      </c>
      <c r="AD258" s="2" t="s">
        <v>440</v>
      </c>
      <c r="AE258" s="10" t="b">
        <f aca="false">FALSE()</f>
        <v>0</v>
      </c>
      <c r="AF258" s="2" t="s">
        <v>133</v>
      </c>
      <c r="AG258" s="2" t="s">
        <v>158</v>
      </c>
      <c r="AH258" s="2" t="s">
        <v>135</v>
      </c>
      <c r="AI258" s="11" t="s">
        <v>502</v>
      </c>
      <c r="AJ258" s="2" t="s">
        <v>137</v>
      </c>
      <c r="AK258" s="2" t="s">
        <v>137</v>
      </c>
      <c r="AL258" s="2" t="s">
        <v>929</v>
      </c>
    </row>
    <row r="259" customFormat="false" ht="90" hidden="false" customHeight="true" outlineLevel="0" collapsed="false">
      <c r="A259" s="2" t="s">
        <v>930</v>
      </c>
      <c r="B259" s="2" t="s">
        <v>569</v>
      </c>
      <c r="C259" s="2" t="s">
        <v>474</v>
      </c>
      <c r="D259" s="9" t="n">
        <v>121</v>
      </c>
      <c r="E259" s="2" t="s">
        <v>491</v>
      </c>
      <c r="F259" s="2" t="s">
        <v>492</v>
      </c>
      <c r="G259" s="2" t="s">
        <v>524</v>
      </c>
      <c r="H259" s="2" t="s">
        <v>368</v>
      </c>
      <c r="I259" s="2" t="s">
        <v>145</v>
      </c>
      <c r="J259" s="2" t="s">
        <v>369</v>
      </c>
      <c r="K259" s="10" t="b">
        <f aca="false">FALSE()</f>
        <v>0</v>
      </c>
      <c r="L259" s="10" t="b">
        <f aca="false">TRUE()</f>
        <v>1</v>
      </c>
      <c r="M259" s="2" t="s">
        <v>494</v>
      </c>
      <c r="N259" s="2" t="s">
        <v>371</v>
      </c>
      <c r="O259" s="2" t="s">
        <v>495</v>
      </c>
      <c r="P259" s="2" t="n">
        <v>60</v>
      </c>
      <c r="Q259" s="2" t="s">
        <v>496</v>
      </c>
      <c r="R259" s="11" t="s">
        <v>497</v>
      </c>
      <c r="S259" s="11" t="s">
        <v>498</v>
      </c>
      <c r="T259" s="2" t="s">
        <v>219</v>
      </c>
      <c r="U259" s="2" t="s">
        <v>153</v>
      </c>
      <c r="V259" s="2" t="s">
        <v>570</v>
      </c>
      <c r="W259" s="11" t="s">
        <v>571</v>
      </c>
      <c r="X259" s="2"/>
      <c r="Y259" s="2"/>
      <c r="Z259" s="2"/>
      <c r="AA259" s="2"/>
      <c r="AB259" s="2" t="s">
        <v>572</v>
      </c>
      <c r="AC259" s="2" t="s">
        <v>157</v>
      </c>
      <c r="AD259" s="2" t="s">
        <v>132</v>
      </c>
      <c r="AE259" s="10" t="b">
        <f aca="false">FALSE()</f>
        <v>0</v>
      </c>
      <c r="AF259" s="2" t="s">
        <v>133</v>
      </c>
      <c r="AG259" s="2" t="s">
        <v>158</v>
      </c>
      <c r="AH259" s="2" t="s">
        <v>135</v>
      </c>
      <c r="AI259" s="11" t="s">
        <v>502</v>
      </c>
      <c r="AJ259" s="2" t="s">
        <v>137</v>
      </c>
      <c r="AK259" s="2" t="s">
        <v>137</v>
      </c>
      <c r="AL259" s="2" t="s">
        <v>931</v>
      </c>
    </row>
    <row r="260" customFormat="false" ht="90" hidden="false" customHeight="true" outlineLevel="0" collapsed="false">
      <c r="A260" s="2" t="s">
        <v>932</v>
      </c>
      <c r="B260" s="2" t="s">
        <v>569</v>
      </c>
      <c r="C260" s="2" t="s">
        <v>474</v>
      </c>
      <c r="D260" s="9" t="n">
        <v>119</v>
      </c>
      <c r="E260" s="2" t="s">
        <v>491</v>
      </c>
      <c r="F260" s="2" t="s">
        <v>492</v>
      </c>
      <c r="G260" s="2" t="s">
        <v>524</v>
      </c>
      <c r="H260" s="2" t="s">
        <v>368</v>
      </c>
      <c r="I260" s="2" t="s">
        <v>145</v>
      </c>
      <c r="J260" s="2" t="s">
        <v>369</v>
      </c>
      <c r="K260" s="10" t="b">
        <f aca="false">FALSE()</f>
        <v>0</v>
      </c>
      <c r="L260" s="10" t="b">
        <f aca="false">FALSE()</f>
        <v>0</v>
      </c>
      <c r="M260" s="2" t="s">
        <v>494</v>
      </c>
      <c r="N260" s="2" t="s">
        <v>371</v>
      </c>
      <c r="O260" s="2" t="s">
        <v>495</v>
      </c>
      <c r="P260" s="2" t="n">
        <v>60</v>
      </c>
      <c r="Q260" s="2" t="s">
        <v>496</v>
      </c>
      <c r="R260" s="11" t="s">
        <v>497</v>
      </c>
      <c r="S260" s="11" t="s">
        <v>498</v>
      </c>
      <c r="T260" s="2" t="s">
        <v>219</v>
      </c>
      <c r="U260" s="2" t="s">
        <v>153</v>
      </c>
      <c r="V260" s="2" t="s">
        <v>570</v>
      </c>
      <c r="W260" s="11" t="s">
        <v>571</v>
      </c>
      <c r="X260" s="2"/>
      <c r="Y260" s="2"/>
      <c r="Z260" s="2"/>
      <c r="AA260" s="2"/>
      <c r="AB260" s="2" t="s">
        <v>572</v>
      </c>
      <c r="AC260" s="2" t="s">
        <v>157</v>
      </c>
      <c r="AD260" s="2" t="s">
        <v>132</v>
      </c>
      <c r="AE260" s="10" t="b">
        <f aca="false">FALSE()</f>
        <v>0</v>
      </c>
      <c r="AF260" s="2" t="s">
        <v>133</v>
      </c>
      <c r="AG260" s="2" t="s">
        <v>158</v>
      </c>
      <c r="AH260" s="2" t="s">
        <v>135</v>
      </c>
      <c r="AI260" s="11" t="s">
        <v>502</v>
      </c>
      <c r="AJ260" s="2" t="s">
        <v>137</v>
      </c>
      <c r="AK260" s="2" t="s">
        <v>137</v>
      </c>
      <c r="AL260" s="2" t="s">
        <v>933</v>
      </c>
    </row>
    <row r="261" customFormat="false" ht="90" hidden="false" customHeight="true" outlineLevel="0" collapsed="false">
      <c r="A261" s="2" t="s">
        <v>934</v>
      </c>
      <c r="B261" s="2" t="s">
        <v>569</v>
      </c>
      <c r="C261" s="2" t="s">
        <v>474</v>
      </c>
      <c r="D261" s="9" t="n">
        <v>118</v>
      </c>
      <c r="E261" s="2" t="s">
        <v>491</v>
      </c>
      <c r="F261" s="2" t="s">
        <v>492</v>
      </c>
      <c r="G261" s="2" t="s">
        <v>524</v>
      </c>
      <c r="H261" s="2" t="s">
        <v>368</v>
      </c>
      <c r="I261" s="2" t="s">
        <v>145</v>
      </c>
      <c r="J261" s="2" t="s">
        <v>369</v>
      </c>
      <c r="K261" s="10" t="b">
        <f aca="false">FALSE()</f>
        <v>0</v>
      </c>
      <c r="L261" s="10" t="b">
        <f aca="false">FALSE()</f>
        <v>0</v>
      </c>
      <c r="M261" s="2" t="s">
        <v>494</v>
      </c>
      <c r="N261" s="2" t="s">
        <v>371</v>
      </c>
      <c r="O261" s="2" t="s">
        <v>495</v>
      </c>
      <c r="P261" s="2" t="n">
        <v>30</v>
      </c>
      <c r="Q261" s="2" t="s">
        <v>496</v>
      </c>
      <c r="R261" s="11" t="s">
        <v>497</v>
      </c>
      <c r="S261" s="11" t="s">
        <v>498</v>
      </c>
      <c r="T261" s="2" t="s">
        <v>557</v>
      </c>
      <c r="U261" s="2" t="s">
        <v>153</v>
      </c>
      <c r="V261" s="2" t="s">
        <v>606</v>
      </c>
      <c r="W261" s="11" t="s">
        <v>607</v>
      </c>
      <c r="X261" s="2"/>
      <c r="Y261" s="2"/>
      <c r="Z261" s="2"/>
      <c r="AA261" s="2"/>
      <c r="AB261" s="2" t="s">
        <v>608</v>
      </c>
      <c r="AC261" s="2" t="s">
        <v>131</v>
      </c>
      <c r="AD261" s="2" t="s">
        <v>440</v>
      </c>
      <c r="AE261" s="10" t="b">
        <f aca="false">FALSE()</f>
        <v>0</v>
      </c>
      <c r="AF261" s="2" t="s">
        <v>133</v>
      </c>
      <c r="AG261" s="2" t="s">
        <v>158</v>
      </c>
      <c r="AH261" s="2" t="s">
        <v>135</v>
      </c>
      <c r="AI261" s="11" t="s">
        <v>502</v>
      </c>
      <c r="AJ261" s="2" t="s">
        <v>137</v>
      </c>
      <c r="AK261" s="2" t="s">
        <v>137</v>
      </c>
      <c r="AL261" s="2" t="s">
        <v>935</v>
      </c>
    </row>
    <row r="262" customFormat="false" ht="90" hidden="false" customHeight="true" outlineLevel="0" collapsed="false">
      <c r="A262" s="2" t="s">
        <v>936</v>
      </c>
      <c r="B262" s="2" t="s">
        <v>569</v>
      </c>
      <c r="C262" s="2" t="s">
        <v>474</v>
      </c>
      <c r="D262" s="9" t="n">
        <v>117</v>
      </c>
      <c r="E262" s="2" t="s">
        <v>491</v>
      </c>
      <c r="F262" s="2" t="s">
        <v>492</v>
      </c>
      <c r="G262" s="2" t="s">
        <v>524</v>
      </c>
      <c r="H262" s="2" t="s">
        <v>368</v>
      </c>
      <c r="I262" s="2" t="s">
        <v>145</v>
      </c>
      <c r="J262" s="2" t="s">
        <v>369</v>
      </c>
      <c r="K262" s="10" t="b">
        <f aca="false">FALSE()</f>
        <v>0</v>
      </c>
      <c r="L262" s="10" t="b">
        <f aca="false">TRUE()</f>
        <v>1</v>
      </c>
      <c r="M262" s="2" t="s">
        <v>494</v>
      </c>
      <c r="N262" s="2" t="s">
        <v>371</v>
      </c>
      <c r="O262" s="2" t="s">
        <v>495</v>
      </c>
      <c r="P262" s="2" t="n">
        <v>30</v>
      </c>
      <c r="Q262" s="2" t="s">
        <v>496</v>
      </c>
      <c r="R262" s="11" t="s">
        <v>497</v>
      </c>
      <c r="S262" s="11" t="s">
        <v>498</v>
      </c>
      <c r="T262" s="2" t="s">
        <v>557</v>
      </c>
      <c r="U262" s="2" t="s">
        <v>153</v>
      </c>
      <c r="V262" s="2" t="s">
        <v>587</v>
      </c>
      <c r="W262" s="11" t="s">
        <v>645</v>
      </c>
      <c r="X262" s="2"/>
      <c r="Y262" s="2"/>
      <c r="Z262" s="2"/>
      <c r="AA262" s="2"/>
      <c r="AB262" s="2" t="s">
        <v>589</v>
      </c>
      <c r="AC262" s="2" t="s">
        <v>131</v>
      </c>
      <c r="AD262" s="2" t="s">
        <v>354</v>
      </c>
      <c r="AE262" s="10" t="b">
        <f aca="false">FALSE()</f>
        <v>0</v>
      </c>
      <c r="AF262" s="2" t="s">
        <v>133</v>
      </c>
      <c r="AG262" s="2" t="s">
        <v>158</v>
      </c>
      <c r="AH262" s="2" t="s">
        <v>135</v>
      </c>
      <c r="AI262" s="11" t="s">
        <v>502</v>
      </c>
      <c r="AJ262" s="2" t="s">
        <v>137</v>
      </c>
      <c r="AK262" s="2" t="s">
        <v>137</v>
      </c>
      <c r="AL262" s="2" t="s">
        <v>937</v>
      </c>
    </row>
    <row r="263" customFormat="false" ht="90" hidden="false" customHeight="true" outlineLevel="0" collapsed="false">
      <c r="A263" s="2" t="s">
        <v>938</v>
      </c>
      <c r="B263" s="2" t="s">
        <v>569</v>
      </c>
      <c r="C263" s="2" t="s">
        <v>474</v>
      </c>
      <c r="D263" s="9" t="n">
        <v>116</v>
      </c>
      <c r="E263" s="2" t="s">
        <v>491</v>
      </c>
      <c r="F263" s="2" t="s">
        <v>492</v>
      </c>
      <c r="G263" s="2" t="s">
        <v>524</v>
      </c>
      <c r="H263" s="2" t="s">
        <v>368</v>
      </c>
      <c r="I263" s="2" t="s">
        <v>145</v>
      </c>
      <c r="J263" s="2" t="s">
        <v>369</v>
      </c>
      <c r="K263" s="10" t="b">
        <f aca="false">FALSE()</f>
        <v>0</v>
      </c>
      <c r="L263" s="10" t="b">
        <f aca="false">TRUE()</f>
        <v>1</v>
      </c>
      <c r="M263" s="2" t="s">
        <v>494</v>
      </c>
      <c r="N263" s="2" t="s">
        <v>371</v>
      </c>
      <c r="O263" s="2" t="s">
        <v>495</v>
      </c>
      <c r="P263" s="2" t="n">
        <v>60</v>
      </c>
      <c r="Q263" s="2" t="s">
        <v>496</v>
      </c>
      <c r="R263" s="11" t="s">
        <v>497</v>
      </c>
      <c r="S263" s="11" t="s">
        <v>498</v>
      </c>
      <c r="T263" s="2" t="s">
        <v>219</v>
      </c>
      <c r="U263" s="2" t="s">
        <v>153</v>
      </c>
      <c r="V263" s="2" t="s">
        <v>570</v>
      </c>
      <c r="W263" s="11" t="s">
        <v>571</v>
      </c>
      <c r="X263" s="2"/>
      <c r="Y263" s="2"/>
      <c r="Z263" s="2"/>
      <c r="AA263" s="2"/>
      <c r="AB263" s="2" t="s">
        <v>572</v>
      </c>
      <c r="AC263" s="2" t="s">
        <v>157</v>
      </c>
      <c r="AD263" s="2" t="s">
        <v>132</v>
      </c>
      <c r="AE263" s="10" t="b">
        <f aca="false">FALSE()</f>
        <v>0</v>
      </c>
      <c r="AF263" s="2" t="s">
        <v>133</v>
      </c>
      <c r="AG263" s="2" t="s">
        <v>158</v>
      </c>
      <c r="AH263" s="2" t="s">
        <v>135</v>
      </c>
      <c r="AI263" s="11" t="s">
        <v>502</v>
      </c>
      <c r="AJ263" s="2" t="s">
        <v>137</v>
      </c>
      <c r="AK263" s="2" t="s">
        <v>137</v>
      </c>
      <c r="AL263" s="2" t="s">
        <v>939</v>
      </c>
    </row>
    <row r="264" customFormat="false" ht="90" hidden="false" customHeight="true" outlineLevel="0" collapsed="false">
      <c r="A264" s="2" t="s">
        <v>940</v>
      </c>
      <c r="B264" s="2" t="s">
        <v>569</v>
      </c>
      <c r="C264" s="2" t="s">
        <v>474</v>
      </c>
      <c r="D264" s="9" t="n">
        <v>116</v>
      </c>
      <c r="E264" s="2" t="s">
        <v>491</v>
      </c>
      <c r="F264" s="2" t="s">
        <v>492</v>
      </c>
      <c r="G264" s="2" t="s">
        <v>524</v>
      </c>
      <c r="H264" s="2" t="s">
        <v>368</v>
      </c>
      <c r="I264" s="2" t="s">
        <v>145</v>
      </c>
      <c r="J264" s="2" t="s">
        <v>369</v>
      </c>
      <c r="K264" s="10" t="b">
        <f aca="false">FALSE()</f>
        <v>0</v>
      </c>
      <c r="L264" s="10" t="b">
        <f aca="false">TRUE()</f>
        <v>1</v>
      </c>
      <c r="M264" s="2" t="s">
        <v>494</v>
      </c>
      <c r="N264" s="2" t="s">
        <v>371</v>
      </c>
      <c r="O264" s="2" t="s">
        <v>495</v>
      </c>
      <c r="P264" s="2" t="n">
        <v>60</v>
      </c>
      <c r="Q264" s="2" t="s">
        <v>496</v>
      </c>
      <c r="R264" s="11" t="s">
        <v>497</v>
      </c>
      <c r="S264" s="11" t="s">
        <v>498</v>
      </c>
      <c r="T264" s="2" t="s">
        <v>219</v>
      </c>
      <c r="U264" s="2" t="s">
        <v>153</v>
      </c>
      <c r="V264" s="2" t="s">
        <v>570</v>
      </c>
      <c r="W264" s="11" t="s">
        <v>571</v>
      </c>
      <c r="X264" s="2"/>
      <c r="Y264" s="2"/>
      <c r="Z264" s="2"/>
      <c r="AA264" s="2"/>
      <c r="AB264" s="2" t="s">
        <v>572</v>
      </c>
      <c r="AC264" s="2" t="s">
        <v>157</v>
      </c>
      <c r="AD264" s="2" t="s">
        <v>132</v>
      </c>
      <c r="AE264" s="10" t="b">
        <f aca="false">FALSE()</f>
        <v>0</v>
      </c>
      <c r="AF264" s="2" t="s">
        <v>133</v>
      </c>
      <c r="AG264" s="2" t="s">
        <v>158</v>
      </c>
      <c r="AH264" s="2" t="s">
        <v>135</v>
      </c>
      <c r="AI264" s="11" t="s">
        <v>502</v>
      </c>
      <c r="AJ264" s="2" t="s">
        <v>137</v>
      </c>
      <c r="AK264" s="2" t="s">
        <v>137</v>
      </c>
      <c r="AL264" s="2" t="s">
        <v>941</v>
      </c>
    </row>
    <row r="265" customFormat="false" ht="90" hidden="false" customHeight="true" outlineLevel="0" collapsed="false">
      <c r="A265" s="2" t="s">
        <v>942</v>
      </c>
      <c r="B265" s="2" t="s">
        <v>569</v>
      </c>
      <c r="C265" s="2" t="s">
        <v>474</v>
      </c>
      <c r="D265" s="9" t="n">
        <v>113</v>
      </c>
      <c r="E265" s="2" t="s">
        <v>491</v>
      </c>
      <c r="F265" s="2" t="s">
        <v>492</v>
      </c>
      <c r="G265" s="2" t="s">
        <v>524</v>
      </c>
      <c r="H265" s="2" t="s">
        <v>368</v>
      </c>
      <c r="I265" s="2" t="s">
        <v>145</v>
      </c>
      <c r="J265" s="2" t="s">
        <v>369</v>
      </c>
      <c r="K265" s="10" t="b">
        <f aca="false">FALSE()</f>
        <v>0</v>
      </c>
      <c r="L265" s="10" t="b">
        <f aca="false">TRUE()</f>
        <v>1</v>
      </c>
      <c r="M265" s="2" t="s">
        <v>494</v>
      </c>
      <c r="N265" s="2" t="s">
        <v>371</v>
      </c>
      <c r="O265" s="2" t="s">
        <v>495</v>
      </c>
      <c r="P265" s="2" t="n">
        <v>60</v>
      </c>
      <c r="Q265" s="2" t="s">
        <v>496</v>
      </c>
      <c r="R265" s="11" t="s">
        <v>497</v>
      </c>
      <c r="S265" s="11" t="s">
        <v>498</v>
      </c>
      <c r="T265" s="2" t="s">
        <v>219</v>
      </c>
      <c r="U265" s="2" t="s">
        <v>153</v>
      </c>
      <c r="V265" s="2" t="s">
        <v>570</v>
      </c>
      <c r="W265" s="11" t="s">
        <v>571</v>
      </c>
      <c r="X265" s="2"/>
      <c r="Y265" s="2"/>
      <c r="Z265" s="2"/>
      <c r="AA265" s="2"/>
      <c r="AB265" s="2" t="s">
        <v>572</v>
      </c>
      <c r="AC265" s="2" t="s">
        <v>157</v>
      </c>
      <c r="AD265" s="2" t="s">
        <v>132</v>
      </c>
      <c r="AE265" s="10" t="b">
        <f aca="false">FALSE()</f>
        <v>0</v>
      </c>
      <c r="AF265" s="2" t="s">
        <v>133</v>
      </c>
      <c r="AG265" s="2" t="s">
        <v>158</v>
      </c>
      <c r="AH265" s="2" t="s">
        <v>135</v>
      </c>
      <c r="AI265" s="11" t="s">
        <v>502</v>
      </c>
      <c r="AJ265" s="2" t="s">
        <v>137</v>
      </c>
      <c r="AK265" s="2" t="s">
        <v>137</v>
      </c>
      <c r="AL265" s="2" t="s">
        <v>943</v>
      </c>
    </row>
    <row r="266" customFormat="false" ht="90" hidden="false" customHeight="true" outlineLevel="0" collapsed="false">
      <c r="A266" s="2" t="s">
        <v>944</v>
      </c>
      <c r="B266" s="2" t="s">
        <v>569</v>
      </c>
      <c r="C266" s="2" t="s">
        <v>474</v>
      </c>
      <c r="D266" s="9" t="n">
        <v>112</v>
      </c>
      <c r="E266" s="2" t="s">
        <v>491</v>
      </c>
      <c r="F266" s="2" t="s">
        <v>492</v>
      </c>
      <c r="G266" s="2" t="s">
        <v>524</v>
      </c>
      <c r="H266" s="2" t="s">
        <v>368</v>
      </c>
      <c r="I266" s="2" t="s">
        <v>145</v>
      </c>
      <c r="J266" s="2" t="s">
        <v>369</v>
      </c>
      <c r="K266" s="10" t="b">
        <f aca="false">FALSE()</f>
        <v>0</v>
      </c>
      <c r="L266" s="10" t="b">
        <f aca="false">FALSE()</f>
        <v>0</v>
      </c>
      <c r="M266" s="2" t="s">
        <v>494</v>
      </c>
      <c r="N266" s="2" t="s">
        <v>371</v>
      </c>
      <c r="O266" s="2" t="s">
        <v>495</v>
      </c>
      <c r="P266" s="2" t="n">
        <v>60</v>
      </c>
      <c r="Q266" s="2" t="s">
        <v>496</v>
      </c>
      <c r="R266" s="11" t="s">
        <v>497</v>
      </c>
      <c r="S266" s="11" t="s">
        <v>498</v>
      </c>
      <c r="T266" s="2" t="s">
        <v>219</v>
      </c>
      <c r="U266" s="2" t="s">
        <v>153</v>
      </c>
      <c r="V266" s="2" t="s">
        <v>570</v>
      </c>
      <c r="W266" s="11" t="s">
        <v>571</v>
      </c>
      <c r="X266" s="2"/>
      <c r="Y266" s="2"/>
      <c r="Z266" s="2"/>
      <c r="AA266" s="2"/>
      <c r="AB266" s="2" t="s">
        <v>572</v>
      </c>
      <c r="AC266" s="2" t="s">
        <v>157</v>
      </c>
      <c r="AD266" s="2" t="s">
        <v>132</v>
      </c>
      <c r="AE266" s="10" t="b">
        <f aca="false">FALSE()</f>
        <v>0</v>
      </c>
      <c r="AF266" s="2" t="s">
        <v>133</v>
      </c>
      <c r="AG266" s="2" t="s">
        <v>158</v>
      </c>
      <c r="AH266" s="2" t="s">
        <v>135</v>
      </c>
      <c r="AI266" s="11" t="s">
        <v>502</v>
      </c>
      <c r="AJ266" s="2" t="s">
        <v>137</v>
      </c>
      <c r="AK266" s="2" t="s">
        <v>137</v>
      </c>
      <c r="AL266" s="2" t="s">
        <v>945</v>
      </c>
    </row>
    <row r="267" customFormat="false" ht="90" hidden="false" customHeight="true" outlineLevel="0" collapsed="false">
      <c r="A267" s="2" t="s">
        <v>946</v>
      </c>
      <c r="B267" s="2" t="s">
        <v>569</v>
      </c>
      <c r="C267" s="2" t="s">
        <v>474</v>
      </c>
      <c r="D267" s="9" t="n">
        <v>109</v>
      </c>
      <c r="E267" s="2" t="s">
        <v>491</v>
      </c>
      <c r="F267" s="2" t="s">
        <v>492</v>
      </c>
      <c r="G267" s="2" t="s">
        <v>524</v>
      </c>
      <c r="H267" s="2" t="s">
        <v>368</v>
      </c>
      <c r="I267" s="2" t="s">
        <v>145</v>
      </c>
      <c r="J267" s="2" t="s">
        <v>369</v>
      </c>
      <c r="K267" s="10" t="b">
        <f aca="false">FALSE()</f>
        <v>0</v>
      </c>
      <c r="L267" s="10" t="b">
        <f aca="false">TRUE()</f>
        <v>1</v>
      </c>
      <c r="M267" s="2" t="s">
        <v>494</v>
      </c>
      <c r="N267" s="2" t="s">
        <v>371</v>
      </c>
      <c r="O267" s="2" t="s">
        <v>495</v>
      </c>
      <c r="P267" s="2" t="n">
        <v>60</v>
      </c>
      <c r="Q267" s="2" t="s">
        <v>496</v>
      </c>
      <c r="R267" s="11" t="s">
        <v>497</v>
      </c>
      <c r="S267" s="11" t="s">
        <v>498</v>
      </c>
      <c r="T267" s="2" t="s">
        <v>219</v>
      </c>
      <c r="U267" s="2" t="s">
        <v>153</v>
      </c>
      <c r="V267" s="2" t="s">
        <v>570</v>
      </c>
      <c r="W267" s="11" t="s">
        <v>571</v>
      </c>
      <c r="X267" s="2"/>
      <c r="Y267" s="2"/>
      <c r="Z267" s="2"/>
      <c r="AA267" s="2"/>
      <c r="AB267" s="2" t="s">
        <v>572</v>
      </c>
      <c r="AC267" s="2" t="s">
        <v>157</v>
      </c>
      <c r="AD267" s="2" t="s">
        <v>132</v>
      </c>
      <c r="AE267" s="10" t="b">
        <f aca="false">FALSE()</f>
        <v>0</v>
      </c>
      <c r="AF267" s="2" t="s">
        <v>133</v>
      </c>
      <c r="AG267" s="2" t="s">
        <v>158</v>
      </c>
      <c r="AH267" s="2" t="s">
        <v>135</v>
      </c>
      <c r="AI267" s="11" t="s">
        <v>502</v>
      </c>
      <c r="AJ267" s="2" t="s">
        <v>137</v>
      </c>
      <c r="AK267" s="2" t="s">
        <v>137</v>
      </c>
      <c r="AL267" s="2" t="s">
        <v>947</v>
      </c>
    </row>
    <row r="268" customFormat="false" ht="90" hidden="false" customHeight="true" outlineLevel="0" collapsed="false">
      <c r="A268" s="2" t="s">
        <v>948</v>
      </c>
      <c r="B268" s="2" t="s">
        <v>569</v>
      </c>
      <c r="C268" s="2" t="s">
        <v>474</v>
      </c>
      <c r="D268" s="9" t="n">
        <v>107</v>
      </c>
      <c r="E268" s="2" t="s">
        <v>491</v>
      </c>
      <c r="F268" s="2" t="s">
        <v>492</v>
      </c>
      <c r="G268" s="2" t="s">
        <v>524</v>
      </c>
      <c r="H268" s="2" t="s">
        <v>368</v>
      </c>
      <c r="I268" s="2" t="s">
        <v>145</v>
      </c>
      <c r="J268" s="2" t="s">
        <v>369</v>
      </c>
      <c r="K268" s="10" t="b">
        <f aca="false">FALSE()</f>
        <v>0</v>
      </c>
      <c r="L268" s="10" t="b">
        <f aca="false">TRUE()</f>
        <v>1</v>
      </c>
      <c r="M268" s="2" t="s">
        <v>494</v>
      </c>
      <c r="N268" s="2" t="s">
        <v>371</v>
      </c>
      <c r="O268" s="2" t="s">
        <v>495</v>
      </c>
      <c r="P268" s="2" t="n">
        <v>30</v>
      </c>
      <c r="Q268" s="2" t="s">
        <v>496</v>
      </c>
      <c r="R268" s="11" t="s">
        <v>497</v>
      </c>
      <c r="S268" s="11" t="s">
        <v>498</v>
      </c>
      <c r="T268" s="2" t="s">
        <v>557</v>
      </c>
      <c r="U268" s="2" t="s">
        <v>153</v>
      </c>
      <c r="V268" s="2" t="s">
        <v>587</v>
      </c>
      <c r="W268" s="11" t="s">
        <v>645</v>
      </c>
      <c r="X268" s="2"/>
      <c r="Y268" s="2"/>
      <c r="Z268" s="2"/>
      <c r="AA268" s="2"/>
      <c r="AB268" s="2" t="s">
        <v>589</v>
      </c>
      <c r="AC268" s="2" t="s">
        <v>131</v>
      </c>
      <c r="AD268" s="2" t="s">
        <v>354</v>
      </c>
      <c r="AE268" s="10" t="b">
        <f aca="false">FALSE()</f>
        <v>0</v>
      </c>
      <c r="AF268" s="2" t="s">
        <v>133</v>
      </c>
      <c r="AG268" s="2" t="s">
        <v>158</v>
      </c>
      <c r="AH268" s="2" t="s">
        <v>135</v>
      </c>
      <c r="AI268" s="11" t="s">
        <v>502</v>
      </c>
      <c r="AJ268" s="2" t="s">
        <v>137</v>
      </c>
      <c r="AK268" s="2" t="s">
        <v>137</v>
      </c>
      <c r="AL268" s="2" t="s">
        <v>949</v>
      </c>
    </row>
    <row r="269" customFormat="false" ht="90" hidden="false" customHeight="true" outlineLevel="0" collapsed="false">
      <c r="A269" s="2" t="s">
        <v>950</v>
      </c>
      <c r="B269" s="2" t="s">
        <v>569</v>
      </c>
      <c r="C269" s="2" t="s">
        <v>474</v>
      </c>
      <c r="D269" s="9" t="n">
        <v>106</v>
      </c>
      <c r="E269" s="2" t="s">
        <v>491</v>
      </c>
      <c r="F269" s="2" t="s">
        <v>492</v>
      </c>
      <c r="G269" s="2" t="s">
        <v>524</v>
      </c>
      <c r="H269" s="2" t="s">
        <v>368</v>
      </c>
      <c r="I269" s="2" t="s">
        <v>145</v>
      </c>
      <c r="J269" s="2" t="s">
        <v>369</v>
      </c>
      <c r="K269" s="10" t="b">
        <f aca="false">FALSE()</f>
        <v>0</v>
      </c>
      <c r="L269" s="10" t="b">
        <f aca="false">TRUE()</f>
        <v>1</v>
      </c>
      <c r="M269" s="2" t="s">
        <v>494</v>
      </c>
      <c r="N269" s="2" t="s">
        <v>371</v>
      </c>
      <c r="O269" s="2" t="s">
        <v>495</v>
      </c>
      <c r="P269" s="2" t="n">
        <v>60</v>
      </c>
      <c r="Q269" s="2" t="s">
        <v>496</v>
      </c>
      <c r="R269" s="11" t="s">
        <v>497</v>
      </c>
      <c r="S269" s="11" t="s">
        <v>498</v>
      </c>
      <c r="T269" s="2" t="s">
        <v>219</v>
      </c>
      <c r="U269" s="2" t="s">
        <v>153</v>
      </c>
      <c r="V269" s="2" t="s">
        <v>570</v>
      </c>
      <c r="W269" s="11" t="s">
        <v>571</v>
      </c>
      <c r="X269" s="2"/>
      <c r="Y269" s="2"/>
      <c r="Z269" s="2"/>
      <c r="AA269" s="2"/>
      <c r="AB269" s="2" t="s">
        <v>572</v>
      </c>
      <c r="AC269" s="2" t="s">
        <v>157</v>
      </c>
      <c r="AD269" s="2" t="s">
        <v>132</v>
      </c>
      <c r="AE269" s="10" t="b">
        <f aca="false">FALSE()</f>
        <v>0</v>
      </c>
      <c r="AF269" s="2" t="s">
        <v>133</v>
      </c>
      <c r="AG269" s="2" t="s">
        <v>158</v>
      </c>
      <c r="AH269" s="2" t="s">
        <v>135</v>
      </c>
      <c r="AI269" s="11" t="s">
        <v>502</v>
      </c>
      <c r="AJ269" s="2" t="s">
        <v>137</v>
      </c>
      <c r="AK269" s="2" t="s">
        <v>137</v>
      </c>
      <c r="AL269" s="2" t="s">
        <v>951</v>
      </c>
    </row>
    <row r="270" customFormat="false" ht="90" hidden="false" customHeight="true" outlineLevel="0" collapsed="false">
      <c r="A270" s="2" t="s">
        <v>952</v>
      </c>
      <c r="B270" s="2" t="s">
        <v>569</v>
      </c>
      <c r="C270" s="2" t="s">
        <v>474</v>
      </c>
      <c r="D270" s="9" t="n">
        <v>106</v>
      </c>
      <c r="E270" s="2" t="s">
        <v>491</v>
      </c>
      <c r="F270" s="2" t="s">
        <v>492</v>
      </c>
      <c r="G270" s="2" t="s">
        <v>524</v>
      </c>
      <c r="H270" s="2" t="s">
        <v>368</v>
      </c>
      <c r="I270" s="2" t="s">
        <v>145</v>
      </c>
      <c r="J270" s="2" t="s">
        <v>369</v>
      </c>
      <c r="K270" s="10" t="b">
        <f aca="false">FALSE()</f>
        <v>0</v>
      </c>
      <c r="L270" s="10" t="b">
        <f aca="false">TRUE()</f>
        <v>1</v>
      </c>
      <c r="M270" s="2" t="s">
        <v>494</v>
      </c>
      <c r="N270" s="2" t="s">
        <v>371</v>
      </c>
      <c r="O270" s="2" t="s">
        <v>495</v>
      </c>
      <c r="P270" s="2" t="n">
        <v>30</v>
      </c>
      <c r="Q270" s="2" t="s">
        <v>496</v>
      </c>
      <c r="R270" s="11" t="s">
        <v>497</v>
      </c>
      <c r="S270" s="11" t="s">
        <v>498</v>
      </c>
      <c r="T270" s="2" t="s">
        <v>219</v>
      </c>
      <c r="U270" s="2" t="s">
        <v>153</v>
      </c>
      <c r="V270" s="2" t="s">
        <v>587</v>
      </c>
      <c r="W270" s="11" t="s">
        <v>645</v>
      </c>
      <c r="X270" s="2"/>
      <c r="Y270" s="2"/>
      <c r="Z270" s="2"/>
      <c r="AA270" s="2"/>
      <c r="AB270" s="2" t="s">
        <v>589</v>
      </c>
      <c r="AC270" s="2" t="s">
        <v>157</v>
      </c>
      <c r="AD270" s="2" t="s">
        <v>354</v>
      </c>
      <c r="AE270" s="10" t="b">
        <f aca="false">FALSE()</f>
        <v>0</v>
      </c>
      <c r="AF270" s="2" t="s">
        <v>133</v>
      </c>
      <c r="AG270" s="2" t="s">
        <v>158</v>
      </c>
      <c r="AH270" s="2" t="s">
        <v>135</v>
      </c>
      <c r="AI270" s="11" t="s">
        <v>502</v>
      </c>
      <c r="AJ270" s="2" t="s">
        <v>137</v>
      </c>
      <c r="AK270" s="2" t="s">
        <v>137</v>
      </c>
      <c r="AL270" s="2" t="s">
        <v>953</v>
      </c>
    </row>
    <row r="271" customFormat="false" ht="90" hidden="false" customHeight="true" outlineLevel="0" collapsed="false">
      <c r="A271" s="2" t="s">
        <v>954</v>
      </c>
      <c r="B271" s="2" t="s">
        <v>569</v>
      </c>
      <c r="C271" s="2" t="s">
        <v>474</v>
      </c>
      <c r="D271" s="9" t="n">
        <v>104</v>
      </c>
      <c r="E271" s="2" t="s">
        <v>491</v>
      </c>
      <c r="F271" s="2" t="s">
        <v>492</v>
      </c>
      <c r="G271" s="2" t="s">
        <v>524</v>
      </c>
      <c r="H271" s="2" t="s">
        <v>368</v>
      </c>
      <c r="I271" s="2" t="s">
        <v>145</v>
      </c>
      <c r="J271" s="2" t="s">
        <v>369</v>
      </c>
      <c r="K271" s="10" t="b">
        <f aca="false">FALSE()</f>
        <v>0</v>
      </c>
      <c r="L271" s="10" t="b">
        <f aca="false">FALSE()</f>
        <v>0</v>
      </c>
      <c r="M271" s="2" t="s">
        <v>494</v>
      </c>
      <c r="N271" s="2" t="s">
        <v>371</v>
      </c>
      <c r="O271" s="2" t="s">
        <v>495</v>
      </c>
      <c r="P271" s="2" t="n">
        <v>30</v>
      </c>
      <c r="Q271" s="2" t="s">
        <v>496</v>
      </c>
      <c r="R271" s="11" t="s">
        <v>497</v>
      </c>
      <c r="S271" s="11" t="s">
        <v>498</v>
      </c>
      <c r="T271" s="2" t="s">
        <v>632</v>
      </c>
      <c r="U271" s="2" t="s">
        <v>153</v>
      </c>
      <c r="V271" s="2" t="s">
        <v>606</v>
      </c>
      <c r="W271" s="11" t="s">
        <v>607</v>
      </c>
      <c r="X271" s="2"/>
      <c r="Y271" s="2"/>
      <c r="Z271" s="2"/>
      <c r="AA271" s="2"/>
      <c r="AB271" s="2" t="s">
        <v>608</v>
      </c>
      <c r="AC271" s="2" t="s">
        <v>131</v>
      </c>
      <c r="AD271" s="2" t="s">
        <v>440</v>
      </c>
      <c r="AE271" s="10" t="b">
        <f aca="false">FALSE()</f>
        <v>0</v>
      </c>
      <c r="AF271" s="2" t="s">
        <v>133</v>
      </c>
      <c r="AG271" s="2" t="s">
        <v>158</v>
      </c>
      <c r="AH271" s="2" t="s">
        <v>135</v>
      </c>
      <c r="AI271" s="11" t="s">
        <v>502</v>
      </c>
      <c r="AJ271" s="2" t="s">
        <v>137</v>
      </c>
      <c r="AK271" s="2" t="s">
        <v>137</v>
      </c>
      <c r="AL271" s="2" t="s">
        <v>955</v>
      </c>
    </row>
    <row r="272" customFormat="false" ht="90" hidden="false" customHeight="true" outlineLevel="0" collapsed="false">
      <c r="A272" s="2" t="s">
        <v>956</v>
      </c>
      <c r="B272" s="2" t="s">
        <v>569</v>
      </c>
      <c r="C272" s="2" t="s">
        <v>474</v>
      </c>
      <c r="D272" s="9" t="n">
        <v>103</v>
      </c>
      <c r="E272" s="2" t="s">
        <v>491</v>
      </c>
      <c r="F272" s="2" t="s">
        <v>492</v>
      </c>
      <c r="G272" s="2" t="s">
        <v>524</v>
      </c>
      <c r="H272" s="2" t="s">
        <v>368</v>
      </c>
      <c r="I272" s="2" t="s">
        <v>145</v>
      </c>
      <c r="J272" s="2" t="s">
        <v>369</v>
      </c>
      <c r="K272" s="10" t="b">
        <f aca="false">FALSE()</f>
        <v>0</v>
      </c>
      <c r="L272" s="10" t="b">
        <f aca="false">TRUE()</f>
        <v>1</v>
      </c>
      <c r="M272" s="2" t="s">
        <v>494</v>
      </c>
      <c r="N272" s="2" t="s">
        <v>371</v>
      </c>
      <c r="O272" s="2" t="s">
        <v>495</v>
      </c>
      <c r="P272" s="2" t="n">
        <v>60</v>
      </c>
      <c r="Q272" s="2" t="s">
        <v>496</v>
      </c>
      <c r="R272" s="11" t="s">
        <v>497</v>
      </c>
      <c r="S272" s="11" t="s">
        <v>498</v>
      </c>
      <c r="T272" s="2" t="s">
        <v>219</v>
      </c>
      <c r="U272" s="2" t="s">
        <v>153</v>
      </c>
      <c r="V272" s="2" t="s">
        <v>570</v>
      </c>
      <c r="W272" s="11" t="s">
        <v>571</v>
      </c>
      <c r="X272" s="2"/>
      <c r="Y272" s="2"/>
      <c r="Z272" s="2"/>
      <c r="AA272" s="2"/>
      <c r="AB272" s="2" t="s">
        <v>572</v>
      </c>
      <c r="AC272" s="2" t="s">
        <v>157</v>
      </c>
      <c r="AD272" s="2" t="s">
        <v>132</v>
      </c>
      <c r="AE272" s="10" t="b">
        <f aca="false">FALSE()</f>
        <v>0</v>
      </c>
      <c r="AF272" s="2" t="s">
        <v>133</v>
      </c>
      <c r="AG272" s="2" t="s">
        <v>158</v>
      </c>
      <c r="AH272" s="2" t="s">
        <v>135</v>
      </c>
      <c r="AI272" s="11" t="s">
        <v>502</v>
      </c>
      <c r="AJ272" s="2" t="s">
        <v>137</v>
      </c>
      <c r="AK272" s="2" t="s">
        <v>137</v>
      </c>
      <c r="AL272" s="2" t="s">
        <v>957</v>
      </c>
    </row>
    <row r="273" customFormat="false" ht="90" hidden="false" customHeight="true" outlineLevel="0" collapsed="false">
      <c r="A273" s="2" t="s">
        <v>958</v>
      </c>
      <c r="B273" s="2" t="s">
        <v>569</v>
      </c>
      <c r="C273" s="2" t="s">
        <v>474</v>
      </c>
      <c r="D273" s="9" t="n">
        <v>101</v>
      </c>
      <c r="E273" s="2" t="s">
        <v>491</v>
      </c>
      <c r="F273" s="2" t="s">
        <v>492</v>
      </c>
      <c r="G273" s="2" t="s">
        <v>524</v>
      </c>
      <c r="H273" s="2" t="s">
        <v>368</v>
      </c>
      <c r="I273" s="2" t="s">
        <v>145</v>
      </c>
      <c r="J273" s="2" t="s">
        <v>369</v>
      </c>
      <c r="K273" s="10" t="b">
        <f aca="false">FALSE()</f>
        <v>0</v>
      </c>
      <c r="L273" s="10" t="b">
        <f aca="false">TRUE()</f>
        <v>1</v>
      </c>
      <c r="M273" s="2" t="s">
        <v>494</v>
      </c>
      <c r="N273" s="2" t="s">
        <v>371</v>
      </c>
      <c r="O273" s="2" t="s">
        <v>495</v>
      </c>
      <c r="P273" s="2" t="n">
        <v>60</v>
      </c>
      <c r="Q273" s="2" t="s">
        <v>496</v>
      </c>
      <c r="R273" s="11" t="s">
        <v>497</v>
      </c>
      <c r="S273" s="11" t="s">
        <v>498</v>
      </c>
      <c r="T273" s="2" t="s">
        <v>219</v>
      </c>
      <c r="U273" s="2" t="s">
        <v>153</v>
      </c>
      <c r="V273" s="2" t="s">
        <v>570</v>
      </c>
      <c r="W273" s="11" t="s">
        <v>571</v>
      </c>
      <c r="X273" s="2"/>
      <c r="Y273" s="2"/>
      <c r="Z273" s="2"/>
      <c r="AA273" s="2"/>
      <c r="AB273" s="2" t="s">
        <v>572</v>
      </c>
      <c r="AC273" s="2" t="s">
        <v>157</v>
      </c>
      <c r="AD273" s="2" t="s">
        <v>132</v>
      </c>
      <c r="AE273" s="10" t="b">
        <f aca="false">FALSE()</f>
        <v>0</v>
      </c>
      <c r="AF273" s="2" t="s">
        <v>133</v>
      </c>
      <c r="AG273" s="2" t="s">
        <v>158</v>
      </c>
      <c r="AH273" s="2" t="s">
        <v>135</v>
      </c>
      <c r="AI273" s="11" t="s">
        <v>502</v>
      </c>
      <c r="AJ273" s="2" t="s">
        <v>137</v>
      </c>
      <c r="AK273" s="2" t="s">
        <v>137</v>
      </c>
      <c r="AL273" s="2" t="s">
        <v>959</v>
      </c>
    </row>
    <row r="274" customFormat="false" ht="90" hidden="false" customHeight="true" outlineLevel="0" collapsed="false">
      <c r="A274" s="2" t="s">
        <v>960</v>
      </c>
      <c r="B274" s="2" t="s">
        <v>569</v>
      </c>
      <c r="C274" s="2" t="s">
        <v>474</v>
      </c>
      <c r="D274" s="9" t="n">
        <v>98</v>
      </c>
      <c r="E274" s="2" t="s">
        <v>491</v>
      </c>
      <c r="F274" s="2" t="s">
        <v>492</v>
      </c>
      <c r="G274" s="2" t="s">
        <v>524</v>
      </c>
      <c r="H274" s="2" t="s">
        <v>368</v>
      </c>
      <c r="I274" s="2" t="s">
        <v>145</v>
      </c>
      <c r="J274" s="2" t="s">
        <v>369</v>
      </c>
      <c r="K274" s="10" t="b">
        <f aca="false">FALSE()</f>
        <v>0</v>
      </c>
      <c r="L274" s="10" t="b">
        <f aca="false">FALSE()</f>
        <v>0</v>
      </c>
      <c r="M274" s="2" t="s">
        <v>494</v>
      </c>
      <c r="N274" s="2" t="s">
        <v>371</v>
      </c>
      <c r="O274" s="2" t="s">
        <v>495</v>
      </c>
      <c r="P274" s="2" t="n">
        <v>30</v>
      </c>
      <c r="Q274" s="2" t="s">
        <v>496</v>
      </c>
      <c r="R274" s="11" t="s">
        <v>497</v>
      </c>
      <c r="S274" s="11" t="s">
        <v>498</v>
      </c>
      <c r="T274" s="2" t="s">
        <v>632</v>
      </c>
      <c r="U274" s="2" t="s">
        <v>153</v>
      </c>
      <c r="V274" s="2" t="s">
        <v>606</v>
      </c>
      <c r="W274" s="11" t="s">
        <v>607</v>
      </c>
      <c r="X274" s="2"/>
      <c r="Y274" s="2"/>
      <c r="Z274" s="2"/>
      <c r="AA274" s="2"/>
      <c r="AB274" s="2" t="s">
        <v>608</v>
      </c>
      <c r="AC274" s="2" t="s">
        <v>131</v>
      </c>
      <c r="AD274" s="2" t="s">
        <v>440</v>
      </c>
      <c r="AE274" s="10" t="b">
        <f aca="false">FALSE()</f>
        <v>0</v>
      </c>
      <c r="AF274" s="2" t="s">
        <v>133</v>
      </c>
      <c r="AG274" s="2" t="s">
        <v>158</v>
      </c>
      <c r="AH274" s="2" t="s">
        <v>135</v>
      </c>
      <c r="AI274" s="11" t="s">
        <v>502</v>
      </c>
      <c r="AJ274" s="2" t="s">
        <v>137</v>
      </c>
      <c r="AK274" s="2" t="s">
        <v>137</v>
      </c>
      <c r="AL274" s="2" t="s">
        <v>961</v>
      </c>
    </row>
    <row r="275" customFormat="false" ht="90" hidden="false" customHeight="true" outlineLevel="0" collapsed="false">
      <c r="A275" s="2" t="s">
        <v>962</v>
      </c>
      <c r="B275" s="2" t="s">
        <v>569</v>
      </c>
      <c r="C275" s="2" t="s">
        <v>474</v>
      </c>
      <c r="D275" s="9" t="n">
        <v>97</v>
      </c>
      <c r="E275" s="2" t="s">
        <v>491</v>
      </c>
      <c r="F275" s="2" t="s">
        <v>492</v>
      </c>
      <c r="G275" s="2" t="s">
        <v>524</v>
      </c>
      <c r="H275" s="2" t="s">
        <v>368</v>
      </c>
      <c r="I275" s="2" t="s">
        <v>145</v>
      </c>
      <c r="J275" s="2" t="s">
        <v>369</v>
      </c>
      <c r="K275" s="10" t="b">
        <f aca="false">FALSE()</f>
        <v>0</v>
      </c>
      <c r="L275" s="10" t="b">
        <f aca="false">TRUE()</f>
        <v>1</v>
      </c>
      <c r="M275" s="2" t="s">
        <v>494</v>
      </c>
      <c r="N275" s="2" t="s">
        <v>371</v>
      </c>
      <c r="O275" s="2" t="s">
        <v>495</v>
      </c>
      <c r="P275" s="2" t="n">
        <v>60</v>
      </c>
      <c r="Q275" s="2" t="s">
        <v>496</v>
      </c>
      <c r="R275" s="11" t="s">
        <v>497</v>
      </c>
      <c r="S275" s="11" t="s">
        <v>498</v>
      </c>
      <c r="T275" s="2" t="s">
        <v>219</v>
      </c>
      <c r="U275" s="2" t="s">
        <v>153</v>
      </c>
      <c r="V275" s="2" t="s">
        <v>570</v>
      </c>
      <c r="W275" s="11" t="s">
        <v>571</v>
      </c>
      <c r="X275" s="2"/>
      <c r="Y275" s="2"/>
      <c r="Z275" s="2"/>
      <c r="AA275" s="2"/>
      <c r="AB275" s="2" t="s">
        <v>572</v>
      </c>
      <c r="AC275" s="2" t="s">
        <v>157</v>
      </c>
      <c r="AD275" s="2" t="s">
        <v>132</v>
      </c>
      <c r="AE275" s="10" t="b">
        <f aca="false">FALSE()</f>
        <v>0</v>
      </c>
      <c r="AF275" s="2" t="s">
        <v>133</v>
      </c>
      <c r="AG275" s="2" t="s">
        <v>158</v>
      </c>
      <c r="AH275" s="2" t="s">
        <v>135</v>
      </c>
      <c r="AI275" s="11" t="s">
        <v>502</v>
      </c>
      <c r="AJ275" s="2" t="s">
        <v>137</v>
      </c>
      <c r="AK275" s="2" t="s">
        <v>137</v>
      </c>
      <c r="AL275" s="2" t="s">
        <v>963</v>
      </c>
    </row>
    <row r="276" customFormat="false" ht="90" hidden="false" customHeight="true" outlineLevel="0" collapsed="false">
      <c r="A276" s="2" t="s">
        <v>964</v>
      </c>
      <c r="B276" s="2" t="s">
        <v>569</v>
      </c>
      <c r="C276" s="2" t="s">
        <v>474</v>
      </c>
      <c r="D276" s="9" t="n">
        <v>96</v>
      </c>
      <c r="E276" s="2" t="s">
        <v>491</v>
      </c>
      <c r="F276" s="2" t="s">
        <v>492</v>
      </c>
      <c r="G276" s="2" t="s">
        <v>524</v>
      </c>
      <c r="H276" s="2" t="s">
        <v>368</v>
      </c>
      <c r="I276" s="2" t="s">
        <v>145</v>
      </c>
      <c r="J276" s="2" t="s">
        <v>369</v>
      </c>
      <c r="K276" s="10" t="b">
        <f aca="false">FALSE()</f>
        <v>0</v>
      </c>
      <c r="L276" s="10" t="b">
        <f aca="false">TRUE()</f>
        <v>1</v>
      </c>
      <c r="M276" s="2" t="s">
        <v>494</v>
      </c>
      <c r="N276" s="2" t="s">
        <v>371</v>
      </c>
      <c r="O276" s="2" t="s">
        <v>495</v>
      </c>
      <c r="P276" s="2" t="n">
        <v>60</v>
      </c>
      <c r="Q276" s="2" t="s">
        <v>496</v>
      </c>
      <c r="R276" s="11" t="s">
        <v>497</v>
      </c>
      <c r="S276" s="11" t="s">
        <v>498</v>
      </c>
      <c r="T276" s="2" t="s">
        <v>219</v>
      </c>
      <c r="U276" s="2" t="s">
        <v>153</v>
      </c>
      <c r="V276" s="2" t="s">
        <v>570</v>
      </c>
      <c r="W276" s="11" t="s">
        <v>571</v>
      </c>
      <c r="X276" s="2"/>
      <c r="Y276" s="2"/>
      <c r="Z276" s="2"/>
      <c r="AA276" s="2"/>
      <c r="AB276" s="2" t="s">
        <v>572</v>
      </c>
      <c r="AC276" s="2" t="s">
        <v>157</v>
      </c>
      <c r="AD276" s="2" t="s">
        <v>132</v>
      </c>
      <c r="AE276" s="10" t="b">
        <f aca="false">FALSE()</f>
        <v>0</v>
      </c>
      <c r="AF276" s="2" t="s">
        <v>133</v>
      </c>
      <c r="AG276" s="2" t="s">
        <v>158</v>
      </c>
      <c r="AH276" s="2" t="s">
        <v>135</v>
      </c>
      <c r="AI276" s="11" t="s">
        <v>502</v>
      </c>
      <c r="AJ276" s="2" t="s">
        <v>137</v>
      </c>
      <c r="AK276" s="2" t="s">
        <v>137</v>
      </c>
      <c r="AL276" s="2" t="s">
        <v>965</v>
      </c>
    </row>
    <row r="277" customFormat="false" ht="90" hidden="false" customHeight="true" outlineLevel="0" collapsed="false">
      <c r="A277" s="2" t="s">
        <v>966</v>
      </c>
      <c r="B277" s="2" t="s">
        <v>569</v>
      </c>
      <c r="C277" s="2" t="s">
        <v>474</v>
      </c>
      <c r="D277" s="9" t="n">
        <v>96</v>
      </c>
      <c r="E277" s="2" t="s">
        <v>491</v>
      </c>
      <c r="F277" s="2" t="s">
        <v>492</v>
      </c>
      <c r="G277" s="2" t="s">
        <v>524</v>
      </c>
      <c r="H277" s="2" t="s">
        <v>368</v>
      </c>
      <c r="I277" s="2" t="s">
        <v>145</v>
      </c>
      <c r="J277" s="2" t="s">
        <v>369</v>
      </c>
      <c r="K277" s="10" t="b">
        <f aca="false">FALSE()</f>
        <v>0</v>
      </c>
      <c r="L277" s="10" t="b">
        <f aca="false">TRUE()</f>
        <v>1</v>
      </c>
      <c r="M277" s="2" t="s">
        <v>494</v>
      </c>
      <c r="N277" s="2" t="s">
        <v>371</v>
      </c>
      <c r="O277" s="2" t="s">
        <v>495</v>
      </c>
      <c r="P277" s="2" t="n">
        <v>60</v>
      </c>
      <c r="Q277" s="2" t="s">
        <v>496</v>
      </c>
      <c r="R277" s="11" t="s">
        <v>497</v>
      </c>
      <c r="S277" s="11" t="s">
        <v>498</v>
      </c>
      <c r="T277" s="2" t="s">
        <v>219</v>
      </c>
      <c r="U277" s="2" t="s">
        <v>153</v>
      </c>
      <c r="V277" s="2" t="s">
        <v>570</v>
      </c>
      <c r="W277" s="11" t="s">
        <v>571</v>
      </c>
      <c r="X277" s="2"/>
      <c r="Y277" s="2"/>
      <c r="Z277" s="2"/>
      <c r="AA277" s="2"/>
      <c r="AB277" s="2" t="s">
        <v>572</v>
      </c>
      <c r="AC277" s="2" t="s">
        <v>157</v>
      </c>
      <c r="AD277" s="2" t="s">
        <v>132</v>
      </c>
      <c r="AE277" s="10" t="b">
        <f aca="false">FALSE()</f>
        <v>0</v>
      </c>
      <c r="AF277" s="2" t="s">
        <v>133</v>
      </c>
      <c r="AG277" s="2" t="s">
        <v>158</v>
      </c>
      <c r="AH277" s="2" t="s">
        <v>135</v>
      </c>
      <c r="AI277" s="11" t="s">
        <v>502</v>
      </c>
      <c r="AJ277" s="2" t="s">
        <v>137</v>
      </c>
      <c r="AK277" s="2" t="s">
        <v>137</v>
      </c>
      <c r="AL277" s="2" t="s">
        <v>967</v>
      </c>
    </row>
    <row r="278" customFormat="false" ht="90" hidden="false" customHeight="true" outlineLevel="0" collapsed="false">
      <c r="A278" s="2" t="s">
        <v>968</v>
      </c>
      <c r="B278" s="2" t="s">
        <v>569</v>
      </c>
      <c r="C278" s="2" t="s">
        <v>474</v>
      </c>
      <c r="D278" s="9" t="n">
        <v>96</v>
      </c>
      <c r="E278" s="2" t="s">
        <v>491</v>
      </c>
      <c r="F278" s="2" t="s">
        <v>492</v>
      </c>
      <c r="G278" s="2" t="s">
        <v>524</v>
      </c>
      <c r="H278" s="2" t="s">
        <v>368</v>
      </c>
      <c r="I278" s="2" t="s">
        <v>145</v>
      </c>
      <c r="J278" s="2" t="s">
        <v>369</v>
      </c>
      <c r="K278" s="10" t="b">
        <f aca="false">FALSE()</f>
        <v>0</v>
      </c>
      <c r="L278" s="10" t="b">
        <f aca="false">FALSE()</f>
        <v>0</v>
      </c>
      <c r="M278" s="2" t="s">
        <v>494</v>
      </c>
      <c r="N278" s="2" t="s">
        <v>371</v>
      </c>
      <c r="O278" s="2" t="s">
        <v>495</v>
      </c>
      <c r="P278" s="2" t="n">
        <v>60</v>
      </c>
      <c r="Q278" s="2" t="s">
        <v>496</v>
      </c>
      <c r="R278" s="11" t="s">
        <v>497</v>
      </c>
      <c r="S278" s="11" t="s">
        <v>498</v>
      </c>
      <c r="T278" s="2" t="s">
        <v>219</v>
      </c>
      <c r="U278" s="2" t="s">
        <v>153</v>
      </c>
      <c r="V278" s="2" t="s">
        <v>570</v>
      </c>
      <c r="W278" s="11" t="s">
        <v>571</v>
      </c>
      <c r="X278" s="2"/>
      <c r="Y278" s="2"/>
      <c r="Z278" s="2"/>
      <c r="AA278" s="2"/>
      <c r="AB278" s="2" t="s">
        <v>572</v>
      </c>
      <c r="AC278" s="2" t="s">
        <v>157</v>
      </c>
      <c r="AD278" s="2" t="s">
        <v>132</v>
      </c>
      <c r="AE278" s="10" t="b">
        <f aca="false">FALSE()</f>
        <v>0</v>
      </c>
      <c r="AF278" s="2" t="s">
        <v>133</v>
      </c>
      <c r="AG278" s="2" t="s">
        <v>158</v>
      </c>
      <c r="AH278" s="2" t="s">
        <v>135</v>
      </c>
      <c r="AI278" s="11" t="s">
        <v>502</v>
      </c>
      <c r="AJ278" s="2" t="s">
        <v>137</v>
      </c>
      <c r="AK278" s="2" t="s">
        <v>137</v>
      </c>
      <c r="AL278" s="2" t="s">
        <v>969</v>
      </c>
    </row>
    <row r="279" customFormat="false" ht="90" hidden="false" customHeight="true" outlineLevel="0" collapsed="false">
      <c r="A279" s="2" t="s">
        <v>970</v>
      </c>
      <c r="B279" s="2" t="s">
        <v>569</v>
      </c>
      <c r="C279" s="2" t="s">
        <v>474</v>
      </c>
      <c r="D279" s="9" t="n">
        <v>94</v>
      </c>
      <c r="E279" s="2" t="s">
        <v>491</v>
      </c>
      <c r="F279" s="2" t="s">
        <v>492</v>
      </c>
      <c r="G279" s="2" t="s">
        <v>524</v>
      </c>
      <c r="H279" s="2" t="s">
        <v>368</v>
      </c>
      <c r="I279" s="2" t="s">
        <v>145</v>
      </c>
      <c r="J279" s="2" t="s">
        <v>369</v>
      </c>
      <c r="K279" s="10" t="b">
        <f aca="false">FALSE()</f>
        <v>0</v>
      </c>
      <c r="L279" s="10" t="b">
        <f aca="false">TRUE()</f>
        <v>1</v>
      </c>
      <c r="M279" s="2" t="s">
        <v>494</v>
      </c>
      <c r="N279" s="2" t="s">
        <v>371</v>
      </c>
      <c r="O279" s="2" t="s">
        <v>495</v>
      </c>
      <c r="P279" s="2" t="n">
        <v>60</v>
      </c>
      <c r="Q279" s="2" t="s">
        <v>496</v>
      </c>
      <c r="R279" s="11" t="s">
        <v>497</v>
      </c>
      <c r="S279" s="11" t="s">
        <v>498</v>
      </c>
      <c r="T279" s="2" t="s">
        <v>219</v>
      </c>
      <c r="U279" s="2" t="s">
        <v>153</v>
      </c>
      <c r="V279" s="2" t="s">
        <v>570</v>
      </c>
      <c r="W279" s="11" t="s">
        <v>571</v>
      </c>
      <c r="X279" s="2"/>
      <c r="Y279" s="2"/>
      <c r="Z279" s="2"/>
      <c r="AA279" s="2"/>
      <c r="AB279" s="2" t="s">
        <v>572</v>
      </c>
      <c r="AC279" s="2" t="s">
        <v>157</v>
      </c>
      <c r="AD279" s="2" t="s">
        <v>132</v>
      </c>
      <c r="AE279" s="10" t="b">
        <f aca="false">FALSE()</f>
        <v>0</v>
      </c>
      <c r="AF279" s="2" t="s">
        <v>133</v>
      </c>
      <c r="AG279" s="2" t="s">
        <v>158</v>
      </c>
      <c r="AH279" s="2" t="s">
        <v>135</v>
      </c>
      <c r="AI279" s="11" t="s">
        <v>502</v>
      </c>
      <c r="AJ279" s="2" t="s">
        <v>137</v>
      </c>
      <c r="AK279" s="2" t="s">
        <v>137</v>
      </c>
      <c r="AL279" s="2" t="s">
        <v>971</v>
      </c>
    </row>
    <row r="280" customFormat="false" ht="90" hidden="false" customHeight="true" outlineLevel="0" collapsed="false">
      <c r="A280" s="2" t="s">
        <v>972</v>
      </c>
      <c r="B280" s="2" t="s">
        <v>569</v>
      </c>
      <c r="C280" s="2" t="s">
        <v>474</v>
      </c>
      <c r="D280" s="9" t="n">
        <v>94</v>
      </c>
      <c r="E280" s="2" t="s">
        <v>491</v>
      </c>
      <c r="F280" s="2" t="s">
        <v>492</v>
      </c>
      <c r="G280" s="2" t="s">
        <v>524</v>
      </c>
      <c r="H280" s="2" t="s">
        <v>368</v>
      </c>
      <c r="I280" s="2" t="s">
        <v>145</v>
      </c>
      <c r="J280" s="2" t="s">
        <v>369</v>
      </c>
      <c r="K280" s="10" t="b">
        <f aca="false">FALSE()</f>
        <v>0</v>
      </c>
      <c r="L280" s="10" t="b">
        <f aca="false">FALSE()</f>
        <v>0</v>
      </c>
      <c r="M280" s="2" t="s">
        <v>494</v>
      </c>
      <c r="N280" s="2" t="s">
        <v>371</v>
      </c>
      <c r="O280" s="2" t="s">
        <v>495</v>
      </c>
      <c r="P280" s="2" t="n">
        <v>30</v>
      </c>
      <c r="Q280" s="2" t="s">
        <v>496</v>
      </c>
      <c r="R280" s="11" t="s">
        <v>497</v>
      </c>
      <c r="S280" s="11" t="s">
        <v>498</v>
      </c>
      <c r="T280" s="2" t="s">
        <v>219</v>
      </c>
      <c r="U280" s="2" t="s">
        <v>153</v>
      </c>
      <c r="V280" s="2" t="s">
        <v>606</v>
      </c>
      <c r="W280" s="11" t="s">
        <v>607</v>
      </c>
      <c r="X280" s="2"/>
      <c r="Y280" s="2"/>
      <c r="Z280" s="2"/>
      <c r="AA280" s="2"/>
      <c r="AB280" s="2" t="s">
        <v>608</v>
      </c>
      <c r="AC280" s="2" t="s">
        <v>157</v>
      </c>
      <c r="AD280" s="2" t="s">
        <v>440</v>
      </c>
      <c r="AE280" s="10" t="b">
        <f aca="false">FALSE()</f>
        <v>0</v>
      </c>
      <c r="AF280" s="2" t="s">
        <v>133</v>
      </c>
      <c r="AG280" s="2" t="s">
        <v>158</v>
      </c>
      <c r="AH280" s="2" t="s">
        <v>135</v>
      </c>
      <c r="AI280" s="11" t="s">
        <v>502</v>
      </c>
      <c r="AJ280" s="2" t="s">
        <v>137</v>
      </c>
      <c r="AK280" s="2" t="s">
        <v>137</v>
      </c>
      <c r="AL280" s="2" t="s">
        <v>973</v>
      </c>
    </row>
    <row r="281" customFormat="false" ht="90" hidden="false" customHeight="true" outlineLevel="0" collapsed="false">
      <c r="A281" s="2" t="s">
        <v>974</v>
      </c>
      <c r="B281" s="2" t="s">
        <v>569</v>
      </c>
      <c r="C281" s="2" t="s">
        <v>474</v>
      </c>
      <c r="D281" s="9" t="n">
        <v>88</v>
      </c>
      <c r="E281" s="2" t="s">
        <v>491</v>
      </c>
      <c r="F281" s="2" t="s">
        <v>492</v>
      </c>
      <c r="G281" s="2" t="s">
        <v>524</v>
      </c>
      <c r="H281" s="2" t="s">
        <v>368</v>
      </c>
      <c r="I281" s="2" t="s">
        <v>145</v>
      </c>
      <c r="J281" s="2" t="s">
        <v>369</v>
      </c>
      <c r="K281" s="10" t="b">
        <f aca="false">FALSE()</f>
        <v>0</v>
      </c>
      <c r="L281" s="10" t="b">
        <f aca="false">TRUE()</f>
        <v>1</v>
      </c>
      <c r="M281" s="2" t="s">
        <v>494</v>
      </c>
      <c r="N281" s="2" t="s">
        <v>371</v>
      </c>
      <c r="O281" s="2" t="s">
        <v>495</v>
      </c>
      <c r="P281" s="2" t="n">
        <v>60</v>
      </c>
      <c r="Q281" s="2" t="s">
        <v>496</v>
      </c>
      <c r="R281" s="11" t="s">
        <v>497</v>
      </c>
      <c r="S281" s="11" t="s">
        <v>498</v>
      </c>
      <c r="T281" s="2" t="s">
        <v>219</v>
      </c>
      <c r="U281" s="2" t="s">
        <v>153</v>
      </c>
      <c r="V281" s="2" t="s">
        <v>570</v>
      </c>
      <c r="W281" s="11" t="s">
        <v>571</v>
      </c>
      <c r="X281" s="2"/>
      <c r="Y281" s="2"/>
      <c r="Z281" s="2"/>
      <c r="AA281" s="2"/>
      <c r="AB281" s="2" t="s">
        <v>572</v>
      </c>
      <c r="AC281" s="2" t="s">
        <v>157</v>
      </c>
      <c r="AD281" s="2" t="s">
        <v>132</v>
      </c>
      <c r="AE281" s="10" t="b">
        <f aca="false">FALSE()</f>
        <v>0</v>
      </c>
      <c r="AF281" s="2" t="s">
        <v>133</v>
      </c>
      <c r="AG281" s="2" t="s">
        <v>158</v>
      </c>
      <c r="AH281" s="2" t="s">
        <v>135</v>
      </c>
      <c r="AI281" s="11" t="s">
        <v>502</v>
      </c>
      <c r="AJ281" s="2" t="s">
        <v>137</v>
      </c>
      <c r="AK281" s="2" t="s">
        <v>137</v>
      </c>
      <c r="AL281" s="2" t="s">
        <v>975</v>
      </c>
    </row>
    <row r="282" customFormat="false" ht="90" hidden="false" customHeight="true" outlineLevel="0" collapsed="false">
      <c r="A282" s="2" t="s">
        <v>976</v>
      </c>
      <c r="B282" s="2" t="s">
        <v>569</v>
      </c>
      <c r="C282" s="2" t="s">
        <v>474</v>
      </c>
      <c r="D282" s="9" t="n">
        <v>88</v>
      </c>
      <c r="E282" s="2" t="s">
        <v>491</v>
      </c>
      <c r="F282" s="2" t="s">
        <v>492</v>
      </c>
      <c r="G282" s="2" t="s">
        <v>524</v>
      </c>
      <c r="H282" s="2" t="s">
        <v>368</v>
      </c>
      <c r="I282" s="2" t="s">
        <v>145</v>
      </c>
      <c r="J282" s="2" t="s">
        <v>369</v>
      </c>
      <c r="K282" s="10" t="b">
        <f aca="false">FALSE()</f>
        <v>0</v>
      </c>
      <c r="L282" s="10" t="b">
        <f aca="false">FALSE()</f>
        <v>0</v>
      </c>
      <c r="M282" s="2" t="s">
        <v>494</v>
      </c>
      <c r="N282" s="2" t="s">
        <v>371</v>
      </c>
      <c r="O282" s="2" t="s">
        <v>495</v>
      </c>
      <c r="P282" s="2" t="n">
        <v>60</v>
      </c>
      <c r="Q282" s="2" t="s">
        <v>496</v>
      </c>
      <c r="R282" s="11" t="s">
        <v>497</v>
      </c>
      <c r="S282" s="11" t="s">
        <v>498</v>
      </c>
      <c r="T282" s="2" t="s">
        <v>219</v>
      </c>
      <c r="U282" s="2" t="s">
        <v>153</v>
      </c>
      <c r="V282" s="2" t="s">
        <v>570</v>
      </c>
      <c r="W282" s="11" t="s">
        <v>571</v>
      </c>
      <c r="X282" s="2"/>
      <c r="Y282" s="2"/>
      <c r="Z282" s="2"/>
      <c r="AA282" s="2"/>
      <c r="AB282" s="2" t="s">
        <v>572</v>
      </c>
      <c r="AC282" s="2" t="s">
        <v>157</v>
      </c>
      <c r="AD282" s="2" t="s">
        <v>132</v>
      </c>
      <c r="AE282" s="10" t="b">
        <f aca="false">FALSE()</f>
        <v>0</v>
      </c>
      <c r="AF282" s="2" t="s">
        <v>133</v>
      </c>
      <c r="AG282" s="2" t="s">
        <v>158</v>
      </c>
      <c r="AH282" s="2" t="s">
        <v>135</v>
      </c>
      <c r="AI282" s="11" t="s">
        <v>502</v>
      </c>
      <c r="AJ282" s="2" t="s">
        <v>137</v>
      </c>
      <c r="AK282" s="2" t="s">
        <v>137</v>
      </c>
      <c r="AL282" s="2" t="s">
        <v>977</v>
      </c>
    </row>
    <row r="283" customFormat="false" ht="90" hidden="false" customHeight="true" outlineLevel="0" collapsed="false">
      <c r="A283" s="2" t="s">
        <v>978</v>
      </c>
      <c r="B283" s="2" t="s">
        <v>569</v>
      </c>
      <c r="C283" s="2" t="s">
        <v>474</v>
      </c>
      <c r="D283" s="9" t="n">
        <v>87</v>
      </c>
      <c r="E283" s="2" t="s">
        <v>491</v>
      </c>
      <c r="F283" s="2" t="s">
        <v>492</v>
      </c>
      <c r="G283" s="2" t="s">
        <v>524</v>
      </c>
      <c r="H283" s="2" t="s">
        <v>368</v>
      </c>
      <c r="I283" s="2" t="s">
        <v>145</v>
      </c>
      <c r="J283" s="2" t="s">
        <v>369</v>
      </c>
      <c r="K283" s="10" t="b">
        <f aca="false">FALSE()</f>
        <v>0</v>
      </c>
      <c r="L283" s="10" t="b">
        <f aca="false">FALSE()</f>
        <v>0</v>
      </c>
      <c r="M283" s="2" t="s">
        <v>494</v>
      </c>
      <c r="N283" s="2" t="s">
        <v>371</v>
      </c>
      <c r="O283" s="2" t="s">
        <v>495</v>
      </c>
      <c r="P283" s="2" t="n">
        <v>30</v>
      </c>
      <c r="Q283" s="2" t="s">
        <v>496</v>
      </c>
      <c r="R283" s="11" t="s">
        <v>497</v>
      </c>
      <c r="S283" s="11" t="s">
        <v>498</v>
      </c>
      <c r="T283" s="2" t="s">
        <v>632</v>
      </c>
      <c r="U283" s="2" t="s">
        <v>153</v>
      </c>
      <c r="V283" s="2" t="s">
        <v>606</v>
      </c>
      <c r="W283" s="11" t="s">
        <v>607</v>
      </c>
      <c r="X283" s="2"/>
      <c r="Y283" s="2"/>
      <c r="Z283" s="2"/>
      <c r="AA283" s="2"/>
      <c r="AB283" s="2" t="s">
        <v>608</v>
      </c>
      <c r="AC283" s="2" t="s">
        <v>131</v>
      </c>
      <c r="AD283" s="2" t="s">
        <v>440</v>
      </c>
      <c r="AE283" s="10" t="b">
        <f aca="false">FALSE()</f>
        <v>0</v>
      </c>
      <c r="AF283" s="2" t="s">
        <v>133</v>
      </c>
      <c r="AG283" s="2" t="s">
        <v>158</v>
      </c>
      <c r="AH283" s="2" t="s">
        <v>135</v>
      </c>
      <c r="AI283" s="11" t="s">
        <v>502</v>
      </c>
      <c r="AJ283" s="2" t="s">
        <v>137</v>
      </c>
      <c r="AK283" s="2" t="s">
        <v>137</v>
      </c>
      <c r="AL283" s="2" t="s">
        <v>979</v>
      </c>
    </row>
    <row r="284" customFormat="false" ht="90" hidden="false" customHeight="true" outlineLevel="0" collapsed="false">
      <c r="A284" s="2" t="s">
        <v>980</v>
      </c>
      <c r="B284" s="2" t="s">
        <v>569</v>
      </c>
      <c r="C284" s="2" t="s">
        <v>474</v>
      </c>
      <c r="D284" s="9" t="n">
        <v>86</v>
      </c>
      <c r="E284" s="2" t="s">
        <v>491</v>
      </c>
      <c r="F284" s="2" t="s">
        <v>492</v>
      </c>
      <c r="G284" s="2" t="s">
        <v>524</v>
      </c>
      <c r="H284" s="2" t="s">
        <v>368</v>
      </c>
      <c r="I284" s="2" t="s">
        <v>145</v>
      </c>
      <c r="J284" s="2" t="s">
        <v>369</v>
      </c>
      <c r="K284" s="10" t="b">
        <f aca="false">FALSE()</f>
        <v>0</v>
      </c>
      <c r="L284" s="10" t="b">
        <f aca="false">FALSE()</f>
        <v>0</v>
      </c>
      <c r="M284" s="2" t="s">
        <v>494</v>
      </c>
      <c r="N284" s="2" t="s">
        <v>371</v>
      </c>
      <c r="O284" s="2" t="s">
        <v>495</v>
      </c>
      <c r="P284" s="2" t="n">
        <v>30</v>
      </c>
      <c r="Q284" s="2" t="s">
        <v>496</v>
      </c>
      <c r="R284" s="11" t="s">
        <v>497</v>
      </c>
      <c r="S284" s="11" t="s">
        <v>498</v>
      </c>
      <c r="T284" s="2" t="s">
        <v>557</v>
      </c>
      <c r="U284" s="2" t="s">
        <v>153</v>
      </c>
      <c r="V284" s="2" t="s">
        <v>606</v>
      </c>
      <c r="W284" s="11" t="s">
        <v>607</v>
      </c>
      <c r="X284" s="2"/>
      <c r="Y284" s="2"/>
      <c r="Z284" s="2"/>
      <c r="AA284" s="2"/>
      <c r="AB284" s="2" t="s">
        <v>608</v>
      </c>
      <c r="AC284" s="2" t="s">
        <v>131</v>
      </c>
      <c r="AD284" s="2" t="s">
        <v>440</v>
      </c>
      <c r="AE284" s="10" t="b">
        <f aca="false">FALSE()</f>
        <v>0</v>
      </c>
      <c r="AF284" s="2" t="s">
        <v>133</v>
      </c>
      <c r="AG284" s="2" t="s">
        <v>158</v>
      </c>
      <c r="AH284" s="2" t="s">
        <v>135</v>
      </c>
      <c r="AI284" s="11" t="s">
        <v>502</v>
      </c>
      <c r="AJ284" s="2" t="s">
        <v>137</v>
      </c>
      <c r="AK284" s="2" t="s">
        <v>137</v>
      </c>
      <c r="AL284" s="2" t="s">
        <v>981</v>
      </c>
    </row>
    <row r="285" customFormat="false" ht="90" hidden="false" customHeight="true" outlineLevel="0" collapsed="false">
      <c r="A285" s="2" t="s">
        <v>982</v>
      </c>
      <c r="B285" s="2" t="s">
        <v>569</v>
      </c>
      <c r="C285" s="2" t="s">
        <v>474</v>
      </c>
      <c r="D285" s="9" t="n">
        <v>85</v>
      </c>
      <c r="E285" s="2" t="s">
        <v>491</v>
      </c>
      <c r="F285" s="2" t="s">
        <v>492</v>
      </c>
      <c r="G285" s="2" t="s">
        <v>524</v>
      </c>
      <c r="H285" s="2" t="s">
        <v>368</v>
      </c>
      <c r="I285" s="2" t="s">
        <v>145</v>
      </c>
      <c r="J285" s="2" t="s">
        <v>369</v>
      </c>
      <c r="K285" s="10" t="b">
        <f aca="false">FALSE()</f>
        <v>0</v>
      </c>
      <c r="L285" s="10" t="b">
        <f aca="false">TRUE()</f>
        <v>1</v>
      </c>
      <c r="M285" s="2" t="s">
        <v>494</v>
      </c>
      <c r="N285" s="2" t="s">
        <v>371</v>
      </c>
      <c r="O285" s="2" t="s">
        <v>495</v>
      </c>
      <c r="P285" s="2" t="n">
        <v>60</v>
      </c>
      <c r="Q285" s="2" t="s">
        <v>496</v>
      </c>
      <c r="R285" s="11" t="s">
        <v>497</v>
      </c>
      <c r="S285" s="11" t="s">
        <v>498</v>
      </c>
      <c r="T285" s="2" t="s">
        <v>219</v>
      </c>
      <c r="U285" s="2" t="s">
        <v>153</v>
      </c>
      <c r="V285" s="2" t="s">
        <v>570</v>
      </c>
      <c r="W285" s="11" t="s">
        <v>571</v>
      </c>
      <c r="X285" s="2"/>
      <c r="Y285" s="2"/>
      <c r="Z285" s="2"/>
      <c r="AA285" s="2"/>
      <c r="AB285" s="2" t="s">
        <v>572</v>
      </c>
      <c r="AC285" s="2" t="s">
        <v>157</v>
      </c>
      <c r="AD285" s="2" t="s">
        <v>132</v>
      </c>
      <c r="AE285" s="10" t="b">
        <f aca="false">FALSE()</f>
        <v>0</v>
      </c>
      <c r="AF285" s="2" t="s">
        <v>133</v>
      </c>
      <c r="AG285" s="2" t="s">
        <v>158</v>
      </c>
      <c r="AH285" s="2" t="s">
        <v>135</v>
      </c>
      <c r="AI285" s="11" t="s">
        <v>502</v>
      </c>
      <c r="AJ285" s="2" t="s">
        <v>137</v>
      </c>
      <c r="AK285" s="2" t="s">
        <v>137</v>
      </c>
      <c r="AL285" s="2" t="s">
        <v>983</v>
      </c>
    </row>
    <row r="286" customFormat="false" ht="90" hidden="false" customHeight="true" outlineLevel="0" collapsed="false">
      <c r="A286" s="2" t="s">
        <v>984</v>
      </c>
      <c r="B286" s="2" t="s">
        <v>569</v>
      </c>
      <c r="C286" s="2" t="s">
        <v>474</v>
      </c>
      <c r="D286" s="9" t="n">
        <v>84</v>
      </c>
      <c r="E286" s="2" t="s">
        <v>491</v>
      </c>
      <c r="F286" s="2" t="s">
        <v>492</v>
      </c>
      <c r="G286" s="2" t="s">
        <v>524</v>
      </c>
      <c r="H286" s="2" t="s">
        <v>368</v>
      </c>
      <c r="I286" s="2" t="s">
        <v>145</v>
      </c>
      <c r="J286" s="2" t="s">
        <v>369</v>
      </c>
      <c r="K286" s="10" t="b">
        <f aca="false">FALSE()</f>
        <v>0</v>
      </c>
      <c r="L286" s="10" t="b">
        <f aca="false">TRUE()</f>
        <v>1</v>
      </c>
      <c r="M286" s="2" t="s">
        <v>494</v>
      </c>
      <c r="N286" s="2" t="s">
        <v>371</v>
      </c>
      <c r="O286" s="2" t="s">
        <v>495</v>
      </c>
      <c r="P286" s="2" t="n">
        <v>60</v>
      </c>
      <c r="Q286" s="2" t="s">
        <v>496</v>
      </c>
      <c r="R286" s="11" t="s">
        <v>497</v>
      </c>
      <c r="S286" s="11" t="s">
        <v>498</v>
      </c>
      <c r="T286" s="2" t="s">
        <v>219</v>
      </c>
      <c r="U286" s="2" t="s">
        <v>153</v>
      </c>
      <c r="V286" s="2" t="s">
        <v>570</v>
      </c>
      <c r="W286" s="11" t="s">
        <v>571</v>
      </c>
      <c r="X286" s="2"/>
      <c r="Y286" s="2"/>
      <c r="Z286" s="2"/>
      <c r="AA286" s="2"/>
      <c r="AB286" s="2" t="s">
        <v>572</v>
      </c>
      <c r="AC286" s="2" t="s">
        <v>157</v>
      </c>
      <c r="AD286" s="2" t="s">
        <v>132</v>
      </c>
      <c r="AE286" s="10" t="b">
        <f aca="false">FALSE()</f>
        <v>0</v>
      </c>
      <c r="AF286" s="2" t="s">
        <v>133</v>
      </c>
      <c r="AG286" s="2" t="s">
        <v>158</v>
      </c>
      <c r="AH286" s="2" t="s">
        <v>135</v>
      </c>
      <c r="AI286" s="11" t="s">
        <v>502</v>
      </c>
      <c r="AJ286" s="2" t="s">
        <v>137</v>
      </c>
      <c r="AK286" s="2" t="s">
        <v>137</v>
      </c>
      <c r="AL286" s="2" t="s">
        <v>985</v>
      </c>
    </row>
    <row r="287" customFormat="false" ht="90" hidden="false" customHeight="true" outlineLevel="0" collapsed="false">
      <c r="A287" s="2" t="s">
        <v>986</v>
      </c>
      <c r="B287" s="2" t="s">
        <v>569</v>
      </c>
      <c r="C287" s="2" t="s">
        <v>474</v>
      </c>
      <c r="D287" s="9" t="n">
        <v>84</v>
      </c>
      <c r="E287" s="2" t="s">
        <v>491</v>
      </c>
      <c r="F287" s="2" t="s">
        <v>492</v>
      </c>
      <c r="G287" s="2" t="s">
        <v>524</v>
      </c>
      <c r="H287" s="2" t="s">
        <v>368</v>
      </c>
      <c r="I287" s="2" t="s">
        <v>145</v>
      </c>
      <c r="J287" s="2" t="s">
        <v>369</v>
      </c>
      <c r="K287" s="10" t="b">
        <f aca="false">FALSE()</f>
        <v>0</v>
      </c>
      <c r="L287" s="10" t="b">
        <f aca="false">TRUE()</f>
        <v>1</v>
      </c>
      <c r="M287" s="2" t="s">
        <v>494</v>
      </c>
      <c r="N287" s="2" t="s">
        <v>371</v>
      </c>
      <c r="O287" s="2" t="s">
        <v>495</v>
      </c>
      <c r="P287" s="2" t="n">
        <v>60</v>
      </c>
      <c r="Q287" s="2" t="s">
        <v>496</v>
      </c>
      <c r="R287" s="11" t="s">
        <v>497</v>
      </c>
      <c r="S287" s="11" t="s">
        <v>498</v>
      </c>
      <c r="T287" s="2" t="s">
        <v>219</v>
      </c>
      <c r="U287" s="2" t="s">
        <v>153</v>
      </c>
      <c r="V287" s="2" t="s">
        <v>570</v>
      </c>
      <c r="W287" s="11" t="s">
        <v>571</v>
      </c>
      <c r="X287" s="2"/>
      <c r="Y287" s="2"/>
      <c r="Z287" s="2"/>
      <c r="AA287" s="2"/>
      <c r="AB287" s="2" t="s">
        <v>572</v>
      </c>
      <c r="AC287" s="2" t="s">
        <v>157</v>
      </c>
      <c r="AD287" s="2" t="s">
        <v>132</v>
      </c>
      <c r="AE287" s="10" t="b">
        <f aca="false">FALSE()</f>
        <v>0</v>
      </c>
      <c r="AF287" s="2" t="s">
        <v>133</v>
      </c>
      <c r="AG287" s="2" t="s">
        <v>158</v>
      </c>
      <c r="AH287" s="2" t="s">
        <v>135</v>
      </c>
      <c r="AI287" s="11" t="s">
        <v>502</v>
      </c>
      <c r="AJ287" s="2" t="s">
        <v>137</v>
      </c>
      <c r="AK287" s="2" t="s">
        <v>137</v>
      </c>
      <c r="AL287" s="2" t="s">
        <v>987</v>
      </c>
    </row>
    <row r="288" customFormat="false" ht="90" hidden="false" customHeight="true" outlineLevel="0" collapsed="false">
      <c r="A288" s="2" t="s">
        <v>988</v>
      </c>
      <c r="B288" s="2" t="s">
        <v>569</v>
      </c>
      <c r="C288" s="2" t="s">
        <v>474</v>
      </c>
      <c r="D288" s="9" t="n">
        <v>84</v>
      </c>
      <c r="E288" s="2" t="s">
        <v>491</v>
      </c>
      <c r="F288" s="2" t="s">
        <v>492</v>
      </c>
      <c r="G288" s="2" t="s">
        <v>524</v>
      </c>
      <c r="H288" s="2" t="s">
        <v>368</v>
      </c>
      <c r="I288" s="2" t="s">
        <v>145</v>
      </c>
      <c r="J288" s="2" t="s">
        <v>369</v>
      </c>
      <c r="K288" s="10" t="b">
        <f aca="false">FALSE()</f>
        <v>0</v>
      </c>
      <c r="L288" s="10" t="b">
        <f aca="false">TRUE()</f>
        <v>1</v>
      </c>
      <c r="M288" s="2" t="s">
        <v>494</v>
      </c>
      <c r="N288" s="2" t="s">
        <v>371</v>
      </c>
      <c r="O288" s="2" t="s">
        <v>495</v>
      </c>
      <c r="P288" s="2" t="n">
        <v>60</v>
      </c>
      <c r="Q288" s="2" t="s">
        <v>496</v>
      </c>
      <c r="R288" s="11" t="s">
        <v>497</v>
      </c>
      <c r="S288" s="11" t="s">
        <v>498</v>
      </c>
      <c r="T288" s="2" t="s">
        <v>219</v>
      </c>
      <c r="U288" s="2" t="s">
        <v>153</v>
      </c>
      <c r="V288" s="2" t="s">
        <v>570</v>
      </c>
      <c r="W288" s="11" t="s">
        <v>571</v>
      </c>
      <c r="X288" s="2"/>
      <c r="Y288" s="2"/>
      <c r="Z288" s="2"/>
      <c r="AA288" s="2"/>
      <c r="AB288" s="2" t="s">
        <v>572</v>
      </c>
      <c r="AC288" s="2" t="s">
        <v>157</v>
      </c>
      <c r="AD288" s="2" t="s">
        <v>132</v>
      </c>
      <c r="AE288" s="10" t="b">
        <f aca="false">FALSE()</f>
        <v>0</v>
      </c>
      <c r="AF288" s="2" t="s">
        <v>133</v>
      </c>
      <c r="AG288" s="2" t="s">
        <v>158</v>
      </c>
      <c r="AH288" s="2" t="s">
        <v>135</v>
      </c>
      <c r="AI288" s="11" t="s">
        <v>502</v>
      </c>
      <c r="AJ288" s="2" t="s">
        <v>137</v>
      </c>
      <c r="AK288" s="2" t="s">
        <v>137</v>
      </c>
      <c r="AL288" s="2" t="s">
        <v>989</v>
      </c>
    </row>
    <row r="289" customFormat="false" ht="90" hidden="false" customHeight="true" outlineLevel="0" collapsed="false">
      <c r="A289" s="2" t="s">
        <v>990</v>
      </c>
      <c r="B289" s="2" t="s">
        <v>569</v>
      </c>
      <c r="C289" s="2" t="s">
        <v>474</v>
      </c>
      <c r="D289" s="9" t="n">
        <v>84</v>
      </c>
      <c r="E289" s="2" t="s">
        <v>491</v>
      </c>
      <c r="F289" s="2" t="s">
        <v>492</v>
      </c>
      <c r="G289" s="2" t="s">
        <v>524</v>
      </c>
      <c r="H289" s="2" t="s">
        <v>368</v>
      </c>
      <c r="I289" s="2" t="s">
        <v>145</v>
      </c>
      <c r="J289" s="2" t="s">
        <v>369</v>
      </c>
      <c r="K289" s="10" t="b">
        <f aca="false">FALSE()</f>
        <v>0</v>
      </c>
      <c r="L289" s="10" t="b">
        <f aca="false">FALSE()</f>
        <v>0</v>
      </c>
      <c r="M289" s="2" t="s">
        <v>494</v>
      </c>
      <c r="N289" s="2" t="s">
        <v>371</v>
      </c>
      <c r="O289" s="2" t="s">
        <v>495</v>
      </c>
      <c r="P289" s="2" t="n">
        <v>30</v>
      </c>
      <c r="Q289" s="2" t="s">
        <v>496</v>
      </c>
      <c r="R289" s="11" t="s">
        <v>497</v>
      </c>
      <c r="S289" s="11" t="s">
        <v>498</v>
      </c>
      <c r="T289" s="2" t="s">
        <v>557</v>
      </c>
      <c r="U289" s="2" t="s">
        <v>153</v>
      </c>
      <c r="V289" s="2" t="s">
        <v>606</v>
      </c>
      <c r="W289" s="11" t="s">
        <v>607</v>
      </c>
      <c r="X289" s="2"/>
      <c r="Y289" s="2"/>
      <c r="Z289" s="2"/>
      <c r="AA289" s="2"/>
      <c r="AB289" s="2" t="s">
        <v>608</v>
      </c>
      <c r="AC289" s="2" t="s">
        <v>131</v>
      </c>
      <c r="AD289" s="2" t="s">
        <v>440</v>
      </c>
      <c r="AE289" s="10" t="b">
        <f aca="false">FALSE()</f>
        <v>0</v>
      </c>
      <c r="AF289" s="2" t="s">
        <v>133</v>
      </c>
      <c r="AG289" s="2" t="s">
        <v>158</v>
      </c>
      <c r="AH289" s="2" t="s">
        <v>135</v>
      </c>
      <c r="AI289" s="11" t="s">
        <v>502</v>
      </c>
      <c r="AJ289" s="2" t="s">
        <v>137</v>
      </c>
      <c r="AK289" s="2" t="s">
        <v>137</v>
      </c>
      <c r="AL289" s="2" t="s">
        <v>991</v>
      </c>
    </row>
    <row r="290" customFormat="false" ht="90" hidden="false" customHeight="true" outlineLevel="0" collapsed="false">
      <c r="A290" s="2" t="s">
        <v>992</v>
      </c>
      <c r="B290" s="2" t="s">
        <v>569</v>
      </c>
      <c r="C290" s="2" t="s">
        <v>474</v>
      </c>
      <c r="D290" s="9" t="n">
        <v>84</v>
      </c>
      <c r="E290" s="2" t="s">
        <v>491</v>
      </c>
      <c r="F290" s="2" t="s">
        <v>492</v>
      </c>
      <c r="G290" s="2" t="s">
        <v>524</v>
      </c>
      <c r="H290" s="2" t="s">
        <v>368</v>
      </c>
      <c r="I290" s="2" t="s">
        <v>145</v>
      </c>
      <c r="J290" s="2" t="s">
        <v>369</v>
      </c>
      <c r="K290" s="10" t="b">
        <f aca="false">FALSE()</f>
        <v>0</v>
      </c>
      <c r="L290" s="10" t="b">
        <f aca="false">FALSE()</f>
        <v>0</v>
      </c>
      <c r="M290" s="2" t="s">
        <v>494</v>
      </c>
      <c r="N290" s="2" t="s">
        <v>371</v>
      </c>
      <c r="O290" s="2" t="s">
        <v>495</v>
      </c>
      <c r="P290" s="2" t="n">
        <v>60</v>
      </c>
      <c r="Q290" s="2" t="s">
        <v>496</v>
      </c>
      <c r="R290" s="11" t="s">
        <v>497</v>
      </c>
      <c r="S290" s="11" t="s">
        <v>498</v>
      </c>
      <c r="T290" s="2" t="s">
        <v>219</v>
      </c>
      <c r="U290" s="2" t="s">
        <v>153</v>
      </c>
      <c r="V290" s="2" t="s">
        <v>570</v>
      </c>
      <c r="W290" s="11" t="s">
        <v>571</v>
      </c>
      <c r="X290" s="2"/>
      <c r="Y290" s="2"/>
      <c r="Z290" s="2"/>
      <c r="AA290" s="2"/>
      <c r="AB290" s="2" t="s">
        <v>572</v>
      </c>
      <c r="AC290" s="2" t="s">
        <v>157</v>
      </c>
      <c r="AD290" s="2" t="s">
        <v>132</v>
      </c>
      <c r="AE290" s="10" t="b">
        <f aca="false">FALSE()</f>
        <v>0</v>
      </c>
      <c r="AF290" s="2" t="s">
        <v>133</v>
      </c>
      <c r="AG290" s="2" t="s">
        <v>158</v>
      </c>
      <c r="AH290" s="2" t="s">
        <v>135</v>
      </c>
      <c r="AI290" s="11" t="s">
        <v>502</v>
      </c>
      <c r="AJ290" s="2" t="s">
        <v>137</v>
      </c>
      <c r="AK290" s="2" t="s">
        <v>137</v>
      </c>
      <c r="AL290" s="2" t="s">
        <v>993</v>
      </c>
    </row>
    <row r="291" customFormat="false" ht="90" hidden="false" customHeight="true" outlineLevel="0" collapsed="false">
      <c r="A291" s="2" t="s">
        <v>994</v>
      </c>
      <c r="B291" s="2" t="s">
        <v>569</v>
      </c>
      <c r="C291" s="2" t="s">
        <v>474</v>
      </c>
      <c r="D291" s="9" t="n">
        <v>82</v>
      </c>
      <c r="E291" s="2" t="s">
        <v>491</v>
      </c>
      <c r="F291" s="2" t="s">
        <v>492</v>
      </c>
      <c r="G291" s="2" t="s">
        <v>524</v>
      </c>
      <c r="H291" s="2" t="s">
        <v>368</v>
      </c>
      <c r="I291" s="2" t="s">
        <v>145</v>
      </c>
      <c r="J291" s="2" t="s">
        <v>369</v>
      </c>
      <c r="K291" s="10" t="b">
        <f aca="false">FALSE()</f>
        <v>0</v>
      </c>
      <c r="L291" s="10" t="b">
        <f aca="false">FALSE()</f>
        <v>0</v>
      </c>
      <c r="M291" s="2" t="s">
        <v>494</v>
      </c>
      <c r="N291" s="2" t="s">
        <v>371</v>
      </c>
      <c r="O291" s="2" t="s">
        <v>495</v>
      </c>
      <c r="P291" s="2" t="n">
        <v>30</v>
      </c>
      <c r="Q291" s="2" t="s">
        <v>496</v>
      </c>
      <c r="R291" s="11" t="s">
        <v>497</v>
      </c>
      <c r="S291" s="11" t="s">
        <v>498</v>
      </c>
      <c r="T291" s="2" t="s">
        <v>632</v>
      </c>
      <c r="U291" s="2" t="s">
        <v>153</v>
      </c>
      <c r="V291" s="2" t="s">
        <v>606</v>
      </c>
      <c r="W291" s="11" t="s">
        <v>607</v>
      </c>
      <c r="X291" s="2"/>
      <c r="Y291" s="2"/>
      <c r="Z291" s="2"/>
      <c r="AA291" s="2"/>
      <c r="AB291" s="2" t="s">
        <v>608</v>
      </c>
      <c r="AC291" s="2" t="s">
        <v>131</v>
      </c>
      <c r="AD291" s="2" t="s">
        <v>440</v>
      </c>
      <c r="AE291" s="10" t="b">
        <f aca="false">FALSE()</f>
        <v>0</v>
      </c>
      <c r="AF291" s="2" t="s">
        <v>133</v>
      </c>
      <c r="AG291" s="2" t="s">
        <v>158</v>
      </c>
      <c r="AH291" s="2" t="s">
        <v>135</v>
      </c>
      <c r="AI291" s="11" t="s">
        <v>502</v>
      </c>
      <c r="AJ291" s="2" t="s">
        <v>137</v>
      </c>
      <c r="AK291" s="2" t="s">
        <v>137</v>
      </c>
      <c r="AL291" s="2" t="s">
        <v>995</v>
      </c>
    </row>
    <row r="292" customFormat="false" ht="90" hidden="false" customHeight="true" outlineLevel="0" collapsed="false">
      <c r="A292" s="2" t="s">
        <v>996</v>
      </c>
      <c r="B292" s="2" t="s">
        <v>569</v>
      </c>
      <c r="C292" s="2" t="s">
        <v>474</v>
      </c>
      <c r="D292" s="9" t="n">
        <v>80</v>
      </c>
      <c r="E292" s="2" t="s">
        <v>491</v>
      </c>
      <c r="F292" s="2" t="s">
        <v>492</v>
      </c>
      <c r="G292" s="2" t="s">
        <v>524</v>
      </c>
      <c r="H292" s="2" t="s">
        <v>368</v>
      </c>
      <c r="I292" s="2" t="s">
        <v>145</v>
      </c>
      <c r="J292" s="2" t="s">
        <v>369</v>
      </c>
      <c r="K292" s="10" t="b">
        <f aca="false">FALSE()</f>
        <v>0</v>
      </c>
      <c r="L292" s="10" t="b">
        <f aca="false">TRUE()</f>
        <v>1</v>
      </c>
      <c r="M292" s="2" t="s">
        <v>494</v>
      </c>
      <c r="N292" s="2" t="s">
        <v>371</v>
      </c>
      <c r="O292" s="2" t="s">
        <v>495</v>
      </c>
      <c r="P292" s="2" t="n">
        <v>60</v>
      </c>
      <c r="Q292" s="2" t="s">
        <v>496</v>
      </c>
      <c r="R292" s="11" t="s">
        <v>497</v>
      </c>
      <c r="S292" s="11" t="s">
        <v>498</v>
      </c>
      <c r="T292" s="2" t="s">
        <v>219</v>
      </c>
      <c r="U292" s="2" t="s">
        <v>153</v>
      </c>
      <c r="V292" s="2" t="s">
        <v>570</v>
      </c>
      <c r="W292" s="11" t="s">
        <v>571</v>
      </c>
      <c r="X292" s="2"/>
      <c r="Y292" s="2"/>
      <c r="Z292" s="2"/>
      <c r="AA292" s="2"/>
      <c r="AB292" s="2" t="s">
        <v>572</v>
      </c>
      <c r="AC292" s="2" t="s">
        <v>157</v>
      </c>
      <c r="AD292" s="2" t="s">
        <v>132</v>
      </c>
      <c r="AE292" s="10" t="b">
        <f aca="false">FALSE()</f>
        <v>0</v>
      </c>
      <c r="AF292" s="2" t="s">
        <v>133</v>
      </c>
      <c r="AG292" s="2" t="s">
        <v>158</v>
      </c>
      <c r="AH292" s="2" t="s">
        <v>135</v>
      </c>
      <c r="AI292" s="11" t="s">
        <v>502</v>
      </c>
      <c r="AJ292" s="2" t="s">
        <v>137</v>
      </c>
      <c r="AK292" s="2" t="s">
        <v>137</v>
      </c>
      <c r="AL292" s="2" t="s">
        <v>997</v>
      </c>
    </row>
    <row r="293" customFormat="false" ht="90" hidden="false" customHeight="true" outlineLevel="0" collapsed="false">
      <c r="A293" s="2" t="s">
        <v>998</v>
      </c>
      <c r="B293" s="2" t="s">
        <v>569</v>
      </c>
      <c r="C293" s="2" t="s">
        <v>474</v>
      </c>
      <c r="D293" s="9" t="n">
        <v>78</v>
      </c>
      <c r="E293" s="2" t="s">
        <v>491</v>
      </c>
      <c r="F293" s="2" t="s">
        <v>492</v>
      </c>
      <c r="G293" s="2" t="s">
        <v>524</v>
      </c>
      <c r="H293" s="2" t="s">
        <v>368</v>
      </c>
      <c r="I293" s="2" t="s">
        <v>145</v>
      </c>
      <c r="J293" s="2" t="s">
        <v>369</v>
      </c>
      <c r="K293" s="10" t="b">
        <f aca="false">FALSE()</f>
        <v>0</v>
      </c>
      <c r="L293" s="10" t="b">
        <f aca="false">FALSE()</f>
        <v>0</v>
      </c>
      <c r="M293" s="2" t="s">
        <v>494</v>
      </c>
      <c r="N293" s="2" t="s">
        <v>371</v>
      </c>
      <c r="O293" s="2" t="s">
        <v>495</v>
      </c>
      <c r="P293" s="2" t="n">
        <v>60</v>
      </c>
      <c r="Q293" s="2" t="s">
        <v>496</v>
      </c>
      <c r="R293" s="11" t="s">
        <v>497</v>
      </c>
      <c r="S293" s="11" t="s">
        <v>498</v>
      </c>
      <c r="T293" s="2" t="s">
        <v>219</v>
      </c>
      <c r="U293" s="2" t="s">
        <v>153</v>
      </c>
      <c r="V293" s="2" t="s">
        <v>570</v>
      </c>
      <c r="W293" s="11" t="s">
        <v>571</v>
      </c>
      <c r="X293" s="2"/>
      <c r="Y293" s="2"/>
      <c r="Z293" s="2"/>
      <c r="AA293" s="2"/>
      <c r="AB293" s="2" t="s">
        <v>572</v>
      </c>
      <c r="AC293" s="2" t="s">
        <v>157</v>
      </c>
      <c r="AD293" s="2" t="s">
        <v>132</v>
      </c>
      <c r="AE293" s="10" t="b">
        <f aca="false">FALSE()</f>
        <v>0</v>
      </c>
      <c r="AF293" s="2" t="s">
        <v>133</v>
      </c>
      <c r="AG293" s="2" t="s">
        <v>158</v>
      </c>
      <c r="AH293" s="2" t="s">
        <v>135</v>
      </c>
      <c r="AI293" s="11" t="s">
        <v>502</v>
      </c>
      <c r="AJ293" s="2" t="s">
        <v>137</v>
      </c>
      <c r="AK293" s="2" t="s">
        <v>137</v>
      </c>
      <c r="AL293" s="2" t="s">
        <v>999</v>
      </c>
    </row>
    <row r="294" customFormat="false" ht="90" hidden="false" customHeight="true" outlineLevel="0" collapsed="false">
      <c r="A294" s="2" t="s">
        <v>1000</v>
      </c>
      <c r="B294" s="2" t="s">
        <v>569</v>
      </c>
      <c r="C294" s="2" t="s">
        <v>474</v>
      </c>
      <c r="D294" s="9" t="n">
        <v>77</v>
      </c>
      <c r="E294" s="2" t="s">
        <v>491</v>
      </c>
      <c r="F294" s="2" t="s">
        <v>492</v>
      </c>
      <c r="G294" s="2" t="s">
        <v>524</v>
      </c>
      <c r="H294" s="2" t="s">
        <v>368</v>
      </c>
      <c r="I294" s="2" t="s">
        <v>145</v>
      </c>
      <c r="J294" s="2" t="s">
        <v>369</v>
      </c>
      <c r="K294" s="10" t="b">
        <f aca="false">FALSE()</f>
        <v>0</v>
      </c>
      <c r="L294" s="10" t="b">
        <f aca="false">TRUE()</f>
        <v>1</v>
      </c>
      <c r="M294" s="2" t="s">
        <v>494</v>
      </c>
      <c r="N294" s="2" t="s">
        <v>371</v>
      </c>
      <c r="O294" s="2" t="s">
        <v>495</v>
      </c>
      <c r="P294" s="2" t="n">
        <v>60</v>
      </c>
      <c r="Q294" s="2" t="s">
        <v>496</v>
      </c>
      <c r="R294" s="11" t="s">
        <v>497</v>
      </c>
      <c r="S294" s="11" t="s">
        <v>498</v>
      </c>
      <c r="T294" s="2" t="s">
        <v>219</v>
      </c>
      <c r="U294" s="2" t="s">
        <v>153</v>
      </c>
      <c r="V294" s="2" t="s">
        <v>570</v>
      </c>
      <c r="W294" s="11" t="s">
        <v>571</v>
      </c>
      <c r="X294" s="2"/>
      <c r="Y294" s="2"/>
      <c r="Z294" s="2"/>
      <c r="AA294" s="2"/>
      <c r="AB294" s="2" t="s">
        <v>572</v>
      </c>
      <c r="AC294" s="2" t="s">
        <v>157</v>
      </c>
      <c r="AD294" s="2" t="s">
        <v>132</v>
      </c>
      <c r="AE294" s="10" t="b">
        <f aca="false">FALSE()</f>
        <v>0</v>
      </c>
      <c r="AF294" s="2" t="s">
        <v>133</v>
      </c>
      <c r="AG294" s="2" t="s">
        <v>158</v>
      </c>
      <c r="AH294" s="2" t="s">
        <v>135</v>
      </c>
      <c r="AI294" s="11" t="s">
        <v>502</v>
      </c>
      <c r="AJ294" s="2" t="s">
        <v>137</v>
      </c>
      <c r="AK294" s="2" t="s">
        <v>137</v>
      </c>
      <c r="AL294" s="2" t="s">
        <v>1001</v>
      </c>
    </row>
    <row r="295" customFormat="false" ht="90" hidden="false" customHeight="true" outlineLevel="0" collapsed="false">
      <c r="A295" s="2" t="s">
        <v>1002</v>
      </c>
      <c r="B295" s="2" t="s">
        <v>569</v>
      </c>
      <c r="C295" s="2" t="s">
        <v>474</v>
      </c>
      <c r="D295" s="9" t="n">
        <v>75</v>
      </c>
      <c r="E295" s="2" t="s">
        <v>491</v>
      </c>
      <c r="F295" s="2" t="s">
        <v>492</v>
      </c>
      <c r="G295" s="2" t="s">
        <v>524</v>
      </c>
      <c r="H295" s="2" t="s">
        <v>368</v>
      </c>
      <c r="I295" s="2" t="s">
        <v>145</v>
      </c>
      <c r="J295" s="2" t="s">
        <v>369</v>
      </c>
      <c r="K295" s="10" t="b">
        <f aca="false">FALSE()</f>
        <v>0</v>
      </c>
      <c r="L295" s="10" t="b">
        <f aca="false">FALSE()</f>
        <v>0</v>
      </c>
      <c r="M295" s="2" t="s">
        <v>494</v>
      </c>
      <c r="N295" s="2" t="s">
        <v>371</v>
      </c>
      <c r="O295" s="2" t="s">
        <v>495</v>
      </c>
      <c r="P295" s="2" t="n">
        <v>60</v>
      </c>
      <c r="Q295" s="2" t="s">
        <v>496</v>
      </c>
      <c r="R295" s="11" t="s">
        <v>497</v>
      </c>
      <c r="S295" s="11" t="s">
        <v>498</v>
      </c>
      <c r="T295" s="2" t="s">
        <v>219</v>
      </c>
      <c r="U295" s="2" t="s">
        <v>153</v>
      </c>
      <c r="V295" s="2" t="s">
        <v>570</v>
      </c>
      <c r="W295" s="11" t="s">
        <v>571</v>
      </c>
      <c r="X295" s="2"/>
      <c r="Y295" s="2"/>
      <c r="Z295" s="2"/>
      <c r="AA295" s="2"/>
      <c r="AB295" s="2" t="s">
        <v>572</v>
      </c>
      <c r="AC295" s="2" t="s">
        <v>157</v>
      </c>
      <c r="AD295" s="2" t="s">
        <v>132</v>
      </c>
      <c r="AE295" s="10" t="b">
        <f aca="false">FALSE()</f>
        <v>0</v>
      </c>
      <c r="AF295" s="2" t="s">
        <v>133</v>
      </c>
      <c r="AG295" s="2" t="s">
        <v>158</v>
      </c>
      <c r="AH295" s="2" t="s">
        <v>135</v>
      </c>
      <c r="AI295" s="11" t="s">
        <v>502</v>
      </c>
      <c r="AJ295" s="2" t="s">
        <v>137</v>
      </c>
      <c r="AK295" s="2" t="s">
        <v>137</v>
      </c>
      <c r="AL295" s="2" t="s">
        <v>1003</v>
      </c>
    </row>
    <row r="296" customFormat="false" ht="90" hidden="false" customHeight="true" outlineLevel="0" collapsed="false">
      <c r="A296" s="2" t="s">
        <v>1004</v>
      </c>
      <c r="B296" s="2" t="s">
        <v>569</v>
      </c>
      <c r="C296" s="2" t="s">
        <v>474</v>
      </c>
      <c r="D296" s="9" t="n">
        <v>67</v>
      </c>
      <c r="E296" s="2" t="s">
        <v>491</v>
      </c>
      <c r="F296" s="2" t="s">
        <v>492</v>
      </c>
      <c r="G296" s="2" t="s">
        <v>524</v>
      </c>
      <c r="H296" s="2" t="s">
        <v>368</v>
      </c>
      <c r="I296" s="2" t="s">
        <v>145</v>
      </c>
      <c r="J296" s="2" t="s">
        <v>369</v>
      </c>
      <c r="K296" s="10" t="b">
        <f aca="false">FALSE()</f>
        <v>0</v>
      </c>
      <c r="L296" s="10" t="b">
        <f aca="false">FALSE()</f>
        <v>0</v>
      </c>
      <c r="M296" s="2" t="s">
        <v>494</v>
      </c>
      <c r="N296" s="2" t="s">
        <v>371</v>
      </c>
      <c r="O296" s="2" t="s">
        <v>495</v>
      </c>
      <c r="P296" s="2" t="n">
        <v>30</v>
      </c>
      <c r="Q296" s="2" t="s">
        <v>496</v>
      </c>
      <c r="R296" s="11" t="s">
        <v>497</v>
      </c>
      <c r="S296" s="11" t="s">
        <v>498</v>
      </c>
      <c r="T296" s="2" t="s">
        <v>632</v>
      </c>
      <c r="U296" s="2" t="s">
        <v>153</v>
      </c>
      <c r="V296" s="2" t="s">
        <v>606</v>
      </c>
      <c r="W296" s="11" t="s">
        <v>607</v>
      </c>
      <c r="X296" s="2"/>
      <c r="Y296" s="2"/>
      <c r="Z296" s="2"/>
      <c r="AA296" s="2"/>
      <c r="AB296" s="2" t="s">
        <v>608</v>
      </c>
      <c r="AC296" s="2" t="s">
        <v>131</v>
      </c>
      <c r="AD296" s="2" t="s">
        <v>440</v>
      </c>
      <c r="AE296" s="10" t="b">
        <f aca="false">FALSE()</f>
        <v>0</v>
      </c>
      <c r="AF296" s="2" t="s">
        <v>133</v>
      </c>
      <c r="AG296" s="2" t="s">
        <v>158</v>
      </c>
      <c r="AH296" s="2" t="s">
        <v>135</v>
      </c>
      <c r="AI296" s="11" t="s">
        <v>502</v>
      </c>
      <c r="AJ296" s="2" t="s">
        <v>137</v>
      </c>
      <c r="AK296" s="2" t="s">
        <v>137</v>
      </c>
      <c r="AL296" s="2" t="s">
        <v>1005</v>
      </c>
    </row>
    <row r="297" customFormat="false" ht="90" hidden="false" customHeight="true" outlineLevel="0" collapsed="false">
      <c r="A297" s="2" t="s">
        <v>1006</v>
      </c>
      <c r="B297" s="2" t="s">
        <v>569</v>
      </c>
      <c r="C297" s="2" t="s">
        <v>474</v>
      </c>
      <c r="D297" s="9" t="n">
        <v>61</v>
      </c>
      <c r="E297" s="2" t="s">
        <v>491</v>
      </c>
      <c r="F297" s="2" t="s">
        <v>492</v>
      </c>
      <c r="G297" s="2" t="s">
        <v>524</v>
      </c>
      <c r="H297" s="2" t="s">
        <v>368</v>
      </c>
      <c r="I297" s="2" t="s">
        <v>145</v>
      </c>
      <c r="J297" s="2" t="s">
        <v>369</v>
      </c>
      <c r="K297" s="10" t="b">
        <f aca="false">FALSE()</f>
        <v>0</v>
      </c>
      <c r="L297" s="10" t="b">
        <f aca="false">FALSE()</f>
        <v>0</v>
      </c>
      <c r="M297" s="2" t="s">
        <v>494</v>
      </c>
      <c r="N297" s="2" t="s">
        <v>371</v>
      </c>
      <c r="O297" s="2" t="s">
        <v>495</v>
      </c>
      <c r="P297" s="2" t="n">
        <v>60</v>
      </c>
      <c r="Q297" s="2" t="s">
        <v>496</v>
      </c>
      <c r="R297" s="11" t="s">
        <v>497</v>
      </c>
      <c r="S297" s="11" t="s">
        <v>498</v>
      </c>
      <c r="T297" s="2" t="s">
        <v>219</v>
      </c>
      <c r="U297" s="2" t="s">
        <v>153</v>
      </c>
      <c r="V297" s="2" t="s">
        <v>570</v>
      </c>
      <c r="W297" s="11" t="s">
        <v>571</v>
      </c>
      <c r="X297" s="2"/>
      <c r="Y297" s="2"/>
      <c r="Z297" s="2"/>
      <c r="AA297" s="2"/>
      <c r="AB297" s="2" t="s">
        <v>572</v>
      </c>
      <c r="AC297" s="2" t="s">
        <v>157</v>
      </c>
      <c r="AD297" s="2" t="s">
        <v>132</v>
      </c>
      <c r="AE297" s="10" t="b">
        <f aca="false">FALSE()</f>
        <v>0</v>
      </c>
      <c r="AF297" s="2" t="s">
        <v>133</v>
      </c>
      <c r="AG297" s="2" t="s">
        <v>158</v>
      </c>
      <c r="AH297" s="2" t="s">
        <v>135</v>
      </c>
      <c r="AI297" s="11" t="s">
        <v>502</v>
      </c>
      <c r="AJ297" s="2" t="s">
        <v>137</v>
      </c>
      <c r="AK297" s="2" t="s">
        <v>137</v>
      </c>
      <c r="AL297" s="2" t="s">
        <v>1007</v>
      </c>
    </row>
    <row r="298" customFormat="false" ht="90" hidden="false" customHeight="true" outlineLevel="0" collapsed="false">
      <c r="A298" s="2" t="s">
        <v>1008</v>
      </c>
      <c r="B298" s="2" t="s">
        <v>569</v>
      </c>
      <c r="C298" s="2" t="s">
        <v>474</v>
      </c>
      <c r="D298" s="9" t="n">
        <v>61</v>
      </c>
      <c r="E298" s="2" t="s">
        <v>491</v>
      </c>
      <c r="F298" s="2" t="s">
        <v>492</v>
      </c>
      <c r="G298" s="2" t="s">
        <v>524</v>
      </c>
      <c r="H298" s="2" t="s">
        <v>368</v>
      </c>
      <c r="I298" s="2" t="s">
        <v>145</v>
      </c>
      <c r="J298" s="2" t="s">
        <v>369</v>
      </c>
      <c r="K298" s="10" t="b">
        <f aca="false">FALSE()</f>
        <v>0</v>
      </c>
      <c r="L298" s="10" t="b">
        <f aca="false">FALSE()</f>
        <v>0</v>
      </c>
      <c r="M298" s="2" t="s">
        <v>494</v>
      </c>
      <c r="N298" s="2" t="s">
        <v>371</v>
      </c>
      <c r="O298" s="2" t="s">
        <v>495</v>
      </c>
      <c r="P298" s="2" t="n">
        <v>30</v>
      </c>
      <c r="Q298" s="2" t="s">
        <v>496</v>
      </c>
      <c r="R298" s="11" t="s">
        <v>497</v>
      </c>
      <c r="S298" s="11" t="s">
        <v>498</v>
      </c>
      <c r="T298" s="2" t="s">
        <v>632</v>
      </c>
      <c r="U298" s="2" t="s">
        <v>153</v>
      </c>
      <c r="V298" s="2" t="s">
        <v>606</v>
      </c>
      <c r="W298" s="11" t="s">
        <v>607</v>
      </c>
      <c r="X298" s="2"/>
      <c r="Y298" s="2"/>
      <c r="Z298" s="2"/>
      <c r="AA298" s="2"/>
      <c r="AB298" s="2" t="s">
        <v>608</v>
      </c>
      <c r="AC298" s="2" t="s">
        <v>131</v>
      </c>
      <c r="AD298" s="2" t="s">
        <v>440</v>
      </c>
      <c r="AE298" s="10" t="b">
        <f aca="false">FALSE()</f>
        <v>0</v>
      </c>
      <c r="AF298" s="2" t="s">
        <v>133</v>
      </c>
      <c r="AG298" s="2" t="s">
        <v>158</v>
      </c>
      <c r="AH298" s="2" t="s">
        <v>135</v>
      </c>
      <c r="AI298" s="11" t="s">
        <v>502</v>
      </c>
      <c r="AJ298" s="2" t="s">
        <v>137</v>
      </c>
      <c r="AK298" s="2" t="s">
        <v>137</v>
      </c>
      <c r="AL298" s="2" t="s">
        <v>1009</v>
      </c>
    </row>
    <row r="299" customFormat="false" ht="90" hidden="false" customHeight="true" outlineLevel="0" collapsed="false">
      <c r="A299" s="2" t="s">
        <v>1010</v>
      </c>
      <c r="B299" s="2" t="s">
        <v>569</v>
      </c>
      <c r="C299" s="2" t="s">
        <v>474</v>
      </c>
      <c r="D299" s="9" t="n">
        <v>58</v>
      </c>
      <c r="E299" s="2" t="s">
        <v>491</v>
      </c>
      <c r="F299" s="2" t="s">
        <v>492</v>
      </c>
      <c r="G299" s="2" t="s">
        <v>524</v>
      </c>
      <c r="H299" s="2" t="s">
        <v>368</v>
      </c>
      <c r="I299" s="2" t="s">
        <v>145</v>
      </c>
      <c r="J299" s="2" t="s">
        <v>369</v>
      </c>
      <c r="K299" s="10" t="b">
        <f aca="false">FALSE()</f>
        <v>0</v>
      </c>
      <c r="L299" s="10" t="b">
        <f aca="false">FALSE()</f>
        <v>0</v>
      </c>
      <c r="M299" s="2" t="s">
        <v>494</v>
      </c>
      <c r="N299" s="2" t="s">
        <v>371</v>
      </c>
      <c r="O299" s="2" t="s">
        <v>495</v>
      </c>
      <c r="P299" s="2" t="n">
        <v>60</v>
      </c>
      <c r="Q299" s="2" t="s">
        <v>496</v>
      </c>
      <c r="R299" s="11" t="s">
        <v>497</v>
      </c>
      <c r="S299" s="11" t="s">
        <v>498</v>
      </c>
      <c r="T299" s="2" t="s">
        <v>219</v>
      </c>
      <c r="U299" s="2" t="s">
        <v>153</v>
      </c>
      <c r="V299" s="2" t="s">
        <v>570</v>
      </c>
      <c r="W299" s="11" t="s">
        <v>571</v>
      </c>
      <c r="X299" s="2"/>
      <c r="Y299" s="2"/>
      <c r="Z299" s="2"/>
      <c r="AA299" s="2"/>
      <c r="AB299" s="2" t="s">
        <v>572</v>
      </c>
      <c r="AC299" s="2" t="s">
        <v>157</v>
      </c>
      <c r="AD299" s="2" t="s">
        <v>132</v>
      </c>
      <c r="AE299" s="10" t="b">
        <f aca="false">FALSE()</f>
        <v>0</v>
      </c>
      <c r="AF299" s="2" t="s">
        <v>133</v>
      </c>
      <c r="AG299" s="2" t="s">
        <v>158</v>
      </c>
      <c r="AH299" s="2" t="s">
        <v>135</v>
      </c>
      <c r="AI299" s="11" t="s">
        <v>502</v>
      </c>
      <c r="AJ299" s="2" t="s">
        <v>137</v>
      </c>
      <c r="AK299" s="2" t="s">
        <v>137</v>
      </c>
      <c r="AL299" s="2" t="s">
        <v>1011</v>
      </c>
    </row>
    <row r="300" customFormat="false" ht="90" hidden="false" customHeight="true" outlineLevel="0" collapsed="false">
      <c r="A300" s="2" t="s">
        <v>1012</v>
      </c>
      <c r="B300" s="2" t="s">
        <v>569</v>
      </c>
      <c r="C300" s="2" t="s">
        <v>474</v>
      </c>
      <c r="D300" s="9" t="n">
        <v>53</v>
      </c>
      <c r="E300" s="2" t="s">
        <v>491</v>
      </c>
      <c r="F300" s="2" t="s">
        <v>492</v>
      </c>
      <c r="G300" s="2" t="s">
        <v>524</v>
      </c>
      <c r="H300" s="2" t="s">
        <v>368</v>
      </c>
      <c r="I300" s="2" t="s">
        <v>145</v>
      </c>
      <c r="J300" s="2" t="s">
        <v>369</v>
      </c>
      <c r="K300" s="10" t="b">
        <f aca="false">FALSE()</f>
        <v>0</v>
      </c>
      <c r="L300" s="10" t="b">
        <f aca="false">TRUE()</f>
        <v>1</v>
      </c>
      <c r="M300" s="2" t="s">
        <v>494</v>
      </c>
      <c r="N300" s="2" t="s">
        <v>371</v>
      </c>
      <c r="O300" s="2" t="s">
        <v>495</v>
      </c>
      <c r="P300" s="2" t="n">
        <v>60</v>
      </c>
      <c r="Q300" s="2" t="s">
        <v>496</v>
      </c>
      <c r="R300" s="11" t="s">
        <v>497</v>
      </c>
      <c r="S300" s="11" t="s">
        <v>498</v>
      </c>
      <c r="T300" s="2" t="s">
        <v>219</v>
      </c>
      <c r="U300" s="2" t="s">
        <v>153</v>
      </c>
      <c r="V300" s="2" t="s">
        <v>570</v>
      </c>
      <c r="W300" s="11" t="s">
        <v>571</v>
      </c>
      <c r="X300" s="2"/>
      <c r="Y300" s="2"/>
      <c r="Z300" s="2"/>
      <c r="AA300" s="2"/>
      <c r="AB300" s="2" t="s">
        <v>572</v>
      </c>
      <c r="AC300" s="2" t="s">
        <v>157</v>
      </c>
      <c r="AD300" s="2" t="s">
        <v>132</v>
      </c>
      <c r="AE300" s="10" t="b">
        <f aca="false">FALSE()</f>
        <v>0</v>
      </c>
      <c r="AF300" s="2" t="s">
        <v>133</v>
      </c>
      <c r="AG300" s="2" t="s">
        <v>158</v>
      </c>
      <c r="AH300" s="2" t="s">
        <v>135</v>
      </c>
      <c r="AI300" s="11" t="s">
        <v>502</v>
      </c>
      <c r="AJ300" s="2" t="s">
        <v>137</v>
      </c>
      <c r="AK300" s="2" t="s">
        <v>137</v>
      </c>
      <c r="AL300" s="2" t="s">
        <v>1013</v>
      </c>
    </row>
    <row r="301" customFormat="false" ht="90" hidden="false" customHeight="true" outlineLevel="0" collapsed="false">
      <c r="A301" s="2" t="s">
        <v>1014</v>
      </c>
      <c r="B301" s="2" t="s">
        <v>569</v>
      </c>
      <c r="C301" s="2" t="s">
        <v>474</v>
      </c>
      <c r="D301" s="9" t="n">
        <v>49</v>
      </c>
      <c r="E301" s="2" t="s">
        <v>491</v>
      </c>
      <c r="F301" s="2" t="s">
        <v>492</v>
      </c>
      <c r="G301" s="2" t="s">
        <v>524</v>
      </c>
      <c r="H301" s="2" t="s">
        <v>368</v>
      </c>
      <c r="I301" s="2" t="s">
        <v>145</v>
      </c>
      <c r="J301" s="2" t="s">
        <v>369</v>
      </c>
      <c r="K301" s="10" t="b">
        <f aca="false">FALSE()</f>
        <v>0</v>
      </c>
      <c r="L301" s="10" t="b">
        <f aca="false">TRUE()</f>
        <v>1</v>
      </c>
      <c r="M301" s="2" t="s">
        <v>494</v>
      </c>
      <c r="N301" s="2" t="s">
        <v>371</v>
      </c>
      <c r="O301" s="2" t="s">
        <v>495</v>
      </c>
      <c r="P301" s="2" t="n">
        <v>30</v>
      </c>
      <c r="Q301" s="2" t="s">
        <v>496</v>
      </c>
      <c r="R301" s="11" t="s">
        <v>497</v>
      </c>
      <c r="S301" s="11" t="s">
        <v>498</v>
      </c>
      <c r="T301" s="2" t="s">
        <v>219</v>
      </c>
      <c r="U301" s="2" t="s">
        <v>153</v>
      </c>
      <c r="V301" s="2" t="s">
        <v>587</v>
      </c>
      <c r="W301" s="11" t="s">
        <v>645</v>
      </c>
      <c r="X301" s="2"/>
      <c r="Y301" s="2"/>
      <c r="Z301" s="2"/>
      <c r="AA301" s="2"/>
      <c r="AB301" s="2" t="s">
        <v>589</v>
      </c>
      <c r="AC301" s="2" t="s">
        <v>157</v>
      </c>
      <c r="AD301" s="2" t="s">
        <v>354</v>
      </c>
      <c r="AE301" s="10" t="b">
        <f aca="false">FALSE()</f>
        <v>0</v>
      </c>
      <c r="AF301" s="2" t="s">
        <v>133</v>
      </c>
      <c r="AG301" s="2" t="s">
        <v>158</v>
      </c>
      <c r="AH301" s="2" t="s">
        <v>135</v>
      </c>
      <c r="AI301" s="11" t="s">
        <v>502</v>
      </c>
      <c r="AJ301" s="2" t="s">
        <v>137</v>
      </c>
      <c r="AK301" s="2" t="s">
        <v>137</v>
      </c>
      <c r="AL301" s="2" t="s">
        <v>1015</v>
      </c>
    </row>
    <row r="302" customFormat="false" ht="90" hidden="false" customHeight="true" outlineLevel="0" collapsed="false">
      <c r="A302" s="2" t="s">
        <v>1016</v>
      </c>
      <c r="B302" s="2" t="s">
        <v>569</v>
      </c>
      <c r="C302" s="2" t="s">
        <v>474</v>
      </c>
      <c r="D302" s="9" t="n">
        <v>34</v>
      </c>
      <c r="E302" s="2" t="s">
        <v>491</v>
      </c>
      <c r="F302" s="2" t="s">
        <v>492</v>
      </c>
      <c r="G302" s="2" t="s">
        <v>524</v>
      </c>
      <c r="H302" s="2" t="s">
        <v>368</v>
      </c>
      <c r="I302" s="2" t="s">
        <v>145</v>
      </c>
      <c r="J302" s="2" t="s">
        <v>369</v>
      </c>
      <c r="K302" s="10" t="b">
        <f aca="false">FALSE()</f>
        <v>0</v>
      </c>
      <c r="L302" s="10" t="b">
        <f aca="false">FALSE()</f>
        <v>0</v>
      </c>
      <c r="M302" s="2" t="s">
        <v>494</v>
      </c>
      <c r="N302" s="2" t="s">
        <v>371</v>
      </c>
      <c r="O302" s="2" t="s">
        <v>495</v>
      </c>
      <c r="P302" s="2" t="n">
        <v>30</v>
      </c>
      <c r="Q302" s="2" t="s">
        <v>496</v>
      </c>
      <c r="R302" s="11" t="s">
        <v>497</v>
      </c>
      <c r="S302" s="11" t="s">
        <v>498</v>
      </c>
      <c r="T302" s="2" t="s">
        <v>632</v>
      </c>
      <c r="U302" s="2" t="s">
        <v>153</v>
      </c>
      <c r="V302" s="2" t="s">
        <v>606</v>
      </c>
      <c r="W302" s="11" t="s">
        <v>607</v>
      </c>
      <c r="X302" s="2"/>
      <c r="Y302" s="2"/>
      <c r="Z302" s="2"/>
      <c r="AA302" s="2"/>
      <c r="AB302" s="2" t="s">
        <v>608</v>
      </c>
      <c r="AC302" s="2" t="s">
        <v>131</v>
      </c>
      <c r="AD302" s="2" t="s">
        <v>440</v>
      </c>
      <c r="AE302" s="10" t="b">
        <f aca="false">FALSE()</f>
        <v>0</v>
      </c>
      <c r="AF302" s="2" t="s">
        <v>133</v>
      </c>
      <c r="AG302" s="2" t="s">
        <v>158</v>
      </c>
      <c r="AH302" s="2" t="s">
        <v>135</v>
      </c>
      <c r="AI302" s="11" t="s">
        <v>502</v>
      </c>
      <c r="AJ302" s="2" t="s">
        <v>137</v>
      </c>
      <c r="AK302" s="2" t="s">
        <v>137</v>
      </c>
      <c r="AL302" s="2" t="s">
        <v>1017</v>
      </c>
    </row>
    <row r="303" customFormat="false" ht="90" hidden="false" customHeight="true" outlineLevel="0" collapsed="false">
      <c r="A303" s="2" t="s">
        <v>1018</v>
      </c>
      <c r="B303" s="2" t="s">
        <v>569</v>
      </c>
      <c r="C303" s="2" t="s">
        <v>474</v>
      </c>
      <c r="D303" s="9" t="n">
        <v>7</v>
      </c>
      <c r="E303" s="2" t="s">
        <v>491</v>
      </c>
      <c r="F303" s="2" t="s">
        <v>492</v>
      </c>
      <c r="G303" s="2" t="s">
        <v>524</v>
      </c>
      <c r="H303" s="2" t="s">
        <v>368</v>
      </c>
      <c r="I303" s="2" t="s">
        <v>145</v>
      </c>
      <c r="J303" s="2" t="s">
        <v>369</v>
      </c>
      <c r="K303" s="10" t="b">
        <f aca="false">FALSE()</f>
        <v>0</v>
      </c>
      <c r="L303" s="10" t="b">
        <f aca="false">TRUE()</f>
        <v>1</v>
      </c>
      <c r="M303" s="2" t="s">
        <v>494</v>
      </c>
      <c r="N303" s="2" t="s">
        <v>371</v>
      </c>
      <c r="O303" s="2" t="s">
        <v>495</v>
      </c>
      <c r="P303" s="2" t="n">
        <v>60</v>
      </c>
      <c r="Q303" s="2" t="s">
        <v>496</v>
      </c>
      <c r="R303" s="11" t="s">
        <v>497</v>
      </c>
      <c r="S303" s="11" t="s">
        <v>498</v>
      </c>
      <c r="T303" s="2" t="s">
        <v>219</v>
      </c>
      <c r="U303" s="2" t="s">
        <v>153</v>
      </c>
      <c r="V303" s="2" t="s">
        <v>570</v>
      </c>
      <c r="W303" s="11" t="s">
        <v>571</v>
      </c>
      <c r="X303" s="2"/>
      <c r="Y303" s="2"/>
      <c r="Z303" s="2"/>
      <c r="AA303" s="2"/>
      <c r="AB303" s="2" t="s">
        <v>572</v>
      </c>
      <c r="AC303" s="2" t="s">
        <v>157</v>
      </c>
      <c r="AD303" s="2" t="s">
        <v>132</v>
      </c>
      <c r="AE303" s="10" t="b">
        <f aca="false">FALSE()</f>
        <v>0</v>
      </c>
      <c r="AF303" s="2" t="s">
        <v>133</v>
      </c>
      <c r="AG303" s="2" t="s">
        <v>158</v>
      </c>
      <c r="AH303" s="2" t="s">
        <v>135</v>
      </c>
      <c r="AI303" s="11" t="s">
        <v>502</v>
      </c>
      <c r="AJ303" s="2" t="s">
        <v>137</v>
      </c>
      <c r="AK303" s="2" t="s">
        <v>137</v>
      </c>
      <c r="AL303" s="2" t="s">
        <v>1019</v>
      </c>
    </row>
  </sheetData>
  <autoFilter ref="A3:AL30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0"/>
    <col collapsed="false" customWidth="true" hidden="false" outlineLevel="0" max="15" min="3" style="0" width="38"/>
  </cols>
  <sheetData>
    <row r="1" customFormat="false" ht="15" hidden="false" customHeight="false" outlineLevel="0" collapsed="false">
      <c r="A1" s="7" t="s">
        <v>1020</v>
      </c>
      <c r="B1" s="7"/>
      <c r="C1" s="7"/>
      <c r="D1" s="7"/>
      <c r="E1" s="7"/>
      <c r="F1" s="7"/>
      <c r="G1" s="7"/>
      <c r="H1" s="7"/>
      <c r="I1" s="7"/>
      <c r="J1" s="7"/>
      <c r="K1" s="7"/>
      <c r="L1" s="7"/>
      <c r="M1" s="7"/>
      <c r="N1" s="7"/>
      <c r="O1" s="7"/>
    </row>
    <row r="2" customFormat="false" ht="15" hidden="false" customHeight="false" outlineLevel="0" collapsed="false">
      <c r="A2" s="2"/>
      <c r="B2" s="2"/>
      <c r="C2" s="2"/>
      <c r="D2" s="2"/>
      <c r="E2" s="2"/>
      <c r="F2" s="2"/>
      <c r="G2" s="2"/>
      <c r="H2" s="2"/>
      <c r="I2" s="2"/>
      <c r="J2" s="2"/>
      <c r="K2" s="2"/>
      <c r="L2" s="2"/>
      <c r="M2" s="2"/>
      <c r="N2" s="2"/>
      <c r="O2" s="2"/>
    </row>
    <row r="3" customFormat="false" ht="15" hidden="false" customHeight="false" outlineLevel="0" collapsed="false">
      <c r="A3" s="8" t="s">
        <v>87</v>
      </c>
      <c r="B3" s="8" t="s">
        <v>80</v>
      </c>
      <c r="C3" s="8" t="s">
        <v>1021</v>
      </c>
      <c r="D3" s="8" t="s">
        <v>84</v>
      </c>
      <c r="E3" s="8" t="s">
        <v>1022</v>
      </c>
      <c r="F3" s="8" t="s">
        <v>88</v>
      </c>
      <c r="G3" s="8" t="s">
        <v>89</v>
      </c>
      <c r="H3" s="8" t="s">
        <v>90</v>
      </c>
      <c r="I3" s="8" t="s">
        <v>1023</v>
      </c>
      <c r="J3" s="8" t="s">
        <v>1024</v>
      </c>
      <c r="K3" s="8" t="s">
        <v>91</v>
      </c>
      <c r="L3" s="8" t="s">
        <v>92</v>
      </c>
      <c r="M3" s="8" t="s">
        <v>93</v>
      </c>
      <c r="N3" s="8" t="s">
        <v>1025</v>
      </c>
      <c r="O3" s="8" t="s">
        <v>1026</v>
      </c>
    </row>
    <row r="4" customFormat="false" ht="150" hidden="false" customHeight="true" outlineLevel="0" collapsed="false">
      <c r="A4" s="2" t="s">
        <v>122</v>
      </c>
      <c r="B4" s="2" t="s">
        <v>117</v>
      </c>
      <c r="C4" s="11" t="s">
        <v>1027</v>
      </c>
      <c r="D4" s="11" t="s">
        <v>1028</v>
      </c>
      <c r="E4" s="2" t="s">
        <v>1029</v>
      </c>
      <c r="F4" s="2" t="s">
        <v>1030</v>
      </c>
      <c r="G4" s="11" t="s">
        <v>1031</v>
      </c>
      <c r="H4" s="2" t="n">
        <v>7</v>
      </c>
      <c r="I4" s="11" t="s">
        <v>1032</v>
      </c>
      <c r="J4" s="11" t="s">
        <v>1033</v>
      </c>
      <c r="K4" s="11" t="s">
        <v>125</v>
      </c>
      <c r="L4" s="11" t="s">
        <v>126</v>
      </c>
      <c r="M4" s="11" t="s">
        <v>127</v>
      </c>
      <c r="N4" s="11" t="s">
        <v>136</v>
      </c>
      <c r="O4" s="11" t="s">
        <v>1034</v>
      </c>
    </row>
    <row r="5" customFormat="false" ht="150" hidden="false" customHeight="true" outlineLevel="0" collapsed="false">
      <c r="A5" s="2" t="s">
        <v>147</v>
      </c>
      <c r="B5" s="2" t="s">
        <v>142</v>
      </c>
      <c r="C5" s="11" t="s">
        <v>1035</v>
      </c>
      <c r="D5" s="2" t="s">
        <v>1036</v>
      </c>
      <c r="E5" s="2" t="s">
        <v>1029</v>
      </c>
      <c r="F5" s="2" t="s">
        <v>1037</v>
      </c>
      <c r="G5" s="11" t="s">
        <v>1038</v>
      </c>
      <c r="H5" s="2" t="n">
        <v>14</v>
      </c>
      <c r="I5" s="11" t="s">
        <v>1039</v>
      </c>
      <c r="J5" s="11" t="s">
        <v>1040</v>
      </c>
      <c r="K5" s="11" t="s">
        <v>149</v>
      </c>
      <c r="L5" s="11" t="s">
        <v>150</v>
      </c>
      <c r="M5" s="11" t="s">
        <v>151</v>
      </c>
      <c r="N5" s="11" t="s">
        <v>159</v>
      </c>
      <c r="O5" s="11" t="s">
        <v>1041</v>
      </c>
    </row>
    <row r="6" customFormat="false" ht="150" hidden="false" customHeight="true" outlineLevel="0" collapsed="false">
      <c r="A6" s="2" t="s">
        <v>316</v>
      </c>
      <c r="B6" s="2" t="s">
        <v>311</v>
      </c>
      <c r="C6" s="11" t="s">
        <v>1042</v>
      </c>
      <c r="D6" s="2" t="s">
        <v>1043</v>
      </c>
      <c r="E6" s="2" t="s">
        <v>1044</v>
      </c>
      <c r="F6" s="2" t="s">
        <v>317</v>
      </c>
      <c r="G6" s="11" t="s">
        <v>1045</v>
      </c>
      <c r="H6" s="2" t="n">
        <v>15</v>
      </c>
      <c r="I6" s="11" t="s">
        <v>1046</v>
      </c>
      <c r="J6" s="11" t="s">
        <v>1047</v>
      </c>
      <c r="K6" s="11" t="s">
        <v>319</v>
      </c>
      <c r="L6" s="11" t="s">
        <v>320</v>
      </c>
      <c r="M6" s="11" t="s">
        <v>321</v>
      </c>
      <c r="N6" s="11" t="s">
        <v>326</v>
      </c>
      <c r="O6" s="11" t="s">
        <v>1048</v>
      </c>
    </row>
    <row r="7" customFormat="false" ht="150" hidden="false" customHeight="true" outlineLevel="0" collapsed="false">
      <c r="A7" s="2" t="s">
        <v>346</v>
      </c>
      <c r="B7" s="2" t="s">
        <v>344</v>
      </c>
      <c r="C7" s="11" t="s">
        <v>1049</v>
      </c>
      <c r="D7" s="2" t="s">
        <v>1050</v>
      </c>
      <c r="E7" s="2" t="s">
        <v>1051</v>
      </c>
      <c r="F7" s="11" t="s">
        <v>1052</v>
      </c>
      <c r="G7" s="11" t="s">
        <v>1053</v>
      </c>
      <c r="H7" s="2" t="n">
        <v>14</v>
      </c>
      <c r="I7" s="11" t="s">
        <v>1054</v>
      </c>
      <c r="J7" s="11" t="s">
        <v>1055</v>
      </c>
      <c r="K7" s="11" t="s">
        <v>348</v>
      </c>
      <c r="L7" s="2" t="s">
        <v>349</v>
      </c>
      <c r="M7" s="11" t="s">
        <v>350</v>
      </c>
      <c r="N7" s="11" t="s">
        <v>355</v>
      </c>
      <c r="O7" s="2" t="s">
        <v>1056</v>
      </c>
    </row>
    <row r="8" customFormat="false" ht="150" hidden="false" customHeight="true" outlineLevel="0" collapsed="false">
      <c r="A8" s="2" t="s">
        <v>544</v>
      </c>
      <c r="B8" s="2" t="s">
        <v>542</v>
      </c>
      <c r="C8" s="11" t="s">
        <v>1057</v>
      </c>
      <c r="D8" s="2" t="s">
        <v>369</v>
      </c>
      <c r="E8" s="2" t="s">
        <v>1058</v>
      </c>
      <c r="F8" s="2" t="s">
        <v>371</v>
      </c>
      <c r="G8" s="2" t="s">
        <v>1059</v>
      </c>
      <c r="H8" s="2" t="n">
        <v>14</v>
      </c>
      <c r="I8" s="11" t="s">
        <v>1060</v>
      </c>
      <c r="J8" s="2"/>
      <c r="K8" s="11" t="s">
        <v>546</v>
      </c>
      <c r="L8" s="11" t="s">
        <v>547</v>
      </c>
      <c r="M8" s="11" t="s">
        <v>548</v>
      </c>
      <c r="N8" s="11" t="s">
        <v>551</v>
      </c>
      <c r="O8" s="11" t="s">
        <v>1061</v>
      </c>
    </row>
    <row r="9" customFormat="false" ht="150" hidden="false" customHeight="true" outlineLevel="0" collapsed="false">
      <c r="A9" s="2" t="s">
        <v>370</v>
      </c>
      <c r="B9" s="2" t="s">
        <v>366</v>
      </c>
      <c r="C9" s="11" t="s">
        <v>1062</v>
      </c>
      <c r="D9" s="2" t="s">
        <v>369</v>
      </c>
      <c r="E9" s="2" t="s">
        <v>1058</v>
      </c>
      <c r="F9" s="2" t="s">
        <v>371</v>
      </c>
      <c r="G9" s="2" t="s">
        <v>1063</v>
      </c>
      <c r="H9" s="2" t="n">
        <v>30</v>
      </c>
      <c r="I9" s="2" t="s">
        <v>1064</v>
      </c>
      <c r="J9" s="2"/>
      <c r="K9" s="11" t="s">
        <v>373</v>
      </c>
      <c r="L9" s="11" t="s">
        <v>374</v>
      </c>
      <c r="M9" s="2" t="s">
        <v>375</v>
      </c>
      <c r="N9" s="11" t="s">
        <v>378</v>
      </c>
      <c r="O9" s="11" t="s">
        <v>1065</v>
      </c>
    </row>
    <row r="10" customFormat="false" ht="150" hidden="false" customHeight="true" outlineLevel="0" collapsed="false">
      <c r="A10" s="2" t="s">
        <v>479</v>
      </c>
      <c r="B10" s="2" t="s">
        <v>476</v>
      </c>
      <c r="C10" s="11" t="s">
        <v>1066</v>
      </c>
      <c r="D10" s="2" t="s">
        <v>121</v>
      </c>
      <c r="E10" s="2" t="s">
        <v>1067</v>
      </c>
      <c r="F10" s="2" t="s">
        <v>1068</v>
      </c>
      <c r="G10" s="11" t="s">
        <v>1069</v>
      </c>
      <c r="H10" s="2" t="n">
        <v>14</v>
      </c>
      <c r="I10" s="2" t="s">
        <v>1070</v>
      </c>
      <c r="J10" s="2"/>
      <c r="K10" s="11" t="s">
        <v>482</v>
      </c>
      <c r="L10" s="2" t="s">
        <v>483</v>
      </c>
      <c r="M10" s="2" t="s">
        <v>484</v>
      </c>
      <c r="N10" s="11" t="s">
        <v>488</v>
      </c>
      <c r="O10" s="11" t="s">
        <v>1071</v>
      </c>
    </row>
    <row r="11" customFormat="false" ht="150" hidden="false" customHeight="true" outlineLevel="0" collapsed="false">
      <c r="A11" s="2" t="s">
        <v>494</v>
      </c>
      <c r="B11" s="2" t="s">
        <v>492</v>
      </c>
      <c r="C11" s="11" t="s">
        <v>1072</v>
      </c>
      <c r="D11" s="2" t="s">
        <v>369</v>
      </c>
      <c r="E11" s="2" t="s">
        <v>1058</v>
      </c>
      <c r="F11" s="2" t="s">
        <v>371</v>
      </c>
      <c r="G11" s="11" t="s">
        <v>1073</v>
      </c>
      <c r="H11" s="2" t="n">
        <v>30</v>
      </c>
      <c r="I11" s="11" t="s">
        <v>1074</v>
      </c>
      <c r="J11" s="2"/>
      <c r="K11" s="2" t="s">
        <v>496</v>
      </c>
      <c r="L11" s="11" t="s">
        <v>497</v>
      </c>
      <c r="M11" s="11" t="s">
        <v>498</v>
      </c>
      <c r="N11" s="11" t="s">
        <v>502</v>
      </c>
      <c r="O11" s="11" t="s">
        <v>1075</v>
      </c>
    </row>
    <row r="12" customFormat="false" ht="150" hidden="false" customHeight="true" outlineLevel="0" collapsed="false">
      <c r="A12" s="2" t="s">
        <v>1076</v>
      </c>
      <c r="B12" s="2" t="s">
        <v>1077</v>
      </c>
      <c r="C12" s="11" t="s">
        <v>1078</v>
      </c>
      <c r="D12" s="2" t="s">
        <v>1079</v>
      </c>
      <c r="E12" s="2" t="s">
        <v>1080</v>
      </c>
      <c r="F12" s="2" t="s">
        <v>1081</v>
      </c>
      <c r="G12" s="11" t="s">
        <v>1082</v>
      </c>
      <c r="H12" s="2" t="n">
        <v>30</v>
      </c>
      <c r="I12" s="2" t="s">
        <v>1083</v>
      </c>
      <c r="J12" s="2"/>
      <c r="K12" s="11" t="s">
        <v>1084</v>
      </c>
      <c r="L12" s="2" t="s">
        <v>1085</v>
      </c>
      <c r="M12" s="2" t="s">
        <v>484</v>
      </c>
      <c r="N12" s="2" t="s">
        <v>1086</v>
      </c>
      <c r="O12" s="11" t="s">
        <v>1087</v>
      </c>
    </row>
    <row r="13" customFormat="false" ht="15" hidden="false" customHeight="false" outlineLevel="0" collapsed="false">
      <c r="A13" s="2"/>
      <c r="B13" s="2"/>
      <c r="C13" s="2"/>
      <c r="D13" s="2"/>
      <c r="E13" s="2"/>
      <c r="F13" s="2"/>
      <c r="G13" s="2"/>
      <c r="H13" s="2"/>
      <c r="I13" s="2"/>
      <c r="J13" s="2"/>
      <c r="K13" s="2"/>
      <c r="L13" s="2"/>
      <c r="M13" s="2"/>
      <c r="N13" s="2"/>
      <c r="O13" s="2"/>
    </row>
    <row r="14" customFormat="false" ht="15" hidden="false" customHeight="false" outlineLevel="0" collapsed="false">
      <c r="A14" s="7" t="s">
        <v>1088</v>
      </c>
      <c r="B14" s="2"/>
      <c r="C14" s="2"/>
      <c r="D14" s="2"/>
      <c r="E14" s="2"/>
      <c r="F14" s="2"/>
      <c r="G14" s="2"/>
      <c r="H14" s="2"/>
      <c r="I14" s="2"/>
      <c r="J14" s="2"/>
      <c r="K14" s="2"/>
      <c r="L14" s="2"/>
      <c r="M14" s="2"/>
      <c r="N14" s="2"/>
      <c r="O14" s="2"/>
    </row>
    <row r="15" customFormat="false" ht="109.5" hidden="false" customHeight="true" outlineLevel="0" collapsed="false">
      <c r="A15" s="2" t="s">
        <v>164</v>
      </c>
      <c r="B15" s="11" t="s">
        <v>1089</v>
      </c>
      <c r="C15" s="2"/>
      <c r="D15" s="2"/>
      <c r="E15" s="2"/>
      <c r="F15" s="2"/>
      <c r="G15" s="2"/>
      <c r="H15" s="2"/>
      <c r="I15" s="2"/>
      <c r="J15" s="2"/>
      <c r="K15" s="2"/>
      <c r="L15" s="2"/>
      <c r="M15" s="2"/>
      <c r="N15" s="2"/>
      <c r="O15" s="2"/>
    </row>
    <row r="16" customFormat="false" ht="109.5" hidden="false" customHeight="true" outlineLevel="0" collapsed="false">
      <c r="A16" s="2" t="s">
        <v>184</v>
      </c>
      <c r="B16" s="11" t="s">
        <v>185</v>
      </c>
      <c r="C16" s="2"/>
      <c r="D16" s="2"/>
      <c r="E16" s="2"/>
      <c r="F16" s="2"/>
      <c r="G16" s="2"/>
      <c r="H16" s="2"/>
      <c r="I16" s="2"/>
      <c r="J16" s="2"/>
      <c r="K16" s="2"/>
      <c r="L16" s="2"/>
      <c r="M16" s="2"/>
      <c r="N16" s="2"/>
      <c r="O16" s="2"/>
    </row>
    <row r="17" customFormat="false" ht="109.5" hidden="false" customHeight="true" outlineLevel="0" collapsed="false">
      <c r="A17" s="2" t="s">
        <v>195</v>
      </c>
      <c r="B17" s="11" t="s">
        <v>1090</v>
      </c>
      <c r="C17" s="2"/>
      <c r="D17" s="2"/>
      <c r="E17" s="2"/>
      <c r="F17" s="2"/>
      <c r="G17" s="2"/>
      <c r="H17" s="2"/>
      <c r="I17" s="2"/>
      <c r="J17" s="2"/>
      <c r="K17" s="2"/>
      <c r="L17" s="2"/>
      <c r="M17" s="2"/>
      <c r="N17" s="2"/>
      <c r="O17" s="2"/>
    </row>
    <row r="18" customFormat="false" ht="109.5" hidden="false" customHeight="true" outlineLevel="0" collapsed="false">
      <c r="A18" s="2" t="s">
        <v>154</v>
      </c>
      <c r="B18" s="11" t="s">
        <v>155</v>
      </c>
      <c r="C18" s="2"/>
      <c r="D18" s="2"/>
      <c r="E18" s="2"/>
      <c r="F18" s="2"/>
      <c r="G18" s="2"/>
      <c r="H18" s="2"/>
      <c r="I18" s="2"/>
      <c r="J18" s="2"/>
      <c r="K18" s="2"/>
      <c r="L18" s="2"/>
      <c r="M18" s="2"/>
      <c r="N18" s="2"/>
      <c r="O18" s="2"/>
    </row>
    <row r="19" customFormat="false" ht="109.5" hidden="false" customHeight="true" outlineLevel="0" collapsed="false">
      <c r="A19" s="2" t="s">
        <v>256</v>
      </c>
      <c r="B19" s="11" t="s">
        <v>257</v>
      </c>
      <c r="C19" s="2"/>
      <c r="D19" s="2"/>
      <c r="E19" s="2"/>
      <c r="F19" s="2"/>
      <c r="G19" s="2"/>
      <c r="H19" s="2"/>
      <c r="I19" s="2"/>
      <c r="J19" s="2"/>
      <c r="K19" s="2"/>
      <c r="L19" s="2"/>
      <c r="M19" s="2"/>
      <c r="N19" s="2"/>
      <c r="O19" s="2"/>
    </row>
    <row r="20" customFormat="false" ht="109.5" hidden="false" customHeight="true" outlineLevel="0" collapsed="false">
      <c r="A20" s="2" t="s">
        <v>384</v>
      </c>
      <c r="B20" s="11" t="s">
        <v>1091</v>
      </c>
      <c r="C20" s="2"/>
      <c r="D20" s="2"/>
      <c r="E20" s="2"/>
      <c r="F20" s="2"/>
      <c r="G20" s="2"/>
      <c r="H20" s="2"/>
      <c r="I20" s="2"/>
      <c r="J20" s="2"/>
      <c r="K20" s="2"/>
      <c r="L20" s="2"/>
      <c r="M20" s="2"/>
      <c r="N20" s="2"/>
      <c r="O20" s="2"/>
    </row>
    <row r="21" customFormat="false" ht="109.5" hidden="false" customHeight="true" outlineLevel="0" collapsed="false">
      <c r="A21" s="2" t="s">
        <v>454</v>
      </c>
      <c r="B21" s="11" t="s">
        <v>455</v>
      </c>
      <c r="C21" s="2"/>
      <c r="D21" s="2"/>
      <c r="E21" s="2"/>
      <c r="F21" s="2"/>
      <c r="G21" s="2"/>
      <c r="H21" s="2"/>
      <c r="I21" s="2"/>
      <c r="J21" s="2"/>
      <c r="K21" s="2"/>
      <c r="L21" s="2"/>
      <c r="M21" s="2"/>
      <c r="N21" s="2"/>
      <c r="O21" s="2"/>
    </row>
    <row r="22" customFormat="false" ht="109.5" hidden="false" customHeight="true" outlineLevel="0" collapsed="false">
      <c r="A22" s="2" t="s">
        <v>438</v>
      </c>
      <c r="B22" s="11" t="s">
        <v>439</v>
      </c>
      <c r="C22" s="2"/>
      <c r="D22" s="2"/>
      <c r="E22" s="2"/>
      <c r="F22" s="2"/>
      <c r="G22" s="2"/>
      <c r="H22" s="2"/>
      <c r="I22" s="2"/>
      <c r="J22" s="2"/>
      <c r="K22" s="2"/>
      <c r="L22" s="2"/>
      <c r="M22" s="2"/>
      <c r="N22" s="2"/>
      <c r="O22" s="2"/>
    </row>
    <row r="23" customFormat="false" ht="109.5" hidden="false" customHeight="true" outlineLevel="0" collapsed="false">
      <c r="A23" s="2" t="s">
        <v>1092</v>
      </c>
      <c r="B23" s="11" t="s">
        <v>1093</v>
      </c>
      <c r="C23" s="2"/>
      <c r="D23" s="2"/>
      <c r="E23" s="2"/>
      <c r="F23" s="2"/>
      <c r="G23" s="2"/>
      <c r="H23" s="2"/>
      <c r="I23" s="2"/>
      <c r="J23" s="2"/>
      <c r="K23" s="2"/>
      <c r="L23" s="2"/>
      <c r="M23" s="2"/>
      <c r="N23" s="2"/>
      <c r="O23" s="2"/>
    </row>
    <row r="24" customFormat="false" ht="109.5" hidden="false" customHeight="true" outlineLevel="0" collapsed="false">
      <c r="A24" s="2" t="s">
        <v>351</v>
      </c>
      <c r="B24" s="11" t="s">
        <v>1094</v>
      </c>
      <c r="C24" s="2"/>
      <c r="D24" s="2"/>
      <c r="E24" s="2"/>
      <c r="F24" s="2"/>
      <c r="G24" s="2"/>
      <c r="H24" s="2"/>
      <c r="I24" s="2"/>
      <c r="J24" s="2"/>
      <c r="K24" s="2"/>
      <c r="L24" s="2"/>
      <c r="M24" s="2"/>
      <c r="N24" s="2"/>
      <c r="O24" s="2"/>
    </row>
    <row r="25" customFormat="false" ht="109.5" hidden="false" customHeight="true" outlineLevel="0" collapsed="false">
      <c r="A25" s="2" t="s">
        <v>549</v>
      </c>
      <c r="B25" s="11" t="s">
        <v>550</v>
      </c>
      <c r="C25" s="2"/>
      <c r="D25" s="2"/>
      <c r="E25" s="2"/>
      <c r="F25" s="2"/>
      <c r="G25" s="2"/>
      <c r="H25" s="2"/>
      <c r="I25" s="2"/>
      <c r="J25" s="2"/>
      <c r="K25" s="2"/>
      <c r="L25" s="2"/>
      <c r="M25" s="2"/>
      <c r="N25" s="2"/>
      <c r="O25" s="2"/>
    </row>
    <row r="26" customFormat="false" ht="109.5" hidden="false" customHeight="true" outlineLevel="0" collapsed="false">
      <c r="A26" s="2" t="s">
        <v>376</v>
      </c>
      <c r="B26" s="11" t="s">
        <v>1095</v>
      </c>
      <c r="C26" s="2"/>
      <c r="D26" s="2"/>
      <c r="E26" s="2"/>
      <c r="F26" s="2"/>
      <c r="G26" s="2"/>
      <c r="H26" s="2"/>
      <c r="I26" s="2"/>
      <c r="J26" s="2"/>
      <c r="K26" s="2"/>
      <c r="L26" s="2"/>
      <c r="M26" s="2"/>
      <c r="N26" s="2"/>
      <c r="O26" s="2"/>
    </row>
    <row r="27" customFormat="false" ht="109.5" hidden="false" customHeight="true" outlineLevel="0" collapsed="false">
      <c r="A27" s="2" t="s">
        <v>570</v>
      </c>
      <c r="B27" s="11" t="s">
        <v>1096</v>
      </c>
      <c r="C27" s="2"/>
      <c r="D27" s="2"/>
      <c r="E27" s="2"/>
      <c r="F27" s="2"/>
      <c r="G27" s="2"/>
      <c r="H27" s="2"/>
      <c r="I27" s="2"/>
      <c r="J27" s="2"/>
      <c r="K27" s="2"/>
      <c r="L27" s="2"/>
      <c r="M27" s="2"/>
      <c r="N27" s="2"/>
      <c r="O27" s="2"/>
    </row>
    <row r="28" customFormat="false" ht="109.5" hidden="false" customHeight="true" outlineLevel="0" collapsed="false">
      <c r="A28" s="2" t="s">
        <v>606</v>
      </c>
      <c r="B28" s="11" t="s">
        <v>607</v>
      </c>
      <c r="C28" s="2"/>
      <c r="D28" s="2"/>
      <c r="E28" s="2"/>
      <c r="F28" s="2"/>
      <c r="G28" s="2"/>
      <c r="H28" s="2"/>
      <c r="I28" s="2"/>
      <c r="J28" s="2"/>
      <c r="K28" s="2"/>
      <c r="L28" s="2"/>
      <c r="M28" s="2"/>
      <c r="N28" s="2"/>
      <c r="O28" s="2"/>
    </row>
    <row r="29" customFormat="false" ht="109.5" hidden="false" customHeight="true" outlineLevel="0" collapsed="false">
      <c r="A29" s="2" t="s">
        <v>587</v>
      </c>
      <c r="B29" s="11" t="s">
        <v>1097</v>
      </c>
      <c r="C29" s="2"/>
      <c r="D29" s="2"/>
      <c r="E29" s="2"/>
      <c r="F29" s="2"/>
      <c r="G29" s="2"/>
      <c r="H29" s="2"/>
      <c r="I29" s="2"/>
      <c r="J29" s="2"/>
      <c r="K29" s="2"/>
      <c r="L29" s="2"/>
      <c r="M29" s="2"/>
      <c r="N29" s="2"/>
      <c r="O29" s="2"/>
    </row>
    <row r="30" customFormat="false" ht="109.5" hidden="false" customHeight="true" outlineLevel="0" collapsed="false">
      <c r="A30" s="2" t="s">
        <v>658</v>
      </c>
      <c r="B30" s="11" t="s">
        <v>1098</v>
      </c>
      <c r="C30" s="2"/>
      <c r="D30" s="2"/>
      <c r="E30" s="2"/>
      <c r="F30" s="2"/>
      <c r="G30" s="2"/>
      <c r="H30" s="2"/>
      <c r="I30" s="2"/>
      <c r="J30" s="2"/>
      <c r="K30" s="2"/>
      <c r="L30" s="2"/>
      <c r="M30" s="2"/>
      <c r="N30" s="2"/>
      <c r="O30" s="2"/>
    </row>
    <row r="31" customFormat="false" ht="109.5" hidden="false" customHeight="true" outlineLevel="0" collapsed="false">
      <c r="A31" s="2" t="s">
        <v>662</v>
      </c>
      <c r="B31" s="11" t="s">
        <v>663</v>
      </c>
      <c r="C31" s="2"/>
      <c r="D31" s="2"/>
      <c r="E31" s="2"/>
      <c r="F31" s="2"/>
      <c r="G31" s="2"/>
      <c r="H31" s="2"/>
      <c r="I31" s="2"/>
      <c r="J31" s="2"/>
      <c r="K31" s="2"/>
      <c r="L31" s="2"/>
      <c r="M31" s="2"/>
      <c r="N31" s="2"/>
      <c r="O31" s="2"/>
    </row>
    <row r="32" customFormat="false" ht="109.5" hidden="false" customHeight="true" outlineLevel="0" collapsed="false">
      <c r="A32" s="2" t="s">
        <v>1099</v>
      </c>
      <c r="B32" s="11" t="s">
        <v>1100</v>
      </c>
      <c r="C32" s="2"/>
      <c r="D32" s="2"/>
      <c r="E32" s="2"/>
      <c r="F32" s="2"/>
      <c r="G32" s="2"/>
      <c r="H32" s="2"/>
      <c r="I32" s="2"/>
      <c r="J32" s="2"/>
      <c r="K32" s="2"/>
      <c r="L32" s="2"/>
      <c r="M32" s="2"/>
      <c r="N32" s="2"/>
      <c r="O32" s="2"/>
    </row>
    <row r="33" customFormat="false" ht="109.5" hidden="false" customHeight="true" outlineLevel="0" collapsed="false">
      <c r="A33" s="2" t="s">
        <v>578</v>
      </c>
      <c r="B33" s="11" t="s">
        <v>1101</v>
      </c>
      <c r="C33" s="2"/>
      <c r="D33" s="2"/>
      <c r="E33" s="2"/>
      <c r="F33" s="2"/>
      <c r="G33" s="2"/>
      <c r="H33" s="2"/>
      <c r="I33" s="2"/>
      <c r="J33" s="2"/>
      <c r="K33" s="2"/>
      <c r="L33" s="2"/>
      <c r="M33" s="2"/>
      <c r="N33" s="2"/>
      <c r="O33" s="2"/>
    </row>
    <row r="34" customFormat="false" ht="109.5" hidden="false" customHeight="true" outlineLevel="0" collapsed="false">
      <c r="A34" s="2" t="s">
        <v>499</v>
      </c>
      <c r="B34" s="11" t="s">
        <v>1102</v>
      </c>
      <c r="C34" s="2"/>
      <c r="D34" s="2"/>
      <c r="E34" s="2"/>
      <c r="F34" s="2"/>
      <c r="G34" s="2"/>
      <c r="H34" s="2"/>
      <c r="I34" s="2"/>
      <c r="J34" s="2"/>
      <c r="K34" s="2"/>
      <c r="L34" s="2"/>
      <c r="M34" s="2"/>
      <c r="N34" s="2"/>
      <c r="O34" s="2"/>
    </row>
    <row r="35" customFormat="false" ht="109.5" hidden="false" customHeight="true" outlineLevel="0" collapsed="false">
      <c r="A35" s="2" t="s">
        <v>1103</v>
      </c>
      <c r="B35" s="11" t="s">
        <v>537</v>
      </c>
      <c r="C35" s="2"/>
      <c r="D35" s="2"/>
      <c r="E35" s="2"/>
      <c r="F35" s="2"/>
      <c r="G35" s="2"/>
      <c r="H35" s="2"/>
      <c r="I35" s="2"/>
      <c r="J35" s="2"/>
      <c r="K35" s="2"/>
      <c r="L35" s="2"/>
      <c r="M35" s="2"/>
      <c r="N35" s="2"/>
      <c r="O35" s="2"/>
    </row>
    <row r="36" customFormat="false" ht="109.5" hidden="false" customHeight="true" outlineLevel="0" collapsed="false">
      <c r="A36" s="2" t="s">
        <v>1104</v>
      </c>
      <c r="B36" s="11" t="s">
        <v>1105</v>
      </c>
      <c r="C36" s="2"/>
      <c r="D36" s="2"/>
      <c r="E36" s="2"/>
      <c r="F36" s="2"/>
      <c r="G36" s="2"/>
      <c r="H36" s="2"/>
      <c r="I36" s="2"/>
      <c r="J36" s="2"/>
      <c r="K36" s="2"/>
      <c r="L36" s="2"/>
      <c r="M36" s="2"/>
      <c r="N36" s="2"/>
      <c r="O36" s="2"/>
    </row>
  </sheetData>
  <autoFilter ref="A3:O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9" min="1" style="0" width="22"/>
  </cols>
  <sheetData>
    <row r="1" customFormat="false" ht="15" hidden="false" customHeight="false" outlineLevel="0" collapsed="false">
      <c r="A1" s="7" t="s">
        <v>1106</v>
      </c>
      <c r="B1" s="7"/>
      <c r="C1" s="7"/>
      <c r="D1" s="7"/>
      <c r="E1" s="7"/>
      <c r="F1" s="7"/>
      <c r="G1" s="7"/>
      <c r="H1" s="7"/>
      <c r="I1" s="7"/>
      <c r="J1" s="7"/>
      <c r="K1" s="7"/>
      <c r="L1" s="7"/>
      <c r="M1" s="7"/>
      <c r="N1" s="7"/>
      <c r="O1" s="7"/>
    </row>
    <row r="2" customFormat="false" ht="15" hidden="false" customHeight="false" outlineLevel="0" collapsed="false">
      <c r="A2" s="2"/>
      <c r="B2" s="2"/>
      <c r="C2" s="2"/>
      <c r="D2" s="2"/>
      <c r="E2" s="2"/>
      <c r="F2" s="2"/>
      <c r="G2" s="2"/>
      <c r="H2" s="2"/>
      <c r="I2" s="2"/>
      <c r="J2" s="2"/>
      <c r="K2" s="2"/>
      <c r="L2" s="2"/>
      <c r="M2" s="2"/>
      <c r="N2" s="2"/>
      <c r="O2" s="2"/>
    </row>
    <row r="3" customFormat="false" ht="23.85" hidden="false" customHeight="false" outlineLevel="0" collapsed="false">
      <c r="A3" s="8" t="s">
        <v>1107</v>
      </c>
      <c r="B3" s="8" t="s">
        <v>1108</v>
      </c>
      <c r="C3" s="8" t="s">
        <v>1109</v>
      </c>
      <c r="D3" s="8" t="s">
        <v>1110</v>
      </c>
      <c r="E3" s="8" t="s">
        <v>1111</v>
      </c>
      <c r="F3" s="8" t="s">
        <v>1112</v>
      </c>
      <c r="G3" s="8" t="s">
        <v>1113</v>
      </c>
      <c r="H3" s="8" t="s">
        <v>1114</v>
      </c>
      <c r="I3" s="8" t="s">
        <v>1115</v>
      </c>
      <c r="J3" s="2"/>
      <c r="K3" s="2"/>
      <c r="L3" s="2"/>
      <c r="M3" s="2"/>
      <c r="N3" s="2"/>
      <c r="O3" s="2"/>
    </row>
    <row r="4" customFormat="false" ht="15" hidden="false" customHeight="false" outlineLevel="0" collapsed="false">
      <c r="A4" s="2" t="s">
        <v>1116</v>
      </c>
      <c r="B4" s="2" t="s">
        <v>1117</v>
      </c>
      <c r="C4" s="2" t="s">
        <v>1118</v>
      </c>
      <c r="D4" s="2" t="s">
        <v>1119</v>
      </c>
      <c r="E4" s="10" t="b">
        <f aca="false">FALSE()</f>
        <v>0</v>
      </c>
      <c r="F4" s="2" t="n">
        <v>300</v>
      </c>
      <c r="G4" s="2" t="n">
        <v>300</v>
      </c>
      <c r="H4" s="2" t="n">
        <v>300</v>
      </c>
      <c r="I4" s="2" t="s">
        <v>1120</v>
      </c>
      <c r="J4" s="2"/>
      <c r="K4" s="2"/>
      <c r="L4" s="2"/>
      <c r="M4" s="2"/>
      <c r="N4" s="2"/>
      <c r="O4" s="2"/>
    </row>
    <row r="5" customFormat="false" ht="15" hidden="false" customHeight="false" outlineLevel="0" collapsed="false">
      <c r="A5" s="2" t="s">
        <v>1121</v>
      </c>
      <c r="B5" s="2" t="s">
        <v>1122</v>
      </c>
      <c r="C5" s="2" t="s">
        <v>1123</v>
      </c>
      <c r="D5" s="2" t="s">
        <v>1124</v>
      </c>
      <c r="E5" s="10" t="b">
        <f aca="false">FALSE()</f>
        <v>0</v>
      </c>
      <c r="F5" s="2" t="n">
        <v>345</v>
      </c>
      <c r="G5" s="2" t="n">
        <v>46</v>
      </c>
      <c r="H5" s="2" t="n">
        <v>46</v>
      </c>
      <c r="I5" s="2" t="s">
        <v>1125</v>
      </c>
      <c r="J5" s="2"/>
      <c r="K5" s="2"/>
      <c r="L5" s="2"/>
      <c r="M5" s="2"/>
      <c r="N5" s="2"/>
      <c r="O5" s="2"/>
    </row>
    <row r="6" customFormat="false" ht="15" hidden="false" customHeight="false" outlineLevel="0" collapsed="false">
      <c r="A6" s="2" t="s">
        <v>1126</v>
      </c>
      <c r="B6" s="2" t="s">
        <v>1127</v>
      </c>
      <c r="C6" s="2" t="s">
        <v>1128</v>
      </c>
      <c r="D6" s="2" t="s">
        <v>1124</v>
      </c>
      <c r="E6" s="10" t="b">
        <f aca="false">TRUE()</f>
        <v>1</v>
      </c>
      <c r="F6" s="2" t="n">
        <v>345</v>
      </c>
      <c r="G6" s="2" t="n">
        <v>0</v>
      </c>
      <c r="H6" s="2" t="n">
        <v>0</v>
      </c>
      <c r="I6" s="2" t="s">
        <v>1129</v>
      </c>
      <c r="J6" s="2"/>
      <c r="K6" s="2"/>
      <c r="L6" s="2"/>
      <c r="M6" s="2"/>
      <c r="N6" s="2"/>
      <c r="O6" s="2"/>
    </row>
    <row r="7" customFormat="false" ht="15" hidden="false" customHeight="false" outlineLevel="0" collapsed="false">
      <c r="A7" s="2"/>
      <c r="B7" s="2"/>
      <c r="C7" s="2"/>
      <c r="D7" s="2"/>
      <c r="E7" s="2"/>
      <c r="F7" s="2"/>
      <c r="G7" s="2"/>
      <c r="H7" s="2"/>
      <c r="I7" s="2"/>
      <c r="J7" s="2"/>
      <c r="K7" s="2"/>
      <c r="L7" s="2"/>
      <c r="M7" s="2"/>
      <c r="N7" s="2"/>
      <c r="O7" s="2"/>
    </row>
    <row r="8" customFormat="false" ht="15" hidden="false" customHeight="false" outlineLevel="0" collapsed="false">
      <c r="A8" s="7" t="s">
        <v>1130</v>
      </c>
      <c r="B8" s="2"/>
      <c r="C8" s="2"/>
      <c r="D8" s="2"/>
      <c r="E8" s="2"/>
      <c r="F8" s="2"/>
      <c r="G8" s="2"/>
      <c r="H8" s="2"/>
      <c r="I8" s="2"/>
      <c r="J8" s="2"/>
      <c r="K8" s="2"/>
      <c r="L8" s="2"/>
      <c r="M8" s="2"/>
      <c r="N8" s="2"/>
      <c r="O8" s="2"/>
    </row>
    <row r="9" customFormat="false" ht="35.05" hidden="false" customHeight="false" outlineLevel="0" collapsed="false">
      <c r="A9" s="8" t="s">
        <v>1107</v>
      </c>
      <c r="B9" s="8" t="s">
        <v>1108</v>
      </c>
      <c r="C9" s="8" t="s">
        <v>75</v>
      </c>
      <c r="D9" s="8" t="s">
        <v>1131</v>
      </c>
      <c r="E9" s="8" t="s">
        <v>1132</v>
      </c>
      <c r="F9" s="8" t="s">
        <v>1133</v>
      </c>
      <c r="G9" s="8" t="s">
        <v>1134</v>
      </c>
      <c r="H9" s="8" t="s">
        <v>1135</v>
      </c>
      <c r="I9" s="8" t="s">
        <v>1136</v>
      </c>
      <c r="J9" s="8" t="s">
        <v>83</v>
      </c>
      <c r="K9" s="8" t="s">
        <v>110</v>
      </c>
      <c r="L9" s="8" t="s">
        <v>111</v>
      </c>
      <c r="M9" s="8" t="s">
        <v>112</v>
      </c>
      <c r="N9" s="8" t="s">
        <v>1137</v>
      </c>
      <c r="O9" s="8" t="s">
        <v>1026</v>
      </c>
    </row>
    <row r="10" customFormat="false" ht="15" hidden="false" customHeight="false" outlineLevel="0" collapsed="false">
      <c r="A10" s="2" t="s">
        <v>1121</v>
      </c>
      <c r="B10" s="2" t="s">
        <v>1122</v>
      </c>
      <c r="C10" s="2" t="s">
        <v>178</v>
      </c>
      <c r="D10" s="2" t="s">
        <v>117</v>
      </c>
      <c r="E10" s="2" t="s">
        <v>366</v>
      </c>
      <c r="F10" s="2" t="s">
        <v>144</v>
      </c>
      <c r="G10" s="2" t="s">
        <v>391</v>
      </c>
      <c r="H10" s="2" t="s">
        <v>140</v>
      </c>
      <c r="I10" s="2" t="s">
        <v>309</v>
      </c>
      <c r="J10" s="2" t="s">
        <v>392</v>
      </c>
      <c r="K10" s="2" t="s">
        <v>1138</v>
      </c>
      <c r="L10" s="2" t="s">
        <v>1139</v>
      </c>
      <c r="M10" s="2" t="s">
        <v>1140</v>
      </c>
      <c r="N10" s="2" t="s">
        <v>181</v>
      </c>
      <c r="O10" s="2" t="s">
        <v>395</v>
      </c>
    </row>
    <row r="11" customFormat="false" ht="15" hidden="false" customHeight="false" outlineLevel="0" collapsed="false">
      <c r="A11" s="2" t="s">
        <v>1121</v>
      </c>
      <c r="B11" s="2" t="s">
        <v>1122</v>
      </c>
      <c r="C11" s="2" t="s">
        <v>1141</v>
      </c>
      <c r="D11" s="2"/>
      <c r="E11" s="2" t="s">
        <v>117</v>
      </c>
      <c r="F11" s="2"/>
      <c r="G11" s="2" t="s">
        <v>144</v>
      </c>
      <c r="H11" s="2"/>
      <c r="I11" s="2" t="s">
        <v>140</v>
      </c>
      <c r="J11" s="2" t="s">
        <v>145</v>
      </c>
      <c r="K11" s="2" t="s">
        <v>1142</v>
      </c>
      <c r="L11" s="2" t="s">
        <v>1142</v>
      </c>
      <c r="M11" s="2" t="s">
        <v>1143</v>
      </c>
      <c r="N11" s="2" t="s">
        <v>146</v>
      </c>
      <c r="O11" s="2" t="s">
        <v>153</v>
      </c>
    </row>
    <row r="12" customFormat="false" ht="15" hidden="false" customHeight="false" outlineLevel="0" collapsed="false">
      <c r="A12" s="2" t="s">
        <v>1121</v>
      </c>
      <c r="B12" s="2" t="s">
        <v>1122</v>
      </c>
      <c r="C12" s="2" t="s">
        <v>1144</v>
      </c>
      <c r="D12" s="2"/>
      <c r="E12" s="2" t="s">
        <v>311</v>
      </c>
      <c r="F12" s="2"/>
      <c r="G12" s="2" t="s">
        <v>313</v>
      </c>
      <c r="H12" s="2"/>
      <c r="I12" s="2" t="s">
        <v>309</v>
      </c>
      <c r="J12" s="2" t="s">
        <v>314</v>
      </c>
      <c r="K12" s="2" t="s">
        <v>1142</v>
      </c>
      <c r="L12" s="2" t="s">
        <v>1142</v>
      </c>
      <c r="M12" s="2" t="s">
        <v>1145</v>
      </c>
      <c r="N12" s="2" t="s">
        <v>315</v>
      </c>
      <c r="O12" s="2" t="s">
        <v>323</v>
      </c>
    </row>
    <row r="13" customFormat="false" ht="15" hidden="false" customHeight="false" outlineLevel="0" collapsed="false">
      <c r="A13" s="2" t="s">
        <v>1121</v>
      </c>
      <c r="B13" s="2" t="s">
        <v>1122</v>
      </c>
      <c r="C13" s="2" t="s">
        <v>1146</v>
      </c>
      <c r="D13" s="2"/>
      <c r="E13" s="2" t="s">
        <v>117</v>
      </c>
      <c r="F13" s="2"/>
      <c r="G13" s="2" t="s">
        <v>144</v>
      </c>
      <c r="H13" s="2"/>
      <c r="I13" s="2" t="s">
        <v>140</v>
      </c>
      <c r="J13" s="2" t="s">
        <v>145</v>
      </c>
      <c r="K13" s="2" t="s">
        <v>1142</v>
      </c>
      <c r="L13" s="2" t="s">
        <v>1142</v>
      </c>
      <c r="M13" s="2" t="s">
        <v>1147</v>
      </c>
      <c r="N13" s="2" t="s">
        <v>146</v>
      </c>
      <c r="O13" s="2" t="s">
        <v>153</v>
      </c>
    </row>
    <row r="14" customFormat="false" ht="15" hidden="false" customHeight="false" outlineLevel="0" collapsed="false">
      <c r="A14" s="2" t="s">
        <v>1121</v>
      </c>
      <c r="B14" s="2" t="s">
        <v>1122</v>
      </c>
      <c r="C14" s="2" t="s">
        <v>1148</v>
      </c>
      <c r="D14" s="2"/>
      <c r="E14" s="2" t="s">
        <v>311</v>
      </c>
      <c r="F14" s="2"/>
      <c r="G14" s="2" t="s">
        <v>382</v>
      </c>
      <c r="H14" s="2"/>
      <c r="I14" s="2" t="s">
        <v>309</v>
      </c>
      <c r="J14" s="2" t="s">
        <v>145</v>
      </c>
      <c r="K14" s="2" t="s">
        <v>1142</v>
      </c>
      <c r="L14" s="2" t="s">
        <v>1142</v>
      </c>
      <c r="M14" s="2" t="s">
        <v>1149</v>
      </c>
      <c r="N14" s="2" t="s">
        <v>146</v>
      </c>
      <c r="O14" s="2" t="s">
        <v>153</v>
      </c>
    </row>
    <row r="15" customFormat="false" ht="15" hidden="false" customHeight="false" outlineLevel="0" collapsed="false">
      <c r="A15" s="2" t="s">
        <v>1121</v>
      </c>
      <c r="B15" s="2" t="s">
        <v>1122</v>
      </c>
      <c r="C15" s="2" t="s">
        <v>1150</v>
      </c>
      <c r="D15" s="2"/>
      <c r="E15" s="2" t="s">
        <v>142</v>
      </c>
      <c r="F15" s="2"/>
      <c r="G15" s="2" t="s">
        <v>144</v>
      </c>
      <c r="H15" s="2"/>
      <c r="I15" s="2" t="s">
        <v>140</v>
      </c>
      <c r="J15" s="2" t="s">
        <v>145</v>
      </c>
      <c r="K15" s="2" t="s">
        <v>1142</v>
      </c>
      <c r="L15" s="2" t="s">
        <v>1142</v>
      </c>
      <c r="M15" s="2" t="s">
        <v>1151</v>
      </c>
      <c r="N15" s="2" t="s">
        <v>146</v>
      </c>
      <c r="O15" s="2" t="s">
        <v>153</v>
      </c>
    </row>
    <row r="16" customFormat="false" ht="15" hidden="false" customHeight="false" outlineLevel="0" collapsed="false">
      <c r="A16" s="2" t="s">
        <v>1121</v>
      </c>
      <c r="B16" s="2" t="s">
        <v>1122</v>
      </c>
      <c r="C16" s="2" t="s">
        <v>1152</v>
      </c>
      <c r="D16" s="2"/>
      <c r="E16" s="2" t="s">
        <v>142</v>
      </c>
      <c r="F16" s="2"/>
      <c r="G16" s="2" t="s">
        <v>144</v>
      </c>
      <c r="H16" s="2"/>
      <c r="I16" s="2" t="s">
        <v>140</v>
      </c>
      <c r="J16" s="2" t="s">
        <v>145</v>
      </c>
      <c r="K16" s="2" t="s">
        <v>1142</v>
      </c>
      <c r="L16" s="2" t="s">
        <v>1142</v>
      </c>
      <c r="M16" s="2" t="s">
        <v>1153</v>
      </c>
      <c r="N16" s="2" t="s">
        <v>146</v>
      </c>
      <c r="O16" s="2" t="s">
        <v>153</v>
      </c>
    </row>
    <row r="17" customFormat="false" ht="15" hidden="false" customHeight="false" outlineLevel="0" collapsed="false">
      <c r="A17" s="2" t="s">
        <v>1121</v>
      </c>
      <c r="B17" s="2" t="s">
        <v>1122</v>
      </c>
      <c r="C17" s="2" t="s">
        <v>1154</v>
      </c>
      <c r="D17" s="2"/>
      <c r="E17" s="2" t="s">
        <v>344</v>
      </c>
      <c r="F17" s="2"/>
      <c r="G17" s="2" t="s">
        <v>144</v>
      </c>
      <c r="H17" s="2"/>
      <c r="I17" s="2" t="s">
        <v>309</v>
      </c>
      <c r="J17" s="2" t="s">
        <v>145</v>
      </c>
      <c r="K17" s="2" t="s">
        <v>1142</v>
      </c>
      <c r="L17" s="2" t="s">
        <v>1142</v>
      </c>
      <c r="M17" s="2" t="s">
        <v>1155</v>
      </c>
      <c r="N17" s="2" t="s">
        <v>146</v>
      </c>
      <c r="O17" s="2" t="s">
        <v>153</v>
      </c>
    </row>
    <row r="18" customFormat="false" ht="15" hidden="false" customHeight="false" outlineLevel="0" collapsed="false">
      <c r="A18" s="2" t="s">
        <v>1121</v>
      </c>
      <c r="B18" s="2" t="s">
        <v>1122</v>
      </c>
      <c r="C18" s="2" t="s">
        <v>1156</v>
      </c>
      <c r="D18" s="2"/>
      <c r="E18" s="2" t="s">
        <v>311</v>
      </c>
      <c r="F18" s="2"/>
      <c r="G18" s="2" t="s">
        <v>144</v>
      </c>
      <c r="H18" s="2"/>
      <c r="I18" s="2" t="s">
        <v>451</v>
      </c>
      <c r="J18" s="2" t="s">
        <v>145</v>
      </c>
      <c r="K18" s="2" t="s">
        <v>1142</v>
      </c>
      <c r="L18" s="2" t="s">
        <v>1142</v>
      </c>
      <c r="M18" s="2" t="s">
        <v>1157</v>
      </c>
      <c r="N18" s="2" t="s">
        <v>146</v>
      </c>
      <c r="O18" s="2" t="s">
        <v>153</v>
      </c>
    </row>
    <row r="19" customFormat="false" ht="15" hidden="false" customHeight="false" outlineLevel="0" collapsed="false">
      <c r="A19" s="2" t="s">
        <v>1121</v>
      </c>
      <c r="B19" s="2" t="s">
        <v>1122</v>
      </c>
      <c r="C19" s="2" t="s">
        <v>1158</v>
      </c>
      <c r="D19" s="2"/>
      <c r="E19" s="2" t="s">
        <v>492</v>
      </c>
      <c r="F19" s="2"/>
      <c r="G19" s="2" t="s">
        <v>368</v>
      </c>
      <c r="H19" s="2"/>
      <c r="I19" s="2" t="s">
        <v>569</v>
      </c>
      <c r="J19" s="2" t="s">
        <v>145</v>
      </c>
      <c r="K19" s="2" t="s">
        <v>1142</v>
      </c>
      <c r="L19" s="2" t="s">
        <v>1142</v>
      </c>
      <c r="M19" s="2" t="s">
        <v>1159</v>
      </c>
      <c r="N19" s="2" t="s">
        <v>369</v>
      </c>
      <c r="O19" s="2" t="s">
        <v>153</v>
      </c>
    </row>
    <row r="20" customFormat="false" ht="15" hidden="false" customHeight="false" outlineLevel="0" collapsed="false">
      <c r="A20" s="2" t="s">
        <v>1121</v>
      </c>
      <c r="B20" s="2" t="s">
        <v>1122</v>
      </c>
      <c r="C20" s="2" t="s">
        <v>1160</v>
      </c>
      <c r="D20" s="2"/>
      <c r="E20" s="2" t="s">
        <v>476</v>
      </c>
      <c r="F20" s="2"/>
      <c r="G20" s="2" t="s">
        <v>144</v>
      </c>
      <c r="H20" s="2"/>
      <c r="I20" s="2" t="s">
        <v>451</v>
      </c>
      <c r="J20" s="2" t="s">
        <v>478</v>
      </c>
      <c r="K20" s="2" t="s">
        <v>1142</v>
      </c>
      <c r="L20" s="2" t="s">
        <v>1142</v>
      </c>
      <c r="M20" s="2" t="s">
        <v>1161</v>
      </c>
      <c r="N20" s="2" t="s">
        <v>121</v>
      </c>
      <c r="O20" s="2" t="s">
        <v>486</v>
      </c>
    </row>
    <row r="21" customFormat="false" ht="15" hidden="false" customHeight="false" outlineLevel="0" collapsed="false">
      <c r="A21" s="2" t="s">
        <v>1121</v>
      </c>
      <c r="B21" s="2" t="s">
        <v>1122</v>
      </c>
      <c r="C21" s="2" t="s">
        <v>1162</v>
      </c>
      <c r="D21" s="2"/>
      <c r="E21" s="2" t="s">
        <v>492</v>
      </c>
      <c r="F21" s="2"/>
      <c r="G21" s="2" t="s">
        <v>368</v>
      </c>
      <c r="H21" s="2"/>
      <c r="I21" s="2" t="s">
        <v>451</v>
      </c>
      <c r="J21" s="2" t="s">
        <v>145</v>
      </c>
      <c r="K21" s="2" t="s">
        <v>1142</v>
      </c>
      <c r="L21" s="2" t="s">
        <v>1142</v>
      </c>
      <c r="M21" s="2" t="s">
        <v>1163</v>
      </c>
      <c r="N21" s="2" t="s">
        <v>369</v>
      </c>
      <c r="O21" s="2" t="s">
        <v>153</v>
      </c>
    </row>
    <row r="22" customFormat="false" ht="15" hidden="false" customHeight="false" outlineLevel="0" collapsed="false">
      <c r="A22" s="2" t="s">
        <v>1121</v>
      </c>
      <c r="B22" s="2" t="s">
        <v>1122</v>
      </c>
      <c r="C22" s="2" t="s">
        <v>1164</v>
      </c>
      <c r="D22" s="2"/>
      <c r="E22" s="2" t="s">
        <v>492</v>
      </c>
      <c r="F22" s="2"/>
      <c r="G22" s="2" t="s">
        <v>368</v>
      </c>
      <c r="H22" s="2"/>
      <c r="I22" s="2" t="s">
        <v>569</v>
      </c>
      <c r="J22" s="2" t="s">
        <v>145</v>
      </c>
      <c r="K22" s="2" t="s">
        <v>1142</v>
      </c>
      <c r="L22" s="2" t="s">
        <v>1142</v>
      </c>
      <c r="M22" s="2" t="s">
        <v>1165</v>
      </c>
      <c r="N22" s="2" t="s">
        <v>369</v>
      </c>
      <c r="O22" s="2" t="s">
        <v>153</v>
      </c>
    </row>
    <row r="23" customFormat="false" ht="15" hidden="false" customHeight="false" outlineLevel="0" collapsed="false">
      <c r="A23" s="2" t="s">
        <v>1121</v>
      </c>
      <c r="B23" s="2" t="s">
        <v>1122</v>
      </c>
      <c r="C23" s="2" t="s">
        <v>1166</v>
      </c>
      <c r="D23" s="2"/>
      <c r="E23" s="2" t="s">
        <v>476</v>
      </c>
      <c r="F23" s="2"/>
      <c r="G23" s="2" t="s">
        <v>144</v>
      </c>
      <c r="H23" s="2"/>
      <c r="I23" s="2" t="s">
        <v>451</v>
      </c>
      <c r="J23" s="2" t="s">
        <v>478</v>
      </c>
      <c r="K23" s="2" t="s">
        <v>1142</v>
      </c>
      <c r="L23" s="2" t="s">
        <v>1142</v>
      </c>
      <c r="M23" s="2" t="s">
        <v>1167</v>
      </c>
      <c r="N23" s="2" t="s">
        <v>121</v>
      </c>
      <c r="O23" s="2" t="s">
        <v>486</v>
      </c>
    </row>
    <row r="24" customFormat="false" ht="15" hidden="false" customHeight="false" outlineLevel="0" collapsed="false">
      <c r="A24" s="2" t="s">
        <v>1121</v>
      </c>
      <c r="B24" s="2" t="s">
        <v>1122</v>
      </c>
      <c r="C24" s="2" t="s">
        <v>1168</v>
      </c>
      <c r="D24" s="2"/>
      <c r="E24" s="2" t="s">
        <v>492</v>
      </c>
      <c r="F24" s="2"/>
      <c r="G24" s="2" t="s">
        <v>368</v>
      </c>
      <c r="H24" s="2"/>
      <c r="I24" s="2" t="s">
        <v>569</v>
      </c>
      <c r="J24" s="2" t="s">
        <v>145</v>
      </c>
      <c r="K24" s="2" t="s">
        <v>1142</v>
      </c>
      <c r="L24" s="2" t="s">
        <v>1142</v>
      </c>
      <c r="M24" s="2" t="s">
        <v>1169</v>
      </c>
      <c r="N24" s="2" t="s">
        <v>369</v>
      </c>
      <c r="O24" s="2" t="s">
        <v>153</v>
      </c>
    </row>
    <row r="25" customFormat="false" ht="15" hidden="false" customHeight="false" outlineLevel="0" collapsed="false">
      <c r="A25" s="2" t="s">
        <v>1121</v>
      </c>
      <c r="B25" s="2" t="s">
        <v>1122</v>
      </c>
      <c r="C25" s="2" t="s">
        <v>1170</v>
      </c>
      <c r="D25" s="2"/>
      <c r="E25" s="2" t="s">
        <v>492</v>
      </c>
      <c r="F25" s="2"/>
      <c r="G25" s="2" t="s">
        <v>368</v>
      </c>
      <c r="H25" s="2"/>
      <c r="I25" s="2" t="s">
        <v>569</v>
      </c>
      <c r="J25" s="2" t="s">
        <v>145</v>
      </c>
      <c r="K25" s="2" t="s">
        <v>1142</v>
      </c>
      <c r="L25" s="2" t="s">
        <v>1142</v>
      </c>
      <c r="M25" s="2" t="s">
        <v>1171</v>
      </c>
      <c r="N25" s="2" t="s">
        <v>369</v>
      </c>
      <c r="O25" s="2" t="s">
        <v>153</v>
      </c>
    </row>
    <row r="26" customFormat="false" ht="15" hidden="false" customHeight="false" outlineLevel="0" collapsed="false">
      <c r="A26" s="2" t="s">
        <v>1121</v>
      </c>
      <c r="B26" s="2" t="s">
        <v>1122</v>
      </c>
      <c r="C26" s="2" t="s">
        <v>1172</v>
      </c>
      <c r="D26" s="2"/>
      <c r="E26" s="2" t="s">
        <v>492</v>
      </c>
      <c r="F26" s="2"/>
      <c r="G26" s="2" t="s">
        <v>368</v>
      </c>
      <c r="H26" s="2"/>
      <c r="I26" s="2" t="s">
        <v>569</v>
      </c>
      <c r="J26" s="2" t="s">
        <v>145</v>
      </c>
      <c r="K26" s="2" t="s">
        <v>1142</v>
      </c>
      <c r="L26" s="2" t="s">
        <v>1142</v>
      </c>
      <c r="M26" s="2" t="s">
        <v>1173</v>
      </c>
      <c r="N26" s="2" t="s">
        <v>369</v>
      </c>
      <c r="O26" s="2" t="s">
        <v>153</v>
      </c>
    </row>
    <row r="27" customFormat="false" ht="15" hidden="false" customHeight="false" outlineLevel="0" collapsed="false">
      <c r="A27" s="2" t="s">
        <v>1121</v>
      </c>
      <c r="B27" s="2" t="s">
        <v>1122</v>
      </c>
      <c r="C27" s="2" t="s">
        <v>1174</v>
      </c>
      <c r="D27" s="2"/>
      <c r="E27" s="2" t="s">
        <v>492</v>
      </c>
      <c r="F27" s="2"/>
      <c r="G27" s="2" t="s">
        <v>368</v>
      </c>
      <c r="H27" s="2"/>
      <c r="I27" s="2" t="s">
        <v>569</v>
      </c>
      <c r="J27" s="2" t="s">
        <v>145</v>
      </c>
      <c r="K27" s="2" t="s">
        <v>1142</v>
      </c>
      <c r="L27" s="2" t="s">
        <v>1142</v>
      </c>
      <c r="M27" s="2" t="s">
        <v>1175</v>
      </c>
      <c r="N27" s="2" t="s">
        <v>369</v>
      </c>
      <c r="O27" s="2" t="s">
        <v>153</v>
      </c>
    </row>
    <row r="28" customFormat="false" ht="15" hidden="false" customHeight="false" outlineLevel="0" collapsed="false">
      <c r="A28" s="2" t="s">
        <v>1121</v>
      </c>
      <c r="B28" s="2" t="s">
        <v>1122</v>
      </c>
      <c r="C28" s="2" t="s">
        <v>1176</v>
      </c>
      <c r="D28" s="2"/>
      <c r="E28" s="2" t="s">
        <v>492</v>
      </c>
      <c r="F28" s="2"/>
      <c r="G28" s="2" t="s">
        <v>368</v>
      </c>
      <c r="H28" s="2"/>
      <c r="I28" s="2" t="s">
        <v>569</v>
      </c>
      <c r="J28" s="2" t="s">
        <v>145</v>
      </c>
      <c r="K28" s="2" t="s">
        <v>1142</v>
      </c>
      <c r="L28" s="2" t="s">
        <v>1142</v>
      </c>
      <c r="M28" s="2" t="s">
        <v>1177</v>
      </c>
      <c r="N28" s="2" t="s">
        <v>369</v>
      </c>
      <c r="O28" s="2" t="s">
        <v>153</v>
      </c>
    </row>
    <row r="29" customFormat="false" ht="15" hidden="false" customHeight="false" outlineLevel="0" collapsed="false">
      <c r="A29" s="2" t="s">
        <v>1121</v>
      </c>
      <c r="B29" s="2" t="s">
        <v>1122</v>
      </c>
      <c r="C29" s="2" t="s">
        <v>1178</v>
      </c>
      <c r="D29" s="2"/>
      <c r="E29" s="2" t="s">
        <v>492</v>
      </c>
      <c r="F29" s="2"/>
      <c r="G29" s="2" t="s">
        <v>368</v>
      </c>
      <c r="H29" s="2"/>
      <c r="I29" s="2" t="s">
        <v>569</v>
      </c>
      <c r="J29" s="2" t="s">
        <v>145</v>
      </c>
      <c r="K29" s="2" t="s">
        <v>1142</v>
      </c>
      <c r="L29" s="2" t="s">
        <v>1142</v>
      </c>
      <c r="M29" s="2" t="s">
        <v>1179</v>
      </c>
      <c r="N29" s="2" t="s">
        <v>369</v>
      </c>
      <c r="O29" s="2" t="s">
        <v>153</v>
      </c>
    </row>
    <row r="30" customFormat="false" ht="15" hidden="false" customHeight="false" outlineLevel="0" collapsed="false">
      <c r="A30" s="2" t="s">
        <v>1121</v>
      </c>
      <c r="B30" s="2" t="s">
        <v>1122</v>
      </c>
      <c r="C30" s="2" t="s">
        <v>1180</v>
      </c>
      <c r="D30" s="2"/>
      <c r="E30" s="2" t="s">
        <v>492</v>
      </c>
      <c r="F30" s="2"/>
      <c r="G30" s="2" t="s">
        <v>368</v>
      </c>
      <c r="H30" s="2"/>
      <c r="I30" s="2" t="s">
        <v>569</v>
      </c>
      <c r="J30" s="2" t="s">
        <v>145</v>
      </c>
      <c r="K30" s="2" t="s">
        <v>1142</v>
      </c>
      <c r="L30" s="2" t="s">
        <v>1142</v>
      </c>
      <c r="M30" s="2" t="s">
        <v>1181</v>
      </c>
      <c r="N30" s="2" t="s">
        <v>369</v>
      </c>
      <c r="O30" s="2" t="s">
        <v>153</v>
      </c>
    </row>
    <row r="31" customFormat="false" ht="15" hidden="false" customHeight="false" outlineLevel="0" collapsed="false">
      <c r="A31" s="2" t="s">
        <v>1121</v>
      </c>
      <c r="B31" s="2" t="s">
        <v>1122</v>
      </c>
      <c r="C31" s="2" t="s">
        <v>1182</v>
      </c>
      <c r="D31" s="2"/>
      <c r="E31" s="2" t="s">
        <v>492</v>
      </c>
      <c r="F31" s="2"/>
      <c r="G31" s="2" t="s">
        <v>368</v>
      </c>
      <c r="H31" s="2"/>
      <c r="I31" s="2" t="s">
        <v>569</v>
      </c>
      <c r="J31" s="2" t="s">
        <v>145</v>
      </c>
      <c r="K31" s="2" t="s">
        <v>1142</v>
      </c>
      <c r="L31" s="2" t="s">
        <v>1142</v>
      </c>
      <c r="M31" s="2" t="s">
        <v>1183</v>
      </c>
      <c r="N31" s="2" t="s">
        <v>369</v>
      </c>
      <c r="O31" s="2" t="s">
        <v>153</v>
      </c>
    </row>
    <row r="32" customFormat="false" ht="15" hidden="false" customHeight="false" outlineLevel="0" collapsed="false">
      <c r="A32" s="2" t="s">
        <v>1121</v>
      </c>
      <c r="B32" s="2" t="s">
        <v>1122</v>
      </c>
      <c r="C32" s="2" t="s">
        <v>1184</v>
      </c>
      <c r="D32" s="2"/>
      <c r="E32" s="2" t="s">
        <v>492</v>
      </c>
      <c r="F32" s="2"/>
      <c r="G32" s="2" t="s">
        <v>368</v>
      </c>
      <c r="H32" s="2"/>
      <c r="I32" s="2" t="s">
        <v>569</v>
      </c>
      <c r="J32" s="2" t="s">
        <v>145</v>
      </c>
      <c r="K32" s="2" t="s">
        <v>1142</v>
      </c>
      <c r="L32" s="2" t="s">
        <v>1142</v>
      </c>
      <c r="M32" s="2" t="s">
        <v>1185</v>
      </c>
      <c r="N32" s="2" t="s">
        <v>369</v>
      </c>
      <c r="O32" s="2" t="s">
        <v>153</v>
      </c>
    </row>
    <row r="33" customFormat="false" ht="15" hidden="false" customHeight="false" outlineLevel="0" collapsed="false">
      <c r="A33" s="2" t="s">
        <v>1121</v>
      </c>
      <c r="B33" s="2" t="s">
        <v>1122</v>
      </c>
      <c r="C33" s="2" t="s">
        <v>1186</v>
      </c>
      <c r="D33" s="2"/>
      <c r="E33" s="2" t="s">
        <v>492</v>
      </c>
      <c r="F33" s="2"/>
      <c r="G33" s="2" t="s">
        <v>368</v>
      </c>
      <c r="H33" s="2"/>
      <c r="I33" s="2" t="s">
        <v>569</v>
      </c>
      <c r="J33" s="2" t="s">
        <v>145</v>
      </c>
      <c r="K33" s="2" t="s">
        <v>1142</v>
      </c>
      <c r="L33" s="2" t="s">
        <v>1142</v>
      </c>
      <c r="M33" s="2" t="s">
        <v>1187</v>
      </c>
      <c r="N33" s="2" t="s">
        <v>369</v>
      </c>
      <c r="O33" s="2" t="s">
        <v>153</v>
      </c>
    </row>
    <row r="34" customFormat="false" ht="15" hidden="false" customHeight="false" outlineLevel="0" collapsed="false">
      <c r="A34" s="2" t="s">
        <v>1121</v>
      </c>
      <c r="B34" s="2" t="s">
        <v>1122</v>
      </c>
      <c r="C34" s="2" t="s">
        <v>1188</v>
      </c>
      <c r="D34" s="2"/>
      <c r="E34" s="2" t="s">
        <v>492</v>
      </c>
      <c r="F34" s="2"/>
      <c r="G34" s="2" t="s">
        <v>368</v>
      </c>
      <c r="H34" s="2"/>
      <c r="I34" s="2" t="s">
        <v>569</v>
      </c>
      <c r="J34" s="2" t="s">
        <v>145</v>
      </c>
      <c r="K34" s="2" t="s">
        <v>1142</v>
      </c>
      <c r="L34" s="2" t="s">
        <v>1142</v>
      </c>
      <c r="M34" s="2" t="s">
        <v>1189</v>
      </c>
      <c r="N34" s="2" t="s">
        <v>369</v>
      </c>
      <c r="O34" s="2" t="s">
        <v>153</v>
      </c>
    </row>
    <row r="35" customFormat="false" ht="15" hidden="false" customHeight="false" outlineLevel="0" collapsed="false">
      <c r="A35" s="2" t="s">
        <v>1121</v>
      </c>
      <c r="B35" s="2" t="s">
        <v>1122</v>
      </c>
      <c r="C35" s="2" t="s">
        <v>1190</v>
      </c>
      <c r="D35" s="2"/>
      <c r="E35" s="2" t="s">
        <v>492</v>
      </c>
      <c r="F35" s="2"/>
      <c r="G35" s="2" t="s">
        <v>368</v>
      </c>
      <c r="H35" s="2"/>
      <c r="I35" s="2" t="s">
        <v>569</v>
      </c>
      <c r="J35" s="2" t="s">
        <v>145</v>
      </c>
      <c r="K35" s="2" t="s">
        <v>1142</v>
      </c>
      <c r="L35" s="2" t="s">
        <v>1142</v>
      </c>
      <c r="M35" s="2" t="s">
        <v>1191</v>
      </c>
      <c r="N35" s="2" t="s">
        <v>369</v>
      </c>
      <c r="O35" s="2" t="s">
        <v>153</v>
      </c>
    </row>
    <row r="36" customFormat="false" ht="15" hidden="false" customHeight="false" outlineLevel="0" collapsed="false">
      <c r="A36" s="2" t="s">
        <v>1121</v>
      </c>
      <c r="B36" s="2" t="s">
        <v>1122</v>
      </c>
      <c r="C36" s="2" t="s">
        <v>1192</v>
      </c>
      <c r="D36" s="2"/>
      <c r="E36" s="2" t="s">
        <v>492</v>
      </c>
      <c r="F36" s="2"/>
      <c r="G36" s="2" t="s">
        <v>368</v>
      </c>
      <c r="H36" s="2"/>
      <c r="I36" s="2" t="s">
        <v>569</v>
      </c>
      <c r="J36" s="2" t="s">
        <v>145</v>
      </c>
      <c r="K36" s="2" t="s">
        <v>1142</v>
      </c>
      <c r="L36" s="2" t="s">
        <v>1142</v>
      </c>
      <c r="M36" s="2" t="s">
        <v>1193</v>
      </c>
      <c r="N36" s="2" t="s">
        <v>369</v>
      </c>
      <c r="O36" s="2" t="s">
        <v>153</v>
      </c>
    </row>
    <row r="37" customFormat="false" ht="15" hidden="false" customHeight="false" outlineLevel="0" collapsed="false">
      <c r="A37" s="2" t="s">
        <v>1121</v>
      </c>
      <c r="B37" s="2" t="s">
        <v>1122</v>
      </c>
      <c r="C37" s="2" t="s">
        <v>1194</v>
      </c>
      <c r="D37" s="2"/>
      <c r="E37" s="2" t="s">
        <v>492</v>
      </c>
      <c r="F37" s="2"/>
      <c r="G37" s="2" t="s">
        <v>368</v>
      </c>
      <c r="H37" s="2"/>
      <c r="I37" s="2" t="s">
        <v>569</v>
      </c>
      <c r="J37" s="2" t="s">
        <v>145</v>
      </c>
      <c r="K37" s="2" t="s">
        <v>1142</v>
      </c>
      <c r="L37" s="2" t="s">
        <v>1142</v>
      </c>
      <c r="M37" s="2" t="s">
        <v>1195</v>
      </c>
      <c r="N37" s="2" t="s">
        <v>369</v>
      </c>
      <c r="O37" s="2" t="s">
        <v>153</v>
      </c>
    </row>
    <row r="38" customFormat="false" ht="15" hidden="false" customHeight="false" outlineLevel="0" collapsed="false">
      <c r="A38" s="2" t="s">
        <v>1121</v>
      </c>
      <c r="B38" s="2" t="s">
        <v>1122</v>
      </c>
      <c r="C38" s="2" t="s">
        <v>1196</v>
      </c>
      <c r="D38" s="2"/>
      <c r="E38" s="2" t="s">
        <v>492</v>
      </c>
      <c r="F38" s="2"/>
      <c r="G38" s="2" t="s">
        <v>368</v>
      </c>
      <c r="H38" s="2"/>
      <c r="I38" s="2" t="s">
        <v>569</v>
      </c>
      <c r="J38" s="2" t="s">
        <v>145</v>
      </c>
      <c r="K38" s="2" t="s">
        <v>1142</v>
      </c>
      <c r="L38" s="2" t="s">
        <v>1142</v>
      </c>
      <c r="M38" s="2" t="s">
        <v>1197</v>
      </c>
      <c r="N38" s="2" t="s">
        <v>369</v>
      </c>
      <c r="O38" s="2" t="s">
        <v>153</v>
      </c>
    </row>
    <row r="39" customFormat="false" ht="15" hidden="false" customHeight="false" outlineLevel="0" collapsed="false">
      <c r="A39" s="2" t="s">
        <v>1121</v>
      </c>
      <c r="B39" s="2" t="s">
        <v>1122</v>
      </c>
      <c r="C39" s="2" t="s">
        <v>1198</v>
      </c>
      <c r="D39" s="2"/>
      <c r="E39" s="2" t="s">
        <v>492</v>
      </c>
      <c r="F39" s="2"/>
      <c r="G39" s="2" t="s">
        <v>368</v>
      </c>
      <c r="H39" s="2"/>
      <c r="I39" s="2" t="s">
        <v>569</v>
      </c>
      <c r="J39" s="2" t="s">
        <v>145</v>
      </c>
      <c r="K39" s="2" t="s">
        <v>1142</v>
      </c>
      <c r="L39" s="2" t="s">
        <v>1142</v>
      </c>
      <c r="M39" s="2" t="s">
        <v>1199</v>
      </c>
      <c r="N39" s="2" t="s">
        <v>369</v>
      </c>
      <c r="O39" s="2" t="s">
        <v>153</v>
      </c>
    </row>
    <row r="40" customFormat="false" ht="15" hidden="false" customHeight="false" outlineLevel="0" collapsed="false">
      <c r="A40" s="2" t="s">
        <v>1121</v>
      </c>
      <c r="B40" s="2" t="s">
        <v>1122</v>
      </c>
      <c r="C40" s="2" t="s">
        <v>1200</v>
      </c>
      <c r="D40" s="2"/>
      <c r="E40" s="2" t="s">
        <v>492</v>
      </c>
      <c r="F40" s="2"/>
      <c r="G40" s="2" t="s">
        <v>368</v>
      </c>
      <c r="H40" s="2"/>
      <c r="I40" s="2" t="s">
        <v>569</v>
      </c>
      <c r="J40" s="2" t="s">
        <v>145</v>
      </c>
      <c r="K40" s="2" t="s">
        <v>1142</v>
      </c>
      <c r="L40" s="2" t="s">
        <v>1142</v>
      </c>
      <c r="M40" s="2" t="s">
        <v>1201</v>
      </c>
      <c r="N40" s="2" t="s">
        <v>369</v>
      </c>
      <c r="O40" s="2" t="s">
        <v>153</v>
      </c>
    </row>
    <row r="41" customFormat="false" ht="15" hidden="false" customHeight="false" outlineLevel="0" collapsed="false">
      <c r="A41" s="2" t="s">
        <v>1121</v>
      </c>
      <c r="B41" s="2" t="s">
        <v>1122</v>
      </c>
      <c r="C41" s="2" t="s">
        <v>1202</v>
      </c>
      <c r="D41" s="2"/>
      <c r="E41" s="2" t="s">
        <v>492</v>
      </c>
      <c r="F41" s="2"/>
      <c r="G41" s="2" t="s">
        <v>368</v>
      </c>
      <c r="H41" s="2"/>
      <c r="I41" s="2" t="s">
        <v>569</v>
      </c>
      <c r="J41" s="2" t="s">
        <v>145</v>
      </c>
      <c r="K41" s="2" t="s">
        <v>1142</v>
      </c>
      <c r="L41" s="2" t="s">
        <v>1142</v>
      </c>
      <c r="M41" s="2" t="s">
        <v>1203</v>
      </c>
      <c r="N41" s="2" t="s">
        <v>369</v>
      </c>
      <c r="O41" s="2" t="s">
        <v>153</v>
      </c>
    </row>
    <row r="42" customFormat="false" ht="15" hidden="false" customHeight="false" outlineLevel="0" collapsed="false">
      <c r="A42" s="2" t="s">
        <v>1121</v>
      </c>
      <c r="B42" s="2" t="s">
        <v>1122</v>
      </c>
      <c r="C42" s="2" t="s">
        <v>1204</v>
      </c>
      <c r="D42" s="2"/>
      <c r="E42" s="2" t="s">
        <v>492</v>
      </c>
      <c r="F42" s="2"/>
      <c r="G42" s="2" t="s">
        <v>368</v>
      </c>
      <c r="H42" s="2"/>
      <c r="I42" s="2" t="s">
        <v>569</v>
      </c>
      <c r="J42" s="2" t="s">
        <v>145</v>
      </c>
      <c r="K42" s="2" t="s">
        <v>1142</v>
      </c>
      <c r="L42" s="2" t="s">
        <v>1142</v>
      </c>
      <c r="M42" s="2" t="s">
        <v>1205</v>
      </c>
      <c r="N42" s="2" t="s">
        <v>369</v>
      </c>
      <c r="O42" s="2" t="s">
        <v>153</v>
      </c>
    </row>
    <row r="43" customFormat="false" ht="15" hidden="false" customHeight="false" outlineLevel="0" collapsed="false">
      <c r="A43" s="2" t="s">
        <v>1121</v>
      </c>
      <c r="B43" s="2" t="s">
        <v>1122</v>
      </c>
      <c r="C43" s="2" t="s">
        <v>1206</v>
      </c>
      <c r="D43" s="2"/>
      <c r="E43" s="2" t="s">
        <v>492</v>
      </c>
      <c r="F43" s="2"/>
      <c r="G43" s="2" t="s">
        <v>368</v>
      </c>
      <c r="H43" s="2"/>
      <c r="I43" s="2" t="s">
        <v>569</v>
      </c>
      <c r="J43" s="2" t="s">
        <v>145</v>
      </c>
      <c r="K43" s="2" t="s">
        <v>1142</v>
      </c>
      <c r="L43" s="2" t="s">
        <v>1142</v>
      </c>
      <c r="M43" s="2" t="s">
        <v>1207</v>
      </c>
      <c r="N43" s="2" t="s">
        <v>369</v>
      </c>
      <c r="O43" s="2" t="s">
        <v>153</v>
      </c>
    </row>
    <row r="44" customFormat="false" ht="15" hidden="false" customHeight="false" outlineLevel="0" collapsed="false">
      <c r="A44" s="2" t="s">
        <v>1121</v>
      </c>
      <c r="B44" s="2" t="s">
        <v>1122</v>
      </c>
      <c r="C44" s="2" t="s">
        <v>1208</v>
      </c>
      <c r="D44" s="2"/>
      <c r="E44" s="2" t="s">
        <v>492</v>
      </c>
      <c r="F44" s="2"/>
      <c r="G44" s="2" t="s">
        <v>368</v>
      </c>
      <c r="H44" s="2"/>
      <c r="I44" s="2" t="s">
        <v>569</v>
      </c>
      <c r="J44" s="2" t="s">
        <v>145</v>
      </c>
      <c r="K44" s="2" t="s">
        <v>1142</v>
      </c>
      <c r="L44" s="2" t="s">
        <v>1142</v>
      </c>
      <c r="M44" s="2" t="s">
        <v>1209</v>
      </c>
      <c r="N44" s="2" t="s">
        <v>369</v>
      </c>
      <c r="O44" s="2" t="s">
        <v>153</v>
      </c>
    </row>
    <row r="45" customFormat="false" ht="15" hidden="false" customHeight="false" outlineLevel="0" collapsed="false">
      <c r="A45" s="2" t="s">
        <v>1121</v>
      </c>
      <c r="B45" s="2" t="s">
        <v>1122</v>
      </c>
      <c r="C45" s="2" t="s">
        <v>1210</v>
      </c>
      <c r="D45" s="2"/>
      <c r="E45" s="2" t="s">
        <v>492</v>
      </c>
      <c r="F45" s="2"/>
      <c r="G45" s="2" t="s">
        <v>368</v>
      </c>
      <c r="H45" s="2"/>
      <c r="I45" s="2" t="s">
        <v>569</v>
      </c>
      <c r="J45" s="2" t="s">
        <v>145</v>
      </c>
      <c r="K45" s="2" t="s">
        <v>1142</v>
      </c>
      <c r="L45" s="2" t="s">
        <v>1142</v>
      </c>
      <c r="M45" s="2" t="s">
        <v>1211</v>
      </c>
      <c r="N45" s="2" t="s">
        <v>369</v>
      </c>
      <c r="O45" s="2" t="s">
        <v>153</v>
      </c>
    </row>
    <row r="46" customFormat="false" ht="15" hidden="false" customHeight="false" outlineLevel="0" collapsed="false">
      <c r="A46" s="2" t="s">
        <v>1121</v>
      </c>
      <c r="B46" s="2" t="s">
        <v>1122</v>
      </c>
      <c r="C46" s="2" t="s">
        <v>1212</v>
      </c>
      <c r="D46" s="2"/>
      <c r="E46" s="2" t="s">
        <v>492</v>
      </c>
      <c r="F46" s="2"/>
      <c r="G46" s="2" t="s">
        <v>368</v>
      </c>
      <c r="H46" s="2"/>
      <c r="I46" s="2" t="s">
        <v>569</v>
      </c>
      <c r="J46" s="2" t="s">
        <v>145</v>
      </c>
      <c r="K46" s="2" t="s">
        <v>1142</v>
      </c>
      <c r="L46" s="2" t="s">
        <v>1142</v>
      </c>
      <c r="M46" s="2" t="s">
        <v>1213</v>
      </c>
      <c r="N46" s="2" t="s">
        <v>369</v>
      </c>
      <c r="O46" s="2" t="s">
        <v>153</v>
      </c>
    </row>
    <row r="47" customFormat="false" ht="15" hidden="false" customHeight="false" outlineLevel="0" collapsed="false">
      <c r="A47" s="2" t="s">
        <v>1121</v>
      </c>
      <c r="B47" s="2" t="s">
        <v>1122</v>
      </c>
      <c r="C47" s="2" t="s">
        <v>1214</v>
      </c>
      <c r="D47" s="2"/>
      <c r="E47" s="2" t="s">
        <v>492</v>
      </c>
      <c r="F47" s="2"/>
      <c r="G47" s="2" t="s">
        <v>368</v>
      </c>
      <c r="H47" s="2"/>
      <c r="I47" s="2" t="s">
        <v>569</v>
      </c>
      <c r="J47" s="2" t="s">
        <v>145</v>
      </c>
      <c r="K47" s="2" t="s">
        <v>1142</v>
      </c>
      <c r="L47" s="2" t="s">
        <v>1142</v>
      </c>
      <c r="M47" s="2" t="s">
        <v>1215</v>
      </c>
      <c r="N47" s="2" t="s">
        <v>369</v>
      </c>
      <c r="O47" s="2" t="s">
        <v>153</v>
      </c>
    </row>
    <row r="48" customFormat="false" ht="15" hidden="false" customHeight="false" outlineLevel="0" collapsed="false">
      <c r="A48" s="2" t="s">
        <v>1121</v>
      </c>
      <c r="B48" s="2" t="s">
        <v>1122</v>
      </c>
      <c r="C48" s="2" t="s">
        <v>1216</v>
      </c>
      <c r="D48" s="2"/>
      <c r="E48" s="2" t="s">
        <v>492</v>
      </c>
      <c r="F48" s="2"/>
      <c r="G48" s="2" t="s">
        <v>368</v>
      </c>
      <c r="H48" s="2"/>
      <c r="I48" s="2" t="s">
        <v>569</v>
      </c>
      <c r="J48" s="2" t="s">
        <v>145</v>
      </c>
      <c r="K48" s="2" t="s">
        <v>1142</v>
      </c>
      <c r="L48" s="2" t="s">
        <v>1142</v>
      </c>
      <c r="M48" s="2" t="s">
        <v>1217</v>
      </c>
      <c r="N48" s="2" t="s">
        <v>369</v>
      </c>
      <c r="O48" s="2" t="s">
        <v>153</v>
      </c>
    </row>
    <row r="49" customFormat="false" ht="15" hidden="false" customHeight="false" outlineLevel="0" collapsed="false">
      <c r="A49" s="2" t="s">
        <v>1121</v>
      </c>
      <c r="B49" s="2" t="s">
        <v>1122</v>
      </c>
      <c r="C49" s="2" t="s">
        <v>1218</v>
      </c>
      <c r="D49" s="2"/>
      <c r="E49" s="2" t="s">
        <v>492</v>
      </c>
      <c r="F49" s="2"/>
      <c r="G49" s="2" t="s">
        <v>368</v>
      </c>
      <c r="H49" s="2"/>
      <c r="I49" s="2" t="s">
        <v>569</v>
      </c>
      <c r="J49" s="2" t="s">
        <v>145</v>
      </c>
      <c r="K49" s="2" t="s">
        <v>1142</v>
      </c>
      <c r="L49" s="2" t="s">
        <v>1142</v>
      </c>
      <c r="M49" s="2" t="s">
        <v>1219</v>
      </c>
      <c r="N49" s="2" t="s">
        <v>369</v>
      </c>
      <c r="O49" s="2" t="s">
        <v>153</v>
      </c>
    </row>
    <row r="50" customFormat="false" ht="15" hidden="false" customHeight="false" outlineLevel="0" collapsed="false">
      <c r="A50" s="2" t="s">
        <v>1121</v>
      </c>
      <c r="B50" s="2" t="s">
        <v>1122</v>
      </c>
      <c r="C50" s="2" t="s">
        <v>1220</v>
      </c>
      <c r="D50" s="2"/>
      <c r="E50" s="2" t="s">
        <v>492</v>
      </c>
      <c r="F50" s="2"/>
      <c r="G50" s="2" t="s">
        <v>368</v>
      </c>
      <c r="H50" s="2"/>
      <c r="I50" s="2" t="s">
        <v>569</v>
      </c>
      <c r="J50" s="2" t="s">
        <v>145</v>
      </c>
      <c r="K50" s="2" t="s">
        <v>1142</v>
      </c>
      <c r="L50" s="2" t="s">
        <v>1142</v>
      </c>
      <c r="M50" s="2" t="s">
        <v>1221</v>
      </c>
      <c r="N50" s="2" t="s">
        <v>369</v>
      </c>
      <c r="O50" s="2" t="s">
        <v>153</v>
      </c>
    </row>
    <row r="51" customFormat="false" ht="15" hidden="false" customHeight="false" outlineLevel="0" collapsed="false">
      <c r="A51" s="2" t="s">
        <v>1121</v>
      </c>
      <c r="B51" s="2" t="s">
        <v>1122</v>
      </c>
      <c r="C51" s="2" t="s">
        <v>1222</v>
      </c>
      <c r="D51" s="2"/>
      <c r="E51" s="2" t="s">
        <v>492</v>
      </c>
      <c r="F51" s="2"/>
      <c r="G51" s="2" t="s">
        <v>368</v>
      </c>
      <c r="H51" s="2"/>
      <c r="I51" s="2" t="s">
        <v>569</v>
      </c>
      <c r="J51" s="2" t="s">
        <v>145</v>
      </c>
      <c r="K51" s="2" t="s">
        <v>1142</v>
      </c>
      <c r="L51" s="2" t="s">
        <v>1142</v>
      </c>
      <c r="M51" s="2" t="s">
        <v>1223</v>
      </c>
      <c r="N51" s="2" t="s">
        <v>369</v>
      </c>
      <c r="O51" s="2" t="s">
        <v>153</v>
      </c>
    </row>
    <row r="52" customFormat="false" ht="15" hidden="false" customHeight="false" outlineLevel="0" collapsed="false">
      <c r="A52" s="2" t="s">
        <v>1121</v>
      </c>
      <c r="B52" s="2" t="s">
        <v>1122</v>
      </c>
      <c r="C52" s="2" t="s">
        <v>1224</v>
      </c>
      <c r="D52" s="2"/>
      <c r="E52" s="2" t="s">
        <v>492</v>
      </c>
      <c r="F52" s="2"/>
      <c r="G52" s="2" t="s">
        <v>368</v>
      </c>
      <c r="H52" s="2"/>
      <c r="I52" s="2" t="s">
        <v>569</v>
      </c>
      <c r="J52" s="2" t="s">
        <v>145</v>
      </c>
      <c r="K52" s="2" t="s">
        <v>1142</v>
      </c>
      <c r="L52" s="2" t="s">
        <v>1142</v>
      </c>
      <c r="M52" s="2" t="s">
        <v>1225</v>
      </c>
      <c r="N52" s="2" t="s">
        <v>369</v>
      </c>
      <c r="O52" s="2" t="s">
        <v>153</v>
      </c>
    </row>
    <row r="53" customFormat="false" ht="15" hidden="false" customHeight="false" outlineLevel="0" collapsed="false">
      <c r="A53" s="2" t="s">
        <v>1121</v>
      </c>
      <c r="B53" s="2" t="s">
        <v>1122</v>
      </c>
      <c r="C53" s="2" t="s">
        <v>1226</v>
      </c>
      <c r="D53" s="2"/>
      <c r="E53" s="2" t="s">
        <v>492</v>
      </c>
      <c r="F53" s="2"/>
      <c r="G53" s="2" t="s">
        <v>368</v>
      </c>
      <c r="H53" s="2"/>
      <c r="I53" s="2" t="s">
        <v>569</v>
      </c>
      <c r="J53" s="2" t="s">
        <v>145</v>
      </c>
      <c r="K53" s="2" t="s">
        <v>1142</v>
      </c>
      <c r="L53" s="2" t="s">
        <v>1142</v>
      </c>
      <c r="M53" s="2" t="s">
        <v>1227</v>
      </c>
      <c r="N53" s="2" t="s">
        <v>369</v>
      </c>
      <c r="O53" s="2" t="s">
        <v>153</v>
      </c>
    </row>
    <row r="54" customFormat="false" ht="15" hidden="false" customHeight="false" outlineLevel="0" collapsed="false">
      <c r="A54" s="2" t="s">
        <v>1121</v>
      </c>
      <c r="B54" s="2" t="s">
        <v>1122</v>
      </c>
      <c r="C54" s="2" t="s">
        <v>1228</v>
      </c>
      <c r="D54" s="2"/>
      <c r="E54" s="2" t="s">
        <v>492</v>
      </c>
      <c r="F54" s="2"/>
      <c r="G54" s="2" t="s">
        <v>368</v>
      </c>
      <c r="H54" s="2"/>
      <c r="I54" s="2" t="s">
        <v>569</v>
      </c>
      <c r="J54" s="2" t="s">
        <v>145</v>
      </c>
      <c r="K54" s="2" t="s">
        <v>1142</v>
      </c>
      <c r="L54" s="2" t="s">
        <v>1142</v>
      </c>
      <c r="M54" s="2" t="s">
        <v>1229</v>
      </c>
      <c r="N54" s="2" t="s">
        <v>369</v>
      </c>
      <c r="O54" s="2" t="s">
        <v>153</v>
      </c>
    </row>
    <row r="55" customFormat="false" ht="15" hidden="false" customHeight="false" outlineLevel="0" collapsed="false">
      <c r="A55" s="2" t="s">
        <v>1121</v>
      </c>
      <c r="B55" s="2" t="s">
        <v>1122</v>
      </c>
      <c r="C55" s="2" t="s">
        <v>1230</v>
      </c>
      <c r="D55" s="2"/>
      <c r="E55" s="2" t="s">
        <v>492</v>
      </c>
      <c r="F55" s="2"/>
      <c r="G55" s="2" t="s">
        <v>368</v>
      </c>
      <c r="H55" s="2"/>
      <c r="I55" s="2" t="s">
        <v>569</v>
      </c>
      <c r="J55" s="2" t="s">
        <v>145</v>
      </c>
      <c r="K55" s="2" t="s">
        <v>1142</v>
      </c>
      <c r="L55" s="2" t="s">
        <v>1142</v>
      </c>
      <c r="M55" s="2" t="s">
        <v>1231</v>
      </c>
      <c r="N55" s="2" t="s">
        <v>369</v>
      </c>
      <c r="O55" s="2" t="s">
        <v>153</v>
      </c>
    </row>
    <row r="56" customFormat="false" ht="15" hidden="false" customHeight="false" outlineLevel="0" collapsed="false">
      <c r="A56" s="2" t="s">
        <v>1116</v>
      </c>
      <c r="B56" s="2" t="s">
        <v>1117</v>
      </c>
      <c r="C56" s="2" t="s">
        <v>308</v>
      </c>
      <c r="D56" s="2"/>
      <c r="E56" s="2" t="s">
        <v>311</v>
      </c>
      <c r="F56" s="2"/>
      <c r="G56" s="2" t="s">
        <v>313</v>
      </c>
      <c r="H56" s="2"/>
      <c r="I56" s="2" t="s">
        <v>309</v>
      </c>
      <c r="J56" s="2" t="s">
        <v>314</v>
      </c>
      <c r="K56" s="2" t="s">
        <v>137</v>
      </c>
      <c r="L56" s="2" t="s">
        <v>137</v>
      </c>
      <c r="M56" s="2" t="s">
        <v>327</v>
      </c>
      <c r="N56" s="2" t="s">
        <v>315</v>
      </c>
      <c r="O56" s="2" t="s">
        <v>323</v>
      </c>
    </row>
    <row r="57" customFormat="false" ht="15" hidden="false" customHeight="false" outlineLevel="0" collapsed="false">
      <c r="A57" s="2" t="s">
        <v>1116</v>
      </c>
      <c r="B57" s="2" t="s">
        <v>1117</v>
      </c>
      <c r="C57" s="2" t="s">
        <v>139</v>
      </c>
      <c r="D57" s="2"/>
      <c r="E57" s="2" t="s">
        <v>142</v>
      </c>
      <c r="F57" s="2"/>
      <c r="G57" s="2" t="s">
        <v>144</v>
      </c>
      <c r="H57" s="2"/>
      <c r="I57" s="2" t="s">
        <v>140</v>
      </c>
      <c r="J57" s="2" t="s">
        <v>145</v>
      </c>
      <c r="K57" s="2" t="s">
        <v>137</v>
      </c>
      <c r="L57" s="2" t="s">
        <v>137</v>
      </c>
      <c r="M57" s="2" t="s">
        <v>160</v>
      </c>
      <c r="N57" s="2" t="s">
        <v>146</v>
      </c>
      <c r="O57" s="2" t="s">
        <v>153</v>
      </c>
    </row>
    <row r="58" customFormat="false" ht="15" hidden="false" customHeight="false" outlineLevel="0" collapsed="false">
      <c r="A58" s="2" t="s">
        <v>1116</v>
      </c>
      <c r="B58" s="2" t="s">
        <v>1117</v>
      </c>
      <c r="C58" s="2" t="s">
        <v>328</v>
      </c>
      <c r="D58" s="2"/>
      <c r="E58" s="2" t="s">
        <v>311</v>
      </c>
      <c r="F58" s="2"/>
      <c r="G58" s="2" t="s">
        <v>313</v>
      </c>
      <c r="H58" s="2"/>
      <c r="I58" s="2" t="s">
        <v>309</v>
      </c>
      <c r="J58" s="2" t="s">
        <v>314</v>
      </c>
      <c r="K58" s="2" t="s">
        <v>137</v>
      </c>
      <c r="L58" s="2" t="s">
        <v>137</v>
      </c>
      <c r="M58" s="2" t="s">
        <v>330</v>
      </c>
      <c r="N58" s="2" t="s">
        <v>315</v>
      </c>
      <c r="O58" s="2" t="s">
        <v>323</v>
      </c>
    </row>
    <row r="59" customFormat="false" ht="15" hidden="false" customHeight="false" outlineLevel="0" collapsed="false">
      <c r="A59" s="2" t="s">
        <v>1116</v>
      </c>
      <c r="B59" s="2" t="s">
        <v>1117</v>
      </c>
      <c r="C59" s="2" t="s">
        <v>331</v>
      </c>
      <c r="D59" s="2"/>
      <c r="E59" s="2" t="s">
        <v>311</v>
      </c>
      <c r="F59" s="2"/>
      <c r="G59" s="2" t="s">
        <v>313</v>
      </c>
      <c r="H59" s="2"/>
      <c r="I59" s="2" t="s">
        <v>309</v>
      </c>
      <c r="J59" s="2" t="s">
        <v>314</v>
      </c>
      <c r="K59" s="2" t="s">
        <v>137</v>
      </c>
      <c r="L59" s="2" t="s">
        <v>137</v>
      </c>
      <c r="M59" s="2" t="s">
        <v>334</v>
      </c>
      <c r="N59" s="2" t="s">
        <v>315</v>
      </c>
      <c r="O59" s="2" t="s">
        <v>323</v>
      </c>
    </row>
    <row r="60" customFormat="false" ht="15" hidden="false" customHeight="false" outlineLevel="0" collapsed="false">
      <c r="A60" s="2" t="s">
        <v>1116</v>
      </c>
      <c r="B60" s="2" t="s">
        <v>1117</v>
      </c>
      <c r="C60" s="2" t="s">
        <v>113</v>
      </c>
      <c r="D60" s="2"/>
      <c r="E60" s="2" t="s">
        <v>117</v>
      </c>
      <c r="F60" s="2"/>
      <c r="G60" s="2" t="s">
        <v>119</v>
      </c>
      <c r="H60" s="2"/>
      <c r="I60" s="2" t="s">
        <v>114</v>
      </c>
      <c r="J60" s="2" t="s">
        <v>120</v>
      </c>
      <c r="K60" s="2" t="s">
        <v>137</v>
      </c>
      <c r="L60" s="2" t="s">
        <v>137</v>
      </c>
      <c r="M60" s="2" t="s">
        <v>138</v>
      </c>
      <c r="N60" s="2" t="s">
        <v>121</v>
      </c>
      <c r="O60" s="2" t="s">
        <v>129</v>
      </c>
    </row>
    <row r="61" customFormat="false" ht="15" hidden="false" customHeight="false" outlineLevel="0" collapsed="false">
      <c r="A61" s="2" t="s">
        <v>1116</v>
      </c>
      <c r="B61" s="2" t="s">
        <v>1117</v>
      </c>
      <c r="C61" s="2" t="s">
        <v>335</v>
      </c>
      <c r="D61" s="2"/>
      <c r="E61" s="2" t="s">
        <v>311</v>
      </c>
      <c r="F61" s="2"/>
      <c r="G61" s="2" t="s">
        <v>313</v>
      </c>
      <c r="H61" s="2"/>
      <c r="I61" s="2" t="s">
        <v>309</v>
      </c>
      <c r="J61" s="2" t="s">
        <v>314</v>
      </c>
      <c r="K61" s="2" t="s">
        <v>137</v>
      </c>
      <c r="L61" s="2" t="s">
        <v>137</v>
      </c>
      <c r="M61" s="2" t="s">
        <v>338</v>
      </c>
      <c r="N61" s="2" t="s">
        <v>315</v>
      </c>
      <c r="O61" s="2" t="s">
        <v>323</v>
      </c>
    </row>
    <row r="62" customFormat="false" ht="15" hidden="false" customHeight="false" outlineLevel="0" collapsed="false">
      <c r="A62" s="2" t="s">
        <v>1116</v>
      </c>
      <c r="B62" s="2" t="s">
        <v>1117</v>
      </c>
      <c r="C62" s="2" t="s">
        <v>339</v>
      </c>
      <c r="D62" s="2"/>
      <c r="E62" s="2" t="s">
        <v>311</v>
      </c>
      <c r="F62" s="2"/>
      <c r="G62" s="2" t="s">
        <v>313</v>
      </c>
      <c r="H62" s="2"/>
      <c r="I62" s="2" t="s">
        <v>309</v>
      </c>
      <c r="J62" s="2" t="s">
        <v>314</v>
      </c>
      <c r="K62" s="2" t="s">
        <v>137</v>
      </c>
      <c r="L62" s="2" t="s">
        <v>137</v>
      </c>
      <c r="M62" s="2" t="s">
        <v>341</v>
      </c>
      <c r="N62" s="2" t="s">
        <v>315</v>
      </c>
      <c r="O62" s="2" t="s">
        <v>323</v>
      </c>
    </row>
    <row r="63" customFormat="false" ht="15" hidden="false" customHeight="false" outlineLevel="0" collapsed="false">
      <c r="A63" s="2" t="s">
        <v>1116</v>
      </c>
      <c r="B63" s="2" t="s">
        <v>1117</v>
      </c>
      <c r="C63" s="2" t="s">
        <v>161</v>
      </c>
      <c r="D63" s="2"/>
      <c r="E63" s="2" t="s">
        <v>117</v>
      </c>
      <c r="F63" s="2"/>
      <c r="G63" s="2" t="s">
        <v>144</v>
      </c>
      <c r="H63" s="2"/>
      <c r="I63" s="2" t="s">
        <v>140</v>
      </c>
      <c r="J63" s="2" t="s">
        <v>145</v>
      </c>
      <c r="K63" s="2" t="s">
        <v>137</v>
      </c>
      <c r="L63" s="2" t="s">
        <v>137</v>
      </c>
      <c r="M63" s="2" t="s">
        <v>167</v>
      </c>
      <c r="N63" s="2" t="s">
        <v>146</v>
      </c>
      <c r="O63" s="2" t="s">
        <v>153</v>
      </c>
    </row>
    <row r="64" customFormat="false" ht="15" hidden="false" customHeight="false" outlineLevel="0" collapsed="false">
      <c r="A64" s="2" t="s">
        <v>1116</v>
      </c>
      <c r="B64" s="2" t="s">
        <v>1117</v>
      </c>
      <c r="C64" s="2" t="s">
        <v>168</v>
      </c>
      <c r="D64" s="2"/>
      <c r="E64" s="2" t="s">
        <v>117</v>
      </c>
      <c r="F64" s="2"/>
      <c r="G64" s="2" t="s">
        <v>144</v>
      </c>
      <c r="H64" s="2"/>
      <c r="I64" s="2" t="s">
        <v>140</v>
      </c>
      <c r="J64" s="2" t="s">
        <v>145</v>
      </c>
      <c r="K64" s="2" t="s">
        <v>137</v>
      </c>
      <c r="L64" s="2" t="s">
        <v>137</v>
      </c>
      <c r="M64" s="2" t="s">
        <v>170</v>
      </c>
      <c r="N64" s="2" t="s">
        <v>146</v>
      </c>
      <c r="O64" s="2" t="s">
        <v>153</v>
      </c>
    </row>
    <row r="65" customFormat="false" ht="15" hidden="false" customHeight="false" outlineLevel="0" collapsed="false">
      <c r="A65" s="2" t="s">
        <v>1116</v>
      </c>
      <c r="B65" s="2" t="s">
        <v>1117</v>
      </c>
      <c r="C65" s="2" t="s">
        <v>171</v>
      </c>
      <c r="D65" s="2"/>
      <c r="E65" s="2" t="s">
        <v>117</v>
      </c>
      <c r="F65" s="2"/>
      <c r="G65" s="2" t="s">
        <v>144</v>
      </c>
      <c r="H65" s="2"/>
      <c r="I65" s="2" t="s">
        <v>140</v>
      </c>
      <c r="J65" s="2" t="s">
        <v>145</v>
      </c>
      <c r="K65" s="2" t="s">
        <v>137</v>
      </c>
      <c r="L65" s="2" t="s">
        <v>137</v>
      </c>
      <c r="M65" s="2" t="s">
        <v>174</v>
      </c>
      <c r="N65" s="2" t="s">
        <v>146</v>
      </c>
      <c r="O65" s="2" t="s">
        <v>153</v>
      </c>
    </row>
    <row r="66" customFormat="false" ht="15" hidden="false" customHeight="false" outlineLevel="0" collapsed="false">
      <c r="A66" s="2" t="s">
        <v>1116</v>
      </c>
      <c r="B66" s="2" t="s">
        <v>1117</v>
      </c>
      <c r="C66" s="2" t="s">
        <v>342</v>
      </c>
      <c r="D66" s="2"/>
      <c r="E66" s="2" t="s">
        <v>344</v>
      </c>
      <c r="F66" s="2"/>
      <c r="G66" s="2" t="s">
        <v>144</v>
      </c>
      <c r="H66" s="2"/>
      <c r="I66" s="2" t="s">
        <v>309</v>
      </c>
      <c r="J66" s="2" t="s">
        <v>145</v>
      </c>
      <c r="K66" s="2" t="s">
        <v>137</v>
      </c>
      <c r="L66" s="2" t="s">
        <v>137</v>
      </c>
      <c r="M66" s="2" t="s">
        <v>356</v>
      </c>
      <c r="N66" s="2" t="s">
        <v>146</v>
      </c>
      <c r="O66" s="2" t="s">
        <v>153</v>
      </c>
    </row>
    <row r="67" customFormat="false" ht="15" hidden="false" customHeight="false" outlineLevel="0" collapsed="false">
      <c r="A67" s="2" t="s">
        <v>1116</v>
      </c>
      <c r="B67" s="2" t="s">
        <v>1117</v>
      </c>
      <c r="C67" s="2" t="s">
        <v>357</v>
      </c>
      <c r="D67" s="2"/>
      <c r="E67" s="2" t="s">
        <v>311</v>
      </c>
      <c r="F67" s="2"/>
      <c r="G67" s="2" t="s">
        <v>313</v>
      </c>
      <c r="H67" s="2"/>
      <c r="I67" s="2" t="s">
        <v>309</v>
      </c>
      <c r="J67" s="2" t="s">
        <v>314</v>
      </c>
      <c r="K67" s="2" t="s">
        <v>137</v>
      </c>
      <c r="L67" s="2" t="s">
        <v>137</v>
      </c>
      <c r="M67" s="2" t="s">
        <v>360</v>
      </c>
      <c r="N67" s="2" t="s">
        <v>315</v>
      </c>
      <c r="O67" s="2" t="s">
        <v>323</v>
      </c>
    </row>
    <row r="68" customFormat="false" ht="15" hidden="false" customHeight="false" outlineLevel="0" collapsed="false">
      <c r="A68" s="2" t="s">
        <v>1116</v>
      </c>
      <c r="B68" s="2" t="s">
        <v>1117</v>
      </c>
      <c r="C68" s="2" t="s">
        <v>175</v>
      </c>
      <c r="D68" s="2"/>
      <c r="E68" s="2" t="s">
        <v>117</v>
      </c>
      <c r="F68" s="2"/>
      <c r="G68" s="2" t="s">
        <v>144</v>
      </c>
      <c r="H68" s="2"/>
      <c r="I68" s="2" t="s">
        <v>140</v>
      </c>
      <c r="J68" s="2" t="s">
        <v>145</v>
      </c>
      <c r="K68" s="2" t="s">
        <v>137</v>
      </c>
      <c r="L68" s="2" t="s">
        <v>137</v>
      </c>
      <c r="M68" s="2" t="s">
        <v>177</v>
      </c>
      <c r="N68" s="2" t="s">
        <v>146</v>
      </c>
      <c r="O68" s="2" t="s">
        <v>153</v>
      </c>
    </row>
    <row r="69" customFormat="false" ht="15" hidden="false" customHeight="false" outlineLevel="0" collapsed="false">
      <c r="A69" s="2" t="s">
        <v>1116</v>
      </c>
      <c r="B69" s="2" t="s">
        <v>1117</v>
      </c>
      <c r="C69" s="2" t="s">
        <v>189</v>
      </c>
      <c r="D69" s="2"/>
      <c r="E69" s="2" t="s">
        <v>117</v>
      </c>
      <c r="F69" s="2"/>
      <c r="G69" s="2" t="s">
        <v>144</v>
      </c>
      <c r="H69" s="2"/>
      <c r="I69" s="2" t="s">
        <v>140</v>
      </c>
      <c r="J69" s="2" t="s">
        <v>145</v>
      </c>
      <c r="K69" s="2" t="s">
        <v>137</v>
      </c>
      <c r="L69" s="2" t="s">
        <v>137</v>
      </c>
      <c r="M69" s="2" t="s">
        <v>191</v>
      </c>
      <c r="N69" s="2" t="s">
        <v>146</v>
      </c>
      <c r="O69" s="2" t="s">
        <v>153</v>
      </c>
    </row>
    <row r="70" customFormat="false" ht="15" hidden="false" customHeight="false" outlineLevel="0" collapsed="false">
      <c r="A70" s="2" t="s">
        <v>1116</v>
      </c>
      <c r="B70" s="2" t="s">
        <v>1117</v>
      </c>
      <c r="C70" s="2" t="s">
        <v>192</v>
      </c>
      <c r="D70" s="2"/>
      <c r="E70" s="2" t="s">
        <v>142</v>
      </c>
      <c r="F70" s="2"/>
      <c r="G70" s="2" t="s">
        <v>144</v>
      </c>
      <c r="H70" s="2"/>
      <c r="I70" s="2" t="s">
        <v>140</v>
      </c>
      <c r="J70" s="2" t="s">
        <v>145</v>
      </c>
      <c r="K70" s="2" t="s">
        <v>137</v>
      </c>
      <c r="L70" s="2" t="s">
        <v>137</v>
      </c>
      <c r="M70" s="2" t="s">
        <v>198</v>
      </c>
      <c r="N70" s="2" t="s">
        <v>146</v>
      </c>
      <c r="O70" s="2" t="s">
        <v>153</v>
      </c>
    </row>
    <row r="71" customFormat="false" ht="15" hidden="false" customHeight="false" outlineLevel="0" collapsed="false">
      <c r="A71" s="2" t="s">
        <v>1116</v>
      </c>
      <c r="B71" s="2" t="s">
        <v>1117</v>
      </c>
      <c r="C71" s="2" t="s">
        <v>361</v>
      </c>
      <c r="D71" s="2"/>
      <c r="E71" s="2" t="s">
        <v>311</v>
      </c>
      <c r="F71" s="2"/>
      <c r="G71" s="2" t="s">
        <v>313</v>
      </c>
      <c r="H71" s="2"/>
      <c r="I71" s="2" t="s">
        <v>309</v>
      </c>
      <c r="J71" s="2" t="s">
        <v>314</v>
      </c>
      <c r="K71" s="2" t="s">
        <v>137</v>
      </c>
      <c r="L71" s="2" t="s">
        <v>137</v>
      </c>
      <c r="M71" s="2" t="s">
        <v>364</v>
      </c>
      <c r="N71" s="2" t="s">
        <v>315</v>
      </c>
      <c r="O71" s="2" t="s">
        <v>323</v>
      </c>
    </row>
    <row r="72" customFormat="false" ht="15" hidden="false" customHeight="false" outlineLevel="0" collapsed="false">
      <c r="A72" s="2" t="s">
        <v>1116</v>
      </c>
      <c r="B72" s="2" t="s">
        <v>1117</v>
      </c>
      <c r="C72" s="2" t="s">
        <v>199</v>
      </c>
      <c r="D72" s="2"/>
      <c r="E72" s="2" t="s">
        <v>117</v>
      </c>
      <c r="F72" s="2"/>
      <c r="G72" s="2" t="s">
        <v>144</v>
      </c>
      <c r="H72" s="2"/>
      <c r="I72" s="2" t="s">
        <v>140</v>
      </c>
      <c r="J72" s="2" t="s">
        <v>145</v>
      </c>
      <c r="K72" s="2" t="s">
        <v>137</v>
      </c>
      <c r="L72" s="2" t="s">
        <v>137</v>
      </c>
      <c r="M72" s="2" t="s">
        <v>201</v>
      </c>
      <c r="N72" s="2" t="s">
        <v>146</v>
      </c>
      <c r="O72" s="2" t="s">
        <v>153</v>
      </c>
    </row>
    <row r="73" customFormat="false" ht="15" hidden="false" customHeight="false" outlineLevel="0" collapsed="false">
      <c r="A73" s="2" t="s">
        <v>1116</v>
      </c>
      <c r="B73" s="2" t="s">
        <v>1117</v>
      </c>
      <c r="C73" s="2" t="s">
        <v>202</v>
      </c>
      <c r="D73" s="2"/>
      <c r="E73" s="2" t="s">
        <v>117</v>
      </c>
      <c r="F73" s="2"/>
      <c r="G73" s="2" t="s">
        <v>144</v>
      </c>
      <c r="H73" s="2"/>
      <c r="I73" s="2" t="s">
        <v>140</v>
      </c>
      <c r="J73" s="2" t="s">
        <v>145</v>
      </c>
      <c r="K73" s="2" t="s">
        <v>137</v>
      </c>
      <c r="L73" s="2" t="s">
        <v>137</v>
      </c>
      <c r="M73" s="2" t="s">
        <v>207</v>
      </c>
      <c r="N73" s="2" t="s">
        <v>146</v>
      </c>
      <c r="O73" s="2" t="s">
        <v>153</v>
      </c>
    </row>
    <row r="74" customFormat="false" ht="15" hidden="false" customHeight="false" outlineLevel="0" collapsed="false">
      <c r="A74" s="2" t="s">
        <v>1116</v>
      </c>
      <c r="B74" s="2" t="s">
        <v>1117</v>
      </c>
      <c r="C74" s="2" t="s">
        <v>380</v>
      </c>
      <c r="D74" s="2"/>
      <c r="E74" s="2" t="s">
        <v>311</v>
      </c>
      <c r="F74" s="2"/>
      <c r="G74" s="2" t="s">
        <v>382</v>
      </c>
      <c r="H74" s="2"/>
      <c r="I74" s="2" t="s">
        <v>309</v>
      </c>
      <c r="J74" s="2" t="s">
        <v>145</v>
      </c>
      <c r="K74" s="2" t="s">
        <v>137</v>
      </c>
      <c r="L74" s="2" t="s">
        <v>137</v>
      </c>
      <c r="M74" s="2" t="s">
        <v>388</v>
      </c>
      <c r="N74" s="2" t="s">
        <v>146</v>
      </c>
      <c r="O74" s="2" t="s">
        <v>153</v>
      </c>
    </row>
    <row r="75" customFormat="false" ht="15" hidden="false" customHeight="false" outlineLevel="0" collapsed="false">
      <c r="A75" s="2" t="s">
        <v>1116</v>
      </c>
      <c r="B75" s="2" t="s">
        <v>1117</v>
      </c>
      <c r="C75" s="2" t="s">
        <v>389</v>
      </c>
      <c r="D75" s="2"/>
      <c r="E75" s="2" t="s">
        <v>311</v>
      </c>
      <c r="F75" s="2"/>
      <c r="G75" s="2" t="s">
        <v>391</v>
      </c>
      <c r="H75" s="2"/>
      <c r="I75" s="2" t="s">
        <v>309</v>
      </c>
      <c r="J75" s="2" t="s">
        <v>392</v>
      </c>
      <c r="K75" s="2" t="s">
        <v>137</v>
      </c>
      <c r="L75" s="2" t="s">
        <v>137</v>
      </c>
      <c r="M75" s="2" t="s">
        <v>398</v>
      </c>
      <c r="N75" s="2" t="s">
        <v>146</v>
      </c>
      <c r="O75" s="2" t="s">
        <v>395</v>
      </c>
    </row>
    <row r="76" customFormat="false" ht="15" hidden="false" customHeight="false" outlineLevel="0" collapsed="false">
      <c r="A76" s="2" t="s">
        <v>1116</v>
      </c>
      <c r="B76" s="2" t="s">
        <v>1117</v>
      </c>
      <c r="C76" s="2" t="s">
        <v>208</v>
      </c>
      <c r="D76" s="2"/>
      <c r="E76" s="2" t="s">
        <v>117</v>
      </c>
      <c r="F76" s="2"/>
      <c r="G76" s="2" t="s">
        <v>144</v>
      </c>
      <c r="H76" s="2"/>
      <c r="I76" s="2" t="s">
        <v>140</v>
      </c>
      <c r="J76" s="2" t="s">
        <v>145</v>
      </c>
      <c r="K76" s="2" t="s">
        <v>137</v>
      </c>
      <c r="L76" s="2" t="s">
        <v>137</v>
      </c>
      <c r="M76" s="2" t="s">
        <v>210</v>
      </c>
      <c r="N76" s="2" t="s">
        <v>146</v>
      </c>
      <c r="O76" s="2" t="s">
        <v>153</v>
      </c>
    </row>
    <row r="77" customFormat="false" ht="15" hidden="false" customHeight="false" outlineLevel="0" collapsed="false">
      <c r="A77" s="2" t="s">
        <v>1116</v>
      </c>
      <c r="B77" s="2" t="s">
        <v>1117</v>
      </c>
      <c r="C77" s="2" t="s">
        <v>211</v>
      </c>
      <c r="D77" s="2"/>
      <c r="E77" s="2" t="s">
        <v>117</v>
      </c>
      <c r="F77" s="2"/>
      <c r="G77" s="2" t="s">
        <v>144</v>
      </c>
      <c r="H77" s="2"/>
      <c r="I77" s="2" t="s">
        <v>140</v>
      </c>
      <c r="J77" s="2" t="s">
        <v>145</v>
      </c>
      <c r="K77" s="2" t="s">
        <v>137</v>
      </c>
      <c r="L77" s="2" t="s">
        <v>137</v>
      </c>
      <c r="M77" s="2" t="s">
        <v>213</v>
      </c>
      <c r="N77" s="2" t="s">
        <v>146</v>
      </c>
      <c r="O77" s="2" t="s">
        <v>153</v>
      </c>
    </row>
    <row r="78" customFormat="false" ht="15" hidden="false" customHeight="false" outlineLevel="0" collapsed="false">
      <c r="A78" s="2" t="s">
        <v>1116</v>
      </c>
      <c r="B78" s="2" t="s">
        <v>1117</v>
      </c>
      <c r="C78" s="2" t="s">
        <v>214</v>
      </c>
      <c r="D78" s="2"/>
      <c r="E78" s="2" t="s">
        <v>117</v>
      </c>
      <c r="F78" s="2"/>
      <c r="G78" s="2" t="s">
        <v>144</v>
      </c>
      <c r="H78" s="2"/>
      <c r="I78" s="2" t="s">
        <v>140</v>
      </c>
      <c r="J78" s="2" t="s">
        <v>145</v>
      </c>
      <c r="K78" s="2" t="s">
        <v>137</v>
      </c>
      <c r="L78" s="2" t="s">
        <v>137</v>
      </c>
      <c r="M78" s="2" t="s">
        <v>217</v>
      </c>
      <c r="N78" s="2" t="s">
        <v>146</v>
      </c>
      <c r="O78" s="2" t="s">
        <v>153</v>
      </c>
    </row>
    <row r="79" customFormat="false" ht="15" hidden="false" customHeight="false" outlineLevel="0" collapsed="false">
      <c r="A79" s="2" t="s">
        <v>1116</v>
      </c>
      <c r="B79" s="2" t="s">
        <v>1117</v>
      </c>
      <c r="C79" s="2" t="s">
        <v>399</v>
      </c>
      <c r="D79" s="2"/>
      <c r="E79" s="2" t="s">
        <v>311</v>
      </c>
      <c r="F79" s="2"/>
      <c r="G79" s="2" t="s">
        <v>391</v>
      </c>
      <c r="H79" s="2"/>
      <c r="I79" s="2" t="s">
        <v>309</v>
      </c>
      <c r="J79" s="2" t="s">
        <v>392</v>
      </c>
      <c r="K79" s="2" t="s">
        <v>137</v>
      </c>
      <c r="L79" s="2" t="s">
        <v>137</v>
      </c>
      <c r="M79" s="2" t="s">
        <v>402</v>
      </c>
      <c r="N79" s="2" t="s">
        <v>146</v>
      </c>
      <c r="O79" s="2" t="s">
        <v>395</v>
      </c>
    </row>
    <row r="80" customFormat="false" ht="15" hidden="false" customHeight="false" outlineLevel="0" collapsed="false">
      <c r="A80" s="2" t="s">
        <v>1116</v>
      </c>
      <c r="B80" s="2" t="s">
        <v>1117</v>
      </c>
      <c r="C80" s="2" t="s">
        <v>403</v>
      </c>
      <c r="D80" s="2"/>
      <c r="E80" s="2" t="s">
        <v>366</v>
      </c>
      <c r="F80" s="2"/>
      <c r="G80" s="2" t="s">
        <v>368</v>
      </c>
      <c r="H80" s="2"/>
      <c r="I80" s="2" t="s">
        <v>309</v>
      </c>
      <c r="J80" s="2" t="s">
        <v>145</v>
      </c>
      <c r="K80" s="2" t="s">
        <v>137</v>
      </c>
      <c r="L80" s="2" t="s">
        <v>137</v>
      </c>
      <c r="M80" s="2" t="s">
        <v>404</v>
      </c>
      <c r="N80" s="2" t="s">
        <v>369</v>
      </c>
      <c r="O80" s="2" t="s">
        <v>153</v>
      </c>
    </row>
    <row r="81" customFormat="false" ht="15" hidden="false" customHeight="false" outlineLevel="0" collapsed="false">
      <c r="A81" s="2" t="s">
        <v>1116</v>
      </c>
      <c r="B81" s="2" t="s">
        <v>1117</v>
      </c>
      <c r="C81" s="2" t="s">
        <v>218</v>
      </c>
      <c r="D81" s="2"/>
      <c r="E81" s="2" t="s">
        <v>142</v>
      </c>
      <c r="F81" s="2"/>
      <c r="G81" s="2" t="s">
        <v>144</v>
      </c>
      <c r="H81" s="2"/>
      <c r="I81" s="2" t="s">
        <v>140</v>
      </c>
      <c r="J81" s="2" t="s">
        <v>145</v>
      </c>
      <c r="K81" s="2" t="s">
        <v>137</v>
      </c>
      <c r="L81" s="2" t="s">
        <v>137</v>
      </c>
      <c r="M81" s="2" t="s">
        <v>221</v>
      </c>
      <c r="N81" s="2" t="s">
        <v>146</v>
      </c>
      <c r="O81" s="2" t="s">
        <v>153</v>
      </c>
    </row>
    <row r="82" customFormat="false" ht="15" hidden="false" customHeight="false" outlineLevel="0" collapsed="false">
      <c r="A82" s="2" t="s">
        <v>1116</v>
      </c>
      <c r="B82" s="2" t="s">
        <v>1117</v>
      </c>
      <c r="C82" s="2" t="s">
        <v>408</v>
      </c>
      <c r="D82" s="2"/>
      <c r="E82" s="2" t="s">
        <v>311</v>
      </c>
      <c r="F82" s="2"/>
      <c r="G82" s="2" t="s">
        <v>382</v>
      </c>
      <c r="H82" s="2"/>
      <c r="I82" s="2" t="s">
        <v>309</v>
      </c>
      <c r="J82" s="2" t="s">
        <v>145</v>
      </c>
      <c r="K82" s="2" t="s">
        <v>137</v>
      </c>
      <c r="L82" s="2" t="s">
        <v>137</v>
      </c>
      <c r="M82" s="2" t="s">
        <v>411</v>
      </c>
      <c r="N82" s="2" t="s">
        <v>146</v>
      </c>
      <c r="O82" s="2" t="s">
        <v>153</v>
      </c>
    </row>
    <row r="83" customFormat="false" ht="15" hidden="false" customHeight="false" outlineLevel="0" collapsed="false">
      <c r="A83" s="2" t="s">
        <v>1116</v>
      </c>
      <c r="B83" s="2" t="s">
        <v>1117</v>
      </c>
      <c r="C83" s="2" t="s">
        <v>222</v>
      </c>
      <c r="D83" s="2"/>
      <c r="E83" s="2" t="s">
        <v>117</v>
      </c>
      <c r="F83" s="2"/>
      <c r="G83" s="2" t="s">
        <v>144</v>
      </c>
      <c r="H83" s="2"/>
      <c r="I83" s="2" t="s">
        <v>140</v>
      </c>
      <c r="J83" s="2" t="s">
        <v>145</v>
      </c>
      <c r="K83" s="2" t="s">
        <v>137</v>
      </c>
      <c r="L83" s="2" t="s">
        <v>137</v>
      </c>
      <c r="M83" s="2" t="s">
        <v>225</v>
      </c>
      <c r="N83" s="2" t="s">
        <v>146</v>
      </c>
      <c r="O83" s="2" t="s">
        <v>153</v>
      </c>
    </row>
    <row r="84" customFormat="false" ht="15" hidden="false" customHeight="false" outlineLevel="0" collapsed="false">
      <c r="A84" s="2" t="s">
        <v>1116</v>
      </c>
      <c r="B84" s="2" t="s">
        <v>1117</v>
      </c>
      <c r="C84" s="2" t="s">
        <v>450</v>
      </c>
      <c r="D84" s="2"/>
      <c r="E84" s="2" t="s">
        <v>311</v>
      </c>
      <c r="F84" s="2"/>
      <c r="G84" s="2" t="s">
        <v>144</v>
      </c>
      <c r="H84" s="2"/>
      <c r="I84" s="2" t="s">
        <v>451</v>
      </c>
      <c r="J84" s="2" t="s">
        <v>145</v>
      </c>
      <c r="K84" s="2" t="s">
        <v>137</v>
      </c>
      <c r="L84" s="2" t="s">
        <v>137</v>
      </c>
      <c r="M84" s="2" t="s">
        <v>457</v>
      </c>
      <c r="N84" s="2" t="s">
        <v>146</v>
      </c>
      <c r="O84" s="2" t="s">
        <v>153</v>
      </c>
    </row>
    <row r="85" customFormat="false" ht="15" hidden="false" customHeight="false" outlineLevel="0" collapsed="false">
      <c r="A85" s="2" t="s">
        <v>1116</v>
      </c>
      <c r="B85" s="2" t="s">
        <v>1117</v>
      </c>
      <c r="C85" s="2" t="s">
        <v>412</v>
      </c>
      <c r="D85" s="2"/>
      <c r="E85" s="2" t="s">
        <v>311</v>
      </c>
      <c r="F85" s="2"/>
      <c r="G85" s="2" t="s">
        <v>382</v>
      </c>
      <c r="H85" s="2"/>
      <c r="I85" s="2" t="s">
        <v>309</v>
      </c>
      <c r="J85" s="2" t="s">
        <v>145</v>
      </c>
      <c r="K85" s="2" t="s">
        <v>137</v>
      </c>
      <c r="L85" s="2" t="s">
        <v>137</v>
      </c>
      <c r="M85" s="2" t="s">
        <v>415</v>
      </c>
      <c r="N85" s="2" t="s">
        <v>146</v>
      </c>
      <c r="O85" s="2" t="s">
        <v>153</v>
      </c>
    </row>
    <row r="86" customFormat="false" ht="15" hidden="false" customHeight="false" outlineLevel="0" collapsed="false">
      <c r="A86" s="2" t="s">
        <v>1116</v>
      </c>
      <c r="B86" s="2" t="s">
        <v>1117</v>
      </c>
      <c r="C86" s="2" t="s">
        <v>416</v>
      </c>
      <c r="D86" s="2"/>
      <c r="E86" s="2" t="s">
        <v>311</v>
      </c>
      <c r="F86" s="2"/>
      <c r="G86" s="2" t="s">
        <v>382</v>
      </c>
      <c r="H86" s="2"/>
      <c r="I86" s="2" t="s">
        <v>309</v>
      </c>
      <c r="J86" s="2" t="s">
        <v>145</v>
      </c>
      <c r="K86" s="2" t="s">
        <v>137</v>
      </c>
      <c r="L86" s="2" t="s">
        <v>137</v>
      </c>
      <c r="M86" s="2" t="s">
        <v>418</v>
      </c>
      <c r="N86" s="2" t="s">
        <v>146</v>
      </c>
      <c r="O86" s="2" t="s">
        <v>153</v>
      </c>
    </row>
    <row r="87" customFormat="false" ht="15" hidden="false" customHeight="false" outlineLevel="0" collapsed="false">
      <c r="A87" s="2" t="s">
        <v>1116</v>
      </c>
      <c r="B87" s="2" t="s">
        <v>1117</v>
      </c>
      <c r="C87" s="2" t="s">
        <v>229</v>
      </c>
      <c r="D87" s="2"/>
      <c r="E87" s="2" t="s">
        <v>142</v>
      </c>
      <c r="F87" s="2"/>
      <c r="G87" s="2" t="s">
        <v>144</v>
      </c>
      <c r="H87" s="2"/>
      <c r="I87" s="2" t="s">
        <v>140</v>
      </c>
      <c r="J87" s="2" t="s">
        <v>145</v>
      </c>
      <c r="K87" s="2" t="s">
        <v>137</v>
      </c>
      <c r="L87" s="2" t="s">
        <v>137</v>
      </c>
      <c r="M87" s="2" t="s">
        <v>231</v>
      </c>
      <c r="N87" s="2" t="s">
        <v>146</v>
      </c>
      <c r="O87" s="2" t="s">
        <v>153</v>
      </c>
    </row>
    <row r="88" customFormat="false" ht="15" hidden="false" customHeight="false" outlineLevel="0" collapsed="false">
      <c r="A88" s="2" t="s">
        <v>1116</v>
      </c>
      <c r="B88" s="2" t="s">
        <v>1117</v>
      </c>
      <c r="C88" s="2" t="s">
        <v>419</v>
      </c>
      <c r="D88" s="2"/>
      <c r="E88" s="2" t="s">
        <v>311</v>
      </c>
      <c r="F88" s="2"/>
      <c r="G88" s="2" t="s">
        <v>391</v>
      </c>
      <c r="H88" s="2"/>
      <c r="I88" s="2" t="s">
        <v>309</v>
      </c>
      <c r="J88" s="2" t="s">
        <v>392</v>
      </c>
      <c r="K88" s="2" t="s">
        <v>137</v>
      </c>
      <c r="L88" s="2" t="s">
        <v>137</v>
      </c>
      <c r="M88" s="2" t="s">
        <v>421</v>
      </c>
      <c r="N88" s="2" t="s">
        <v>146</v>
      </c>
      <c r="O88" s="2" t="s">
        <v>395</v>
      </c>
    </row>
    <row r="89" customFormat="false" ht="15" hidden="false" customHeight="false" outlineLevel="0" collapsed="false">
      <c r="A89" s="2" t="s">
        <v>1116</v>
      </c>
      <c r="B89" s="2" t="s">
        <v>1117</v>
      </c>
      <c r="C89" s="2" t="s">
        <v>458</v>
      </c>
      <c r="D89" s="2"/>
      <c r="E89" s="2" t="s">
        <v>311</v>
      </c>
      <c r="F89" s="2"/>
      <c r="G89" s="2" t="s">
        <v>144</v>
      </c>
      <c r="H89" s="2"/>
      <c r="I89" s="2" t="s">
        <v>451</v>
      </c>
      <c r="J89" s="2" t="s">
        <v>145</v>
      </c>
      <c r="K89" s="2" t="s">
        <v>137</v>
      </c>
      <c r="L89" s="2" t="s">
        <v>137</v>
      </c>
      <c r="M89" s="2" t="s">
        <v>461</v>
      </c>
      <c r="N89" s="2" t="s">
        <v>146</v>
      </c>
      <c r="O89" s="2" t="s">
        <v>153</v>
      </c>
    </row>
    <row r="90" customFormat="false" ht="15" hidden="false" customHeight="false" outlineLevel="0" collapsed="false">
      <c r="A90" s="2" t="s">
        <v>1116</v>
      </c>
      <c r="B90" s="2" t="s">
        <v>1117</v>
      </c>
      <c r="C90" s="2" t="s">
        <v>235</v>
      </c>
      <c r="D90" s="2"/>
      <c r="E90" s="2" t="s">
        <v>117</v>
      </c>
      <c r="F90" s="2"/>
      <c r="G90" s="2" t="s">
        <v>144</v>
      </c>
      <c r="H90" s="2"/>
      <c r="I90" s="2" t="s">
        <v>140</v>
      </c>
      <c r="J90" s="2" t="s">
        <v>145</v>
      </c>
      <c r="K90" s="2" t="s">
        <v>137</v>
      </c>
      <c r="L90" s="2" t="s">
        <v>137</v>
      </c>
      <c r="M90" s="2" t="s">
        <v>238</v>
      </c>
      <c r="N90" s="2" t="s">
        <v>146</v>
      </c>
      <c r="O90" s="2" t="s">
        <v>153</v>
      </c>
    </row>
    <row r="91" customFormat="false" ht="15" hidden="false" customHeight="false" outlineLevel="0" collapsed="false">
      <c r="A91" s="2" t="s">
        <v>1116</v>
      </c>
      <c r="B91" s="2" t="s">
        <v>1117</v>
      </c>
      <c r="C91" s="2" t="s">
        <v>422</v>
      </c>
      <c r="D91" s="2"/>
      <c r="E91" s="2" t="s">
        <v>311</v>
      </c>
      <c r="F91" s="2"/>
      <c r="G91" s="2" t="s">
        <v>391</v>
      </c>
      <c r="H91" s="2"/>
      <c r="I91" s="2" t="s">
        <v>309</v>
      </c>
      <c r="J91" s="2" t="s">
        <v>392</v>
      </c>
      <c r="K91" s="2" t="s">
        <v>137</v>
      </c>
      <c r="L91" s="2" t="s">
        <v>137</v>
      </c>
      <c r="M91" s="2" t="s">
        <v>425</v>
      </c>
      <c r="N91" s="2" t="s">
        <v>146</v>
      </c>
      <c r="O91" s="2" t="s">
        <v>395</v>
      </c>
    </row>
    <row r="92" customFormat="false" ht="15" hidden="false" customHeight="false" outlineLevel="0" collapsed="false">
      <c r="A92" s="2" t="s">
        <v>1116</v>
      </c>
      <c r="B92" s="2" t="s">
        <v>1117</v>
      </c>
      <c r="C92" s="2" t="s">
        <v>239</v>
      </c>
      <c r="D92" s="2"/>
      <c r="E92" s="2" t="s">
        <v>117</v>
      </c>
      <c r="F92" s="2"/>
      <c r="G92" s="2" t="s">
        <v>144</v>
      </c>
      <c r="H92" s="2"/>
      <c r="I92" s="2" t="s">
        <v>140</v>
      </c>
      <c r="J92" s="2" t="s">
        <v>145</v>
      </c>
      <c r="K92" s="2" t="s">
        <v>137</v>
      </c>
      <c r="L92" s="2" t="s">
        <v>137</v>
      </c>
      <c r="M92" s="2" t="s">
        <v>241</v>
      </c>
      <c r="N92" s="2" t="s">
        <v>146</v>
      </c>
      <c r="O92" s="2" t="s">
        <v>153</v>
      </c>
    </row>
    <row r="93" customFormat="false" ht="15" hidden="false" customHeight="false" outlineLevel="0" collapsed="false">
      <c r="A93" s="2" t="s">
        <v>1116</v>
      </c>
      <c r="B93" s="2" t="s">
        <v>1117</v>
      </c>
      <c r="C93" s="2" t="s">
        <v>242</v>
      </c>
      <c r="D93" s="2"/>
      <c r="E93" s="2" t="s">
        <v>142</v>
      </c>
      <c r="F93" s="2"/>
      <c r="G93" s="2" t="s">
        <v>144</v>
      </c>
      <c r="H93" s="2"/>
      <c r="I93" s="2" t="s">
        <v>140</v>
      </c>
      <c r="J93" s="2" t="s">
        <v>145</v>
      </c>
      <c r="K93" s="2" t="s">
        <v>137</v>
      </c>
      <c r="L93" s="2" t="s">
        <v>137</v>
      </c>
      <c r="M93" s="2" t="s">
        <v>244</v>
      </c>
      <c r="N93" s="2" t="s">
        <v>146</v>
      </c>
      <c r="O93" s="2" t="s">
        <v>153</v>
      </c>
    </row>
    <row r="94" customFormat="false" ht="15" hidden="false" customHeight="false" outlineLevel="0" collapsed="false">
      <c r="A94" s="2" t="s">
        <v>1116</v>
      </c>
      <c r="B94" s="2" t="s">
        <v>1117</v>
      </c>
      <c r="C94" s="2" t="s">
        <v>462</v>
      </c>
      <c r="D94" s="2"/>
      <c r="E94" s="2" t="s">
        <v>311</v>
      </c>
      <c r="F94" s="2"/>
      <c r="G94" s="2" t="s">
        <v>144</v>
      </c>
      <c r="H94" s="2"/>
      <c r="I94" s="2" t="s">
        <v>451</v>
      </c>
      <c r="J94" s="2" t="s">
        <v>145</v>
      </c>
      <c r="K94" s="2" t="s">
        <v>137</v>
      </c>
      <c r="L94" s="2" t="s">
        <v>137</v>
      </c>
      <c r="M94" s="2" t="s">
        <v>465</v>
      </c>
      <c r="N94" s="2" t="s">
        <v>146</v>
      </c>
      <c r="O94" s="2" t="s">
        <v>153</v>
      </c>
    </row>
    <row r="95" customFormat="false" ht="15" hidden="false" customHeight="false" outlineLevel="0" collapsed="false">
      <c r="A95" s="2" t="s">
        <v>1116</v>
      </c>
      <c r="B95" s="2" t="s">
        <v>1117</v>
      </c>
      <c r="C95" s="2" t="s">
        <v>245</v>
      </c>
      <c r="D95" s="2"/>
      <c r="E95" s="2" t="s">
        <v>117</v>
      </c>
      <c r="F95" s="2"/>
      <c r="G95" s="2" t="s">
        <v>144</v>
      </c>
      <c r="H95" s="2"/>
      <c r="I95" s="2" t="s">
        <v>140</v>
      </c>
      <c r="J95" s="2" t="s">
        <v>145</v>
      </c>
      <c r="K95" s="2" t="s">
        <v>137</v>
      </c>
      <c r="L95" s="2" t="s">
        <v>137</v>
      </c>
      <c r="M95" s="2" t="s">
        <v>247</v>
      </c>
      <c r="N95" s="2" t="s">
        <v>146</v>
      </c>
      <c r="O95" s="2" t="s">
        <v>153</v>
      </c>
    </row>
    <row r="96" customFormat="false" ht="15" hidden="false" customHeight="false" outlineLevel="0" collapsed="false">
      <c r="A96" s="2" t="s">
        <v>1116</v>
      </c>
      <c r="B96" s="2" t="s">
        <v>1117</v>
      </c>
      <c r="C96" s="2" t="s">
        <v>248</v>
      </c>
      <c r="D96" s="2"/>
      <c r="E96" s="2" t="s">
        <v>117</v>
      </c>
      <c r="F96" s="2"/>
      <c r="G96" s="2" t="s">
        <v>144</v>
      </c>
      <c r="H96" s="2"/>
      <c r="I96" s="2" t="s">
        <v>140</v>
      </c>
      <c r="J96" s="2" t="s">
        <v>145</v>
      </c>
      <c r="K96" s="2" t="s">
        <v>137</v>
      </c>
      <c r="L96" s="2" t="s">
        <v>137</v>
      </c>
      <c r="M96" s="2" t="s">
        <v>251</v>
      </c>
      <c r="N96" s="2" t="s">
        <v>146</v>
      </c>
      <c r="O96" s="2" t="s">
        <v>153</v>
      </c>
    </row>
    <row r="97" customFormat="false" ht="15" hidden="false" customHeight="false" outlineLevel="0" collapsed="false">
      <c r="A97" s="2" t="s">
        <v>1116</v>
      </c>
      <c r="B97" s="2" t="s">
        <v>1117</v>
      </c>
      <c r="C97" s="2" t="s">
        <v>260</v>
      </c>
      <c r="D97" s="2"/>
      <c r="E97" s="2" t="s">
        <v>142</v>
      </c>
      <c r="F97" s="2"/>
      <c r="G97" s="2" t="s">
        <v>144</v>
      </c>
      <c r="H97" s="2"/>
      <c r="I97" s="2" t="s">
        <v>140</v>
      </c>
      <c r="J97" s="2" t="s">
        <v>145</v>
      </c>
      <c r="K97" s="2" t="s">
        <v>137</v>
      </c>
      <c r="L97" s="2" t="s">
        <v>137</v>
      </c>
      <c r="M97" s="2" t="s">
        <v>262</v>
      </c>
      <c r="N97" s="2" t="s">
        <v>146</v>
      </c>
      <c r="O97" s="2" t="s">
        <v>153</v>
      </c>
    </row>
    <row r="98" customFormat="false" ht="15" hidden="false" customHeight="false" outlineLevel="0" collapsed="false">
      <c r="A98" s="2" t="s">
        <v>1116</v>
      </c>
      <c r="B98" s="2" t="s">
        <v>1117</v>
      </c>
      <c r="C98" s="2" t="s">
        <v>263</v>
      </c>
      <c r="D98" s="2"/>
      <c r="E98" s="2" t="s">
        <v>117</v>
      </c>
      <c r="F98" s="2"/>
      <c r="G98" s="2" t="s">
        <v>144</v>
      </c>
      <c r="H98" s="2"/>
      <c r="I98" s="2" t="s">
        <v>140</v>
      </c>
      <c r="J98" s="2" t="s">
        <v>145</v>
      </c>
      <c r="K98" s="2" t="s">
        <v>137</v>
      </c>
      <c r="L98" s="2" t="s">
        <v>137</v>
      </c>
      <c r="M98" s="2" t="s">
        <v>265</v>
      </c>
      <c r="N98" s="2" t="s">
        <v>146</v>
      </c>
      <c r="O98" s="2" t="s">
        <v>153</v>
      </c>
    </row>
    <row r="99" customFormat="false" ht="15" hidden="false" customHeight="false" outlineLevel="0" collapsed="false">
      <c r="A99" s="2" t="s">
        <v>1116</v>
      </c>
      <c r="B99" s="2" t="s">
        <v>1117</v>
      </c>
      <c r="C99" s="2" t="s">
        <v>266</v>
      </c>
      <c r="D99" s="2"/>
      <c r="E99" s="2" t="s">
        <v>142</v>
      </c>
      <c r="F99" s="2"/>
      <c r="G99" s="2" t="s">
        <v>144</v>
      </c>
      <c r="H99" s="2"/>
      <c r="I99" s="2" t="s">
        <v>140</v>
      </c>
      <c r="J99" s="2" t="s">
        <v>145</v>
      </c>
      <c r="K99" s="2" t="s">
        <v>137</v>
      </c>
      <c r="L99" s="2" t="s">
        <v>137</v>
      </c>
      <c r="M99" s="2" t="s">
        <v>268</v>
      </c>
      <c r="N99" s="2" t="s">
        <v>146</v>
      </c>
      <c r="O99" s="2" t="s">
        <v>153</v>
      </c>
    </row>
    <row r="100" customFormat="false" ht="15" hidden="false" customHeight="false" outlineLevel="0" collapsed="false">
      <c r="A100" s="2" t="s">
        <v>1116</v>
      </c>
      <c r="B100" s="2" t="s">
        <v>1117</v>
      </c>
      <c r="C100" s="2" t="s">
        <v>269</v>
      </c>
      <c r="D100" s="2"/>
      <c r="E100" s="2" t="s">
        <v>117</v>
      </c>
      <c r="F100" s="2"/>
      <c r="G100" s="2" t="s">
        <v>144</v>
      </c>
      <c r="H100" s="2"/>
      <c r="I100" s="2" t="s">
        <v>140</v>
      </c>
      <c r="J100" s="2" t="s">
        <v>145</v>
      </c>
      <c r="K100" s="2" t="s">
        <v>137</v>
      </c>
      <c r="L100" s="2" t="s">
        <v>137</v>
      </c>
      <c r="M100" s="2" t="s">
        <v>271</v>
      </c>
      <c r="N100" s="2" t="s">
        <v>146</v>
      </c>
      <c r="O100" s="2" t="s">
        <v>153</v>
      </c>
    </row>
    <row r="101" customFormat="false" ht="15" hidden="false" customHeight="false" outlineLevel="0" collapsed="false">
      <c r="A101" s="2" t="s">
        <v>1116</v>
      </c>
      <c r="B101" s="2" t="s">
        <v>1117</v>
      </c>
      <c r="C101" s="2" t="s">
        <v>272</v>
      </c>
      <c r="D101" s="2"/>
      <c r="E101" s="2" t="s">
        <v>117</v>
      </c>
      <c r="F101" s="2"/>
      <c r="G101" s="2" t="s">
        <v>144</v>
      </c>
      <c r="H101" s="2"/>
      <c r="I101" s="2" t="s">
        <v>140</v>
      </c>
      <c r="J101" s="2" t="s">
        <v>145</v>
      </c>
      <c r="K101" s="2" t="s">
        <v>137</v>
      </c>
      <c r="L101" s="2" t="s">
        <v>137</v>
      </c>
      <c r="M101" s="2" t="s">
        <v>274</v>
      </c>
      <c r="N101" s="2" t="s">
        <v>146</v>
      </c>
      <c r="O101" s="2" t="s">
        <v>153</v>
      </c>
    </row>
    <row r="102" customFormat="false" ht="15" hidden="false" customHeight="false" outlineLevel="0" collapsed="false">
      <c r="A102" s="2" t="s">
        <v>1116</v>
      </c>
      <c r="B102" s="2" t="s">
        <v>1117</v>
      </c>
      <c r="C102" s="2" t="s">
        <v>426</v>
      </c>
      <c r="D102" s="2"/>
      <c r="E102" s="2" t="s">
        <v>344</v>
      </c>
      <c r="F102" s="2"/>
      <c r="G102" s="2" t="s">
        <v>144</v>
      </c>
      <c r="H102" s="2"/>
      <c r="I102" s="2" t="s">
        <v>309</v>
      </c>
      <c r="J102" s="2" t="s">
        <v>145</v>
      </c>
      <c r="K102" s="2" t="s">
        <v>137</v>
      </c>
      <c r="L102" s="2" t="s">
        <v>137</v>
      </c>
      <c r="M102" s="2" t="s">
        <v>429</v>
      </c>
      <c r="N102" s="2" t="s">
        <v>146</v>
      </c>
      <c r="O102" s="2" t="s">
        <v>153</v>
      </c>
    </row>
    <row r="103" customFormat="false" ht="15" hidden="false" customHeight="false" outlineLevel="0" collapsed="false">
      <c r="A103" s="2" t="s">
        <v>1116</v>
      </c>
      <c r="B103" s="2" t="s">
        <v>1117</v>
      </c>
      <c r="C103" s="2" t="s">
        <v>430</v>
      </c>
      <c r="D103" s="2"/>
      <c r="E103" s="2" t="s">
        <v>344</v>
      </c>
      <c r="F103" s="2"/>
      <c r="G103" s="2" t="s">
        <v>144</v>
      </c>
      <c r="H103" s="2"/>
      <c r="I103" s="2" t="s">
        <v>309</v>
      </c>
      <c r="J103" s="2" t="s">
        <v>145</v>
      </c>
      <c r="K103" s="2" t="s">
        <v>137</v>
      </c>
      <c r="L103" s="2" t="s">
        <v>137</v>
      </c>
      <c r="M103" s="2" t="s">
        <v>434</v>
      </c>
      <c r="N103" s="2" t="s">
        <v>146</v>
      </c>
      <c r="O103" s="2" t="s">
        <v>153</v>
      </c>
    </row>
    <row r="104" customFormat="false" ht="15" hidden="false" customHeight="false" outlineLevel="0" collapsed="false">
      <c r="A104" s="2" t="s">
        <v>1116</v>
      </c>
      <c r="B104" s="2" t="s">
        <v>1117</v>
      </c>
      <c r="C104" s="2" t="s">
        <v>466</v>
      </c>
      <c r="D104" s="2"/>
      <c r="E104" s="2" t="s">
        <v>311</v>
      </c>
      <c r="F104" s="2"/>
      <c r="G104" s="2" t="s">
        <v>144</v>
      </c>
      <c r="H104" s="2"/>
      <c r="I104" s="2" t="s">
        <v>451</v>
      </c>
      <c r="J104" s="2" t="s">
        <v>145</v>
      </c>
      <c r="K104" s="2" t="s">
        <v>137</v>
      </c>
      <c r="L104" s="2" t="s">
        <v>137</v>
      </c>
      <c r="M104" s="2" t="s">
        <v>468</v>
      </c>
      <c r="N104" s="2" t="s">
        <v>146</v>
      </c>
      <c r="O104" s="2" t="s">
        <v>153</v>
      </c>
    </row>
    <row r="105" customFormat="false" ht="15" hidden="false" customHeight="false" outlineLevel="0" collapsed="false">
      <c r="A105" s="2" t="s">
        <v>1116</v>
      </c>
      <c r="B105" s="2" t="s">
        <v>1117</v>
      </c>
      <c r="C105" s="2" t="s">
        <v>275</v>
      </c>
      <c r="D105" s="2"/>
      <c r="E105" s="2" t="s">
        <v>142</v>
      </c>
      <c r="F105" s="2"/>
      <c r="G105" s="2" t="s">
        <v>144</v>
      </c>
      <c r="H105" s="2"/>
      <c r="I105" s="2" t="s">
        <v>140</v>
      </c>
      <c r="J105" s="2" t="s">
        <v>145</v>
      </c>
      <c r="K105" s="2" t="s">
        <v>137</v>
      </c>
      <c r="L105" s="2" t="s">
        <v>137</v>
      </c>
      <c r="M105" s="2" t="s">
        <v>277</v>
      </c>
      <c r="N105" s="2" t="s">
        <v>146</v>
      </c>
      <c r="O105" s="2" t="s">
        <v>153</v>
      </c>
    </row>
    <row r="106" customFormat="false" ht="15" hidden="false" customHeight="false" outlineLevel="0" collapsed="false">
      <c r="A106" s="2" t="s">
        <v>1116</v>
      </c>
      <c r="B106" s="2" t="s">
        <v>1117</v>
      </c>
      <c r="C106" s="2" t="s">
        <v>278</v>
      </c>
      <c r="D106" s="2"/>
      <c r="E106" s="2" t="s">
        <v>117</v>
      </c>
      <c r="F106" s="2"/>
      <c r="G106" s="2" t="s">
        <v>144</v>
      </c>
      <c r="H106" s="2"/>
      <c r="I106" s="2" t="s">
        <v>140</v>
      </c>
      <c r="J106" s="2" t="s">
        <v>145</v>
      </c>
      <c r="K106" s="2" t="s">
        <v>137</v>
      </c>
      <c r="L106" s="2" t="s">
        <v>137</v>
      </c>
      <c r="M106" s="2" t="s">
        <v>280</v>
      </c>
      <c r="N106" s="2" t="s">
        <v>146</v>
      </c>
      <c r="O106" s="2" t="s">
        <v>153</v>
      </c>
    </row>
    <row r="107" customFormat="false" ht="15" hidden="false" customHeight="false" outlineLevel="0" collapsed="false">
      <c r="A107" s="2" t="s">
        <v>1116</v>
      </c>
      <c r="B107" s="2" t="s">
        <v>1117</v>
      </c>
      <c r="C107" s="2" t="s">
        <v>281</v>
      </c>
      <c r="D107" s="2"/>
      <c r="E107" s="2" t="s">
        <v>117</v>
      </c>
      <c r="F107" s="2"/>
      <c r="G107" s="2" t="s">
        <v>144</v>
      </c>
      <c r="H107" s="2"/>
      <c r="I107" s="2" t="s">
        <v>140</v>
      </c>
      <c r="J107" s="2" t="s">
        <v>145</v>
      </c>
      <c r="K107" s="2" t="s">
        <v>137</v>
      </c>
      <c r="L107" s="2" t="s">
        <v>137</v>
      </c>
      <c r="M107" s="2" t="s">
        <v>283</v>
      </c>
      <c r="N107" s="2" t="s">
        <v>146</v>
      </c>
      <c r="O107" s="2" t="s">
        <v>153</v>
      </c>
    </row>
    <row r="108" customFormat="false" ht="15" hidden="false" customHeight="false" outlineLevel="0" collapsed="false">
      <c r="A108" s="2" t="s">
        <v>1116</v>
      </c>
      <c r="B108" s="2" t="s">
        <v>1117</v>
      </c>
      <c r="C108" s="2" t="s">
        <v>284</v>
      </c>
      <c r="D108" s="2"/>
      <c r="E108" s="2" t="s">
        <v>117</v>
      </c>
      <c r="F108" s="2"/>
      <c r="G108" s="2" t="s">
        <v>144</v>
      </c>
      <c r="H108" s="2"/>
      <c r="I108" s="2" t="s">
        <v>140</v>
      </c>
      <c r="J108" s="2" t="s">
        <v>145</v>
      </c>
      <c r="K108" s="2" t="s">
        <v>137</v>
      </c>
      <c r="L108" s="2" t="s">
        <v>137</v>
      </c>
      <c r="M108" s="2" t="s">
        <v>286</v>
      </c>
      <c r="N108" s="2" t="s">
        <v>146</v>
      </c>
      <c r="O108" s="2" t="s">
        <v>153</v>
      </c>
    </row>
    <row r="109" customFormat="false" ht="15" hidden="false" customHeight="false" outlineLevel="0" collapsed="false">
      <c r="A109" s="2" t="s">
        <v>1116</v>
      </c>
      <c r="B109" s="2" t="s">
        <v>1117</v>
      </c>
      <c r="C109" s="2" t="s">
        <v>287</v>
      </c>
      <c r="D109" s="2"/>
      <c r="E109" s="2" t="s">
        <v>117</v>
      </c>
      <c r="F109" s="2"/>
      <c r="G109" s="2" t="s">
        <v>144</v>
      </c>
      <c r="H109" s="2"/>
      <c r="I109" s="2" t="s">
        <v>140</v>
      </c>
      <c r="J109" s="2" t="s">
        <v>145</v>
      </c>
      <c r="K109" s="2" t="s">
        <v>137</v>
      </c>
      <c r="L109" s="2" t="s">
        <v>137</v>
      </c>
      <c r="M109" s="2" t="s">
        <v>289</v>
      </c>
      <c r="N109" s="2" t="s">
        <v>146</v>
      </c>
      <c r="O109" s="2" t="s">
        <v>153</v>
      </c>
    </row>
    <row r="110" customFormat="false" ht="15" hidden="false" customHeight="false" outlineLevel="0" collapsed="false">
      <c r="A110" s="2" t="s">
        <v>1116</v>
      </c>
      <c r="B110" s="2" t="s">
        <v>1117</v>
      </c>
      <c r="C110" s="2" t="s">
        <v>290</v>
      </c>
      <c r="D110" s="2"/>
      <c r="E110" s="2" t="s">
        <v>117</v>
      </c>
      <c r="F110" s="2"/>
      <c r="G110" s="2" t="s">
        <v>144</v>
      </c>
      <c r="H110" s="2"/>
      <c r="I110" s="2" t="s">
        <v>140</v>
      </c>
      <c r="J110" s="2" t="s">
        <v>145</v>
      </c>
      <c r="K110" s="2" t="s">
        <v>137</v>
      </c>
      <c r="L110" s="2" t="s">
        <v>137</v>
      </c>
      <c r="M110" s="2" t="s">
        <v>292</v>
      </c>
      <c r="N110" s="2" t="s">
        <v>146</v>
      </c>
      <c r="O110" s="2" t="s">
        <v>153</v>
      </c>
    </row>
    <row r="111" customFormat="false" ht="15" hidden="false" customHeight="false" outlineLevel="0" collapsed="false">
      <c r="A111" s="2" t="s">
        <v>1116</v>
      </c>
      <c r="B111" s="2" t="s">
        <v>1117</v>
      </c>
      <c r="C111" s="2" t="s">
        <v>442</v>
      </c>
      <c r="D111" s="2"/>
      <c r="E111" s="2" t="s">
        <v>311</v>
      </c>
      <c r="F111" s="2"/>
      <c r="G111" s="2" t="s">
        <v>391</v>
      </c>
      <c r="H111" s="2"/>
      <c r="I111" s="2" t="s">
        <v>309</v>
      </c>
      <c r="J111" s="2" t="s">
        <v>392</v>
      </c>
      <c r="K111" s="2" t="s">
        <v>137</v>
      </c>
      <c r="L111" s="2" t="s">
        <v>137</v>
      </c>
      <c r="M111" s="2" t="s">
        <v>445</v>
      </c>
      <c r="N111" s="2" t="s">
        <v>146</v>
      </c>
      <c r="O111" s="2" t="s">
        <v>395</v>
      </c>
    </row>
    <row r="112" customFormat="false" ht="15" hidden="false" customHeight="false" outlineLevel="0" collapsed="false">
      <c r="A112" s="2" t="s">
        <v>1116</v>
      </c>
      <c r="B112" s="2" t="s">
        <v>1117</v>
      </c>
      <c r="C112" s="2" t="s">
        <v>469</v>
      </c>
      <c r="D112" s="2"/>
      <c r="E112" s="2" t="s">
        <v>311</v>
      </c>
      <c r="F112" s="2"/>
      <c r="G112" s="2" t="s">
        <v>144</v>
      </c>
      <c r="H112" s="2"/>
      <c r="I112" s="2" t="s">
        <v>451</v>
      </c>
      <c r="J112" s="2" t="s">
        <v>145</v>
      </c>
      <c r="K112" s="2" t="s">
        <v>137</v>
      </c>
      <c r="L112" s="2" t="s">
        <v>137</v>
      </c>
      <c r="M112" s="2" t="s">
        <v>472</v>
      </c>
      <c r="N112" s="2" t="s">
        <v>146</v>
      </c>
      <c r="O112" s="2" t="s">
        <v>153</v>
      </c>
    </row>
    <row r="113" customFormat="false" ht="15" hidden="false" customHeight="false" outlineLevel="0" collapsed="false">
      <c r="A113" s="2" t="s">
        <v>1116</v>
      </c>
      <c r="B113" s="2" t="s">
        <v>1117</v>
      </c>
      <c r="C113" s="2" t="s">
        <v>446</v>
      </c>
      <c r="D113" s="2"/>
      <c r="E113" s="2" t="s">
        <v>311</v>
      </c>
      <c r="F113" s="2"/>
      <c r="G113" s="2" t="s">
        <v>391</v>
      </c>
      <c r="H113" s="2"/>
      <c r="I113" s="2" t="s">
        <v>309</v>
      </c>
      <c r="J113" s="2" t="s">
        <v>392</v>
      </c>
      <c r="K113" s="2" t="s">
        <v>137</v>
      </c>
      <c r="L113" s="2" t="s">
        <v>137</v>
      </c>
      <c r="M113" s="2" t="s">
        <v>449</v>
      </c>
      <c r="N113" s="2" t="s">
        <v>146</v>
      </c>
      <c r="O113" s="2" t="s">
        <v>395</v>
      </c>
    </row>
    <row r="114" customFormat="false" ht="15" hidden="false" customHeight="false" outlineLevel="0" collapsed="false">
      <c r="A114" s="2" t="s">
        <v>1116</v>
      </c>
      <c r="B114" s="2" t="s">
        <v>1117</v>
      </c>
      <c r="C114" s="2" t="s">
        <v>293</v>
      </c>
      <c r="D114" s="2"/>
      <c r="E114" s="2" t="s">
        <v>117</v>
      </c>
      <c r="F114" s="2"/>
      <c r="G114" s="2" t="s">
        <v>144</v>
      </c>
      <c r="H114" s="2"/>
      <c r="I114" s="2" t="s">
        <v>140</v>
      </c>
      <c r="J114" s="2" t="s">
        <v>145</v>
      </c>
      <c r="K114" s="2" t="s">
        <v>137</v>
      </c>
      <c r="L114" s="2" t="s">
        <v>137</v>
      </c>
      <c r="M114" s="2" t="s">
        <v>296</v>
      </c>
      <c r="N114" s="2" t="s">
        <v>146</v>
      </c>
      <c r="O114" s="2" t="s">
        <v>153</v>
      </c>
    </row>
    <row r="115" customFormat="false" ht="15" hidden="false" customHeight="false" outlineLevel="0" collapsed="false">
      <c r="A115" s="2" t="s">
        <v>1116</v>
      </c>
      <c r="B115" s="2" t="s">
        <v>1117</v>
      </c>
      <c r="C115" s="2" t="s">
        <v>297</v>
      </c>
      <c r="D115" s="2"/>
      <c r="E115" s="2" t="s">
        <v>142</v>
      </c>
      <c r="F115" s="2"/>
      <c r="G115" s="2" t="s">
        <v>144</v>
      </c>
      <c r="H115" s="2"/>
      <c r="I115" s="2" t="s">
        <v>140</v>
      </c>
      <c r="J115" s="2" t="s">
        <v>145</v>
      </c>
      <c r="K115" s="2" t="s">
        <v>137</v>
      </c>
      <c r="L115" s="2" t="s">
        <v>137</v>
      </c>
      <c r="M115" s="2" t="s">
        <v>300</v>
      </c>
      <c r="N115" s="2" t="s">
        <v>146</v>
      </c>
      <c r="O115" s="2" t="s">
        <v>153</v>
      </c>
    </row>
    <row r="116" customFormat="false" ht="15" hidden="false" customHeight="false" outlineLevel="0" collapsed="false">
      <c r="A116" s="2" t="s">
        <v>1116</v>
      </c>
      <c r="B116" s="2" t="s">
        <v>1117</v>
      </c>
      <c r="C116" s="2" t="s">
        <v>301</v>
      </c>
      <c r="D116" s="2"/>
      <c r="E116" s="2" t="s">
        <v>117</v>
      </c>
      <c r="F116" s="2"/>
      <c r="G116" s="2" t="s">
        <v>144</v>
      </c>
      <c r="H116" s="2"/>
      <c r="I116" s="2" t="s">
        <v>140</v>
      </c>
      <c r="J116" s="2" t="s">
        <v>145</v>
      </c>
      <c r="K116" s="2" t="s">
        <v>137</v>
      </c>
      <c r="L116" s="2" t="s">
        <v>137</v>
      </c>
      <c r="M116" s="2" t="s">
        <v>303</v>
      </c>
      <c r="N116" s="2" t="s">
        <v>146</v>
      </c>
      <c r="O116" s="2" t="s">
        <v>153</v>
      </c>
    </row>
    <row r="117" customFormat="false" ht="15" hidden="false" customHeight="false" outlineLevel="0" collapsed="false">
      <c r="A117" s="2" t="s">
        <v>1116</v>
      </c>
      <c r="B117" s="2" t="s">
        <v>1117</v>
      </c>
      <c r="C117" s="2" t="s">
        <v>304</v>
      </c>
      <c r="D117" s="2"/>
      <c r="E117" s="2" t="s">
        <v>142</v>
      </c>
      <c r="F117" s="2"/>
      <c r="G117" s="2" t="s">
        <v>144</v>
      </c>
      <c r="H117" s="2"/>
      <c r="I117" s="2" t="s">
        <v>140</v>
      </c>
      <c r="J117" s="2" t="s">
        <v>145</v>
      </c>
      <c r="K117" s="2" t="s">
        <v>137</v>
      </c>
      <c r="L117" s="2" t="s">
        <v>137</v>
      </c>
      <c r="M117" s="2" t="s">
        <v>307</v>
      </c>
      <c r="N117" s="2" t="s">
        <v>146</v>
      </c>
      <c r="O117" s="2" t="s">
        <v>153</v>
      </c>
    </row>
    <row r="118" customFormat="false" ht="15" hidden="false" customHeight="false" outlineLevel="0" collapsed="false">
      <c r="A118" s="2" t="s">
        <v>1116</v>
      </c>
      <c r="B118" s="2" t="s">
        <v>1117</v>
      </c>
      <c r="C118" s="2" t="s">
        <v>568</v>
      </c>
      <c r="D118" s="2"/>
      <c r="E118" s="2" t="s">
        <v>492</v>
      </c>
      <c r="F118" s="2"/>
      <c r="G118" s="2" t="s">
        <v>368</v>
      </c>
      <c r="H118" s="2"/>
      <c r="I118" s="2" t="s">
        <v>569</v>
      </c>
      <c r="J118" s="2" t="s">
        <v>145</v>
      </c>
      <c r="K118" s="2" t="s">
        <v>137</v>
      </c>
      <c r="L118" s="2" t="s">
        <v>137</v>
      </c>
      <c r="M118" s="2" t="s">
        <v>573</v>
      </c>
      <c r="N118" s="2" t="s">
        <v>369</v>
      </c>
      <c r="O118" s="2" t="s">
        <v>153</v>
      </c>
    </row>
    <row r="119" customFormat="false" ht="15" hidden="false" customHeight="false" outlineLevel="0" collapsed="false">
      <c r="A119" s="2" t="s">
        <v>1116</v>
      </c>
      <c r="B119" s="2" t="s">
        <v>1117</v>
      </c>
      <c r="C119" s="2" t="s">
        <v>473</v>
      </c>
      <c r="D119" s="2"/>
      <c r="E119" s="2" t="s">
        <v>476</v>
      </c>
      <c r="F119" s="2"/>
      <c r="G119" s="2" t="s">
        <v>144</v>
      </c>
      <c r="H119" s="2"/>
      <c r="I119" s="2" t="s">
        <v>451</v>
      </c>
      <c r="J119" s="2" t="s">
        <v>478</v>
      </c>
      <c r="K119" s="2" t="s">
        <v>137</v>
      </c>
      <c r="L119" s="2" t="s">
        <v>137</v>
      </c>
      <c r="M119" s="2" t="s">
        <v>489</v>
      </c>
      <c r="N119" s="2" t="s">
        <v>121</v>
      </c>
      <c r="O119" s="2" t="s">
        <v>486</v>
      </c>
    </row>
    <row r="120" customFormat="false" ht="15" hidden="false" customHeight="false" outlineLevel="0" collapsed="false">
      <c r="A120" s="2" t="s">
        <v>1116</v>
      </c>
      <c r="B120" s="2" t="s">
        <v>1117</v>
      </c>
      <c r="C120" s="2" t="s">
        <v>490</v>
      </c>
      <c r="D120" s="2"/>
      <c r="E120" s="2" t="s">
        <v>492</v>
      </c>
      <c r="F120" s="2"/>
      <c r="G120" s="2" t="s">
        <v>368</v>
      </c>
      <c r="H120" s="2"/>
      <c r="I120" s="2" t="s">
        <v>451</v>
      </c>
      <c r="J120" s="2" t="s">
        <v>145</v>
      </c>
      <c r="K120" s="2" t="s">
        <v>137</v>
      </c>
      <c r="L120" s="2" t="s">
        <v>137</v>
      </c>
      <c r="M120" s="2" t="s">
        <v>503</v>
      </c>
      <c r="N120" s="2" t="s">
        <v>369</v>
      </c>
      <c r="O120" s="2" t="s">
        <v>153</v>
      </c>
    </row>
    <row r="121" customFormat="false" ht="15" hidden="false" customHeight="false" outlineLevel="0" collapsed="false">
      <c r="A121" s="2" t="s">
        <v>1116</v>
      </c>
      <c r="B121" s="2" t="s">
        <v>1117</v>
      </c>
      <c r="C121" s="2" t="s">
        <v>574</v>
      </c>
      <c r="D121" s="2"/>
      <c r="E121" s="2" t="s">
        <v>492</v>
      </c>
      <c r="F121" s="2"/>
      <c r="G121" s="2" t="s">
        <v>368</v>
      </c>
      <c r="H121" s="2"/>
      <c r="I121" s="2" t="s">
        <v>569</v>
      </c>
      <c r="J121" s="2" t="s">
        <v>145</v>
      </c>
      <c r="K121" s="2" t="s">
        <v>137</v>
      </c>
      <c r="L121" s="2" t="s">
        <v>137</v>
      </c>
      <c r="M121" s="2" t="s">
        <v>576</v>
      </c>
      <c r="N121" s="2" t="s">
        <v>369</v>
      </c>
      <c r="O121" s="2" t="s">
        <v>153</v>
      </c>
    </row>
    <row r="122" customFormat="false" ht="15" hidden="false" customHeight="false" outlineLevel="0" collapsed="false">
      <c r="A122" s="2" t="s">
        <v>1116</v>
      </c>
      <c r="B122" s="2" t="s">
        <v>1117</v>
      </c>
      <c r="C122" s="2" t="s">
        <v>504</v>
      </c>
      <c r="D122" s="2"/>
      <c r="E122" s="2" t="s">
        <v>476</v>
      </c>
      <c r="F122" s="2"/>
      <c r="G122" s="2" t="s">
        <v>144</v>
      </c>
      <c r="H122" s="2"/>
      <c r="I122" s="2" t="s">
        <v>451</v>
      </c>
      <c r="J122" s="2" t="s">
        <v>478</v>
      </c>
      <c r="K122" s="2" t="s">
        <v>137</v>
      </c>
      <c r="L122" s="2" t="s">
        <v>137</v>
      </c>
      <c r="M122" s="2" t="s">
        <v>506</v>
      </c>
      <c r="N122" s="2" t="s">
        <v>121</v>
      </c>
      <c r="O122" s="2" t="s">
        <v>486</v>
      </c>
    </row>
    <row r="123" customFormat="false" ht="15" hidden="false" customHeight="false" outlineLevel="0" collapsed="false">
      <c r="A123" s="2" t="s">
        <v>1116</v>
      </c>
      <c r="B123" s="2" t="s">
        <v>1117</v>
      </c>
      <c r="C123" s="2" t="s">
        <v>507</v>
      </c>
      <c r="D123" s="2"/>
      <c r="E123" s="2" t="s">
        <v>366</v>
      </c>
      <c r="F123" s="2"/>
      <c r="G123" s="2" t="s">
        <v>368</v>
      </c>
      <c r="H123" s="2"/>
      <c r="I123" s="2" t="s">
        <v>451</v>
      </c>
      <c r="J123" s="2" t="s">
        <v>145</v>
      </c>
      <c r="K123" s="2" t="s">
        <v>137</v>
      </c>
      <c r="L123" s="2" t="s">
        <v>137</v>
      </c>
      <c r="M123" s="2" t="s">
        <v>509</v>
      </c>
      <c r="N123" s="2" t="s">
        <v>369</v>
      </c>
      <c r="O123" s="2" t="s">
        <v>153</v>
      </c>
    </row>
    <row r="124" customFormat="false" ht="15" hidden="false" customHeight="false" outlineLevel="0" collapsed="false">
      <c r="A124" s="2" t="s">
        <v>1116</v>
      </c>
      <c r="B124" s="2" t="s">
        <v>1117</v>
      </c>
      <c r="C124" s="2" t="s">
        <v>577</v>
      </c>
      <c r="D124" s="2"/>
      <c r="E124" s="2" t="s">
        <v>492</v>
      </c>
      <c r="F124" s="2"/>
      <c r="G124" s="2" t="s">
        <v>368</v>
      </c>
      <c r="H124" s="2"/>
      <c r="I124" s="2" t="s">
        <v>569</v>
      </c>
      <c r="J124" s="2" t="s">
        <v>145</v>
      </c>
      <c r="K124" s="2" t="s">
        <v>137</v>
      </c>
      <c r="L124" s="2" t="s">
        <v>137</v>
      </c>
      <c r="M124" s="2" t="s">
        <v>581</v>
      </c>
      <c r="N124" s="2" t="s">
        <v>369</v>
      </c>
      <c r="O124" s="2" t="s">
        <v>153</v>
      </c>
    </row>
    <row r="125" customFormat="false" ht="15" hidden="false" customHeight="false" outlineLevel="0" collapsed="false">
      <c r="A125" s="2" t="s">
        <v>1116</v>
      </c>
      <c r="B125" s="2" t="s">
        <v>1117</v>
      </c>
      <c r="C125" s="2" t="s">
        <v>582</v>
      </c>
      <c r="D125" s="2"/>
      <c r="E125" s="2" t="s">
        <v>492</v>
      </c>
      <c r="F125" s="2"/>
      <c r="G125" s="2" t="s">
        <v>368</v>
      </c>
      <c r="H125" s="2"/>
      <c r="I125" s="2" t="s">
        <v>569</v>
      </c>
      <c r="J125" s="2" t="s">
        <v>145</v>
      </c>
      <c r="K125" s="2" t="s">
        <v>137</v>
      </c>
      <c r="L125" s="2" t="s">
        <v>137</v>
      </c>
      <c r="M125" s="2" t="s">
        <v>583</v>
      </c>
      <c r="N125" s="2" t="s">
        <v>369</v>
      </c>
      <c r="O125" s="2" t="s">
        <v>153</v>
      </c>
    </row>
    <row r="126" customFormat="false" ht="15" hidden="false" customHeight="false" outlineLevel="0" collapsed="false">
      <c r="A126" s="2" t="s">
        <v>1116</v>
      </c>
      <c r="B126" s="2" t="s">
        <v>1117</v>
      </c>
      <c r="C126" s="2" t="s">
        <v>510</v>
      </c>
      <c r="D126" s="2"/>
      <c r="E126" s="2" t="s">
        <v>476</v>
      </c>
      <c r="F126" s="2"/>
      <c r="G126" s="2" t="s">
        <v>144</v>
      </c>
      <c r="H126" s="2"/>
      <c r="I126" s="2" t="s">
        <v>451</v>
      </c>
      <c r="J126" s="2" t="s">
        <v>478</v>
      </c>
      <c r="K126" s="2" t="s">
        <v>137</v>
      </c>
      <c r="L126" s="2" t="s">
        <v>137</v>
      </c>
      <c r="M126" s="2" t="s">
        <v>512</v>
      </c>
      <c r="N126" s="2" t="s">
        <v>121</v>
      </c>
      <c r="O126" s="2" t="s">
        <v>486</v>
      </c>
    </row>
    <row r="127" customFormat="false" ht="15" hidden="false" customHeight="false" outlineLevel="0" collapsed="false">
      <c r="A127" s="2" t="s">
        <v>1116</v>
      </c>
      <c r="B127" s="2" t="s">
        <v>1117</v>
      </c>
      <c r="C127" s="2" t="s">
        <v>584</v>
      </c>
      <c r="D127" s="2"/>
      <c r="E127" s="2" t="s">
        <v>492</v>
      </c>
      <c r="F127" s="2"/>
      <c r="G127" s="2" t="s">
        <v>368</v>
      </c>
      <c r="H127" s="2"/>
      <c r="I127" s="2" t="s">
        <v>569</v>
      </c>
      <c r="J127" s="2" t="s">
        <v>145</v>
      </c>
      <c r="K127" s="2" t="s">
        <v>137</v>
      </c>
      <c r="L127" s="2" t="s">
        <v>137</v>
      </c>
      <c r="M127" s="2" t="s">
        <v>585</v>
      </c>
      <c r="N127" s="2" t="s">
        <v>369</v>
      </c>
      <c r="O127" s="2" t="s">
        <v>153</v>
      </c>
    </row>
    <row r="128" customFormat="false" ht="15" hidden="false" customHeight="false" outlineLevel="0" collapsed="false">
      <c r="A128" s="2" t="s">
        <v>1116</v>
      </c>
      <c r="B128" s="2" t="s">
        <v>1117</v>
      </c>
      <c r="C128" s="2" t="s">
        <v>586</v>
      </c>
      <c r="D128" s="2"/>
      <c r="E128" s="2" t="s">
        <v>492</v>
      </c>
      <c r="F128" s="2"/>
      <c r="G128" s="2" t="s">
        <v>368</v>
      </c>
      <c r="H128" s="2"/>
      <c r="I128" s="2" t="s">
        <v>569</v>
      </c>
      <c r="J128" s="2" t="s">
        <v>145</v>
      </c>
      <c r="K128" s="2" t="s">
        <v>137</v>
      </c>
      <c r="L128" s="2" t="s">
        <v>137</v>
      </c>
      <c r="M128" s="2" t="s">
        <v>590</v>
      </c>
      <c r="N128" s="2" t="s">
        <v>369</v>
      </c>
      <c r="O128" s="2" t="s">
        <v>153</v>
      </c>
    </row>
    <row r="129" customFormat="false" ht="15" hidden="false" customHeight="false" outlineLevel="0" collapsed="false">
      <c r="A129" s="2" t="s">
        <v>1116</v>
      </c>
      <c r="B129" s="2" t="s">
        <v>1117</v>
      </c>
      <c r="C129" s="2" t="s">
        <v>513</v>
      </c>
      <c r="D129" s="2"/>
      <c r="E129" s="2" t="s">
        <v>476</v>
      </c>
      <c r="F129" s="2"/>
      <c r="G129" s="2" t="s">
        <v>144</v>
      </c>
      <c r="H129" s="2"/>
      <c r="I129" s="2" t="s">
        <v>451</v>
      </c>
      <c r="J129" s="2" t="s">
        <v>478</v>
      </c>
      <c r="K129" s="2" t="s">
        <v>137</v>
      </c>
      <c r="L129" s="2" t="s">
        <v>137</v>
      </c>
      <c r="M129" s="2" t="s">
        <v>516</v>
      </c>
      <c r="N129" s="2" t="s">
        <v>121</v>
      </c>
      <c r="O129" s="2" t="s">
        <v>486</v>
      </c>
    </row>
    <row r="130" customFormat="false" ht="15" hidden="false" customHeight="false" outlineLevel="0" collapsed="false">
      <c r="A130" s="2" t="s">
        <v>1116</v>
      </c>
      <c r="B130" s="2" t="s">
        <v>1117</v>
      </c>
      <c r="C130" s="2" t="s">
        <v>517</v>
      </c>
      <c r="D130" s="2"/>
      <c r="E130" s="2" t="s">
        <v>476</v>
      </c>
      <c r="F130" s="2"/>
      <c r="G130" s="2" t="s">
        <v>144</v>
      </c>
      <c r="H130" s="2"/>
      <c r="I130" s="2" t="s">
        <v>451</v>
      </c>
      <c r="J130" s="2" t="s">
        <v>478</v>
      </c>
      <c r="K130" s="2" t="s">
        <v>137</v>
      </c>
      <c r="L130" s="2" t="s">
        <v>137</v>
      </c>
      <c r="M130" s="2" t="s">
        <v>519</v>
      </c>
      <c r="N130" s="2" t="s">
        <v>121</v>
      </c>
      <c r="O130" s="2" t="s">
        <v>486</v>
      </c>
    </row>
    <row r="131" customFormat="false" ht="15" hidden="false" customHeight="false" outlineLevel="0" collapsed="false">
      <c r="A131" s="2" t="s">
        <v>1116</v>
      </c>
      <c r="B131" s="2" t="s">
        <v>1117</v>
      </c>
      <c r="C131" s="2" t="s">
        <v>591</v>
      </c>
      <c r="D131" s="2"/>
      <c r="E131" s="2" t="s">
        <v>492</v>
      </c>
      <c r="F131" s="2"/>
      <c r="G131" s="2" t="s">
        <v>368</v>
      </c>
      <c r="H131" s="2"/>
      <c r="I131" s="2" t="s">
        <v>569</v>
      </c>
      <c r="J131" s="2" t="s">
        <v>145</v>
      </c>
      <c r="K131" s="2" t="s">
        <v>137</v>
      </c>
      <c r="L131" s="2" t="s">
        <v>137</v>
      </c>
      <c r="M131" s="2" t="s">
        <v>593</v>
      </c>
      <c r="N131" s="2" t="s">
        <v>369</v>
      </c>
      <c r="O131" s="2" t="s">
        <v>153</v>
      </c>
    </row>
    <row r="132" customFormat="false" ht="15" hidden="false" customHeight="false" outlineLevel="0" collapsed="false">
      <c r="A132" s="2" t="s">
        <v>1116</v>
      </c>
      <c r="B132" s="2" t="s">
        <v>1117</v>
      </c>
      <c r="C132" s="2" t="s">
        <v>520</v>
      </c>
      <c r="D132" s="2"/>
      <c r="E132" s="2" t="s">
        <v>476</v>
      </c>
      <c r="F132" s="2"/>
      <c r="G132" s="2" t="s">
        <v>144</v>
      </c>
      <c r="H132" s="2"/>
      <c r="I132" s="2" t="s">
        <v>451</v>
      </c>
      <c r="J132" s="2" t="s">
        <v>478</v>
      </c>
      <c r="K132" s="2" t="s">
        <v>137</v>
      </c>
      <c r="L132" s="2" t="s">
        <v>137</v>
      </c>
      <c r="M132" s="2" t="s">
        <v>522</v>
      </c>
      <c r="N132" s="2" t="s">
        <v>121</v>
      </c>
      <c r="O132" s="2" t="s">
        <v>486</v>
      </c>
    </row>
    <row r="133" customFormat="false" ht="15" hidden="false" customHeight="false" outlineLevel="0" collapsed="false">
      <c r="A133" s="2" t="s">
        <v>1116</v>
      </c>
      <c r="B133" s="2" t="s">
        <v>1117</v>
      </c>
      <c r="C133" s="2" t="s">
        <v>523</v>
      </c>
      <c r="D133" s="2"/>
      <c r="E133" s="2" t="s">
        <v>492</v>
      </c>
      <c r="F133" s="2"/>
      <c r="G133" s="2" t="s">
        <v>391</v>
      </c>
      <c r="H133" s="2"/>
      <c r="I133" s="2" t="s">
        <v>451</v>
      </c>
      <c r="J133" s="2" t="s">
        <v>392</v>
      </c>
      <c r="K133" s="2" t="s">
        <v>137</v>
      </c>
      <c r="L133" s="2" t="s">
        <v>137</v>
      </c>
      <c r="M133" s="2" t="s">
        <v>529</v>
      </c>
      <c r="N133" s="2" t="s">
        <v>121</v>
      </c>
      <c r="O133" s="2" t="s">
        <v>395</v>
      </c>
    </row>
    <row r="134" customFormat="false" ht="15" hidden="false" customHeight="false" outlineLevel="0" collapsed="false">
      <c r="A134" s="2" t="s">
        <v>1116</v>
      </c>
      <c r="B134" s="2" t="s">
        <v>1117</v>
      </c>
      <c r="C134" s="2" t="s">
        <v>594</v>
      </c>
      <c r="D134" s="2"/>
      <c r="E134" s="2" t="s">
        <v>492</v>
      </c>
      <c r="F134" s="2"/>
      <c r="G134" s="2" t="s">
        <v>368</v>
      </c>
      <c r="H134" s="2"/>
      <c r="I134" s="2" t="s">
        <v>569</v>
      </c>
      <c r="J134" s="2" t="s">
        <v>145</v>
      </c>
      <c r="K134" s="2" t="s">
        <v>137</v>
      </c>
      <c r="L134" s="2" t="s">
        <v>137</v>
      </c>
      <c r="M134" s="2" t="s">
        <v>596</v>
      </c>
      <c r="N134" s="2" t="s">
        <v>369</v>
      </c>
      <c r="O134" s="2" t="s">
        <v>153</v>
      </c>
    </row>
    <row r="135" customFormat="false" ht="15" hidden="false" customHeight="false" outlineLevel="0" collapsed="false">
      <c r="A135" s="2" t="s">
        <v>1116</v>
      </c>
      <c r="B135" s="2" t="s">
        <v>1117</v>
      </c>
      <c r="C135" s="2" t="s">
        <v>530</v>
      </c>
      <c r="D135" s="2"/>
      <c r="E135" s="2" t="s">
        <v>476</v>
      </c>
      <c r="F135" s="2"/>
      <c r="G135" s="2" t="s">
        <v>144</v>
      </c>
      <c r="H135" s="2"/>
      <c r="I135" s="2" t="s">
        <v>451</v>
      </c>
      <c r="J135" s="2" t="s">
        <v>478</v>
      </c>
      <c r="K135" s="2" t="s">
        <v>137</v>
      </c>
      <c r="L135" s="2" t="s">
        <v>137</v>
      </c>
      <c r="M135" s="2" t="s">
        <v>532</v>
      </c>
      <c r="N135" s="2" t="s">
        <v>121</v>
      </c>
      <c r="O135" s="2" t="s">
        <v>486</v>
      </c>
    </row>
    <row r="136" customFormat="false" ht="15" hidden="false" customHeight="false" outlineLevel="0" collapsed="false">
      <c r="A136" s="2" t="s">
        <v>1116</v>
      </c>
      <c r="B136" s="2" t="s">
        <v>1117</v>
      </c>
      <c r="C136" s="2" t="s">
        <v>597</v>
      </c>
      <c r="D136" s="2"/>
      <c r="E136" s="2" t="s">
        <v>492</v>
      </c>
      <c r="F136" s="2"/>
      <c r="G136" s="2" t="s">
        <v>368</v>
      </c>
      <c r="H136" s="2"/>
      <c r="I136" s="2" t="s">
        <v>569</v>
      </c>
      <c r="J136" s="2" t="s">
        <v>145</v>
      </c>
      <c r="K136" s="2" t="s">
        <v>137</v>
      </c>
      <c r="L136" s="2" t="s">
        <v>137</v>
      </c>
      <c r="M136" s="2" t="s">
        <v>598</v>
      </c>
      <c r="N136" s="2" t="s">
        <v>369</v>
      </c>
      <c r="O136" s="2" t="s">
        <v>153</v>
      </c>
    </row>
    <row r="137" customFormat="false" ht="15" hidden="false" customHeight="false" outlineLevel="0" collapsed="false">
      <c r="A137" s="2" t="s">
        <v>1116</v>
      </c>
      <c r="B137" s="2" t="s">
        <v>1117</v>
      </c>
      <c r="C137" s="2" t="s">
        <v>599</v>
      </c>
      <c r="D137" s="2"/>
      <c r="E137" s="2" t="s">
        <v>492</v>
      </c>
      <c r="F137" s="2"/>
      <c r="G137" s="2" t="s">
        <v>368</v>
      </c>
      <c r="H137" s="2"/>
      <c r="I137" s="2" t="s">
        <v>569</v>
      </c>
      <c r="J137" s="2" t="s">
        <v>145</v>
      </c>
      <c r="K137" s="2" t="s">
        <v>137</v>
      </c>
      <c r="L137" s="2" t="s">
        <v>137</v>
      </c>
      <c r="M137" s="2" t="s">
        <v>600</v>
      </c>
      <c r="N137" s="2" t="s">
        <v>369</v>
      </c>
      <c r="O137" s="2" t="s">
        <v>153</v>
      </c>
    </row>
    <row r="138" customFormat="false" ht="15" hidden="false" customHeight="false" outlineLevel="0" collapsed="false">
      <c r="A138" s="2" t="s">
        <v>1116</v>
      </c>
      <c r="B138" s="2" t="s">
        <v>1117</v>
      </c>
      <c r="C138" s="2" t="s">
        <v>533</v>
      </c>
      <c r="D138" s="2"/>
      <c r="E138" s="2" t="s">
        <v>366</v>
      </c>
      <c r="F138" s="2"/>
      <c r="G138" s="2" t="s">
        <v>368</v>
      </c>
      <c r="H138" s="2"/>
      <c r="I138" s="2" t="s">
        <v>451</v>
      </c>
      <c r="J138" s="2" t="s">
        <v>145</v>
      </c>
      <c r="K138" s="2" t="s">
        <v>137</v>
      </c>
      <c r="L138" s="2" t="s">
        <v>137</v>
      </c>
      <c r="M138" s="2" t="s">
        <v>538</v>
      </c>
      <c r="N138" s="2" t="s">
        <v>369</v>
      </c>
      <c r="O138" s="2" t="s">
        <v>153</v>
      </c>
    </row>
    <row r="139" customFormat="false" ht="15" hidden="false" customHeight="false" outlineLevel="0" collapsed="false">
      <c r="A139" s="2" t="s">
        <v>1116</v>
      </c>
      <c r="B139" s="2" t="s">
        <v>1117</v>
      </c>
      <c r="C139" s="2" t="s">
        <v>603</v>
      </c>
      <c r="D139" s="2"/>
      <c r="E139" s="2" t="s">
        <v>492</v>
      </c>
      <c r="F139" s="2"/>
      <c r="G139" s="2" t="s">
        <v>368</v>
      </c>
      <c r="H139" s="2"/>
      <c r="I139" s="2" t="s">
        <v>569</v>
      </c>
      <c r="J139" s="2" t="s">
        <v>145</v>
      </c>
      <c r="K139" s="2" t="s">
        <v>137</v>
      </c>
      <c r="L139" s="2" t="s">
        <v>137</v>
      </c>
      <c r="M139" s="2" t="s">
        <v>604</v>
      </c>
      <c r="N139" s="2" t="s">
        <v>369</v>
      </c>
      <c r="O139" s="2" t="s">
        <v>153</v>
      </c>
    </row>
    <row r="140" customFormat="false" ht="15" hidden="false" customHeight="false" outlineLevel="0" collapsed="false">
      <c r="A140" s="2" t="s">
        <v>1116</v>
      </c>
      <c r="B140" s="2" t="s">
        <v>1117</v>
      </c>
      <c r="C140" s="2" t="s">
        <v>539</v>
      </c>
      <c r="D140" s="2"/>
      <c r="E140" s="2" t="s">
        <v>366</v>
      </c>
      <c r="F140" s="2"/>
      <c r="G140" s="2" t="s">
        <v>368</v>
      </c>
      <c r="H140" s="2"/>
      <c r="I140" s="2" t="s">
        <v>451</v>
      </c>
      <c r="J140" s="2" t="s">
        <v>145</v>
      </c>
      <c r="K140" s="2" t="s">
        <v>137</v>
      </c>
      <c r="L140" s="2" t="s">
        <v>137</v>
      </c>
      <c r="M140" s="2" t="s">
        <v>540</v>
      </c>
      <c r="N140" s="2" t="s">
        <v>369</v>
      </c>
      <c r="O140" s="2" t="s">
        <v>153</v>
      </c>
    </row>
    <row r="141" customFormat="false" ht="15" hidden="false" customHeight="false" outlineLevel="0" collapsed="false">
      <c r="A141" s="2" t="s">
        <v>1116</v>
      </c>
      <c r="B141" s="2" t="s">
        <v>1117</v>
      </c>
      <c r="C141" s="2" t="s">
        <v>553</v>
      </c>
      <c r="D141" s="2"/>
      <c r="E141" s="2" t="s">
        <v>492</v>
      </c>
      <c r="F141" s="2"/>
      <c r="G141" s="2" t="s">
        <v>368</v>
      </c>
      <c r="H141" s="2"/>
      <c r="I141" s="2" t="s">
        <v>451</v>
      </c>
      <c r="J141" s="2" t="s">
        <v>145</v>
      </c>
      <c r="K141" s="2" t="s">
        <v>137</v>
      </c>
      <c r="L141" s="2" t="s">
        <v>137</v>
      </c>
      <c r="M141" s="2" t="s">
        <v>555</v>
      </c>
      <c r="N141" s="2" t="s">
        <v>369</v>
      </c>
      <c r="O141" s="2" t="s">
        <v>153</v>
      </c>
    </row>
    <row r="142" customFormat="false" ht="15" hidden="false" customHeight="false" outlineLevel="0" collapsed="false">
      <c r="A142" s="2" t="s">
        <v>1116</v>
      </c>
      <c r="B142" s="2" t="s">
        <v>1117</v>
      </c>
      <c r="C142" s="2" t="s">
        <v>610</v>
      </c>
      <c r="D142" s="2"/>
      <c r="E142" s="2" t="s">
        <v>492</v>
      </c>
      <c r="F142" s="2"/>
      <c r="G142" s="2" t="s">
        <v>368</v>
      </c>
      <c r="H142" s="2"/>
      <c r="I142" s="2" t="s">
        <v>569</v>
      </c>
      <c r="J142" s="2" t="s">
        <v>145</v>
      </c>
      <c r="K142" s="2" t="s">
        <v>137</v>
      </c>
      <c r="L142" s="2" t="s">
        <v>137</v>
      </c>
      <c r="M142" s="2" t="s">
        <v>611</v>
      </c>
      <c r="N142" s="2" t="s">
        <v>369</v>
      </c>
      <c r="O142" s="2" t="s">
        <v>153</v>
      </c>
    </row>
    <row r="143" customFormat="false" ht="15" hidden="false" customHeight="false" outlineLevel="0" collapsed="false">
      <c r="A143" s="2" t="s">
        <v>1116</v>
      </c>
      <c r="B143" s="2" t="s">
        <v>1117</v>
      </c>
      <c r="C143" s="2" t="s">
        <v>612</v>
      </c>
      <c r="D143" s="2"/>
      <c r="E143" s="2" t="s">
        <v>492</v>
      </c>
      <c r="F143" s="2"/>
      <c r="G143" s="2" t="s">
        <v>368</v>
      </c>
      <c r="H143" s="2"/>
      <c r="I143" s="2" t="s">
        <v>569</v>
      </c>
      <c r="J143" s="2" t="s">
        <v>145</v>
      </c>
      <c r="K143" s="2" t="s">
        <v>137</v>
      </c>
      <c r="L143" s="2" t="s">
        <v>137</v>
      </c>
      <c r="M143" s="2" t="s">
        <v>613</v>
      </c>
      <c r="N143" s="2" t="s">
        <v>369</v>
      </c>
      <c r="O143" s="2" t="s">
        <v>153</v>
      </c>
    </row>
    <row r="144" customFormat="false" ht="15" hidden="false" customHeight="false" outlineLevel="0" collapsed="false">
      <c r="A144" s="2" t="s">
        <v>1116</v>
      </c>
      <c r="B144" s="2" t="s">
        <v>1117</v>
      </c>
      <c r="C144" s="2" t="s">
        <v>614</v>
      </c>
      <c r="D144" s="2"/>
      <c r="E144" s="2" t="s">
        <v>492</v>
      </c>
      <c r="F144" s="2"/>
      <c r="G144" s="2" t="s">
        <v>368</v>
      </c>
      <c r="H144" s="2"/>
      <c r="I144" s="2" t="s">
        <v>569</v>
      </c>
      <c r="J144" s="2" t="s">
        <v>145</v>
      </c>
      <c r="K144" s="2" t="s">
        <v>137</v>
      </c>
      <c r="L144" s="2" t="s">
        <v>137</v>
      </c>
      <c r="M144" s="2" t="s">
        <v>615</v>
      </c>
      <c r="N144" s="2" t="s">
        <v>369</v>
      </c>
      <c r="O144" s="2" t="s">
        <v>153</v>
      </c>
    </row>
    <row r="145" customFormat="false" ht="15" hidden="false" customHeight="false" outlineLevel="0" collapsed="false">
      <c r="A145" s="2" t="s">
        <v>1116</v>
      </c>
      <c r="B145" s="2" t="s">
        <v>1117</v>
      </c>
      <c r="C145" s="2" t="s">
        <v>616</v>
      </c>
      <c r="D145" s="2"/>
      <c r="E145" s="2" t="s">
        <v>492</v>
      </c>
      <c r="F145" s="2"/>
      <c r="G145" s="2" t="s">
        <v>368</v>
      </c>
      <c r="H145" s="2"/>
      <c r="I145" s="2" t="s">
        <v>569</v>
      </c>
      <c r="J145" s="2" t="s">
        <v>145</v>
      </c>
      <c r="K145" s="2" t="s">
        <v>137</v>
      </c>
      <c r="L145" s="2" t="s">
        <v>137</v>
      </c>
      <c r="M145" s="2" t="s">
        <v>617</v>
      </c>
      <c r="N145" s="2" t="s">
        <v>369</v>
      </c>
      <c r="O145" s="2" t="s">
        <v>153</v>
      </c>
    </row>
    <row r="146" customFormat="false" ht="15" hidden="false" customHeight="false" outlineLevel="0" collapsed="false">
      <c r="A146" s="2" t="s">
        <v>1116</v>
      </c>
      <c r="B146" s="2" t="s">
        <v>1117</v>
      </c>
      <c r="C146" s="2" t="s">
        <v>618</v>
      </c>
      <c r="D146" s="2"/>
      <c r="E146" s="2" t="s">
        <v>492</v>
      </c>
      <c r="F146" s="2"/>
      <c r="G146" s="2" t="s">
        <v>368</v>
      </c>
      <c r="H146" s="2"/>
      <c r="I146" s="2" t="s">
        <v>569</v>
      </c>
      <c r="J146" s="2" t="s">
        <v>145</v>
      </c>
      <c r="K146" s="2" t="s">
        <v>137</v>
      </c>
      <c r="L146" s="2" t="s">
        <v>137</v>
      </c>
      <c r="M146" s="2" t="s">
        <v>619</v>
      </c>
      <c r="N146" s="2" t="s">
        <v>369</v>
      </c>
      <c r="O146" s="2" t="s">
        <v>153</v>
      </c>
    </row>
    <row r="147" customFormat="false" ht="15" hidden="false" customHeight="false" outlineLevel="0" collapsed="false">
      <c r="A147" s="2" t="s">
        <v>1116</v>
      </c>
      <c r="B147" s="2" t="s">
        <v>1117</v>
      </c>
      <c r="C147" s="2" t="s">
        <v>620</v>
      </c>
      <c r="D147" s="2"/>
      <c r="E147" s="2" t="s">
        <v>492</v>
      </c>
      <c r="F147" s="2"/>
      <c r="G147" s="2" t="s">
        <v>368</v>
      </c>
      <c r="H147" s="2"/>
      <c r="I147" s="2" t="s">
        <v>569</v>
      </c>
      <c r="J147" s="2" t="s">
        <v>145</v>
      </c>
      <c r="K147" s="2" t="s">
        <v>137</v>
      </c>
      <c r="L147" s="2" t="s">
        <v>137</v>
      </c>
      <c r="M147" s="2" t="s">
        <v>621</v>
      </c>
      <c r="N147" s="2" t="s">
        <v>369</v>
      </c>
      <c r="O147" s="2" t="s">
        <v>153</v>
      </c>
    </row>
    <row r="148" customFormat="false" ht="15" hidden="false" customHeight="false" outlineLevel="0" collapsed="false">
      <c r="A148" s="2" t="s">
        <v>1116</v>
      </c>
      <c r="B148" s="2" t="s">
        <v>1117</v>
      </c>
      <c r="C148" s="2" t="s">
        <v>624</v>
      </c>
      <c r="D148" s="2"/>
      <c r="E148" s="2" t="s">
        <v>492</v>
      </c>
      <c r="F148" s="2"/>
      <c r="G148" s="2" t="s">
        <v>368</v>
      </c>
      <c r="H148" s="2"/>
      <c r="I148" s="2" t="s">
        <v>569</v>
      </c>
      <c r="J148" s="2" t="s">
        <v>145</v>
      </c>
      <c r="K148" s="2" t="s">
        <v>137</v>
      </c>
      <c r="L148" s="2" t="s">
        <v>137</v>
      </c>
      <c r="M148" s="2" t="s">
        <v>626</v>
      </c>
      <c r="N148" s="2" t="s">
        <v>369</v>
      </c>
      <c r="O148" s="2" t="s">
        <v>153</v>
      </c>
    </row>
    <row r="149" customFormat="false" ht="15" hidden="false" customHeight="false" outlineLevel="0" collapsed="false">
      <c r="A149" s="2" t="s">
        <v>1116</v>
      </c>
      <c r="B149" s="2" t="s">
        <v>1117</v>
      </c>
      <c r="C149" s="2" t="s">
        <v>627</v>
      </c>
      <c r="D149" s="2"/>
      <c r="E149" s="2" t="s">
        <v>492</v>
      </c>
      <c r="F149" s="2"/>
      <c r="G149" s="2" t="s">
        <v>368</v>
      </c>
      <c r="H149" s="2"/>
      <c r="I149" s="2" t="s">
        <v>569</v>
      </c>
      <c r="J149" s="2" t="s">
        <v>145</v>
      </c>
      <c r="K149" s="2" t="s">
        <v>137</v>
      </c>
      <c r="L149" s="2" t="s">
        <v>137</v>
      </c>
      <c r="M149" s="2" t="s">
        <v>628</v>
      </c>
      <c r="N149" s="2" t="s">
        <v>369</v>
      </c>
      <c r="O149" s="2" t="s">
        <v>153</v>
      </c>
    </row>
    <row r="150" customFormat="false" ht="15" hidden="false" customHeight="false" outlineLevel="0" collapsed="false">
      <c r="A150" s="2" t="s">
        <v>1116</v>
      </c>
      <c r="B150" s="2" t="s">
        <v>1117</v>
      </c>
      <c r="C150" s="2" t="s">
        <v>629</v>
      </c>
      <c r="D150" s="2"/>
      <c r="E150" s="2" t="s">
        <v>492</v>
      </c>
      <c r="F150" s="2"/>
      <c r="G150" s="2" t="s">
        <v>368</v>
      </c>
      <c r="H150" s="2"/>
      <c r="I150" s="2" t="s">
        <v>569</v>
      </c>
      <c r="J150" s="2" t="s">
        <v>145</v>
      </c>
      <c r="K150" s="2" t="s">
        <v>137</v>
      </c>
      <c r="L150" s="2" t="s">
        <v>137</v>
      </c>
      <c r="M150" s="2" t="s">
        <v>630</v>
      </c>
      <c r="N150" s="2" t="s">
        <v>369</v>
      </c>
      <c r="O150" s="2" t="s">
        <v>153</v>
      </c>
    </row>
    <row r="151" customFormat="false" ht="15" hidden="false" customHeight="false" outlineLevel="0" collapsed="false">
      <c r="A151" s="2" t="s">
        <v>1116</v>
      </c>
      <c r="B151" s="2" t="s">
        <v>1117</v>
      </c>
      <c r="C151" s="2" t="s">
        <v>634</v>
      </c>
      <c r="D151" s="2"/>
      <c r="E151" s="2" t="s">
        <v>492</v>
      </c>
      <c r="F151" s="2"/>
      <c r="G151" s="2" t="s">
        <v>368</v>
      </c>
      <c r="H151" s="2"/>
      <c r="I151" s="2" t="s">
        <v>569</v>
      </c>
      <c r="J151" s="2" t="s">
        <v>145</v>
      </c>
      <c r="K151" s="2" t="s">
        <v>137</v>
      </c>
      <c r="L151" s="2" t="s">
        <v>137</v>
      </c>
      <c r="M151" s="2" t="s">
        <v>635</v>
      </c>
      <c r="N151" s="2" t="s">
        <v>369</v>
      </c>
      <c r="O151" s="2" t="s">
        <v>153</v>
      </c>
    </row>
    <row r="152" customFormat="false" ht="15" hidden="false" customHeight="false" outlineLevel="0" collapsed="false">
      <c r="A152" s="2" t="s">
        <v>1116</v>
      </c>
      <c r="B152" s="2" t="s">
        <v>1117</v>
      </c>
      <c r="C152" s="2" t="s">
        <v>636</v>
      </c>
      <c r="D152" s="2"/>
      <c r="E152" s="2" t="s">
        <v>492</v>
      </c>
      <c r="F152" s="2"/>
      <c r="G152" s="2" t="s">
        <v>368</v>
      </c>
      <c r="H152" s="2"/>
      <c r="I152" s="2" t="s">
        <v>569</v>
      </c>
      <c r="J152" s="2" t="s">
        <v>145</v>
      </c>
      <c r="K152" s="2" t="s">
        <v>137</v>
      </c>
      <c r="L152" s="2" t="s">
        <v>137</v>
      </c>
      <c r="M152" s="2" t="s">
        <v>637</v>
      </c>
      <c r="N152" s="2" t="s">
        <v>369</v>
      </c>
      <c r="O152" s="2" t="s">
        <v>153</v>
      </c>
    </row>
    <row r="153" customFormat="false" ht="15" hidden="false" customHeight="false" outlineLevel="0" collapsed="false">
      <c r="A153" s="2" t="s">
        <v>1116</v>
      </c>
      <c r="B153" s="2" t="s">
        <v>1117</v>
      </c>
      <c r="C153" s="2" t="s">
        <v>638</v>
      </c>
      <c r="D153" s="2"/>
      <c r="E153" s="2" t="s">
        <v>492</v>
      </c>
      <c r="F153" s="2"/>
      <c r="G153" s="2" t="s">
        <v>368</v>
      </c>
      <c r="H153" s="2"/>
      <c r="I153" s="2" t="s">
        <v>569</v>
      </c>
      <c r="J153" s="2" t="s">
        <v>145</v>
      </c>
      <c r="K153" s="2" t="s">
        <v>137</v>
      </c>
      <c r="L153" s="2" t="s">
        <v>137</v>
      </c>
      <c r="M153" s="2" t="s">
        <v>639</v>
      </c>
      <c r="N153" s="2" t="s">
        <v>369</v>
      </c>
      <c r="O153" s="2" t="s">
        <v>153</v>
      </c>
    </row>
    <row r="154" customFormat="false" ht="15" hidden="false" customHeight="false" outlineLevel="0" collapsed="false">
      <c r="A154" s="2" t="s">
        <v>1116</v>
      </c>
      <c r="B154" s="2" t="s">
        <v>1117</v>
      </c>
      <c r="C154" s="2" t="s">
        <v>640</v>
      </c>
      <c r="D154" s="2"/>
      <c r="E154" s="2" t="s">
        <v>492</v>
      </c>
      <c r="F154" s="2"/>
      <c r="G154" s="2" t="s">
        <v>368</v>
      </c>
      <c r="H154" s="2"/>
      <c r="I154" s="2" t="s">
        <v>569</v>
      </c>
      <c r="J154" s="2" t="s">
        <v>145</v>
      </c>
      <c r="K154" s="2" t="s">
        <v>137</v>
      </c>
      <c r="L154" s="2" t="s">
        <v>137</v>
      </c>
      <c r="M154" s="2" t="s">
        <v>641</v>
      </c>
      <c r="N154" s="2" t="s">
        <v>369</v>
      </c>
      <c r="O154" s="2" t="s">
        <v>153</v>
      </c>
    </row>
    <row r="155" customFormat="false" ht="15" hidden="false" customHeight="false" outlineLevel="0" collapsed="false">
      <c r="A155" s="2" t="s">
        <v>1116</v>
      </c>
      <c r="B155" s="2" t="s">
        <v>1117</v>
      </c>
      <c r="C155" s="2" t="s">
        <v>642</v>
      </c>
      <c r="D155" s="2"/>
      <c r="E155" s="2" t="s">
        <v>492</v>
      </c>
      <c r="F155" s="2"/>
      <c r="G155" s="2" t="s">
        <v>368</v>
      </c>
      <c r="H155" s="2"/>
      <c r="I155" s="2" t="s">
        <v>569</v>
      </c>
      <c r="J155" s="2" t="s">
        <v>145</v>
      </c>
      <c r="K155" s="2" t="s">
        <v>137</v>
      </c>
      <c r="L155" s="2" t="s">
        <v>137</v>
      </c>
      <c r="M155" s="2" t="s">
        <v>643</v>
      </c>
      <c r="N155" s="2" t="s">
        <v>369</v>
      </c>
      <c r="O155" s="2" t="s">
        <v>153</v>
      </c>
    </row>
    <row r="156" customFormat="false" ht="15" hidden="false" customHeight="false" outlineLevel="0" collapsed="false">
      <c r="A156" s="2" t="s">
        <v>1116</v>
      </c>
      <c r="B156" s="2" t="s">
        <v>1117</v>
      </c>
      <c r="C156" s="2" t="s">
        <v>644</v>
      </c>
      <c r="D156" s="2"/>
      <c r="E156" s="2" t="s">
        <v>492</v>
      </c>
      <c r="F156" s="2"/>
      <c r="G156" s="2" t="s">
        <v>368</v>
      </c>
      <c r="H156" s="2"/>
      <c r="I156" s="2" t="s">
        <v>569</v>
      </c>
      <c r="J156" s="2" t="s">
        <v>145</v>
      </c>
      <c r="K156" s="2" t="s">
        <v>137</v>
      </c>
      <c r="L156" s="2" t="s">
        <v>137</v>
      </c>
      <c r="M156" s="2" t="s">
        <v>646</v>
      </c>
      <c r="N156" s="2" t="s">
        <v>369</v>
      </c>
      <c r="O156" s="2" t="s">
        <v>153</v>
      </c>
    </row>
    <row r="157" customFormat="false" ht="15" hidden="false" customHeight="false" outlineLevel="0" collapsed="false">
      <c r="A157" s="2" t="s">
        <v>1116</v>
      </c>
      <c r="B157" s="2" t="s">
        <v>1117</v>
      </c>
      <c r="C157" s="2" t="s">
        <v>647</v>
      </c>
      <c r="D157" s="2"/>
      <c r="E157" s="2" t="s">
        <v>492</v>
      </c>
      <c r="F157" s="2"/>
      <c r="G157" s="2" t="s">
        <v>368</v>
      </c>
      <c r="H157" s="2"/>
      <c r="I157" s="2" t="s">
        <v>569</v>
      </c>
      <c r="J157" s="2" t="s">
        <v>145</v>
      </c>
      <c r="K157" s="2" t="s">
        <v>137</v>
      </c>
      <c r="L157" s="2" t="s">
        <v>137</v>
      </c>
      <c r="M157" s="2" t="s">
        <v>648</v>
      </c>
      <c r="N157" s="2" t="s">
        <v>369</v>
      </c>
      <c r="O157" s="2" t="s">
        <v>153</v>
      </c>
    </row>
    <row r="158" customFormat="false" ht="15" hidden="false" customHeight="false" outlineLevel="0" collapsed="false">
      <c r="A158" s="2" t="s">
        <v>1116</v>
      </c>
      <c r="B158" s="2" t="s">
        <v>1117</v>
      </c>
      <c r="C158" s="2" t="s">
        <v>649</v>
      </c>
      <c r="D158" s="2"/>
      <c r="E158" s="2" t="s">
        <v>492</v>
      </c>
      <c r="F158" s="2"/>
      <c r="G158" s="2" t="s">
        <v>368</v>
      </c>
      <c r="H158" s="2"/>
      <c r="I158" s="2" t="s">
        <v>569</v>
      </c>
      <c r="J158" s="2" t="s">
        <v>145</v>
      </c>
      <c r="K158" s="2" t="s">
        <v>137</v>
      </c>
      <c r="L158" s="2" t="s">
        <v>137</v>
      </c>
      <c r="M158" s="2" t="s">
        <v>650</v>
      </c>
      <c r="N158" s="2" t="s">
        <v>369</v>
      </c>
      <c r="O158" s="2" t="s">
        <v>153</v>
      </c>
    </row>
    <row r="159" customFormat="false" ht="15" hidden="false" customHeight="false" outlineLevel="0" collapsed="false">
      <c r="A159" s="2" t="s">
        <v>1116</v>
      </c>
      <c r="B159" s="2" t="s">
        <v>1117</v>
      </c>
      <c r="C159" s="2" t="s">
        <v>556</v>
      </c>
      <c r="D159" s="2"/>
      <c r="E159" s="2" t="s">
        <v>476</v>
      </c>
      <c r="F159" s="2"/>
      <c r="G159" s="2" t="s">
        <v>144</v>
      </c>
      <c r="H159" s="2"/>
      <c r="I159" s="2" t="s">
        <v>451</v>
      </c>
      <c r="J159" s="2" t="s">
        <v>478</v>
      </c>
      <c r="K159" s="2" t="s">
        <v>137</v>
      </c>
      <c r="L159" s="2" t="s">
        <v>137</v>
      </c>
      <c r="M159" s="2" t="s">
        <v>559</v>
      </c>
      <c r="N159" s="2" t="s">
        <v>121</v>
      </c>
      <c r="O159" s="2" t="s">
        <v>486</v>
      </c>
    </row>
    <row r="160" customFormat="false" ht="15" hidden="false" customHeight="false" outlineLevel="0" collapsed="false">
      <c r="A160" s="2" t="s">
        <v>1116</v>
      </c>
      <c r="B160" s="2" t="s">
        <v>1117</v>
      </c>
      <c r="C160" s="2" t="s">
        <v>651</v>
      </c>
      <c r="D160" s="2"/>
      <c r="E160" s="2" t="s">
        <v>492</v>
      </c>
      <c r="F160" s="2"/>
      <c r="G160" s="2" t="s">
        <v>368</v>
      </c>
      <c r="H160" s="2"/>
      <c r="I160" s="2" t="s">
        <v>569</v>
      </c>
      <c r="J160" s="2" t="s">
        <v>145</v>
      </c>
      <c r="K160" s="2" t="s">
        <v>137</v>
      </c>
      <c r="L160" s="2" t="s">
        <v>137</v>
      </c>
      <c r="M160" s="2" t="s">
        <v>652</v>
      </c>
      <c r="N160" s="2" t="s">
        <v>369</v>
      </c>
      <c r="O160" s="2" t="s">
        <v>153</v>
      </c>
    </row>
    <row r="161" customFormat="false" ht="15" hidden="false" customHeight="false" outlineLevel="0" collapsed="false">
      <c r="A161" s="2" t="s">
        <v>1116</v>
      </c>
      <c r="B161" s="2" t="s">
        <v>1117</v>
      </c>
      <c r="C161" s="2" t="s">
        <v>653</v>
      </c>
      <c r="D161" s="2"/>
      <c r="E161" s="2" t="s">
        <v>492</v>
      </c>
      <c r="F161" s="2"/>
      <c r="G161" s="2" t="s">
        <v>368</v>
      </c>
      <c r="H161" s="2"/>
      <c r="I161" s="2" t="s">
        <v>569</v>
      </c>
      <c r="J161" s="2" t="s">
        <v>145</v>
      </c>
      <c r="K161" s="2" t="s">
        <v>137</v>
      </c>
      <c r="L161" s="2" t="s">
        <v>137</v>
      </c>
      <c r="M161" s="2" t="s">
        <v>654</v>
      </c>
      <c r="N161" s="2" t="s">
        <v>369</v>
      </c>
      <c r="O161" s="2" t="s">
        <v>153</v>
      </c>
    </row>
    <row r="162" customFormat="false" ht="15" hidden="false" customHeight="false" outlineLevel="0" collapsed="false">
      <c r="A162" s="2" t="s">
        <v>1116</v>
      </c>
      <c r="B162" s="2" t="s">
        <v>1117</v>
      </c>
      <c r="C162" s="2" t="s">
        <v>655</v>
      </c>
      <c r="D162" s="2"/>
      <c r="E162" s="2" t="s">
        <v>492</v>
      </c>
      <c r="F162" s="2"/>
      <c r="G162" s="2" t="s">
        <v>368</v>
      </c>
      <c r="H162" s="2"/>
      <c r="I162" s="2" t="s">
        <v>569</v>
      </c>
      <c r="J162" s="2" t="s">
        <v>145</v>
      </c>
      <c r="K162" s="2" t="s">
        <v>137</v>
      </c>
      <c r="L162" s="2" t="s">
        <v>137</v>
      </c>
      <c r="M162" s="2" t="s">
        <v>656</v>
      </c>
      <c r="N162" s="2" t="s">
        <v>369</v>
      </c>
      <c r="O162" s="2" t="s">
        <v>153</v>
      </c>
    </row>
    <row r="163" customFormat="false" ht="15" hidden="false" customHeight="false" outlineLevel="0" collapsed="false">
      <c r="A163" s="2" t="s">
        <v>1116</v>
      </c>
      <c r="B163" s="2" t="s">
        <v>1117</v>
      </c>
      <c r="C163" s="2" t="s">
        <v>657</v>
      </c>
      <c r="D163" s="2"/>
      <c r="E163" s="2" t="s">
        <v>492</v>
      </c>
      <c r="F163" s="2"/>
      <c r="G163" s="2" t="s">
        <v>368</v>
      </c>
      <c r="H163" s="2"/>
      <c r="I163" s="2" t="s">
        <v>569</v>
      </c>
      <c r="J163" s="2" t="s">
        <v>145</v>
      </c>
      <c r="K163" s="2" t="s">
        <v>137</v>
      </c>
      <c r="L163" s="2" t="s">
        <v>137</v>
      </c>
      <c r="M163" s="2" t="s">
        <v>660</v>
      </c>
      <c r="N163" s="2" t="s">
        <v>369</v>
      </c>
      <c r="O163" s="2" t="s">
        <v>153</v>
      </c>
    </row>
    <row r="164" customFormat="false" ht="15" hidden="false" customHeight="false" outlineLevel="0" collapsed="false">
      <c r="A164" s="2" t="s">
        <v>1116</v>
      </c>
      <c r="B164" s="2" t="s">
        <v>1117</v>
      </c>
      <c r="C164" s="2" t="s">
        <v>661</v>
      </c>
      <c r="D164" s="2"/>
      <c r="E164" s="2" t="s">
        <v>492</v>
      </c>
      <c r="F164" s="2"/>
      <c r="G164" s="2" t="s">
        <v>368</v>
      </c>
      <c r="H164" s="2"/>
      <c r="I164" s="2" t="s">
        <v>569</v>
      </c>
      <c r="J164" s="2" t="s">
        <v>145</v>
      </c>
      <c r="K164" s="2" t="s">
        <v>137</v>
      </c>
      <c r="L164" s="2" t="s">
        <v>137</v>
      </c>
      <c r="M164" s="2" t="s">
        <v>665</v>
      </c>
      <c r="N164" s="2" t="s">
        <v>369</v>
      </c>
      <c r="O164" s="2" t="s">
        <v>153</v>
      </c>
    </row>
    <row r="165" customFormat="false" ht="15" hidden="false" customHeight="false" outlineLevel="0" collapsed="false">
      <c r="A165" s="2" t="s">
        <v>1116</v>
      </c>
      <c r="B165" s="2" t="s">
        <v>1117</v>
      </c>
      <c r="C165" s="2" t="s">
        <v>666</v>
      </c>
      <c r="D165" s="2"/>
      <c r="E165" s="2" t="s">
        <v>492</v>
      </c>
      <c r="F165" s="2"/>
      <c r="G165" s="2" t="s">
        <v>368</v>
      </c>
      <c r="H165" s="2"/>
      <c r="I165" s="2" t="s">
        <v>569</v>
      </c>
      <c r="J165" s="2" t="s">
        <v>145</v>
      </c>
      <c r="K165" s="2" t="s">
        <v>137</v>
      </c>
      <c r="L165" s="2" t="s">
        <v>137</v>
      </c>
      <c r="M165" s="2" t="s">
        <v>667</v>
      </c>
      <c r="N165" s="2" t="s">
        <v>369</v>
      </c>
      <c r="O165" s="2" t="s">
        <v>153</v>
      </c>
    </row>
    <row r="166" customFormat="false" ht="15" hidden="false" customHeight="false" outlineLevel="0" collapsed="false">
      <c r="A166" s="2" t="s">
        <v>1116</v>
      </c>
      <c r="B166" s="2" t="s">
        <v>1117</v>
      </c>
      <c r="C166" s="2" t="s">
        <v>560</v>
      </c>
      <c r="D166" s="2"/>
      <c r="E166" s="2" t="s">
        <v>542</v>
      </c>
      <c r="F166" s="2"/>
      <c r="G166" s="2" t="s">
        <v>391</v>
      </c>
      <c r="H166" s="2"/>
      <c r="I166" s="2" t="s">
        <v>451</v>
      </c>
      <c r="J166" s="2" t="s">
        <v>392</v>
      </c>
      <c r="K166" s="2" t="s">
        <v>137</v>
      </c>
      <c r="L166" s="2" t="s">
        <v>137</v>
      </c>
      <c r="M166" s="2" t="s">
        <v>563</v>
      </c>
      <c r="N166" s="2" t="s">
        <v>121</v>
      </c>
      <c r="O166" s="2" t="s">
        <v>395</v>
      </c>
    </row>
    <row r="167" customFormat="false" ht="15" hidden="false" customHeight="false" outlineLevel="0" collapsed="false">
      <c r="A167" s="2" t="s">
        <v>1116</v>
      </c>
      <c r="B167" s="2" t="s">
        <v>1117</v>
      </c>
      <c r="C167" s="2" t="s">
        <v>668</v>
      </c>
      <c r="D167" s="2"/>
      <c r="E167" s="2" t="s">
        <v>492</v>
      </c>
      <c r="F167" s="2"/>
      <c r="G167" s="2" t="s">
        <v>368</v>
      </c>
      <c r="H167" s="2"/>
      <c r="I167" s="2" t="s">
        <v>569</v>
      </c>
      <c r="J167" s="2" t="s">
        <v>145</v>
      </c>
      <c r="K167" s="2" t="s">
        <v>137</v>
      </c>
      <c r="L167" s="2" t="s">
        <v>137</v>
      </c>
      <c r="M167" s="2" t="s">
        <v>669</v>
      </c>
      <c r="N167" s="2" t="s">
        <v>369</v>
      </c>
      <c r="O167" s="2" t="s">
        <v>153</v>
      </c>
    </row>
    <row r="168" customFormat="false" ht="15" hidden="false" customHeight="false" outlineLevel="0" collapsed="false">
      <c r="A168" s="2" t="s">
        <v>1116</v>
      </c>
      <c r="B168" s="2" t="s">
        <v>1117</v>
      </c>
      <c r="C168" s="2" t="s">
        <v>670</v>
      </c>
      <c r="D168" s="2"/>
      <c r="E168" s="2" t="s">
        <v>492</v>
      </c>
      <c r="F168" s="2"/>
      <c r="G168" s="2" t="s">
        <v>368</v>
      </c>
      <c r="H168" s="2"/>
      <c r="I168" s="2" t="s">
        <v>569</v>
      </c>
      <c r="J168" s="2" t="s">
        <v>145</v>
      </c>
      <c r="K168" s="2" t="s">
        <v>137</v>
      </c>
      <c r="L168" s="2" t="s">
        <v>137</v>
      </c>
      <c r="M168" s="2" t="s">
        <v>671</v>
      </c>
      <c r="N168" s="2" t="s">
        <v>369</v>
      </c>
      <c r="O168" s="2" t="s">
        <v>153</v>
      </c>
    </row>
    <row r="169" customFormat="false" ht="15" hidden="false" customHeight="false" outlineLevel="0" collapsed="false">
      <c r="A169" s="2" t="s">
        <v>1116</v>
      </c>
      <c r="B169" s="2" t="s">
        <v>1117</v>
      </c>
      <c r="C169" s="2" t="s">
        <v>672</v>
      </c>
      <c r="D169" s="2"/>
      <c r="E169" s="2" t="s">
        <v>492</v>
      </c>
      <c r="F169" s="2"/>
      <c r="G169" s="2" t="s">
        <v>368</v>
      </c>
      <c r="H169" s="2"/>
      <c r="I169" s="2" t="s">
        <v>569</v>
      </c>
      <c r="J169" s="2" t="s">
        <v>145</v>
      </c>
      <c r="K169" s="2" t="s">
        <v>137</v>
      </c>
      <c r="L169" s="2" t="s">
        <v>137</v>
      </c>
      <c r="M169" s="2" t="s">
        <v>673</v>
      </c>
      <c r="N169" s="2" t="s">
        <v>369</v>
      </c>
      <c r="O169" s="2" t="s">
        <v>153</v>
      </c>
    </row>
    <row r="170" customFormat="false" ht="15" hidden="false" customHeight="false" outlineLevel="0" collapsed="false">
      <c r="A170" s="2" t="s">
        <v>1116</v>
      </c>
      <c r="B170" s="2" t="s">
        <v>1117</v>
      </c>
      <c r="C170" s="2" t="s">
        <v>674</v>
      </c>
      <c r="D170" s="2"/>
      <c r="E170" s="2" t="s">
        <v>492</v>
      </c>
      <c r="F170" s="2"/>
      <c r="G170" s="2" t="s">
        <v>368</v>
      </c>
      <c r="H170" s="2"/>
      <c r="I170" s="2" t="s">
        <v>569</v>
      </c>
      <c r="J170" s="2" t="s">
        <v>145</v>
      </c>
      <c r="K170" s="2" t="s">
        <v>137</v>
      </c>
      <c r="L170" s="2" t="s">
        <v>137</v>
      </c>
      <c r="M170" s="2" t="s">
        <v>675</v>
      </c>
      <c r="N170" s="2" t="s">
        <v>369</v>
      </c>
      <c r="O170" s="2" t="s">
        <v>153</v>
      </c>
    </row>
    <row r="171" customFormat="false" ht="15" hidden="false" customHeight="false" outlineLevel="0" collapsed="false">
      <c r="A171" s="2" t="s">
        <v>1116</v>
      </c>
      <c r="B171" s="2" t="s">
        <v>1117</v>
      </c>
      <c r="C171" s="2" t="s">
        <v>678</v>
      </c>
      <c r="D171" s="2"/>
      <c r="E171" s="2" t="s">
        <v>492</v>
      </c>
      <c r="F171" s="2"/>
      <c r="G171" s="2" t="s">
        <v>368</v>
      </c>
      <c r="H171" s="2"/>
      <c r="I171" s="2" t="s">
        <v>569</v>
      </c>
      <c r="J171" s="2" t="s">
        <v>145</v>
      </c>
      <c r="K171" s="2" t="s">
        <v>137</v>
      </c>
      <c r="L171" s="2" t="s">
        <v>137</v>
      </c>
      <c r="M171" s="2" t="s">
        <v>679</v>
      </c>
      <c r="N171" s="2" t="s">
        <v>369</v>
      </c>
      <c r="O171" s="2" t="s">
        <v>153</v>
      </c>
    </row>
    <row r="172" customFormat="false" ht="15" hidden="false" customHeight="false" outlineLevel="0" collapsed="false">
      <c r="A172" s="2" t="s">
        <v>1116</v>
      </c>
      <c r="B172" s="2" t="s">
        <v>1117</v>
      </c>
      <c r="C172" s="2" t="s">
        <v>680</v>
      </c>
      <c r="D172" s="2"/>
      <c r="E172" s="2" t="s">
        <v>492</v>
      </c>
      <c r="F172" s="2"/>
      <c r="G172" s="2" t="s">
        <v>368</v>
      </c>
      <c r="H172" s="2"/>
      <c r="I172" s="2" t="s">
        <v>569</v>
      </c>
      <c r="J172" s="2" t="s">
        <v>145</v>
      </c>
      <c r="K172" s="2" t="s">
        <v>137</v>
      </c>
      <c r="L172" s="2" t="s">
        <v>137</v>
      </c>
      <c r="M172" s="2" t="s">
        <v>681</v>
      </c>
      <c r="N172" s="2" t="s">
        <v>369</v>
      </c>
      <c r="O172" s="2" t="s">
        <v>153</v>
      </c>
    </row>
    <row r="173" customFormat="false" ht="15" hidden="false" customHeight="false" outlineLevel="0" collapsed="false">
      <c r="A173" s="2" t="s">
        <v>1116</v>
      </c>
      <c r="B173" s="2" t="s">
        <v>1117</v>
      </c>
      <c r="C173" s="2" t="s">
        <v>686</v>
      </c>
      <c r="D173" s="2"/>
      <c r="E173" s="2" t="s">
        <v>492</v>
      </c>
      <c r="F173" s="2"/>
      <c r="G173" s="2" t="s">
        <v>368</v>
      </c>
      <c r="H173" s="2"/>
      <c r="I173" s="2" t="s">
        <v>569</v>
      </c>
      <c r="J173" s="2" t="s">
        <v>145</v>
      </c>
      <c r="K173" s="2" t="s">
        <v>137</v>
      </c>
      <c r="L173" s="2" t="s">
        <v>137</v>
      </c>
      <c r="M173" s="2" t="s">
        <v>688</v>
      </c>
      <c r="N173" s="2" t="s">
        <v>369</v>
      </c>
      <c r="O173" s="2" t="s">
        <v>153</v>
      </c>
    </row>
    <row r="174" customFormat="false" ht="15" hidden="false" customHeight="false" outlineLevel="0" collapsed="false">
      <c r="A174" s="2" t="s">
        <v>1116</v>
      </c>
      <c r="B174" s="2" t="s">
        <v>1117</v>
      </c>
      <c r="C174" s="2" t="s">
        <v>689</v>
      </c>
      <c r="D174" s="2"/>
      <c r="E174" s="2" t="s">
        <v>492</v>
      </c>
      <c r="F174" s="2"/>
      <c r="G174" s="2" t="s">
        <v>368</v>
      </c>
      <c r="H174" s="2"/>
      <c r="I174" s="2" t="s">
        <v>569</v>
      </c>
      <c r="J174" s="2" t="s">
        <v>145</v>
      </c>
      <c r="K174" s="2" t="s">
        <v>137</v>
      </c>
      <c r="L174" s="2" t="s">
        <v>137</v>
      </c>
      <c r="M174" s="2" t="s">
        <v>690</v>
      </c>
      <c r="N174" s="2" t="s">
        <v>369</v>
      </c>
      <c r="O174" s="2" t="s">
        <v>153</v>
      </c>
    </row>
    <row r="175" customFormat="false" ht="15" hidden="false" customHeight="false" outlineLevel="0" collapsed="false">
      <c r="A175" s="2" t="s">
        <v>1116</v>
      </c>
      <c r="B175" s="2" t="s">
        <v>1117</v>
      </c>
      <c r="C175" s="2" t="s">
        <v>693</v>
      </c>
      <c r="D175" s="2"/>
      <c r="E175" s="2" t="s">
        <v>492</v>
      </c>
      <c r="F175" s="2"/>
      <c r="G175" s="2" t="s">
        <v>368</v>
      </c>
      <c r="H175" s="2"/>
      <c r="I175" s="2" t="s">
        <v>569</v>
      </c>
      <c r="J175" s="2" t="s">
        <v>145</v>
      </c>
      <c r="K175" s="2" t="s">
        <v>137</v>
      </c>
      <c r="L175" s="2" t="s">
        <v>137</v>
      </c>
      <c r="M175" s="2" t="s">
        <v>694</v>
      </c>
      <c r="N175" s="2" t="s">
        <v>369</v>
      </c>
      <c r="O175" s="2" t="s">
        <v>153</v>
      </c>
    </row>
    <row r="176" customFormat="false" ht="15" hidden="false" customHeight="false" outlineLevel="0" collapsed="false">
      <c r="A176" s="2" t="s">
        <v>1116</v>
      </c>
      <c r="B176" s="2" t="s">
        <v>1117</v>
      </c>
      <c r="C176" s="2" t="s">
        <v>695</v>
      </c>
      <c r="D176" s="2"/>
      <c r="E176" s="2" t="s">
        <v>492</v>
      </c>
      <c r="F176" s="2"/>
      <c r="G176" s="2" t="s">
        <v>368</v>
      </c>
      <c r="H176" s="2"/>
      <c r="I176" s="2" t="s">
        <v>569</v>
      </c>
      <c r="J176" s="2" t="s">
        <v>145</v>
      </c>
      <c r="K176" s="2" t="s">
        <v>137</v>
      </c>
      <c r="L176" s="2" t="s">
        <v>137</v>
      </c>
      <c r="M176" s="2" t="s">
        <v>696</v>
      </c>
      <c r="N176" s="2" t="s">
        <v>369</v>
      </c>
      <c r="O176" s="2" t="s">
        <v>153</v>
      </c>
    </row>
    <row r="177" customFormat="false" ht="15" hidden="false" customHeight="false" outlineLevel="0" collapsed="false">
      <c r="A177" s="2" t="s">
        <v>1116</v>
      </c>
      <c r="B177" s="2" t="s">
        <v>1117</v>
      </c>
      <c r="C177" s="2" t="s">
        <v>699</v>
      </c>
      <c r="D177" s="2"/>
      <c r="E177" s="2" t="s">
        <v>492</v>
      </c>
      <c r="F177" s="2"/>
      <c r="G177" s="2" t="s">
        <v>368</v>
      </c>
      <c r="H177" s="2"/>
      <c r="I177" s="2" t="s">
        <v>569</v>
      </c>
      <c r="J177" s="2" t="s">
        <v>145</v>
      </c>
      <c r="K177" s="2" t="s">
        <v>137</v>
      </c>
      <c r="L177" s="2" t="s">
        <v>137</v>
      </c>
      <c r="M177" s="2" t="s">
        <v>700</v>
      </c>
      <c r="N177" s="2" t="s">
        <v>369</v>
      </c>
      <c r="O177" s="2" t="s">
        <v>153</v>
      </c>
    </row>
    <row r="178" customFormat="false" ht="15" hidden="false" customHeight="false" outlineLevel="0" collapsed="false">
      <c r="A178" s="2" t="s">
        <v>1116</v>
      </c>
      <c r="B178" s="2" t="s">
        <v>1117</v>
      </c>
      <c r="C178" s="2" t="s">
        <v>703</v>
      </c>
      <c r="D178" s="2"/>
      <c r="E178" s="2" t="s">
        <v>492</v>
      </c>
      <c r="F178" s="2"/>
      <c r="G178" s="2" t="s">
        <v>368</v>
      </c>
      <c r="H178" s="2"/>
      <c r="I178" s="2" t="s">
        <v>569</v>
      </c>
      <c r="J178" s="2" t="s">
        <v>145</v>
      </c>
      <c r="K178" s="2" t="s">
        <v>137</v>
      </c>
      <c r="L178" s="2" t="s">
        <v>137</v>
      </c>
      <c r="M178" s="2" t="s">
        <v>704</v>
      </c>
      <c r="N178" s="2" t="s">
        <v>369</v>
      </c>
      <c r="O178" s="2" t="s">
        <v>153</v>
      </c>
    </row>
    <row r="179" customFormat="false" ht="15" hidden="false" customHeight="false" outlineLevel="0" collapsed="false">
      <c r="A179" s="2" t="s">
        <v>1116</v>
      </c>
      <c r="B179" s="2" t="s">
        <v>1117</v>
      </c>
      <c r="C179" s="2" t="s">
        <v>705</v>
      </c>
      <c r="D179" s="2"/>
      <c r="E179" s="2" t="s">
        <v>492</v>
      </c>
      <c r="F179" s="2"/>
      <c r="G179" s="2" t="s">
        <v>368</v>
      </c>
      <c r="H179" s="2"/>
      <c r="I179" s="2" t="s">
        <v>569</v>
      </c>
      <c r="J179" s="2" t="s">
        <v>145</v>
      </c>
      <c r="K179" s="2" t="s">
        <v>137</v>
      </c>
      <c r="L179" s="2" t="s">
        <v>137</v>
      </c>
      <c r="M179" s="2" t="s">
        <v>706</v>
      </c>
      <c r="N179" s="2" t="s">
        <v>369</v>
      </c>
      <c r="O179" s="2" t="s">
        <v>153</v>
      </c>
    </row>
    <row r="180" customFormat="false" ht="15" hidden="false" customHeight="false" outlineLevel="0" collapsed="false">
      <c r="A180" s="2" t="s">
        <v>1116</v>
      </c>
      <c r="B180" s="2" t="s">
        <v>1117</v>
      </c>
      <c r="C180" s="2" t="s">
        <v>707</v>
      </c>
      <c r="D180" s="2"/>
      <c r="E180" s="2" t="s">
        <v>492</v>
      </c>
      <c r="F180" s="2"/>
      <c r="G180" s="2" t="s">
        <v>368</v>
      </c>
      <c r="H180" s="2"/>
      <c r="I180" s="2" t="s">
        <v>569</v>
      </c>
      <c r="J180" s="2" t="s">
        <v>145</v>
      </c>
      <c r="K180" s="2" t="s">
        <v>137</v>
      </c>
      <c r="L180" s="2" t="s">
        <v>137</v>
      </c>
      <c r="M180" s="2" t="s">
        <v>708</v>
      </c>
      <c r="N180" s="2" t="s">
        <v>369</v>
      </c>
      <c r="O180" s="2" t="s">
        <v>153</v>
      </c>
    </row>
    <row r="181" customFormat="false" ht="15" hidden="false" customHeight="false" outlineLevel="0" collapsed="false">
      <c r="A181" s="2" t="s">
        <v>1116</v>
      </c>
      <c r="B181" s="2" t="s">
        <v>1117</v>
      </c>
      <c r="C181" s="2" t="s">
        <v>709</v>
      </c>
      <c r="D181" s="2"/>
      <c r="E181" s="2" t="s">
        <v>492</v>
      </c>
      <c r="F181" s="2"/>
      <c r="G181" s="2" t="s">
        <v>368</v>
      </c>
      <c r="H181" s="2"/>
      <c r="I181" s="2" t="s">
        <v>569</v>
      </c>
      <c r="J181" s="2" t="s">
        <v>145</v>
      </c>
      <c r="K181" s="2" t="s">
        <v>137</v>
      </c>
      <c r="L181" s="2" t="s">
        <v>137</v>
      </c>
      <c r="M181" s="2" t="s">
        <v>710</v>
      </c>
      <c r="N181" s="2" t="s">
        <v>369</v>
      </c>
      <c r="O181" s="2" t="s">
        <v>153</v>
      </c>
    </row>
    <row r="182" customFormat="false" ht="15" hidden="false" customHeight="false" outlineLevel="0" collapsed="false">
      <c r="A182" s="2" t="s">
        <v>1116</v>
      </c>
      <c r="B182" s="2" t="s">
        <v>1117</v>
      </c>
      <c r="C182" s="2" t="s">
        <v>724</v>
      </c>
      <c r="D182" s="2"/>
      <c r="E182" s="2" t="s">
        <v>492</v>
      </c>
      <c r="F182" s="2"/>
      <c r="G182" s="2" t="s">
        <v>368</v>
      </c>
      <c r="H182" s="2"/>
      <c r="I182" s="2" t="s">
        <v>569</v>
      </c>
      <c r="J182" s="2" t="s">
        <v>145</v>
      </c>
      <c r="K182" s="2" t="s">
        <v>137</v>
      </c>
      <c r="L182" s="2" t="s">
        <v>137</v>
      </c>
      <c r="M182" s="2" t="s">
        <v>725</v>
      </c>
      <c r="N182" s="2" t="s">
        <v>369</v>
      </c>
      <c r="O182" s="2" t="s">
        <v>153</v>
      </c>
    </row>
    <row r="183" customFormat="false" ht="15" hidden="false" customHeight="false" outlineLevel="0" collapsed="false">
      <c r="A183" s="2" t="s">
        <v>1116</v>
      </c>
      <c r="B183" s="2" t="s">
        <v>1117</v>
      </c>
      <c r="C183" s="2" t="s">
        <v>726</v>
      </c>
      <c r="D183" s="2"/>
      <c r="E183" s="2" t="s">
        <v>492</v>
      </c>
      <c r="F183" s="2"/>
      <c r="G183" s="2" t="s">
        <v>368</v>
      </c>
      <c r="H183" s="2"/>
      <c r="I183" s="2" t="s">
        <v>569</v>
      </c>
      <c r="J183" s="2" t="s">
        <v>145</v>
      </c>
      <c r="K183" s="2" t="s">
        <v>137</v>
      </c>
      <c r="L183" s="2" t="s">
        <v>137</v>
      </c>
      <c r="M183" s="2" t="s">
        <v>727</v>
      </c>
      <c r="N183" s="2" t="s">
        <v>369</v>
      </c>
      <c r="O183" s="2" t="s">
        <v>153</v>
      </c>
    </row>
    <row r="184" customFormat="false" ht="15" hidden="false" customHeight="false" outlineLevel="0" collapsed="false">
      <c r="A184" s="2" t="s">
        <v>1116</v>
      </c>
      <c r="B184" s="2" t="s">
        <v>1117</v>
      </c>
      <c r="C184" s="2" t="s">
        <v>730</v>
      </c>
      <c r="D184" s="2"/>
      <c r="E184" s="2" t="s">
        <v>492</v>
      </c>
      <c r="F184" s="2"/>
      <c r="G184" s="2" t="s">
        <v>368</v>
      </c>
      <c r="H184" s="2"/>
      <c r="I184" s="2" t="s">
        <v>569</v>
      </c>
      <c r="J184" s="2" t="s">
        <v>145</v>
      </c>
      <c r="K184" s="2" t="s">
        <v>137</v>
      </c>
      <c r="L184" s="2" t="s">
        <v>137</v>
      </c>
      <c r="M184" s="2" t="s">
        <v>731</v>
      </c>
      <c r="N184" s="2" t="s">
        <v>369</v>
      </c>
      <c r="O184" s="2" t="s">
        <v>153</v>
      </c>
    </row>
    <row r="185" customFormat="false" ht="15" hidden="false" customHeight="false" outlineLevel="0" collapsed="false">
      <c r="A185" s="2" t="s">
        <v>1116</v>
      </c>
      <c r="B185" s="2" t="s">
        <v>1117</v>
      </c>
      <c r="C185" s="2" t="s">
        <v>732</v>
      </c>
      <c r="D185" s="2"/>
      <c r="E185" s="2" t="s">
        <v>492</v>
      </c>
      <c r="F185" s="2"/>
      <c r="G185" s="2" t="s">
        <v>368</v>
      </c>
      <c r="H185" s="2"/>
      <c r="I185" s="2" t="s">
        <v>569</v>
      </c>
      <c r="J185" s="2" t="s">
        <v>145</v>
      </c>
      <c r="K185" s="2" t="s">
        <v>137</v>
      </c>
      <c r="L185" s="2" t="s">
        <v>137</v>
      </c>
      <c r="M185" s="2" t="s">
        <v>733</v>
      </c>
      <c r="N185" s="2" t="s">
        <v>369</v>
      </c>
      <c r="O185" s="2" t="s">
        <v>153</v>
      </c>
    </row>
    <row r="186" customFormat="false" ht="15" hidden="false" customHeight="false" outlineLevel="0" collapsed="false">
      <c r="A186" s="2" t="s">
        <v>1116</v>
      </c>
      <c r="B186" s="2" t="s">
        <v>1117</v>
      </c>
      <c r="C186" s="2" t="s">
        <v>738</v>
      </c>
      <c r="D186" s="2"/>
      <c r="E186" s="2" t="s">
        <v>492</v>
      </c>
      <c r="F186" s="2"/>
      <c r="G186" s="2" t="s">
        <v>368</v>
      </c>
      <c r="H186" s="2"/>
      <c r="I186" s="2" t="s">
        <v>569</v>
      </c>
      <c r="J186" s="2" t="s">
        <v>145</v>
      </c>
      <c r="K186" s="2" t="s">
        <v>137</v>
      </c>
      <c r="L186" s="2" t="s">
        <v>137</v>
      </c>
      <c r="M186" s="2" t="s">
        <v>739</v>
      </c>
      <c r="N186" s="2" t="s">
        <v>369</v>
      </c>
      <c r="O186" s="2" t="s">
        <v>153</v>
      </c>
    </row>
    <row r="187" customFormat="false" ht="15" hidden="false" customHeight="false" outlineLevel="0" collapsed="false">
      <c r="A187" s="2" t="s">
        <v>1116</v>
      </c>
      <c r="B187" s="2" t="s">
        <v>1117</v>
      </c>
      <c r="C187" s="2" t="s">
        <v>740</v>
      </c>
      <c r="D187" s="2"/>
      <c r="E187" s="2" t="s">
        <v>492</v>
      </c>
      <c r="F187" s="2"/>
      <c r="G187" s="2" t="s">
        <v>368</v>
      </c>
      <c r="H187" s="2"/>
      <c r="I187" s="2" t="s">
        <v>569</v>
      </c>
      <c r="J187" s="2" t="s">
        <v>145</v>
      </c>
      <c r="K187" s="2" t="s">
        <v>137</v>
      </c>
      <c r="L187" s="2" t="s">
        <v>137</v>
      </c>
      <c r="M187" s="2" t="s">
        <v>741</v>
      </c>
      <c r="N187" s="2" t="s">
        <v>369</v>
      </c>
      <c r="O187" s="2" t="s">
        <v>153</v>
      </c>
    </row>
    <row r="188" customFormat="false" ht="15" hidden="false" customHeight="false" outlineLevel="0" collapsed="false">
      <c r="A188" s="2" t="s">
        <v>1116</v>
      </c>
      <c r="B188" s="2" t="s">
        <v>1117</v>
      </c>
      <c r="C188" s="2" t="s">
        <v>742</v>
      </c>
      <c r="D188" s="2"/>
      <c r="E188" s="2" t="s">
        <v>492</v>
      </c>
      <c r="F188" s="2"/>
      <c r="G188" s="2" t="s">
        <v>368</v>
      </c>
      <c r="H188" s="2"/>
      <c r="I188" s="2" t="s">
        <v>569</v>
      </c>
      <c r="J188" s="2" t="s">
        <v>145</v>
      </c>
      <c r="K188" s="2" t="s">
        <v>137</v>
      </c>
      <c r="L188" s="2" t="s">
        <v>137</v>
      </c>
      <c r="M188" s="2" t="s">
        <v>743</v>
      </c>
      <c r="N188" s="2" t="s">
        <v>369</v>
      </c>
      <c r="O188" s="2" t="s">
        <v>153</v>
      </c>
    </row>
    <row r="189" customFormat="false" ht="15" hidden="false" customHeight="false" outlineLevel="0" collapsed="false">
      <c r="A189" s="2" t="s">
        <v>1116</v>
      </c>
      <c r="B189" s="2" t="s">
        <v>1117</v>
      </c>
      <c r="C189" s="2" t="s">
        <v>744</v>
      </c>
      <c r="D189" s="2"/>
      <c r="E189" s="2" t="s">
        <v>492</v>
      </c>
      <c r="F189" s="2"/>
      <c r="G189" s="2" t="s">
        <v>368</v>
      </c>
      <c r="H189" s="2"/>
      <c r="I189" s="2" t="s">
        <v>569</v>
      </c>
      <c r="J189" s="2" t="s">
        <v>145</v>
      </c>
      <c r="K189" s="2" t="s">
        <v>137</v>
      </c>
      <c r="L189" s="2" t="s">
        <v>137</v>
      </c>
      <c r="M189" s="2" t="s">
        <v>745</v>
      </c>
      <c r="N189" s="2" t="s">
        <v>369</v>
      </c>
      <c r="O189" s="2" t="s">
        <v>153</v>
      </c>
    </row>
    <row r="190" customFormat="false" ht="15" hidden="false" customHeight="false" outlineLevel="0" collapsed="false">
      <c r="A190" s="2" t="s">
        <v>1116</v>
      </c>
      <c r="B190" s="2" t="s">
        <v>1117</v>
      </c>
      <c r="C190" s="2" t="s">
        <v>746</v>
      </c>
      <c r="D190" s="2"/>
      <c r="E190" s="2" t="s">
        <v>492</v>
      </c>
      <c r="F190" s="2"/>
      <c r="G190" s="2" t="s">
        <v>368</v>
      </c>
      <c r="H190" s="2"/>
      <c r="I190" s="2" t="s">
        <v>569</v>
      </c>
      <c r="J190" s="2" t="s">
        <v>145</v>
      </c>
      <c r="K190" s="2" t="s">
        <v>137</v>
      </c>
      <c r="L190" s="2" t="s">
        <v>137</v>
      </c>
      <c r="M190" s="2" t="s">
        <v>747</v>
      </c>
      <c r="N190" s="2" t="s">
        <v>369</v>
      </c>
      <c r="O190" s="2" t="s">
        <v>153</v>
      </c>
    </row>
    <row r="191" customFormat="false" ht="15" hidden="false" customHeight="false" outlineLevel="0" collapsed="false">
      <c r="A191" s="2" t="s">
        <v>1116</v>
      </c>
      <c r="B191" s="2" t="s">
        <v>1117</v>
      </c>
      <c r="C191" s="2" t="s">
        <v>750</v>
      </c>
      <c r="D191" s="2"/>
      <c r="E191" s="2" t="s">
        <v>492</v>
      </c>
      <c r="F191" s="2"/>
      <c r="G191" s="2" t="s">
        <v>368</v>
      </c>
      <c r="H191" s="2"/>
      <c r="I191" s="2" t="s">
        <v>569</v>
      </c>
      <c r="J191" s="2" t="s">
        <v>145</v>
      </c>
      <c r="K191" s="2" t="s">
        <v>137</v>
      </c>
      <c r="L191" s="2" t="s">
        <v>137</v>
      </c>
      <c r="M191" s="2" t="s">
        <v>751</v>
      </c>
      <c r="N191" s="2" t="s">
        <v>369</v>
      </c>
      <c r="O191" s="2" t="s">
        <v>153</v>
      </c>
    </row>
    <row r="192" customFormat="false" ht="15" hidden="false" customHeight="false" outlineLevel="0" collapsed="false">
      <c r="A192" s="2" t="s">
        <v>1116</v>
      </c>
      <c r="B192" s="2" t="s">
        <v>1117</v>
      </c>
      <c r="C192" s="2" t="s">
        <v>754</v>
      </c>
      <c r="D192" s="2"/>
      <c r="E192" s="2" t="s">
        <v>492</v>
      </c>
      <c r="F192" s="2"/>
      <c r="G192" s="2" t="s">
        <v>368</v>
      </c>
      <c r="H192" s="2"/>
      <c r="I192" s="2" t="s">
        <v>569</v>
      </c>
      <c r="J192" s="2" t="s">
        <v>145</v>
      </c>
      <c r="K192" s="2" t="s">
        <v>137</v>
      </c>
      <c r="L192" s="2" t="s">
        <v>137</v>
      </c>
      <c r="M192" s="2" t="s">
        <v>755</v>
      </c>
      <c r="N192" s="2" t="s">
        <v>369</v>
      </c>
      <c r="O192" s="2" t="s">
        <v>153</v>
      </c>
    </row>
    <row r="193" customFormat="false" ht="15" hidden="false" customHeight="false" outlineLevel="0" collapsed="false">
      <c r="A193" s="2" t="s">
        <v>1116</v>
      </c>
      <c r="B193" s="2" t="s">
        <v>1117</v>
      </c>
      <c r="C193" s="2" t="s">
        <v>762</v>
      </c>
      <c r="D193" s="2"/>
      <c r="E193" s="2" t="s">
        <v>492</v>
      </c>
      <c r="F193" s="2"/>
      <c r="G193" s="2" t="s">
        <v>368</v>
      </c>
      <c r="H193" s="2"/>
      <c r="I193" s="2" t="s">
        <v>569</v>
      </c>
      <c r="J193" s="2" t="s">
        <v>145</v>
      </c>
      <c r="K193" s="2" t="s">
        <v>137</v>
      </c>
      <c r="L193" s="2" t="s">
        <v>137</v>
      </c>
      <c r="M193" s="2" t="s">
        <v>763</v>
      </c>
      <c r="N193" s="2" t="s">
        <v>369</v>
      </c>
      <c r="O193" s="2" t="s">
        <v>153</v>
      </c>
    </row>
    <row r="194" customFormat="false" ht="15" hidden="false" customHeight="false" outlineLevel="0" collapsed="false">
      <c r="A194" s="2" t="s">
        <v>1116</v>
      </c>
      <c r="B194" s="2" t="s">
        <v>1117</v>
      </c>
      <c r="C194" s="2" t="s">
        <v>764</v>
      </c>
      <c r="D194" s="2"/>
      <c r="E194" s="2" t="s">
        <v>492</v>
      </c>
      <c r="F194" s="2"/>
      <c r="G194" s="2" t="s">
        <v>368</v>
      </c>
      <c r="H194" s="2"/>
      <c r="I194" s="2" t="s">
        <v>569</v>
      </c>
      <c r="J194" s="2" t="s">
        <v>145</v>
      </c>
      <c r="K194" s="2" t="s">
        <v>137</v>
      </c>
      <c r="L194" s="2" t="s">
        <v>137</v>
      </c>
      <c r="M194" s="2" t="s">
        <v>765</v>
      </c>
      <c r="N194" s="2" t="s">
        <v>369</v>
      </c>
      <c r="O194" s="2" t="s">
        <v>153</v>
      </c>
    </row>
    <row r="195" customFormat="false" ht="15" hidden="false" customHeight="false" outlineLevel="0" collapsed="false">
      <c r="A195" s="2" t="s">
        <v>1116</v>
      </c>
      <c r="B195" s="2" t="s">
        <v>1117</v>
      </c>
      <c r="C195" s="2" t="s">
        <v>768</v>
      </c>
      <c r="D195" s="2"/>
      <c r="E195" s="2" t="s">
        <v>492</v>
      </c>
      <c r="F195" s="2"/>
      <c r="G195" s="2" t="s">
        <v>368</v>
      </c>
      <c r="H195" s="2"/>
      <c r="I195" s="2" t="s">
        <v>569</v>
      </c>
      <c r="J195" s="2" t="s">
        <v>145</v>
      </c>
      <c r="K195" s="2" t="s">
        <v>137</v>
      </c>
      <c r="L195" s="2" t="s">
        <v>137</v>
      </c>
      <c r="M195" s="2" t="s">
        <v>769</v>
      </c>
      <c r="N195" s="2" t="s">
        <v>369</v>
      </c>
      <c r="O195" s="2" t="s">
        <v>153</v>
      </c>
    </row>
    <row r="196" customFormat="false" ht="15" hidden="false" customHeight="false" outlineLevel="0" collapsed="false">
      <c r="A196" s="2" t="s">
        <v>1116</v>
      </c>
      <c r="B196" s="2" t="s">
        <v>1117</v>
      </c>
      <c r="C196" s="2" t="s">
        <v>772</v>
      </c>
      <c r="D196" s="2"/>
      <c r="E196" s="2" t="s">
        <v>492</v>
      </c>
      <c r="F196" s="2"/>
      <c r="G196" s="2" t="s">
        <v>368</v>
      </c>
      <c r="H196" s="2"/>
      <c r="I196" s="2" t="s">
        <v>569</v>
      </c>
      <c r="J196" s="2" t="s">
        <v>145</v>
      </c>
      <c r="K196" s="2" t="s">
        <v>137</v>
      </c>
      <c r="L196" s="2" t="s">
        <v>137</v>
      </c>
      <c r="M196" s="2" t="s">
        <v>773</v>
      </c>
      <c r="N196" s="2" t="s">
        <v>369</v>
      </c>
      <c r="O196" s="2" t="s">
        <v>153</v>
      </c>
    </row>
    <row r="197" customFormat="false" ht="15" hidden="false" customHeight="false" outlineLevel="0" collapsed="false">
      <c r="A197" s="2" t="s">
        <v>1116</v>
      </c>
      <c r="B197" s="2" t="s">
        <v>1117</v>
      </c>
      <c r="C197" s="2" t="s">
        <v>774</v>
      </c>
      <c r="D197" s="2"/>
      <c r="E197" s="2" t="s">
        <v>492</v>
      </c>
      <c r="F197" s="2"/>
      <c r="G197" s="2" t="s">
        <v>368</v>
      </c>
      <c r="H197" s="2"/>
      <c r="I197" s="2" t="s">
        <v>569</v>
      </c>
      <c r="J197" s="2" t="s">
        <v>145</v>
      </c>
      <c r="K197" s="2" t="s">
        <v>137</v>
      </c>
      <c r="L197" s="2" t="s">
        <v>137</v>
      </c>
      <c r="M197" s="2" t="s">
        <v>775</v>
      </c>
      <c r="N197" s="2" t="s">
        <v>369</v>
      </c>
      <c r="O197" s="2" t="s">
        <v>153</v>
      </c>
    </row>
    <row r="198" customFormat="false" ht="15" hidden="false" customHeight="false" outlineLevel="0" collapsed="false">
      <c r="A198" s="2" t="s">
        <v>1116</v>
      </c>
      <c r="B198" s="2" t="s">
        <v>1117</v>
      </c>
      <c r="C198" s="2" t="s">
        <v>778</v>
      </c>
      <c r="D198" s="2"/>
      <c r="E198" s="2" t="s">
        <v>492</v>
      </c>
      <c r="F198" s="2"/>
      <c r="G198" s="2" t="s">
        <v>368</v>
      </c>
      <c r="H198" s="2"/>
      <c r="I198" s="2" t="s">
        <v>569</v>
      </c>
      <c r="J198" s="2" t="s">
        <v>145</v>
      </c>
      <c r="K198" s="2" t="s">
        <v>137</v>
      </c>
      <c r="L198" s="2" t="s">
        <v>137</v>
      </c>
      <c r="M198" s="2" t="s">
        <v>779</v>
      </c>
      <c r="N198" s="2" t="s">
        <v>369</v>
      </c>
      <c r="O198" s="2" t="s">
        <v>153</v>
      </c>
    </row>
    <row r="199" customFormat="false" ht="15" hidden="false" customHeight="false" outlineLevel="0" collapsed="false">
      <c r="A199" s="2" t="s">
        <v>1116</v>
      </c>
      <c r="B199" s="2" t="s">
        <v>1117</v>
      </c>
      <c r="C199" s="2" t="s">
        <v>782</v>
      </c>
      <c r="D199" s="2"/>
      <c r="E199" s="2" t="s">
        <v>492</v>
      </c>
      <c r="F199" s="2"/>
      <c r="G199" s="2" t="s">
        <v>368</v>
      </c>
      <c r="H199" s="2"/>
      <c r="I199" s="2" t="s">
        <v>569</v>
      </c>
      <c r="J199" s="2" t="s">
        <v>145</v>
      </c>
      <c r="K199" s="2" t="s">
        <v>137</v>
      </c>
      <c r="L199" s="2" t="s">
        <v>137</v>
      </c>
      <c r="M199" s="2" t="s">
        <v>783</v>
      </c>
      <c r="N199" s="2" t="s">
        <v>369</v>
      </c>
      <c r="O199" s="2" t="s">
        <v>153</v>
      </c>
    </row>
    <row r="200" customFormat="false" ht="15" hidden="false" customHeight="false" outlineLevel="0" collapsed="false">
      <c r="A200" s="2" t="s">
        <v>1116</v>
      </c>
      <c r="B200" s="2" t="s">
        <v>1117</v>
      </c>
      <c r="C200" s="2" t="s">
        <v>784</v>
      </c>
      <c r="D200" s="2"/>
      <c r="E200" s="2" t="s">
        <v>492</v>
      </c>
      <c r="F200" s="2"/>
      <c r="G200" s="2" t="s">
        <v>368</v>
      </c>
      <c r="H200" s="2"/>
      <c r="I200" s="2" t="s">
        <v>569</v>
      </c>
      <c r="J200" s="2" t="s">
        <v>145</v>
      </c>
      <c r="K200" s="2" t="s">
        <v>137</v>
      </c>
      <c r="L200" s="2" t="s">
        <v>137</v>
      </c>
      <c r="M200" s="2" t="s">
        <v>785</v>
      </c>
      <c r="N200" s="2" t="s">
        <v>369</v>
      </c>
      <c r="O200" s="2" t="s">
        <v>153</v>
      </c>
    </row>
    <row r="201" customFormat="false" ht="15" hidden="false" customHeight="false" outlineLevel="0" collapsed="false">
      <c r="A201" s="2" t="s">
        <v>1116</v>
      </c>
      <c r="B201" s="2" t="s">
        <v>1117</v>
      </c>
      <c r="C201" s="2" t="s">
        <v>790</v>
      </c>
      <c r="D201" s="2"/>
      <c r="E201" s="2" t="s">
        <v>492</v>
      </c>
      <c r="F201" s="2"/>
      <c r="G201" s="2" t="s">
        <v>368</v>
      </c>
      <c r="H201" s="2"/>
      <c r="I201" s="2" t="s">
        <v>569</v>
      </c>
      <c r="J201" s="2" t="s">
        <v>145</v>
      </c>
      <c r="K201" s="2" t="s">
        <v>137</v>
      </c>
      <c r="L201" s="2" t="s">
        <v>137</v>
      </c>
      <c r="M201" s="2" t="s">
        <v>791</v>
      </c>
      <c r="N201" s="2" t="s">
        <v>369</v>
      </c>
      <c r="O201" s="2" t="s">
        <v>153</v>
      </c>
    </row>
    <row r="202" customFormat="false" ht="15" hidden="false" customHeight="false" outlineLevel="0" collapsed="false">
      <c r="A202" s="2" t="s">
        <v>1116</v>
      </c>
      <c r="B202" s="2" t="s">
        <v>1117</v>
      </c>
      <c r="C202" s="2" t="s">
        <v>794</v>
      </c>
      <c r="D202" s="2"/>
      <c r="E202" s="2" t="s">
        <v>492</v>
      </c>
      <c r="F202" s="2"/>
      <c r="G202" s="2" t="s">
        <v>368</v>
      </c>
      <c r="H202" s="2"/>
      <c r="I202" s="2" t="s">
        <v>569</v>
      </c>
      <c r="J202" s="2" t="s">
        <v>145</v>
      </c>
      <c r="K202" s="2" t="s">
        <v>137</v>
      </c>
      <c r="L202" s="2" t="s">
        <v>137</v>
      </c>
      <c r="M202" s="2" t="s">
        <v>795</v>
      </c>
      <c r="N202" s="2" t="s">
        <v>369</v>
      </c>
      <c r="O202" s="2" t="s">
        <v>153</v>
      </c>
    </row>
    <row r="203" customFormat="false" ht="15" hidden="false" customHeight="false" outlineLevel="0" collapsed="false">
      <c r="A203" s="2" t="s">
        <v>1116</v>
      </c>
      <c r="B203" s="2" t="s">
        <v>1117</v>
      </c>
      <c r="C203" s="2" t="s">
        <v>798</v>
      </c>
      <c r="D203" s="2"/>
      <c r="E203" s="2" t="s">
        <v>492</v>
      </c>
      <c r="F203" s="2"/>
      <c r="G203" s="2" t="s">
        <v>368</v>
      </c>
      <c r="H203" s="2"/>
      <c r="I203" s="2" t="s">
        <v>569</v>
      </c>
      <c r="J203" s="2" t="s">
        <v>145</v>
      </c>
      <c r="K203" s="2" t="s">
        <v>137</v>
      </c>
      <c r="L203" s="2" t="s">
        <v>137</v>
      </c>
      <c r="M203" s="2" t="s">
        <v>799</v>
      </c>
      <c r="N203" s="2" t="s">
        <v>369</v>
      </c>
      <c r="O203" s="2" t="s">
        <v>153</v>
      </c>
    </row>
    <row r="204" customFormat="false" ht="15" hidden="false" customHeight="false" outlineLevel="0" collapsed="false">
      <c r="A204" s="2" t="s">
        <v>1116</v>
      </c>
      <c r="B204" s="2" t="s">
        <v>1117</v>
      </c>
      <c r="C204" s="2" t="s">
        <v>800</v>
      </c>
      <c r="D204" s="2"/>
      <c r="E204" s="2" t="s">
        <v>492</v>
      </c>
      <c r="F204" s="2"/>
      <c r="G204" s="2" t="s">
        <v>368</v>
      </c>
      <c r="H204" s="2"/>
      <c r="I204" s="2" t="s">
        <v>569</v>
      </c>
      <c r="J204" s="2" t="s">
        <v>145</v>
      </c>
      <c r="K204" s="2" t="s">
        <v>137</v>
      </c>
      <c r="L204" s="2" t="s">
        <v>137</v>
      </c>
      <c r="M204" s="2" t="s">
        <v>801</v>
      </c>
      <c r="N204" s="2" t="s">
        <v>369</v>
      </c>
      <c r="O204" s="2" t="s">
        <v>153</v>
      </c>
    </row>
    <row r="205" customFormat="false" ht="15" hidden="false" customHeight="false" outlineLevel="0" collapsed="false">
      <c r="A205" s="2" t="s">
        <v>1116</v>
      </c>
      <c r="B205" s="2" t="s">
        <v>1117</v>
      </c>
      <c r="C205" s="2" t="s">
        <v>802</v>
      </c>
      <c r="D205" s="2"/>
      <c r="E205" s="2" t="s">
        <v>492</v>
      </c>
      <c r="F205" s="2"/>
      <c r="G205" s="2" t="s">
        <v>368</v>
      </c>
      <c r="H205" s="2"/>
      <c r="I205" s="2" t="s">
        <v>569</v>
      </c>
      <c r="J205" s="2" t="s">
        <v>145</v>
      </c>
      <c r="K205" s="2" t="s">
        <v>137</v>
      </c>
      <c r="L205" s="2" t="s">
        <v>137</v>
      </c>
      <c r="M205" s="2" t="s">
        <v>803</v>
      </c>
      <c r="N205" s="2" t="s">
        <v>369</v>
      </c>
      <c r="O205" s="2" t="s">
        <v>153</v>
      </c>
    </row>
    <row r="206" customFormat="false" ht="15" hidden="false" customHeight="false" outlineLevel="0" collapsed="false">
      <c r="A206" s="2" t="s">
        <v>1116</v>
      </c>
      <c r="B206" s="2" t="s">
        <v>1117</v>
      </c>
      <c r="C206" s="2" t="s">
        <v>804</v>
      </c>
      <c r="D206" s="2"/>
      <c r="E206" s="2" t="s">
        <v>492</v>
      </c>
      <c r="F206" s="2"/>
      <c r="G206" s="2" t="s">
        <v>368</v>
      </c>
      <c r="H206" s="2"/>
      <c r="I206" s="2" t="s">
        <v>569</v>
      </c>
      <c r="J206" s="2" t="s">
        <v>145</v>
      </c>
      <c r="K206" s="2" t="s">
        <v>137</v>
      </c>
      <c r="L206" s="2" t="s">
        <v>137</v>
      </c>
      <c r="M206" s="2" t="s">
        <v>805</v>
      </c>
      <c r="N206" s="2" t="s">
        <v>369</v>
      </c>
      <c r="O206" s="2" t="s">
        <v>153</v>
      </c>
    </row>
    <row r="207" customFormat="false" ht="15" hidden="false" customHeight="false" outlineLevel="0" collapsed="false">
      <c r="A207" s="2" t="s">
        <v>1116</v>
      </c>
      <c r="B207" s="2" t="s">
        <v>1117</v>
      </c>
      <c r="C207" s="2" t="s">
        <v>812</v>
      </c>
      <c r="D207" s="2"/>
      <c r="E207" s="2" t="s">
        <v>492</v>
      </c>
      <c r="F207" s="2"/>
      <c r="G207" s="2" t="s">
        <v>368</v>
      </c>
      <c r="H207" s="2"/>
      <c r="I207" s="2" t="s">
        <v>569</v>
      </c>
      <c r="J207" s="2" t="s">
        <v>145</v>
      </c>
      <c r="K207" s="2" t="s">
        <v>137</v>
      </c>
      <c r="L207" s="2" t="s">
        <v>137</v>
      </c>
      <c r="M207" s="2" t="s">
        <v>813</v>
      </c>
      <c r="N207" s="2" t="s">
        <v>369</v>
      </c>
      <c r="O207" s="2" t="s">
        <v>153</v>
      </c>
    </row>
    <row r="208" customFormat="false" ht="15" hidden="false" customHeight="false" outlineLevel="0" collapsed="false">
      <c r="A208" s="2" t="s">
        <v>1116</v>
      </c>
      <c r="B208" s="2" t="s">
        <v>1117</v>
      </c>
      <c r="C208" s="2" t="s">
        <v>814</v>
      </c>
      <c r="D208" s="2"/>
      <c r="E208" s="2" t="s">
        <v>492</v>
      </c>
      <c r="F208" s="2"/>
      <c r="G208" s="2" t="s">
        <v>368</v>
      </c>
      <c r="H208" s="2"/>
      <c r="I208" s="2" t="s">
        <v>569</v>
      </c>
      <c r="J208" s="2" t="s">
        <v>145</v>
      </c>
      <c r="K208" s="2" t="s">
        <v>137</v>
      </c>
      <c r="L208" s="2" t="s">
        <v>137</v>
      </c>
      <c r="M208" s="2" t="s">
        <v>815</v>
      </c>
      <c r="N208" s="2" t="s">
        <v>369</v>
      </c>
      <c r="O208" s="2" t="s">
        <v>153</v>
      </c>
    </row>
    <row r="209" customFormat="false" ht="15" hidden="false" customHeight="false" outlineLevel="0" collapsed="false">
      <c r="A209" s="2" t="s">
        <v>1116</v>
      </c>
      <c r="B209" s="2" t="s">
        <v>1117</v>
      </c>
      <c r="C209" s="2" t="s">
        <v>818</v>
      </c>
      <c r="D209" s="2"/>
      <c r="E209" s="2" t="s">
        <v>492</v>
      </c>
      <c r="F209" s="2"/>
      <c r="G209" s="2" t="s">
        <v>368</v>
      </c>
      <c r="H209" s="2"/>
      <c r="I209" s="2" t="s">
        <v>569</v>
      </c>
      <c r="J209" s="2" t="s">
        <v>145</v>
      </c>
      <c r="K209" s="2" t="s">
        <v>137</v>
      </c>
      <c r="L209" s="2" t="s">
        <v>137</v>
      </c>
      <c r="M209" s="2" t="s">
        <v>819</v>
      </c>
      <c r="N209" s="2" t="s">
        <v>369</v>
      </c>
      <c r="O209" s="2" t="s">
        <v>153</v>
      </c>
    </row>
    <row r="210" customFormat="false" ht="15" hidden="false" customHeight="false" outlineLevel="0" collapsed="false">
      <c r="A210" s="2" t="s">
        <v>1116</v>
      </c>
      <c r="B210" s="2" t="s">
        <v>1117</v>
      </c>
      <c r="C210" s="2" t="s">
        <v>822</v>
      </c>
      <c r="D210" s="2"/>
      <c r="E210" s="2" t="s">
        <v>492</v>
      </c>
      <c r="F210" s="2"/>
      <c r="G210" s="2" t="s">
        <v>368</v>
      </c>
      <c r="H210" s="2"/>
      <c r="I210" s="2" t="s">
        <v>569</v>
      </c>
      <c r="J210" s="2" t="s">
        <v>145</v>
      </c>
      <c r="K210" s="2" t="s">
        <v>137</v>
      </c>
      <c r="L210" s="2" t="s">
        <v>137</v>
      </c>
      <c r="M210" s="2" t="s">
        <v>823</v>
      </c>
      <c r="N210" s="2" t="s">
        <v>369</v>
      </c>
      <c r="O210" s="2" t="s">
        <v>153</v>
      </c>
    </row>
    <row r="211" customFormat="false" ht="15" hidden="false" customHeight="false" outlineLevel="0" collapsed="false">
      <c r="A211" s="2" t="s">
        <v>1116</v>
      </c>
      <c r="B211" s="2" t="s">
        <v>1117</v>
      </c>
      <c r="C211" s="2" t="s">
        <v>826</v>
      </c>
      <c r="D211" s="2"/>
      <c r="E211" s="2" t="s">
        <v>492</v>
      </c>
      <c r="F211" s="2"/>
      <c r="G211" s="2" t="s">
        <v>368</v>
      </c>
      <c r="H211" s="2"/>
      <c r="I211" s="2" t="s">
        <v>569</v>
      </c>
      <c r="J211" s="2" t="s">
        <v>145</v>
      </c>
      <c r="K211" s="2" t="s">
        <v>137</v>
      </c>
      <c r="L211" s="2" t="s">
        <v>137</v>
      </c>
      <c r="M211" s="2" t="s">
        <v>827</v>
      </c>
      <c r="N211" s="2" t="s">
        <v>369</v>
      </c>
      <c r="O211" s="2" t="s">
        <v>153</v>
      </c>
    </row>
    <row r="212" customFormat="false" ht="15" hidden="false" customHeight="false" outlineLevel="0" collapsed="false">
      <c r="A212" s="2" t="s">
        <v>1116</v>
      </c>
      <c r="B212" s="2" t="s">
        <v>1117</v>
      </c>
      <c r="C212" s="2" t="s">
        <v>828</v>
      </c>
      <c r="D212" s="2"/>
      <c r="E212" s="2" t="s">
        <v>492</v>
      </c>
      <c r="F212" s="2"/>
      <c r="G212" s="2" t="s">
        <v>368</v>
      </c>
      <c r="H212" s="2"/>
      <c r="I212" s="2" t="s">
        <v>569</v>
      </c>
      <c r="J212" s="2" t="s">
        <v>145</v>
      </c>
      <c r="K212" s="2" t="s">
        <v>137</v>
      </c>
      <c r="L212" s="2" t="s">
        <v>137</v>
      </c>
      <c r="M212" s="2" t="s">
        <v>829</v>
      </c>
      <c r="N212" s="2" t="s">
        <v>369</v>
      </c>
      <c r="O212" s="2" t="s">
        <v>153</v>
      </c>
    </row>
    <row r="213" customFormat="false" ht="15" hidden="false" customHeight="false" outlineLevel="0" collapsed="false">
      <c r="A213" s="2" t="s">
        <v>1116</v>
      </c>
      <c r="B213" s="2" t="s">
        <v>1117</v>
      </c>
      <c r="C213" s="2" t="s">
        <v>830</v>
      </c>
      <c r="D213" s="2"/>
      <c r="E213" s="2" t="s">
        <v>492</v>
      </c>
      <c r="F213" s="2"/>
      <c r="G213" s="2" t="s">
        <v>368</v>
      </c>
      <c r="H213" s="2"/>
      <c r="I213" s="2" t="s">
        <v>569</v>
      </c>
      <c r="J213" s="2" t="s">
        <v>145</v>
      </c>
      <c r="K213" s="2" t="s">
        <v>137</v>
      </c>
      <c r="L213" s="2" t="s">
        <v>137</v>
      </c>
      <c r="M213" s="2" t="s">
        <v>831</v>
      </c>
      <c r="N213" s="2" t="s">
        <v>369</v>
      </c>
      <c r="O213" s="2" t="s">
        <v>153</v>
      </c>
    </row>
    <row r="214" customFormat="false" ht="15" hidden="false" customHeight="false" outlineLevel="0" collapsed="false">
      <c r="A214" s="2" t="s">
        <v>1116</v>
      </c>
      <c r="B214" s="2" t="s">
        <v>1117</v>
      </c>
      <c r="C214" s="2" t="s">
        <v>832</v>
      </c>
      <c r="D214" s="2"/>
      <c r="E214" s="2" t="s">
        <v>492</v>
      </c>
      <c r="F214" s="2"/>
      <c r="G214" s="2" t="s">
        <v>368</v>
      </c>
      <c r="H214" s="2"/>
      <c r="I214" s="2" t="s">
        <v>569</v>
      </c>
      <c r="J214" s="2" t="s">
        <v>145</v>
      </c>
      <c r="K214" s="2" t="s">
        <v>137</v>
      </c>
      <c r="L214" s="2" t="s">
        <v>137</v>
      </c>
      <c r="M214" s="2" t="s">
        <v>833</v>
      </c>
      <c r="N214" s="2" t="s">
        <v>369</v>
      </c>
      <c r="O214" s="2" t="s">
        <v>153</v>
      </c>
    </row>
    <row r="215" customFormat="false" ht="15" hidden="false" customHeight="false" outlineLevel="0" collapsed="false">
      <c r="A215" s="2" t="s">
        <v>1116</v>
      </c>
      <c r="B215" s="2" t="s">
        <v>1117</v>
      </c>
      <c r="C215" s="2" t="s">
        <v>566</v>
      </c>
      <c r="D215" s="2"/>
      <c r="E215" s="2" t="s">
        <v>542</v>
      </c>
      <c r="F215" s="2"/>
      <c r="G215" s="2" t="s">
        <v>368</v>
      </c>
      <c r="H215" s="2"/>
      <c r="I215" s="2" t="s">
        <v>451</v>
      </c>
      <c r="J215" s="2" t="s">
        <v>145</v>
      </c>
      <c r="K215" s="2" t="s">
        <v>137</v>
      </c>
      <c r="L215" s="2" t="s">
        <v>137</v>
      </c>
      <c r="M215" s="2" t="s">
        <v>567</v>
      </c>
      <c r="N215" s="2" t="s">
        <v>369</v>
      </c>
      <c r="O215" s="2" t="s">
        <v>153</v>
      </c>
    </row>
    <row r="216" customFormat="false" ht="15" hidden="false" customHeight="false" outlineLevel="0" collapsed="false">
      <c r="A216" s="2" t="s">
        <v>1116</v>
      </c>
      <c r="B216" s="2" t="s">
        <v>1117</v>
      </c>
      <c r="C216" s="2" t="s">
        <v>834</v>
      </c>
      <c r="D216" s="2"/>
      <c r="E216" s="2" t="s">
        <v>492</v>
      </c>
      <c r="F216" s="2"/>
      <c r="G216" s="2" t="s">
        <v>368</v>
      </c>
      <c r="H216" s="2"/>
      <c r="I216" s="2" t="s">
        <v>569</v>
      </c>
      <c r="J216" s="2" t="s">
        <v>145</v>
      </c>
      <c r="K216" s="2" t="s">
        <v>137</v>
      </c>
      <c r="L216" s="2" t="s">
        <v>137</v>
      </c>
      <c r="M216" s="2" t="s">
        <v>835</v>
      </c>
      <c r="N216" s="2" t="s">
        <v>369</v>
      </c>
      <c r="O216" s="2" t="s">
        <v>153</v>
      </c>
    </row>
    <row r="217" customFormat="false" ht="15" hidden="false" customHeight="false" outlineLevel="0" collapsed="false">
      <c r="A217" s="2" t="s">
        <v>1116</v>
      </c>
      <c r="B217" s="2" t="s">
        <v>1117</v>
      </c>
      <c r="C217" s="2" t="s">
        <v>838</v>
      </c>
      <c r="D217" s="2"/>
      <c r="E217" s="2" t="s">
        <v>492</v>
      </c>
      <c r="F217" s="2"/>
      <c r="G217" s="2" t="s">
        <v>368</v>
      </c>
      <c r="H217" s="2"/>
      <c r="I217" s="2" t="s">
        <v>569</v>
      </c>
      <c r="J217" s="2" t="s">
        <v>145</v>
      </c>
      <c r="K217" s="2" t="s">
        <v>137</v>
      </c>
      <c r="L217" s="2" t="s">
        <v>137</v>
      </c>
      <c r="M217" s="2" t="s">
        <v>839</v>
      </c>
      <c r="N217" s="2" t="s">
        <v>369</v>
      </c>
      <c r="O217" s="2" t="s">
        <v>153</v>
      </c>
    </row>
    <row r="218" customFormat="false" ht="15" hidden="false" customHeight="false" outlineLevel="0" collapsed="false">
      <c r="A218" s="2" t="s">
        <v>1116</v>
      </c>
      <c r="B218" s="2" t="s">
        <v>1117</v>
      </c>
      <c r="C218" s="2" t="s">
        <v>842</v>
      </c>
      <c r="D218" s="2"/>
      <c r="E218" s="2" t="s">
        <v>492</v>
      </c>
      <c r="F218" s="2"/>
      <c r="G218" s="2" t="s">
        <v>368</v>
      </c>
      <c r="H218" s="2"/>
      <c r="I218" s="2" t="s">
        <v>569</v>
      </c>
      <c r="J218" s="2" t="s">
        <v>145</v>
      </c>
      <c r="K218" s="2" t="s">
        <v>137</v>
      </c>
      <c r="L218" s="2" t="s">
        <v>137</v>
      </c>
      <c r="M218" s="2" t="s">
        <v>843</v>
      </c>
      <c r="N218" s="2" t="s">
        <v>369</v>
      </c>
      <c r="O218" s="2" t="s">
        <v>153</v>
      </c>
    </row>
    <row r="219" customFormat="false" ht="15" hidden="false" customHeight="false" outlineLevel="0" collapsed="false">
      <c r="A219" s="2" t="s">
        <v>1116</v>
      </c>
      <c r="B219" s="2" t="s">
        <v>1117</v>
      </c>
      <c r="C219" s="2" t="s">
        <v>844</v>
      </c>
      <c r="D219" s="2"/>
      <c r="E219" s="2" t="s">
        <v>492</v>
      </c>
      <c r="F219" s="2"/>
      <c r="G219" s="2" t="s">
        <v>368</v>
      </c>
      <c r="H219" s="2"/>
      <c r="I219" s="2" t="s">
        <v>569</v>
      </c>
      <c r="J219" s="2" t="s">
        <v>145</v>
      </c>
      <c r="K219" s="2" t="s">
        <v>137</v>
      </c>
      <c r="L219" s="2" t="s">
        <v>137</v>
      </c>
      <c r="M219" s="2" t="s">
        <v>845</v>
      </c>
      <c r="N219" s="2" t="s">
        <v>369</v>
      </c>
      <c r="O219" s="2" t="s">
        <v>153</v>
      </c>
    </row>
    <row r="220" customFormat="false" ht="15" hidden="false" customHeight="false" outlineLevel="0" collapsed="false">
      <c r="A220" s="2" t="s">
        <v>1116</v>
      </c>
      <c r="B220" s="2" t="s">
        <v>1117</v>
      </c>
      <c r="C220" s="2" t="s">
        <v>846</v>
      </c>
      <c r="D220" s="2"/>
      <c r="E220" s="2" t="s">
        <v>492</v>
      </c>
      <c r="F220" s="2"/>
      <c r="G220" s="2" t="s">
        <v>368</v>
      </c>
      <c r="H220" s="2"/>
      <c r="I220" s="2" t="s">
        <v>569</v>
      </c>
      <c r="J220" s="2" t="s">
        <v>145</v>
      </c>
      <c r="K220" s="2" t="s">
        <v>137</v>
      </c>
      <c r="L220" s="2" t="s">
        <v>137</v>
      </c>
      <c r="M220" s="2" t="s">
        <v>847</v>
      </c>
      <c r="N220" s="2" t="s">
        <v>369</v>
      </c>
      <c r="O220" s="2" t="s">
        <v>153</v>
      </c>
    </row>
    <row r="221" customFormat="false" ht="15" hidden="false" customHeight="false" outlineLevel="0" collapsed="false">
      <c r="A221" s="2" t="s">
        <v>1116</v>
      </c>
      <c r="B221" s="2" t="s">
        <v>1117</v>
      </c>
      <c r="C221" s="2" t="s">
        <v>848</v>
      </c>
      <c r="D221" s="2"/>
      <c r="E221" s="2" t="s">
        <v>492</v>
      </c>
      <c r="F221" s="2"/>
      <c r="G221" s="2" t="s">
        <v>368</v>
      </c>
      <c r="H221" s="2"/>
      <c r="I221" s="2" t="s">
        <v>569</v>
      </c>
      <c r="J221" s="2" t="s">
        <v>145</v>
      </c>
      <c r="K221" s="2" t="s">
        <v>137</v>
      </c>
      <c r="L221" s="2" t="s">
        <v>137</v>
      </c>
      <c r="M221" s="2" t="s">
        <v>849</v>
      </c>
      <c r="N221" s="2" t="s">
        <v>369</v>
      </c>
      <c r="O221" s="2" t="s">
        <v>153</v>
      </c>
    </row>
    <row r="222" customFormat="false" ht="15" hidden="false" customHeight="false" outlineLevel="0" collapsed="false">
      <c r="A222" s="2" t="s">
        <v>1116</v>
      </c>
      <c r="B222" s="2" t="s">
        <v>1117</v>
      </c>
      <c r="C222" s="2" t="s">
        <v>858</v>
      </c>
      <c r="D222" s="2"/>
      <c r="E222" s="2" t="s">
        <v>492</v>
      </c>
      <c r="F222" s="2"/>
      <c r="G222" s="2" t="s">
        <v>368</v>
      </c>
      <c r="H222" s="2"/>
      <c r="I222" s="2" t="s">
        <v>569</v>
      </c>
      <c r="J222" s="2" t="s">
        <v>145</v>
      </c>
      <c r="K222" s="2" t="s">
        <v>137</v>
      </c>
      <c r="L222" s="2" t="s">
        <v>137</v>
      </c>
      <c r="M222" s="2" t="s">
        <v>859</v>
      </c>
      <c r="N222" s="2" t="s">
        <v>369</v>
      </c>
      <c r="O222" s="2" t="s">
        <v>153</v>
      </c>
    </row>
    <row r="223" customFormat="false" ht="15" hidden="false" customHeight="false" outlineLevel="0" collapsed="false">
      <c r="A223" s="2" t="s">
        <v>1116</v>
      </c>
      <c r="B223" s="2" t="s">
        <v>1117</v>
      </c>
      <c r="C223" s="2" t="s">
        <v>862</v>
      </c>
      <c r="D223" s="2"/>
      <c r="E223" s="2" t="s">
        <v>492</v>
      </c>
      <c r="F223" s="2"/>
      <c r="G223" s="2" t="s">
        <v>368</v>
      </c>
      <c r="H223" s="2"/>
      <c r="I223" s="2" t="s">
        <v>569</v>
      </c>
      <c r="J223" s="2" t="s">
        <v>145</v>
      </c>
      <c r="K223" s="2" t="s">
        <v>137</v>
      </c>
      <c r="L223" s="2" t="s">
        <v>137</v>
      </c>
      <c r="M223" s="2" t="s">
        <v>863</v>
      </c>
      <c r="N223" s="2" t="s">
        <v>369</v>
      </c>
      <c r="O223" s="2" t="s">
        <v>153</v>
      </c>
    </row>
    <row r="224" customFormat="false" ht="15" hidden="false" customHeight="false" outlineLevel="0" collapsed="false">
      <c r="A224" s="2" t="s">
        <v>1116</v>
      </c>
      <c r="B224" s="2" t="s">
        <v>1117</v>
      </c>
      <c r="C224" s="2" t="s">
        <v>864</v>
      </c>
      <c r="D224" s="2"/>
      <c r="E224" s="2" t="s">
        <v>492</v>
      </c>
      <c r="F224" s="2"/>
      <c r="G224" s="2" t="s">
        <v>368</v>
      </c>
      <c r="H224" s="2"/>
      <c r="I224" s="2" t="s">
        <v>569</v>
      </c>
      <c r="J224" s="2" t="s">
        <v>145</v>
      </c>
      <c r="K224" s="2" t="s">
        <v>137</v>
      </c>
      <c r="L224" s="2" t="s">
        <v>137</v>
      </c>
      <c r="M224" s="2" t="s">
        <v>865</v>
      </c>
      <c r="N224" s="2" t="s">
        <v>369</v>
      </c>
      <c r="O224" s="2" t="s">
        <v>153</v>
      </c>
    </row>
    <row r="225" customFormat="false" ht="15" hidden="false" customHeight="false" outlineLevel="0" collapsed="false">
      <c r="A225" s="2" t="s">
        <v>1116</v>
      </c>
      <c r="B225" s="2" t="s">
        <v>1117</v>
      </c>
      <c r="C225" s="2" t="s">
        <v>866</v>
      </c>
      <c r="D225" s="2"/>
      <c r="E225" s="2" t="s">
        <v>492</v>
      </c>
      <c r="F225" s="2"/>
      <c r="G225" s="2" t="s">
        <v>368</v>
      </c>
      <c r="H225" s="2"/>
      <c r="I225" s="2" t="s">
        <v>569</v>
      </c>
      <c r="J225" s="2" t="s">
        <v>145</v>
      </c>
      <c r="K225" s="2" t="s">
        <v>137</v>
      </c>
      <c r="L225" s="2" t="s">
        <v>137</v>
      </c>
      <c r="M225" s="2" t="s">
        <v>867</v>
      </c>
      <c r="N225" s="2" t="s">
        <v>369</v>
      </c>
      <c r="O225" s="2" t="s">
        <v>153</v>
      </c>
    </row>
    <row r="226" customFormat="false" ht="15" hidden="false" customHeight="false" outlineLevel="0" collapsed="false">
      <c r="A226" s="2" t="s">
        <v>1116</v>
      </c>
      <c r="B226" s="2" t="s">
        <v>1117</v>
      </c>
      <c r="C226" s="2" t="s">
        <v>870</v>
      </c>
      <c r="D226" s="2"/>
      <c r="E226" s="2" t="s">
        <v>492</v>
      </c>
      <c r="F226" s="2"/>
      <c r="G226" s="2" t="s">
        <v>368</v>
      </c>
      <c r="H226" s="2"/>
      <c r="I226" s="2" t="s">
        <v>569</v>
      </c>
      <c r="J226" s="2" t="s">
        <v>145</v>
      </c>
      <c r="K226" s="2" t="s">
        <v>137</v>
      </c>
      <c r="L226" s="2" t="s">
        <v>137</v>
      </c>
      <c r="M226" s="2" t="s">
        <v>871</v>
      </c>
      <c r="N226" s="2" t="s">
        <v>369</v>
      </c>
      <c r="O226" s="2" t="s">
        <v>153</v>
      </c>
    </row>
    <row r="227" customFormat="false" ht="15" hidden="false" customHeight="false" outlineLevel="0" collapsed="false">
      <c r="A227" s="2" t="s">
        <v>1116</v>
      </c>
      <c r="B227" s="2" t="s">
        <v>1117</v>
      </c>
      <c r="C227" s="2" t="s">
        <v>874</v>
      </c>
      <c r="D227" s="2"/>
      <c r="E227" s="2" t="s">
        <v>492</v>
      </c>
      <c r="F227" s="2"/>
      <c r="G227" s="2" t="s">
        <v>368</v>
      </c>
      <c r="H227" s="2"/>
      <c r="I227" s="2" t="s">
        <v>569</v>
      </c>
      <c r="J227" s="2" t="s">
        <v>145</v>
      </c>
      <c r="K227" s="2" t="s">
        <v>137</v>
      </c>
      <c r="L227" s="2" t="s">
        <v>137</v>
      </c>
      <c r="M227" s="2" t="s">
        <v>875</v>
      </c>
      <c r="N227" s="2" t="s">
        <v>369</v>
      </c>
      <c r="O227" s="2" t="s">
        <v>153</v>
      </c>
    </row>
    <row r="228" customFormat="false" ht="15" hidden="false" customHeight="false" outlineLevel="0" collapsed="false">
      <c r="A228" s="2" t="s">
        <v>1116</v>
      </c>
      <c r="B228" s="2" t="s">
        <v>1117</v>
      </c>
      <c r="C228" s="2" t="s">
        <v>878</v>
      </c>
      <c r="D228" s="2"/>
      <c r="E228" s="2" t="s">
        <v>492</v>
      </c>
      <c r="F228" s="2"/>
      <c r="G228" s="2" t="s">
        <v>368</v>
      </c>
      <c r="H228" s="2"/>
      <c r="I228" s="2" t="s">
        <v>569</v>
      </c>
      <c r="J228" s="2" t="s">
        <v>145</v>
      </c>
      <c r="K228" s="2" t="s">
        <v>137</v>
      </c>
      <c r="L228" s="2" t="s">
        <v>137</v>
      </c>
      <c r="M228" s="2" t="s">
        <v>879</v>
      </c>
      <c r="N228" s="2" t="s">
        <v>369</v>
      </c>
      <c r="O228" s="2" t="s">
        <v>153</v>
      </c>
    </row>
    <row r="229" customFormat="false" ht="15" hidden="false" customHeight="false" outlineLevel="0" collapsed="false">
      <c r="A229" s="2" t="s">
        <v>1116</v>
      </c>
      <c r="B229" s="2" t="s">
        <v>1117</v>
      </c>
      <c r="C229" s="2" t="s">
        <v>886</v>
      </c>
      <c r="D229" s="2"/>
      <c r="E229" s="2" t="s">
        <v>492</v>
      </c>
      <c r="F229" s="2"/>
      <c r="G229" s="2" t="s">
        <v>368</v>
      </c>
      <c r="H229" s="2"/>
      <c r="I229" s="2" t="s">
        <v>569</v>
      </c>
      <c r="J229" s="2" t="s">
        <v>145</v>
      </c>
      <c r="K229" s="2" t="s">
        <v>137</v>
      </c>
      <c r="L229" s="2" t="s">
        <v>137</v>
      </c>
      <c r="M229" s="2" t="s">
        <v>887</v>
      </c>
      <c r="N229" s="2" t="s">
        <v>369</v>
      </c>
      <c r="O229" s="2" t="s">
        <v>153</v>
      </c>
    </row>
    <row r="230" customFormat="false" ht="15" hidden="false" customHeight="false" outlineLevel="0" collapsed="false">
      <c r="A230" s="2" t="s">
        <v>1116</v>
      </c>
      <c r="B230" s="2" t="s">
        <v>1117</v>
      </c>
      <c r="C230" s="2" t="s">
        <v>890</v>
      </c>
      <c r="D230" s="2"/>
      <c r="E230" s="2" t="s">
        <v>492</v>
      </c>
      <c r="F230" s="2"/>
      <c r="G230" s="2" t="s">
        <v>368</v>
      </c>
      <c r="H230" s="2"/>
      <c r="I230" s="2" t="s">
        <v>569</v>
      </c>
      <c r="J230" s="2" t="s">
        <v>145</v>
      </c>
      <c r="K230" s="2" t="s">
        <v>137</v>
      </c>
      <c r="L230" s="2" t="s">
        <v>137</v>
      </c>
      <c r="M230" s="2" t="s">
        <v>891</v>
      </c>
      <c r="N230" s="2" t="s">
        <v>369</v>
      </c>
      <c r="O230" s="2" t="s">
        <v>153</v>
      </c>
    </row>
    <row r="231" customFormat="false" ht="15" hidden="false" customHeight="false" outlineLevel="0" collapsed="false">
      <c r="A231" s="2" t="s">
        <v>1116</v>
      </c>
      <c r="B231" s="2" t="s">
        <v>1117</v>
      </c>
      <c r="C231" s="2" t="s">
        <v>894</v>
      </c>
      <c r="D231" s="2"/>
      <c r="E231" s="2" t="s">
        <v>492</v>
      </c>
      <c r="F231" s="2"/>
      <c r="G231" s="2" t="s">
        <v>368</v>
      </c>
      <c r="H231" s="2"/>
      <c r="I231" s="2" t="s">
        <v>569</v>
      </c>
      <c r="J231" s="2" t="s">
        <v>145</v>
      </c>
      <c r="K231" s="2" t="s">
        <v>137</v>
      </c>
      <c r="L231" s="2" t="s">
        <v>137</v>
      </c>
      <c r="M231" s="2" t="s">
        <v>895</v>
      </c>
      <c r="N231" s="2" t="s">
        <v>369</v>
      </c>
      <c r="O231" s="2" t="s">
        <v>153</v>
      </c>
    </row>
    <row r="232" customFormat="false" ht="15" hidden="false" customHeight="false" outlineLevel="0" collapsed="false">
      <c r="A232" s="2" t="s">
        <v>1116</v>
      </c>
      <c r="B232" s="2" t="s">
        <v>1117</v>
      </c>
      <c r="C232" s="2" t="s">
        <v>896</v>
      </c>
      <c r="D232" s="2"/>
      <c r="E232" s="2" t="s">
        <v>492</v>
      </c>
      <c r="F232" s="2"/>
      <c r="G232" s="2" t="s">
        <v>368</v>
      </c>
      <c r="H232" s="2"/>
      <c r="I232" s="2" t="s">
        <v>569</v>
      </c>
      <c r="J232" s="2" t="s">
        <v>145</v>
      </c>
      <c r="K232" s="2" t="s">
        <v>137</v>
      </c>
      <c r="L232" s="2" t="s">
        <v>137</v>
      </c>
      <c r="M232" s="2" t="s">
        <v>897</v>
      </c>
      <c r="N232" s="2" t="s">
        <v>369</v>
      </c>
      <c r="O232" s="2" t="s">
        <v>153</v>
      </c>
    </row>
    <row r="233" customFormat="false" ht="15" hidden="false" customHeight="false" outlineLevel="0" collapsed="false">
      <c r="A233" s="2" t="s">
        <v>1116</v>
      </c>
      <c r="B233" s="2" t="s">
        <v>1117</v>
      </c>
      <c r="C233" s="2" t="s">
        <v>898</v>
      </c>
      <c r="D233" s="2"/>
      <c r="E233" s="2" t="s">
        <v>492</v>
      </c>
      <c r="F233" s="2"/>
      <c r="G233" s="2" t="s">
        <v>368</v>
      </c>
      <c r="H233" s="2"/>
      <c r="I233" s="2" t="s">
        <v>569</v>
      </c>
      <c r="J233" s="2" t="s">
        <v>145</v>
      </c>
      <c r="K233" s="2" t="s">
        <v>137</v>
      </c>
      <c r="L233" s="2" t="s">
        <v>137</v>
      </c>
      <c r="M233" s="2" t="s">
        <v>899</v>
      </c>
      <c r="N233" s="2" t="s">
        <v>369</v>
      </c>
      <c r="O233" s="2" t="s">
        <v>153</v>
      </c>
    </row>
    <row r="234" customFormat="false" ht="15" hidden="false" customHeight="false" outlineLevel="0" collapsed="false">
      <c r="A234" s="2" t="s">
        <v>1116</v>
      </c>
      <c r="B234" s="2" t="s">
        <v>1117</v>
      </c>
      <c r="C234" s="2" t="s">
        <v>902</v>
      </c>
      <c r="D234" s="2"/>
      <c r="E234" s="2" t="s">
        <v>492</v>
      </c>
      <c r="F234" s="2"/>
      <c r="G234" s="2" t="s">
        <v>368</v>
      </c>
      <c r="H234" s="2"/>
      <c r="I234" s="2" t="s">
        <v>569</v>
      </c>
      <c r="J234" s="2" t="s">
        <v>145</v>
      </c>
      <c r="K234" s="2" t="s">
        <v>137</v>
      </c>
      <c r="L234" s="2" t="s">
        <v>137</v>
      </c>
      <c r="M234" s="2" t="s">
        <v>903</v>
      </c>
      <c r="N234" s="2" t="s">
        <v>369</v>
      </c>
      <c r="O234" s="2" t="s">
        <v>153</v>
      </c>
    </row>
    <row r="235" customFormat="false" ht="15" hidden="false" customHeight="false" outlineLevel="0" collapsed="false">
      <c r="A235" s="2" t="s">
        <v>1116</v>
      </c>
      <c r="B235" s="2" t="s">
        <v>1117</v>
      </c>
      <c r="C235" s="2" t="s">
        <v>904</v>
      </c>
      <c r="D235" s="2"/>
      <c r="E235" s="2" t="s">
        <v>492</v>
      </c>
      <c r="F235" s="2"/>
      <c r="G235" s="2" t="s">
        <v>368</v>
      </c>
      <c r="H235" s="2"/>
      <c r="I235" s="2" t="s">
        <v>569</v>
      </c>
      <c r="J235" s="2" t="s">
        <v>145</v>
      </c>
      <c r="K235" s="2" t="s">
        <v>137</v>
      </c>
      <c r="L235" s="2" t="s">
        <v>137</v>
      </c>
      <c r="M235" s="2" t="s">
        <v>905</v>
      </c>
      <c r="N235" s="2" t="s">
        <v>369</v>
      </c>
      <c r="O235" s="2" t="s">
        <v>153</v>
      </c>
    </row>
    <row r="236" customFormat="false" ht="15" hidden="false" customHeight="false" outlineLevel="0" collapsed="false">
      <c r="A236" s="2" t="s">
        <v>1116</v>
      </c>
      <c r="B236" s="2" t="s">
        <v>1117</v>
      </c>
      <c r="C236" s="2" t="s">
        <v>906</v>
      </c>
      <c r="D236" s="2"/>
      <c r="E236" s="2" t="s">
        <v>492</v>
      </c>
      <c r="F236" s="2"/>
      <c r="G236" s="2" t="s">
        <v>368</v>
      </c>
      <c r="H236" s="2"/>
      <c r="I236" s="2" t="s">
        <v>569</v>
      </c>
      <c r="J236" s="2" t="s">
        <v>145</v>
      </c>
      <c r="K236" s="2" t="s">
        <v>137</v>
      </c>
      <c r="L236" s="2" t="s">
        <v>137</v>
      </c>
      <c r="M236" s="2" t="s">
        <v>907</v>
      </c>
      <c r="N236" s="2" t="s">
        <v>369</v>
      </c>
      <c r="O236" s="2" t="s">
        <v>153</v>
      </c>
    </row>
    <row r="237" customFormat="false" ht="15" hidden="false" customHeight="false" outlineLevel="0" collapsed="false">
      <c r="A237" s="2" t="s">
        <v>1116</v>
      </c>
      <c r="B237" s="2" t="s">
        <v>1117</v>
      </c>
      <c r="C237" s="2" t="s">
        <v>910</v>
      </c>
      <c r="D237" s="2"/>
      <c r="E237" s="2" t="s">
        <v>492</v>
      </c>
      <c r="F237" s="2"/>
      <c r="G237" s="2" t="s">
        <v>368</v>
      </c>
      <c r="H237" s="2"/>
      <c r="I237" s="2" t="s">
        <v>569</v>
      </c>
      <c r="J237" s="2" t="s">
        <v>145</v>
      </c>
      <c r="K237" s="2" t="s">
        <v>137</v>
      </c>
      <c r="L237" s="2" t="s">
        <v>137</v>
      </c>
      <c r="M237" s="2" t="s">
        <v>911</v>
      </c>
      <c r="N237" s="2" t="s">
        <v>369</v>
      </c>
      <c r="O237" s="2" t="s">
        <v>153</v>
      </c>
    </row>
    <row r="238" customFormat="false" ht="15" hidden="false" customHeight="false" outlineLevel="0" collapsed="false">
      <c r="A238" s="2" t="s">
        <v>1116</v>
      </c>
      <c r="B238" s="2" t="s">
        <v>1117</v>
      </c>
      <c r="C238" s="2" t="s">
        <v>912</v>
      </c>
      <c r="D238" s="2"/>
      <c r="E238" s="2" t="s">
        <v>492</v>
      </c>
      <c r="F238" s="2"/>
      <c r="G238" s="2" t="s">
        <v>368</v>
      </c>
      <c r="H238" s="2"/>
      <c r="I238" s="2" t="s">
        <v>569</v>
      </c>
      <c r="J238" s="2" t="s">
        <v>145</v>
      </c>
      <c r="K238" s="2" t="s">
        <v>137</v>
      </c>
      <c r="L238" s="2" t="s">
        <v>137</v>
      </c>
      <c r="M238" s="2" t="s">
        <v>913</v>
      </c>
      <c r="N238" s="2" t="s">
        <v>369</v>
      </c>
      <c r="O238" s="2" t="s">
        <v>153</v>
      </c>
    </row>
    <row r="239" customFormat="false" ht="15" hidden="false" customHeight="false" outlineLevel="0" collapsed="false">
      <c r="A239" s="2" t="s">
        <v>1116</v>
      </c>
      <c r="B239" s="2" t="s">
        <v>1117</v>
      </c>
      <c r="C239" s="2" t="s">
        <v>922</v>
      </c>
      <c r="D239" s="2"/>
      <c r="E239" s="2" t="s">
        <v>492</v>
      </c>
      <c r="F239" s="2"/>
      <c r="G239" s="2" t="s">
        <v>368</v>
      </c>
      <c r="H239" s="2"/>
      <c r="I239" s="2" t="s">
        <v>569</v>
      </c>
      <c r="J239" s="2" t="s">
        <v>145</v>
      </c>
      <c r="K239" s="2" t="s">
        <v>137</v>
      </c>
      <c r="L239" s="2" t="s">
        <v>137</v>
      </c>
      <c r="M239" s="2" t="s">
        <v>923</v>
      </c>
      <c r="N239" s="2" t="s">
        <v>369</v>
      </c>
      <c r="O239" s="2" t="s">
        <v>153</v>
      </c>
    </row>
    <row r="240" customFormat="false" ht="15" hidden="false" customHeight="false" outlineLevel="0" collapsed="false">
      <c r="A240" s="2" t="s">
        <v>1116</v>
      </c>
      <c r="B240" s="2" t="s">
        <v>1117</v>
      </c>
      <c r="C240" s="2" t="s">
        <v>926</v>
      </c>
      <c r="D240" s="2"/>
      <c r="E240" s="2" t="s">
        <v>492</v>
      </c>
      <c r="F240" s="2"/>
      <c r="G240" s="2" t="s">
        <v>368</v>
      </c>
      <c r="H240" s="2"/>
      <c r="I240" s="2" t="s">
        <v>569</v>
      </c>
      <c r="J240" s="2" t="s">
        <v>145</v>
      </c>
      <c r="K240" s="2" t="s">
        <v>137</v>
      </c>
      <c r="L240" s="2" t="s">
        <v>137</v>
      </c>
      <c r="M240" s="2" t="s">
        <v>927</v>
      </c>
      <c r="N240" s="2" t="s">
        <v>369</v>
      </c>
      <c r="O240" s="2" t="s">
        <v>153</v>
      </c>
    </row>
    <row r="241" customFormat="false" ht="15" hidden="false" customHeight="false" outlineLevel="0" collapsed="false">
      <c r="A241" s="2" t="s">
        <v>1116</v>
      </c>
      <c r="B241" s="2" t="s">
        <v>1117</v>
      </c>
      <c r="C241" s="2" t="s">
        <v>930</v>
      </c>
      <c r="D241" s="2"/>
      <c r="E241" s="2" t="s">
        <v>492</v>
      </c>
      <c r="F241" s="2"/>
      <c r="G241" s="2" t="s">
        <v>368</v>
      </c>
      <c r="H241" s="2"/>
      <c r="I241" s="2" t="s">
        <v>569</v>
      </c>
      <c r="J241" s="2" t="s">
        <v>145</v>
      </c>
      <c r="K241" s="2" t="s">
        <v>137</v>
      </c>
      <c r="L241" s="2" t="s">
        <v>137</v>
      </c>
      <c r="M241" s="2" t="s">
        <v>931</v>
      </c>
      <c r="N241" s="2" t="s">
        <v>369</v>
      </c>
      <c r="O241" s="2" t="s">
        <v>153</v>
      </c>
    </row>
    <row r="242" customFormat="false" ht="15" hidden="false" customHeight="false" outlineLevel="0" collapsed="false">
      <c r="A242" s="2" t="s">
        <v>1116</v>
      </c>
      <c r="B242" s="2" t="s">
        <v>1117</v>
      </c>
      <c r="C242" s="2" t="s">
        <v>936</v>
      </c>
      <c r="D242" s="2"/>
      <c r="E242" s="2" t="s">
        <v>492</v>
      </c>
      <c r="F242" s="2"/>
      <c r="G242" s="2" t="s">
        <v>368</v>
      </c>
      <c r="H242" s="2"/>
      <c r="I242" s="2" t="s">
        <v>569</v>
      </c>
      <c r="J242" s="2" t="s">
        <v>145</v>
      </c>
      <c r="K242" s="2" t="s">
        <v>137</v>
      </c>
      <c r="L242" s="2" t="s">
        <v>137</v>
      </c>
      <c r="M242" s="2" t="s">
        <v>937</v>
      </c>
      <c r="N242" s="2" t="s">
        <v>369</v>
      </c>
      <c r="O242" s="2" t="s">
        <v>153</v>
      </c>
    </row>
    <row r="243" customFormat="false" ht="15" hidden="false" customHeight="false" outlineLevel="0" collapsed="false">
      <c r="A243" s="2" t="s">
        <v>1116</v>
      </c>
      <c r="B243" s="2" t="s">
        <v>1117</v>
      </c>
      <c r="C243" s="2" t="s">
        <v>938</v>
      </c>
      <c r="D243" s="2"/>
      <c r="E243" s="2" t="s">
        <v>492</v>
      </c>
      <c r="F243" s="2"/>
      <c r="G243" s="2" t="s">
        <v>368</v>
      </c>
      <c r="H243" s="2"/>
      <c r="I243" s="2" t="s">
        <v>569</v>
      </c>
      <c r="J243" s="2" t="s">
        <v>145</v>
      </c>
      <c r="K243" s="2" t="s">
        <v>137</v>
      </c>
      <c r="L243" s="2" t="s">
        <v>137</v>
      </c>
      <c r="M243" s="2" t="s">
        <v>939</v>
      </c>
      <c r="N243" s="2" t="s">
        <v>369</v>
      </c>
      <c r="O243" s="2" t="s">
        <v>153</v>
      </c>
    </row>
    <row r="244" customFormat="false" ht="15" hidden="false" customHeight="false" outlineLevel="0" collapsed="false">
      <c r="A244" s="2" t="s">
        <v>1116</v>
      </c>
      <c r="B244" s="2" t="s">
        <v>1117</v>
      </c>
      <c r="C244" s="2" t="s">
        <v>940</v>
      </c>
      <c r="D244" s="2"/>
      <c r="E244" s="2" t="s">
        <v>492</v>
      </c>
      <c r="F244" s="2"/>
      <c r="G244" s="2" t="s">
        <v>368</v>
      </c>
      <c r="H244" s="2"/>
      <c r="I244" s="2" t="s">
        <v>569</v>
      </c>
      <c r="J244" s="2" t="s">
        <v>145</v>
      </c>
      <c r="K244" s="2" t="s">
        <v>137</v>
      </c>
      <c r="L244" s="2" t="s">
        <v>137</v>
      </c>
      <c r="M244" s="2" t="s">
        <v>941</v>
      </c>
      <c r="N244" s="2" t="s">
        <v>369</v>
      </c>
      <c r="O244" s="2" t="s">
        <v>153</v>
      </c>
    </row>
    <row r="245" customFormat="false" ht="15" hidden="false" customHeight="false" outlineLevel="0" collapsed="false">
      <c r="A245" s="2" t="s">
        <v>1116</v>
      </c>
      <c r="B245" s="2" t="s">
        <v>1117</v>
      </c>
      <c r="C245" s="2" t="s">
        <v>942</v>
      </c>
      <c r="D245" s="2"/>
      <c r="E245" s="2" t="s">
        <v>492</v>
      </c>
      <c r="F245" s="2"/>
      <c r="G245" s="2" t="s">
        <v>368</v>
      </c>
      <c r="H245" s="2"/>
      <c r="I245" s="2" t="s">
        <v>569</v>
      </c>
      <c r="J245" s="2" t="s">
        <v>145</v>
      </c>
      <c r="K245" s="2" t="s">
        <v>137</v>
      </c>
      <c r="L245" s="2" t="s">
        <v>137</v>
      </c>
      <c r="M245" s="2" t="s">
        <v>943</v>
      </c>
      <c r="N245" s="2" t="s">
        <v>369</v>
      </c>
      <c r="O245" s="2" t="s">
        <v>153</v>
      </c>
    </row>
    <row r="246" customFormat="false" ht="15" hidden="false" customHeight="false" outlineLevel="0" collapsed="false">
      <c r="A246" s="2" t="s">
        <v>1116</v>
      </c>
      <c r="B246" s="2" t="s">
        <v>1117</v>
      </c>
      <c r="C246" s="2" t="s">
        <v>946</v>
      </c>
      <c r="D246" s="2"/>
      <c r="E246" s="2" t="s">
        <v>492</v>
      </c>
      <c r="F246" s="2"/>
      <c r="G246" s="2" t="s">
        <v>368</v>
      </c>
      <c r="H246" s="2"/>
      <c r="I246" s="2" t="s">
        <v>569</v>
      </c>
      <c r="J246" s="2" t="s">
        <v>145</v>
      </c>
      <c r="K246" s="2" t="s">
        <v>137</v>
      </c>
      <c r="L246" s="2" t="s">
        <v>137</v>
      </c>
      <c r="M246" s="2" t="s">
        <v>947</v>
      </c>
      <c r="N246" s="2" t="s">
        <v>369</v>
      </c>
      <c r="O246" s="2" t="s">
        <v>153</v>
      </c>
    </row>
    <row r="247" customFormat="false" ht="15" hidden="false" customHeight="false" outlineLevel="0" collapsed="false">
      <c r="A247" s="2" t="s">
        <v>1116</v>
      </c>
      <c r="B247" s="2" t="s">
        <v>1117</v>
      </c>
      <c r="C247" s="2" t="s">
        <v>948</v>
      </c>
      <c r="D247" s="2"/>
      <c r="E247" s="2" t="s">
        <v>492</v>
      </c>
      <c r="F247" s="2"/>
      <c r="G247" s="2" t="s">
        <v>368</v>
      </c>
      <c r="H247" s="2"/>
      <c r="I247" s="2" t="s">
        <v>569</v>
      </c>
      <c r="J247" s="2" t="s">
        <v>145</v>
      </c>
      <c r="K247" s="2" t="s">
        <v>137</v>
      </c>
      <c r="L247" s="2" t="s">
        <v>137</v>
      </c>
      <c r="M247" s="2" t="s">
        <v>949</v>
      </c>
      <c r="N247" s="2" t="s">
        <v>369</v>
      </c>
      <c r="O247" s="2" t="s">
        <v>153</v>
      </c>
    </row>
    <row r="248" customFormat="false" ht="15" hidden="false" customHeight="false" outlineLevel="0" collapsed="false">
      <c r="A248" s="2" t="s">
        <v>1116</v>
      </c>
      <c r="B248" s="2" t="s">
        <v>1117</v>
      </c>
      <c r="C248" s="2" t="s">
        <v>950</v>
      </c>
      <c r="D248" s="2"/>
      <c r="E248" s="2" t="s">
        <v>492</v>
      </c>
      <c r="F248" s="2"/>
      <c r="G248" s="2" t="s">
        <v>368</v>
      </c>
      <c r="H248" s="2"/>
      <c r="I248" s="2" t="s">
        <v>569</v>
      </c>
      <c r="J248" s="2" t="s">
        <v>145</v>
      </c>
      <c r="K248" s="2" t="s">
        <v>137</v>
      </c>
      <c r="L248" s="2" t="s">
        <v>137</v>
      </c>
      <c r="M248" s="2" t="s">
        <v>951</v>
      </c>
      <c r="N248" s="2" t="s">
        <v>369</v>
      </c>
      <c r="O248" s="2" t="s">
        <v>153</v>
      </c>
    </row>
    <row r="249" customFormat="false" ht="15" hidden="false" customHeight="false" outlineLevel="0" collapsed="false">
      <c r="A249" s="2" t="s">
        <v>1116</v>
      </c>
      <c r="B249" s="2" t="s">
        <v>1117</v>
      </c>
      <c r="C249" s="2" t="s">
        <v>952</v>
      </c>
      <c r="D249" s="2"/>
      <c r="E249" s="2" t="s">
        <v>492</v>
      </c>
      <c r="F249" s="2"/>
      <c r="G249" s="2" t="s">
        <v>368</v>
      </c>
      <c r="H249" s="2"/>
      <c r="I249" s="2" t="s">
        <v>569</v>
      </c>
      <c r="J249" s="2" t="s">
        <v>145</v>
      </c>
      <c r="K249" s="2" t="s">
        <v>137</v>
      </c>
      <c r="L249" s="2" t="s">
        <v>137</v>
      </c>
      <c r="M249" s="2" t="s">
        <v>953</v>
      </c>
      <c r="N249" s="2" t="s">
        <v>369</v>
      </c>
      <c r="O249" s="2" t="s">
        <v>153</v>
      </c>
    </row>
    <row r="250" customFormat="false" ht="15" hidden="false" customHeight="false" outlineLevel="0" collapsed="false">
      <c r="A250" s="2" t="s">
        <v>1116</v>
      </c>
      <c r="B250" s="2" t="s">
        <v>1117</v>
      </c>
      <c r="C250" s="2" t="s">
        <v>956</v>
      </c>
      <c r="D250" s="2"/>
      <c r="E250" s="2" t="s">
        <v>492</v>
      </c>
      <c r="F250" s="2"/>
      <c r="G250" s="2" t="s">
        <v>368</v>
      </c>
      <c r="H250" s="2"/>
      <c r="I250" s="2" t="s">
        <v>569</v>
      </c>
      <c r="J250" s="2" t="s">
        <v>145</v>
      </c>
      <c r="K250" s="2" t="s">
        <v>137</v>
      </c>
      <c r="L250" s="2" t="s">
        <v>137</v>
      </c>
      <c r="M250" s="2" t="s">
        <v>957</v>
      </c>
      <c r="N250" s="2" t="s">
        <v>369</v>
      </c>
      <c r="O250" s="2" t="s">
        <v>153</v>
      </c>
    </row>
    <row r="251" customFormat="false" ht="15" hidden="false" customHeight="false" outlineLevel="0" collapsed="false">
      <c r="A251" s="2" t="s">
        <v>1116</v>
      </c>
      <c r="B251" s="2" t="s">
        <v>1117</v>
      </c>
      <c r="C251" s="2" t="s">
        <v>958</v>
      </c>
      <c r="D251" s="2"/>
      <c r="E251" s="2" t="s">
        <v>492</v>
      </c>
      <c r="F251" s="2"/>
      <c r="G251" s="2" t="s">
        <v>368</v>
      </c>
      <c r="H251" s="2"/>
      <c r="I251" s="2" t="s">
        <v>569</v>
      </c>
      <c r="J251" s="2" t="s">
        <v>145</v>
      </c>
      <c r="K251" s="2" t="s">
        <v>137</v>
      </c>
      <c r="L251" s="2" t="s">
        <v>137</v>
      </c>
      <c r="M251" s="2" t="s">
        <v>959</v>
      </c>
      <c r="N251" s="2" t="s">
        <v>369</v>
      </c>
      <c r="O251" s="2" t="s">
        <v>153</v>
      </c>
    </row>
    <row r="252" customFormat="false" ht="15" hidden="false" customHeight="false" outlineLevel="0" collapsed="false">
      <c r="A252" s="2" t="s">
        <v>1116</v>
      </c>
      <c r="B252" s="2" t="s">
        <v>1117</v>
      </c>
      <c r="C252" s="2" t="s">
        <v>962</v>
      </c>
      <c r="D252" s="2"/>
      <c r="E252" s="2" t="s">
        <v>492</v>
      </c>
      <c r="F252" s="2"/>
      <c r="G252" s="2" t="s">
        <v>368</v>
      </c>
      <c r="H252" s="2"/>
      <c r="I252" s="2" t="s">
        <v>569</v>
      </c>
      <c r="J252" s="2" t="s">
        <v>145</v>
      </c>
      <c r="K252" s="2" t="s">
        <v>137</v>
      </c>
      <c r="L252" s="2" t="s">
        <v>137</v>
      </c>
      <c r="M252" s="2" t="s">
        <v>963</v>
      </c>
      <c r="N252" s="2" t="s">
        <v>369</v>
      </c>
      <c r="O252" s="2" t="s">
        <v>153</v>
      </c>
    </row>
    <row r="253" customFormat="false" ht="15" hidden="false" customHeight="false" outlineLevel="0" collapsed="false">
      <c r="A253" s="2" t="s">
        <v>1116</v>
      </c>
      <c r="B253" s="2" t="s">
        <v>1117</v>
      </c>
      <c r="C253" s="2" t="s">
        <v>964</v>
      </c>
      <c r="D253" s="2"/>
      <c r="E253" s="2" t="s">
        <v>492</v>
      </c>
      <c r="F253" s="2"/>
      <c r="G253" s="2" t="s">
        <v>368</v>
      </c>
      <c r="H253" s="2"/>
      <c r="I253" s="2" t="s">
        <v>569</v>
      </c>
      <c r="J253" s="2" t="s">
        <v>145</v>
      </c>
      <c r="K253" s="2" t="s">
        <v>137</v>
      </c>
      <c r="L253" s="2" t="s">
        <v>137</v>
      </c>
      <c r="M253" s="2" t="s">
        <v>965</v>
      </c>
      <c r="N253" s="2" t="s">
        <v>369</v>
      </c>
      <c r="O253" s="2" t="s">
        <v>153</v>
      </c>
    </row>
    <row r="254" customFormat="false" ht="15" hidden="false" customHeight="false" outlineLevel="0" collapsed="false">
      <c r="A254" s="2" t="s">
        <v>1116</v>
      </c>
      <c r="B254" s="2" t="s">
        <v>1117</v>
      </c>
      <c r="C254" s="2" t="s">
        <v>966</v>
      </c>
      <c r="D254" s="2"/>
      <c r="E254" s="2" t="s">
        <v>492</v>
      </c>
      <c r="F254" s="2"/>
      <c r="G254" s="2" t="s">
        <v>368</v>
      </c>
      <c r="H254" s="2"/>
      <c r="I254" s="2" t="s">
        <v>569</v>
      </c>
      <c r="J254" s="2" t="s">
        <v>145</v>
      </c>
      <c r="K254" s="2" t="s">
        <v>137</v>
      </c>
      <c r="L254" s="2" t="s">
        <v>137</v>
      </c>
      <c r="M254" s="2" t="s">
        <v>967</v>
      </c>
      <c r="N254" s="2" t="s">
        <v>369</v>
      </c>
      <c r="O254" s="2" t="s">
        <v>153</v>
      </c>
    </row>
    <row r="255" customFormat="false" ht="15" hidden="false" customHeight="false" outlineLevel="0" collapsed="false">
      <c r="A255" s="2" t="s">
        <v>1116</v>
      </c>
      <c r="B255" s="2" t="s">
        <v>1117</v>
      </c>
      <c r="C255" s="2" t="s">
        <v>970</v>
      </c>
      <c r="D255" s="2"/>
      <c r="E255" s="2" t="s">
        <v>492</v>
      </c>
      <c r="F255" s="2"/>
      <c r="G255" s="2" t="s">
        <v>368</v>
      </c>
      <c r="H255" s="2"/>
      <c r="I255" s="2" t="s">
        <v>569</v>
      </c>
      <c r="J255" s="2" t="s">
        <v>145</v>
      </c>
      <c r="K255" s="2" t="s">
        <v>137</v>
      </c>
      <c r="L255" s="2" t="s">
        <v>137</v>
      </c>
      <c r="M255" s="2" t="s">
        <v>971</v>
      </c>
      <c r="N255" s="2" t="s">
        <v>369</v>
      </c>
      <c r="O255" s="2" t="s">
        <v>153</v>
      </c>
    </row>
    <row r="256" customFormat="false" ht="15" hidden="false" customHeight="false" outlineLevel="0" collapsed="false">
      <c r="A256" s="2" t="s">
        <v>1116</v>
      </c>
      <c r="B256" s="2" t="s">
        <v>1117</v>
      </c>
      <c r="C256" s="2" t="s">
        <v>974</v>
      </c>
      <c r="D256" s="2"/>
      <c r="E256" s="2" t="s">
        <v>492</v>
      </c>
      <c r="F256" s="2"/>
      <c r="G256" s="2" t="s">
        <v>368</v>
      </c>
      <c r="H256" s="2"/>
      <c r="I256" s="2" t="s">
        <v>569</v>
      </c>
      <c r="J256" s="2" t="s">
        <v>145</v>
      </c>
      <c r="K256" s="2" t="s">
        <v>137</v>
      </c>
      <c r="L256" s="2" t="s">
        <v>137</v>
      </c>
      <c r="M256" s="2" t="s">
        <v>975</v>
      </c>
      <c r="N256" s="2" t="s">
        <v>369</v>
      </c>
      <c r="O256" s="2" t="s">
        <v>153</v>
      </c>
    </row>
    <row r="257" customFormat="false" ht="15" hidden="false" customHeight="false" outlineLevel="0" collapsed="false">
      <c r="A257" s="2" t="s">
        <v>1116</v>
      </c>
      <c r="B257" s="2" t="s">
        <v>1117</v>
      </c>
      <c r="C257" s="2" t="s">
        <v>982</v>
      </c>
      <c r="D257" s="2"/>
      <c r="E257" s="2" t="s">
        <v>492</v>
      </c>
      <c r="F257" s="2"/>
      <c r="G257" s="2" t="s">
        <v>368</v>
      </c>
      <c r="H257" s="2"/>
      <c r="I257" s="2" t="s">
        <v>569</v>
      </c>
      <c r="J257" s="2" t="s">
        <v>145</v>
      </c>
      <c r="K257" s="2" t="s">
        <v>137</v>
      </c>
      <c r="L257" s="2" t="s">
        <v>137</v>
      </c>
      <c r="M257" s="2" t="s">
        <v>983</v>
      </c>
      <c r="N257" s="2" t="s">
        <v>369</v>
      </c>
      <c r="O257" s="2" t="s">
        <v>153</v>
      </c>
    </row>
    <row r="258" customFormat="false" ht="15" hidden="false" customHeight="false" outlineLevel="0" collapsed="false">
      <c r="A258" s="2" t="s">
        <v>1116</v>
      </c>
      <c r="B258" s="2" t="s">
        <v>1117</v>
      </c>
      <c r="C258" s="2" t="s">
        <v>984</v>
      </c>
      <c r="D258" s="2"/>
      <c r="E258" s="2" t="s">
        <v>492</v>
      </c>
      <c r="F258" s="2"/>
      <c r="G258" s="2" t="s">
        <v>368</v>
      </c>
      <c r="H258" s="2"/>
      <c r="I258" s="2" t="s">
        <v>569</v>
      </c>
      <c r="J258" s="2" t="s">
        <v>145</v>
      </c>
      <c r="K258" s="2" t="s">
        <v>137</v>
      </c>
      <c r="L258" s="2" t="s">
        <v>137</v>
      </c>
      <c r="M258" s="2" t="s">
        <v>985</v>
      </c>
      <c r="N258" s="2" t="s">
        <v>369</v>
      </c>
      <c r="O258" s="2" t="s">
        <v>153</v>
      </c>
    </row>
    <row r="259" customFormat="false" ht="15" hidden="false" customHeight="false" outlineLevel="0" collapsed="false">
      <c r="A259" s="2" t="s">
        <v>1116</v>
      </c>
      <c r="B259" s="2" t="s">
        <v>1117</v>
      </c>
      <c r="C259" s="2" t="s">
        <v>986</v>
      </c>
      <c r="D259" s="2"/>
      <c r="E259" s="2" t="s">
        <v>492</v>
      </c>
      <c r="F259" s="2"/>
      <c r="G259" s="2" t="s">
        <v>368</v>
      </c>
      <c r="H259" s="2"/>
      <c r="I259" s="2" t="s">
        <v>569</v>
      </c>
      <c r="J259" s="2" t="s">
        <v>145</v>
      </c>
      <c r="K259" s="2" t="s">
        <v>137</v>
      </c>
      <c r="L259" s="2" t="s">
        <v>137</v>
      </c>
      <c r="M259" s="2" t="s">
        <v>987</v>
      </c>
      <c r="N259" s="2" t="s">
        <v>369</v>
      </c>
      <c r="O259" s="2" t="s">
        <v>153</v>
      </c>
    </row>
    <row r="260" customFormat="false" ht="15" hidden="false" customHeight="false" outlineLevel="0" collapsed="false">
      <c r="A260" s="2" t="s">
        <v>1116</v>
      </c>
      <c r="B260" s="2" t="s">
        <v>1117</v>
      </c>
      <c r="C260" s="2" t="s">
        <v>988</v>
      </c>
      <c r="D260" s="2"/>
      <c r="E260" s="2" t="s">
        <v>492</v>
      </c>
      <c r="F260" s="2"/>
      <c r="G260" s="2" t="s">
        <v>368</v>
      </c>
      <c r="H260" s="2"/>
      <c r="I260" s="2" t="s">
        <v>569</v>
      </c>
      <c r="J260" s="2" t="s">
        <v>145</v>
      </c>
      <c r="K260" s="2" t="s">
        <v>137</v>
      </c>
      <c r="L260" s="2" t="s">
        <v>137</v>
      </c>
      <c r="M260" s="2" t="s">
        <v>989</v>
      </c>
      <c r="N260" s="2" t="s">
        <v>369</v>
      </c>
      <c r="O260" s="2" t="s">
        <v>153</v>
      </c>
    </row>
    <row r="261" customFormat="false" ht="15" hidden="false" customHeight="false" outlineLevel="0" collapsed="false">
      <c r="A261" s="2" t="s">
        <v>1116</v>
      </c>
      <c r="B261" s="2" t="s">
        <v>1117</v>
      </c>
      <c r="C261" s="2" t="s">
        <v>996</v>
      </c>
      <c r="D261" s="2"/>
      <c r="E261" s="2" t="s">
        <v>492</v>
      </c>
      <c r="F261" s="2"/>
      <c r="G261" s="2" t="s">
        <v>368</v>
      </c>
      <c r="H261" s="2"/>
      <c r="I261" s="2" t="s">
        <v>569</v>
      </c>
      <c r="J261" s="2" t="s">
        <v>145</v>
      </c>
      <c r="K261" s="2" t="s">
        <v>137</v>
      </c>
      <c r="L261" s="2" t="s">
        <v>137</v>
      </c>
      <c r="M261" s="2" t="s">
        <v>997</v>
      </c>
      <c r="N261" s="2" t="s">
        <v>369</v>
      </c>
      <c r="O261" s="2" t="s">
        <v>153</v>
      </c>
    </row>
    <row r="262" customFormat="false" ht="15" hidden="false" customHeight="false" outlineLevel="0" collapsed="false">
      <c r="A262" s="2" t="s">
        <v>1116</v>
      </c>
      <c r="B262" s="2" t="s">
        <v>1117</v>
      </c>
      <c r="C262" s="2" t="s">
        <v>1000</v>
      </c>
      <c r="D262" s="2"/>
      <c r="E262" s="2" t="s">
        <v>492</v>
      </c>
      <c r="F262" s="2"/>
      <c r="G262" s="2" t="s">
        <v>368</v>
      </c>
      <c r="H262" s="2"/>
      <c r="I262" s="2" t="s">
        <v>569</v>
      </c>
      <c r="J262" s="2" t="s">
        <v>145</v>
      </c>
      <c r="K262" s="2" t="s">
        <v>137</v>
      </c>
      <c r="L262" s="2" t="s">
        <v>137</v>
      </c>
      <c r="M262" s="2" t="s">
        <v>1001</v>
      </c>
      <c r="N262" s="2" t="s">
        <v>369</v>
      </c>
      <c r="O262" s="2" t="s">
        <v>153</v>
      </c>
    </row>
    <row r="263" customFormat="false" ht="15" hidden="false" customHeight="false" outlineLevel="0" collapsed="false">
      <c r="A263" s="2" t="s">
        <v>1116</v>
      </c>
      <c r="B263" s="2" t="s">
        <v>1117</v>
      </c>
      <c r="C263" s="2" t="s">
        <v>1012</v>
      </c>
      <c r="D263" s="2"/>
      <c r="E263" s="2" t="s">
        <v>492</v>
      </c>
      <c r="F263" s="2"/>
      <c r="G263" s="2" t="s">
        <v>368</v>
      </c>
      <c r="H263" s="2"/>
      <c r="I263" s="2" t="s">
        <v>569</v>
      </c>
      <c r="J263" s="2" t="s">
        <v>145</v>
      </c>
      <c r="K263" s="2" t="s">
        <v>137</v>
      </c>
      <c r="L263" s="2" t="s">
        <v>137</v>
      </c>
      <c r="M263" s="2" t="s">
        <v>1013</v>
      </c>
      <c r="N263" s="2" t="s">
        <v>369</v>
      </c>
      <c r="O263" s="2" t="s">
        <v>153</v>
      </c>
    </row>
    <row r="264" customFormat="false" ht="15" hidden="false" customHeight="false" outlineLevel="0" collapsed="false">
      <c r="A264" s="2" t="s">
        <v>1116</v>
      </c>
      <c r="B264" s="2" t="s">
        <v>1117</v>
      </c>
      <c r="C264" s="2" t="s">
        <v>1014</v>
      </c>
      <c r="D264" s="2"/>
      <c r="E264" s="2" t="s">
        <v>492</v>
      </c>
      <c r="F264" s="2"/>
      <c r="G264" s="2" t="s">
        <v>368</v>
      </c>
      <c r="H264" s="2"/>
      <c r="I264" s="2" t="s">
        <v>569</v>
      </c>
      <c r="J264" s="2" t="s">
        <v>145</v>
      </c>
      <c r="K264" s="2" t="s">
        <v>137</v>
      </c>
      <c r="L264" s="2" t="s">
        <v>137</v>
      </c>
      <c r="M264" s="2" t="s">
        <v>1015</v>
      </c>
      <c r="N264" s="2" t="s">
        <v>369</v>
      </c>
      <c r="O264" s="2" t="s">
        <v>153</v>
      </c>
    </row>
    <row r="265" customFormat="false" ht="15" hidden="false" customHeight="false" outlineLevel="0" collapsed="false">
      <c r="A265" s="2" t="s">
        <v>1116</v>
      </c>
      <c r="B265" s="2" t="s">
        <v>1117</v>
      </c>
      <c r="C265" s="2" t="s">
        <v>1018</v>
      </c>
      <c r="D265" s="2"/>
      <c r="E265" s="2" t="s">
        <v>492</v>
      </c>
      <c r="F265" s="2"/>
      <c r="G265" s="2" t="s">
        <v>368</v>
      </c>
      <c r="H265" s="2"/>
      <c r="I265" s="2" t="s">
        <v>569</v>
      </c>
      <c r="J265" s="2" t="s">
        <v>145</v>
      </c>
      <c r="K265" s="2" t="s">
        <v>137</v>
      </c>
      <c r="L265" s="2" t="s">
        <v>137</v>
      </c>
      <c r="M265" s="2" t="s">
        <v>1019</v>
      </c>
      <c r="N265" s="2" t="s">
        <v>369</v>
      </c>
      <c r="O265" s="2" t="s">
        <v>153</v>
      </c>
    </row>
    <row r="266" customFormat="false" ht="15" hidden="false" customHeight="false" outlineLevel="0" collapsed="false">
      <c r="A266" s="2" t="s">
        <v>1116</v>
      </c>
      <c r="B266" s="2" t="s">
        <v>1117</v>
      </c>
      <c r="C266" s="2" t="s">
        <v>178</v>
      </c>
      <c r="D266" s="2"/>
      <c r="E266" s="2" t="s">
        <v>117</v>
      </c>
      <c r="F266" s="2"/>
      <c r="G266" s="2" t="s">
        <v>144</v>
      </c>
      <c r="H266" s="2"/>
      <c r="I266" s="2" t="s">
        <v>140</v>
      </c>
      <c r="J266" s="2" t="s">
        <v>145</v>
      </c>
      <c r="K266" s="2" t="s">
        <v>137</v>
      </c>
      <c r="L266" s="2" t="s">
        <v>137</v>
      </c>
      <c r="M266" s="2" t="s">
        <v>188</v>
      </c>
      <c r="N266" s="2" t="s">
        <v>181</v>
      </c>
      <c r="O266" s="2" t="s">
        <v>153</v>
      </c>
    </row>
    <row r="267" customFormat="false" ht="15" hidden="false" customHeight="false" outlineLevel="0" collapsed="false">
      <c r="A267" s="2" t="s">
        <v>1116</v>
      </c>
      <c r="B267" s="2" t="s">
        <v>1117</v>
      </c>
      <c r="C267" s="2" t="s">
        <v>365</v>
      </c>
      <c r="D267" s="2"/>
      <c r="E267" s="2" t="s">
        <v>366</v>
      </c>
      <c r="F267" s="2"/>
      <c r="G267" s="2" t="s">
        <v>368</v>
      </c>
      <c r="H267" s="2"/>
      <c r="I267" s="2" t="s">
        <v>309</v>
      </c>
      <c r="J267" s="2" t="s">
        <v>145</v>
      </c>
      <c r="K267" s="2" t="s">
        <v>137</v>
      </c>
      <c r="L267" s="2" t="s">
        <v>137</v>
      </c>
      <c r="M267" s="2" t="s">
        <v>379</v>
      </c>
      <c r="N267" s="2" t="s">
        <v>369</v>
      </c>
      <c r="O267" s="2" t="s">
        <v>153</v>
      </c>
    </row>
    <row r="268" customFormat="false" ht="15" hidden="false" customHeight="false" outlineLevel="0" collapsed="false">
      <c r="A268" s="2" t="s">
        <v>1116</v>
      </c>
      <c r="B268" s="2" t="s">
        <v>1117</v>
      </c>
      <c r="C268" s="2" t="s">
        <v>405</v>
      </c>
      <c r="D268" s="2"/>
      <c r="E268" s="2" t="s">
        <v>366</v>
      </c>
      <c r="F268" s="2"/>
      <c r="G268" s="2" t="s">
        <v>368</v>
      </c>
      <c r="H268" s="2"/>
      <c r="I268" s="2" t="s">
        <v>309</v>
      </c>
      <c r="J268" s="2" t="s">
        <v>145</v>
      </c>
      <c r="K268" s="2" t="s">
        <v>137</v>
      </c>
      <c r="L268" s="2" t="s">
        <v>137</v>
      </c>
      <c r="M268" s="2" t="s">
        <v>407</v>
      </c>
      <c r="N268" s="2" t="s">
        <v>369</v>
      </c>
      <c r="O268" s="2" t="s">
        <v>153</v>
      </c>
    </row>
    <row r="269" customFormat="false" ht="15" hidden="false" customHeight="false" outlineLevel="0" collapsed="false">
      <c r="A269" s="2" t="s">
        <v>1116</v>
      </c>
      <c r="B269" s="2" t="s">
        <v>1117</v>
      </c>
      <c r="C269" s="2" t="s">
        <v>226</v>
      </c>
      <c r="D269" s="2"/>
      <c r="E269" s="2" t="s">
        <v>117</v>
      </c>
      <c r="F269" s="2"/>
      <c r="G269" s="2" t="s">
        <v>144</v>
      </c>
      <c r="H269" s="2"/>
      <c r="I269" s="2" t="s">
        <v>140</v>
      </c>
      <c r="J269" s="2" t="s">
        <v>145</v>
      </c>
      <c r="K269" s="2" t="s">
        <v>137</v>
      </c>
      <c r="L269" s="2" t="s">
        <v>137</v>
      </c>
      <c r="M269" s="2" t="s">
        <v>228</v>
      </c>
      <c r="N269" s="2" t="s">
        <v>181</v>
      </c>
      <c r="O269" s="2" t="s">
        <v>153</v>
      </c>
    </row>
    <row r="270" customFormat="false" ht="15" hidden="false" customHeight="false" outlineLevel="0" collapsed="false">
      <c r="A270" s="2" t="s">
        <v>1116</v>
      </c>
      <c r="B270" s="2" t="s">
        <v>1117</v>
      </c>
      <c r="C270" s="2" t="s">
        <v>232</v>
      </c>
      <c r="D270" s="2"/>
      <c r="E270" s="2" t="s">
        <v>142</v>
      </c>
      <c r="F270" s="2"/>
      <c r="G270" s="2" t="s">
        <v>144</v>
      </c>
      <c r="H270" s="2"/>
      <c r="I270" s="2" t="s">
        <v>140</v>
      </c>
      <c r="J270" s="2" t="s">
        <v>145</v>
      </c>
      <c r="K270" s="2" t="s">
        <v>137</v>
      </c>
      <c r="L270" s="2" t="s">
        <v>137</v>
      </c>
      <c r="M270" s="2" t="s">
        <v>234</v>
      </c>
      <c r="N270" s="2" t="s">
        <v>181</v>
      </c>
      <c r="O270" s="2" t="s">
        <v>153</v>
      </c>
    </row>
    <row r="271" customFormat="false" ht="15" hidden="false" customHeight="false" outlineLevel="0" collapsed="false">
      <c r="A271" s="2" t="s">
        <v>1116</v>
      </c>
      <c r="B271" s="2" t="s">
        <v>1117</v>
      </c>
      <c r="C271" s="2" t="s">
        <v>252</v>
      </c>
      <c r="D271" s="2"/>
      <c r="E271" s="2" t="s">
        <v>142</v>
      </c>
      <c r="F271" s="2"/>
      <c r="G271" s="2" t="s">
        <v>144</v>
      </c>
      <c r="H271" s="2"/>
      <c r="I271" s="2" t="s">
        <v>140</v>
      </c>
      <c r="J271" s="2" t="s">
        <v>145</v>
      </c>
      <c r="K271" s="2" t="s">
        <v>137</v>
      </c>
      <c r="L271" s="2" t="s">
        <v>137</v>
      </c>
      <c r="M271" s="2" t="s">
        <v>259</v>
      </c>
      <c r="N271" s="2" t="s">
        <v>181</v>
      </c>
      <c r="O271" s="2" t="s">
        <v>153</v>
      </c>
    </row>
    <row r="272" customFormat="false" ht="15" hidden="false" customHeight="false" outlineLevel="0" collapsed="false">
      <c r="A272" s="2" t="s">
        <v>1116</v>
      </c>
      <c r="B272" s="2" t="s">
        <v>1117</v>
      </c>
      <c r="C272" s="2" t="s">
        <v>435</v>
      </c>
      <c r="D272" s="2"/>
      <c r="E272" s="2" t="s">
        <v>344</v>
      </c>
      <c r="F272" s="2"/>
      <c r="G272" s="2" t="s">
        <v>368</v>
      </c>
      <c r="H272" s="2"/>
      <c r="I272" s="2" t="s">
        <v>309</v>
      </c>
      <c r="J272" s="2" t="s">
        <v>145</v>
      </c>
      <c r="K272" s="2" t="s">
        <v>137</v>
      </c>
      <c r="L272" s="2" t="s">
        <v>137</v>
      </c>
      <c r="M272" s="2" t="s">
        <v>441</v>
      </c>
      <c r="N272" s="2" t="s">
        <v>369</v>
      </c>
      <c r="O272" s="2" t="s">
        <v>153</v>
      </c>
    </row>
    <row r="273" customFormat="false" ht="15" hidden="false" customHeight="false" outlineLevel="0" collapsed="false">
      <c r="A273" s="2" t="s">
        <v>1116</v>
      </c>
      <c r="B273" s="2" t="s">
        <v>1117</v>
      </c>
      <c r="C273" s="2" t="s">
        <v>601</v>
      </c>
      <c r="D273" s="2"/>
      <c r="E273" s="2" t="s">
        <v>492</v>
      </c>
      <c r="F273" s="2"/>
      <c r="G273" s="2" t="s">
        <v>368</v>
      </c>
      <c r="H273" s="2"/>
      <c r="I273" s="2" t="s">
        <v>569</v>
      </c>
      <c r="J273" s="2" t="s">
        <v>145</v>
      </c>
      <c r="K273" s="2" t="s">
        <v>137</v>
      </c>
      <c r="L273" s="2" t="s">
        <v>137</v>
      </c>
      <c r="M273" s="2" t="s">
        <v>602</v>
      </c>
      <c r="N273" s="2" t="s">
        <v>369</v>
      </c>
      <c r="O273" s="2" t="s">
        <v>153</v>
      </c>
    </row>
    <row r="274" customFormat="false" ht="15" hidden="false" customHeight="false" outlineLevel="0" collapsed="false">
      <c r="A274" s="2" t="s">
        <v>1116</v>
      </c>
      <c r="B274" s="2" t="s">
        <v>1117</v>
      </c>
      <c r="C274" s="2" t="s">
        <v>541</v>
      </c>
      <c r="D274" s="2"/>
      <c r="E274" s="2" t="s">
        <v>542</v>
      </c>
      <c r="F274" s="2"/>
      <c r="G274" s="2" t="s">
        <v>368</v>
      </c>
      <c r="H274" s="2"/>
      <c r="I274" s="2" t="s">
        <v>451</v>
      </c>
      <c r="J274" s="2" t="s">
        <v>145</v>
      </c>
      <c r="K274" s="2" t="s">
        <v>137</v>
      </c>
      <c r="L274" s="2" t="s">
        <v>137</v>
      </c>
      <c r="M274" s="2" t="s">
        <v>552</v>
      </c>
      <c r="N274" s="2" t="s">
        <v>369</v>
      </c>
      <c r="O274" s="2" t="s">
        <v>153</v>
      </c>
    </row>
    <row r="275" customFormat="false" ht="15" hidden="false" customHeight="false" outlineLevel="0" collapsed="false">
      <c r="A275" s="2" t="s">
        <v>1116</v>
      </c>
      <c r="B275" s="2" t="s">
        <v>1117</v>
      </c>
      <c r="C275" s="2" t="s">
        <v>605</v>
      </c>
      <c r="D275" s="2"/>
      <c r="E275" s="2" t="s">
        <v>492</v>
      </c>
      <c r="F275" s="2"/>
      <c r="G275" s="2" t="s">
        <v>368</v>
      </c>
      <c r="H275" s="2"/>
      <c r="I275" s="2" t="s">
        <v>569</v>
      </c>
      <c r="J275" s="2" t="s">
        <v>145</v>
      </c>
      <c r="K275" s="2" t="s">
        <v>137</v>
      </c>
      <c r="L275" s="2" t="s">
        <v>137</v>
      </c>
      <c r="M275" s="2" t="s">
        <v>609</v>
      </c>
      <c r="N275" s="2" t="s">
        <v>369</v>
      </c>
      <c r="O275" s="2" t="s">
        <v>153</v>
      </c>
    </row>
    <row r="276" customFormat="false" ht="15" hidden="false" customHeight="false" outlineLevel="0" collapsed="false">
      <c r="A276" s="2" t="s">
        <v>1116</v>
      </c>
      <c r="B276" s="2" t="s">
        <v>1117</v>
      </c>
      <c r="C276" s="2" t="s">
        <v>622</v>
      </c>
      <c r="D276" s="2"/>
      <c r="E276" s="2" t="s">
        <v>492</v>
      </c>
      <c r="F276" s="2"/>
      <c r="G276" s="2" t="s">
        <v>368</v>
      </c>
      <c r="H276" s="2"/>
      <c r="I276" s="2" t="s">
        <v>569</v>
      </c>
      <c r="J276" s="2" t="s">
        <v>145</v>
      </c>
      <c r="K276" s="2" t="s">
        <v>137</v>
      </c>
      <c r="L276" s="2" t="s">
        <v>137</v>
      </c>
      <c r="M276" s="2" t="s">
        <v>623</v>
      </c>
      <c r="N276" s="2" t="s">
        <v>369</v>
      </c>
      <c r="O276" s="2" t="s">
        <v>153</v>
      </c>
    </row>
    <row r="277" customFormat="false" ht="15" hidden="false" customHeight="false" outlineLevel="0" collapsed="false">
      <c r="A277" s="2" t="s">
        <v>1116</v>
      </c>
      <c r="B277" s="2" t="s">
        <v>1117</v>
      </c>
      <c r="C277" s="2" t="s">
        <v>631</v>
      </c>
      <c r="D277" s="2"/>
      <c r="E277" s="2" t="s">
        <v>492</v>
      </c>
      <c r="F277" s="2"/>
      <c r="G277" s="2" t="s">
        <v>368</v>
      </c>
      <c r="H277" s="2"/>
      <c r="I277" s="2" t="s">
        <v>569</v>
      </c>
      <c r="J277" s="2" t="s">
        <v>145</v>
      </c>
      <c r="K277" s="2" t="s">
        <v>137</v>
      </c>
      <c r="L277" s="2" t="s">
        <v>137</v>
      </c>
      <c r="M277" s="2" t="s">
        <v>633</v>
      </c>
      <c r="N277" s="2" t="s">
        <v>369</v>
      </c>
      <c r="O277" s="2" t="s">
        <v>153</v>
      </c>
    </row>
    <row r="278" customFormat="false" ht="15" hidden="false" customHeight="false" outlineLevel="0" collapsed="false">
      <c r="A278" s="2" t="s">
        <v>1116</v>
      </c>
      <c r="B278" s="2" t="s">
        <v>1117</v>
      </c>
      <c r="C278" s="2" t="s">
        <v>676</v>
      </c>
      <c r="D278" s="2"/>
      <c r="E278" s="2" t="s">
        <v>492</v>
      </c>
      <c r="F278" s="2"/>
      <c r="G278" s="2" t="s">
        <v>368</v>
      </c>
      <c r="H278" s="2"/>
      <c r="I278" s="2" t="s">
        <v>569</v>
      </c>
      <c r="J278" s="2" t="s">
        <v>145</v>
      </c>
      <c r="K278" s="2" t="s">
        <v>137</v>
      </c>
      <c r="L278" s="2" t="s">
        <v>137</v>
      </c>
      <c r="M278" s="2" t="s">
        <v>677</v>
      </c>
      <c r="N278" s="2" t="s">
        <v>369</v>
      </c>
      <c r="O278" s="2" t="s">
        <v>153</v>
      </c>
    </row>
    <row r="279" customFormat="false" ht="15" hidden="false" customHeight="false" outlineLevel="0" collapsed="false">
      <c r="A279" s="2" t="s">
        <v>1116</v>
      </c>
      <c r="B279" s="2" t="s">
        <v>1117</v>
      </c>
      <c r="C279" s="2" t="s">
        <v>682</v>
      </c>
      <c r="D279" s="2"/>
      <c r="E279" s="2" t="s">
        <v>492</v>
      </c>
      <c r="F279" s="2"/>
      <c r="G279" s="2" t="s">
        <v>368</v>
      </c>
      <c r="H279" s="2"/>
      <c r="I279" s="2" t="s">
        <v>569</v>
      </c>
      <c r="J279" s="2" t="s">
        <v>145</v>
      </c>
      <c r="K279" s="2" t="s">
        <v>137</v>
      </c>
      <c r="L279" s="2" t="s">
        <v>137</v>
      </c>
      <c r="M279" s="2" t="s">
        <v>683</v>
      </c>
      <c r="N279" s="2" t="s">
        <v>369</v>
      </c>
      <c r="O279" s="2" t="s">
        <v>153</v>
      </c>
    </row>
    <row r="280" customFormat="false" ht="15" hidden="false" customHeight="false" outlineLevel="0" collapsed="false">
      <c r="A280" s="2" t="s">
        <v>1116</v>
      </c>
      <c r="B280" s="2" t="s">
        <v>1117</v>
      </c>
      <c r="C280" s="2" t="s">
        <v>684</v>
      </c>
      <c r="D280" s="2"/>
      <c r="E280" s="2" t="s">
        <v>492</v>
      </c>
      <c r="F280" s="2"/>
      <c r="G280" s="2" t="s">
        <v>368</v>
      </c>
      <c r="H280" s="2"/>
      <c r="I280" s="2" t="s">
        <v>569</v>
      </c>
      <c r="J280" s="2" t="s">
        <v>145</v>
      </c>
      <c r="K280" s="2" t="s">
        <v>137</v>
      </c>
      <c r="L280" s="2" t="s">
        <v>137</v>
      </c>
      <c r="M280" s="2" t="s">
        <v>685</v>
      </c>
      <c r="N280" s="2" t="s">
        <v>369</v>
      </c>
      <c r="O280" s="2" t="s">
        <v>153</v>
      </c>
    </row>
    <row r="281" customFormat="false" ht="15" hidden="false" customHeight="false" outlineLevel="0" collapsed="false">
      <c r="A281" s="2" t="s">
        <v>1116</v>
      </c>
      <c r="B281" s="2" t="s">
        <v>1117</v>
      </c>
      <c r="C281" s="2" t="s">
        <v>691</v>
      </c>
      <c r="D281" s="2"/>
      <c r="E281" s="2" t="s">
        <v>492</v>
      </c>
      <c r="F281" s="2"/>
      <c r="G281" s="2" t="s">
        <v>368</v>
      </c>
      <c r="H281" s="2"/>
      <c r="I281" s="2" t="s">
        <v>569</v>
      </c>
      <c r="J281" s="2" t="s">
        <v>145</v>
      </c>
      <c r="K281" s="2" t="s">
        <v>137</v>
      </c>
      <c r="L281" s="2" t="s">
        <v>137</v>
      </c>
      <c r="M281" s="2" t="s">
        <v>692</v>
      </c>
      <c r="N281" s="2" t="s">
        <v>369</v>
      </c>
      <c r="O281" s="2" t="s">
        <v>153</v>
      </c>
    </row>
    <row r="282" customFormat="false" ht="15" hidden="false" customHeight="false" outlineLevel="0" collapsed="false">
      <c r="A282" s="2" t="s">
        <v>1116</v>
      </c>
      <c r="B282" s="2" t="s">
        <v>1117</v>
      </c>
      <c r="C282" s="2" t="s">
        <v>697</v>
      </c>
      <c r="D282" s="2"/>
      <c r="E282" s="2" t="s">
        <v>492</v>
      </c>
      <c r="F282" s="2"/>
      <c r="G282" s="2" t="s">
        <v>368</v>
      </c>
      <c r="H282" s="2"/>
      <c r="I282" s="2" t="s">
        <v>569</v>
      </c>
      <c r="J282" s="2" t="s">
        <v>145</v>
      </c>
      <c r="K282" s="2" t="s">
        <v>137</v>
      </c>
      <c r="L282" s="2" t="s">
        <v>137</v>
      </c>
      <c r="M282" s="2" t="s">
        <v>698</v>
      </c>
      <c r="N282" s="2" t="s">
        <v>369</v>
      </c>
      <c r="O282" s="2" t="s">
        <v>153</v>
      </c>
    </row>
    <row r="283" customFormat="false" ht="15" hidden="false" customHeight="false" outlineLevel="0" collapsed="false">
      <c r="A283" s="2" t="s">
        <v>1116</v>
      </c>
      <c r="B283" s="2" t="s">
        <v>1117</v>
      </c>
      <c r="C283" s="2" t="s">
        <v>701</v>
      </c>
      <c r="D283" s="2"/>
      <c r="E283" s="2" t="s">
        <v>492</v>
      </c>
      <c r="F283" s="2"/>
      <c r="G283" s="2" t="s">
        <v>368</v>
      </c>
      <c r="H283" s="2"/>
      <c r="I283" s="2" t="s">
        <v>569</v>
      </c>
      <c r="J283" s="2" t="s">
        <v>145</v>
      </c>
      <c r="K283" s="2" t="s">
        <v>137</v>
      </c>
      <c r="L283" s="2" t="s">
        <v>137</v>
      </c>
      <c r="M283" s="2" t="s">
        <v>702</v>
      </c>
      <c r="N283" s="2" t="s">
        <v>369</v>
      </c>
      <c r="O283" s="2" t="s">
        <v>153</v>
      </c>
    </row>
    <row r="284" customFormat="false" ht="15" hidden="false" customHeight="false" outlineLevel="0" collapsed="false">
      <c r="A284" s="2" t="s">
        <v>1116</v>
      </c>
      <c r="B284" s="2" t="s">
        <v>1117</v>
      </c>
      <c r="C284" s="2" t="s">
        <v>711</v>
      </c>
      <c r="D284" s="2"/>
      <c r="E284" s="2" t="s">
        <v>492</v>
      </c>
      <c r="F284" s="2"/>
      <c r="G284" s="2" t="s">
        <v>368</v>
      </c>
      <c r="H284" s="2"/>
      <c r="I284" s="2" t="s">
        <v>569</v>
      </c>
      <c r="J284" s="2" t="s">
        <v>145</v>
      </c>
      <c r="K284" s="2" t="s">
        <v>137</v>
      </c>
      <c r="L284" s="2" t="s">
        <v>137</v>
      </c>
      <c r="M284" s="2" t="s">
        <v>712</v>
      </c>
      <c r="N284" s="2" t="s">
        <v>369</v>
      </c>
      <c r="O284" s="2" t="s">
        <v>153</v>
      </c>
    </row>
    <row r="285" customFormat="false" ht="15" hidden="false" customHeight="false" outlineLevel="0" collapsed="false">
      <c r="A285" s="2" t="s">
        <v>1116</v>
      </c>
      <c r="B285" s="2" t="s">
        <v>1117</v>
      </c>
      <c r="C285" s="2" t="s">
        <v>713</v>
      </c>
      <c r="D285" s="2"/>
      <c r="E285" s="2" t="s">
        <v>492</v>
      </c>
      <c r="F285" s="2"/>
      <c r="G285" s="2" t="s">
        <v>368</v>
      </c>
      <c r="H285" s="2"/>
      <c r="I285" s="2" t="s">
        <v>569</v>
      </c>
      <c r="J285" s="2" t="s">
        <v>145</v>
      </c>
      <c r="K285" s="2" t="s">
        <v>137</v>
      </c>
      <c r="L285" s="2" t="s">
        <v>137</v>
      </c>
      <c r="M285" s="2" t="s">
        <v>715</v>
      </c>
      <c r="N285" s="2" t="s">
        <v>369</v>
      </c>
      <c r="O285" s="2" t="s">
        <v>153</v>
      </c>
    </row>
    <row r="286" customFormat="false" ht="15" hidden="false" customHeight="false" outlineLevel="0" collapsed="false">
      <c r="A286" s="2" t="s">
        <v>1116</v>
      </c>
      <c r="B286" s="2" t="s">
        <v>1117</v>
      </c>
      <c r="C286" s="2" t="s">
        <v>716</v>
      </c>
      <c r="D286" s="2"/>
      <c r="E286" s="2" t="s">
        <v>492</v>
      </c>
      <c r="F286" s="2"/>
      <c r="G286" s="2" t="s">
        <v>368</v>
      </c>
      <c r="H286" s="2"/>
      <c r="I286" s="2" t="s">
        <v>569</v>
      </c>
      <c r="J286" s="2" t="s">
        <v>145</v>
      </c>
      <c r="K286" s="2" t="s">
        <v>137</v>
      </c>
      <c r="L286" s="2" t="s">
        <v>137</v>
      </c>
      <c r="M286" s="2" t="s">
        <v>717</v>
      </c>
      <c r="N286" s="2" t="s">
        <v>369</v>
      </c>
      <c r="O286" s="2" t="s">
        <v>153</v>
      </c>
    </row>
    <row r="287" customFormat="false" ht="15" hidden="false" customHeight="false" outlineLevel="0" collapsed="false">
      <c r="A287" s="2" t="s">
        <v>1116</v>
      </c>
      <c r="B287" s="2" t="s">
        <v>1117</v>
      </c>
      <c r="C287" s="2" t="s">
        <v>718</v>
      </c>
      <c r="D287" s="2"/>
      <c r="E287" s="2" t="s">
        <v>492</v>
      </c>
      <c r="F287" s="2"/>
      <c r="G287" s="2" t="s">
        <v>368</v>
      </c>
      <c r="H287" s="2"/>
      <c r="I287" s="2" t="s">
        <v>569</v>
      </c>
      <c r="J287" s="2" t="s">
        <v>145</v>
      </c>
      <c r="K287" s="2" t="s">
        <v>137</v>
      </c>
      <c r="L287" s="2" t="s">
        <v>137</v>
      </c>
      <c r="M287" s="2" t="s">
        <v>719</v>
      </c>
      <c r="N287" s="2" t="s">
        <v>369</v>
      </c>
      <c r="O287" s="2" t="s">
        <v>153</v>
      </c>
    </row>
    <row r="288" customFormat="false" ht="15" hidden="false" customHeight="false" outlineLevel="0" collapsed="false">
      <c r="A288" s="2" t="s">
        <v>1116</v>
      </c>
      <c r="B288" s="2" t="s">
        <v>1117</v>
      </c>
      <c r="C288" s="2" t="s">
        <v>720</v>
      </c>
      <c r="D288" s="2"/>
      <c r="E288" s="2" t="s">
        <v>492</v>
      </c>
      <c r="F288" s="2"/>
      <c r="G288" s="2" t="s">
        <v>368</v>
      </c>
      <c r="H288" s="2"/>
      <c r="I288" s="2" t="s">
        <v>569</v>
      </c>
      <c r="J288" s="2" t="s">
        <v>145</v>
      </c>
      <c r="K288" s="2" t="s">
        <v>137</v>
      </c>
      <c r="L288" s="2" t="s">
        <v>137</v>
      </c>
      <c r="M288" s="2" t="s">
        <v>721</v>
      </c>
      <c r="N288" s="2" t="s">
        <v>369</v>
      </c>
      <c r="O288" s="2" t="s">
        <v>153</v>
      </c>
    </row>
    <row r="289" customFormat="false" ht="15" hidden="false" customHeight="false" outlineLevel="0" collapsed="false">
      <c r="A289" s="2" t="s">
        <v>1116</v>
      </c>
      <c r="B289" s="2" t="s">
        <v>1117</v>
      </c>
      <c r="C289" s="2" t="s">
        <v>722</v>
      </c>
      <c r="D289" s="2"/>
      <c r="E289" s="2" t="s">
        <v>492</v>
      </c>
      <c r="F289" s="2"/>
      <c r="G289" s="2" t="s">
        <v>368</v>
      </c>
      <c r="H289" s="2"/>
      <c r="I289" s="2" t="s">
        <v>569</v>
      </c>
      <c r="J289" s="2" t="s">
        <v>145</v>
      </c>
      <c r="K289" s="2" t="s">
        <v>137</v>
      </c>
      <c r="L289" s="2" t="s">
        <v>137</v>
      </c>
      <c r="M289" s="2" t="s">
        <v>723</v>
      </c>
      <c r="N289" s="2" t="s">
        <v>369</v>
      </c>
      <c r="O289" s="2" t="s">
        <v>153</v>
      </c>
    </row>
    <row r="290" customFormat="false" ht="15" hidden="false" customHeight="false" outlineLevel="0" collapsed="false">
      <c r="A290" s="2" t="s">
        <v>1116</v>
      </c>
      <c r="B290" s="2" t="s">
        <v>1117</v>
      </c>
      <c r="C290" s="2" t="s">
        <v>728</v>
      </c>
      <c r="D290" s="2"/>
      <c r="E290" s="2" t="s">
        <v>492</v>
      </c>
      <c r="F290" s="2"/>
      <c r="G290" s="2" t="s">
        <v>368</v>
      </c>
      <c r="H290" s="2"/>
      <c r="I290" s="2" t="s">
        <v>569</v>
      </c>
      <c r="J290" s="2" t="s">
        <v>145</v>
      </c>
      <c r="K290" s="2" t="s">
        <v>137</v>
      </c>
      <c r="L290" s="2" t="s">
        <v>137</v>
      </c>
      <c r="M290" s="2" t="s">
        <v>729</v>
      </c>
      <c r="N290" s="2" t="s">
        <v>369</v>
      </c>
      <c r="O290" s="2" t="s">
        <v>153</v>
      </c>
    </row>
    <row r="291" customFormat="false" ht="15" hidden="false" customHeight="false" outlineLevel="0" collapsed="false">
      <c r="A291" s="2" t="s">
        <v>1116</v>
      </c>
      <c r="B291" s="2" t="s">
        <v>1117</v>
      </c>
      <c r="C291" s="2" t="s">
        <v>734</v>
      </c>
      <c r="D291" s="2"/>
      <c r="E291" s="2" t="s">
        <v>492</v>
      </c>
      <c r="F291" s="2"/>
      <c r="G291" s="2" t="s">
        <v>368</v>
      </c>
      <c r="H291" s="2"/>
      <c r="I291" s="2" t="s">
        <v>569</v>
      </c>
      <c r="J291" s="2" t="s">
        <v>145</v>
      </c>
      <c r="K291" s="2" t="s">
        <v>137</v>
      </c>
      <c r="L291" s="2" t="s">
        <v>137</v>
      </c>
      <c r="M291" s="2" t="s">
        <v>735</v>
      </c>
      <c r="N291" s="2" t="s">
        <v>369</v>
      </c>
      <c r="O291" s="2" t="s">
        <v>153</v>
      </c>
    </row>
    <row r="292" customFormat="false" ht="15" hidden="false" customHeight="false" outlineLevel="0" collapsed="false">
      <c r="A292" s="2" t="s">
        <v>1116</v>
      </c>
      <c r="B292" s="2" t="s">
        <v>1117</v>
      </c>
      <c r="C292" s="2" t="s">
        <v>736</v>
      </c>
      <c r="D292" s="2"/>
      <c r="E292" s="2" t="s">
        <v>492</v>
      </c>
      <c r="F292" s="2"/>
      <c r="G292" s="2" t="s">
        <v>368</v>
      </c>
      <c r="H292" s="2"/>
      <c r="I292" s="2" t="s">
        <v>569</v>
      </c>
      <c r="J292" s="2" t="s">
        <v>145</v>
      </c>
      <c r="K292" s="2" t="s">
        <v>137</v>
      </c>
      <c r="L292" s="2" t="s">
        <v>137</v>
      </c>
      <c r="M292" s="2" t="s">
        <v>737</v>
      </c>
      <c r="N292" s="2" t="s">
        <v>369</v>
      </c>
      <c r="O292" s="2" t="s">
        <v>153</v>
      </c>
    </row>
    <row r="293" customFormat="false" ht="15" hidden="false" customHeight="false" outlineLevel="0" collapsed="false">
      <c r="A293" s="2" t="s">
        <v>1116</v>
      </c>
      <c r="B293" s="2" t="s">
        <v>1117</v>
      </c>
      <c r="C293" s="2" t="s">
        <v>748</v>
      </c>
      <c r="D293" s="2"/>
      <c r="E293" s="2" t="s">
        <v>492</v>
      </c>
      <c r="F293" s="2"/>
      <c r="G293" s="2" t="s">
        <v>368</v>
      </c>
      <c r="H293" s="2"/>
      <c r="I293" s="2" t="s">
        <v>569</v>
      </c>
      <c r="J293" s="2" t="s">
        <v>145</v>
      </c>
      <c r="K293" s="2" t="s">
        <v>137</v>
      </c>
      <c r="L293" s="2" t="s">
        <v>137</v>
      </c>
      <c r="M293" s="2" t="s">
        <v>749</v>
      </c>
      <c r="N293" s="2" t="s">
        <v>369</v>
      </c>
      <c r="O293" s="2" t="s">
        <v>153</v>
      </c>
    </row>
    <row r="294" customFormat="false" ht="15" hidden="false" customHeight="false" outlineLevel="0" collapsed="false">
      <c r="A294" s="2" t="s">
        <v>1116</v>
      </c>
      <c r="B294" s="2" t="s">
        <v>1117</v>
      </c>
      <c r="C294" s="2" t="s">
        <v>752</v>
      </c>
      <c r="D294" s="2"/>
      <c r="E294" s="2" t="s">
        <v>492</v>
      </c>
      <c r="F294" s="2"/>
      <c r="G294" s="2" t="s">
        <v>368</v>
      </c>
      <c r="H294" s="2"/>
      <c r="I294" s="2" t="s">
        <v>569</v>
      </c>
      <c r="J294" s="2" t="s">
        <v>145</v>
      </c>
      <c r="K294" s="2" t="s">
        <v>137</v>
      </c>
      <c r="L294" s="2" t="s">
        <v>137</v>
      </c>
      <c r="M294" s="2" t="s">
        <v>753</v>
      </c>
      <c r="N294" s="2" t="s">
        <v>369</v>
      </c>
      <c r="O294" s="2" t="s">
        <v>153</v>
      </c>
    </row>
    <row r="295" customFormat="false" ht="15" hidden="false" customHeight="false" outlineLevel="0" collapsed="false">
      <c r="A295" s="2" t="s">
        <v>1116</v>
      </c>
      <c r="B295" s="2" t="s">
        <v>1117</v>
      </c>
      <c r="C295" s="2" t="s">
        <v>756</v>
      </c>
      <c r="D295" s="2"/>
      <c r="E295" s="2" t="s">
        <v>492</v>
      </c>
      <c r="F295" s="2"/>
      <c r="G295" s="2" t="s">
        <v>368</v>
      </c>
      <c r="H295" s="2"/>
      <c r="I295" s="2" t="s">
        <v>569</v>
      </c>
      <c r="J295" s="2" t="s">
        <v>145</v>
      </c>
      <c r="K295" s="2" t="s">
        <v>137</v>
      </c>
      <c r="L295" s="2" t="s">
        <v>137</v>
      </c>
      <c r="M295" s="2" t="s">
        <v>757</v>
      </c>
      <c r="N295" s="2" t="s">
        <v>369</v>
      </c>
      <c r="O295" s="2" t="s">
        <v>153</v>
      </c>
    </row>
    <row r="296" customFormat="false" ht="15" hidden="false" customHeight="false" outlineLevel="0" collapsed="false">
      <c r="A296" s="2" t="s">
        <v>1116</v>
      </c>
      <c r="B296" s="2" t="s">
        <v>1117</v>
      </c>
      <c r="C296" s="2" t="s">
        <v>758</v>
      </c>
      <c r="D296" s="2"/>
      <c r="E296" s="2" t="s">
        <v>492</v>
      </c>
      <c r="F296" s="2"/>
      <c r="G296" s="2" t="s">
        <v>368</v>
      </c>
      <c r="H296" s="2"/>
      <c r="I296" s="2" t="s">
        <v>569</v>
      </c>
      <c r="J296" s="2" t="s">
        <v>145</v>
      </c>
      <c r="K296" s="2" t="s">
        <v>137</v>
      </c>
      <c r="L296" s="2" t="s">
        <v>137</v>
      </c>
      <c r="M296" s="2" t="s">
        <v>759</v>
      </c>
      <c r="N296" s="2" t="s">
        <v>369</v>
      </c>
      <c r="O296" s="2" t="s">
        <v>153</v>
      </c>
    </row>
    <row r="297" customFormat="false" ht="15" hidden="false" customHeight="false" outlineLevel="0" collapsed="false">
      <c r="A297" s="2" t="s">
        <v>1116</v>
      </c>
      <c r="B297" s="2" t="s">
        <v>1117</v>
      </c>
      <c r="C297" s="2" t="s">
        <v>760</v>
      </c>
      <c r="D297" s="2"/>
      <c r="E297" s="2" t="s">
        <v>492</v>
      </c>
      <c r="F297" s="2"/>
      <c r="G297" s="2" t="s">
        <v>368</v>
      </c>
      <c r="H297" s="2"/>
      <c r="I297" s="2" t="s">
        <v>569</v>
      </c>
      <c r="J297" s="2" t="s">
        <v>145</v>
      </c>
      <c r="K297" s="2" t="s">
        <v>137</v>
      </c>
      <c r="L297" s="2" t="s">
        <v>137</v>
      </c>
      <c r="M297" s="2" t="s">
        <v>761</v>
      </c>
      <c r="N297" s="2" t="s">
        <v>369</v>
      </c>
      <c r="O297" s="2" t="s">
        <v>153</v>
      </c>
    </row>
    <row r="298" customFormat="false" ht="15" hidden="false" customHeight="false" outlineLevel="0" collapsed="false">
      <c r="A298" s="2" t="s">
        <v>1116</v>
      </c>
      <c r="B298" s="2" t="s">
        <v>1117</v>
      </c>
      <c r="C298" s="2" t="s">
        <v>766</v>
      </c>
      <c r="D298" s="2"/>
      <c r="E298" s="2" t="s">
        <v>492</v>
      </c>
      <c r="F298" s="2"/>
      <c r="G298" s="2" t="s">
        <v>368</v>
      </c>
      <c r="H298" s="2"/>
      <c r="I298" s="2" t="s">
        <v>569</v>
      </c>
      <c r="J298" s="2" t="s">
        <v>145</v>
      </c>
      <c r="K298" s="2" t="s">
        <v>137</v>
      </c>
      <c r="L298" s="2" t="s">
        <v>137</v>
      </c>
      <c r="M298" s="2" t="s">
        <v>767</v>
      </c>
      <c r="N298" s="2" t="s">
        <v>369</v>
      </c>
      <c r="O298" s="2" t="s">
        <v>153</v>
      </c>
    </row>
    <row r="299" customFormat="false" ht="15" hidden="false" customHeight="false" outlineLevel="0" collapsed="false">
      <c r="A299" s="2" t="s">
        <v>1116</v>
      </c>
      <c r="B299" s="2" t="s">
        <v>1117</v>
      </c>
      <c r="C299" s="2" t="s">
        <v>770</v>
      </c>
      <c r="D299" s="2"/>
      <c r="E299" s="2" t="s">
        <v>492</v>
      </c>
      <c r="F299" s="2"/>
      <c r="G299" s="2" t="s">
        <v>368</v>
      </c>
      <c r="H299" s="2"/>
      <c r="I299" s="2" t="s">
        <v>569</v>
      </c>
      <c r="J299" s="2" t="s">
        <v>145</v>
      </c>
      <c r="K299" s="2" t="s">
        <v>137</v>
      </c>
      <c r="L299" s="2" t="s">
        <v>137</v>
      </c>
      <c r="M299" s="2" t="s">
        <v>771</v>
      </c>
      <c r="N299" s="2" t="s">
        <v>369</v>
      </c>
      <c r="O299" s="2" t="s">
        <v>153</v>
      </c>
    </row>
    <row r="300" customFormat="false" ht="15" hidden="false" customHeight="false" outlineLevel="0" collapsed="false">
      <c r="A300" s="2" t="s">
        <v>1116</v>
      </c>
      <c r="B300" s="2" t="s">
        <v>1117</v>
      </c>
      <c r="C300" s="2" t="s">
        <v>776</v>
      </c>
      <c r="D300" s="2"/>
      <c r="E300" s="2" t="s">
        <v>492</v>
      </c>
      <c r="F300" s="2"/>
      <c r="G300" s="2" t="s">
        <v>368</v>
      </c>
      <c r="H300" s="2"/>
      <c r="I300" s="2" t="s">
        <v>569</v>
      </c>
      <c r="J300" s="2" t="s">
        <v>145</v>
      </c>
      <c r="K300" s="2" t="s">
        <v>137</v>
      </c>
      <c r="L300" s="2" t="s">
        <v>137</v>
      </c>
      <c r="M300" s="2" t="s">
        <v>777</v>
      </c>
      <c r="N300" s="2" t="s">
        <v>369</v>
      </c>
      <c r="O300" s="2" t="s">
        <v>153</v>
      </c>
    </row>
    <row r="301" customFormat="false" ht="15" hidden="false" customHeight="false" outlineLevel="0" collapsed="false">
      <c r="A301" s="2" t="s">
        <v>1116</v>
      </c>
      <c r="B301" s="2" t="s">
        <v>1117</v>
      </c>
      <c r="C301" s="2" t="s">
        <v>780</v>
      </c>
      <c r="D301" s="2"/>
      <c r="E301" s="2" t="s">
        <v>492</v>
      </c>
      <c r="F301" s="2"/>
      <c r="G301" s="2" t="s">
        <v>368</v>
      </c>
      <c r="H301" s="2"/>
      <c r="I301" s="2" t="s">
        <v>569</v>
      </c>
      <c r="J301" s="2" t="s">
        <v>145</v>
      </c>
      <c r="K301" s="2" t="s">
        <v>137</v>
      </c>
      <c r="L301" s="2" t="s">
        <v>137</v>
      </c>
      <c r="M301" s="2" t="s">
        <v>781</v>
      </c>
      <c r="N301" s="2" t="s">
        <v>369</v>
      </c>
      <c r="O301" s="2" t="s">
        <v>153</v>
      </c>
    </row>
    <row r="302" customFormat="false" ht="15" hidden="false" customHeight="false" outlineLevel="0" collapsed="false">
      <c r="A302" s="2" t="s">
        <v>1116</v>
      </c>
      <c r="B302" s="2" t="s">
        <v>1117</v>
      </c>
      <c r="C302" s="2" t="s">
        <v>786</v>
      </c>
      <c r="D302" s="2"/>
      <c r="E302" s="2" t="s">
        <v>492</v>
      </c>
      <c r="F302" s="2"/>
      <c r="G302" s="2" t="s">
        <v>368</v>
      </c>
      <c r="H302" s="2"/>
      <c r="I302" s="2" t="s">
        <v>569</v>
      </c>
      <c r="J302" s="2" t="s">
        <v>145</v>
      </c>
      <c r="K302" s="2" t="s">
        <v>137</v>
      </c>
      <c r="L302" s="2" t="s">
        <v>137</v>
      </c>
      <c r="M302" s="2" t="s">
        <v>787</v>
      </c>
      <c r="N302" s="2" t="s">
        <v>369</v>
      </c>
      <c r="O302" s="2" t="s">
        <v>153</v>
      </c>
    </row>
    <row r="303" customFormat="false" ht="15" hidden="false" customHeight="false" outlineLevel="0" collapsed="false">
      <c r="A303" s="2" t="s">
        <v>1116</v>
      </c>
      <c r="B303" s="2" t="s">
        <v>1117</v>
      </c>
      <c r="C303" s="2" t="s">
        <v>788</v>
      </c>
      <c r="D303" s="2"/>
      <c r="E303" s="2" t="s">
        <v>492</v>
      </c>
      <c r="F303" s="2"/>
      <c r="G303" s="2" t="s">
        <v>368</v>
      </c>
      <c r="H303" s="2"/>
      <c r="I303" s="2" t="s">
        <v>569</v>
      </c>
      <c r="J303" s="2" t="s">
        <v>145</v>
      </c>
      <c r="K303" s="2" t="s">
        <v>137</v>
      </c>
      <c r="L303" s="2" t="s">
        <v>137</v>
      </c>
      <c r="M303" s="2" t="s">
        <v>789</v>
      </c>
      <c r="N303" s="2" t="s">
        <v>369</v>
      </c>
      <c r="O303" s="2" t="s">
        <v>153</v>
      </c>
    </row>
    <row r="304" customFormat="false" ht="15" hidden="false" customHeight="false" outlineLevel="0" collapsed="false">
      <c r="A304" s="2" t="s">
        <v>1116</v>
      </c>
      <c r="B304" s="2" t="s">
        <v>1117</v>
      </c>
      <c r="C304" s="2" t="s">
        <v>792</v>
      </c>
      <c r="D304" s="2"/>
      <c r="E304" s="2" t="s">
        <v>492</v>
      </c>
      <c r="F304" s="2"/>
      <c r="G304" s="2" t="s">
        <v>368</v>
      </c>
      <c r="H304" s="2"/>
      <c r="I304" s="2" t="s">
        <v>569</v>
      </c>
      <c r="J304" s="2" t="s">
        <v>145</v>
      </c>
      <c r="K304" s="2" t="s">
        <v>137</v>
      </c>
      <c r="L304" s="2" t="s">
        <v>137</v>
      </c>
      <c r="M304" s="2" t="s">
        <v>793</v>
      </c>
      <c r="N304" s="2" t="s">
        <v>369</v>
      </c>
      <c r="O304" s="2" t="s">
        <v>153</v>
      </c>
    </row>
    <row r="305" customFormat="false" ht="15" hidden="false" customHeight="false" outlineLevel="0" collapsed="false">
      <c r="A305" s="2" t="s">
        <v>1116</v>
      </c>
      <c r="B305" s="2" t="s">
        <v>1117</v>
      </c>
      <c r="C305" s="2" t="s">
        <v>796</v>
      </c>
      <c r="D305" s="2"/>
      <c r="E305" s="2" t="s">
        <v>492</v>
      </c>
      <c r="F305" s="2"/>
      <c r="G305" s="2" t="s">
        <v>368</v>
      </c>
      <c r="H305" s="2"/>
      <c r="I305" s="2" t="s">
        <v>569</v>
      </c>
      <c r="J305" s="2" t="s">
        <v>145</v>
      </c>
      <c r="K305" s="2" t="s">
        <v>137</v>
      </c>
      <c r="L305" s="2" t="s">
        <v>137</v>
      </c>
      <c r="M305" s="2" t="s">
        <v>797</v>
      </c>
      <c r="N305" s="2" t="s">
        <v>369</v>
      </c>
      <c r="O305" s="2" t="s">
        <v>153</v>
      </c>
    </row>
    <row r="306" customFormat="false" ht="15" hidden="false" customHeight="false" outlineLevel="0" collapsed="false">
      <c r="A306" s="2" t="s">
        <v>1116</v>
      </c>
      <c r="B306" s="2" t="s">
        <v>1117</v>
      </c>
      <c r="C306" s="2" t="s">
        <v>806</v>
      </c>
      <c r="D306" s="2"/>
      <c r="E306" s="2" t="s">
        <v>492</v>
      </c>
      <c r="F306" s="2"/>
      <c r="G306" s="2" t="s">
        <v>368</v>
      </c>
      <c r="H306" s="2"/>
      <c r="I306" s="2" t="s">
        <v>569</v>
      </c>
      <c r="J306" s="2" t="s">
        <v>145</v>
      </c>
      <c r="K306" s="2" t="s">
        <v>137</v>
      </c>
      <c r="L306" s="2" t="s">
        <v>137</v>
      </c>
      <c r="M306" s="2" t="s">
        <v>807</v>
      </c>
      <c r="N306" s="2" t="s">
        <v>369</v>
      </c>
      <c r="O306" s="2" t="s">
        <v>153</v>
      </c>
    </row>
    <row r="307" customFormat="false" ht="15" hidden="false" customHeight="false" outlineLevel="0" collapsed="false">
      <c r="A307" s="2" t="s">
        <v>1116</v>
      </c>
      <c r="B307" s="2" t="s">
        <v>1117</v>
      </c>
      <c r="C307" s="2" t="s">
        <v>808</v>
      </c>
      <c r="D307" s="2"/>
      <c r="E307" s="2" t="s">
        <v>492</v>
      </c>
      <c r="F307" s="2"/>
      <c r="G307" s="2" t="s">
        <v>368</v>
      </c>
      <c r="H307" s="2"/>
      <c r="I307" s="2" t="s">
        <v>569</v>
      </c>
      <c r="J307" s="2" t="s">
        <v>145</v>
      </c>
      <c r="K307" s="2" t="s">
        <v>137</v>
      </c>
      <c r="L307" s="2" t="s">
        <v>137</v>
      </c>
      <c r="M307" s="2" t="s">
        <v>809</v>
      </c>
      <c r="N307" s="2" t="s">
        <v>369</v>
      </c>
      <c r="O307" s="2" t="s">
        <v>153</v>
      </c>
    </row>
    <row r="308" customFormat="false" ht="15" hidden="false" customHeight="false" outlineLevel="0" collapsed="false">
      <c r="A308" s="2" t="s">
        <v>1116</v>
      </c>
      <c r="B308" s="2" t="s">
        <v>1117</v>
      </c>
      <c r="C308" s="2" t="s">
        <v>810</v>
      </c>
      <c r="D308" s="2"/>
      <c r="E308" s="2" t="s">
        <v>492</v>
      </c>
      <c r="F308" s="2"/>
      <c r="G308" s="2" t="s">
        <v>368</v>
      </c>
      <c r="H308" s="2"/>
      <c r="I308" s="2" t="s">
        <v>569</v>
      </c>
      <c r="J308" s="2" t="s">
        <v>145</v>
      </c>
      <c r="K308" s="2" t="s">
        <v>137</v>
      </c>
      <c r="L308" s="2" t="s">
        <v>137</v>
      </c>
      <c r="M308" s="2" t="s">
        <v>811</v>
      </c>
      <c r="N308" s="2" t="s">
        <v>369</v>
      </c>
      <c r="O308" s="2" t="s">
        <v>153</v>
      </c>
    </row>
    <row r="309" customFormat="false" ht="15" hidden="false" customHeight="false" outlineLevel="0" collapsed="false">
      <c r="A309" s="2" t="s">
        <v>1116</v>
      </c>
      <c r="B309" s="2" t="s">
        <v>1117</v>
      </c>
      <c r="C309" s="2" t="s">
        <v>816</v>
      </c>
      <c r="D309" s="2"/>
      <c r="E309" s="2" t="s">
        <v>492</v>
      </c>
      <c r="F309" s="2"/>
      <c r="G309" s="2" t="s">
        <v>368</v>
      </c>
      <c r="H309" s="2"/>
      <c r="I309" s="2" t="s">
        <v>569</v>
      </c>
      <c r="J309" s="2" t="s">
        <v>145</v>
      </c>
      <c r="K309" s="2" t="s">
        <v>137</v>
      </c>
      <c r="L309" s="2" t="s">
        <v>137</v>
      </c>
      <c r="M309" s="2" t="s">
        <v>817</v>
      </c>
      <c r="N309" s="2" t="s">
        <v>369</v>
      </c>
      <c r="O309" s="2" t="s">
        <v>153</v>
      </c>
    </row>
    <row r="310" customFormat="false" ht="15" hidden="false" customHeight="false" outlineLevel="0" collapsed="false">
      <c r="A310" s="2" t="s">
        <v>1116</v>
      </c>
      <c r="B310" s="2" t="s">
        <v>1117</v>
      </c>
      <c r="C310" s="2" t="s">
        <v>820</v>
      </c>
      <c r="D310" s="2"/>
      <c r="E310" s="2" t="s">
        <v>492</v>
      </c>
      <c r="F310" s="2"/>
      <c r="G310" s="2" t="s">
        <v>368</v>
      </c>
      <c r="H310" s="2"/>
      <c r="I310" s="2" t="s">
        <v>569</v>
      </c>
      <c r="J310" s="2" t="s">
        <v>145</v>
      </c>
      <c r="K310" s="2" t="s">
        <v>137</v>
      </c>
      <c r="L310" s="2" t="s">
        <v>137</v>
      </c>
      <c r="M310" s="2" t="s">
        <v>821</v>
      </c>
      <c r="N310" s="2" t="s">
        <v>369</v>
      </c>
      <c r="O310" s="2" t="s">
        <v>153</v>
      </c>
    </row>
    <row r="311" customFormat="false" ht="15" hidden="false" customHeight="false" outlineLevel="0" collapsed="false">
      <c r="A311" s="2" t="s">
        <v>1116</v>
      </c>
      <c r="B311" s="2" t="s">
        <v>1117</v>
      </c>
      <c r="C311" s="2" t="s">
        <v>564</v>
      </c>
      <c r="D311" s="2"/>
      <c r="E311" s="2" t="s">
        <v>542</v>
      </c>
      <c r="F311" s="2"/>
      <c r="G311" s="2" t="s">
        <v>368</v>
      </c>
      <c r="H311" s="2"/>
      <c r="I311" s="2" t="s">
        <v>451</v>
      </c>
      <c r="J311" s="2" t="s">
        <v>145</v>
      </c>
      <c r="K311" s="2" t="s">
        <v>137</v>
      </c>
      <c r="L311" s="2" t="s">
        <v>137</v>
      </c>
      <c r="M311" s="2" t="s">
        <v>565</v>
      </c>
      <c r="N311" s="2" t="s">
        <v>369</v>
      </c>
      <c r="O311" s="2" t="s">
        <v>153</v>
      </c>
    </row>
    <row r="312" customFormat="false" ht="15" hidden="false" customHeight="false" outlineLevel="0" collapsed="false">
      <c r="A312" s="2" t="s">
        <v>1116</v>
      </c>
      <c r="B312" s="2" t="s">
        <v>1117</v>
      </c>
      <c r="C312" s="2" t="s">
        <v>824</v>
      </c>
      <c r="D312" s="2"/>
      <c r="E312" s="2" t="s">
        <v>492</v>
      </c>
      <c r="F312" s="2"/>
      <c r="G312" s="2" t="s">
        <v>368</v>
      </c>
      <c r="H312" s="2"/>
      <c r="I312" s="2" t="s">
        <v>569</v>
      </c>
      <c r="J312" s="2" t="s">
        <v>145</v>
      </c>
      <c r="K312" s="2" t="s">
        <v>137</v>
      </c>
      <c r="L312" s="2" t="s">
        <v>137</v>
      </c>
      <c r="M312" s="2" t="s">
        <v>825</v>
      </c>
      <c r="N312" s="2" t="s">
        <v>369</v>
      </c>
      <c r="O312" s="2" t="s">
        <v>153</v>
      </c>
    </row>
    <row r="313" customFormat="false" ht="15" hidden="false" customHeight="false" outlineLevel="0" collapsed="false">
      <c r="A313" s="2" t="s">
        <v>1116</v>
      </c>
      <c r="B313" s="2" t="s">
        <v>1117</v>
      </c>
      <c r="C313" s="2" t="s">
        <v>836</v>
      </c>
      <c r="D313" s="2"/>
      <c r="E313" s="2" t="s">
        <v>492</v>
      </c>
      <c r="F313" s="2"/>
      <c r="G313" s="2" t="s">
        <v>368</v>
      </c>
      <c r="H313" s="2"/>
      <c r="I313" s="2" t="s">
        <v>569</v>
      </c>
      <c r="J313" s="2" t="s">
        <v>145</v>
      </c>
      <c r="K313" s="2" t="s">
        <v>137</v>
      </c>
      <c r="L313" s="2" t="s">
        <v>137</v>
      </c>
      <c r="M313" s="2" t="s">
        <v>837</v>
      </c>
      <c r="N313" s="2" t="s">
        <v>369</v>
      </c>
      <c r="O313" s="2" t="s">
        <v>153</v>
      </c>
    </row>
    <row r="314" customFormat="false" ht="15" hidden="false" customHeight="false" outlineLevel="0" collapsed="false">
      <c r="A314" s="2" t="s">
        <v>1116</v>
      </c>
      <c r="B314" s="2" t="s">
        <v>1117</v>
      </c>
      <c r="C314" s="2" t="s">
        <v>840</v>
      </c>
      <c r="D314" s="2"/>
      <c r="E314" s="2" t="s">
        <v>492</v>
      </c>
      <c r="F314" s="2"/>
      <c r="G314" s="2" t="s">
        <v>368</v>
      </c>
      <c r="H314" s="2"/>
      <c r="I314" s="2" t="s">
        <v>569</v>
      </c>
      <c r="J314" s="2" t="s">
        <v>145</v>
      </c>
      <c r="K314" s="2" t="s">
        <v>137</v>
      </c>
      <c r="L314" s="2" t="s">
        <v>137</v>
      </c>
      <c r="M314" s="2" t="s">
        <v>841</v>
      </c>
      <c r="N314" s="2" t="s">
        <v>369</v>
      </c>
      <c r="O314" s="2" t="s">
        <v>153</v>
      </c>
    </row>
    <row r="315" customFormat="false" ht="15" hidden="false" customHeight="false" outlineLevel="0" collapsed="false">
      <c r="A315" s="2" t="s">
        <v>1116</v>
      </c>
      <c r="B315" s="2" t="s">
        <v>1117</v>
      </c>
      <c r="C315" s="2" t="s">
        <v>850</v>
      </c>
      <c r="D315" s="2"/>
      <c r="E315" s="2" t="s">
        <v>492</v>
      </c>
      <c r="F315" s="2"/>
      <c r="G315" s="2" t="s">
        <v>368</v>
      </c>
      <c r="H315" s="2"/>
      <c r="I315" s="2" t="s">
        <v>569</v>
      </c>
      <c r="J315" s="2" t="s">
        <v>145</v>
      </c>
      <c r="K315" s="2" t="s">
        <v>137</v>
      </c>
      <c r="L315" s="2" t="s">
        <v>137</v>
      </c>
      <c r="M315" s="2" t="s">
        <v>851</v>
      </c>
      <c r="N315" s="2" t="s">
        <v>369</v>
      </c>
      <c r="O315" s="2" t="s">
        <v>153</v>
      </c>
    </row>
    <row r="316" customFormat="false" ht="15" hidden="false" customHeight="false" outlineLevel="0" collapsed="false">
      <c r="A316" s="2" t="s">
        <v>1116</v>
      </c>
      <c r="B316" s="2" t="s">
        <v>1117</v>
      </c>
      <c r="C316" s="2" t="s">
        <v>852</v>
      </c>
      <c r="D316" s="2"/>
      <c r="E316" s="2" t="s">
        <v>492</v>
      </c>
      <c r="F316" s="2"/>
      <c r="G316" s="2" t="s">
        <v>368</v>
      </c>
      <c r="H316" s="2"/>
      <c r="I316" s="2" t="s">
        <v>569</v>
      </c>
      <c r="J316" s="2" t="s">
        <v>145</v>
      </c>
      <c r="K316" s="2" t="s">
        <v>137</v>
      </c>
      <c r="L316" s="2" t="s">
        <v>137</v>
      </c>
      <c r="M316" s="2" t="s">
        <v>853</v>
      </c>
      <c r="N316" s="2" t="s">
        <v>369</v>
      </c>
      <c r="O316" s="2" t="s">
        <v>153</v>
      </c>
    </row>
    <row r="317" customFormat="false" ht="15" hidden="false" customHeight="false" outlineLevel="0" collapsed="false">
      <c r="A317" s="2" t="s">
        <v>1116</v>
      </c>
      <c r="B317" s="2" t="s">
        <v>1117</v>
      </c>
      <c r="C317" s="2" t="s">
        <v>854</v>
      </c>
      <c r="D317" s="2"/>
      <c r="E317" s="2" t="s">
        <v>492</v>
      </c>
      <c r="F317" s="2"/>
      <c r="G317" s="2" t="s">
        <v>368</v>
      </c>
      <c r="H317" s="2"/>
      <c r="I317" s="2" t="s">
        <v>569</v>
      </c>
      <c r="J317" s="2" t="s">
        <v>145</v>
      </c>
      <c r="K317" s="2" t="s">
        <v>137</v>
      </c>
      <c r="L317" s="2" t="s">
        <v>137</v>
      </c>
      <c r="M317" s="2" t="s">
        <v>855</v>
      </c>
      <c r="N317" s="2" t="s">
        <v>369</v>
      </c>
      <c r="O317" s="2" t="s">
        <v>153</v>
      </c>
    </row>
    <row r="318" customFormat="false" ht="15" hidden="false" customHeight="false" outlineLevel="0" collapsed="false">
      <c r="A318" s="2" t="s">
        <v>1116</v>
      </c>
      <c r="B318" s="2" t="s">
        <v>1117</v>
      </c>
      <c r="C318" s="2" t="s">
        <v>856</v>
      </c>
      <c r="D318" s="2"/>
      <c r="E318" s="2" t="s">
        <v>492</v>
      </c>
      <c r="F318" s="2"/>
      <c r="G318" s="2" t="s">
        <v>368</v>
      </c>
      <c r="H318" s="2"/>
      <c r="I318" s="2" t="s">
        <v>569</v>
      </c>
      <c r="J318" s="2" t="s">
        <v>145</v>
      </c>
      <c r="K318" s="2" t="s">
        <v>137</v>
      </c>
      <c r="L318" s="2" t="s">
        <v>137</v>
      </c>
      <c r="M318" s="2" t="s">
        <v>857</v>
      </c>
      <c r="N318" s="2" t="s">
        <v>369</v>
      </c>
      <c r="O318" s="2" t="s">
        <v>153</v>
      </c>
    </row>
    <row r="319" customFormat="false" ht="15" hidden="false" customHeight="false" outlineLevel="0" collapsed="false">
      <c r="A319" s="2" t="s">
        <v>1116</v>
      </c>
      <c r="B319" s="2" t="s">
        <v>1117</v>
      </c>
      <c r="C319" s="2" t="s">
        <v>860</v>
      </c>
      <c r="D319" s="2"/>
      <c r="E319" s="2" t="s">
        <v>492</v>
      </c>
      <c r="F319" s="2"/>
      <c r="G319" s="2" t="s">
        <v>368</v>
      </c>
      <c r="H319" s="2"/>
      <c r="I319" s="2" t="s">
        <v>569</v>
      </c>
      <c r="J319" s="2" t="s">
        <v>145</v>
      </c>
      <c r="K319" s="2" t="s">
        <v>137</v>
      </c>
      <c r="L319" s="2" t="s">
        <v>137</v>
      </c>
      <c r="M319" s="2" t="s">
        <v>861</v>
      </c>
      <c r="N319" s="2" t="s">
        <v>369</v>
      </c>
      <c r="O319" s="2" t="s">
        <v>153</v>
      </c>
    </row>
    <row r="320" customFormat="false" ht="15" hidden="false" customHeight="false" outlineLevel="0" collapsed="false">
      <c r="A320" s="2" t="s">
        <v>1116</v>
      </c>
      <c r="B320" s="2" t="s">
        <v>1117</v>
      </c>
      <c r="C320" s="2" t="s">
        <v>868</v>
      </c>
      <c r="D320" s="2"/>
      <c r="E320" s="2" t="s">
        <v>492</v>
      </c>
      <c r="F320" s="2"/>
      <c r="G320" s="2" t="s">
        <v>368</v>
      </c>
      <c r="H320" s="2"/>
      <c r="I320" s="2" t="s">
        <v>569</v>
      </c>
      <c r="J320" s="2" t="s">
        <v>145</v>
      </c>
      <c r="K320" s="2" t="s">
        <v>137</v>
      </c>
      <c r="L320" s="2" t="s">
        <v>137</v>
      </c>
      <c r="M320" s="2" t="s">
        <v>869</v>
      </c>
      <c r="N320" s="2" t="s">
        <v>369</v>
      </c>
      <c r="O320" s="2" t="s">
        <v>153</v>
      </c>
    </row>
    <row r="321" customFormat="false" ht="15" hidden="false" customHeight="false" outlineLevel="0" collapsed="false">
      <c r="A321" s="2" t="s">
        <v>1116</v>
      </c>
      <c r="B321" s="2" t="s">
        <v>1117</v>
      </c>
      <c r="C321" s="2" t="s">
        <v>872</v>
      </c>
      <c r="D321" s="2"/>
      <c r="E321" s="2" t="s">
        <v>492</v>
      </c>
      <c r="F321" s="2"/>
      <c r="G321" s="2" t="s">
        <v>368</v>
      </c>
      <c r="H321" s="2"/>
      <c r="I321" s="2" t="s">
        <v>569</v>
      </c>
      <c r="J321" s="2" t="s">
        <v>145</v>
      </c>
      <c r="K321" s="2" t="s">
        <v>137</v>
      </c>
      <c r="L321" s="2" t="s">
        <v>137</v>
      </c>
      <c r="M321" s="2" t="s">
        <v>873</v>
      </c>
      <c r="N321" s="2" t="s">
        <v>369</v>
      </c>
      <c r="O321" s="2" t="s">
        <v>153</v>
      </c>
    </row>
    <row r="322" customFormat="false" ht="15" hidden="false" customHeight="false" outlineLevel="0" collapsed="false">
      <c r="A322" s="2" t="s">
        <v>1116</v>
      </c>
      <c r="B322" s="2" t="s">
        <v>1117</v>
      </c>
      <c r="C322" s="2" t="s">
        <v>876</v>
      </c>
      <c r="D322" s="2"/>
      <c r="E322" s="2" t="s">
        <v>492</v>
      </c>
      <c r="F322" s="2"/>
      <c r="G322" s="2" t="s">
        <v>368</v>
      </c>
      <c r="H322" s="2"/>
      <c r="I322" s="2" t="s">
        <v>569</v>
      </c>
      <c r="J322" s="2" t="s">
        <v>145</v>
      </c>
      <c r="K322" s="2" t="s">
        <v>137</v>
      </c>
      <c r="L322" s="2" t="s">
        <v>137</v>
      </c>
      <c r="M322" s="2" t="s">
        <v>877</v>
      </c>
      <c r="N322" s="2" t="s">
        <v>369</v>
      </c>
      <c r="O322" s="2" t="s">
        <v>153</v>
      </c>
    </row>
    <row r="323" customFormat="false" ht="15" hidden="false" customHeight="false" outlineLevel="0" collapsed="false">
      <c r="A323" s="2" t="s">
        <v>1116</v>
      </c>
      <c r="B323" s="2" t="s">
        <v>1117</v>
      </c>
      <c r="C323" s="2" t="s">
        <v>880</v>
      </c>
      <c r="D323" s="2"/>
      <c r="E323" s="2" t="s">
        <v>492</v>
      </c>
      <c r="F323" s="2"/>
      <c r="G323" s="2" t="s">
        <v>368</v>
      </c>
      <c r="H323" s="2"/>
      <c r="I323" s="2" t="s">
        <v>569</v>
      </c>
      <c r="J323" s="2" t="s">
        <v>145</v>
      </c>
      <c r="K323" s="2" t="s">
        <v>137</v>
      </c>
      <c r="L323" s="2" t="s">
        <v>137</v>
      </c>
      <c r="M323" s="2" t="s">
        <v>881</v>
      </c>
      <c r="N323" s="2" t="s">
        <v>369</v>
      </c>
      <c r="O323" s="2" t="s">
        <v>153</v>
      </c>
    </row>
    <row r="324" customFormat="false" ht="15" hidden="false" customHeight="false" outlineLevel="0" collapsed="false">
      <c r="A324" s="2" t="s">
        <v>1116</v>
      </c>
      <c r="B324" s="2" t="s">
        <v>1117</v>
      </c>
      <c r="C324" s="2" t="s">
        <v>882</v>
      </c>
      <c r="D324" s="2"/>
      <c r="E324" s="2" t="s">
        <v>492</v>
      </c>
      <c r="F324" s="2"/>
      <c r="G324" s="2" t="s">
        <v>368</v>
      </c>
      <c r="H324" s="2"/>
      <c r="I324" s="2" t="s">
        <v>569</v>
      </c>
      <c r="J324" s="2" t="s">
        <v>145</v>
      </c>
      <c r="K324" s="2" t="s">
        <v>137</v>
      </c>
      <c r="L324" s="2" t="s">
        <v>137</v>
      </c>
      <c r="M324" s="2" t="s">
        <v>883</v>
      </c>
      <c r="N324" s="2" t="s">
        <v>369</v>
      </c>
      <c r="O324" s="2" t="s">
        <v>153</v>
      </c>
    </row>
    <row r="325" customFormat="false" ht="15" hidden="false" customHeight="false" outlineLevel="0" collapsed="false">
      <c r="A325" s="2" t="s">
        <v>1116</v>
      </c>
      <c r="B325" s="2" t="s">
        <v>1117</v>
      </c>
      <c r="C325" s="2" t="s">
        <v>884</v>
      </c>
      <c r="D325" s="2"/>
      <c r="E325" s="2" t="s">
        <v>492</v>
      </c>
      <c r="F325" s="2"/>
      <c r="G325" s="2" t="s">
        <v>368</v>
      </c>
      <c r="H325" s="2"/>
      <c r="I325" s="2" t="s">
        <v>569</v>
      </c>
      <c r="J325" s="2" t="s">
        <v>145</v>
      </c>
      <c r="K325" s="2" t="s">
        <v>137</v>
      </c>
      <c r="L325" s="2" t="s">
        <v>137</v>
      </c>
      <c r="M325" s="2" t="s">
        <v>885</v>
      </c>
      <c r="N325" s="2" t="s">
        <v>369</v>
      </c>
      <c r="O325" s="2" t="s">
        <v>153</v>
      </c>
    </row>
    <row r="326" customFormat="false" ht="15" hidden="false" customHeight="false" outlineLevel="0" collapsed="false">
      <c r="A326" s="2" t="s">
        <v>1116</v>
      </c>
      <c r="B326" s="2" t="s">
        <v>1117</v>
      </c>
      <c r="C326" s="2" t="s">
        <v>888</v>
      </c>
      <c r="D326" s="2"/>
      <c r="E326" s="2" t="s">
        <v>492</v>
      </c>
      <c r="F326" s="2"/>
      <c r="G326" s="2" t="s">
        <v>368</v>
      </c>
      <c r="H326" s="2"/>
      <c r="I326" s="2" t="s">
        <v>569</v>
      </c>
      <c r="J326" s="2" t="s">
        <v>145</v>
      </c>
      <c r="K326" s="2" t="s">
        <v>137</v>
      </c>
      <c r="L326" s="2" t="s">
        <v>137</v>
      </c>
      <c r="M326" s="2" t="s">
        <v>889</v>
      </c>
      <c r="N326" s="2" t="s">
        <v>369</v>
      </c>
      <c r="O326" s="2" t="s">
        <v>153</v>
      </c>
    </row>
    <row r="327" customFormat="false" ht="15" hidden="false" customHeight="false" outlineLevel="0" collapsed="false">
      <c r="A327" s="2" t="s">
        <v>1116</v>
      </c>
      <c r="B327" s="2" t="s">
        <v>1117</v>
      </c>
      <c r="C327" s="2" t="s">
        <v>892</v>
      </c>
      <c r="D327" s="2"/>
      <c r="E327" s="2" t="s">
        <v>492</v>
      </c>
      <c r="F327" s="2"/>
      <c r="G327" s="2" t="s">
        <v>368</v>
      </c>
      <c r="H327" s="2"/>
      <c r="I327" s="2" t="s">
        <v>569</v>
      </c>
      <c r="J327" s="2" t="s">
        <v>145</v>
      </c>
      <c r="K327" s="2" t="s">
        <v>137</v>
      </c>
      <c r="L327" s="2" t="s">
        <v>137</v>
      </c>
      <c r="M327" s="2" t="s">
        <v>893</v>
      </c>
      <c r="N327" s="2" t="s">
        <v>369</v>
      </c>
      <c r="O327" s="2" t="s">
        <v>153</v>
      </c>
    </row>
    <row r="328" customFormat="false" ht="15" hidden="false" customHeight="false" outlineLevel="0" collapsed="false">
      <c r="A328" s="2" t="s">
        <v>1116</v>
      </c>
      <c r="B328" s="2" t="s">
        <v>1117</v>
      </c>
      <c r="C328" s="2" t="s">
        <v>900</v>
      </c>
      <c r="D328" s="2"/>
      <c r="E328" s="2" t="s">
        <v>492</v>
      </c>
      <c r="F328" s="2"/>
      <c r="G328" s="2" t="s">
        <v>368</v>
      </c>
      <c r="H328" s="2"/>
      <c r="I328" s="2" t="s">
        <v>569</v>
      </c>
      <c r="J328" s="2" t="s">
        <v>145</v>
      </c>
      <c r="K328" s="2" t="s">
        <v>137</v>
      </c>
      <c r="L328" s="2" t="s">
        <v>137</v>
      </c>
      <c r="M328" s="2" t="s">
        <v>901</v>
      </c>
      <c r="N328" s="2" t="s">
        <v>369</v>
      </c>
      <c r="O328" s="2" t="s">
        <v>153</v>
      </c>
    </row>
    <row r="329" customFormat="false" ht="15" hidden="false" customHeight="false" outlineLevel="0" collapsed="false">
      <c r="A329" s="2" t="s">
        <v>1116</v>
      </c>
      <c r="B329" s="2" t="s">
        <v>1117</v>
      </c>
      <c r="C329" s="2" t="s">
        <v>908</v>
      </c>
      <c r="D329" s="2"/>
      <c r="E329" s="2" t="s">
        <v>492</v>
      </c>
      <c r="F329" s="2"/>
      <c r="G329" s="2" t="s">
        <v>368</v>
      </c>
      <c r="H329" s="2"/>
      <c r="I329" s="2" t="s">
        <v>569</v>
      </c>
      <c r="J329" s="2" t="s">
        <v>145</v>
      </c>
      <c r="K329" s="2" t="s">
        <v>137</v>
      </c>
      <c r="L329" s="2" t="s">
        <v>137</v>
      </c>
      <c r="M329" s="2" t="s">
        <v>909</v>
      </c>
      <c r="N329" s="2" t="s">
        <v>369</v>
      </c>
      <c r="O329" s="2" t="s">
        <v>153</v>
      </c>
    </row>
    <row r="330" customFormat="false" ht="15" hidden="false" customHeight="false" outlineLevel="0" collapsed="false">
      <c r="A330" s="2" t="s">
        <v>1116</v>
      </c>
      <c r="B330" s="2" t="s">
        <v>1117</v>
      </c>
      <c r="C330" s="2" t="s">
        <v>914</v>
      </c>
      <c r="D330" s="2"/>
      <c r="E330" s="2" t="s">
        <v>492</v>
      </c>
      <c r="F330" s="2"/>
      <c r="G330" s="2" t="s">
        <v>368</v>
      </c>
      <c r="H330" s="2"/>
      <c r="I330" s="2" t="s">
        <v>569</v>
      </c>
      <c r="J330" s="2" t="s">
        <v>145</v>
      </c>
      <c r="K330" s="2" t="s">
        <v>137</v>
      </c>
      <c r="L330" s="2" t="s">
        <v>137</v>
      </c>
      <c r="M330" s="2" t="s">
        <v>915</v>
      </c>
      <c r="N330" s="2" t="s">
        <v>369</v>
      </c>
      <c r="O330" s="2" t="s">
        <v>153</v>
      </c>
    </row>
    <row r="331" customFormat="false" ht="15" hidden="false" customHeight="false" outlineLevel="0" collapsed="false">
      <c r="A331" s="2" t="s">
        <v>1116</v>
      </c>
      <c r="B331" s="2" t="s">
        <v>1117</v>
      </c>
      <c r="C331" s="2" t="s">
        <v>916</v>
      </c>
      <c r="D331" s="2"/>
      <c r="E331" s="2" t="s">
        <v>492</v>
      </c>
      <c r="F331" s="2"/>
      <c r="G331" s="2" t="s">
        <v>368</v>
      </c>
      <c r="H331" s="2"/>
      <c r="I331" s="2" t="s">
        <v>569</v>
      </c>
      <c r="J331" s="2" t="s">
        <v>145</v>
      </c>
      <c r="K331" s="2" t="s">
        <v>137</v>
      </c>
      <c r="L331" s="2" t="s">
        <v>137</v>
      </c>
      <c r="M331" s="2" t="s">
        <v>917</v>
      </c>
      <c r="N331" s="2" t="s">
        <v>369</v>
      </c>
      <c r="O331" s="2" t="s">
        <v>153</v>
      </c>
    </row>
    <row r="332" customFormat="false" ht="15" hidden="false" customHeight="false" outlineLevel="0" collapsed="false">
      <c r="A332" s="2" t="s">
        <v>1116</v>
      </c>
      <c r="B332" s="2" t="s">
        <v>1117</v>
      </c>
      <c r="C332" s="2" t="s">
        <v>918</v>
      </c>
      <c r="D332" s="2"/>
      <c r="E332" s="2" t="s">
        <v>492</v>
      </c>
      <c r="F332" s="2"/>
      <c r="G332" s="2" t="s">
        <v>368</v>
      </c>
      <c r="H332" s="2"/>
      <c r="I332" s="2" t="s">
        <v>569</v>
      </c>
      <c r="J332" s="2" t="s">
        <v>145</v>
      </c>
      <c r="K332" s="2" t="s">
        <v>137</v>
      </c>
      <c r="L332" s="2" t="s">
        <v>137</v>
      </c>
      <c r="M332" s="2" t="s">
        <v>919</v>
      </c>
      <c r="N332" s="2" t="s">
        <v>369</v>
      </c>
      <c r="O332" s="2" t="s">
        <v>153</v>
      </c>
    </row>
    <row r="333" customFormat="false" ht="15" hidden="false" customHeight="false" outlineLevel="0" collapsed="false">
      <c r="A333" s="2" t="s">
        <v>1116</v>
      </c>
      <c r="B333" s="2" t="s">
        <v>1117</v>
      </c>
      <c r="C333" s="2" t="s">
        <v>920</v>
      </c>
      <c r="D333" s="2"/>
      <c r="E333" s="2" t="s">
        <v>492</v>
      </c>
      <c r="F333" s="2"/>
      <c r="G333" s="2" t="s">
        <v>368</v>
      </c>
      <c r="H333" s="2"/>
      <c r="I333" s="2" t="s">
        <v>569</v>
      </c>
      <c r="J333" s="2" t="s">
        <v>145</v>
      </c>
      <c r="K333" s="2" t="s">
        <v>137</v>
      </c>
      <c r="L333" s="2" t="s">
        <v>137</v>
      </c>
      <c r="M333" s="2" t="s">
        <v>921</v>
      </c>
      <c r="N333" s="2" t="s">
        <v>369</v>
      </c>
      <c r="O333" s="2" t="s">
        <v>153</v>
      </c>
    </row>
    <row r="334" customFormat="false" ht="15" hidden="false" customHeight="false" outlineLevel="0" collapsed="false">
      <c r="A334" s="2" t="s">
        <v>1116</v>
      </c>
      <c r="B334" s="2" t="s">
        <v>1117</v>
      </c>
      <c r="C334" s="2" t="s">
        <v>924</v>
      </c>
      <c r="D334" s="2"/>
      <c r="E334" s="2" t="s">
        <v>492</v>
      </c>
      <c r="F334" s="2"/>
      <c r="G334" s="2" t="s">
        <v>368</v>
      </c>
      <c r="H334" s="2"/>
      <c r="I334" s="2" t="s">
        <v>569</v>
      </c>
      <c r="J334" s="2" t="s">
        <v>145</v>
      </c>
      <c r="K334" s="2" t="s">
        <v>137</v>
      </c>
      <c r="L334" s="2" t="s">
        <v>137</v>
      </c>
      <c r="M334" s="2" t="s">
        <v>925</v>
      </c>
      <c r="N334" s="2" t="s">
        <v>369</v>
      </c>
      <c r="O334" s="2" t="s">
        <v>153</v>
      </c>
    </row>
    <row r="335" customFormat="false" ht="15" hidden="false" customHeight="false" outlineLevel="0" collapsed="false">
      <c r="A335" s="2" t="s">
        <v>1116</v>
      </c>
      <c r="B335" s="2" t="s">
        <v>1117</v>
      </c>
      <c r="C335" s="2" t="s">
        <v>928</v>
      </c>
      <c r="D335" s="2"/>
      <c r="E335" s="2" t="s">
        <v>492</v>
      </c>
      <c r="F335" s="2"/>
      <c r="G335" s="2" t="s">
        <v>368</v>
      </c>
      <c r="H335" s="2"/>
      <c r="I335" s="2" t="s">
        <v>569</v>
      </c>
      <c r="J335" s="2" t="s">
        <v>145</v>
      </c>
      <c r="K335" s="2" t="s">
        <v>137</v>
      </c>
      <c r="L335" s="2" t="s">
        <v>137</v>
      </c>
      <c r="M335" s="2" t="s">
        <v>929</v>
      </c>
      <c r="N335" s="2" t="s">
        <v>369</v>
      </c>
      <c r="O335" s="2" t="s">
        <v>153</v>
      </c>
    </row>
    <row r="336" customFormat="false" ht="15" hidden="false" customHeight="false" outlineLevel="0" collapsed="false">
      <c r="A336" s="2" t="s">
        <v>1116</v>
      </c>
      <c r="B336" s="2" t="s">
        <v>1117</v>
      </c>
      <c r="C336" s="2" t="s">
        <v>932</v>
      </c>
      <c r="D336" s="2"/>
      <c r="E336" s="2" t="s">
        <v>492</v>
      </c>
      <c r="F336" s="2"/>
      <c r="G336" s="2" t="s">
        <v>368</v>
      </c>
      <c r="H336" s="2"/>
      <c r="I336" s="2" t="s">
        <v>569</v>
      </c>
      <c r="J336" s="2" t="s">
        <v>145</v>
      </c>
      <c r="K336" s="2" t="s">
        <v>137</v>
      </c>
      <c r="L336" s="2" t="s">
        <v>137</v>
      </c>
      <c r="M336" s="2" t="s">
        <v>933</v>
      </c>
      <c r="N336" s="2" t="s">
        <v>369</v>
      </c>
      <c r="O336" s="2" t="s">
        <v>153</v>
      </c>
    </row>
    <row r="337" customFormat="false" ht="15" hidden="false" customHeight="false" outlineLevel="0" collapsed="false">
      <c r="A337" s="2" t="s">
        <v>1116</v>
      </c>
      <c r="B337" s="2" t="s">
        <v>1117</v>
      </c>
      <c r="C337" s="2" t="s">
        <v>934</v>
      </c>
      <c r="D337" s="2"/>
      <c r="E337" s="2" t="s">
        <v>492</v>
      </c>
      <c r="F337" s="2"/>
      <c r="G337" s="2" t="s">
        <v>368</v>
      </c>
      <c r="H337" s="2"/>
      <c r="I337" s="2" t="s">
        <v>569</v>
      </c>
      <c r="J337" s="2" t="s">
        <v>145</v>
      </c>
      <c r="K337" s="2" t="s">
        <v>137</v>
      </c>
      <c r="L337" s="2" t="s">
        <v>137</v>
      </c>
      <c r="M337" s="2" t="s">
        <v>935</v>
      </c>
      <c r="N337" s="2" t="s">
        <v>369</v>
      </c>
      <c r="O337" s="2" t="s">
        <v>153</v>
      </c>
    </row>
    <row r="338" customFormat="false" ht="15" hidden="false" customHeight="false" outlineLevel="0" collapsed="false">
      <c r="A338" s="2" t="s">
        <v>1116</v>
      </c>
      <c r="B338" s="2" t="s">
        <v>1117</v>
      </c>
      <c r="C338" s="2" t="s">
        <v>944</v>
      </c>
      <c r="D338" s="2"/>
      <c r="E338" s="2" t="s">
        <v>492</v>
      </c>
      <c r="F338" s="2"/>
      <c r="G338" s="2" t="s">
        <v>368</v>
      </c>
      <c r="H338" s="2"/>
      <c r="I338" s="2" t="s">
        <v>569</v>
      </c>
      <c r="J338" s="2" t="s">
        <v>145</v>
      </c>
      <c r="K338" s="2" t="s">
        <v>137</v>
      </c>
      <c r="L338" s="2" t="s">
        <v>137</v>
      </c>
      <c r="M338" s="2" t="s">
        <v>945</v>
      </c>
      <c r="N338" s="2" t="s">
        <v>369</v>
      </c>
      <c r="O338" s="2" t="s">
        <v>153</v>
      </c>
    </row>
    <row r="339" customFormat="false" ht="15" hidden="false" customHeight="false" outlineLevel="0" collapsed="false">
      <c r="A339" s="2" t="s">
        <v>1116</v>
      </c>
      <c r="B339" s="2" t="s">
        <v>1117</v>
      </c>
      <c r="C339" s="2" t="s">
        <v>954</v>
      </c>
      <c r="D339" s="2"/>
      <c r="E339" s="2" t="s">
        <v>492</v>
      </c>
      <c r="F339" s="2"/>
      <c r="G339" s="2" t="s">
        <v>368</v>
      </c>
      <c r="H339" s="2"/>
      <c r="I339" s="2" t="s">
        <v>569</v>
      </c>
      <c r="J339" s="2" t="s">
        <v>145</v>
      </c>
      <c r="K339" s="2" t="s">
        <v>137</v>
      </c>
      <c r="L339" s="2" t="s">
        <v>137</v>
      </c>
      <c r="M339" s="2" t="s">
        <v>955</v>
      </c>
      <c r="N339" s="2" t="s">
        <v>369</v>
      </c>
      <c r="O339" s="2" t="s">
        <v>153</v>
      </c>
    </row>
    <row r="340" customFormat="false" ht="15" hidden="false" customHeight="false" outlineLevel="0" collapsed="false">
      <c r="A340" s="2" t="s">
        <v>1116</v>
      </c>
      <c r="B340" s="2" t="s">
        <v>1117</v>
      </c>
      <c r="C340" s="2" t="s">
        <v>960</v>
      </c>
      <c r="D340" s="2"/>
      <c r="E340" s="2" t="s">
        <v>492</v>
      </c>
      <c r="F340" s="2"/>
      <c r="G340" s="2" t="s">
        <v>368</v>
      </c>
      <c r="H340" s="2"/>
      <c r="I340" s="2" t="s">
        <v>569</v>
      </c>
      <c r="J340" s="2" t="s">
        <v>145</v>
      </c>
      <c r="K340" s="2" t="s">
        <v>137</v>
      </c>
      <c r="L340" s="2" t="s">
        <v>137</v>
      </c>
      <c r="M340" s="2" t="s">
        <v>961</v>
      </c>
      <c r="N340" s="2" t="s">
        <v>369</v>
      </c>
      <c r="O340" s="2" t="s">
        <v>153</v>
      </c>
    </row>
    <row r="341" customFormat="false" ht="15" hidden="false" customHeight="false" outlineLevel="0" collapsed="false">
      <c r="A341" s="2" t="s">
        <v>1116</v>
      </c>
      <c r="B341" s="2" t="s">
        <v>1117</v>
      </c>
      <c r="C341" s="2" t="s">
        <v>968</v>
      </c>
      <c r="D341" s="2"/>
      <c r="E341" s="2" t="s">
        <v>492</v>
      </c>
      <c r="F341" s="2"/>
      <c r="G341" s="2" t="s">
        <v>368</v>
      </c>
      <c r="H341" s="2"/>
      <c r="I341" s="2" t="s">
        <v>569</v>
      </c>
      <c r="J341" s="2" t="s">
        <v>145</v>
      </c>
      <c r="K341" s="2" t="s">
        <v>137</v>
      </c>
      <c r="L341" s="2" t="s">
        <v>137</v>
      </c>
      <c r="M341" s="2" t="s">
        <v>969</v>
      </c>
      <c r="N341" s="2" t="s">
        <v>369</v>
      </c>
      <c r="O341" s="2" t="s">
        <v>153</v>
      </c>
    </row>
    <row r="342" customFormat="false" ht="15" hidden="false" customHeight="false" outlineLevel="0" collapsed="false">
      <c r="A342" s="2" t="s">
        <v>1116</v>
      </c>
      <c r="B342" s="2" t="s">
        <v>1117</v>
      </c>
      <c r="C342" s="2" t="s">
        <v>972</v>
      </c>
      <c r="D342" s="2"/>
      <c r="E342" s="2" t="s">
        <v>492</v>
      </c>
      <c r="F342" s="2"/>
      <c r="G342" s="2" t="s">
        <v>368</v>
      </c>
      <c r="H342" s="2"/>
      <c r="I342" s="2" t="s">
        <v>569</v>
      </c>
      <c r="J342" s="2" t="s">
        <v>145</v>
      </c>
      <c r="K342" s="2" t="s">
        <v>137</v>
      </c>
      <c r="L342" s="2" t="s">
        <v>137</v>
      </c>
      <c r="M342" s="2" t="s">
        <v>973</v>
      </c>
      <c r="N342" s="2" t="s">
        <v>369</v>
      </c>
      <c r="O342" s="2" t="s">
        <v>153</v>
      </c>
    </row>
    <row r="343" customFormat="false" ht="15" hidden="false" customHeight="false" outlineLevel="0" collapsed="false">
      <c r="A343" s="2" t="s">
        <v>1116</v>
      </c>
      <c r="B343" s="2" t="s">
        <v>1117</v>
      </c>
      <c r="C343" s="2" t="s">
        <v>976</v>
      </c>
      <c r="D343" s="2"/>
      <c r="E343" s="2" t="s">
        <v>492</v>
      </c>
      <c r="F343" s="2"/>
      <c r="G343" s="2" t="s">
        <v>368</v>
      </c>
      <c r="H343" s="2"/>
      <c r="I343" s="2" t="s">
        <v>569</v>
      </c>
      <c r="J343" s="2" t="s">
        <v>145</v>
      </c>
      <c r="K343" s="2" t="s">
        <v>137</v>
      </c>
      <c r="L343" s="2" t="s">
        <v>137</v>
      </c>
      <c r="M343" s="2" t="s">
        <v>977</v>
      </c>
      <c r="N343" s="2" t="s">
        <v>369</v>
      </c>
      <c r="O343" s="2" t="s">
        <v>153</v>
      </c>
    </row>
    <row r="344" customFormat="false" ht="15" hidden="false" customHeight="false" outlineLevel="0" collapsed="false">
      <c r="A344" s="2" t="s">
        <v>1116</v>
      </c>
      <c r="B344" s="2" t="s">
        <v>1117</v>
      </c>
      <c r="C344" s="2" t="s">
        <v>978</v>
      </c>
      <c r="D344" s="2"/>
      <c r="E344" s="2" t="s">
        <v>492</v>
      </c>
      <c r="F344" s="2"/>
      <c r="G344" s="2" t="s">
        <v>368</v>
      </c>
      <c r="H344" s="2"/>
      <c r="I344" s="2" t="s">
        <v>569</v>
      </c>
      <c r="J344" s="2" t="s">
        <v>145</v>
      </c>
      <c r="K344" s="2" t="s">
        <v>137</v>
      </c>
      <c r="L344" s="2" t="s">
        <v>137</v>
      </c>
      <c r="M344" s="2" t="s">
        <v>979</v>
      </c>
      <c r="N344" s="2" t="s">
        <v>369</v>
      </c>
      <c r="O344" s="2" t="s">
        <v>153</v>
      </c>
    </row>
    <row r="345" customFormat="false" ht="15" hidden="false" customHeight="false" outlineLevel="0" collapsed="false">
      <c r="A345" s="2" t="s">
        <v>1116</v>
      </c>
      <c r="B345" s="2" t="s">
        <v>1117</v>
      </c>
      <c r="C345" s="2" t="s">
        <v>980</v>
      </c>
      <c r="D345" s="2"/>
      <c r="E345" s="2" t="s">
        <v>492</v>
      </c>
      <c r="F345" s="2"/>
      <c r="G345" s="2" t="s">
        <v>368</v>
      </c>
      <c r="H345" s="2"/>
      <c r="I345" s="2" t="s">
        <v>569</v>
      </c>
      <c r="J345" s="2" t="s">
        <v>145</v>
      </c>
      <c r="K345" s="2" t="s">
        <v>137</v>
      </c>
      <c r="L345" s="2" t="s">
        <v>137</v>
      </c>
      <c r="M345" s="2" t="s">
        <v>981</v>
      </c>
      <c r="N345" s="2" t="s">
        <v>369</v>
      </c>
      <c r="O345" s="2" t="s">
        <v>153</v>
      </c>
    </row>
    <row r="346" customFormat="false" ht="15" hidden="false" customHeight="false" outlineLevel="0" collapsed="false">
      <c r="A346" s="2" t="s">
        <v>1116</v>
      </c>
      <c r="B346" s="2" t="s">
        <v>1117</v>
      </c>
      <c r="C346" s="2" t="s">
        <v>990</v>
      </c>
      <c r="D346" s="2"/>
      <c r="E346" s="2" t="s">
        <v>492</v>
      </c>
      <c r="F346" s="2"/>
      <c r="G346" s="2" t="s">
        <v>368</v>
      </c>
      <c r="H346" s="2"/>
      <c r="I346" s="2" t="s">
        <v>569</v>
      </c>
      <c r="J346" s="2" t="s">
        <v>145</v>
      </c>
      <c r="K346" s="2" t="s">
        <v>137</v>
      </c>
      <c r="L346" s="2" t="s">
        <v>137</v>
      </c>
      <c r="M346" s="2" t="s">
        <v>991</v>
      </c>
      <c r="N346" s="2" t="s">
        <v>369</v>
      </c>
      <c r="O346" s="2" t="s">
        <v>153</v>
      </c>
    </row>
    <row r="347" customFormat="false" ht="15" hidden="false" customHeight="false" outlineLevel="0" collapsed="false">
      <c r="A347" s="2" t="s">
        <v>1116</v>
      </c>
      <c r="B347" s="2" t="s">
        <v>1117</v>
      </c>
      <c r="C347" s="2" t="s">
        <v>992</v>
      </c>
      <c r="D347" s="2"/>
      <c r="E347" s="2" t="s">
        <v>492</v>
      </c>
      <c r="F347" s="2"/>
      <c r="G347" s="2" t="s">
        <v>368</v>
      </c>
      <c r="H347" s="2"/>
      <c r="I347" s="2" t="s">
        <v>569</v>
      </c>
      <c r="J347" s="2" t="s">
        <v>145</v>
      </c>
      <c r="K347" s="2" t="s">
        <v>137</v>
      </c>
      <c r="L347" s="2" t="s">
        <v>137</v>
      </c>
      <c r="M347" s="2" t="s">
        <v>993</v>
      </c>
      <c r="N347" s="2" t="s">
        <v>369</v>
      </c>
      <c r="O347" s="2" t="s">
        <v>153</v>
      </c>
    </row>
    <row r="348" customFormat="false" ht="15" hidden="false" customHeight="false" outlineLevel="0" collapsed="false">
      <c r="A348" s="2" t="s">
        <v>1116</v>
      </c>
      <c r="B348" s="2" t="s">
        <v>1117</v>
      </c>
      <c r="C348" s="2" t="s">
        <v>994</v>
      </c>
      <c r="D348" s="2"/>
      <c r="E348" s="2" t="s">
        <v>492</v>
      </c>
      <c r="F348" s="2"/>
      <c r="G348" s="2" t="s">
        <v>368</v>
      </c>
      <c r="H348" s="2"/>
      <c r="I348" s="2" t="s">
        <v>569</v>
      </c>
      <c r="J348" s="2" t="s">
        <v>145</v>
      </c>
      <c r="K348" s="2" t="s">
        <v>137</v>
      </c>
      <c r="L348" s="2" t="s">
        <v>137</v>
      </c>
      <c r="M348" s="2" t="s">
        <v>995</v>
      </c>
      <c r="N348" s="2" t="s">
        <v>369</v>
      </c>
      <c r="O348" s="2" t="s">
        <v>153</v>
      </c>
    </row>
    <row r="349" customFormat="false" ht="15" hidden="false" customHeight="false" outlineLevel="0" collapsed="false">
      <c r="A349" s="2" t="s">
        <v>1116</v>
      </c>
      <c r="B349" s="2" t="s">
        <v>1117</v>
      </c>
      <c r="C349" s="2" t="s">
        <v>998</v>
      </c>
      <c r="D349" s="2"/>
      <c r="E349" s="2" t="s">
        <v>492</v>
      </c>
      <c r="F349" s="2"/>
      <c r="G349" s="2" t="s">
        <v>368</v>
      </c>
      <c r="H349" s="2"/>
      <c r="I349" s="2" t="s">
        <v>569</v>
      </c>
      <c r="J349" s="2" t="s">
        <v>145</v>
      </c>
      <c r="K349" s="2" t="s">
        <v>137</v>
      </c>
      <c r="L349" s="2" t="s">
        <v>137</v>
      </c>
      <c r="M349" s="2" t="s">
        <v>999</v>
      </c>
      <c r="N349" s="2" t="s">
        <v>369</v>
      </c>
      <c r="O349" s="2" t="s">
        <v>153</v>
      </c>
    </row>
    <row r="350" customFormat="false" ht="15" hidden="false" customHeight="false" outlineLevel="0" collapsed="false">
      <c r="A350" s="2" t="s">
        <v>1116</v>
      </c>
      <c r="B350" s="2" t="s">
        <v>1117</v>
      </c>
      <c r="C350" s="2" t="s">
        <v>1002</v>
      </c>
      <c r="D350" s="2"/>
      <c r="E350" s="2" t="s">
        <v>492</v>
      </c>
      <c r="F350" s="2"/>
      <c r="G350" s="2" t="s">
        <v>368</v>
      </c>
      <c r="H350" s="2"/>
      <c r="I350" s="2" t="s">
        <v>569</v>
      </c>
      <c r="J350" s="2" t="s">
        <v>145</v>
      </c>
      <c r="K350" s="2" t="s">
        <v>137</v>
      </c>
      <c r="L350" s="2" t="s">
        <v>137</v>
      </c>
      <c r="M350" s="2" t="s">
        <v>1003</v>
      </c>
      <c r="N350" s="2" t="s">
        <v>369</v>
      </c>
      <c r="O350" s="2" t="s">
        <v>153</v>
      </c>
    </row>
    <row r="351" customFormat="false" ht="15" hidden="false" customHeight="false" outlineLevel="0" collapsed="false">
      <c r="A351" s="2" t="s">
        <v>1116</v>
      </c>
      <c r="B351" s="2" t="s">
        <v>1117</v>
      </c>
      <c r="C351" s="2" t="s">
        <v>1004</v>
      </c>
      <c r="D351" s="2"/>
      <c r="E351" s="2" t="s">
        <v>492</v>
      </c>
      <c r="F351" s="2"/>
      <c r="G351" s="2" t="s">
        <v>368</v>
      </c>
      <c r="H351" s="2"/>
      <c r="I351" s="2" t="s">
        <v>569</v>
      </c>
      <c r="J351" s="2" t="s">
        <v>145</v>
      </c>
      <c r="K351" s="2" t="s">
        <v>137</v>
      </c>
      <c r="L351" s="2" t="s">
        <v>137</v>
      </c>
      <c r="M351" s="2" t="s">
        <v>1005</v>
      </c>
      <c r="N351" s="2" t="s">
        <v>369</v>
      </c>
      <c r="O351" s="2" t="s">
        <v>153</v>
      </c>
    </row>
    <row r="352" customFormat="false" ht="15" hidden="false" customHeight="false" outlineLevel="0" collapsed="false">
      <c r="A352" s="2" t="s">
        <v>1116</v>
      </c>
      <c r="B352" s="2" t="s">
        <v>1117</v>
      </c>
      <c r="C352" s="2" t="s">
        <v>1006</v>
      </c>
      <c r="D352" s="2"/>
      <c r="E352" s="2" t="s">
        <v>492</v>
      </c>
      <c r="F352" s="2"/>
      <c r="G352" s="2" t="s">
        <v>368</v>
      </c>
      <c r="H352" s="2"/>
      <c r="I352" s="2" t="s">
        <v>569</v>
      </c>
      <c r="J352" s="2" t="s">
        <v>145</v>
      </c>
      <c r="K352" s="2" t="s">
        <v>137</v>
      </c>
      <c r="L352" s="2" t="s">
        <v>137</v>
      </c>
      <c r="M352" s="2" t="s">
        <v>1007</v>
      </c>
      <c r="N352" s="2" t="s">
        <v>369</v>
      </c>
      <c r="O352" s="2" t="s">
        <v>153</v>
      </c>
    </row>
    <row r="353" customFormat="false" ht="15" hidden="false" customHeight="false" outlineLevel="0" collapsed="false">
      <c r="A353" s="2" t="s">
        <v>1116</v>
      </c>
      <c r="B353" s="2" t="s">
        <v>1117</v>
      </c>
      <c r="C353" s="2" t="s">
        <v>1008</v>
      </c>
      <c r="D353" s="2"/>
      <c r="E353" s="2" t="s">
        <v>492</v>
      </c>
      <c r="F353" s="2"/>
      <c r="G353" s="2" t="s">
        <v>368</v>
      </c>
      <c r="H353" s="2"/>
      <c r="I353" s="2" t="s">
        <v>569</v>
      </c>
      <c r="J353" s="2" t="s">
        <v>145</v>
      </c>
      <c r="K353" s="2" t="s">
        <v>137</v>
      </c>
      <c r="L353" s="2" t="s">
        <v>137</v>
      </c>
      <c r="M353" s="2" t="s">
        <v>1009</v>
      </c>
      <c r="N353" s="2" t="s">
        <v>369</v>
      </c>
      <c r="O353" s="2" t="s">
        <v>153</v>
      </c>
    </row>
    <row r="354" customFormat="false" ht="15" hidden="false" customHeight="false" outlineLevel="0" collapsed="false">
      <c r="A354" s="2" t="s">
        <v>1116</v>
      </c>
      <c r="B354" s="2" t="s">
        <v>1117</v>
      </c>
      <c r="C354" s="2" t="s">
        <v>1010</v>
      </c>
      <c r="D354" s="2"/>
      <c r="E354" s="2" t="s">
        <v>492</v>
      </c>
      <c r="F354" s="2"/>
      <c r="G354" s="2" t="s">
        <v>368</v>
      </c>
      <c r="H354" s="2"/>
      <c r="I354" s="2" t="s">
        <v>569</v>
      </c>
      <c r="J354" s="2" t="s">
        <v>145</v>
      </c>
      <c r="K354" s="2" t="s">
        <v>137</v>
      </c>
      <c r="L354" s="2" t="s">
        <v>137</v>
      </c>
      <c r="M354" s="2" t="s">
        <v>1011</v>
      </c>
      <c r="N354" s="2" t="s">
        <v>369</v>
      </c>
      <c r="O354" s="2" t="s">
        <v>153</v>
      </c>
    </row>
    <row r="355" customFormat="false" ht="15" hidden="false" customHeight="false" outlineLevel="0" collapsed="false">
      <c r="A355" s="2" t="s">
        <v>1116</v>
      </c>
      <c r="B355" s="2" t="s">
        <v>1117</v>
      </c>
      <c r="C355" s="2" t="s">
        <v>1016</v>
      </c>
      <c r="D355" s="2"/>
      <c r="E355" s="2" t="s">
        <v>492</v>
      </c>
      <c r="F355" s="2"/>
      <c r="G355" s="2" t="s">
        <v>368</v>
      </c>
      <c r="H355" s="2"/>
      <c r="I355" s="2" t="s">
        <v>569</v>
      </c>
      <c r="J355" s="2" t="s">
        <v>145</v>
      </c>
      <c r="K355" s="2" t="s">
        <v>137</v>
      </c>
      <c r="L355" s="2" t="s">
        <v>137</v>
      </c>
      <c r="M355" s="2" t="s">
        <v>1017</v>
      </c>
      <c r="N355" s="2" t="s">
        <v>369</v>
      </c>
      <c r="O355" s="2" t="s">
        <v>153</v>
      </c>
    </row>
  </sheetData>
  <autoFilter ref="A9:O35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80"/>
    <col collapsed="false" customWidth="true" hidden="false" outlineLevel="0" max="2" min="2" style="0" width="110"/>
  </cols>
  <sheetData>
    <row r="1" customFormat="false" ht="15" hidden="false" customHeight="false" outlineLevel="0" collapsed="false">
      <c r="A1" s="7" t="s">
        <v>1232</v>
      </c>
      <c r="B1" s="7"/>
      <c r="C1" s="7"/>
      <c r="D1" s="7"/>
    </row>
    <row r="2" customFormat="false" ht="15" hidden="false" customHeight="false" outlineLevel="0" collapsed="false">
      <c r="A2" s="2"/>
      <c r="B2" s="2"/>
      <c r="C2" s="2"/>
      <c r="D2" s="2"/>
    </row>
    <row r="3" customFormat="false" ht="15" hidden="false" customHeight="false" outlineLevel="0" collapsed="false">
      <c r="A3" s="8" t="s">
        <v>1233</v>
      </c>
      <c r="B3" s="8" t="s">
        <v>1116</v>
      </c>
      <c r="C3" s="8" t="s">
        <v>1121</v>
      </c>
      <c r="D3" s="8" t="s">
        <v>1126</v>
      </c>
    </row>
    <row r="4" customFormat="false" ht="15" hidden="false" customHeight="false" outlineLevel="0" collapsed="false">
      <c r="A4" s="2" t="s">
        <v>1234</v>
      </c>
      <c r="B4" s="2" t="n">
        <v>0</v>
      </c>
      <c r="C4" s="2" t="n">
        <v>0</v>
      </c>
      <c r="D4" s="2" t="n">
        <v>0</v>
      </c>
    </row>
    <row r="5" customFormat="false" ht="15" hidden="false" customHeight="false" outlineLevel="0" collapsed="false">
      <c r="A5" s="2" t="s">
        <v>1235</v>
      </c>
      <c r="B5" s="2" t="n">
        <v>0</v>
      </c>
      <c r="C5" s="2" t="n">
        <v>0</v>
      </c>
      <c r="D5" s="2" t="n">
        <v>0</v>
      </c>
    </row>
    <row r="6" customFormat="false" ht="15" hidden="false" customHeight="false" outlineLevel="0" collapsed="false">
      <c r="A6" s="2" t="s">
        <v>1236</v>
      </c>
      <c r="B6" s="2" t="n">
        <v>0</v>
      </c>
      <c r="C6" s="2" t="n">
        <v>0</v>
      </c>
      <c r="D6" s="2" t="n">
        <v>0</v>
      </c>
    </row>
    <row r="7" customFormat="false" ht="15" hidden="false" customHeight="false" outlineLevel="0" collapsed="false">
      <c r="A7" s="2" t="s">
        <v>1237</v>
      </c>
      <c r="B7" s="2" t="n">
        <v>0</v>
      </c>
      <c r="C7" s="2" t="n">
        <v>0</v>
      </c>
      <c r="D7" s="2" t="n">
        <v>0</v>
      </c>
    </row>
    <row r="8" customFormat="false" ht="15" hidden="false" customHeight="false" outlineLevel="0" collapsed="false">
      <c r="A8" s="2" t="s">
        <v>1238</v>
      </c>
      <c r="B8" s="2" t="n">
        <v>0</v>
      </c>
      <c r="C8" s="2" t="n">
        <v>0</v>
      </c>
      <c r="D8" s="2" t="n">
        <v>0</v>
      </c>
    </row>
    <row r="9" customFormat="false" ht="15" hidden="false" customHeight="false" outlineLevel="0" collapsed="false">
      <c r="A9" s="2" t="s">
        <v>1239</v>
      </c>
      <c r="B9" s="2" t="n">
        <v>0</v>
      </c>
      <c r="C9" s="2" t="n">
        <v>0</v>
      </c>
      <c r="D9" s="2" t="n">
        <v>0</v>
      </c>
    </row>
    <row r="10" customFormat="false" ht="15" hidden="false" customHeight="false" outlineLevel="0" collapsed="false">
      <c r="A10" s="2" t="s">
        <v>1240</v>
      </c>
      <c r="B10" s="2" t="n">
        <v>0</v>
      </c>
      <c r="C10" s="2" t="n">
        <v>0</v>
      </c>
      <c r="D10" s="2" t="n">
        <v>0</v>
      </c>
    </row>
    <row r="11" customFormat="false" ht="15" hidden="false" customHeight="false" outlineLevel="0" collapsed="false">
      <c r="A11" s="2" t="s">
        <v>1241</v>
      </c>
      <c r="B11" s="2" t="n">
        <v>0</v>
      </c>
      <c r="C11" s="2" t="n">
        <v>0</v>
      </c>
      <c r="D11" s="2" t="n">
        <v>0</v>
      </c>
    </row>
    <row r="12" customFormat="false" ht="15" hidden="false" customHeight="false" outlineLevel="0" collapsed="false">
      <c r="A12" s="2" t="s">
        <v>1242</v>
      </c>
      <c r="B12" s="2" t="n">
        <v>0</v>
      </c>
      <c r="C12" s="2" t="n">
        <v>0</v>
      </c>
      <c r="D12" s="2" t="n">
        <v>0</v>
      </c>
    </row>
    <row r="13" customFormat="false" ht="15" hidden="false" customHeight="false" outlineLevel="0" collapsed="false">
      <c r="A13" s="2" t="s">
        <v>1243</v>
      </c>
      <c r="B13" s="2" t="n">
        <v>0</v>
      </c>
      <c r="C13" s="2" t="n">
        <v>0</v>
      </c>
      <c r="D13" s="2" t="n">
        <v>0</v>
      </c>
    </row>
    <row r="14" customFormat="false" ht="15" hidden="false" customHeight="false" outlineLevel="0" collapsed="false">
      <c r="A14" s="2" t="s">
        <v>1244</v>
      </c>
      <c r="B14" s="2" t="n">
        <v>0</v>
      </c>
      <c r="C14" s="2" t="n">
        <v>0</v>
      </c>
      <c r="D14" s="2" t="n">
        <v>0</v>
      </c>
    </row>
    <row r="15" customFormat="false" ht="15" hidden="false" customHeight="false" outlineLevel="0" collapsed="false">
      <c r="A15" s="2" t="s">
        <v>1245</v>
      </c>
      <c r="B15" s="2" t="n">
        <v>0</v>
      </c>
      <c r="C15" s="2" t="n">
        <v>0</v>
      </c>
      <c r="D15" s="2" t="n">
        <v>0</v>
      </c>
    </row>
    <row r="16" customFormat="false" ht="15" hidden="false" customHeight="false" outlineLevel="0" collapsed="false">
      <c r="A16" s="2" t="s">
        <v>1246</v>
      </c>
      <c r="B16" s="2" t="n">
        <v>0</v>
      </c>
      <c r="C16" s="2" t="n">
        <v>0</v>
      </c>
      <c r="D16" s="2" t="n">
        <v>0</v>
      </c>
    </row>
    <row r="17" customFormat="false" ht="15" hidden="false" customHeight="false" outlineLevel="0" collapsed="false">
      <c r="A17" s="2" t="s">
        <v>1247</v>
      </c>
      <c r="B17" s="2" t="n">
        <v>0</v>
      </c>
      <c r="C17" s="2" t="n">
        <v>0</v>
      </c>
      <c r="D17" s="2" t="n">
        <v>0</v>
      </c>
    </row>
    <row r="18" customFormat="false" ht="15" hidden="false" customHeight="false" outlineLevel="0" collapsed="false">
      <c r="A18" s="2" t="s">
        <v>1248</v>
      </c>
      <c r="B18" s="2" t="n">
        <v>0</v>
      </c>
      <c r="C18" s="2" t="n">
        <v>0</v>
      </c>
      <c r="D18" s="2" t="n">
        <v>0</v>
      </c>
    </row>
    <row r="19" customFormat="false" ht="15" hidden="false" customHeight="false" outlineLevel="0" collapsed="false">
      <c r="A19" s="2" t="s">
        <v>1249</v>
      </c>
      <c r="B19" s="2" t="n">
        <v>0</v>
      </c>
      <c r="C19" s="2" t="n">
        <v>0</v>
      </c>
      <c r="D19" s="2" t="n">
        <v>0</v>
      </c>
    </row>
    <row r="20" customFormat="false" ht="15" hidden="false" customHeight="false" outlineLevel="0" collapsed="false">
      <c r="A20" s="2" t="s">
        <v>1250</v>
      </c>
      <c r="B20" s="2" t="n">
        <v>0</v>
      </c>
      <c r="C20" s="2" t="n">
        <v>0</v>
      </c>
      <c r="D20" s="2" t="n">
        <v>0</v>
      </c>
    </row>
    <row r="21" customFormat="false" ht="15" hidden="false" customHeight="false" outlineLevel="0" collapsed="false">
      <c r="A21" s="2" t="s">
        <v>1251</v>
      </c>
      <c r="B21" s="2" t="n">
        <v>0</v>
      </c>
      <c r="C21" s="2" t="n">
        <v>0</v>
      </c>
      <c r="D21" s="2" t="n">
        <v>0</v>
      </c>
    </row>
    <row r="22" customFormat="false" ht="15" hidden="false" customHeight="false" outlineLevel="0" collapsed="false">
      <c r="A22" s="2" t="s">
        <v>1252</v>
      </c>
      <c r="B22" s="2" t="n">
        <v>0</v>
      </c>
      <c r="C22" s="2" t="n">
        <v>0</v>
      </c>
      <c r="D22" s="2" t="n">
        <v>0</v>
      </c>
    </row>
    <row r="23" customFormat="false" ht="15" hidden="false" customHeight="false" outlineLevel="0" collapsed="false">
      <c r="A23" s="2"/>
      <c r="B23" s="2"/>
      <c r="C23" s="2"/>
      <c r="D23" s="2"/>
    </row>
    <row r="24" customFormat="false" ht="15" hidden="false" customHeight="false" outlineLevel="0" collapsed="false">
      <c r="A24" s="7" t="s">
        <v>1253</v>
      </c>
      <c r="B24" s="2"/>
      <c r="C24" s="2"/>
      <c r="D24" s="2"/>
    </row>
    <row r="25" customFormat="false" ht="15" hidden="false" customHeight="false" outlineLevel="0" collapsed="false">
      <c r="A25" s="2" t="s">
        <v>1254</v>
      </c>
      <c r="B25" s="2" t="s">
        <v>1255</v>
      </c>
      <c r="C25" s="2"/>
      <c r="D25" s="2"/>
    </row>
    <row r="26" customFormat="false" ht="15" hidden="false" customHeight="false" outlineLevel="0" collapsed="false">
      <c r="A26" s="2" t="s">
        <v>1256</v>
      </c>
      <c r="B26" s="2" t="s">
        <v>1257</v>
      </c>
      <c r="C26" s="2"/>
      <c r="D26" s="2"/>
    </row>
    <row r="27" customFormat="false" ht="15" hidden="false" customHeight="false" outlineLevel="0" collapsed="false">
      <c r="A27" s="2" t="s">
        <v>1258</v>
      </c>
      <c r="B27" s="2" t="s">
        <v>1259</v>
      </c>
      <c r="C27" s="2"/>
      <c r="D27" s="2"/>
    </row>
    <row r="28" customFormat="false" ht="15" hidden="false" customHeight="false" outlineLevel="0" collapsed="false">
      <c r="A28" s="2" t="s">
        <v>1260</v>
      </c>
      <c r="B28" s="2" t="s">
        <v>1261</v>
      </c>
      <c r="C28" s="2"/>
      <c r="D28" s="2"/>
    </row>
    <row r="29" customFormat="false" ht="15" hidden="false" customHeight="false" outlineLevel="0" collapsed="false">
      <c r="A29" s="2" t="s">
        <v>1262</v>
      </c>
      <c r="B29" s="2" t="s">
        <v>1263</v>
      </c>
      <c r="C29" s="2"/>
      <c r="D29" s="2"/>
    </row>
    <row r="30" customFormat="false" ht="15" hidden="false" customHeight="false" outlineLevel="0" collapsed="false">
      <c r="A30" s="2" t="s">
        <v>1264</v>
      </c>
      <c r="B30" s="2" t="s">
        <v>1265</v>
      </c>
      <c r="C30" s="2"/>
      <c r="D30" s="2"/>
    </row>
    <row r="31" customFormat="false" ht="15" hidden="false" customHeight="false" outlineLevel="0" collapsed="false">
      <c r="A31" s="2" t="s">
        <v>1266</v>
      </c>
      <c r="B31" s="2" t="s">
        <v>1267</v>
      </c>
      <c r="C31" s="2"/>
      <c r="D31" s="2"/>
    </row>
    <row r="32" customFormat="false" ht="15" hidden="false" customHeight="false" outlineLevel="0" collapsed="false">
      <c r="A32" s="2" t="s">
        <v>1268</v>
      </c>
      <c r="B32" s="2" t="s">
        <v>1269</v>
      </c>
      <c r="C32" s="2"/>
      <c r="D32" s="2"/>
    </row>
    <row r="33" customFormat="false" ht="15" hidden="false" customHeight="false" outlineLevel="0" collapsed="false">
      <c r="A33" s="2" t="s">
        <v>1270</v>
      </c>
      <c r="B33" s="2" t="s">
        <v>1271</v>
      </c>
      <c r="C33" s="2"/>
      <c r="D33" s="2"/>
    </row>
    <row r="34" customFormat="false" ht="15" hidden="false" customHeight="false" outlineLevel="0" collapsed="false">
      <c r="A34" s="2" t="s">
        <v>1272</v>
      </c>
      <c r="B34" s="2" t="s">
        <v>1273</v>
      </c>
      <c r="C34" s="2"/>
      <c r="D34" s="2"/>
    </row>
    <row r="35" customFormat="false" ht="15" hidden="false" customHeight="false" outlineLevel="0" collapsed="false">
      <c r="A35" s="2" t="s">
        <v>1274</v>
      </c>
      <c r="B35" s="2" t="s">
        <v>1275</v>
      </c>
      <c r="C35" s="2"/>
      <c r="D35" s="2"/>
    </row>
  </sheetData>
  <autoFilter ref="A3:D2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3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9"/>
    <col collapsed="false" customWidth="true" hidden="false" outlineLevel="0" max="3" min="3" style="0" width="8"/>
    <col collapsed="false" customWidth="true" hidden="false" outlineLevel="0" max="4" min="4" style="0" width="11"/>
    <col collapsed="false" customWidth="true" hidden="false" outlineLevel="0" max="5" min="5" style="0" width="24"/>
    <col collapsed="false" customWidth="true" hidden="false" outlineLevel="0" max="7" min="6" style="0" width="26"/>
    <col collapsed="false" customWidth="true" hidden="false" outlineLevel="0" max="8" min="8" style="0" width="22"/>
    <col collapsed="false" customWidth="true" hidden="false" outlineLevel="0" max="9" min="9" style="0" width="18"/>
    <col collapsed="false" customWidth="true" hidden="false" outlineLevel="0" max="10" min="10" style="0" width="22"/>
    <col collapsed="false" customWidth="true" hidden="false" outlineLevel="0" max="13" min="13" style="0" width="16"/>
    <col collapsed="false" customWidth="true" hidden="false" outlineLevel="0" max="14" min="14" style="0" width="26"/>
    <col collapsed="false" customWidth="true" hidden="false" outlineLevel="0" max="15" min="15" style="0" width="40"/>
    <col collapsed="false" customWidth="true" hidden="false" outlineLevel="0" max="17" min="17" style="0" width="40"/>
    <col collapsed="false" customWidth="true" hidden="false" outlineLevel="0" max="19" min="18" style="0" width="34"/>
    <col collapsed="false" customWidth="true" hidden="false" outlineLevel="0" max="20" min="20" style="0" width="40"/>
    <col collapsed="false" customWidth="true" hidden="false" outlineLevel="0" max="21" min="21" style="0" width="26"/>
    <col collapsed="false" customWidth="true" hidden="false" outlineLevel="0" max="22" min="22" style="0" width="16"/>
    <col collapsed="false" customWidth="true" hidden="false" outlineLevel="0" max="23" min="23" style="0" width="60"/>
    <col collapsed="false" customWidth="true" hidden="false" outlineLevel="0" max="24" min="24" style="0" width="75"/>
    <col collapsed="false" customWidth="true" hidden="false" outlineLevel="0" max="27" min="27" style="0" width="45"/>
    <col collapsed="false" customWidth="true" hidden="false" outlineLevel="0" max="35" min="35" style="0" width="40"/>
    <col collapsed="false" customWidth="true" hidden="false" outlineLevel="0" max="36" min="36" style="0" width="18"/>
    <col collapsed="false" customWidth="true" hidden="false" outlineLevel="0" max="37" min="37" style="0" width="26"/>
  </cols>
  <sheetData>
    <row r="1" customFormat="false" ht="15" hidden="false" customHeight="false" outlineLevel="0" collapsed="false">
      <c r="A1" s="7" t="s">
        <v>1276</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row>
    <row r="2" customFormat="false" ht="15" hidden="false" customHeight="false" outlineLevel="0" collapsed="false">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customFormat="false" ht="57.45" hidden="false" customHeight="false" outlineLevel="0" collapsed="false">
      <c r="A3" s="8" t="s">
        <v>75</v>
      </c>
      <c r="B3" s="8" t="s">
        <v>76</v>
      </c>
      <c r="C3" s="8" t="s">
        <v>77</v>
      </c>
      <c r="D3" s="8" t="s">
        <v>78</v>
      </c>
      <c r="E3" s="8" t="s">
        <v>79</v>
      </c>
      <c r="F3" s="8" t="s">
        <v>80</v>
      </c>
      <c r="G3" s="8" t="s">
        <v>81</v>
      </c>
      <c r="H3" s="8" t="s">
        <v>82</v>
      </c>
      <c r="I3" s="8" t="s">
        <v>83</v>
      </c>
      <c r="J3" s="8" t="s">
        <v>84</v>
      </c>
      <c r="K3" s="8" t="s">
        <v>85</v>
      </c>
      <c r="L3" s="8" t="s">
        <v>86</v>
      </c>
      <c r="M3" s="8" t="s">
        <v>87</v>
      </c>
      <c r="N3" s="8" t="s">
        <v>88</v>
      </c>
      <c r="O3" s="8" t="s">
        <v>89</v>
      </c>
      <c r="P3" s="8" t="s">
        <v>90</v>
      </c>
      <c r="Q3" s="8" t="s">
        <v>91</v>
      </c>
      <c r="R3" s="8" t="s">
        <v>92</v>
      </c>
      <c r="S3" s="8" t="s">
        <v>93</v>
      </c>
      <c r="T3" s="8" t="s">
        <v>94</v>
      </c>
      <c r="U3" s="8" t="s">
        <v>95</v>
      </c>
      <c r="V3" s="8" t="s">
        <v>96</v>
      </c>
      <c r="W3" s="8" t="s">
        <v>97</v>
      </c>
      <c r="X3" s="8" t="s">
        <v>98</v>
      </c>
      <c r="Y3" s="8" t="s">
        <v>99</v>
      </c>
      <c r="Z3" s="8" t="s">
        <v>100</v>
      </c>
      <c r="AA3" s="8" t="s">
        <v>101</v>
      </c>
      <c r="AB3" s="8" t="s">
        <v>102</v>
      </c>
      <c r="AC3" s="8" t="s">
        <v>103</v>
      </c>
      <c r="AD3" s="8" t="s">
        <v>104</v>
      </c>
      <c r="AE3" s="8" t="s">
        <v>105</v>
      </c>
      <c r="AF3" s="8" t="s">
        <v>106</v>
      </c>
      <c r="AG3" s="8" t="s">
        <v>107</v>
      </c>
      <c r="AH3" s="8" t="s">
        <v>108</v>
      </c>
      <c r="AI3" s="8" t="s">
        <v>109</v>
      </c>
      <c r="AJ3" s="8" t="s">
        <v>110</v>
      </c>
      <c r="AK3" s="8" t="s">
        <v>111</v>
      </c>
      <c r="AL3" s="8" t="s">
        <v>112</v>
      </c>
    </row>
    <row r="4" customFormat="false" ht="90" hidden="false" customHeight="true" outlineLevel="0" collapsed="false">
      <c r="A4" s="2" t="s">
        <v>113</v>
      </c>
      <c r="B4" s="2" t="s">
        <v>114</v>
      </c>
      <c r="C4" s="2" t="s">
        <v>115</v>
      </c>
      <c r="D4" s="9" t="n">
        <v>24555</v>
      </c>
      <c r="E4" s="2" t="s">
        <v>116</v>
      </c>
      <c r="F4" s="2" t="s">
        <v>117</v>
      </c>
      <c r="G4" s="2" t="s">
        <v>118</v>
      </c>
      <c r="H4" s="2" t="s">
        <v>119</v>
      </c>
      <c r="I4" s="2" t="s">
        <v>120</v>
      </c>
      <c r="J4" s="2" t="s">
        <v>121</v>
      </c>
      <c r="K4" s="10" t="b">
        <f aca="false">FALSE()</f>
        <v>0</v>
      </c>
      <c r="L4" s="10" t="b">
        <f aca="false">FALSE()</f>
        <v>0</v>
      </c>
      <c r="M4" s="2" t="s">
        <v>122</v>
      </c>
      <c r="N4" s="2" t="s">
        <v>123</v>
      </c>
      <c r="O4" s="11" t="s">
        <v>124</v>
      </c>
      <c r="P4" s="2" t="n">
        <v>7</v>
      </c>
      <c r="Q4" s="11" t="s">
        <v>125</v>
      </c>
      <c r="R4" s="11" t="s">
        <v>126</v>
      </c>
      <c r="S4" s="11" t="s">
        <v>127</v>
      </c>
      <c r="T4" s="2" t="s">
        <v>128</v>
      </c>
      <c r="U4" s="2" t="s">
        <v>129</v>
      </c>
      <c r="V4" s="2"/>
      <c r="W4" s="2"/>
      <c r="X4" s="11" t="s">
        <v>130</v>
      </c>
      <c r="Y4" s="2"/>
      <c r="Z4" s="2"/>
      <c r="AA4" s="2"/>
      <c r="AB4" s="2"/>
      <c r="AC4" s="2" t="s">
        <v>131</v>
      </c>
      <c r="AD4" s="2" t="s">
        <v>132</v>
      </c>
      <c r="AE4" s="10" t="b">
        <f aca="false">FALSE()</f>
        <v>0</v>
      </c>
      <c r="AF4" s="2" t="s">
        <v>133</v>
      </c>
      <c r="AG4" s="2" t="s">
        <v>134</v>
      </c>
      <c r="AH4" s="2" t="s">
        <v>135</v>
      </c>
      <c r="AI4" s="11" t="s">
        <v>136</v>
      </c>
      <c r="AJ4" s="2" t="s">
        <v>1277</v>
      </c>
      <c r="AK4" s="2"/>
      <c r="AL4" s="2"/>
    </row>
    <row r="5" customFormat="false" ht="90" hidden="false" customHeight="true" outlineLevel="0" collapsed="false">
      <c r="A5" s="2" t="s">
        <v>139</v>
      </c>
      <c r="B5" s="2" t="s">
        <v>140</v>
      </c>
      <c r="C5" s="2" t="s">
        <v>115</v>
      </c>
      <c r="D5" s="9" t="n">
        <v>70650</v>
      </c>
      <c r="E5" s="2" t="s">
        <v>141</v>
      </c>
      <c r="F5" s="2" t="s">
        <v>142</v>
      </c>
      <c r="G5" s="2" t="s">
        <v>143</v>
      </c>
      <c r="H5" s="2" t="s">
        <v>144</v>
      </c>
      <c r="I5" s="2" t="s">
        <v>145</v>
      </c>
      <c r="J5" s="2" t="s">
        <v>146</v>
      </c>
      <c r="K5" s="10" t="b">
        <f aca="false">FALSE()</f>
        <v>0</v>
      </c>
      <c r="L5" s="10" t="b">
        <f aca="false">FALSE()</f>
        <v>0</v>
      </c>
      <c r="M5" s="2" t="s">
        <v>147</v>
      </c>
      <c r="N5" s="2" t="s">
        <v>123</v>
      </c>
      <c r="O5" s="2" t="s">
        <v>148</v>
      </c>
      <c r="P5" s="2" t="n">
        <v>14</v>
      </c>
      <c r="Q5" s="11" t="s">
        <v>149</v>
      </c>
      <c r="R5" s="11" t="s">
        <v>150</v>
      </c>
      <c r="S5" s="11" t="s">
        <v>151</v>
      </c>
      <c r="T5" s="2" t="s">
        <v>152</v>
      </c>
      <c r="U5" s="2" t="s">
        <v>153</v>
      </c>
      <c r="V5" s="2" t="s">
        <v>154</v>
      </c>
      <c r="W5" s="11" t="s">
        <v>155</v>
      </c>
      <c r="X5" s="11" t="s">
        <v>156</v>
      </c>
      <c r="Y5" s="2"/>
      <c r="Z5" s="2"/>
      <c r="AA5" s="2"/>
      <c r="AB5" s="2"/>
      <c r="AC5" s="2" t="s">
        <v>157</v>
      </c>
      <c r="AD5" s="2" t="s">
        <v>132</v>
      </c>
      <c r="AE5" s="10" t="b">
        <f aca="false">FALSE()</f>
        <v>0</v>
      </c>
      <c r="AF5" s="2" t="s">
        <v>133</v>
      </c>
      <c r="AG5" s="2" t="s">
        <v>158</v>
      </c>
      <c r="AH5" s="2" t="s">
        <v>135</v>
      </c>
      <c r="AI5" s="11" t="s">
        <v>159</v>
      </c>
      <c r="AJ5" s="2" t="s">
        <v>1277</v>
      </c>
      <c r="AK5" s="2"/>
      <c r="AL5" s="2"/>
    </row>
    <row r="6" customFormat="false" ht="90" hidden="false" customHeight="true" outlineLevel="0" collapsed="false">
      <c r="A6" s="2" t="s">
        <v>161</v>
      </c>
      <c r="B6" s="2" t="s">
        <v>140</v>
      </c>
      <c r="C6" s="2" t="s">
        <v>115</v>
      </c>
      <c r="D6" s="9" t="n">
        <v>22265</v>
      </c>
      <c r="E6" s="2" t="s">
        <v>116</v>
      </c>
      <c r="F6" s="2" t="s">
        <v>117</v>
      </c>
      <c r="G6" s="2" t="s">
        <v>118</v>
      </c>
      <c r="H6" s="2" t="s">
        <v>144</v>
      </c>
      <c r="I6" s="2" t="s">
        <v>145</v>
      </c>
      <c r="J6" s="2" t="s">
        <v>146</v>
      </c>
      <c r="K6" s="10" t="b">
        <f aca="false">FALSE()</f>
        <v>0</v>
      </c>
      <c r="L6" s="10" t="b">
        <f aca="false">FALSE()</f>
        <v>0</v>
      </c>
      <c r="M6" s="2" t="s">
        <v>122</v>
      </c>
      <c r="N6" s="2" t="s">
        <v>123</v>
      </c>
      <c r="O6" s="2" t="s">
        <v>162</v>
      </c>
      <c r="P6" s="2" t="n">
        <v>7</v>
      </c>
      <c r="Q6" s="11" t="s">
        <v>125</v>
      </c>
      <c r="R6" s="11" t="s">
        <v>126</v>
      </c>
      <c r="S6" s="11" t="s">
        <v>127</v>
      </c>
      <c r="T6" s="2" t="s">
        <v>1278</v>
      </c>
      <c r="U6" s="2" t="s">
        <v>153</v>
      </c>
      <c r="V6" s="2" t="s">
        <v>164</v>
      </c>
      <c r="W6" s="11" t="s">
        <v>165</v>
      </c>
      <c r="X6" s="11" t="s">
        <v>1279</v>
      </c>
      <c r="Y6" s="2"/>
      <c r="Z6" s="2"/>
      <c r="AA6" s="2"/>
      <c r="AB6" s="2"/>
      <c r="AC6" s="2" t="s">
        <v>131</v>
      </c>
      <c r="AD6" s="2" t="s">
        <v>132</v>
      </c>
      <c r="AE6" s="10" t="b">
        <f aca="false">FALSE()</f>
        <v>0</v>
      </c>
      <c r="AF6" s="2" t="s">
        <v>133</v>
      </c>
      <c r="AG6" s="2" t="s">
        <v>134</v>
      </c>
      <c r="AH6" s="2" t="s">
        <v>135</v>
      </c>
      <c r="AI6" s="11" t="s">
        <v>136</v>
      </c>
      <c r="AJ6" s="2" t="s">
        <v>1277</v>
      </c>
      <c r="AK6" s="2" t="s">
        <v>1280</v>
      </c>
      <c r="AL6" s="2"/>
    </row>
    <row r="7" customFormat="false" ht="90" hidden="false" customHeight="true" outlineLevel="0" collapsed="false">
      <c r="A7" s="2" t="s">
        <v>168</v>
      </c>
      <c r="B7" s="2" t="s">
        <v>140</v>
      </c>
      <c r="C7" s="2" t="s">
        <v>115</v>
      </c>
      <c r="D7" s="9" t="n">
        <v>18652</v>
      </c>
      <c r="E7" s="2" t="s">
        <v>116</v>
      </c>
      <c r="F7" s="2" t="s">
        <v>117</v>
      </c>
      <c r="G7" s="2" t="s">
        <v>118</v>
      </c>
      <c r="H7" s="2" t="s">
        <v>144</v>
      </c>
      <c r="I7" s="2" t="s">
        <v>145</v>
      </c>
      <c r="J7" s="2" t="s">
        <v>146</v>
      </c>
      <c r="K7" s="10" t="b">
        <f aca="false">FALSE()</f>
        <v>0</v>
      </c>
      <c r="L7" s="10" t="b">
        <f aca="false">FALSE()</f>
        <v>0</v>
      </c>
      <c r="M7" s="2" t="s">
        <v>122</v>
      </c>
      <c r="N7" s="2" t="s">
        <v>123</v>
      </c>
      <c r="O7" s="2" t="s">
        <v>162</v>
      </c>
      <c r="P7" s="2" t="n">
        <v>7</v>
      </c>
      <c r="Q7" s="11" t="s">
        <v>125</v>
      </c>
      <c r="R7" s="11" t="s">
        <v>126</v>
      </c>
      <c r="S7" s="11" t="s">
        <v>127</v>
      </c>
      <c r="T7" s="2"/>
      <c r="U7" s="2" t="s">
        <v>153</v>
      </c>
      <c r="V7" s="2" t="s">
        <v>164</v>
      </c>
      <c r="W7" s="11" t="s">
        <v>165</v>
      </c>
      <c r="X7" s="11" t="s">
        <v>169</v>
      </c>
      <c r="Y7" s="2"/>
      <c r="Z7" s="2"/>
      <c r="AA7" s="2"/>
      <c r="AB7" s="2"/>
      <c r="AC7" s="2" t="s">
        <v>131</v>
      </c>
      <c r="AD7" s="2" t="s">
        <v>132</v>
      </c>
      <c r="AE7" s="10" t="b">
        <f aca="false">FALSE()</f>
        <v>0</v>
      </c>
      <c r="AF7" s="2" t="s">
        <v>133</v>
      </c>
      <c r="AG7" s="2" t="s">
        <v>134</v>
      </c>
      <c r="AH7" s="2" t="s">
        <v>135</v>
      </c>
      <c r="AI7" s="11" t="s">
        <v>136</v>
      </c>
      <c r="AJ7" s="2" t="s">
        <v>1277</v>
      </c>
      <c r="AK7" s="2"/>
      <c r="AL7" s="2"/>
    </row>
    <row r="8" customFormat="false" ht="90" hidden="false" customHeight="true" outlineLevel="0" collapsed="false">
      <c r="A8" s="2" t="s">
        <v>171</v>
      </c>
      <c r="B8" s="2" t="s">
        <v>140</v>
      </c>
      <c r="C8" s="2" t="s">
        <v>115</v>
      </c>
      <c r="D8" s="9" t="n">
        <v>17026</v>
      </c>
      <c r="E8" s="2" t="s">
        <v>116</v>
      </c>
      <c r="F8" s="2" t="s">
        <v>117</v>
      </c>
      <c r="G8" s="2" t="s">
        <v>118</v>
      </c>
      <c r="H8" s="2" t="s">
        <v>144</v>
      </c>
      <c r="I8" s="2" t="s">
        <v>145</v>
      </c>
      <c r="J8" s="2" t="s">
        <v>146</v>
      </c>
      <c r="K8" s="10" t="b">
        <f aca="false">FALSE()</f>
        <v>0</v>
      </c>
      <c r="L8" s="10" t="b">
        <f aca="false">FALSE()</f>
        <v>0</v>
      </c>
      <c r="M8" s="2" t="s">
        <v>122</v>
      </c>
      <c r="N8" s="2" t="s">
        <v>123</v>
      </c>
      <c r="O8" s="2" t="s">
        <v>162</v>
      </c>
      <c r="P8" s="2" t="n">
        <v>7</v>
      </c>
      <c r="Q8" s="11" t="s">
        <v>125</v>
      </c>
      <c r="R8" s="11" t="s">
        <v>126</v>
      </c>
      <c r="S8" s="11" t="s">
        <v>127</v>
      </c>
      <c r="T8" s="2"/>
      <c r="U8" s="2" t="s">
        <v>153</v>
      </c>
      <c r="V8" s="2" t="s">
        <v>164</v>
      </c>
      <c r="W8" s="11" t="s">
        <v>172</v>
      </c>
      <c r="X8" s="11" t="s">
        <v>173</v>
      </c>
      <c r="Y8" s="2"/>
      <c r="Z8" s="2"/>
      <c r="AA8" s="2"/>
      <c r="AB8" s="2"/>
      <c r="AC8" s="2" t="s">
        <v>131</v>
      </c>
      <c r="AD8" s="2" t="s">
        <v>132</v>
      </c>
      <c r="AE8" s="10" t="b">
        <f aca="false">FALSE()</f>
        <v>0</v>
      </c>
      <c r="AF8" s="2" t="s">
        <v>133</v>
      </c>
      <c r="AG8" s="2" t="s">
        <v>134</v>
      </c>
      <c r="AH8" s="2" t="s">
        <v>135</v>
      </c>
      <c r="AI8" s="11" t="s">
        <v>136</v>
      </c>
      <c r="AJ8" s="2" t="s">
        <v>1277</v>
      </c>
      <c r="AK8" s="2"/>
      <c r="AL8" s="2"/>
    </row>
    <row r="9" customFormat="false" ht="90" hidden="false" customHeight="true" outlineLevel="0" collapsed="false">
      <c r="A9" s="2" t="s">
        <v>1141</v>
      </c>
      <c r="B9" s="2" t="s">
        <v>140</v>
      </c>
      <c r="C9" s="2" t="s">
        <v>115</v>
      </c>
      <c r="D9" s="9" t="n">
        <v>16389</v>
      </c>
      <c r="E9" s="2" t="s">
        <v>116</v>
      </c>
      <c r="F9" s="2" t="s">
        <v>117</v>
      </c>
      <c r="G9" s="2" t="s">
        <v>118</v>
      </c>
      <c r="H9" s="2" t="s">
        <v>144</v>
      </c>
      <c r="I9" s="2" t="s">
        <v>145</v>
      </c>
      <c r="J9" s="2" t="s">
        <v>146</v>
      </c>
      <c r="K9" s="10" t="b">
        <f aca="false">FALSE()</f>
        <v>0</v>
      </c>
      <c r="L9" s="10" t="b">
        <f aca="false">FALSE()</f>
        <v>0</v>
      </c>
      <c r="M9" s="2" t="s">
        <v>122</v>
      </c>
      <c r="N9" s="2" t="s">
        <v>123</v>
      </c>
      <c r="O9" s="2" t="s">
        <v>162</v>
      </c>
      <c r="P9" s="2" t="n">
        <v>7</v>
      </c>
      <c r="Q9" s="11" t="s">
        <v>125</v>
      </c>
      <c r="R9" s="11" t="s">
        <v>126</v>
      </c>
      <c r="S9" s="11" t="s">
        <v>127</v>
      </c>
      <c r="T9" s="2" t="s">
        <v>215</v>
      </c>
      <c r="U9" s="2" t="s">
        <v>153</v>
      </c>
      <c r="V9" s="2" t="s">
        <v>164</v>
      </c>
      <c r="W9" s="11" t="s">
        <v>172</v>
      </c>
      <c r="X9" s="11" t="s">
        <v>1281</v>
      </c>
      <c r="Y9" s="2"/>
      <c r="Z9" s="2"/>
      <c r="AA9" s="2"/>
      <c r="AB9" s="2"/>
      <c r="AC9" s="2" t="s">
        <v>131</v>
      </c>
      <c r="AD9" s="2" t="s">
        <v>132</v>
      </c>
      <c r="AE9" s="10" t="b">
        <f aca="false">FALSE()</f>
        <v>0</v>
      </c>
      <c r="AF9" s="2" t="s">
        <v>133</v>
      </c>
      <c r="AG9" s="2" t="s">
        <v>158</v>
      </c>
      <c r="AH9" s="2" t="s">
        <v>135</v>
      </c>
      <c r="AI9" s="11" t="s">
        <v>136</v>
      </c>
      <c r="AJ9" s="2" t="s">
        <v>1142</v>
      </c>
      <c r="AK9" s="2" t="s">
        <v>1142</v>
      </c>
      <c r="AL9" s="2" t="s">
        <v>1143</v>
      </c>
    </row>
    <row r="10" customFormat="false" ht="90" hidden="false" customHeight="true" outlineLevel="0" collapsed="false">
      <c r="A10" s="2" t="s">
        <v>175</v>
      </c>
      <c r="B10" s="2" t="s">
        <v>140</v>
      </c>
      <c r="C10" s="2" t="s">
        <v>115</v>
      </c>
      <c r="D10" s="9" t="n">
        <v>14315</v>
      </c>
      <c r="E10" s="2" t="s">
        <v>116</v>
      </c>
      <c r="F10" s="2" t="s">
        <v>117</v>
      </c>
      <c r="G10" s="2" t="s">
        <v>118</v>
      </c>
      <c r="H10" s="2" t="s">
        <v>144</v>
      </c>
      <c r="I10" s="2" t="s">
        <v>145</v>
      </c>
      <c r="J10" s="2" t="s">
        <v>146</v>
      </c>
      <c r="K10" s="10" t="b">
        <f aca="false">FALSE()</f>
        <v>0</v>
      </c>
      <c r="L10" s="10" t="b">
        <f aca="false">FALSE()</f>
        <v>0</v>
      </c>
      <c r="M10" s="2" t="s">
        <v>122</v>
      </c>
      <c r="N10" s="2" t="s">
        <v>123</v>
      </c>
      <c r="O10" s="2" t="s">
        <v>162</v>
      </c>
      <c r="P10" s="2" t="n">
        <v>7</v>
      </c>
      <c r="Q10" s="11" t="s">
        <v>125</v>
      </c>
      <c r="R10" s="11" t="s">
        <v>126</v>
      </c>
      <c r="S10" s="11" t="s">
        <v>127</v>
      </c>
      <c r="T10" s="2"/>
      <c r="U10" s="2" t="s">
        <v>153</v>
      </c>
      <c r="V10" s="2" t="s">
        <v>164</v>
      </c>
      <c r="W10" s="11" t="s">
        <v>165</v>
      </c>
      <c r="X10" s="11" t="s">
        <v>176</v>
      </c>
      <c r="Y10" s="2"/>
      <c r="Z10" s="2"/>
      <c r="AA10" s="2"/>
      <c r="AB10" s="2"/>
      <c r="AC10" s="2" t="s">
        <v>131</v>
      </c>
      <c r="AD10" s="2" t="s">
        <v>132</v>
      </c>
      <c r="AE10" s="10" t="b">
        <f aca="false">FALSE()</f>
        <v>0</v>
      </c>
      <c r="AF10" s="2" t="s">
        <v>133</v>
      </c>
      <c r="AG10" s="2" t="s">
        <v>134</v>
      </c>
      <c r="AH10" s="2" t="s">
        <v>135</v>
      </c>
      <c r="AI10" s="11" t="s">
        <v>136</v>
      </c>
      <c r="AJ10" s="2" t="s">
        <v>1277</v>
      </c>
      <c r="AK10" s="2"/>
      <c r="AL10" s="2"/>
    </row>
    <row r="11" customFormat="false" ht="90" hidden="false" customHeight="true" outlineLevel="0" collapsed="false">
      <c r="A11" s="2" t="s">
        <v>189</v>
      </c>
      <c r="B11" s="2" t="s">
        <v>140</v>
      </c>
      <c r="C11" s="2" t="s">
        <v>115</v>
      </c>
      <c r="D11" s="9" t="n">
        <v>11721</v>
      </c>
      <c r="E11" s="2" t="s">
        <v>116</v>
      </c>
      <c r="F11" s="2" t="s">
        <v>117</v>
      </c>
      <c r="G11" s="2" t="s">
        <v>118</v>
      </c>
      <c r="H11" s="2" t="s">
        <v>144</v>
      </c>
      <c r="I11" s="2" t="s">
        <v>145</v>
      </c>
      <c r="J11" s="2" t="s">
        <v>146</v>
      </c>
      <c r="K11" s="10" t="b">
        <f aca="false">FALSE()</f>
        <v>0</v>
      </c>
      <c r="L11" s="10" t="b">
        <f aca="false">FALSE()</f>
        <v>0</v>
      </c>
      <c r="M11" s="2" t="s">
        <v>122</v>
      </c>
      <c r="N11" s="2" t="s">
        <v>123</v>
      </c>
      <c r="O11" s="2" t="s">
        <v>162</v>
      </c>
      <c r="P11" s="2" t="n">
        <v>7</v>
      </c>
      <c r="Q11" s="11" t="s">
        <v>125</v>
      </c>
      <c r="R11" s="11" t="s">
        <v>126</v>
      </c>
      <c r="S11" s="11" t="s">
        <v>127</v>
      </c>
      <c r="T11" s="2"/>
      <c r="U11" s="2" t="s">
        <v>153</v>
      </c>
      <c r="V11" s="2" t="s">
        <v>164</v>
      </c>
      <c r="W11" s="11" t="s">
        <v>165</v>
      </c>
      <c r="X11" s="11" t="s">
        <v>190</v>
      </c>
      <c r="Y11" s="2"/>
      <c r="Z11" s="2"/>
      <c r="AA11" s="2"/>
      <c r="AB11" s="2"/>
      <c r="AC11" s="2" t="s">
        <v>131</v>
      </c>
      <c r="AD11" s="2" t="s">
        <v>132</v>
      </c>
      <c r="AE11" s="10" t="b">
        <f aca="false">FALSE()</f>
        <v>0</v>
      </c>
      <c r="AF11" s="2" t="s">
        <v>133</v>
      </c>
      <c r="AG11" s="2" t="s">
        <v>134</v>
      </c>
      <c r="AH11" s="2" t="s">
        <v>135</v>
      </c>
      <c r="AI11" s="11" t="s">
        <v>136</v>
      </c>
      <c r="AJ11" s="2" t="s">
        <v>1277</v>
      </c>
      <c r="AK11" s="2"/>
      <c r="AL11" s="2"/>
    </row>
    <row r="12" customFormat="false" ht="90" hidden="false" customHeight="true" outlineLevel="0" collapsed="false">
      <c r="A12" s="2" t="s">
        <v>192</v>
      </c>
      <c r="B12" s="2" t="s">
        <v>140</v>
      </c>
      <c r="C12" s="2" t="s">
        <v>115</v>
      </c>
      <c r="D12" s="9" t="n">
        <v>11481</v>
      </c>
      <c r="E12" s="2" t="s">
        <v>141</v>
      </c>
      <c r="F12" s="2" t="s">
        <v>142</v>
      </c>
      <c r="G12" s="2" t="s">
        <v>193</v>
      </c>
      <c r="H12" s="2" t="s">
        <v>144</v>
      </c>
      <c r="I12" s="2" t="s">
        <v>145</v>
      </c>
      <c r="J12" s="2" t="s">
        <v>146</v>
      </c>
      <c r="K12" s="10" t="b">
        <f aca="false">FALSE()</f>
        <v>0</v>
      </c>
      <c r="L12" s="10" t="b">
        <f aca="false">FALSE()</f>
        <v>0</v>
      </c>
      <c r="M12" s="2" t="s">
        <v>147</v>
      </c>
      <c r="N12" s="2" t="s">
        <v>123</v>
      </c>
      <c r="O12" s="2" t="s">
        <v>194</v>
      </c>
      <c r="P12" s="2" t="n">
        <v>14</v>
      </c>
      <c r="Q12" s="11" t="s">
        <v>149</v>
      </c>
      <c r="R12" s="11" t="s">
        <v>150</v>
      </c>
      <c r="S12" s="11" t="s">
        <v>151</v>
      </c>
      <c r="T12" s="2"/>
      <c r="U12" s="2" t="s">
        <v>153</v>
      </c>
      <c r="V12" s="2" t="s">
        <v>195</v>
      </c>
      <c r="W12" s="11" t="s">
        <v>196</v>
      </c>
      <c r="X12" s="11" t="s">
        <v>197</v>
      </c>
      <c r="Y12" s="2"/>
      <c r="Z12" s="2"/>
      <c r="AA12" s="2"/>
      <c r="AB12" s="2"/>
      <c r="AC12" s="2" t="s">
        <v>187</v>
      </c>
      <c r="AD12" s="2" t="s">
        <v>132</v>
      </c>
      <c r="AE12" s="10" t="b">
        <f aca="false">FALSE()</f>
        <v>0</v>
      </c>
      <c r="AF12" s="2" t="s">
        <v>133</v>
      </c>
      <c r="AG12" s="2" t="s">
        <v>134</v>
      </c>
      <c r="AH12" s="2" t="s">
        <v>135</v>
      </c>
      <c r="AI12" s="11" t="s">
        <v>159</v>
      </c>
      <c r="AJ12" s="2" t="s">
        <v>1277</v>
      </c>
      <c r="AK12" s="2"/>
      <c r="AL12" s="2"/>
    </row>
    <row r="13" customFormat="false" ht="90" hidden="false" customHeight="true" outlineLevel="0" collapsed="false">
      <c r="A13" s="2" t="s">
        <v>199</v>
      </c>
      <c r="B13" s="2" t="s">
        <v>140</v>
      </c>
      <c r="C13" s="2" t="s">
        <v>115</v>
      </c>
      <c r="D13" s="9" t="n">
        <v>10950</v>
      </c>
      <c r="E13" s="2" t="s">
        <v>116</v>
      </c>
      <c r="F13" s="2" t="s">
        <v>117</v>
      </c>
      <c r="G13" s="2" t="s">
        <v>118</v>
      </c>
      <c r="H13" s="2" t="s">
        <v>144</v>
      </c>
      <c r="I13" s="2" t="s">
        <v>145</v>
      </c>
      <c r="J13" s="2" t="s">
        <v>146</v>
      </c>
      <c r="K13" s="10" t="b">
        <f aca="false">FALSE()</f>
        <v>0</v>
      </c>
      <c r="L13" s="10" t="b">
        <f aca="false">FALSE()</f>
        <v>0</v>
      </c>
      <c r="M13" s="2" t="s">
        <v>122</v>
      </c>
      <c r="N13" s="2" t="s">
        <v>123</v>
      </c>
      <c r="O13" s="2" t="s">
        <v>162</v>
      </c>
      <c r="P13" s="2" t="n">
        <v>7</v>
      </c>
      <c r="Q13" s="11" t="s">
        <v>125</v>
      </c>
      <c r="R13" s="11" t="s">
        <v>126</v>
      </c>
      <c r="S13" s="11" t="s">
        <v>127</v>
      </c>
      <c r="T13" s="2" t="s">
        <v>163</v>
      </c>
      <c r="U13" s="2" t="s">
        <v>153</v>
      </c>
      <c r="V13" s="2" t="s">
        <v>164</v>
      </c>
      <c r="W13" s="11" t="s">
        <v>165</v>
      </c>
      <c r="X13" s="11" t="s">
        <v>200</v>
      </c>
      <c r="Y13" s="2"/>
      <c r="Z13" s="2"/>
      <c r="AA13" s="2"/>
      <c r="AB13" s="2"/>
      <c r="AC13" s="2" t="s">
        <v>131</v>
      </c>
      <c r="AD13" s="2" t="s">
        <v>132</v>
      </c>
      <c r="AE13" s="10" t="b">
        <f aca="false">FALSE()</f>
        <v>0</v>
      </c>
      <c r="AF13" s="2" t="s">
        <v>133</v>
      </c>
      <c r="AG13" s="2" t="s">
        <v>134</v>
      </c>
      <c r="AH13" s="2" t="s">
        <v>135</v>
      </c>
      <c r="AI13" s="11" t="s">
        <v>136</v>
      </c>
      <c r="AJ13" s="2" t="s">
        <v>1277</v>
      </c>
      <c r="AK13" s="2"/>
      <c r="AL13" s="2"/>
    </row>
    <row r="14" customFormat="false" ht="90" hidden="false" customHeight="true" outlineLevel="0" collapsed="false">
      <c r="A14" s="2" t="s">
        <v>202</v>
      </c>
      <c r="B14" s="2" t="s">
        <v>140</v>
      </c>
      <c r="C14" s="2" t="s">
        <v>203</v>
      </c>
      <c r="D14" s="9" t="n">
        <v>8613</v>
      </c>
      <c r="E14" s="2" t="s">
        <v>116</v>
      </c>
      <c r="F14" s="2" t="s">
        <v>117</v>
      </c>
      <c r="G14" s="2" t="s">
        <v>118</v>
      </c>
      <c r="H14" s="2" t="s">
        <v>144</v>
      </c>
      <c r="I14" s="2" t="s">
        <v>145</v>
      </c>
      <c r="J14" s="2" t="s">
        <v>146</v>
      </c>
      <c r="K14" s="10" t="b">
        <f aca="false">FALSE()</f>
        <v>0</v>
      </c>
      <c r="L14" s="10" t="b">
        <f aca="false">FALSE()</f>
        <v>0</v>
      </c>
      <c r="M14" s="2" t="s">
        <v>122</v>
      </c>
      <c r="N14" s="2" t="s">
        <v>123</v>
      </c>
      <c r="O14" s="2" t="s">
        <v>162</v>
      </c>
      <c r="P14" s="2" t="n">
        <v>7</v>
      </c>
      <c r="Q14" s="11" t="s">
        <v>125</v>
      </c>
      <c r="R14" s="11" t="s">
        <v>126</v>
      </c>
      <c r="S14" s="11" t="s">
        <v>127</v>
      </c>
      <c r="T14" s="2" t="s">
        <v>204</v>
      </c>
      <c r="U14" s="2" t="s">
        <v>153</v>
      </c>
      <c r="V14" s="2" t="s">
        <v>164</v>
      </c>
      <c r="W14" s="11" t="s">
        <v>205</v>
      </c>
      <c r="X14" s="11" t="s">
        <v>206</v>
      </c>
      <c r="Y14" s="2"/>
      <c r="Z14" s="2"/>
      <c r="AA14" s="2"/>
      <c r="AB14" s="2"/>
      <c r="AC14" s="2" t="s">
        <v>131</v>
      </c>
      <c r="AD14" s="2" t="s">
        <v>132</v>
      </c>
      <c r="AE14" s="10" t="b">
        <f aca="false">FALSE()</f>
        <v>0</v>
      </c>
      <c r="AF14" s="2" t="s">
        <v>133</v>
      </c>
      <c r="AG14" s="2" t="s">
        <v>134</v>
      </c>
      <c r="AH14" s="2" t="s">
        <v>135</v>
      </c>
      <c r="AI14" s="11" t="s">
        <v>136</v>
      </c>
      <c r="AJ14" s="2" t="s">
        <v>1277</v>
      </c>
      <c r="AK14" s="2"/>
      <c r="AL14" s="2"/>
    </row>
    <row r="15" customFormat="false" ht="90" hidden="false" customHeight="true" outlineLevel="0" collapsed="false">
      <c r="A15" s="2" t="s">
        <v>1146</v>
      </c>
      <c r="B15" s="2" t="s">
        <v>140</v>
      </c>
      <c r="C15" s="2" t="s">
        <v>203</v>
      </c>
      <c r="D15" s="9" t="n">
        <v>7165</v>
      </c>
      <c r="E15" s="2" t="s">
        <v>116</v>
      </c>
      <c r="F15" s="2" t="s">
        <v>117</v>
      </c>
      <c r="G15" s="2" t="s">
        <v>118</v>
      </c>
      <c r="H15" s="2" t="s">
        <v>144</v>
      </c>
      <c r="I15" s="2" t="s">
        <v>145</v>
      </c>
      <c r="J15" s="2" t="s">
        <v>146</v>
      </c>
      <c r="K15" s="10" t="b">
        <f aca="false">FALSE()</f>
        <v>0</v>
      </c>
      <c r="L15" s="10" t="b">
        <f aca="false">FALSE()</f>
        <v>0</v>
      </c>
      <c r="M15" s="2" t="s">
        <v>122</v>
      </c>
      <c r="N15" s="2" t="s">
        <v>123</v>
      </c>
      <c r="O15" s="2" t="s">
        <v>162</v>
      </c>
      <c r="P15" s="2" t="n">
        <v>7</v>
      </c>
      <c r="Q15" s="11" t="s">
        <v>125</v>
      </c>
      <c r="R15" s="11" t="s">
        <v>126</v>
      </c>
      <c r="S15" s="11" t="s">
        <v>127</v>
      </c>
      <c r="T15" s="2" t="s">
        <v>298</v>
      </c>
      <c r="U15" s="2" t="s">
        <v>153</v>
      </c>
      <c r="V15" s="2" t="s">
        <v>164</v>
      </c>
      <c r="W15" s="11" t="s">
        <v>165</v>
      </c>
      <c r="X15" s="11" t="s">
        <v>1282</v>
      </c>
      <c r="Y15" s="2"/>
      <c r="Z15" s="2"/>
      <c r="AA15" s="2"/>
      <c r="AB15" s="2"/>
      <c r="AC15" s="2" t="s">
        <v>131</v>
      </c>
      <c r="AD15" s="2" t="s">
        <v>132</v>
      </c>
      <c r="AE15" s="10" t="b">
        <f aca="false">FALSE()</f>
        <v>0</v>
      </c>
      <c r="AF15" s="2" t="s">
        <v>133</v>
      </c>
      <c r="AG15" s="2" t="s">
        <v>134</v>
      </c>
      <c r="AH15" s="2" t="s">
        <v>135</v>
      </c>
      <c r="AI15" s="11" t="s">
        <v>136</v>
      </c>
      <c r="AJ15" s="2" t="s">
        <v>1142</v>
      </c>
      <c r="AK15" s="2" t="s">
        <v>1142</v>
      </c>
      <c r="AL15" s="2" t="s">
        <v>1147</v>
      </c>
    </row>
    <row r="16" customFormat="false" ht="90" hidden="false" customHeight="true" outlineLevel="0" collapsed="false">
      <c r="A16" s="2" t="s">
        <v>226</v>
      </c>
      <c r="B16" s="2" t="s">
        <v>140</v>
      </c>
      <c r="C16" s="2" t="s">
        <v>203</v>
      </c>
      <c r="D16" s="9" t="n">
        <v>6832</v>
      </c>
      <c r="E16" s="2" t="s">
        <v>179</v>
      </c>
      <c r="F16" s="2" t="s">
        <v>117</v>
      </c>
      <c r="G16" s="2" t="s">
        <v>180</v>
      </c>
      <c r="H16" s="2" t="s">
        <v>144</v>
      </c>
      <c r="I16" s="2" t="s">
        <v>145</v>
      </c>
      <c r="J16" s="2" t="s">
        <v>181</v>
      </c>
      <c r="K16" s="10" t="b">
        <f aca="false">TRUE()</f>
        <v>1</v>
      </c>
      <c r="L16" s="10" t="b">
        <f aca="false">FALSE()</f>
        <v>0</v>
      </c>
      <c r="M16" s="2" t="s">
        <v>122</v>
      </c>
      <c r="N16" s="2" t="s">
        <v>182</v>
      </c>
      <c r="O16" s="2" t="s">
        <v>183</v>
      </c>
      <c r="P16" s="2" t="n">
        <v>7</v>
      </c>
      <c r="Q16" s="11" t="s">
        <v>125</v>
      </c>
      <c r="R16" s="11" t="s">
        <v>126</v>
      </c>
      <c r="S16" s="11" t="s">
        <v>127</v>
      </c>
      <c r="T16" s="2" t="s">
        <v>163</v>
      </c>
      <c r="U16" s="2" t="s">
        <v>153</v>
      </c>
      <c r="V16" s="2" t="s">
        <v>184</v>
      </c>
      <c r="W16" s="11" t="s">
        <v>185</v>
      </c>
      <c r="X16" s="11" t="s">
        <v>1283</v>
      </c>
      <c r="Y16" s="2"/>
      <c r="Z16" s="2"/>
      <c r="AA16" s="2"/>
      <c r="AB16" s="2"/>
      <c r="AC16" s="2" t="s">
        <v>131</v>
      </c>
      <c r="AD16" s="2" t="s">
        <v>132</v>
      </c>
      <c r="AE16" s="10" t="b">
        <f aca="false">FALSE()</f>
        <v>0</v>
      </c>
      <c r="AF16" s="2" t="s">
        <v>133</v>
      </c>
      <c r="AG16" s="2" t="s">
        <v>134</v>
      </c>
      <c r="AH16" s="2" t="s">
        <v>135</v>
      </c>
      <c r="AI16" s="11" t="s">
        <v>136</v>
      </c>
      <c r="AJ16" s="2" t="s">
        <v>1277</v>
      </c>
      <c r="AK16" s="2" t="s">
        <v>1280</v>
      </c>
      <c r="AL16" s="2"/>
    </row>
    <row r="17" customFormat="false" ht="90" hidden="false" customHeight="true" outlineLevel="0" collapsed="false">
      <c r="A17" s="2" t="s">
        <v>208</v>
      </c>
      <c r="B17" s="2" t="s">
        <v>140</v>
      </c>
      <c r="C17" s="2" t="s">
        <v>203</v>
      </c>
      <c r="D17" s="9" t="n">
        <v>6199</v>
      </c>
      <c r="E17" s="2" t="s">
        <v>116</v>
      </c>
      <c r="F17" s="2" t="s">
        <v>117</v>
      </c>
      <c r="G17" s="2" t="s">
        <v>118</v>
      </c>
      <c r="H17" s="2" t="s">
        <v>144</v>
      </c>
      <c r="I17" s="2" t="s">
        <v>145</v>
      </c>
      <c r="J17" s="2" t="s">
        <v>146</v>
      </c>
      <c r="K17" s="10" t="b">
        <f aca="false">FALSE()</f>
        <v>0</v>
      </c>
      <c r="L17" s="10" t="b">
        <f aca="false">FALSE()</f>
        <v>0</v>
      </c>
      <c r="M17" s="2" t="s">
        <v>122</v>
      </c>
      <c r="N17" s="2" t="s">
        <v>123</v>
      </c>
      <c r="O17" s="2" t="s">
        <v>162</v>
      </c>
      <c r="P17" s="2" t="n">
        <v>7</v>
      </c>
      <c r="Q17" s="11" t="s">
        <v>125</v>
      </c>
      <c r="R17" s="11" t="s">
        <v>126</v>
      </c>
      <c r="S17" s="11" t="s">
        <v>127</v>
      </c>
      <c r="T17" s="2"/>
      <c r="U17" s="2" t="s">
        <v>153</v>
      </c>
      <c r="V17" s="2" t="s">
        <v>164</v>
      </c>
      <c r="W17" s="11" t="s">
        <v>165</v>
      </c>
      <c r="X17" s="11" t="s">
        <v>209</v>
      </c>
      <c r="Y17" s="2"/>
      <c r="Z17" s="2"/>
      <c r="AA17" s="2"/>
      <c r="AB17" s="2"/>
      <c r="AC17" s="2" t="s">
        <v>131</v>
      </c>
      <c r="AD17" s="2" t="s">
        <v>132</v>
      </c>
      <c r="AE17" s="10" t="b">
        <f aca="false">FALSE()</f>
        <v>0</v>
      </c>
      <c r="AF17" s="2" t="s">
        <v>133</v>
      </c>
      <c r="AG17" s="2" t="s">
        <v>134</v>
      </c>
      <c r="AH17" s="2" t="s">
        <v>135</v>
      </c>
      <c r="AI17" s="11" t="s">
        <v>136</v>
      </c>
      <c r="AJ17" s="2" t="s">
        <v>1277</v>
      </c>
      <c r="AK17" s="2"/>
      <c r="AL17" s="2"/>
    </row>
    <row r="18" customFormat="false" ht="90" hidden="false" customHeight="true" outlineLevel="0" collapsed="false">
      <c r="A18" s="2" t="s">
        <v>211</v>
      </c>
      <c r="B18" s="2" t="s">
        <v>140</v>
      </c>
      <c r="C18" s="2" t="s">
        <v>203</v>
      </c>
      <c r="D18" s="9" t="n">
        <v>6140</v>
      </c>
      <c r="E18" s="2" t="s">
        <v>116</v>
      </c>
      <c r="F18" s="2" t="s">
        <v>117</v>
      </c>
      <c r="G18" s="2" t="s">
        <v>118</v>
      </c>
      <c r="H18" s="2" t="s">
        <v>144</v>
      </c>
      <c r="I18" s="2" t="s">
        <v>145</v>
      </c>
      <c r="J18" s="2" t="s">
        <v>146</v>
      </c>
      <c r="K18" s="10" t="b">
        <f aca="false">FALSE()</f>
        <v>0</v>
      </c>
      <c r="L18" s="10" t="b">
        <f aca="false">FALSE()</f>
        <v>0</v>
      </c>
      <c r="M18" s="2" t="s">
        <v>122</v>
      </c>
      <c r="N18" s="2" t="s">
        <v>123</v>
      </c>
      <c r="O18" s="2" t="s">
        <v>162</v>
      </c>
      <c r="P18" s="2" t="n">
        <v>7</v>
      </c>
      <c r="Q18" s="11" t="s">
        <v>125</v>
      </c>
      <c r="R18" s="11" t="s">
        <v>126</v>
      </c>
      <c r="S18" s="11" t="s">
        <v>127</v>
      </c>
      <c r="T18" s="2" t="s">
        <v>163</v>
      </c>
      <c r="U18" s="2" t="s">
        <v>153</v>
      </c>
      <c r="V18" s="2" t="s">
        <v>164</v>
      </c>
      <c r="W18" s="11" t="s">
        <v>205</v>
      </c>
      <c r="X18" s="11" t="s">
        <v>212</v>
      </c>
      <c r="Y18" s="2"/>
      <c r="Z18" s="2"/>
      <c r="AA18" s="2"/>
      <c r="AB18" s="2"/>
      <c r="AC18" s="2" t="s">
        <v>187</v>
      </c>
      <c r="AD18" s="2" t="s">
        <v>132</v>
      </c>
      <c r="AE18" s="10" t="b">
        <f aca="false">FALSE()</f>
        <v>0</v>
      </c>
      <c r="AF18" s="2" t="s">
        <v>133</v>
      </c>
      <c r="AG18" s="2" t="s">
        <v>134</v>
      </c>
      <c r="AH18" s="2" t="s">
        <v>135</v>
      </c>
      <c r="AI18" s="11" t="s">
        <v>136</v>
      </c>
      <c r="AJ18" s="2" t="s">
        <v>1277</v>
      </c>
      <c r="AK18" s="2"/>
      <c r="AL18" s="2"/>
    </row>
    <row r="19" customFormat="false" ht="90" hidden="false" customHeight="true" outlineLevel="0" collapsed="false">
      <c r="A19" s="2" t="s">
        <v>214</v>
      </c>
      <c r="B19" s="2" t="s">
        <v>140</v>
      </c>
      <c r="C19" s="2" t="s">
        <v>203</v>
      </c>
      <c r="D19" s="9" t="n">
        <v>5727</v>
      </c>
      <c r="E19" s="2" t="s">
        <v>116</v>
      </c>
      <c r="F19" s="2" t="s">
        <v>117</v>
      </c>
      <c r="G19" s="2" t="s">
        <v>118</v>
      </c>
      <c r="H19" s="2" t="s">
        <v>144</v>
      </c>
      <c r="I19" s="2" t="s">
        <v>145</v>
      </c>
      <c r="J19" s="2" t="s">
        <v>146</v>
      </c>
      <c r="K19" s="10" t="b">
        <f aca="false">FALSE()</f>
        <v>0</v>
      </c>
      <c r="L19" s="10" t="b">
        <f aca="false">FALSE()</f>
        <v>0</v>
      </c>
      <c r="M19" s="2" t="s">
        <v>122</v>
      </c>
      <c r="N19" s="2" t="s">
        <v>123</v>
      </c>
      <c r="O19" s="2" t="s">
        <v>162</v>
      </c>
      <c r="P19" s="2" t="n">
        <v>7</v>
      </c>
      <c r="Q19" s="11" t="s">
        <v>125</v>
      </c>
      <c r="R19" s="11" t="s">
        <v>126</v>
      </c>
      <c r="S19" s="11" t="s">
        <v>127</v>
      </c>
      <c r="T19" s="2" t="s">
        <v>215</v>
      </c>
      <c r="U19" s="2" t="s">
        <v>153</v>
      </c>
      <c r="V19" s="2" t="s">
        <v>164</v>
      </c>
      <c r="W19" s="11" t="s">
        <v>172</v>
      </c>
      <c r="X19" s="11" t="s">
        <v>216</v>
      </c>
      <c r="Y19" s="2"/>
      <c r="Z19" s="2"/>
      <c r="AA19" s="2"/>
      <c r="AB19" s="2"/>
      <c r="AC19" s="2" t="s">
        <v>131</v>
      </c>
      <c r="AD19" s="2" t="s">
        <v>132</v>
      </c>
      <c r="AE19" s="10" t="b">
        <f aca="false">FALSE()</f>
        <v>0</v>
      </c>
      <c r="AF19" s="2" t="s">
        <v>133</v>
      </c>
      <c r="AG19" s="2" t="s">
        <v>158</v>
      </c>
      <c r="AH19" s="2" t="s">
        <v>135</v>
      </c>
      <c r="AI19" s="11" t="s">
        <v>136</v>
      </c>
      <c r="AJ19" s="2" t="s">
        <v>1277</v>
      </c>
      <c r="AK19" s="2"/>
      <c r="AL19" s="2"/>
    </row>
    <row r="20" customFormat="false" ht="90" hidden="false" customHeight="true" outlineLevel="0" collapsed="false">
      <c r="A20" s="2" t="s">
        <v>218</v>
      </c>
      <c r="B20" s="2" t="s">
        <v>140</v>
      </c>
      <c r="C20" s="2" t="s">
        <v>203</v>
      </c>
      <c r="D20" s="9" t="n">
        <v>4772</v>
      </c>
      <c r="E20" s="2" t="s">
        <v>141</v>
      </c>
      <c r="F20" s="2" t="s">
        <v>142</v>
      </c>
      <c r="G20" s="2" t="s">
        <v>143</v>
      </c>
      <c r="H20" s="2" t="s">
        <v>144</v>
      </c>
      <c r="I20" s="2" t="s">
        <v>145</v>
      </c>
      <c r="J20" s="2" t="s">
        <v>146</v>
      </c>
      <c r="K20" s="10" t="b">
        <f aca="false">FALSE()</f>
        <v>0</v>
      </c>
      <c r="L20" s="10" t="b">
        <f aca="false">FALSE()</f>
        <v>0</v>
      </c>
      <c r="M20" s="2" t="s">
        <v>147</v>
      </c>
      <c r="N20" s="2" t="s">
        <v>123</v>
      </c>
      <c r="O20" s="2" t="s">
        <v>148</v>
      </c>
      <c r="P20" s="2" t="n">
        <v>14</v>
      </c>
      <c r="Q20" s="11" t="s">
        <v>149</v>
      </c>
      <c r="R20" s="11" t="s">
        <v>150</v>
      </c>
      <c r="S20" s="11" t="s">
        <v>151</v>
      </c>
      <c r="T20" s="2" t="s">
        <v>219</v>
      </c>
      <c r="U20" s="2" t="s">
        <v>153</v>
      </c>
      <c r="V20" s="2" t="s">
        <v>154</v>
      </c>
      <c r="W20" s="11" t="s">
        <v>155</v>
      </c>
      <c r="X20" s="11" t="s">
        <v>220</v>
      </c>
      <c r="Y20" s="2"/>
      <c r="Z20" s="2"/>
      <c r="AA20" s="2"/>
      <c r="AB20" s="2"/>
      <c r="AC20" s="2" t="s">
        <v>157</v>
      </c>
      <c r="AD20" s="2" t="s">
        <v>132</v>
      </c>
      <c r="AE20" s="10" t="b">
        <f aca="false">FALSE()</f>
        <v>0</v>
      </c>
      <c r="AF20" s="2" t="s">
        <v>133</v>
      </c>
      <c r="AG20" s="2" t="s">
        <v>158</v>
      </c>
      <c r="AH20" s="2" t="s">
        <v>135</v>
      </c>
      <c r="AI20" s="11" t="s">
        <v>159</v>
      </c>
      <c r="AJ20" s="2" t="s">
        <v>1277</v>
      </c>
      <c r="AK20" s="2"/>
      <c r="AL20" s="2"/>
    </row>
    <row r="21" customFormat="false" ht="90" hidden="false" customHeight="true" outlineLevel="0" collapsed="false">
      <c r="A21" s="2" t="s">
        <v>222</v>
      </c>
      <c r="B21" s="2" t="s">
        <v>140</v>
      </c>
      <c r="C21" s="2" t="s">
        <v>203</v>
      </c>
      <c r="D21" s="9" t="n">
        <v>4639</v>
      </c>
      <c r="E21" s="2" t="s">
        <v>116</v>
      </c>
      <c r="F21" s="2" t="s">
        <v>117</v>
      </c>
      <c r="G21" s="2" t="s">
        <v>118</v>
      </c>
      <c r="H21" s="2" t="s">
        <v>144</v>
      </c>
      <c r="I21" s="2" t="s">
        <v>145</v>
      </c>
      <c r="J21" s="2" t="s">
        <v>146</v>
      </c>
      <c r="K21" s="10" t="b">
        <f aca="false">FALSE()</f>
        <v>0</v>
      </c>
      <c r="L21" s="10" t="b">
        <f aca="false">FALSE()</f>
        <v>0</v>
      </c>
      <c r="M21" s="2" t="s">
        <v>122</v>
      </c>
      <c r="N21" s="2" t="s">
        <v>123</v>
      </c>
      <c r="O21" s="2" t="s">
        <v>162</v>
      </c>
      <c r="P21" s="2" t="n">
        <v>7</v>
      </c>
      <c r="Q21" s="11" t="s">
        <v>125</v>
      </c>
      <c r="R21" s="11" t="s">
        <v>126</v>
      </c>
      <c r="S21" s="11" t="s">
        <v>127</v>
      </c>
      <c r="T21" s="2" t="s">
        <v>223</v>
      </c>
      <c r="U21" s="2" t="s">
        <v>153</v>
      </c>
      <c r="V21" s="2" t="s">
        <v>164</v>
      </c>
      <c r="W21" s="11" t="s">
        <v>172</v>
      </c>
      <c r="X21" s="11" t="s">
        <v>224</v>
      </c>
      <c r="Y21" s="2"/>
      <c r="Z21" s="2"/>
      <c r="AA21" s="2"/>
      <c r="AB21" s="2"/>
      <c r="AC21" s="2" t="s">
        <v>131</v>
      </c>
      <c r="AD21" s="2" t="s">
        <v>132</v>
      </c>
      <c r="AE21" s="10" t="b">
        <f aca="false">FALSE()</f>
        <v>0</v>
      </c>
      <c r="AF21" s="2" t="s">
        <v>133</v>
      </c>
      <c r="AG21" s="2" t="s">
        <v>134</v>
      </c>
      <c r="AH21" s="2" t="s">
        <v>135</v>
      </c>
      <c r="AI21" s="11" t="s">
        <v>136</v>
      </c>
      <c r="AJ21" s="2" t="s">
        <v>1277</v>
      </c>
      <c r="AK21" s="2"/>
      <c r="AL21" s="2"/>
    </row>
    <row r="22" customFormat="false" ht="90" hidden="false" customHeight="true" outlineLevel="0" collapsed="false">
      <c r="A22" s="2" t="s">
        <v>229</v>
      </c>
      <c r="B22" s="2" t="s">
        <v>140</v>
      </c>
      <c r="C22" s="2" t="s">
        <v>203</v>
      </c>
      <c r="D22" s="9" t="n">
        <v>4179</v>
      </c>
      <c r="E22" s="2" t="s">
        <v>141</v>
      </c>
      <c r="F22" s="2" t="s">
        <v>142</v>
      </c>
      <c r="G22" s="2" t="s">
        <v>143</v>
      </c>
      <c r="H22" s="2" t="s">
        <v>144</v>
      </c>
      <c r="I22" s="2" t="s">
        <v>145</v>
      </c>
      <c r="J22" s="2" t="s">
        <v>146</v>
      </c>
      <c r="K22" s="10" t="b">
        <f aca="false">FALSE()</f>
        <v>0</v>
      </c>
      <c r="L22" s="10" t="b">
        <f aca="false">FALSE()</f>
        <v>0</v>
      </c>
      <c r="M22" s="2" t="s">
        <v>147</v>
      </c>
      <c r="N22" s="2" t="s">
        <v>123</v>
      </c>
      <c r="O22" s="2" t="s">
        <v>148</v>
      </c>
      <c r="P22" s="2" t="n">
        <v>14</v>
      </c>
      <c r="Q22" s="11" t="s">
        <v>149</v>
      </c>
      <c r="R22" s="11" t="s">
        <v>150</v>
      </c>
      <c r="S22" s="11" t="s">
        <v>151</v>
      </c>
      <c r="T22" s="2" t="s">
        <v>219</v>
      </c>
      <c r="U22" s="2" t="s">
        <v>153</v>
      </c>
      <c r="V22" s="2" t="s">
        <v>154</v>
      </c>
      <c r="W22" s="11" t="s">
        <v>155</v>
      </c>
      <c r="X22" s="11" t="s">
        <v>230</v>
      </c>
      <c r="Y22" s="2"/>
      <c r="Z22" s="2"/>
      <c r="AA22" s="2"/>
      <c r="AB22" s="2"/>
      <c r="AC22" s="2" t="s">
        <v>157</v>
      </c>
      <c r="AD22" s="2" t="s">
        <v>132</v>
      </c>
      <c r="AE22" s="10" t="b">
        <f aca="false">FALSE()</f>
        <v>0</v>
      </c>
      <c r="AF22" s="2" t="s">
        <v>133</v>
      </c>
      <c r="AG22" s="2" t="s">
        <v>158</v>
      </c>
      <c r="AH22" s="2" t="s">
        <v>135</v>
      </c>
      <c r="AI22" s="11" t="s">
        <v>159</v>
      </c>
      <c r="AJ22" s="2" t="s">
        <v>1277</v>
      </c>
      <c r="AK22" s="2"/>
      <c r="AL22" s="2"/>
    </row>
    <row r="23" customFormat="false" ht="90" hidden="false" customHeight="true" outlineLevel="0" collapsed="false">
      <c r="A23" s="2" t="s">
        <v>232</v>
      </c>
      <c r="B23" s="2" t="s">
        <v>140</v>
      </c>
      <c r="C23" s="2" t="s">
        <v>203</v>
      </c>
      <c r="D23" s="9" t="n">
        <v>3907</v>
      </c>
      <c r="E23" s="2" t="s">
        <v>179</v>
      </c>
      <c r="F23" s="2" t="s">
        <v>142</v>
      </c>
      <c r="G23" s="2" t="s">
        <v>143</v>
      </c>
      <c r="H23" s="2" t="s">
        <v>144</v>
      </c>
      <c r="I23" s="2" t="s">
        <v>145</v>
      </c>
      <c r="J23" s="2" t="s">
        <v>181</v>
      </c>
      <c r="K23" s="10" t="b">
        <f aca="false">TRUE()</f>
        <v>1</v>
      </c>
      <c r="L23" s="10" t="b">
        <f aca="false">FALSE()</f>
        <v>0</v>
      </c>
      <c r="M23" s="2" t="s">
        <v>147</v>
      </c>
      <c r="N23" s="2" t="s">
        <v>182</v>
      </c>
      <c r="O23" s="2" t="s">
        <v>148</v>
      </c>
      <c r="P23" s="2" t="n">
        <v>14</v>
      </c>
      <c r="Q23" s="11" t="s">
        <v>149</v>
      </c>
      <c r="R23" s="11" t="s">
        <v>150</v>
      </c>
      <c r="S23" s="11" t="s">
        <v>151</v>
      </c>
      <c r="T23" s="2" t="s">
        <v>219</v>
      </c>
      <c r="U23" s="2" t="s">
        <v>153</v>
      </c>
      <c r="V23" s="2" t="s">
        <v>154</v>
      </c>
      <c r="W23" s="11" t="s">
        <v>155</v>
      </c>
      <c r="X23" s="11" t="s">
        <v>233</v>
      </c>
      <c r="Y23" s="2"/>
      <c r="Z23" s="2"/>
      <c r="AA23" s="2"/>
      <c r="AB23" s="2"/>
      <c r="AC23" s="2" t="s">
        <v>157</v>
      </c>
      <c r="AD23" s="2" t="s">
        <v>132</v>
      </c>
      <c r="AE23" s="10" t="b">
        <f aca="false">FALSE()</f>
        <v>0</v>
      </c>
      <c r="AF23" s="2" t="s">
        <v>133</v>
      </c>
      <c r="AG23" s="2" t="s">
        <v>158</v>
      </c>
      <c r="AH23" s="2" t="s">
        <v>135</v>
      </c>
      <c r="AI23" s="11" t="s">
        <v>159</v>
      </c>
      <c r="AJ23" s="2" t="s">
        <v>1277</v>
      </c>
      <c r="AK23" s="2"/>
      <c r="AL23" s="2"/>
    </row>
    <row r="24" customFormat="false" ht="90" hidden="false" customHeight="true" outlineLevel="0" collapsed="false">
      <c r="A24" s="2" t="s">
        <v>235</v>
      </c>
      <c r="B24" s="2" t="s">
        <v>140</v>
      </c>
      <c r="C24" s="2" t="s">
        <v>203</v>
      </c>
      <c r="D24" s="9" t="n">
        <v>3906</v>
      </c>
      <c r="E24" s="2" t="s">
        <v>116</v>
      </c>
      <c r="F24" s="2" t="s">
        <v>117</v>
      </c>
      <c r="G24" s="2" t="s">
        <v>118</v>
      </c>
      <c r="H24" s="2" t="s">
        <v>144</v>
      </c>
      <c r="I24" s="2" t="s">
        <v>145</v>
      </c>
      <c r="J24" s="2" t="s">
        <v>146</v>
      </c>
      <c r="K24" s="10" t="b">
        <f aca="false">FALSE()</f>
        <v>0</v>
      </c>
      <c r="L24" s="10" t="b">
        <f aca="false">FALSE()</f>
        <v>0</v>
      </c>
      <c r="M24" s="2" t="s">
        <v>122</v>
      </c>
      <c r="N24" s="2" t="s">
        <v>123</v>
      </c>
      <c r="O24" s="2" t="s">
        <v>162</v>
      </c>
      <c r="P24" s="2" t="n">
        <v>7</v>
      </c>
      <c r="Q24" s="11" t="s">
        <v>125</v>
      </c>
      <c r="R24" s="11" t="s">
        <v>126</v>
      </c>
      <c r="S24" s="11" t="s">
        <v>127</v>
      </c>
      <c r="T24" s="11" t="s">
        <v>236</v>
      </c>
      <c r="U24" s="2" t="s">
        <v>153</v>
      </c>
      <c r="V24" s="2" t="s">
        <v>164</v>
      </c>
      <c r="W24" s="11" t="s">
        <v>172</v>
      </c>
      <c r="X24" s="11" t="s">
        <v>237</v>
      </c>
      <c r="Y24" s="2"/>
      <c r="Z24" s="2"/>
      <c r="AA24" s="2"/>
      <c r="AB24" s="2"/>
      <c r="AC24" s="2" t="s">
        <v>131</v>
      </c>
      <c r="AD24" s="2" t="s">
        <v>132</v>
      </c>
      <c r="AE24" s="10" t="b">
        <f aca="false">FALSE()</f>
        <v>0</v>
      </c>
      <c r="AF24" s="2" t="s">
        <v>133</v>
      </c>
      <c r="AG24" s="2" t="s">
        <v>134</v>
      </c>
      <c r="AH24" s="2" t="s">
        <v>135</v>
      </c>
      <c r="AI24" s="11" t="s">
        <v>136</v>
      </c>
      <c r="AJ24" s="2" t="s">
        <v>1277</v>
      </c>
      <c r="AK24" s="2"/>
      <c r="AL24" s="2"/>
    </row>
    <row r="25" customFormat="false" ht="90" hidden="false" customHeight="true" outlineLevel="0" collapsed="false">
      <c r="A25" s="2" t="s">
        <v>239</v>
      </c>
      <c r="B25" s="2" t="s">
        <v>140</v>
      </c>
      <c r="C25" s="2" t="s">
        <v>203</v>
      </c>
      <c r="D25" s="9" t="n">
        <v>3863</v>
      </c>
      <c r="E25" s="2" t="s">
        <v>116</v>
      </c>
      <c r="F25" s="2" t="s">
        <v>117</v>
      </c>
      <c r="G25" s="2" t="s">
        <v>118</v>
      </c>
      <c r="H25" s="2" t="s">
        <v>144</v>
      </c>
      <c r="I25" s="2" t="s">
        <v>145</v>
      </c>
      <c r="J25" s="2" t="s">
        <v>146</v>
      </c>
      <c r="K25" s="10" t="b">
        <f aca="false">FALSE()</f>
        <v>0</v>
      </c>
      <c r="L25" s="10" t="b">
        <f aca="false">FALSE()</f>
        <v>0</v>
      </c>
      <c r="M25" s="2" t="s">
        <v>122</v>
      </c>
      <c r="N25" s="2" t="s">
        <v>123</v>
      </c>
      <c r="O25" s="2" t="s">
        <v>162</v>
      </c>
      <c r="P25" s="2" t="n">
        <v>7</v>
      </c>
      <c r="Q25" s="11" t="s">
        <v>125</v>
      </c>
      <c r="R25" s="11" t="s">
        <v>126</v>
      </c>
      <c r="S25" s="11" t="s">
        <v>127</v>
      </c>
      <c r="T25" s="2"/>
      <c r="U25" s="2" t="s">
        <v>153</v>
      </c>
      <c r="V25" s="2" t="s">
        <v>164</v>
      </c>
      <c r="W25" s="11" t="s">
        <v>165</v>
      </c>
      <c r="X25" s="11" t="s">
        <v>240</v>
      </c>
      <c r="Y25" s="2"/>
      <c r="Z25" s="2"/>
      <c r="AA25" s="2"/>
      <c r="AB25" s="2"/>
      <c r="AC25" s="2" t="s">
        <v>131</v>
      </c>
      <c r="AD25" s="2" t="s">
        <v>132</v>
      </c>
      <c r="AE25" s="10" t="b">
        <f aca="false">FALSE()</f>
        <v>0</v>
      </c>
      <c r="AF25" s="2" t="s">
        <v>133</v>
      </c>
      <c r="AG25" s="2" t="s">
        <v>134</v>
      </c>
      <c r="AH25" s="2" t="s">
        <v>135</v>
      </c>
      <c r="AI25" s="11" t="s">
        <v>136</v>
      </c>
      <c r="AJ25" s="2" t="s">
        <v>1277</v>
      </c>
      <c r="AK25" s="2"/>
      <c r="AL25" s="2"/>
    </row>
    <row r="26" customFormat="false" ht="90" hidden="false" customHeight="true" outlineLevel="0" collapsed="false">
      <c r="A26" s="2" t="s">
        <v>242</v>
      </c>
      <c r="B26" s="2" t="s">
        <v>140</v>
      </c>
      <c r="C26" s="2" t="s">
        <v>203</v>
      </c>
      <c r="D26" s="9" t="n">
        <v>3702</v>
      </c>
      <c r="E26" s="2" t="s">
        <v>179</v>
      </c>
      <c r="F26" s="2" t="s">
        <v>142</v>
      </c>
      <c r="G26" s="2" t="s">
        <v>143</v>
      </c>
      <c r="H26" s="2" t="s">
        <v>144</v>
      </c>
      <c r="I26" s="2" t="s">
        <v>145</v>
      </c>
      <c r="J26" s="2" t="s">
        <v>146</v>
      </c>
      <c r="K26" s="10" t="b">
        <f aca="false">FALSE()</f>
        <v>0</v>
      </c>
      <c r="L26" s="10" t="b">
        <f aca="false">FALSE()</f>
        <v>0</v>
      </c>
      <c r="M26" s="2" t="s">
        <v>147</v>
      </c>
      <c r="N26" s="2" t="s">
        <v>123</v>
      </c>
      <c r="O26" s="2" t="s">
        <v>148</v>
      </c>
      <c r="P26" s="2" t="n">
        <v>14</v>
      </c>
      <c r="Q26" s="11" t="s">
        <v>149</v>
      </c>
      <c r="R26" s="11" t="s">
        <v>150</v>
      </c>
      <c r="S26" s="11" t="s">
        <v>151</v>
      </c>
      <c r="T26" s="2" t="s">
        <v>219</v>
      </c>
      <c r="U26" s="2" t="s">
        <v>153</v>
      </c>
      <c r="V26" s="2" t="s">
        <v>154</v>
      </c>
      <c r="W26" s="11" t="s">
        <v>155</v>
      </c>
      <c r="X26" s="11" t="s">
        <v>243</v>
      </c>
      <c r="Y26" s="2"/>
      <c r="Z26" s="2"/>
      <c r="AA26" s="2"/>
      <c r="AB26" s="2"/>
      <c r="AC26" s="2" t="s">
        <v>157</v>
      </c>
      <c r="AD26" s="2" t="s">
        <v>132</v>
      </c>
      <c r="AE26" s="10" t="b">
        <f aca="false">FALSE()</f>
        <v>0</v>
      </c>
      <c r="AF26" s="2" t="s">
        <v>133</v>
      </c>
      <c r="AG26" s="2" t="s">
        <v>158</v>
      </c>
      <c r="AH26" s="2" t="s">
        <v>135</v>
      </c>
      <c r="AI26" s="11" t="s">
        <v>159</v>
      </c>
      <c r="AJ26" s="2" t="s">
        <v>1277</v>
      </c>
      <c r="AK26" s="2"/>
      <c r="AL26" s="2"/>
    </row>
    <row r="27" customFormat="false" ht="90" hidden="false" customHeight="true" outlineLevel="0" collapsed="false">
      <c r="A27" s="2" t="s">
        <v>245</v>
      </c>
      <c r="B27" s="2" t="s">
        <v>140</v>
      </c>
      <c r="C27" s="2" t="s">
        <v>203</v>
      </c>
      <c r="D27" s="9" t="n">
        <v>3579</v>
      </c>
      <c r="E27" s="2" t="s">
        <v>116</v>
      </c>
      <c r="F27" s="2" t="s">
        <v>117</v>
      </c>
      <c r="G27" s="2" t="s">
        <v>118</v>
      </c>
      <c r="H27" s="2" t="s">
        <v>144</v>
      </c>
      <c r="I27" s="2" t="s">
        <v>145</v>
      </c>
      <c r="J27" s="2" t="s">
        <v>146</v>
      </c>
      <c r="K27" s="10" t="b">
        <f aca="false">FALSE()</f>
        <v>0</v>
      </c>
      <c r="L27" s="10" t="b">
        <f aca="false">FALSE()</f>
        <v>0</v>
      </c>
      <c r="M27" s="2" t="s">
        <v>122</v>
      </c>
      <c r="N27" s="2" t="s">
        <v>123</v>
      </c>
      <c r="O27" s="2" t="s">
        <v>162</v>
      </c>
      <c r="P27" s="2" t="n">
        <v>7</v>
      </c>
      <c r="Q27" s="11" t="s">
        <v>125</v>
      </c>
      <c r="R27" s="11" t="s">
        <v>126</v>
      </c>
      <c r="S27" s="11" t="s">
        <v>127</v>
      </c>
      <c r="T27" s="2" t="s">
        <v>215</v>
      </c>
      <c r="U27" s="2" t="s">
        <v>153</v>
      </c>
      <c r="V27" s="2" t="s">
        <v>164</v>
      </c>
      <c r="W27" s="11" t="s">
        <v>172</v>
      </c>
      <c r="X27" s="11" t="s">
        <v>246</v>
      </c>
      <c r="Y27" s="2"/>
      <c r="Z27" s="2"/>
      <c r="AA27" s="2"/>
      <c r="AB27" s="2"/>
      <c r="AC27" s="2" t="s">
        <v>131</v>
      </c>
      <c r="AD27" s="2" t="s">
        <v>132</v>
      </c>
      <c r="AE27" s="10" t="b">
        <f aca="false">FALSE()</f>
        <v>0</v>
      </c>
      <c r="AF27" s="2" t="s">
        <v>133</v>
      </c>
      <c r="AG27" s="2" t="s">
        <v>134</v>
      </c>
      <c r="AH27" s="2" t="s">
        <v>135</v>
      </c>
      <c r="AI27" s="11" t="s">
        <v>136</v>
      </c>
      <c r="AJ27" s="2" t="s">
        <v>1277</v>
      </c>
      <c r="AK27" s="2"/>
      <c r="AL27" s="2"/>
    </row>
    <row r="28" customFormat="false" ht="90" hidden="false" customHeight="true" outlineLevel="0" collapsed="false">
      <c r="A28" s="2" t="s">
        <v>248</v>
      </c>
      <c r="B28" s="2" t="s">
        <v>140</v>
      </c>
      <c r="C28" s="2" t="s">
        <v>203</v>
      </c>
      <c r="D28" s="9" t="n">
        <v>3549</v>
      </c>
      <c r="E28" s="2" t="s">
        <v>116</v>
      </c>
      <c r="F28" s="2" t="s">
        <v>117</v>
      </c>
      <c r="G28" s="2" t="s">
        <v>118</v>
      </c>
      <c r="H28" s="2" t="s">
        <v>144</v>
      </c>
      <c r="I28" s="2" t="s">
        <v>145</v>
      </c>
      <c r="J28" s="2" t="s">
        <v>146</v>
      </c>
      <c r="K28" s="10" t="b">
        <f aca="false">FALSE()</f>
        <v>0</v>
      </c>
      <c r="L28" s="10" t="b">
        <f aca="false">FALSE()</f>
        <v>0</v>
      </c>
      <c r="M28" s="2" t="s">
        <v>122</v>
      </c>
      <c r="N28" s="2" t="s">
        <v>123</v>
      </c>
      <c r="O28" s="2" t="s">
        <v>162</v>
      </c>
      <c r="P28" s="2" t="n">
        <v>7</v>
      </c>
      <c r="Q28" s="11" t="s">
        <v>125</v>
      </c>
      <c r="R28" s="11" t="s">
        <v>126</v>
      </c>
      <c r="S28" s="11" t="s">
        <v>127</v>
      </c>
      <c r="T28" s="2" t="s">
        <v>249</v>
      </c>
      <c r="U28" s="2" t="s">
        <v>153</v>
      </c>
      <c r="V28" s="2" t="s">
        <v>164</v>
      </c>
      <c r="W28" s="11" t="s">
        <v>165</v>
      </c>
      <c r="X28" s="11" t="s">
        <v>250</v>
      </c>
      <c r="Y28" s="2"/>
      <c r="Z28" s="2"/>
      <c r="AA28" s="2"/>
      <c r="AB28" s="2"/>
      <c r="AC28" s="2" t="s">
        <v>131</v>
      </c>
      <c r="AD28" s="2" t="s">
        <v>132</v>
      </c>
      <c r="AE28" s="10" t="b">
        <f aca="false">FALSE()</f>
        <v>0</v>
      </c>
      <c r="AF28" s="2" t="s">
        <v>133</v>
      </c>
      <c r="AG28" s="2" t="s">
        <v>134</v>
      </c>
      <c r="AH28" s="2" t="s">
        <v>135</v>
      </c>
      <c r="AI28" s="11" t="s">
        <v>136</v>
      </c>
      <c r="AJ28" s="2" t="s">
        <v>1277</v>
      </c>
      <c r="AK28" s="2"/>
      <c r="AL28" s="2"/>
    </row>
    <row r="29" customFormat="false" ht="90" hidden="false" customHeight="true" outlineLevel="0" collapsed="false">
      <c r="A29" s="2" t="s">
        <v>252</v>
      </c>
      <c r="B29" s="2" t="s">
        <v>140</v>
      </c>
      <c r="C29" s="2" t="s">
        <v>203</v>
      </c>
      <c r="D29" s="9" t="n">
        <v>3497</v>
      </c>
      <c r="E29" s="2" t="s">
        <v>253</v>
      </c>
      <c r="F29" s="2" t="s">
        <v>142</v>
      </c>
      <c r="G29" s="2" t="s">
        <v>254</v>
      </c>
      <c r="H29" s="2" t="s">
        <v>144</v>
      </c>
      <c r="I29" s="2" t="s">
        <v>145</v>
      </c>
      <c r="J29" s="2" t="s">
        <v>181</v>
      </c>
      <c r="K29" s="10" t="b">
        <f aca="false">TRUE()</f>
        <v>1</v>
      </c>
      <c r="L29" s="10" t="b">
        <f aca="false">FALSE()</f>
        <v>0</v>
      </c>
      <c r="M29" s="2" t="s">
        <v>147</v>
      </c>
      <c r="N29" s="2" t="s">
        <v>182</v>
      </c>
      <c r="O29" s="2" t="s">
        <v>255</v>
      </c>
      <c r="P29" s="2" t="n">
        <v>14</v>
      </c>
      <c r="Q29" s="11" t="s">
        <v>149</v>
      </c>
      <c r="R29" s="11" t="s">
        <v>150</v>
      </c>
      <c r="S29" s="11" t="s">
        <v>151</v>
      </c>
      <c r="T29" s="2" t="s">
        <v>163</v>
      </c>
      <c r="U29" s="2" t="s">
        <v>153</v>
      </c>
      <c r="V29" s="2" t="s">
        <v>256</v>
      </c>
      <c r="W29" s="11" t="s">
        <v>257</v>
      </c>
      <c r="X29" s="11" t="s">
        <v>258</v>
      </c>
      <c r="Y29" s="2"/>
      <c r="Z29" s="2"/>
      <c r="AA29" s="2"/>
      <c r="AB29" s="2"/>
      <c r="AC29" s="2" t="s">
        <v>187</v>
      </c>
      <c r="AD29" s="2" t="s">
        <v>132</v>
      </c>
      <c r="AE29" s="10" t="b">
        <f aca="false">FALSE()</f>
        <v>0</v>
      </c>
      <c r="AF29" s="2" t="s">
        <v>133</v>
      </c>
      <c r="AG29" s="2" t="s">
        <v>134</v>
      </c>
      <c r="AH29" s="2" t="s">
        <v>135</v>
      </c>
      <c r="AI29" s="11" t="s">
        <v>159</v>
      </c>
      <c r="AJ29" s="2" t="s">
        <v>1277</v>
      </c>
      <c r="AK29" s="2"/>
      <c r="AL29" s="2"/>
    </row>
    <row r="30" customFormat="false" ht="90" hidden="false" customHeight="true" outlineLevel="0" collapsed="false">
      <c r="A30" s="2" t="s">
        <v>260</v>
      </c>
      <c r="B30" s="2" t="s">
        <v>140</v>
      </c>
      <c r="C30" s="2" t="s">
        <v>203</v>
      </c>
      <c r="D30" s="9" t="n">
        <v>3478</v>
      </c>
      <c r="E30" s="2" t="s">
        <v>179</v>
      </c>
      <c r="F30" s="2" t="s">
        <v>142</v>
      </c>
      <c r="G30" s="2" t="s">
        <v>143</v>
      </c>
      <c r="H30" s="2" t="s">
        <v>144</v>
      </c>
      <c r="I30" s="2" t="s">
        <v>145</v>
      </c>
      <c r="J30" s="2" t="s">
        <v>146</v>
      </c>
      <c r="K30" s="10" t="b">
        <f aca="false">FALSE()</f>
        <v>0</v>
      </c>
      <c r="L30" s="10" t="b">
        <f aca="false">FALSE()</f>
        <v>0</v>
      </c>
      <c r="M30" s="2" t="s">
        <v>147</v>
      </c>
      <c r="N30" s="2" t="s">
        <v>123</v>
      </c>
      <c r="O30" s="2" t="s">
        <v>148</v>
      </c>
      <c r="P30" s="2" t="n">
        <v>14</v>
      </c>
      <c r="Q30" s="11" t="s">
        <v>149</v>
      </c>
      <c r="R30" s="11" t="s">
        <v>150</v>
      </c>
      <c r="S30" s="11" t="s">
        <v>151</v>
      </c>
      <c r="T30" s="2" t="s">
        <v>219</v>
      </c>
      <c r="U30" s="2" t="s">
        <v>153</v>
      </c>
      <c r="V30" s="2" t="s">
        <v>154</v>
      </c>
      <c r="W30" s="11" t="s">
        <v>155</v>
      </c>
      <c r="X30" s="11" t="s">
        <v>261</v>
      </c>
      <c r="Y30" s="2"/>
      <c r="Z30" s="2"/>
      <c r="AA30" s="2"/>
      <c r="AB30" s="2"/>
      <c r="AC30" s="2" t="s">
        <v>157</v>
      </c>
      <c r="AD30" s="2" t="s">
        <v>132</v>
      </c>
      <c r="AE30" s="10" t="b">
        <f aca="false">FALSE()</f>
        <v>0</v>
      </c>
      <c r="AF30" s="2" t="s">
        <v>133</v>
      </c>
      <c r="AG30" s="2" t="s">
        <v>158</v>
      </c>
      <c r="AH30" s="2" t="s">
        <v>135</v>
      </c>
      <c r="AI30" s="11" t="s">
        <v>159</v>
      </c>
      <c r="AJ30" s="2" t="s">
        <v>1277</v>
      </c>
      <c r="AK30" s="2"/>
      <c r="AL30" s="2"/>
    </row>
    <row r="31" customFormat="false" ht="90" hidden="false" customHeight="true" outlineLevel="0" collapsed="false">
      <c r="A31" s="2" t="s">
        <v>263</v>
      </c>
      <c r="B31" s="2" t="s">
        <v>140</v>
      </c>
      <c r="C31" s="2" t="s">
        <v>203</v>
      </c>
      <c r="D31" s="9" t="n">
        <v>3434</v>
      </c>
      <c r="E31" s="2" t="s">
        <v>116</v>
      </c>
      <c r="F31" s="2" t="s">
        <v>117</v>
      </c>
      <c r="G31" s="2" t="s">
        <v>118</v>
      </c>
      <c r="H31" s="2" t="s">
        <v>144</v>
      </c>
      <c r="I31" s="2" t="s">
        <v>145</v>
      </c>
      <c r="J31" s="2" t="s">
        <v>146</v>
      </c>
      <c r="K31" s="10" t="b">
        <f aca="false">FALSE()</f>
        <v>0</v>
      </c>
      <c r="L31" s="10" t="b">
        <f aca="false">FALSE()</f>
        <v>0</v>
      </c>
      <c r="M31" s="2" t="s">
        <v>122</v>
      </c>
      <c r="N31" s="2" t="s">
        <v>123</v>
      </c>
      <c r="O31" s="2" t="s">
        <v>162</v>
      </c>
      <c r="P31" s="2" t="n">
        <v>7</v>
      </c>
      <c r="Q31" s="11" t="s">
        <v>125</v>
      </c>
      <c r="R31" s="11" t="s">
        <v>126</v>
      </c>
      <c r="S31" s="11" t="s">
        <v>127</v>
      </c>
      <c r="T31" s="2" t="s">
        <v>223</v>
      </c>
      <c r="U31" s="2" t="s">
        <v>153</v>
      </c>
      <c r="V31" s="2" t="s">
        <v>164</v>
      </c>
      <c r="W31" s="11" t="s">
        <v>165</v>
      </c>
      <c r="X31" s="11" t="s">
        <v>264</v>
      </c>
      <c r="Y31" s="2"/>
      <c r="Z31" s="2"/>
      <c r="AA31" s="2"/>
      <c r="AB31" s="2"/>
      <c r="AC31" s="2" t="s">
        <v>131</v>
      </c>
      <c r="AD31" s="2" t="s">
        <v>132</v>
      </c>
      <c r="AE31" s="10" t="b">
        <f aca="false">FALSE()</f>
        <v>0</v>
      </c>
      <c r="AF31" s="2" t="s">
        <v>133</v>
      </c>
      <c r="AG31" s="2" t="s">
        <v>134</v>
      </c>
      <c r="AH31" s="2" t="s">
        <v>135</v>
      </c>
      <c r="AI31" s="11" t="s">
        <v>136</v>
      </c>
      <c r="AJ31" s="2" t="s">
        <v>1277</v>
      </c>
      <c r="AK31" s="2"/>
      <c r="AL31" s="2"/>
    </row>
    <row r="32" customFormat="false" ht="90" hidden="false" customHeight="true" outlineLevel="0" collapsed="false">
      <c r="A32" s="2" t="s">
        <v>266</v>
      </c>
      <c r="B32" s="2" t="s">
        <v>140</v>
      </c>
      <c r="C32" s="2" t="s">
        <v>203</v>
      </c>
      <c r="D32" s="9" t="n">
        <v>3383</v>
      </c>
      <c r="E32" s="2" t="s">
        <v>141</v>
      </c>
      <c r="F32" s="2" t="s">
        <v>142</v>
      </c>
      <c r="G32" s="2" t="s">
        <v>143</v>
      </c>
      <c r="H32" s="2" t="s">
        <v>144</v>
      </c>
      <c r="I32" s="2" t="s">
        <v>145</v>
      </c>
      <c r="J32" s="2" t="s">
        <v>146</v>
      </c>
      <c r="K32" s="10" t="b">
        <f aca="false">FALSE()</f>
        <v>0</v>
      </c>
      <c r="L32" s="10" t="b">
        <f aca="false">FALSE()</f>
        <v>0</v>
      </c>
      <c r="M32" s="2" t="s">
        <v>147</v>
      </c>
      <c r="N32" s="2" t="s">
        <v>123</v>
      </c>
      <c r="O32" s="2" t="s">
        <v>148</v>
      </c>
      <c r="P32" s="2" t="n">
        <v>14</v>
      </c>
      <c r="Q32" s="11" t="s">
        <v>149</v>
      </c>
      <c r="R32" s="11" t="s">
        <v>150</v>
      </c>
      <c r="S32" s="11" t="s">
        <v>151</v>
      </c>
      <c r="T32" s="2"/>
      <c r="U32" s="2" t="s">
        <v>153</v>
      </c>
      <c r="V32" s="2" t="s">
        <v>154</v>
      </c>
      <c r="W32" s="11" t="s">
        <v>155</v>
      </c>
      <c r="X32" s="11" t="s">
        <v>267</v>
      </c>
      <c r="Y32" s="2"/>
      <c r="Z32" s="2"/>
      <c r="AA32" s="2"/>
      <c r="AB32" s="2"/>
      <c r="AC32" s="2" t="s">
        <v>157</v>
      </c>
      <c r="AD32" s="2" t="s">
        <v>132</v>
      </c>
      <c r="AE32" s="10" t="b">
        <f aca="false">FALSE()</f>
        <v>0</v>
      </c>
      <c r="AF32" s="2" t="s">
        <v>133</v>
      </c>
      <c r="AG32" s="2" t="s">
        <v>158</v>
      </c>
      <c r="AH32" s="2" t="s">
        <v>135</v>
      </c>
      <c r="AI32" s="11" t="s">
        <v>159</v>
      </c>
      <c r="AJ32" s="2" t="s">
        <v>1277</v>
      </c>
      <c r="AK32" s="2"/>
      <c r="AL32" s="2"/>
    </row>
    <row r="33" customFormat="false" ht="90" hidden="false" customHeight="true" outlineLevel="0" collapsed="false">
      <c r="A33" s="2" t="s">
        <v>269</v>
      </c>
      <c r="B33" s="2" t="s">
        <v>140</v>
      </c>
      <c r="C33" s="2" t="s">
        <v>203</v>
      </c>
      <c r="D33" s="9" t="n">
        <v>3331</v>
      </c>
      <c r="E33" s="2" t="s">
        <v>116</v>
      </c>
      <c r="F33" s="2" t="s">
        <v>117</v>
      </c>
      <c r="G33" s="2" t="s">
        <v>118</v>
      </c>
      <c r="H33" s="2" t="s">
        <v>144</v>
      </c>
      <c r="I33" s="2" t="s">
        <v>145</v>
      </c>
      <c r="J33" s="2" t="s">
        <v>146</v>
      </c>
      <c r="K33" s="10" t="b">
        <f aca="false">FALSE()</f>
        <v>0</v>
      </c>
      <c r="L33" s="10" t="b">
        <f aca="false">FALSE()</f>
        <v>0</v>
      </c>
      <c r="M33" s="2" t="s">
        <v>122</v>
      </c>
      <c r="N33" s="2" t="s">
        <v>123</v>
      </c>
      <c r="O33" s="2" t="s">
        <v>162</v>
      </c>
      <c r="P33" s="2" t="n">
        <v>7</v>
      </c>
      <c r="Q33" s="11" t="s">
        <v>125</v>
      </c>
      <c r="R33" s="11" t="s">
        <v>126</v>
      </c>
      <c r="S33" s="11" t="s">
        <v>127</v>
      </c>
      <c r="T33" s="2"/>
      <c r="U33" s="2" t="s">
        <v>153</v>
      </c>
      <c r="V33" s="2" t="s">
        <v>164</v>
      </c>
      <c r="W33" s="11" t="s">
        <v>165</v>
      </c>
      <c r="X33" s="11" t="s">
        <v>270</v>
      </c>
      <c r="Y33" s="2"/>
      <c r="Z33" s="2"/>
      <c r="AA33" s="2"/>
      <c r="AB33" s="2"/>
      <c r="AC33" s="2" t="s">
        <v>131</v>
      </c>
      <c r="AD33" s="2" t="s">
        <v>132</v>
      </c>
      <c r="AE33" s="10" t="b">
        <f aca="false">FALSE()</f>
        <v>0</v>
      </c>
      <c r="AF33" s="2" t="s">
        <v>133</v>
      </c>
      <c r="AG33" s="2" t="s">
        <v>134</v>
      </c>
      <c r="AH33" s="2" t="s">
        <v>135</v>
      </c>
      <c r="AI33" s="11" t="s">
        <v>136</v>
      </c>
      <c r="AJ33" s="2" t="s">
        <v>1277</v>
      </c>
      <c r="AK33" s="2"/>
      <c r="AL33" s="2"/>
    </row>
    <row r="34" customFormat="false" ht="90" hidden="false" customHeight="true" outlineLevel="0" collapsed="false">
      <c r="A34" s="2" t="s">
        <v>272</v>
      </c>
      <c r="B34" s="2" t="s">
        <v>140</v>
      </c>
      <c r="C34" s="2" t="s">
        <v>203</v>
      </c>
      <c r="D34" s="9" t="n">
        <v>3283</v>
      </c>
      <c r="E34" s="2" t="s">
        <v>116</v>
      </c>
      <c r="F34" s="2" t="s">
        <v>117</v>
      </c>
      <c r="G34" s="2" t="s">
        <v>118</v>
      </c>
      <c r="H34" s="2" t="s">
        <v>144</v>
      </c>
      <c r="I34" s="2" t="s">
        <v>145</v>
      </c>
      <c r="J34" s="2" t="s">
        <v>146</v>
      </c>
      <c r="K34" s="10" t="b">
        <f aca="false">FALSE()</f>
        <v>0</v>
      </c>
      <c r="L34" s="10" t="b">
        <f aca="false">FALSE()</f>
        <v>0</v>
      </c>
      <c r="M34" s="2" t="s">
        <v>122</v>
      </c>
      <c r="N34" s="2" t="s">
        <v>123</v>
      </c>
      <c r="O34" s="2" t="s">
        <v>162</v>
      </c>
      <c r="P34" s="2" t="n">
        <v>7</v>
      </c>
      <c r="Q34" s="11" t="s">
        <v>125</v>
      </c>
      <c r="R34" s="11" t="s">
        <v>126</v>
      </c>
      <c r="S34" s="11" t="s">
        <v>127</v>
      </c>
      <c r="T34" s="2" t="s">
        <v>215</v>
      </c>
      <c r="U34" s="2" t="s">
        <v>153</v>
      </c>
      <c r="V34" s="2" t="s">
        <v>164</v>
      </c>
      <c r="W34" s="11" t="s">
        <v>172</v>
      </c>
      <c r="X34" s="11" t="s">
        <v>273</v>
      </c>
      <c r="Y34" s="2"/>
      <c r="Z34" s="2"/>
      <c r="AA34" s="2"/>
      <c r="AB34" s="2"/>
      <c r="AC34" s="2" t="s">
        <v>131</v>
      </c>
      <c r="AD34" s="2" t="s">
        <v>132</v>
      </c>
      <c r="AE34" s="10" t="b">
        <f aca="false">FALSE()</f>
        <v>0</v>
      </c>
      <c r="AF34" s="2" t="s">
        <v>133</v>
      </c>
      <c r="AG34" s="2" t="s">
        <v>158</v>
      </c>
      <c r="AH34" s="2" t="s">
        <v>135</v>
      </c>
      <c r="AI34" s="11" t="s">
        <v>136</v>
      </c>
      <c r="AJ34" s="2" t="s">
        <v>1277</v>
      </c>
      <c r="AK34" s="2"/>
      <c r="AL34" s="2"/>
    </row>
    <row r="35" customFormat="false" ht="90" hidden="false" customHeight="true" outlineLevel="0" collapsed="false">
      <c r="A35" s="2" t="s">
        <v>1150</v>
      </c>
      <c r="B35" s="2" t="s">
        <v>140</v>
      </c>
      <c r="C35" s="2" t="s">
        <v>203</v>
      </c>
      <c r="D35" s="9" t="n">
        <v>3066</v>
      </c>
      <c r="E35" s="2" t="s">
        <v>141</v>
      </c>
      <c r="F35" s="2" t="s">
        <v>142</v>
      </c>
      <c r="G35" s="2" t="s">
        <v>193</v>
      </c>
      <c r="H35" s="2" t="s">
        <v>144</v>
      </c>
      <c r="I35" s="2" t="s">
        <v>145</v>
      </c>
      <c r="J35" s="2" t="s">
        <v>146</v>
      </c>
      <c r="K35" s="10" t="b">
        <f aca="false">FALSE()</f>
        <v>0</v>
      </c>
      <c r="L35" s="10" t="b">
        <f aca="false">FALSE()</f>
        <v>0</v>
      </c>
      <c r="M35" s="2" t="s">
        <v>147</v>
      </c>
      <c r="N35" s="2" t="s">
        <v>123</v>
      </c>
      <c r="O35" s="2" t="s">
        <v>194</v>
      </c>
      <c r="P35" s="2" t="n">
        <v>14</v>
      </c>
      <c r="Q35" s="11" t="s">
        <v>149</v>
      </c>
      <c r="R35" s="11" t="s">
        <v>150</v>
      </c>
      <c r="S35" s="11" t="s">
        <v>151</v>
      </c>
      <c r="T35" s="2"/>
      <c r="U35" s="2" t="s">
        <v>153</v>
      </c>
      <c r="V35" s="2" t="s">
        <v>195</v>
      </c>
      <c r="W35" s="11" t="s">
        <v>196</v>
      </c>
      <c r="X35" s="11" t="s">
        <v>1284</v>
      </c>
      <c r="Y35" s="2"/>
      <c r="Z35" s="2"/>
      <c r="AA35" s="2"/>
      <c r="AB35" s="2"/>
      <c r="AC35" s="2" t="s">
        <v>187</v>
      </c>
      <c r="AD35" s="2" t="s">
        <v>132</v>
      </c>
      <c r="AE35" s="10" t="b">
        <f aca="false">FALSE()</f>
        <v>0</v>
      </c>
      <c r="AF35" s="2" t="s">
        <v>133</v>
      </c>
      <c r="AG35" s="2" t="s">
        <v>158</v>
      </c>
      <c r="AH35" s="2" t="s">
        <v>135</v>
      </c>
      <c r="AI35" s="11" t="s">
        <v>159</v>
      </c>
      <c r="AJ35" s="2" t="s">
        <v>1142</v>
      </c>
      <c r="AK35" s="2" t="s">
        <v>1142</v>
      </c>
      <c r="AL35" s="2" t="s">
        <v>1151</v>
      </c>
    </row>
    <row r="36" customFormat="false" ht="90" hidden="false" customHeight="true" outlineLevel="0" collapsed="false">
      <c r="A36" s="2" t="s">
        <v>275</v>
      </c>
      <c r="B36" s="2" t="s">
        <v>140</v>
      </c>
      <c r="C36" s="2" t="s">
        <v>203</v>
      </c>
      <c r="D36" s="9" t="n">
        <v>3044</v>
      </c>
      <c r="E36" s="2" t="s">
        <v>141</v>
      </c>
      <c r="F36" s="2" t="s">
        <v>142</v>
      </c>
      <c r="G36" s="2" t="s">
        <v>143</v>
      </c>
      <c r="H36" s="2" t="s">
        <v>144</v>
      </c>
      <c r="I36" s="2" t="s">
        <v>145</v>
      </c>
      <c r="J36" s="2" t="s">
        <v>146</v>
      </c>
      <c r="K36" s="10" t="b">
        <f aca="false">FALSE()</f>
        <v>0</v>
      </c>
      <c r="L36" s="10" t="b">
        <f aca="false">FALSE()</f>
        <v>0</v>
      </c>
      <c r="M36" s="2" t="s">
        <v>147</v>
      </c>
      <c r="N36" s="2" t="s">
        <v>123</v>
      </c>
      <c r="O36" s="2" t="s">
        <v>148</v>
      </c>
      <c r="P36" s="2" t="n">
        <v>14</v>
      </c>
      <c r="Q36" s="11" t="s">
        <v>149</v>
      </c>
      <c r="R36" s="11" t="s">
        <v>150</v>
      </c>
      <c r="S36" s="11" t="s">
        <v>151</v>
      </c>
      <c r="T36" s="2"/>
      <c r="U36" s="2" t="s">
        <v>153</v>
      </c>
      <c r="V36" s="2" t="s">
        <v>154</v>
      </c>
      <c r="W36" s="11" t="s">
        <v>155</v>
      </c>
      <c r="X36" s="11" t="s">
        <v>276</v>
      </c>
      <c r="Y36" s="2"/>
      <c r="Z36" s="2"/>
      <c r="AA36" s="2"/>
      <c r="AB36" s="2"/>
      <c r="AC36" s="2" t="s">
        <v>157</v>
      </c>
      <c r="AD36" s="2" t="s">
        <v>132</v>
      </c>
      <c r="AE36" s="10" t="b">
        <f aca="false">FALSE()</f>
        <v>0</v>
      </c>
      <c r="AF36" s="2" t="s">
        <v>133</v>
      </c>
      <c r="AG36" s="2" t="s">
        <v>158</v>
      </c>
      <c r="AH36" s="2" t="s">
        <v>135</v>
      </c>
      <c r="AI36" s="11" t="s">
        <v>159</v>
      </c>
      <c r="AJ36" s="2" t="s">
        <v>1277</v>
      </c>
      <c r="AK36" s="2"/>
      <c r="AL36" s="2"/>
    </row>
    <row r="37" customFormat="false" ht="90" hidden="false" customHeight="true" outlineLevel="0" collapsed="false">
      <c r="A37" s="2" t="s">
        <v>278</v>
      </c>
      <c r="B37" s="2" t="s">
        <v>140</v>
      </c>
      <c r="C37" s="2" t="s">
        <v>203</v>
      </c>
      <c r="D37" s="9" t="n">
        <v>2992</v>
      </c>
      <c r="E37" s="2" t="s">
        <v>179</v>
      </c>
      <c r="F37" s="2" t="s">
        <v>117</v>
      </c>
      <c r="G37" s="2" t="s">
        <v>180</v>
      </c>
      <c r="H37" s="2" t="s">
        <v>144</v>
      </c>
      <c r="I37" s="2" t="s">
        <v>145</v>
      </c>
      <c r="J37" s="2" t="s">
        <v>146</v>
      </c>
      <c r="K37" s="10" t="b">
        <f aca="false">FALSE()</f>
        <v>0</v>
      </c>
      <c r="L37" s="10" t="b">
        <f aca="false">FALSE()</f>
        <v>0</v>
      </c>
      <c r="M37" s="2" t="s">
        <v>122</v>
      </c>
      <c r="N37" s="2" t="s">
        <v>123</v>
      </c>
      <c r="O37" s="2" t="s">
        <v>183</v>
      </c>
      <c r="P37" s="2" t="n">
        <v>7</v>
      </c>
      <c r="Q37" s="11" t="s">
        <v>125</v>
      </c>
      <c r="R37" s="11" t="s">
        <v>126</v>
      </c>
      <c r="S37" s="11" t="s">
        <v>127</v>
      </c>
      <c r="T37" s="2"/>
      <c r="U37" s="2" t="s">
        <v>153</v>
      </c>
      <c r="V37" s="2" t="s">
        <v>164</v>
      </c>
      <c r="W37" s="11" t="s">
        <v>165</v>
      </c>
      <c r="X37" s="11" t="s">
        <v>279</v>
      </c>
      <c r="Y37" s="2"/>
      <c r="Z37" s="2"/>
      <c r="AA37" s="2"/>
      <c r="AB37" s="2"/>
      <c r="AC37" s="2" t="s">
        <v>131</v>
      </c>
      <c r="AD37" s="2" t="s">
        <v>132</v>
      </c>
      <c r="AE37" s="10" t="b">
        <f aca="false">FALSE()</f>
        <v>0</v>
      </c>
      <c r="AF37" s="2" t="s">
        <v>133</v>
      </c>
      <c r="AG37" s="2" t="s">
        <v>134</v>
      </c>
      <c r="AH37" s="2" t="s">
        <v>135</v>
      </c>
      <c r="AI37" s="11" t="s">
        <v>136</v>
      </c>
      <c r="AJ37" s="2" t="s">
        <v>1277</v>
      </c>
      <c r="AK37" s="2"/>
      <c r="AL37" s="2"/>
    </row>
    <row r="38" customFormat="false" ht="90" hidden="false" customHeight="true" outlineLevel="0" collapsed="false">
      <c r="A38" s="2" t="s">
        <v>281</v>
      </c>
      <c r="B38" s="2" t="s">
        <v>140</v>
      </c>
      <c r="C38" s="2" t="s">
        <v>203</v>
      </c>
      <c r="D38" s="9" t="n">
        <v>2952</v>
      </c>
      <c r="E38" s="2" t="s">
        <v>116</v>
      </c>
      <c r="F38" s="2" t="s">
        <v>117</v>
      </c>
      <c r="G38" s="2" t="s">
        <v>118</v>
      </c>
      <c r="H38" s="2" t="s">
        <v>144</v>
      </c>
      <c r="I38" s="2" t="s">
        <v>145</v>
      </c>
      <c r="J38" s="2" t="s">
        <v>146</v>
      </c>
      <c r="K38" s="10" t="b">
        <f aca="false">FALSE()</f>
        <v>0</v>
      </c>
      <c r="L38" s="10" t="b">
        <f aca="false">FALSE()</f>
        <v>0</v>
      </c>
      <c r="M38" s="2" t="s">
        <v>122</v>
      </c>
      <c r="N38" s="2" t="s">
        <v>123</v>
      </c>
      <c r="O38" s="2" t="s">
        <v>162</v>
      </c>
      <c r="P38" s="2" t="n">
        <v>7</v>
      </c>
      <c r="Q38" s="11" t="s">
        <v>125</v>
      </c>
      <c r="R38" s="11" t="s">
        <v>126</v>
      </c>
      <c r="S38" s="11" t="s">
        <v>127</v>
      </c>
      <c r="T38" s="2" t="s">
        <v>163</v>
      </c>
      <c r="U38" s="2" t="s">
        <v>153</v>
      </c>
      <c r="V38" s="2" t="s">
        <v>164</v>
      </c>
      <c r="W38" s="11" t="s">
        <v>165</v>
      </c>
      <c r="X38" s="11" t="s">
        <v>282</v>
      </c>
      <c r="Y38" s="2"/>
      <c r="Z38" s="2"/>
      <c r="AA38" s="2"/>
      <c r="AB38" s="2"/>
      <c r="AC38" s="2" t="s">
        <v>187</v>
      </c>
      <c r="AD38" s="2" t="s">
        <v>132</v>
      </c>
      <c r="AE38" s="10" t="b">
        <f aca="false">FALSE()</f>
        <v>0</v>
      </c>
      <c r="AF38" s="2" t="s">
        <v>133</v>
      </c>
      <c r="AG38" s="2" t="s">
        <v>134</v>
      </c>
      <c r="AH38" s="2" t="s">
        <v>135</v>
      </c>
      <c r="AI38" s="11" t="s">
        <v>136</v>
      </c>
      <c r="AJ38" s="2" t="s">
        <v>1277</v>
      </c>
      <c r="AK38" s="2"/>
      <c r="AL38" s="2"/>
    </row>
    <row r="39" customFormat="false" ht="90" hidden="false" customHeight="true" outlineLevel="0" collapsed="false">
      <c r="A39" s="2" t="s">
        <v>1152</v>
      </c>
      <c r="B39" s="2" t="s">
        <v>140</v>
      </c>
      <c r="C39" s="2" t="s">
        <v>203</v>
      </c>
      <c r="D39" s="9" t="n">
        <v>2592</v>
      </c>
      <c r="E39" s="2" t="s">
        <v>141</v>
      </c>
      <c r="F39" s="2" t="s">
        <v>142</v>
      </c>
      <c r="G39" s="2" t="s">
        <v>143</v>
      </c>
      <c r="H39" s="2" t="s">
        <v>144</v>
      </c>
      <c r="I39" s="2" t="s">
        <v>145</v>
      </c>
      <c r="J39" s="2" t="s">
        <v>146</v>
      </c>
      <c r="K39" s="10" t="b">
        <f aca="false">FALSE()</f>
        <v>0</v>
      </c>
      <c r="L39" s="10" t="b">
        <f aca="false">FALSE()</f>
        <v>0</v>
      </c>
      <c r="M39" s="2" t="s">
        <v>147</v>
      </c>
      <c r="N39" s="2" t="s">
        <v>123</v>
      </c>
      <c r="O39" s="2" t="s">
        <v>148</v>
      </c>
      <c r="P39" s="2" t="n">
        <v>14</v>
      </c>
      <c r="Q39" s="11" t="s">
        <v>149</v>
      </c>
      <c r="R39" s="11" t="s">
        <v>150</v>
      </c>
      <c r="S39" s="11" t="s">
        <v>151</v>
      </c>
      <c r="T39" s="2"/>
      <c r="U39" s="2" t="s">
        <v>153</v>
      </c>
      <c r="V39" s="2" t="s">
        <v>154</v>
      </c>
      <c r="W39" s="11" t="s">
        <v>155</v>
      </c>
      <c r="X39" s="11" t="s">
        <v>1285</v>
      </c>
      <c r="Y39" s="2"/>
      <c r="Z39" s="2"/>
      <c r="AA39" s="2"/>
      <c r="AB39" s="2"/>
      <c r="AC39" s="2" t="s">
        <v>157</v>
      </c>
      <c r="AD39" s="2" t="s">
        <v>132</v>
      </c>
      <c r="AE39" s="10" t="b">
        <f aca="false">FALSE()</f>
        <v>0</v>
      </c>
      <c r="AF39" s="2" t="s">
        <v>133</v>
      </c>
      <c r="AG39" s="2" t="s">
        <v>158</v>
      </c>
      <c r="AH39" s="2" t="s">
        <v>135</v>
      </c>
      <c r="AI39" s="11" t="s">
        <v>159</v>
      </c>
      <c r="AJ39" s="2" t="s">
        <v>1142</v>
      </c>
      <c r="AK39" s="2" t="s">
        <v>1142</v>
      </c>
      <c r="AL39" s="2" t="s">
        <v>1153</v>
      </c>
    </row>
    <row r="40" customFormat="false" ht="90" hidden="false" customHeight="true" outlineLevel="0" collapsed="false">
      <c r="A40" s="2" t="s">
        <v>284</v>
      </c>
      <c r="B40" s="2" t="s">
        <v>140</v>
      </c>
      <c r="C40" s="2" t="s">
        <v>203</v>
      </c>
      <c r="D40" s="9" t="n">
        <v>2581</v>
      </c>
      <c r="E40" s="2" t="s">
        <v>116</v>
      </c>
      <c r="F40" s="2" t="s">
        <v>117</v>
      </c>
      <c r="G40" s="2" t="s">
        <v>118</v>
      </c>
      <c r="H40" s="2" t="s">
        <v>144</v>
      </c>
      <c r="I40" s="2" t="s">
        <v>145</v>
      </c>
      <c r="J40" s="2" t="s">
        <v>146</v>
      </c>
      <c r="K40" s="10" t="b">
        <f aca="false">FALSE()</f>
        <v>0</v>
      </c>
      <c r="L40" s="10" t="b">
        <f aca="false">FALSE()</f>
        <v>0</v>
      </c>
      <c r="M40" s="2" t="s">
        <v>122</v>
      </c>
      <c r="N40" s="2" t="s">
        <v>123</v>
      </c>
      <c r="O40" s="2" t="s">
        <v>162</v>
      </c>
      <c r="P40" s="2" t="n">
        <v>7</v>
      </c>
      <c r="Q40" s="11" t="s">
        <v>125</v>
      </c>
      <c r="R40" s="11" t="s">
        <v>126</v>
      </c>
      <c r="S40" s="11" t="s">
        <v>127</v>
      </c>
      <c r="T40" s="2" t="s">
        <v>215</v>
      </c>
      <c r="U40" s="2" t="s">
        <v>153</v>
      </c>
      <c r="V40" s="2" t="s">
        <v>164</v>
      </c>
      <c r="W40" s="11" t="s">
        <v>165</v>
      </c>
      <c r="X40" s="11" t="s">
        <v>285</v>
      </c>
      <c r="Y40" s="2"/>
      <c r="Z40" s="2"/>
      <c r="AA40" s="2"/>
      <c r="AB40" s="2"/>
      <c r="AC40" s="2" t="s">
        <v>131</v>
      </c>
      <c r="AD40" s="2" t="s">
        <v>132</v>
      </c>
      <c r="AE40" s="10" t="b">
        <f aca="false">FALSE()</f>
        <v>0</v>
      </c>
      <c r="AF40" s="2" t="s">
        <v>133</v>
      </c>
      <c r="AG40" s="2" t="s">
        <v>134</v>
      </c>
      <c r="AH40" s="2" t="s">
        <v>135</v>
      </c>
      <c r="AI40" s="11" t="s">
        <v>136</v>
      </c>
      <c r="AJ40" s="2" t="s">
        <v>1277</v>
      </c>
      <c r="AK40" s="2"/>
      <c r="AL40" s="2"/>
    </row>
    <row r="41" customFormat="false" ht="90" hidden="false" customHeight="true" outlineLevel="0" collapsed="false">
      <c r="A41" s="2" t="s">
        <v>287</v>
      </c>
      <c r="B41" s="2" t="s">
        <v>140</v>
      </c>
      <c r="C41" s="2" t="s">
        <v>203</v>
      </c>
      <c r="D41" s="9" t="n">
        <v>2516</v>
      </c>
      <c r="E41" s="2" t="s">
        <v>116</v>
      </c>
      <c r="F41" s="2" t="s">
        <v>117</v>
      </c>
      <c r="G41" s="2" t="s">
        <v>118</v>
      </c>
      <c r="H41" s="2" t="s">
        <v>144</v>
      </c>
      <c r="I41" s="2" t="s">
        <v>145</v>
      </c>
      <c r="J41" s="2" t="s">
        <v>146</v>
      </c>
      <c r="K41" s="10" t="b">
        <f aca="false">FALSE()</f>
        <v>0</v>
      </c>
      <c r="L41" s="10" t="b">
        <f aca="false">FALSE()</f>
        <v>0</v>
      </c>
      <c r="M41" s="2" t="s">
        <v>122</v>
      </c>
      <c r="N41" s="2" t="s">
        <v>123</v>
      </c>
      <c r="O41" s="2" t="s">
        <v>162</v>
      </c>
      <c r="P41" s="2" t="n">
        <v>7</v>
      </c>
      <c r="Q41" s="11" t="s">
        <v>125</v>
      </c>
      <c r="R41" s="11" t="s">
        <v>126</v>
      </c>
      <c r="S41" s="11" t="s">
        <v>127</v>
      </c>
      <c r="T41" s="2"/>
      <c r="U41" s="2" t="s">
        <v>153</v>
      </c>
      <c r="V41" s="2" t="s">
        <v>164</v>
      </c>
      <c r="W41" s="11" t="s">
        <v>165</v>
      </c>
      <c r="X41" s="11" t="s">
        <v>288</v>
      </c>
      <c r="Y41" s="2"/>
      <c r="Z41" s="2"/>
      <c r="AA41" s="2"/>
      <c r="AB41" s="2"/>
      <c r="AC41" s="2" t="s">
        <v>131</v>
      </c>
      <c r="AD41" s="2" t="s">
        <v>132</v>
      </c>
      <c r="AE41" s="10" t="b">
        <f aca="false">FALSE()</f>
        <v>0</v>
      </c>
      <c r="AF41" s="2" t="s">
        <v>133</v>
      </c>
      <c r="AG41" s="2" t="s">
        <v>134</v>
      </c>
      <c r="AH41" s="2" t="s">
        <v>135</v>
      </c>
      <c r="AI41" s="11" t="s">
        <v>136</v>
      </c>
      <c r="AJ41" s="2" t="s">
        <v>1277</v>
      </c>
      <c r="AK41" s="2"/>
      <c r="AL41" s="2"/>
    </row>
    <row r="42" customFormat="false" ht="90" hidden="false" customHeight="true" outlineLevel="0" collapsed="false">
      <c r="A42" s="2" t="s">
        <v>290</v>
      </c>
      <c r="B42" s="2" t="s">
        <v>140</v>
      </c>
      <c r="C42" s="2" t="s">
        <v>203</v>
      </c>
      <c r="D42" s="9" t="n">
        <v>2514</v>
      </c>
      <c r="E42" s="2" t="s">
        <v>116</v>
      </c>
      <c r="F42" s="2" t="s">
        <v>117</v>
      </c>
      <c r="G42" s="2" t="s">
        <v>118</v>
      </c>
      <c r="H42" s="2" t="s">
        <v>144</v>
      </c>
      <c r="I42" s="2" t="s">
        <v>145</v>
      </c>
      <c r="J42" s="2" t="s">
        <v>146</v>
      </c>
      <c r="K42" s="10" t="b">
        <f aca="false">FALSE()</f>
        <v>0</v>
      </c>
      <c r="L42" s="10" t="b">
        <f aca="false">FALSE()</f>
        <v>0</v>
      </c>
      <c r="M42" s="2" t="s">
        <v>122</v>
      </c>
      <c r="N42" s="2" t="s">
        <v>123</v>
      </c>
      <c r="O42" s="2" t="s">
        <v>162</v>
      </c>
      <c r="P42" s="2" t="n">
        <v>7</v>
      </c>
      <c r="Q42" s="11" t="s">
        <v>125</v>
      </c>
      <c r="R42" s="11" t="s">
        <v>126</v>
      </c>
      <c r="S42" s="11" t="s">
        <v>127</v>
      </c>
      <c r="T42" s="2"/>
      <c r="U42" s="2" t="s">
        <v>153</v>
      </c>
      <c r="V42" s="2" t="s">
        <v>164</v>
      </c>
      <c r="W42" s="11" t="s">
        <v>205</v>
      </c>
      <c r="X42" s="11" t="s">
        <v>291</v>
      </c>
      <c r="Y42" s="2"/>
      <c r="Z42" s="2"/>
      <c r="AA42" s="2"/>
      <c r="AB42" s="2"/>
      <c r="AC42" s="2" t="s">
        <v>131</v>
      </c>
      <c r="AD42" s="2" t="s">
        <v>132</v>
      </c>
      <c r="AE42" s="10" t="b">
        <f aca="false">FALSE()</f>
        <v>0</v>
      </c>
      <c r="AF42" s="2" t="s">
        <v>133</v>
      </c>
      <c r="AG42" s="2" t="s">
        <v>134</v>
      </c>
      <c r="AH42" s="2" t="s">
        <v>135</v>
      </c>
      <c r="AI42" s="11" t="s">
        <v>136</v>
      </c>
      <c r="AJ42" s="2" t="s">
        <v>1277</v>
      </c>
      <c r="AK42" s="2"/>
      <c r="AL42" s="2"/>
    </row>
    <row r="43" customFormat="false" ht="90" hidden="false" customHeight="true" outlineLevel="0" collapsed="false">
      <c r="A43" s="2" t="s">
        <v>293</v>
      </c>
      <c r="B43" s="2" t="s">
        <v>140</v>
      </c>
      <c r="C43" s="2" t="s">
        <v>203</v>
      </c>
      <c r="D43" s="9" t="n">
        <v>2262</v>
      </c>
      <c r="E43" s="2" t="s">
        <v>116</v>
      </c>
      <c r="F43" s="2" t="s">
        <v>117</v>
      </c>
      <c r="G43" s="2" t="s">
        <v>118</v>
      </c>
      <c r="H43" s="2" t="s">
        <v>144</v>
      </c>
      <c r="I43" s="2" t="s">
        <v>145</v>
      </c>
      <c r="J43" s="2" t="s">
        <v>146</v>
      </c>
      <c r="K43" s="10" t="b">
        <f aca="false">FALSE()</f>
        <v>0</v>
      </c>
      <c r="L43" s="10" t="b">
        <f aca="false">FALSE()</f>
        <v>0</v>
      </c>
      <c r="M43" s="2" t="s">
        <v>122</v>
      </c>
      <c r="N43" s="2" t="s">
        <v>123</v>
      </c>
      <c r="O43" s="2" t="s">
        <v>162</v>
      </c>
      <c r="P43" s="2" t="n">
        <v>7</v>
      </c>
      <c r="Q43" s="11" t="s">
        <v>125</v>
      </c>
      <c r="R43" s="11" t="s">
        <v>126</v>
      </c>
      <c r="S43" s="11" t="s">
        <v>127</v>
      </c>
      <c r="T43" s="2" t="s">
        <v>294</v>
      </c>
      <c r="U43" s="2" t="s">
        <v>153</v>
      </c>
      <c r="V43" s="2" t="s">
        <v>164</v>
      </c>
      <c r="W43" s="11" t="s">
        <v>172</v>
      </c>
      <c r="X43" s="11" t="s">
        <v>295</v>
      </c>
      <c r="Y43" s="2"/>
      <c r="Z43" s="2"/>
      <c r="AA43" s="2"/>
      <c r="AB43" s="2"/>
      <c r="AC43" s="2" t="s">
        <v>187</v>
      </c>
      <c r="AD43" s="2" t="s">
        <v>132</v>
      </c>
      <c r="AE43" s="10" t="b">
        <f aca="false">FALSE()</f>
        <v>0</v>
      </c>
      <c r="AF43" s="2" t="s">
        <v>133</v>
      </c>
      <c r="AG43" s="2" t="s">
        <v>158</v>
      </c>
      <c r="AH43" s="2" t="s">
        <v>135</v>
      </c>
      <c r="AI43" s="11" t="s">
        <v>136</v>
      </c>
      <c r="AJ43" s="2" t="s">
        <v>1277</v>
      </c>
      <c r="AK43" s="2"/>
      <c r="AL43" s="2"/>
    </row>
    <row r="44" customFormat="false" ht="90" hidden="false" customHeight="true" outlineLevel="0" collapsed="false">
      <c r="A44" s="2" t="s">
        <v>297</v>
      </c>
      <c r="B44" s="2" t="s">
        <v>140</v>
      </c>
      <c r="C44" s="2" t="s">
        <v>203</v>
      </c>
      <c r="D44" s="9" t="n">
        <v>2214</v>
      </c>
      <c r="E44" s="2" t="s">
        <v>141</v>
      </c>
      <c r="F44" s="2" t="s">
        <v>142</v>
      </c>
      <c r="G44" s="2" t="s">
        <v>143</v>
      </c>
      <c r="H44" s="2" t="s">
        <v>144</v>
      </c>
      <c r="I44" s="2" t="s">
        <v>145</v>
      </c>
      <c r="J44" s="2" t="s">
        <v>146</v>
      </c>
      <c r="K44" s="10" t="b">
        <f aca="false">FALSE()</f>
        <v>0</v>
      </c>
      <c r="L44" s="10" t="b">
        <f aca="false">FALSE()</f>
        <v>0</v>
      </c>
      <c r="M44" s="2" t="s">
        <v>147</v>
      </c>
      <c r="N44" s="2" t="s">
        <v>123</v>
      </c>
      <c r="O44" s="2" t="s">
        <v>148</v>
      </c>
      <c r="P44" s="2" t="n">
        <v>14</v>
      </c>
      <c r="Q44" s="11" t="s">
        <v>149</v>
      </c>
      <c r="R44" s="11" t="s">
        <v>150</v>
      </c>
      <c r="S44" s="11" t="s">
        <v>151</v>
      </c>
      <c r="T44" s="2" t="s">
        <v>298</v>
      </c>
      <c r="U44" s="2" t="s">
        <v>153</v>
      </c>
      <c r="V44" s="2" t="s">
        <v>154</v>
      </c>
      <c r="W44" s="11" t="s">
        <v>155</v>
      </c>
      <c r="X44" s="11" t="s">
        <v>299</v>
      </c>
      <c r="Y44" s="2"/>
      <c r="Z44" s="2"/>
      <c r="AA44" s="2"/>
      <c r="AB44" s="2"/>
      <c r="AC44" s="2" t="s">
        <v>157</v>
      </c>
      <c r="AD44" s="2" t="s">
        <v>132</v>
      </c>
      <c r="AE44" s="10" t="b">
        <f aca="false">FALSE()</f>
        <v>0</v>
      </c>
      <c r="AF44" s="2" t="s">
        <v>133</v>
      </c>
      <c r="AG44" s="2" t="s">
        <v>158</v>
      </c>
      <c r="AH44" s="2" t="s">
        <v>135</v>
      </c>
      <c r="AI44" s="11" t="s">
        <v>159</v>
      </c>
      <c r="AJ44" s="2" t="s">
        <v>1277</v>
      </c>
      <c r="AK44" s="2"/>
      <c r="AL44" s="2"/>
    </row>
    <row r="45" customFormat="false" ht="90" hidden="false" customHeight="true" outlineLevel="0" collapsed="false">
      <c r="A45" s="2" t="s">
        <v>301</v>
      </c>
      <c r="B45" s="2" t="s">
        <v>140</v>
      </c>
      <c r="C45" s="2" t="s">
        <v>203</v>
      </c>
      <c r="D45" s="9" t="n">
        <v>2116</v>
      </c>
      <c r="E45" s="2" t="s">
        <v>116</v>
      </c>
      <c r="F45" s="2" t="s">
        <v>117</v>
      </c>
      <c r="G45" s="2" t="s">
        <v>118</v>
      </c>
      <c r="H45" s="2" t="s">
        <v>144</v>
      </c>
      <c r="I45" s="2" t="s">
        <v>145</v>
      </c>
      <c r="J45" s="2" t="s">
        <v>146</v>
      </c>
      <c r="K45" s="10" t="b">
        <f aca="false">FALSE()</f>
        <v>0</v>
      </c>
      <c r="L45" s="10" t="b">
        <f aca="false">FALSE()</f>
        <v>0</v>
      </c>
      <c r="M45" s="2" t="s">
        <v>122</v>
      </c>
      <c r="N45" s="2" t="s">
        <v>123</v>
      </c>
      <c r="O45" s="2" t="s">
        <v>162</v>
      </c>
      <c r="P45" s="2" t="n">
        <v>7</v>
      </c>
      <c r="Q45" s="11" t="s">
        <v>125</v>
      </c>
      <c r="R45" s="11" t="s">
        <v>126</v>
      </c>
      <c r="S45" s="11" t="s">
        <v>127</v>
      </c>
      <c r="T45" s="2" t="s">
        <v>163</v>
      </c>
      <c r="U45" s="2" t="s">
        <v>153</v>
      </c>
      <c r="V45" s="2" t="s">
        <v>164</v>
      </c>
      <c r="W45" s="11" t="s">
        <v>205</v>
      </c>
      <c r="X45" s="11" t="s">
        <v>302</v>
      </c>
      <c r="Y45" s="2"/>
      <c r="Z45" s="2"/>
      <c r="AA45" s="2"/>
      <c r="AB45" s="2"/>
      <c r="AC45" s="2" t="s">
        <v>187</v>
      </c>
      <c r="AD45" s="2" t="s">
        <v>132</v>
      </c>
      <c r="AE45" s="10" t="b">
        <f aca="false">FALSE()</f>
        <v>0</v>
      </c>
      <c r="AF45" s="2" t="s">
        <v>133</v>
      </c>
      <c r="AG45" s="2" t="s">
        <v>158</v>
      </c>
      <c r="AH45" s="2" t="s">
        <v>135</v>
      </c>
      <c r="AI45" s="11" t="s">
        <v>136</v>
      </c>
      <c r="AJ45" s="2" t="s">
        <v>1277</v>
      </c>
      <c r="AK45" s="2"/>
      <c r="AL45" s="2"/>
    </row>
    <row r="46" customFormat="false" ht="90" hidden="false" customHeight="true" outlineLevel="0" collapsed="false">
      <c r="A46" s="2" t="s">
        <v>304</v>
      </c>
      <c r="B46" s="2" t="s">
        <v>140</v>
      </c>
      <c r="C46" s="2" t="s">
        <v>203</v>
      </c>
      <c r="D46" s="9" t="n">
        <v>2031</v>
      </c>
      <c r="E46" s="2" t="s">
        <v>141</v>
      </c>
      <c r="F46" s="2" t="s">
        <v>142</v>
      </c>
      <c r="G46" s="2" t="s">
        <v>193</v>
      </c>
      <c r="H46" s="2" t="s">
        <v>144</v>
      </c>
      <c r="I46" s="2" t="s">
        <v>145</v>
      </c>
      <c r="J46" s="2" t="s">
        <v>146</v>
      </c>
      <c r="K46" s="10" t="b">
        <f aca="false">FALSE()</f>
        <v>0</v>
      </c>
      <c r="L46" s="10" t="b">
        <f aca="false">FALSE()</f>
        <v>0</v>
      </c>
      <c r="M46" s="2" t="s">
        <v>147</v>
      </c>
      <c r="N46" s="2" t="s">
        <v>123</v>
      </c>
      <c r="O46" s="2" t="s">
        <v>194</v>
      </c>
      <c r="P46" s="2" t="n">
        <v>14</v>
      </c>
      <c r="Q46" s="11" t="s">
        <v>149</v>
      </c>
      <c r="R46" s="11" t="s">
        <v>150</v>
      </c>
      <c r="S46" s="11" t="s">
        <v>151</v>
      </c>
      <c r="T46" s="2"/>
      <c r="U46" s="2" t="s">
        <v>153</v>
      </c>
      <c r="V46" s="2" t="s">
        <v>195</v>
      </c>
      <c r="W46" s="11" t="s">
        <v>305</v>
      </c>
      <c r="X46" s="11" t="s">
        <v>306</v>
      </c>
      <c r="Y46" s="2"/>
      <c r="Z46" s="2"/>
      <c r="AA46" s="2"/>
      <c r="AB46" s="2"/>
      <c r="AC46" s="2" t="s">
        <v>187</v>
      </c>
      <c r="AD46" s="2" t="s">
        <v>132</v>
      </c>
      <c r="AE46" s="10" t="b">
        <f aca="false">FALSE()</f>
        <v>0</v>
      </c>
      <c r="AF46" s="2" t="s">
        <v>133</v>
      </c>
      <c r="AG46" s="2" t="s">
        <v>134</v>
      </c>
      <c r="AH46" s="2" t="s">
        <v>135</v>
      </c>
      <c r="AI46" s="11" t="s">
        <v>159</v>
      </c>
      <c r="AJ46" s="2" t="s">
        <v>1277</v>
      </c>
      <c r="AK46" s="2"/>
      <c r="AL46" s="2"/>
    </row>
    <row r="47" customFormat="false" ht="90" hidden="false" customHeight="true" outlineLevel="0" collapsed="false">
      <c r="A47" s="2" t="s">
        <v>308</v>
      </c>
      <c r="B47" s="2" t="s">
        <v>309</v>
      </c>
      <c r="C47" s="2" t="s">
        <v>115</v>
      </c>
      <c r="D47" s="9" t="n">
        <v>170132</v>
      </c>
      <c r="E47" s="2" t="s">
        <v>310</v>
      </c>
      <c r="F47" s="2" t="s">
        <v>311</v>
      </c>
      <c r="G47" s="2" t="s">
        <v>312</v>
      </c>
      <c r="H47" s="2" t="s">
        <v>313</v>
      </c>
      <c r="I47" s="2" t="s">
        <v>314</v>
      </c>
      <c r="J47" s="2" t="s">
        <v>315</v>
      </c>
      <c r="K47" s="10" t="b">
        <f aca="false">FALSE()</f>
        <v>0</v>
      </c>
      <c r="L47" s="10" t="b">
        <f aca="false">FALSE()</f>
        <v>0</v>
      </c>
      <c r="M47" s="2" t="s">
        <v>316</v>
      </c>
      <c r="N47" s="2" t="s">
        <v>317</v>
      </c>
      <c r="O47" s="11" t="s">
        <v>318</v>
      </c>
      <c r="P47" s="2" t="n">
        <v>15</v>
      </c>
      <c r="Q47" s="11" t="s">
        <v>319</v>
      </c>
      <c r="R47" s="11" t="s">
        <v>320</v>
      </c>
      <c r="S47" s="11" t="s">
        <v>321</v>
      </c>
      <c r="T47" s="2" t="s">
        <v>322</v>
      </c>
      <c r="U47" s="2" t="s">
        <v>323</v>
      </c>
      <c r="V47" s="2"/>
      <c r="W47" s="2"/>
      <c r="X47" s="11" t="s">
        <v>324</v>
      </c>
      <c r="Y47" s="2"/>
      <c r="Z47" s="2"/>
      <c r="AA47" s="2"/>
      <c r="AB47" s="2"/>
      <c r="AC47" s="2" t="s">
        <v>131</v>
      </c>
      <c r="AD47" s="2" t="s">
        <v>132</v>
      </c>
      <c r="AE47" s="10" t="b">
        <f aca="false">FALSE()</f>
        <v>0</v>
      </c>
      <c r="AF47" s="2" t="s">
        <v>133</v>
      </c>
      <c r="AG47" s="2" t="s">
        <v>134</v>
      </c>
      <c r="AH47" s="2" t="s">
        <v>325</v>
      </c>
      <c r="AI47" s="11" t="s">
        <v>326</v>
      </c>
      <c r="AJ47" s="2" t="s">
        <v>1277</v>
      </c>
      <c r="AK47" s="2"/>
      <c r="AL47" s="2"/>
    </row>
    <row r="48" customFormat="false" ht="90" hidden="false" customHeight="true" outlineLevel="0" collapsed="false">
      <c r="A48" s="2" t="s">
        <v>328</v>
      </c>
      <c r="B48" s="2" t="s">
        <v>309</v>
      </c>
      <c r="C48" s="2" t="s">
        <v>115</v>
      </c>
      <c r="D48" s="9" t="n">
        <v>41039</v>
      </c>
      <c r="E48" s="2" t="s">
        <v>310</v>
      </c>
      <c r="F48" s="2" t="s">
        <v>311</v>
      </c>
      <c r="G48" s="2" t="s">
        <v>312</v>
      </c>
      <c r="H48" s="2" t="s">
        <v>313</v>
      </c>
      <c r="I48" s="2" t="s">
        <v>314</v>
      </c>
      <c r="J48" s="2" t="s">
        <v>315</v>
      </c>
      <c r="K48" s="10" t="b">
        <f aca="false">FALSE()</f>
        <v>0</v>
      </c>
      <c r="L48" s="10" t="b">
        <f aca="false">FALSE()</f>
        <v>0</v>
      </c>
      <c r="M48" s="2" t="s">
        <v>316</v>
      </c>
      <c r="N48" s="2" t="s">
        <v>317</v>
      </c>
      <c r="O48" s="11" t="s">
        <v>318</v>
      </c>
      <c r="P48" s="2" t="n">
        <v>15</v>
      </c>
      <c r="Q48" s="11" t="s">
        <v>319</v>
      </c>
      <c r="R48" s="11" t="s">
        <v>320</v>
      </c>
      <c r="S48" s="11" t="s">
        <v>321</v>
      </c>
      <c r="T48" s="2" t="s">
        <v>322</v>
      </c>
      <c r="U48" s="2" t="s">
        <v>323</v>
      </c>
      <c r="V48" s="2"/>
      <c r="W48" s="2"/>
      <c r="X48" s="11" t="s">
        <v>329</v>
      </c>
      <c r="Y48" s="2"/>
      <c r="Z48" s="2"/>
      <c r="AA48" s="2"/>
      <c r="AB48" s="2"/>
      <c r="AC48" s="2" t="s">
        <v>131</v>
      </c>
      <c r="AD48" s="2" t="s">
        <v>132</v>
      </c>
      <c r="AE48" s="10" t="b">
        <f aca="false">FALSE()</f>
        <v>0</v>
      </c>
      <c r="AF48" s="2" t="s">
        <v>133</v>
      </c>
      <c r="AG48" s="2" t="s">
        <v>134</v>
      </c>
      <c r="AH48" s="2" t="s">
        <v>325</v>
      </c>
      <c r="AI48" s="11" t="s">
        <v>326</v>
      </c>
      <c r="AJ48" s="2" t="s">
        <v>1277</v>
      </c>
      <c r="AK48" s="2"/>
      <c r="AL48" s="2"/>
    </row>
    <row r="49" customFormat="false" ht="90" hidden="false" customHeight="true" outlineLevel="0" collapsed="false">
      <c r="A49" s="2" t="s">
        <v>335</v>
      </c>
      <c r="B49" s="2" t="s">
        <v>309</v>
      </c>
      <c r="C49" s="2" t="s">
        <v>115</v>
      </c>
      <c r="D49" s="9" t="n">
        <v>27405</v>
      </c>
      <c r="E49" s="2" t="s">
        <v>310</v>
      </c>
      <c r="F49" s="2" t="s">
        <v>311</v>
      </c>
      <c r="G49" s="2" t="s">
        <v>312</v>
      </c>
      <c r="H49" s="2" t="s">
        <v>313</v>
      </c>
      <c r="I49" s="2" t="s">
        <v>314</v>
      </c>
      <c r="J49" s="2" t="s">
        <v>315</v>
      </c>
      <c r="K49" s="10" t="b">
        <f aca="false">FALSE()</f>
        <v>0</v>
      </c>
      <c r="L49" s="10" t="b">
        <f aca="false">FALSE()</f>
        <v>0</v>
      </c>
      <c r="M49" s="2" t="s">
        <v>316</v>
      </c>
      <c r="N49" s="2" t="s">
        <v>317</v>
      </c>
      <c r="O49" s="11" t="s">
        <v>318</v>
      </c>
      <c r="P49" s="2" t="n">
        <v>15</v>
      </c>
      <c r="Q49" s="11" t="s">
        <v>319</v>
      </c>
      <c r="R49" s="11" t="s">
        <v>320</v>
      </c>
      <c r="S49" s="11" t="s">
        <v>321</v>
      </c>
      <c r="T49" s="2" t="s">
        <v>336</v>
      </c>
      <c r="U49" s="2" t="s">
        <v>323</v>
      </c>
      <c r="V49" s="2"/>
      <c r="W49" s="2"/>
      <c r="X49" s="11" t="s">
        <v>1286</v>
      </c>
      <c r="Y49" s="2"/>
      <c r="Z49" s="2"/>
      <c r="AA49" s="2"/>
      <c r="AB49" s="2"/>
      <c r="AC49" s="2" t="s">
        <v>131</v>
      </c>
      <c r="AD49" s="2" t="s">
        <v>132</v>
      </c>
      <c r="AE49" s="10" t="b">
        <f aca="false">FALSE()</f>
        <v>0</v>
      </c>
      <c r="AF49" s="2" t="s">
        <v>133</v>
      </c>
      <c r="AG49" s="2" t="s">
        <v>134</v>
      </c>
      <c r="AH49" s="2" t="s">
        <v>325</v>
      </c>
      <c r="AI49" s="11" t="s">
        <v>326</v>
      </c>
      <c r="AJ49" s="2" t="s">
        <v>1277</v>
      </c>
      <c r="AK49" s="2" t="s">
        <v>1287</v>
      </c>
      <c r="AL49" s="2"/>
    </row>
    <row r="50" customFormat="false" ht="90" hidden="false" customHeight="true" outlineLevel="0" collapsed="false">
      <c r="A50" s="2" t="s">
        <v>331</v>
      </c>
      <c r="B50" s="2" t="s">
        <v>309</v>
      </c>
      <c r="C50" s="2" t="s">
        <v>115</v>
      </c>
      <c r="D50" s="9" t="n">
        <v>27099</v>
      </c>
      <c r="E50" s="2" t="s">
        <v>310</v>
      </c>
      <c r="F50" s="2" t="s">
        <v>311</v>
      </c>
      <c r="G50" s="2" t="s">
        <v>312</v>
      </c>
      <c r="H50" s="2" t="s">
        <v>313</v>
      </c>
      <c r="I50" s="2" t="s">
        <v>314</v>
      </c>
      <c r="J50" s="2" t="s">
        <v>315</v>
      </c>
      <c r="K50" s="10" t="b">
        <f aca="false">FALSE()</f>
        <v>0</v>
      </c>
      <c r="L50" s="10" t="b">
        <f aca="false">FALSE()</f>
        <v>0</v>
      </c>
      <c r="M50" s="2" t="s">
        <v>316</v>
      </c>
      <c r="N50" s="2" t="s">
        <v>317</v>
      </c>
      <c r="O50" s="11" t="s">
        <v>318</v>
      </c>
      <c r="P50" s="2" t="n">
        <v>15</v>
      </c>
      <c r="Q50" s="11" t="s">
        <v>319</v>
      </c>
      <c r="R50" s="11" t="s">
        <v>320</v>
      </c>
      <c r="S50" s="11" t="s">
        <v>321</v>
      </c>
      <c r="T50" s="2" t="s">
        <v>332</v>
      </c>
      <c r="U50" s="2" t="s">
        <v>323</v>
      </c>
      <c r="V50" s="2"/>
      <c r="W50" s="2"/>
      <c r="X50" s="11" t="s">
        <v>333</v>
      </c>
      <c r="Y50" s="2"/>
      <c r="Z50" s="2"/>
      <c r="AA50" s="2"/>
      <c r="AB50" s="2"/>
      <c r="AC50" s="2" t="s">
        <v>131</v>
      </c>
      <c r="AD50" s="2" t="s">
        <v>132</v>
      </c>
      <c r="AE50" s="10" t="b">
        <f aca="false">FALSE()</f>
        <v>0</v>
      </c>
      <c r="AF50" s="2" t="s">
        <v>133</v>
      </c>
      <c r="AG50" s="2" t="s">
        <v>134</v>
      </c>
      <c r="AH50" s="2" t="s">
        <v>325</v>
      </c>
      <c r="AI50" s="11" t="s">
        <v>326</v>
      </c>
      <c r="AJ50" s="2" t="s">
        <v>1277</v>
      </c>
      <c r="AK50" s="2"/>
      <c r="AL50" s="2"/>
    </row>
    <row r="51" customFormat="false" ht="90" hidden="false" customHeight="true" outlineLevel="0" collapsed="false">
      <c r="A51" s="2" t="s">
        <v>339</v>
      </c>
      <c r="B51" s="2" t="s">
        <v>309</v>
      </c>
      <c r="C51" s="2" t="s">
        <v>115</v>
      </c>
      <c r="D51" s="9" t="n">
        <v>22089</v>
      </c>
      <c r="E51" s="2" t="s">
        <v>310</v>
      </c>
      <c r="F51" s="2" t="s">
        <v>311</v>
      </c>
      <c r="G51" s="2" t="s">
        <v>312</v>
      </c>
      <c r="H51" s="2" t="s">
        <v>313</v>
      </c>
      <c r="I51" s="2" t="s">
        <v>314</v>
      </c>
      <c r="J51" s="2" t="s">
        <v>315</v>
      </c>
      <c r="K51" s="10" t="b">
        <f aca="false">FALSE()</f>
        <v>0</v>
      </c>
      <c r="L51" s="10" t="b">
        <f aca="false">FALSE()</f>
        <v>0</v>
      </c>
      <c r="M51" s="2" t="s">
        <v>316</v>
      </c>
      <c r="N51" s="2" t="s">
        <v>317</v>
      </c>
      <c r="O51" s="11" t="s">
        <v>318</v>
      </c>
      <c r="P51" s="2" t="n">
        <v>15</v>
      </c>
      <c r="Q51" s="11" t="s">
        <v>319</v>
      </c>
      <c r="R51" s="11" t="s">
        <v>320</v>
      </c>
      <c r="S51" s="11" t="s">
        <v>321</v>
      </c>
      <c r="T51" s="2" t="s">
        <v>336</v>
      </c>
      <c r="U51" s="2" t="s">
        <v>323</v>
      </c>
      <c r="V51" s="2"/>
      <c r="W51" s="2"/>
      <c r="X51" s="11" t="s">
        <v>340</v>
      </c>
      <c r="Y51" s="2"/>
      <c r="Z51" s="2"/>
      <c r="AA51" s="2"/>
      <c r="AB51" s="2"/>
      <c r="AC51" s="2" t="s">
        <v>131</v>
      </c>
      <c r="AD51" s="2" t="s">
        <v>132</v>
      </c>
      <c r="AE51" s="10" t="b">
        <f aca="false">FALSE()</f>
        <v>0</v>
      </c>
      <c r="AF51" s="2" t="s">
        <v>133</v>
      </c>
      <c r="AG51" s="2" t="s">
        <v>134</v>
      </c>
      <c r="AH51" s="2" t="s">
        <v>325</v>
      </c>
      <c r="AI51" s="11" t="s">
        <v>326</v>
      </c>
      <c r="AJ51" s="2" t="s">
        <v>1277</v>
      </c>
      <c r="AK51" s="2"/>
      <c r="AL51" s="2"/>
    </row>
    <row r="52" customFormat="false" ht="90" hidden="false" customHeight="true" outlineLevel="0" collapsed="false">
      <c r="A52" s="2" t="s">
        <v>178</v>
      </c>
      <c r="B52" s="2" t="s">
        <v>309</v>
      </c>
      <c r="C52" s="2" t="s">
        <v>115</v>
      </c>
      <c r="D52" s="9" t="n">
        <v>16912</v>
      </c>
      <c r="E52" s="2" t="s">
        <v>253</v>
      </c>
      <c r="F52" s="2" t="s">
        <v>366</v>
      </c>
      <c r="G52" s="2" t="s">
        <v>367</v>
      </c>
      <c r="H52" s="2" t="s">
        <v>391</v>
      </c>
      <c r="I52" s="2" t="s">
        <v>392</v>
      </c>
      <c r="J52" s="2" t="s">
        <v>181</v>
      </c>
      <c r="K52" s="10" t="b">
        <f aca="false">TRUE()</f>
        <v>1</v>
      </c>
      <c r="L52" s="10" t="b">
        <f aca="false">FALSE()</f>
        <v>0</v>
      </c>
      <c r="M52" s="2" t="s">
        <v>370</v>
      </c>
      <c r="N52" s="2" t="s">
        <v>371</v>
      </c>
      <c r="O52" s="11" t="s">
        <v>1288</v>
      </c>
      <c r="P52" s="2" t="n">
        <v>30</v>
      </c>
      <c r="Q52" s="11" t="s">
        <v>373</v>
      </c>
      <c r="R52" s="11" t="s">
        <v>374</v>
      </c>
      <c r="S52" s="2" t="s">
        <v>375</v>
      </c>
      <c r="T52" s="2" t="s">
        <v>1289</v>
      </c>
      <c r="U52" s="2" t="s">
        <v>395</v>
      </c>
      <c r="V52" s="2"/>
      <c r="W52" s="2"/>
      <c r="X52" s="11" t="s">
        <v>1290</v>
      </c>
      <c r="Y52" s="2"/>
      <c r="Z52" s="2"/>
      <c r="AA52" s="2"/>
      <c r="AB52" s="2"/>
      <c r="AC52" s="2" t="s">
        <v>131</v>
      </c>
      <c r="AD52" s="2" t="s">
        <v>132</v>
      </c>
      <c r="AE52" s="10" t="b">
        <f aca="false">FALSE()</f>
        <v>0</v>
      </c>
      <c r="AF52" s="2" t="s">
        <v>133</v>
      </c>
      <c r="AG52" s="2" t="s">
        <v>134</v>
      </c>
      <c r="AH52" s="2" t="s">
        <v>135</v>
      </c>
      <c r="AI52" s="11" t="s">
        <v>378</v>
      </c>
      <c r="AJ52" s="2" t="s">
        <v>1138</v>
      </c>
      <c r="AK52" s="11" t="s">
        <v>1139</v>
      </c>
      <c r="AL52" s="2" t="s">
        <v>1140</v>
      </c>
    </row>
    <row r="53" customFormat="false" ht="90" hidden="false" customHeight="true" outlineLevel="0" collapsed="false">
      <c r="A53" s="2" t="s">
        <v>342</v>
      </c>
      <c r="B53" s="2" t="s">
        <v>309</v>
      </c>
      <c r="C53" s="2" t="s">
        <v>115</v>
      </c>
      <c r="D53" s="9" t="n">
        <v>15600</v>
      </c>
      <c r="E53" s="2" t="s">
        <v>343</v>
      </c>
      <c r="F53" s="2" t="s">
        <v>344</v>
      </c>
      <c r="G53" s="2" t="s">
        <v>345</v>
      </c>
      <c r="H53" s="2" t="s">
        <v>144</v>
      </c>
      <c r="I53" s="2" t="s">
        <v>145</v>
      </c>
      <c r="J53" s="2" t="s">
        <v>146</v>
      </c>
      <c r="K53" s="10" t="b">
        <f aca="false">FALSE()</f>
        <v>0</v>
      </c>
      <c r="L53" s="10" t="b">
        <f aca="false">FALSE()</f>
        <v>0</v>
      </c>
      <c r="M53" s="2" t="s">
        <v>346</v>
      </c>
      <c r="N53" s="2" t="s">
        <v>123</v>
      </c>
      <c r="O53" s="2" t="s">
        <v>347</v>
      </c>
      <c r="P53" s="2" t="n">
        <v>10</v>
      </c>
      <c r="Q53" s="11" t="s">
        <v>348</v>
      </c>
      <c r="R53" s="2" t="s">
        <v>349</v>
      </c>
      <c r="S53" s="11" t="s">
        <v>350</v>
      </c>
      <c r="T53" s="2" t="s">
        <v>152</v>
      </c>
      <c r="U53" s="2" t="s">
        <v>153</v>
      </c>
      <c r="V53" s="2" t="s">
        <v>351</v>
      </c>
      <c r="W53" s="11" t="s">
        <v>352</v>
      </c>
      <c r="X53" s="11" t="s">
        <v>353</v>
      </c>
      <c r="Y53" s="2"/>
      <c r="Z53" s="2"/>
      <c r="AA53" s="2"/>
      <c r="AB53" s="2"/>
      <c r="AC53" s="2" t="s">
        <v>157</v>
      </c>
      <c r="AD53" s="2" t="s">
        <v>354</v>
      </c>
      <c r="AE53" s="10" t="b">
        <f aca="false">FALSE()</f>
        <v>0</v>
      </c>
      <c r="AF53" s="2" t="s">
        <v>133</v>
      </c>
      <c r="AG53" s="2" t="s">
        <v>158</v>
      </c>
      <c r="AH53" s="2" t="s">
        <v>135</v>
      </c>
      <c r="AI53" s="11" t="s">
        <v>355</v>
      </c>
      <c r="AJ53" s="2" t="s">
        <v>1277</v>
      </c>
      <c r="AK53" s="2"/>
      <c r="AL53" s="2"/>
    </row>
    <row r="54" customFormat="false" ht="90" hidden="false" customHeight="true" outlineLevel="0" collapsed="false">
      <c r="A54" s="2" t="s">
        <v>357</v>
      </c>
      <c r="B54" s="2" t="s">
        <v>309</v>
      </c>
      <c r="C54" s="2" t="s">
        <v>115</v>
      </c>
      <c r="D54" s="9" t="n">
        <v>14611</v>
      </c>
      <c r="E54" s="2" t="s">
        <v>310</v>
      </c>
      <c r="F54" s="2" t="s">
        <v>311</v>
      </c>
      <c r="G54" s="2" t="s">
        <v>312</v>
      </c>
      <c r="H54" s="2" t="s">
        <v>313</v>
      </c>
      <c r="I54" s="2" t="s">
        <v>314</v>
      </c>
      <c r="J54" s="2" t="s">
        <v>315</v>
      </c>
      <c r="K54" s="10" t="b">
        <f aca="false">FALSE()</f>
        <v>0</v>
      </c>
      <c r="L54" s="10" t="b">
        <f aca="false">FALSE()</f>
        <v>0</v>
      </c>
      <c r="M54" s="2" t="s">
        <v>316</v>
      </c>
      <c r="N54" s="2" t="s">
        <v>317</v>
      </c>
      <c r="O54" s="11" t="s">
        <v>318</v>
      </c>
      <c r="P54" s="2" t="n">
        <v>15</v>
      </c>
      <c r="Q54" s="11" t="s">
        <v>319</v>
      </c>
      <c r="R54" s="11" t="s">
        <v>320</v>
      </c>
      <c r="S54" s="11" t="s">
        <v>321</v>
      </c>
      <c r="T54" s="2" t="s">
        <v>358</v>
      </c>
      <c r="U54" s="2" t="s">
        <v>323</v>
      </c>
      <c r="V54" s="2"/>
      <c r="W54" s="2"/>
      <c r="X54" s="11" t="s">
        <v>359</v>
      </c>
      <c r="Y54" s="2"/>
      <c r="Z54" s="2"/>
      <c r="AA54" s="2"/>
      <c r="AB54" s="2"/>
      <c r="AC54" s="2" t="s">
        <v>131</v>
      </c>
      <c r="AD54" s="2" t="s">
        <v>132</v>
      </c>
      <c r="AE54" s="10" t="b">
        <f aca="false">FALSE()</f>
        <v>0</v>
      </c>
      <c r="AF54" s="2" t="s">
        <v>133</v>
      </c>
      <c r="AG54" s="2" t="s">
        <v>134</v>
      </c>
      <c r="AH54" s="2" t="s">
        <v>325</v>
      </c>
      <c r="AI54" s="11" t="s">
        <v>326</v>
      </c>
      <c r="AJ54" s="2" t="s">
        <v>1277</v>
      </c>
      <c r="AK54" s="2"/>
      <c r="AL54" s="2"/>
    </row>
    <row r="55" customFormat="false" ht="90" hidden="false" customHeight="true" outlineLevel="0" collapsed="false">
      <c r="A55" s="2" t="s">
        <v>361</v>
      </c>
      <c r="B55" s="2" t="s">
        <v>309</v>
      </c>
      <c r="C55" s="2" t="s">
        <v>115</v>
      </c>
      <c r="D55" s="9" t="n">
        <v>11252</v>
      </c>
      <c r="E55" s="2" t="s">
        <v>310</v>
      </c>
      <c r="F55" s="2" t="s">
        <v>311</v>
      </c>
      <c r="G55" s="2" t="s">
        <v>312</v>
      </c>
      <c r="H55" s="2" t="s">
        <v>313</v>
      </c>
      <c r="I55" s="2" t="s">
        <v>314</v>
      </c>
      <c r="J55" s="2" t="s">
        <v>315</v>
      </c>
      <c r="K55" s="10" t="b">
        <f aca="false">FALSE()</f>
        <v>0</v>
      </c>
      <c r="L55" s="10" t="b">
        <f aca="false">FALSE()</f>
        <v>0</v>
      </c>
      <c r="M55" s="2" t="s">
        <v>316</v>
      </c>
      <c r="N55" s="2" t="s">
        <v>317</v>
      </c>
      <c r="O55" s="11" t="s">
        <v>318</v>
      </c>
      <c r="P55" s="2" t="n">
        <v>15</v>
      </c>
      <c r="Q55" s="11" t="s">
        <v>319</v>
      </c>
      <c r="R55" s="11" t="s">
        <v>320</v>
      </c>
      <c r="S55" s="11" t="s">
        <v>321</v>
      </c>
      <c r="T55" s="2" t="s">
        <v>362</v>
      </c>
      <c r="U55" s="2" t="s">
        <v>323</v>
      </c>
      <c r="V55" s="2"/>
      <c r="W55" s="2"/>
      <c r="X55" s="11" t="s">
        <v>363</v>
      </c>
      <c r="Y55" s="2"/>
      <c r="Z55" s="2"/>
      <c r="AA55" s="2"/>
      <c r="AB55" s="2"/>
      <c r="AC55" s="2" t="s">
        <v>131</v>
      </c>
      <c r="AD55" s="2" t="s">
        <v>132</v>
      </c>
      <c r="AE55" s="10" t="b">
        <f aca="false">FALSE()</f>
        <v>0</v>
      </c>
      <c r="AF55" s="2" t="s">
        <v>133</v>
      </c>
      <c r="AG55" s="2" t="s">
        <v>134</v>
      </c>
      <c r="AH55" s="2" t="s">
        <v>325</v>
      </c>
      <c r="AI55" s="11" t="s">
        <v>326</v>
      </c>
      <c r="AJ55" s="2" t="s">
        <v>1277</v>
      </c>
      <c r="AK55" s="2"/>
      <c r="AL55" s="2"/>
    </row>
    <row r="56" customFormat="false" ht="90" hidden="false" customHeight="true" outlineLevel="0" collapsed="false">
      <c r="A56" s="2" t="s">
        <v>1144</v>
      </c>
      <c r="B56" s="2" t="s">
        <v>309</v>
      </c>
      <c r="C56" s="2" t="s">
        <v>115</v>
      </c>
      <c r="D56" s="9" t="n">
        <v>10234</v>
      </c>
      <c r="E56" s="2" t="s">
        <v>310</v>
      </c>
      <c r="F56" s="2" t="s">
        <v>311</v>
      </c>
      <c r="G56" s="2" t="s">
        <v>312</v>
      </c>
      <c r="H56" s="2" t="s">
        <v>313</v>
      </c>
      <c r="I56" s="2" t="s">
        <v>314</v>
      </c>
      <c r="J56" s="2" t="s">
        <v>315</v>
      </c>
      <c r="K56" s="10" t="b">
        <f aca="false">FALSE()</f>
        <v>0</v>
      </c>
      <c r="L56" s="10" t="b">
        <f aca="false">FALSE()</f>
        <v>0</v>
      </c>
      <c r="M56" s="2" t="s">
        <v>316</v>
      </c>
      <c r="N56" s="2" t="s">
        <v>317</v>
      </c>
      <c r="O56" s="11" t="s">
        <v>318</v>
      </c>
      <c r="P56" s="2" t="n">
        <v>15</v>
      </c>
      <c r="Q56" s="11" t="s">
        <v>319</v>
      </c>
      <c r="R56" s="11" t="s">
        <v>320</v>
      </c>
      <c r="S56" s="11" t="s">
        <v>321</v>
      </c>
      <c r="T56" s="11" t="s">
        <v>1291</v>
      </c>
      <c r="U56" s="2" t="s">
        <v>323</v>
      </c>
      <c r="V56" s="2"/>
      <c r="W56" s="2"/>
      <c r="X56" s="11" t="s">
        <v>1292</v>
      </c>
      <c r="Y56" s="2"/>
      <c r="Z56" s="2"/>
      <c r="AA56" s="2"/>
      <c r="AB56" s="2"/>
      <c r="AC56" s="2" t="s">
        <v>131</v>
      </c>
      <c r="AD56" s="2" t="s">
        <v>132</v>
      </c>
      <c r="AE56" s="10" t="b">
        <f aca="false">FALSE()</f>
        <v>0</v>
      </c>
      <c r="AF56" s="2" t="s">
        <v>133</v>
      </c>
      <c r="AG56" s="2" t="s">
        <v>134</v>
      </c>
      <c r="AH56" s="2" t="s">
        <v>325</v>
      </c>
      <c r="AI56" s="11" t="s">
        <v>326</v>
      </c>
      <c r="AJ56" s="2" t="s">
        <v>1142</v>
      </c>
      <c r="AK56" s="2" t="s">
        <v>1142</v>
      </c>
      <c r="AL56" s="2" t="s">
        <v>1145</v>
      </c>
    </row>
    <row r="57" customFormat="false" ht="90" hidden="false" customHeight="true" outlineLevel="0" collapsed="false">
      <c r="A57" s="2" t="s">
        <v>365</v>
      </c>
      <c r="B57" s="2" t="s">
        <v>309</v>
      </c>
      <c r="C57" s="2" t="s">
        <v>203</v>
      </c>
      <c r="D57" s="9" t="n">
        <v>8581</v>
      </c>
      <c r="E57" s="2" t="s">
        <v>253</v>
      </c>
      <c r="F57" s="2" t="s">
        <v>366</v>
      </c>
      <c r="G57" s="2" t="s">
        <v>367</v>
      </c>
      <c r="H57" s="2" t="s">
        <v>368</v>
      </c>
      <c r="I57" s="2" t="s">
        <v>145</v>
      </c>
      <c r="J57" s="2" t="s">
        <v>369</v>
      </c>
      <c r="K57" s="10" t="b">
        <f aca="false">FALSE()</f>
        <v>0</v>
      </c>
      <c r="L57" s="10" t="b">
        <f aca="false">FALSE()</f>
        <v>0</v>
      </c>
      <c r="M57" s="2" t="s">
        <v>370</v>
      </c>
      <c r="N57" s="2" t="s">
        <v>371</v>
      </c>
      <c r="O57" s="2" t="s">
        <v>372</v>
      </c>
      <c r="P57" s="2" t="n">
        <v>30</v>
      </c>
      <c r="Q57" s="11" t="s">
        <v>373</v>
      </c>
      <c r="R57" s="11" t="s">
        <v>374</v>
      </c>
      <c r="S57" s="2" t="s">
        <v>375</v>
      </c>
      <c r="T57" s="2"/>
      <c r="U57" s="2" t="s">
        <v>153</v>
      </c>
      <c r="V57" s="2" t="s">
        <v>376</v>
      </c>
      <c r="W57" s="11" t="s">
        <v>377</v>
      </c>
      <c r="X57" s="2"/>
      <c r="Y57" s="2"/>
      <c r="Z57" s="2"/>
      <c r="AA57" s="2"/>
      <c r="AB57" s="2"/>
      <c r="AC57" s="2" t="s">
        <v>131</v>
      </c>
      <c r="AD57" s="2" t="s">
        <v>132</v>
      </c>
      <c r="AE57" s="10" t="b">
        <f aca="false">FALSE()</f>
        <v>0</v>
      </c>
      <c r="AF57" s="2" t="s">
        <v>133</v>
      </c>
      <c r="AG57" s="2" t="s">
        <v>134</v>
      </c>
      <c r="AH57" s="2" t="s">
        <v>135</v>
      </c>
      <c r="AI57" s="11" t="s">
        <v>378</v>
      </c>
      <c r="AJ57" s="2" t="s">
        <v>1277</v>
      </c>
      <c r="AK57" s="2"/>
      <c r="AL57" s="2"/>
    </row>
    <row r="58" customFormat="false" ht="90" hidden="false" customHeight="true" outlineLevel="0" collapsed="false">
      <c r="A58" s="2" t="s">
        <v>380</v>
      </c>
      <c r="B58" s="2" t="s">
        <v>309</v>
      </c>
      <c r="C58" s="2" t="s">
        <v>203</v>
      </c>
      <c r="D58" s="9" t="n">
        <v>7716</v>
      </c>
      <c r="E58" s="2" t="s">
        <v>310</v>
      </c>
      <c r="F58" s="2" t="s">
        <v>311</v>
      </c>
      <c r="G58" s="2" t="s">
        <v>381</v>
      </c>
      <c r="H58" s="2" t="s">
        <v>382</v>
      </c>
      <c r="I58" s="2" t="s">
        <v>145</v>
      </c>
      <c r="J58" s="2" t="s">
        <v>146</v>
      </c>
      <c r="K58" s="10" t="b">
        <f aca="false">FALSE()</f>
        <v>0</v>
      </c>
      <c r="L58" s="10" t="b">
        <f aca="false">FALSE()</f>
        <v>0</v>
      </c>
      <c r="M58" s="2" t="s">
        <v>316</v>
      </c>
      <c r="N58" s="2" t="s">
        <v>317</v>
      </c>
      <c r="O58" s="2" t="s">
        <v>383</v>
      </c>
      <c r="P58" s="2" t="n">
        <v>15</v>
      </c>
      <c r="Q58" s="11" t="s">
        <v>319</v>
      </c>
      <c r="R58" s="11" t="s">
        <v>320</v>
      </c>
      <c r="S58" s="11" t="s">
        <v>321</v>
      </c>
      <c r="T58" s="2"/>
      <c r="U58" s="2" t="s">
        <v>153</v>
      </c>
      <c r="V58" s="2" t="s">
        <v>384</v>
      </c>
      <c r="W58" s="11" t="s">
        <v>385</v>
      </c>
      <c r="X58" s="11" t="s">
        <v>386</v>
      </c>
      <c r="Y58" s="2"/>
      <c r="Z58" s="2"/>
      <c r="AA58" s="2"/>
      <c r="AB58" s="2"/>
      <c r="AC58" s="2" t="s">
        <v>131</v>
      </c>
      <c r="AD58" s="2" t="s">
        <v>132</v>
      </c>
      <c r="AE58" s="10" t="b">
        <f aca="false">FALSE()</f>
        <v>0</v>
      </c>
      <c r="AF58" s="2" t="s">
        <v>387</v>
      </c>
      <c r="AG58" s="2" t="s">
        <v>134</v>
      </c>
      <c r="AH58" s="2" t="s">
        <v>325</v>
      </c>
      <c r="AI58" s="11" t="s">
        <v>326</v>
      </c>
      <c r="AJ58" s="2" t="s">
        <v>1277</v>
      </c>
      <c r="AK58" s="2"/>
      <c r="AL58" s="2"/>
    </row>
    <row r="59" customFormat="false" ht="90" hidden="false" customHeight="true" outlineLevel="0" collapsed="false">
      <c r="A59" s="2" t="s">
        <v>389</v>
      </c>
      <c r="B59" s="2" t="s">
        <v>309</v>
      </c>
      <c r="C59" s="2" t="s">
        <v>203</v>
      </c>
      <c r="D59" s="9" t="n">
        <v>6452</v>
      </c>
      <c r="E59" s="2" t="s">
        <v>310</v>
      </c>
      <c r="F59" s="2" t="s">
        <v>311</v>
      </c>
      <c r="G59" s="2" t="s">
        <v>390</v>
      </c>
      <c r="H59" s="2" t="s">
        <v>391</v>
      </c>
      <c r="I59" s="2" t="s">
        <v>392</v>
      </c>
      <c r="J59" s="2" t="s">
        <v>146</v>
      </c>
      <c r="K59" s="10" t="b">
        <f aca="false">FALSE()</f>
        <v>0</v>
      </c>
      <c r="L59" s="10" t="b">
        <f aca="false">FALSE()</f>
        <v>0</v>
      </c>
      <c r="M59" s="2" t="s">
        <v>316</v>
      </c>
      <c r="N59" s="2" t="s">
        <v>317</v>
      </c>
      <c r="O59" s="11" t="s">
        <v>393</v>
      </c>
      <c r="P59" s="2" t="n">
        <v>15</v>
      </c>
      <c r="Q59" s="11" t="s">
        <v>319</v>
      </c>
      <c r="R59" s="11" t="s">
        <v>320</v>
      </c>
      <c r="S59" s="11" t="s">
        <v>321</v>
      </c>
      <c r="T59" s="11" t="s">
        <v>394</v>
      </c>
      <c r="U59" s="2" t="s">
        <v>395</v>
      </c>
      <c r="V59" s="2"/>
      <c r="W59" s="2"/>
      <c r="X59" s="11" t="s">
        <v>396</v>
      </c>
      <c r="Y59" s="2"/>
      <c r="Z59" s="2"/>
      <c r="AA59" s="2"/>
      <c r="AB59" s="2"/>
      <c r="AC59" s="2" t="s">
        <v>131</v>
      </c>
      <c r="AD59" s="2" t="s">
        <v>132</v>
      </c>
      <c r="AE59" s="10" t="b">
        <f aca="false">FALSE()</f>
        <v>0</v>
      </c>
      <c r="AF59" s="2" t="s">
        <v>397</v>
      </c>
      <c r="AG59" s="2" t="s">
        <v>158</v>
      </c>
      <c r="AH59" s="2" t="s">
        <v>325</v>
      </c>
      <c r="AI59" s="11" t="s">
        <v>326</v>
      </c>
      <c r="AJ59" s="2" t="s">
        <v>1277</v>
      </c>
      <c r="AK59" s="2"/>
      <c r="AL59" s="2"/>
    </row>
    <row r="60" customFormat="false" ht="90" hidden="false" customHeight="true" outlineLevel="0" collapsed="false">
      <c r="A60" s="2" t="s">
        <v>399</v>
      </c>
      <c r="B60" s="2" t="s">
        <v>309</v>
      </c>
      <c r="C60" s="2" t="s">
        <v>203</v>
      </c>
      <c r="D60" s="9" t="n">
        <v>5214</v>
      </c>
      <c r="E60" s="2" t="s">
        <v>310</v>
      </c>
      <c r="F60" s="2" t="s">
        <v>311</v>
      </c>
      <c r="G60" s="2" t="s">
        <v>390</v>
      </c>
      <c r="H60" s="2" t="s">
        <v>391</v>
      </c>
      <c r="I60" s="2" t="s">
        <v>392</v>
      </c>
      <c r="J60" s="2" t="s">
        <v>146</v>
      </c>
      <c r="K60" s="10" t="b">
        <f aca="false">FALSE()</f>
        <v>0</v>
      </c>
      <c r="L60" s="10" t="b">
        <f aca="false">FALSE()</f>
        <v>0</v>
      </c>
      <c r="M60" s="2" t="s">
        <v>316</v>
      </c>
      <c r="N60" s="2" t="s">
        <v>317</v>
      </c>
      <c r="O60" s="11" t="s">
        <v>393</v>
      </c>
      <c r="P60" s="2" t="n">
        <v>15</v>
      </c>
      <c r="Q60" s="11" t="s">
        <v>319</v>
      </c>
      <c r="R60" s="11" t="s">
        <v>320</v>
      </c>
      <c r="S60" s="11" t="s">
        <v>321</v>
      </c>
      <c r="T60" s="2" t="s">
        <v>400</v>
      </c>
      <c r="U60" s="2" t="s">
        <v>395</v>
      </c>
      <c r="V60" s="2"/>
      <c r="W60" s="2"/>
      <c r="X60" s="11" t="s">
        <v>401</v>
      </c>
      <c r="Y60" s="2"/>
      <c r="Z60" s="2"/>
      <c r="AA60" s="2"/>
      <c r="AB60" s="2"/>
      <c r="AC60" s="2" t="s">
        <v>131</v>
      </c>
      <c r="AD60" s="2" t="s">
        <v>132</v>
      </c>
      <c r="AE60" s="10" t="b">
        <f aca="false">FALSE()</f>
        <v>0</v>
      </c>
      <c r="AF60" s="2" t="s">
        <v>397</v>
      </c>
      <c r="AG60" s="2" t="s">
        <v>134</v>
      </c>
      <c r="AH60" s="2" t="s">
        <v>325</v>
      </c>
      <c r="AI60" s="11" t="s">
        <v>326</v>
      </c>
      <c r="AJ60" s="2" t="s">
        <v>1277</v>
      </c>
      <c r="AK60" s="2"/>
      <c r="AL60" s="2"/>
    </row>
    <row r="61" customFormat="false" ht="90" hidden="false" customHeight="true" outlineLevel="0" collapsed="false">
      <c r="A61" s="2" t="s">
        <v>403</v>
      </c>
      <c r="B61" s="2" t="s">
        <v>309</v>
      </c>
      <c r="C61" s="2" t="s">
        <v>203</v>
      </c>
      <c r="D61" s="9" t="n">
        <v>5014</v>
      </c>
      <c r="E61" s="2" t="s">
        <v>253</v>
      </c>
      <c r="F61" s="2" t="s">
        <v>366</v>
      </c>
      <c r="G61" s="2" t="s">
        <v>367</v>
      </c>
      <c r="H61" s="2" t="s">
        <v>368</v>
      </c>
      <c r="I61" s="2" t="s">
        <v>145</v>
      </c>
      <c r="J61" s="2" t="s">
        <v>369</v>
      </c>
      <c r="K61" s="10" t="b">
        <f aca="false">FALSE()</f>
        <v>0</v>
      </c>
      <c r="L61" s="10" t="b">
        <f aca="false">TRUE()</f>
        <v>1</v>
      </c>
      <c r="M61" s="2" t="s">
        <v>370</v>
      </c>
      <c r="N61" s="2" t="s">
        <v>371</v>
      </c>
      <c r="O61" s="2" t="s">
        <v>372</v>
      </c>
      <c r="P61" s="2" t="n">
        <v>30</v>
      </c>
      <c r="Q61" s="11" t="s">
        <v>373</v>
      </c>
      <c r="R61" s="11" t="s">
        <v>374</v>
      </c>
      <c r="S61" s="2" t="s">
        <v>375</v>
      </c>
      <c r="T61" s="2" t="s">
        <v>163</v>
      </c>
      <c r="U61" s="2" t="s">
        <v>153</v>
      </c>
      <c r="V61" s="2" t="s">
        <v>376</v>
      </c>
      <c r="W61" s="11" t="s">
        <v>377</v>
      </c>
      <c r="X61" s="2"/>
      <c r="Y61" s="2"/>
      <c r="Z61" s="2"/>
      <c r="AA61" s="2"/>
      <c r="AB61" s="2"/>
      <c r="AC61" s="2" t="s">
        <v>131</v>
      </c>
      <c r="AD61" s="2" t="s">
        <v>132</v>
      </c>
      <c r="AE61" s="10" t="b">
        <f aca="false">FALSE()</f>
        <v>0</v>
      </c>
      <c r="AF61" s="2" t="s">
        <v>133</v>
      </c>
      <c r="AG61" s="2" t="s">
        <v>134</v>
      </c>
      <c r="AH61" s="2" t="s">
        <v>135</v>
      </c>
      <c r="AI61" s="11" t="s">
        <v>378</v>
      </c>
      <c r="AJ61" s="2" t="s">
        <v>1277</v>
      </c>
      <c r="AK61" s="2"/>
      <c r="AL61" s="2"/>
    </row>
    <row r="62" customFormat="false" ht="90" hidden="false" customHeight="true" outlineLevel="0" collapsed="false">
      <c r="A62" s="2" t="s">
        <v>405</v>
      </c>
      <c r="B62" s="2" t="s">
        <v>309</v>
      </c>
      <c r="C62" s="2" t="s">
        <v>203</v>
      </c>
      <c r="D62" s="9" t="n">
        <v>4899</v>
      </c>
      <c r="E62" s="2" t="s">
        <v>253</v>
      </c>
      <c r="F62" s="2" t="s">
        <v>366</v>
      </c>
      <c r="G62" s="2" t="s">
        <v>367</v>
      </c>
      <c r="H62" s="2" t="s">
        <v>368</v>
      </c>
      <c r="I62" s="2" t="s">
        <v>145</v>
      </c>
      <c r="J62" s="2" t="s">
        <v>369</v>
      </c>
      <c r="K62" s="10" t="b">
        <f aca="false">FALSE()</f>
        <v>0</v>
      </c>
      <c r="L62" s="10" t="b">
        <f aca="false">FALSE()</f>
        <v>0</v>
      </c>
      <c r="M62" s="2" t="s">
        <v>370</v>
      </c>
      <c r="N62" s="2" t="s">
        <v>371</v>
      </c>
      <c r="O62" s="2" t="s">
        <v>372</v>
      </c>
      <c r="P62" s="2" t="n">
        <v>30</v>
      </c>
      <c r="Q62" s="11" t="s">
        <v>373</v>
      </c>
      <c r="R62" s="11" t="s">
        <v>374</v>
      </c>
      <c r="S62" s="2" t="s">
        <v>375</v>
      </c>
      <c r="T62" s="2" t="s">
        <v>406</v>
      </c>
      <c r="U62" s="2" t="s">
        <v>153</v>
      </c>
      <c r="V62" s="2" t="s">
        <v>376</v>
      </c>
      <c r="W62" s="11" t="s">
        <v>377</v>
      </c>
      <c r="X62" s="2"/>
      <c r="Y62" s="2"/>
      <c r="Z62" s="2"/>
      <c r="AA62" s="2"/>
      <c r="AB62" s="2"/>
      <c r="AC62" s="2" t="s">
        <v>131</v>
      </c>
      <c r="AD62" s="2" t="s">
        <v>132</v>
      </c>
      <c r="AE62" s="10" t="b">
        <f aca="false">FALSE()</f>
        <v>0</v>
      </c>
      <c r="AF62" s="2" t="s">
        <v>133</v>
      </c>
      <c r="AG62" s="2" t="s">
        <v>134</v>
      </c>
      <c r="AH62" s="2" t="s">
        <v>135</v>
      </c>
      <c r="AI62" s="11" t="s">
        <v>378</v>
      </c>
      <c r="AJ62" s="2" t="s">
        <v>1277</v>
      </c>
      <c r="AK62" s="2"/>
      <c r="AL62" s="2"/>
    </row>
    <row r="63" customFormat="false" ht="90" hidden="false" customHeight="true" outlineLevel="0" collapsed="false">
      <c r="A63" s="2" t="s">
        <v>408</v>
      </c>
      <c r="B63" s="2" t="s">
        <v>309</v>
      </c>
      <c r="C63" s="2" t="s">
        <v>203</v>
      </c>
      <c r="D63" s="9" t="n">
        <v>4678</v>
      </c>
      <c r="E63" s="2" t="s">
        <v>310</v>
      </c>
      <c r="F63" s="2" t="s">
        <v>311</v>
      </c>
      <c r="G63" s="2" t="s">
        <v>381</v>
      </c>
      <c r="H63" s="2" t="s">
        <v>382</v>
      </c>
      <c r="I63" s="2" t="s">
        <v>145</v>
      </c>
      <c r="J63" s="2" t="s">
        <v>146</v>
      </c>
      <c r="K63" s="10" t="b">
        <f aca="false">FALSE()</f>
        <v>0</v>
      </c>
      <c r="L63" s="10" t="b">
        <f aca="false">FALSE()</f>
        <v>0</v>
      </c>
      <c r="M63" s="2" t="s">
        <v>316</v>
      </c>
      <c r="N63" s="2" t="s">
        <v>317</v>
      </c>
      <c r="O63" s="2" t="s">
        <v>383</v>
      </c>
      <c r="P63" s="2" t="n">
        <v>15</v>
      </c>
      <c r="Q63" s="11" t="s">
        <v>319</v>
      </c>
      <c r="R63" s="11" t="s">
        <v>320</v>
      </c>
      <c r="S63" s="11" t="s">
        <v>321</v>
      </c>
      <c r="T63" s="2" t="s">
        <v>406</v>
      </c>
      <c r="U63" s="2" t="s">
        <v>153</v>
      </c>
      <c r="V63" s="2" t="s">
        <v>384</v>
      </c>
      <c r="W63" s="11" t="s">
        <v>409</v>
      </c>
      <c r="X63" s="11" t="s">
        <v>410</v>
      </c>
      <c r="Y63" s="2"/>
      <c r="Z63" s="2"/>
      <c r="AA63" s="2"/>
      <c r="AB63" s="2"/>
      <c r="AC63" s="2" t="s">
        <v>131</v>
      </c>
      <c r="AD63" s="2" t="s">
        <v>132</v>
      </c>
      <c r="AE63" s="10" t="b">
        <f aca="false">FALSE()</f>
        <v>0</v>
      </c>
      <c r="AF63" s="2" t="s">
        <v>387</v>
      </c>
      <c r="AG63" s="2" t="s">
        <v>134</v>
      </c>
      <c r="AH63" s="2" t="s">
        <v>325</v>
      </c>
      <c r="AI63" s="11" t="s">
        <v>326</v>
      </c>
      <c r="AJ63" s="2" t="s">
        <v>1277</v>
      </c>
      <c r="AK63" s="2"/>
      <c r="AL63" s="2"/>
    </row>
    <row r="64" customFormat="false" ht="90" hidden="false" customHeight="true" outlineLevel="0" collapsed="false">
      <c r="A64" s="2" t="s">
        <v>430</v>
      </c>
      <c r="B64" s="2" t="s">
        <v>309</v>
      </c>
      <c r="C64" s="2" t="s">
        <v>203</v>
      </c>
      <c r="D64" s="9" t="n">
        <v>4613</v>
      </c>
      <c r="E64" s="2" t="s">
        <v>431</v>
      </c>
      <c r="F64" s="2" t="s">
        <v>344</v>
      </c>
      <c r="G64" s="2" t="s">
        <v>345</v>
      </c>
      <c r="H64" s="2" t="s">
        <v>144</v>
      </c>
      <c r="I64" s="2" t="s">
        <v>145</v>
      </c>
      <c r="J64" s="2" t="s">
        <v>146</v>
      </c>
      <c r="K64" s="10" t="b">
        <f aca="false">FALSE()</f>
        <v>0</v>
      </c>
      <c r="L64" s="10" t="b">
        <f aca="false">FALSE()</f>
        <v>0</v>
      </c>
      <c r="M64" s="2" t="s">
        <v>346</v>
      </c>
      <c r="N64" s="2" t="s">
        <v>123</v>
      </c>
      <c r="O64" s="2" t="s">
        <v>347</v>
      </c>
      <c r="P64" s="2" t="n">
        <v>10</v>
      </c>
      <c r="Q64" s="11" t="s">
        <v>348</v>
      </c>
      <c r="R64" s="2" t="s">
        <v>349</v>
      </c>
      <c r="S64" s="11" t="s">
        <v>350</v>
      </c>
      <c r="T64" s="2"/>
      <c r="U64" s="2" t="s">
        <v>153</v>
      </c>
      <c r="V64" s="2" t="s">
        <v>351</v>
      </c>
      <c r="W64" s="11" t="s">
        <v>352</v>
      </c>
      <c r="X64" s="11" t="s">
        <v>1293</v>
      </c>
      <c r="Y64" s="2"/>
      <c r="Z64" s="2"/>
      <c r="AA64" s="2"/>
      <c r="AB64" s="2"/>
      <c r="AC64" s="2" t="s">
        <v>131</v>
      </c>
      <c r="AD64" s="2" t="s">
        <v>354</v>
      </c>
      <c r="AE64" s="10" t="b">
        <f aca="false">FALSE()</f>
        <v>0</v>
      </c>
      <c r="AF64" s="2" t="s">
        <v>133</v>
      </c>
      <c r="AG64" s="2" t="s">
        <v>158</v>
      </c>
      <c r="AH64" s="2" t="s">
        <v>135</v>
      </c>
      <c r="AI64" s="11" t="s">
        <v>355</v>
      </c>
      <c r="AJ64" s="2" t="s">
        <v>1277</v>
      </c>
      <c r="AK64" s="2" t="s">
        <v>1280</v>
      </c>
      <c r="AL64" s="2"/>
    </row>
    <row r="65" customFormat="false" ht="90" hidden="false" customHeight="true" outlineLevel="0" collapsed="false">
      <c r="A65" s="2" t="s">
        <v>1148</v>
      </c>
      <c r="B65" s="2" t="s">
        <v>309</v>
      </c>
      <c r="C65" s="2" t="s">
        <v>203</v>
      </c>
      <c r="D65" s="9" t="n">
        <v>4461</v>
      </c>
      <c r="E65" s="2" t="s">
        <v>310</v>
      </c>
      <c r="F65" s="2" t="s">
        <v>311</v>
      </c>
      <c r="G65" s="2" t="s">
        <v>381</v>
      </c>
      <c r="H65" s="2" t="s">
        <v>382</v>
      </c>
      <c r="I65" s="2" t="s">
        <v>145</v>
      </c>
      <c r="J65" s="2" t="s">
        <v>146</v>
      </c>
      <c r="K65" s="10" t="b">
        <f aca="false">FALSE()</f>
        <v>0</v>
      </c>
      <c r="L65" s="10" t="b">
        <f aca="false">FALSE()</f>
        <v>0</v>
      </c>
      <c r="M65" s="2" t="s">
        <v>316</v>
      </c>
      <c r="N65" s="2" t="s">
        <v>317</v>
      </c>
      <c r="O65" s="2" t="s">
        <v>383</v>
      </c>
      <c r="P65" s="2" t="n">
        <v>15</v>
      </c>
      <c r="Q65" s="11" t="s">
        <v>319</v>
      </c>
      <c r="R65" s="11" t="s">
        <v>320</v>
      </c>
      <c r="S65" s="11" t="s">
        <v>321</v>
      </c>
      <c r="T65" s="2" t="s">
        <v>223</v>
      </c>
      <c r="U65" s="2" t="s">
        <v>153</v>
      </c>
      <c r="V65" s="2" t="s">
        <v>384</v>
      </c>
      <c r="W65" s="11" t="s">
        <v>409</v>
      </c>
      <c r="X65" s="11" t="s">
        <v>1294</v>
      </c>
      <c r="Y65" s="2"/>
      <c r="Z65" s="2"/>
      <c r="AA65" s="2"/>
      <c r="AB65" s="2"/>
      <c r="AC65" s="2" t="s">
        <v>131</v>
      </c>
      <c r="AD65" s="2" t="s">
        <v>132</v>
      </c>
      <c r="AE65" s="10" t="b">
        <f aca="false">FALSE()</f>
        <v>0</v>
      </c>
      <c r="AF65" s="2" t="s">
        <v>387</v>
      </c>
      <c r="AG65" s="2" t="s">
        <v>134</v>
      </c>
      <c r="AH65" s="2" t="s">
        <v>325</v>
      </c>
      <c r="AI65" s="11" t="s">
        <v>326</v>
      </c>
      <c r="AJ65" s="2" t="s">
        <v>1142</v>
      </c>
      <c r="AK65" s="2" t="s">
        <v>1142</v>
      </c>
      <c r="AL65" s="2" t="s">
        <v>1149</v>
      </c>
    </row>
    <row r="66" customFormat="false" ht="90" hidden="false" customHeight="true" outlineLevel="0" collapsed="false">
      <c r="A66" s="2" t="s">
        <v>412</v>
      </c>
      <c r="B66" s="2" t="s">
        <v>309</v>
      </c>
      <c r="C66" s="2" t="s">
        <v>203</v>
      </c>
      <c r="D66" s="9" t="n">
        <v>4415</v>
      </c>
      <c r="E66" s="2" t="s">
        <v>310</v>
      </c>
      <c r="F66" s="2" t="s">
        <v>311</v>
      </c>
      <c r="G66" s="2" t="s">
        <v>381</v>
      </c>
      <c r="H66" s="2" t="s">
        <v>382</v>
      </c>
      <c r="I66" s="2" t="s">
        <v>145</v>
      </c>
      <c r="J66" s="2" t="s">
        <v>146</v>
      </c>
      <c r="K66" s="10" t="b">
        <f aca="false">FALSE()</f>
        <v>0</v>
      </c>
      <c r="L66" s="10" t="b">
        <f aca="false">FALSE()</f>
        <v>0</v>
      </c>
      <c r="M66" s="2" t="s">
        <v>316</v>
      </c>
      <c r="N66" s="2" t="s">
        <v>317</v>
      </c>
      <c r="O66" s="2" t="s">
        <v>383</v>
      </c>
      <c r="P66" s="2" t="n">
        <v>15</v>
      </c>
      <c r="Q66" s="11" t="s">
        <v>319</v>
      </c>
      <c r="R66" s="11" t="s">
        <v>320</v>
      </c>
      <c r="S66" s="11" t="s">
        <v>321</v>
      </c>
      <c r="T66" s="2" t="s">
        <v>223</v>
      </c>
      <c r="U66" s="2" t="s">
        <v>153</v>
      </c>
      <c r="V66" s="2" t="s">
        <v>384</v>
      </c>
      <c r="W66" s="11" t="s">
        <v>413</v>
      </c>
      <c r="X66" s="11" t="s">
        <v>414</v>
      </c>
      <c r="Y66" s="2"/>
      <c r="Z66" s="2"/>
      <c r="AA66" s="2"/>
      <c r="AB66" s="2"/>
      <c r="AC66" s="2" t="s">
        <v>131</v>
      </c>
      <c r="AD66" s="2" t="s">
        <v>132</v>
      </c>
      <c r="AE66" s="10" t="b">
        <f aca="false">FALSE()</f>
        <v>0</v>
      </c>
      <c r="AF66" s="2" t="s">
        <v>387</v>
      </c>
      <c r="AG66" s="2" t="s">
        <v>134</v>
      </c>
      <c r="AH66" s="2" t="s">
        <v>325</v>
      </c>
      <c r="AI66" s="11" t="s">
        <v>326</v>
      </c>
      <c r="AJ66" s="2" t="s">
        <v>1277</v>
      </c>
      <c r="AK66" s="2"/>
      <c r="AL66" s="2"/>
    </row>
    <row r="67" customFormat="false" ht="90" hidden="false" customHeight="true" outlineLevel="0" collapsed="false">
      <c r="A67" s="2" t="s">
        <v>416</v>
      </c>
      <c r="B67" s="2" t="s">
        <v>309</v>
      </c>
      <c r="C67" s="2" t="s">
        <v>203</v>
      </c>
      <c r="D67" s="9" t="n">
        <v>4372</v>
      </c>
      <c r="E67" s="2" t="s">
        <v>310</v>
      </c>
      <c r="F67" s="2" t="s">
        <v>311</v>
      </c>
      <c r="G67" s="2" t="s">
        <v>381</v>
      </c>
      <c r="H67" s="2" t="s">
        <v>382</v>
      </c>
      <c r="I67" s="2" t="s">
        <v>145</v>
      </c>
      <c r="J67" s="2" t="s">
        <v>146</v>
      </c>
      <c r="K67" s="10" t="b">
        <f aca="false">FALSE()</f>
        <v>0</v>
      </c>
      <c r="L67" s="10" t="b">
        <f aca="false">FALSE()</f>
        <v>0</v>
      </c>
      <c r="M67" s="2" t="s">
        <v>316</v>
      </c>
      <c r="N67" s="2" t="s">
        <v>317</v>
      </c>
      <c r="O67" s="2" t="s">
        <v>383</v>
      </c>
      <c r="P67" s="2" t="n">
        <v>15</v>
      </c>
      <c r="Q67" s="11" t="s">
        <v>319</v>
      </c>
      <c r="R67" s="11" t="s">
        <v>320</v>
      </c>
      <c r="S67" s="11" t="s">
        <v>321</v>
      </c>
      <c r="T67" s="2"/>
      <c r="U67" s="2" t="s">
        <v>153</v>
      </c>
      <c r="V67" s="2" t="s">
        <v>384</v>
      </c>
      <c r="W67" s="11" t="s">
        <v>413</v>
      </c>
      <c r="X67" s="11" t="s">
        <v>417</v>
      </c>
      <c r="Y67" s="2"/>
      <c r="Z67" s="2"/>
      <c r="AA67" s="2"/>
      <c r="AB67" s="2"/>
      <c r="AC67" s="2" t="s">
        <v>131</v>
      </c>
      <c r="AD67" s="2" t="s">
        <v>132</v>
      </c>
      <c r="AE67" s="10" t="b">
        <f aca="false">FALSE()</f>
        <v>0</v>
      </c>
      <c r="AF67" s="2" t="s">
        <v>387</v>
      </c>
      <c r="AG67" s="2" t="s">
        <v>134</v>
      </c>
      <c r="AH67" s="2" t="s">
        <v>325</v>
      </c>
      <c r="AI67" s="11" t="s">
        <v>326</v>
      </c>
      <c r="AJ67" s="2" t="s">
        <v>1277</v>
      </c>
      <c r="AK67" s="2"/>
      <c r="AL67" s="2"/>
    </row>
    <row r="68" customFormat="false" ht="90" hidden="false" customHeight="true" outlineLevel="0" collapsed="false">
      <c r="A68" s="2" t="s">
        <v>419</v>
      </c>
      <c r="B68" s="2" t="s">
        <v>309</v>
      </c>
      <c r="C68" s="2" t="s">
        <v>203</v>
      </c>
      <c r="D68" s="9" t="n">
        <v>3925</v>
      </c>
      <c r="E68" s="2" t="s">
        <v>310</v>
      </c>
      <c r="F68" s="2" t="s">
        <v>311</v>
      </c>
      <c r="G68" s="2" t="s">
        <v>390</v>
      </c>
      <c r="H68" s="2" t="s">
        <v>391</v>
      </c>
      <c r="I68" s="2" t="s">
        <v>392</v>
      </c>
      <c r="J68" s="2" t="s">
        <v>146</v>
      </c>
      <c r="K68" s="10" t="b">
        <f aca="false">FALSE()</f>
        <v>0</v>
      </c>
      <c r="L68" s="10" t="b">
        <f aca="false">FALSE()</f>
        <v>0</v>
      </c>
      <c r="M68" s="2" t="s">
        <v>316</v>
      </c>
      <c r="N68" s="2" t="s">
        <v>317</v>
      </c>
      <c r="O68" s="11" t="s">
        <v>393</v>
      </c>
      <c r="P68" s="2" t="n">
        <v>15</v>
      </c>
      <c r="Q68" s="11" t="s">
        <v>319</v>
      </c>
      <c r="R68" s="11" t="s">
        <v>320</v>
      </c>
      <c r="S68" s="11" t="s">
        <v>321</v>
      </c>
      <c r="T68" s="2" t="s">
        <v>400</v>
      </c>
      <c r="U68" s="2" t="s">
        <v>395</v>
      </c>
      <c r="V68" s="2"/>
      <c r="W68" s="2"/>
      <c r="X68" s="11" t="s">
        <v>420</v>
      </c>
      <c r="Y68" s="2"/>
      <c r="Z68" s="2"/>
      <c r="AA68" s="2"/>
      <c r="AB68" s="2"/>
      <c r="AC68" s="2" t="s">
        <v>131</v>
      </c>
      <c r="AD68" s="2" t="s">
        <v>132</v>
      </c>
      <c r="AE68" s="10" t="b">
        <f aca="false">FALSE()</f>
        <v>0</v>
      </c>
      <c r="AF68" s="2" t="s">
        <v>397</v>
      </c>
      <c r="AG68" s="2" t="s">
        <v>134</v>
      </c>
      <c r="AH68" s="2" t="s">
        <v>325</v>
      </c>
      <c r="AI68" s="11" t="s">
        <v>326</v>
      </c>
      <c r="AJ68" s="2" t="s">
        <v>1277</v>
      </c>
      <c r="AK68" s="2"/>
      <c r="AL68" s="2"/>
    </row>
    <row r="69" customFormat="false" ht="90" hidden="false" customHeight="true" outlineLevel="0" collapsed="false">
      <c r="A69" s="2" t="s">
        <v>422</v>
      </c>
      <c r="B69" s="2" t="s">
        <v>309</v>
      </c>
      <c r="C69" s="2" t="s">
        <v>203</v>
      </c>
      <c r="D69" s="9" t="n">
        <v>3879</v>
      </c>
      <c r="E69" s="2" t="s">
        <v>310</v>
      </c>
      <c r="F69" s="2" t="s">
        <v>311</v>
      </c>
      <c r="G69" s="2" t="s">
        <v>390</v>
      </c>
      <c r="H69" s="2" t="s">
        <v>391</v>
      </c>
      <c r="I69" s="2" t="s">
        <v>392</v>
      </c>
      <c r="J69" s="2" t="s">
        <v>146</v>
      </c>
      <c r="K69" s="10" t="b">
        <f aca="false">FALSE()</f>
        <v>0</v>
      </c>
      <c r="L69" s="10" t="b">
        <f aca="false">FALSE()</f>
        <v>0</v>
      </c>
      <c r="M69" s="2" t="s">
        <v>316</v>
      </c>
      <c r="N69" s="2" t="s">
        <v>317</v>
      </c>
      <c r="O69" s="11" t="s">
        <v>393</v>
      </c>
      <c r="P69" s="2" t="n">
        <v>15</v>
      </c>
      <c r="Q69" s="11" t="s">
        <v>319</v>
      </c>
      <c r="R69" s="11" t="s">
        <v>320</v>
      </c>
      <c r="S69" s="11" t="s">
        <v>321</v>
      </c>
      <c r="T69" s="11" t="s">
        <v>423</v>
      </c>
      <c r="U69" s="2" t="s">
        <v>395</v>
      </c>
      <c r="V69" s="2"/>
      <c r="W69" s="2"/>
      <c r="X69" s="11" t="s">
        <v>424</v>
      </c>
      <c r="Y69" s="2"/>
      <c r="Z69" s="2"/>
      <c r="AA69" s="2"/>
      <c r="AB69" s="2"/>
      <c r="AC69" s="2" t="s">
        <v>131</v>
      </c>
      <c r="AD69" s="2" t="s">
        <v>132</v>
      </c>
      <c r="AE69" s="10" t="b">
        <f aca="false">FALSE()</f>
        <v>0</v>
      </c>
      <c r="AF69" s="2" t="s">
        <v>397</v>
      </c>
      <c r="AG69" s="2" t="s">
        <v>158</v>
      </c>
      <c r="AH69" s="2" t="s">
        <v>325</v>
      </c>
      <c r="AI69" s="11" t="s">
        <v>326</v>
      </c>
      <c r="AJ69" s="2" t="s">
        <v>1277</v>
      </c>
      <c r="AK69" s="2"/>
      <c r="AL69" s="2"/>
    </row>
    <row r="70" customFormat="false" ht="90" hidden="false" customHeight="true" outlineLevel="0" collapsed="false">
      <c r="A70" s="2" t="s">
        <v>426</v>
      </c>
      <c r="B70" s="2" t="s">
        <v>309</v>
      </c>
      <c r="C70" s="2" t="s">
        <v>203</v>
      </c>
      <c r="D70" s="9" t="n">
        <v>3200</v>
      </c>
      <c r="E70" s="2" t="s">
        <v>343</v>
      </c>
      <c r="F70" s="2" t="s">
        <v>344</v>
      </c>
      <c r="G70" s="2" t="s">
        <v>345</v>
      </c>
      <c r="H70" s="2" t="s">
        <v>144</v>
      </c>
      <c r="I70" s="2" t="s">
        <v>145</v>
      </c>
      <c r="J70" s="2" t="s">
        <v>146</v>
      </c>
      <c r="K70" s="10" t="b">
        <f aca="false">FALSE()</f>
        <v>0</v>
      </c>
      <c r="L70" s="10" t="b">
        <f aca="false">FALSE()</f>
        <v>0</v>
      </c>
      <c r="M70" s="2" t="s">
        <v>346</v>
      </c>
      <c r="N70" s="2" t="s">
        <v>123</v>
      </c>
      <c r="O70" s="2" t="s">
        <v>347</v>
      </c>
      <c r="P70" s="2" t="n">
        <v>10</v>
      </c>
      <c r="Q70" s="11" t="s">
        <v>348</v>
      </c>
      <c r="R70" s="2" t="s">
        <v>349</v>
      </c>
      <c r="S70" s="11" t="s">
        <v>350</v>
      </c>
      <c r="T70" s="2"/>
      <c r="U70" s="2" t="s">
        <v>153</v>
      </c>
      <c r="V70" s="2" t="s">
        <v>351</v>
      </c>
      <c r="W70" s="11" t="s">
        <v>427</v>
      </c>
      <c r="X70" s="11" t="s">
        <v>428</v>
      </c>
      <c r="Y70" s="2"/>
      <c r="Z70" s="2"/>
      <c r="AA70" s="2"/>
      <c r="AB70" s="2"/>
      <c r="AC70" s="2" t="s">
        <v>131</v>
      </c>
      <c r="AD70" s="2" t="s">
        <v>354</v>
      </c>
      <c r="AE70" s="10" t="b">
        <f aca="false">FALSE()</f>
        <v>0</v>
      </c>
      <c r="AF70" s="2" t="s">
        <v>133</v>
      </c>
      <c r="AG70" s="2" t="s">
        <v>158</v>
      </c>
      <c r="AH70" s="2" t="s">
        <v>135</v>
      </c>
      <c r="AI70" s="11" t="s">
        <v>355</v>
      </c>
      <c r="AJ70" s="2" t="s">
        <v>1277</v>
      </c>
      <c r="AK70" s="2"/>
      <c r="AL70" s="2"/>
    </row>
    <row r="71" customFormat="false" ht="90" hidden="false" customHeight="true" outlineLevel="0" collapsed="false">
      <c r="A71" s="2" t="s">
        <v>435</v>
      </c>
      <c r="B71" s="2" t="s">
        <v>309</v>
      </c>
      <c r="C71" s="2" t="s">
        <v>203</v>
      </c>
      <c r="D71" s="9" t="n">
        <v>2402</v>
      </c>
      <c r="E71" s="2" t="s">
        <v>431</v>
      </c>
      <c r="F71" s="2" t="s">
        <v>344</v>
      </c>
      <c r="G71" s="2" t="s">
        <v>436</v>
      </c>
      <c r="H71" s="2" t="s">
        <v>368</v>
      </c>
      <c r="I71" s="2" t="s">
        <v>145</v>
      </c>
      <c r="J71" s="2" t="s">
        <v>369</v>
      </c>
      <c r="K71" s="10" t="b">
        <f aca="false">FALSE()</f>
        <v>0</v>
      </c>
      <c r="L71" s="10" t="b">
        <f aca="false">FALSE()</f>
        <v>0</v>
      </c>
      <c r="M71" s="2" t="s">
        <v>346</v>
      </c>
      <c r="N71" s="2" t="s">
        <v>371</v>
      </c>
      <c r="O71" s="2" t="s">
        <v>437</v>
      </c>
      <c r="P71" s="2" t="n">
        <v>14</v>
      </c>
      <c r="Q71" s="11" t="s">
        <v>348</v>
      </c>
      <c r="R71" s="2" t="s">
        <v>349</v>
      </c>
      <c r="S71" s="11" t="s">
        <v>350</v>
      </c>
      <c r="T71" s="2"/>
      <c r="U71" s="2" t="s">
        <v>153</v>
      </c>
      <c r="V71" s="2" t="s">
        <v>438</v>
      </c>
      <c r="W71" s="11" t="s">
        <v>439</v>
      </c>
      <c r="X71" s="2"/>
      <c r="Y71" s="2"/>
      <c r="Z71" s="2"/>
      <c r="AA71" s="2"/>
      <c r="AB71" s="2"/>
      <c r="AC71" s="2" t="s">
        <v>131</v>
      </c>
      <c r="AD71" s="2" t="s">
        <v>440</v>
      </c>
      <c r="AE71" s="10" t="b">
        <f aca="false">FALSE()</f>
        <v>0</v>
      </c>
      <c r="AF71" s="2" t="s">
        <v>133</v>
      </c>
      <c r="AG71" s="2" t="s">
        <v>134</v>
      </c>
      <c r="AH71" s="2" t="s">
        <v>135</v>
      </c>
      <c r="AI71" s="11" t="s">
        <v>355</v>
      </c>
      <c r="AJ71" s="2" t="s">
        <v>1277</v>
      </c>
      <c r="AK71" s="2"/>
      <c r="AL71" s="2"/>
    </row>
    <row r="72" customFormat="false" ht="90" hidden="false" customHeight="true" outlineLevel="0" collapsed="false">
      <c r="A72" s="2" t="s">
        <v>442</v>
      </c>
      <c r="B72" s="2" t="s">
        <v>309</v>
      </c>
      <c r="C72" s="2" t="s">
        <v>203</v>
      </c>
      <c r="D72" s="9" t="n">
        <v>2380</v>
      </c>
      <c r="E72" s="2" t="s">
        <v>310</v>
      </c>
      <c r="F72" s="2" t="s">
        <v>311</v>
      </c>
      <c r="G72" s="2" t="s">
        <v>390</v>
      </c>
      <c r="H72" s="2" t="s">
        <v>391</v>
      </c>
      <c r="I72" s="2" t="s">
        <v>392</v>
      </c>
      <c r="J72" s="2" t="s">
        <v>146</v>
      </c>
      <c r="K72" s="10" t="b">
        <f aca="false">FALSE()</f>
        <v>0</v>
      </c>
      <c r="L72" s="10" t="b">
        <f aca="false">FALSE()</f>
        <v>0</v>
      </c>
      <c r="M72" s="2" t="s">
        <v>316</v>
      </c>
      <c r="N72" s="2" t="s">
        <v>317</v>
      </c>
      <c r="O72" s="11" t="s">
        <v>393</v>
      </c>
      <c r="P72" s="2" t="n">
        <v>15</v>
      </c>
      <c r="Q72" s="11" t="s">
        <v>319</v>
      </c>
      <c r="R72" s="11" t="s">
        <v>320</v>
      </c>
      <c r="S72" s="11" t="s">
        <v>321</v>
      </c>
      <c r="T72" s="11" t="s">
        <v>443</v>
      </c>
      <c r="U72" s="2" t="s">
        <v>395</v>
      </c>
      <c r="V72" s="2"/>
      <c r="W72" s="2"/>
      <c r="X72" s="11" t="s">
        <v>444</v>
      </c>
      <c r="Y72" s="2"/>
      <c r="Z72" s="2"/>
      <c r="AA72" s="2"/>
      <c r="AB72" s="2"/>
      <c r="AC72" s="2" t="s">
        <v>131</v>
      </c>
      <c r="AD72" s="2" t="s">
        <v>132</v>
      </c>
      <c r="AE72" s="10" t="b">
        <f aca="false">FALSE()</f>
        <v>0</v>
      </c>
      <c r="AF72" s="2" t="s">
        <v>397</v>
      </c>
      <c r="AG72" s="2" t="s">
        <v>134</v>
      </c>
      <c r="AH72" s="2" t="s">
        <v>325</v>
      </c>
      <c r="AI72" s="11" t="s">
        <v>326</v>
      </c>
      <c r="AJ72" s="2" t="s">
        <v>1277</v>
      </c>
      <c r="AK72" s="2"/>
      <c r="AL72" s="2"/>
    </row>
    <row r="73" customFormat="false" ht="90" hidden="false" customHeight="true" outlineLevel="0" collapsed="false">
      <c r="A73" s="2" t="s">
        <v>446</v>
      </c>
      <c r="B73" s="2" t="s">
        <v>309</v>
      </c>
      <c r="C73" s="2" t="s">
        <v>203</v>
      </c>
      <c r="D73" s="9" t="n">
        <v>2277</v>
      </c>
      <c r="E73" s="2" t="s">
        <v>310</v>
      </c>
      <c r="F73" s="2" t="s">
        <v>311</v>
      </c>
      <c r="G73" s="2" t="s">
        <v>390</v>
      </c>
      <c r="H73" s="2" t="s">
        <v>391</v>
      </c>
      <c r="I73" s="2" t="s">
        <v>392</v>
      </c>
      <c r="J73" s="2" t="s">
        <v>146</v>
      </c>
      <c r="K73" s="10" t="b">
        <f aca="false">FALSE()</f>
        <v>0</v>
      </c>
      <c r="L73" s="10" t="b">
        <f aca="false">FALSE()</f>
        <v>0</v>
      </c>
      <c r="M73" s="2" t="s">
        <v>316</v>
      </c>
      <c r="N73" s="2" t="s">
        <v>317</v>
      </c>
      <c r="O73" s="11" t="s">
        <v>393</v>
      </c>
      <c r="P73" s="2" t="n">
        <v>15</v>
      </c>
      <c r="Q73" s="11" t="s">
        <v>319</v>
      </c>
      <c r="R73" s="11" t="s">
        <v>320</v>
      </c>
      <c r="S73" s="11" t="s">
        <v>321</v>
      </c>
      <c r="T73" s="11" t="s">
        <v>447</v>
      </c>
      <c r="U73" s="2" t="s">
        <v>395</v>
      </c>
      <c r="V73" s="2"/>
      <c r="W73" s="2"/>
      <c r="X73" s="11" t="s">
        <v>448</v>
      </c>
      <c r="Y73" s="2"/>
      <c r="Z73" s="2"/>
      <c r="AA73" s="2"/>
      <c r="AB73" s="2"/>
      <c r="AC73" s="2" t="s">
        <v>131</v>
      </c>
      <c r="AD73" s="2" t="s">
        <v>132</v>
      </c>
      <c r="AE73" s="10" t="b">
        <f aca="false">FALSE()</f>
        <v>0</v>
      </c>
      <c r="AF73" s="2" t="s">
        <v>397</v>
      </c>
      <c r="AG73" s="2" t="s">
        <v>158</v>
      </c>
      <c r="AH73" s="2" t="s">
        <v>325</v>
      </c>
      <c r="AI73" s="11" t="s">
        <v>326</v>
      </c>
      <c r="AJ73" s="2" t="s">
        <v>1277</v>
      </c>
      <c r="AK73" s="2"/>
      <c r="AL73" s="2"/>
    </row>
    <row r="74" customFormat="false" ht="90" hidden="false" customHeight="true" outlineLevel="0" collapsed="false">
      <c r="A74" s="2" t="s">
        <v>1154</v>
      </c>
      <c r="B74" s="2" t="s">
        <v>309</v>
      </c>
      <c r="C74" s="2" t="s">
        <v>203</v>
      </c>
      <c r="D74" s="9" t="n">
        <v>2236</v>
      </c>
      <c r="E74" s="2" t="s">
        <v>431</v>
      </c>
      <c r="F74" s="2" t="s">
        <v>344</v>
      </c>
      <c r="G74" s="2" t="s">
        <v>345</v>
      </c>
      <c r="H74" s="2" t="s">
        <v>144</v>
      </c>
      <c r="I74" s="2" t="s">
        <v>145</v>
      </c>
      <c r="J74" s="2" t="s">
        <v>146</v>
      </c>
      <c r="K74" s="10" t="b">
        <f aca="false">FALSE()</f>
        <v>0</v>
      </c>
      <c r="L74" s="10" t="b">
        <f aca="false">FALSE()</f>
        <v>0</v>
      </c>
      <c r="M74" s="2" t="s">
        <v>346</v>
      </c>
      <c r="N74" s="2" t="s">
        <v>123</v>
      </c>
      <c r="O74" s="2" t="s">
        <v>347</v>
      </c>
      <c r="P74" s="2" t="n">
        <v>10</v>
      </c>
      <c r="Q74" s="11" t="s">
        <v>348</v>
      </c>
      <c r="R74" s="2" t="s">
        <v>349</v>
      </c>
      <c r="S74" s="11" t="s">
        <v>350</v>
      </c>
      <c r="T74" s="2" t="s">
        <v>219</v>
      </c>
      <c r="U74" s="2" t="s">
        <v>153</v>
      </c>
      <c r="V74" s="2" t="s">
        <v>351</v>
      </c>
      <c r="W74" s="11" t="s">
        <v>427</v>
      </c>
      <c r="X74" s="11" t="s">
        <v>1295</v>
      </c>
      <c r="Y74" s="2"/>
      <c r="Z74" s="2"/>
      <c r="AA74" s="2"/>
      <c r="AB74" s="2"/>
      <c r="AC74" s="2" t="s">
        <v>131</v>
      </c>
      <c r="AD74" s="2" t="s">
        <v>354</v>
      </c>
      <c r="AE74" s="10" t="b">
        <f aca="false">FALSE()</f>
        <v>0</v>
      </c>
      <c r="AF74" s="2" t="s">
        <v>133</v>
      </c>
      <c r="AG74" s="2" t="s">
        <v>158</v>
      </c>
      <c r="AH74" s="2" t="s">
        <v>135</v>
      </c>
      <c r="AI74" s="11" t="s">
        <v>355</v>
      </c>
      <c r="AJ74" s="2" t="s">
        <v>1142</v>
      </c>
      <c r="AK74" s="2" t="s">
        <v>1142</v>
      </c>
      <c r="AL74" s="2" t="s">
        <v>1155</v>
      </c>
    </row>
    <row r="75" customFormat="false" ht="90" hidden="false" customHeight="true" outlineLevel="0" collapsed="false">
      <c r="A75" s="2" t="s">
        <v>450</v>
      </c>
      <c r="B75" s="2" t="s">
        <v>451</v>
      </c>
      <c r="C75" s="2" t="s">
        <v>203</v>
      </c>
      <c r="D75" s="9" t="n">
        <v>4513</v>
      </c>
      <c r="E75" s="2" t="s">
        <v>310</v>
      </c>
      <c r="F75" s="2" t="s">
        <v>311</v>
      </c>
      <c r="G75" s="2" t="s">
        <v>452</v>
      </c>
      <c r="H75" s="2" t="s">
        <v>144</v>
      </c>
      <c r="I75" s="2" t="s">
        <v>145</v>
      </c>
      <c r="J75" s="2" t="s">
        <v>146</v>
      </c>
      <c r="K75" s="10" t="b">
        <f aca="false">FALSE()</f>
        <v>0</v>
      </c>
      <c r="L75" s="10" t="b">
        <f aca="false">FALSE()</f>
        <v>0</v>
      </c>
      <c r="M75" s="2" t="s">
        <v>316</v>
      </c>
      <c r="N75" s="2" t="s">
        <v>317</v>
      </c>
      <c r="O75" s="2" t="s">
        <v>453</v>
      </c>
      <c r="P75" s="2" t="n">
        <v>15</v>
      </c>
      <c r="Q75" s="11" t="s">
        <v>319</v>
      </c>
      <c r="R75" s="11" t="s">
        <v>320</v>
      </c>
      <c r="S75" s="11" t="s">
        <v>321</v>
      </c>
      <c r="T75" s="2" t="s">
        <v>298</v>
      </c>
      <c r="U75" s="2" t="s">
        <v>153</v>
      </c>
      <c r="V75" s="2" t="s">
        <v>454</v>
      </c>
      <c r="W75" s="11" t="s">
        <v>455</v>
      </c>
      <c r="X75" s="11" t="s">
        <v>456</v>
      </c>
      <c r="Y75" s="2"/>
      <c r="Z75" s="2"/>
      <c r="AA75" s="2"/>
      <c r="AB75" s="2"/>
      <c r="AC75" s="2" t="s">
        <v>131</v>
      </c>
      <c r="AD75" s="2" t="s">
        <v>132</v>
      </c>
      <c r="AE75" s="10" t="b">
        <f aca="false">FALSE()</f>
        <v>0</v>
      </c>
      <c r="AF75" s="2" t="s">
        <v>133</v>
      </c>
      <c r="AG75" s="2" t="s">
        <v>134</v>
      </c>
      <c r="AH75" s="2" t="s">
        <v>325</v>
      </c>
      <c r="AI75" s="11" t="s">
        <v>326</v>
      </c>
      <c r="AJ75" s="2" t="s">
        <v>1277</v>
      </c>
      <c r="AK75" s="2"/>
      <c r="AL75" s="2"/>
    </row>
    <row r="76" customFormat="false" ht="90" hidden="false" customHeight="true" outlineLevel="0" collapsed="false">
      <c r="A76" s="2" t="s">
        <v>458</v>
      </c>
      <c r="B76" s="2" t="s">
        <v>451</v>
      </c>
      <c r="C76" s="2" t="s">
        <v>203</v>
      </c>
      <c r="D76" s="9" t="n">
        <v>3913</v>
      </c>
      <c r="E76" s="2" t="s">
        <v>310</v>
      </c>
      <c r="F76" s="2" t="s">
        <v>311</v>
      </c>
      <c r="G76" s="2" t="s">
        <v>452</v>
      </c>
      <c r="H76" s="2" t="s">
        <v>144</v>
      </c>
      <c r="I76" s="2" t="s">
        <v>145</v>
      </c>
      <c r="J76" s="2" t="s">
        <v>146</v>
      </c>
      <c r="K76" s="10" t="b">
        <f aca="false">FALSE()</f>
        <v>0</v>
      </c>
      <c r="L76" s="10" t="b">
        <f aca="false">FALSE()</f>
        <v>0</v>
      </c>
      <c r="M76" s="2" t="s">
        <v>316</v>
      </c>
      <c r="N76" s="2" t="s">
        <v>317</v>
      </c>
      <c r="O76" s="2" t="s">
        <v>453</v>
      </c>
      <c r="P76" s="2" t="n">
        <v>15</v>
      </c>
      <c r="Q76" s="11" t="s">
        <v>319</v>
      </c>
      <c r="R76" s="11" t="s">
        <v>320</v>
      </c>
      <c r="S76" s="11" t="s">
        <v>321</v>
      </c>
      <c r="T76" s="11" t="s">
        <v>459</v>
      </c>
      <c r="U76" s="2" t="s">
        <v>153</v>
      </c>
      <c r="V76" s="2" t="s">
        <v>454</v>
      </c>
      <c r="W76" s="11" t="s">
        <v>455</v>
      </c>
      <c r="X76" s="11" t="s">
        <v>460</v>
      </c>
      <c r="Y76" s="2"/>
      <c r="Z76" s="2"/>
      <c r="AA76" s="2"/>
      <c r="AB76" s="2"/>
      <c r="AC76" s="2" t="s">
        <v>131</v>
      </c>
      <c r="AD76" s="2" t="s">
        <v>132</v>
      </c>
      <c r="AE76" s="10" t="b">
        <f aca="false">FALSE()</f>
        <v>0</v>
      </c>
      <c r="AF76" s="2" t="s">
        <v>133</v>
      </c>
      <c r="AG76" s="2" t="s">
        <v>158</v>
      </c>
      <c r="AH76" s="2" t="s">
        <v>325</v>
      </c>
      <c r="AI76" s="11" t="s">
        <v>326</v>
      </c>
      <c r="AJ76" s="2" t="s">
        <v>1277</v>
      </c>
      <c r="AK76" s="2"/>
      <c r="AL76" s="2"/>
    </row>
    <row r="77" customFormat="false" ht="90" hidden="false" customHeight="true" outlineLevel="0" collapsed="false">
      <c r="A77" s="2" t="s">
        <v>462</v>
      </c>
      <c r="B77" s="2" t="s">
        <v>451</v>
      </c>
      <c r="C77" s="2" t="s">
        <v>203</v>
      </c>
      <c r="D77" s="9" t="n">
        <v>3626</v>
      </c>
      <c r="E77" s="2" t="s">
        <v>310</v>
      </c>
      <c r="F77" s="2" t="s">
        <v>311</v>
      </c>
      <c r="G77" s="2" t="s">
        <v>452</v>
      </c>
      <c r="H77" s="2" t="s">
        <v>144</v>
      </c>
      <c r="I77" s="2" t="s">
        <v>145</v>
      </c>
      <c r="J77" s="2" t="s">
        <v>146</v>
      </c>
      <c r="K77" s="10" t="b">
        <f aca="false">FALSE()</f>
        <v>0</v>
      </c>
      <c r="L77" s="10" t="b">
        <f aca="false">FALSE()</f>
        <v>0</v>
      </c>
      <c r="M77" s="2" t="s">
        <v>316</v>
      </c>
      <c r="N77" s="2" t="s">
        <v>317</v>
      </c>
      <c r="O77" s="2" t="s">
        <v>453</v>
      </c>
      <c r="P77" s="2" t="n">
        <v>15</v>
      </c>
      <c r="Q77" s="11" t="s">
        <v>319</v>
      </c>
      <c r="R77" s="11" t="s">
        <v>320</v>
      </c>
      <c r="S77" s="11" t="s">
        <v>321</v>
      </c>
      <c r="T77" s="2" t="s">
        <v>463</v>
      </c>
      <c r="U77" s="2" t="s">
        <v>153</v>
      </c>
      <c r="V77" s="2" t="s">
        <v>454</v>
      </c>
      <c r="W77" s="11" t="s">
        <v>455</v>
      </c>
      <c r="X77" s="11" t="s">
        <v>464</v>
      </c>
      <c r="Y77" s="2"/>
      <c r="Z77" s="2"/>
      <c r="AA77" s="2"/>
      <c r="AB77" s="2"/>
      <c r="AC77" s="2" t="s">
        <v>131</v>
      </c>
      <c r="AD77" s="2" t="s">
        <v>132</v>
      </c>
      <c r="AE77" s="10" t="b">
        <f aca="false">FALSE()</f>
        <v>0</v>
      </c>
      <c r="AF77" s="2" t="s">
        <v>133</v>
      </c>
      <c r="AG77" s="2" t="s">
        <v>158</v>
      </c>
      <c r="AH77" s="2" t="s">
        <v>325</v>
      </c>
      <c r="AI77" s="11" t="s">
        <v>326</v>
      </c>
      <c r="AJ77" s="2" t="s">
        <v>1277</v>
      </c>
      <c r="AK77" s="2"/>
      <c r="AL77" s="2"/>
    </row>
    <row r="78" customFormat="false" ht="90" hidden="false" customHeight="true" outlineLevel="0" collapsed="false">
      <c r="A78" s="2" t="s">
        <v>466</v>
      </c>
      <c r="B78" s="2" t="s">
        <v>451</v>
      </c>
      <c r="C78" s="2" t="s">
        <v>203</v>
      </c>
      <c r="D78" s="9" t="n">
        <v>3111</v>
      </c>
      <c r="E78" s="2" t="s">
        <v>310</v>
      </c>
      <c r="F78" s="2" t="s">
        <v>311</v>
      </c>
      <c r="G78" s="2" t="s">
        <v>452</v>
      </c>
      <c r="H78" s="2" t="s">
        <v>144</v>
      </c>
      <c r="I78" s="2" t="s">
        <v>145</v>
      </c>
      <c r="J78" s="2" t="s">
        <v>146</v>
      </c>
      <c r="K78" s="10" t="b">
        <f aca="false">FALSE()</f>
        <v>0</v>
      </c>
      <c r="L78" s="10" t="b">
        <f aca="false">FALSE()</f>
        <v>0</v>
      </c>
      <c r="M78" s="2" t="s">
        <v>316</v>
      </c>
      <c r="N78" s="2" t="s">
        <v>317</v>
      </c>
      <c r="O78" s="2" t="s">
        <v>453</v>
      </c>
      <c r="P78" s="2" t="n">
        <v>15</v>
      </c>
      <c r="Q78" s="11" t="s">
        <v>319</v>
      </c>
      <c r="R78" s="11" t="s">
        <v>320</v>
      </c>
      <c r="S78" s="11" t="s">
        <v>321</v>
      </c>
      <c r="T78" s="2"/>
      <c r="U78" s="2" t="s">
        <v>153</v>
      </c>
      <c r="V78" s="2" t="s">
        <v>454</v>
      </c>
      <c r="W78" s="11" t="s">
        <v>455</v>
      </c>
      <c r="X78" s="11" t="s">
        <v>467</v>
      </c>
      <c r="Y78" s="2"/>
      <c r="Z78" s="2"/>
      <c r="AA78" s="2"/>
      <c r="AB78" s="2"/>
      <c r="AC78" s="2" t="s">
        <v>131</v>
      </c>
      <c r="AD78" s="2" t="s">
        <v>132</v>
      </c>
      <c r="AE78" s="10" t="b">
        <f aca="false">FALSE()</f>
        <v>0</v>
      </c>
      <c r="AF78" s="2" t="s">
        <v>133</v>
      </c>
      <c r="AG78" s="2" t="s">
        <v>134</v>
      </c>
      <c r="AH78" s="2" t="s">
        <v>325</v>
      </c>
      <c r="AI78" s="11" t="s">
        <v>326</v>
      </c>
      <c r="AJ78" s="2" t="s">
        <v>1277</v>
      </c>
      <c r="AK78" s="2"/>
      <c r="AL78" s="2"/>
    </row>
    <row r="79" customFormat="false" ht="90" hidden="false" customHeight="true" outlineLevel="0" collapsed="false">
      <c r="A79" s="2" t="s">
        <v>469</v>
      </c>
      <c r="B79" s="2" t="s">
        <v>451</v>
      </c>
      <c r="C79" s="2" t="s">
        <v>203</v>
      </c>
      <c r="D79" s="9" t="n">
        <v>2366</v>
      </c>
      <c r="E79" s="2" t="s">
        <v>310</v>
      </c>
      <c r="F79" s="2" t="s">
        <v>311</v>
      </c>
      <c r="G79" s="2" t="s">
        <v>452</v>
      </c>
      <c r="H79" s="2" t="s">
        <v>144</v>
      </c>
      <c r="I79" s="2" t="s">
        <v>145</v>
      </c>
      <c r="J79" s="2" t="s">
        <v>146</v>
      </c>
      <c r="K79" s="10" t="b">
        <f aca="false">FALSE()</f>
        <v>0</v>
      </c>
      <c r="L79" s="10" t="b">
        <f aca="false">FALSE()</f>
        <v>0</v>
      </c>
      <c r="M79" s="2" t="s">
        <v>316</v>
      </c>
      <c r="N79" s="2" t="s">
        <v>317</v>
      </c>
      <c r="O79" s="2" t="s">
        <v>453</v>
      </c>
      <c r="P79" s="2" t="n">
        <v>15</v>
      </c>
      <c r="Q79" s="11" t="s">
        <v>319</v>
      </c>
      <c r="R79" s="11" t="s">
        <v>320</v>
      </c>
      <c r="S79" s="11" t="s">
        <v>321</v>
      </c>
      <c r="T79" s="2" t="s">
        <v>470</v>
      </c>
      <c r="U79" s="2" t="s">
        <v>153</v>
      </c>
      <c r="V79" s="2" t="s">
        <v>454</v>
      </c>
      <c r="W79" s="11" t="s">
        <v>455</v>
      </c>
      <c r="X79" s="11" t="s">
        <v>471</v>
      </c>
      <c r="Y79" s="2"/>
      <c r="Z79" s="2"/>
      <c r="AA79" s="2"/>
      <c r="AB79" s="2"/>
      <c r="AC79" s="2" t="s">
        <v>187</v>
      </c>
      <c r="AD79" s="2" t="s">
        <v>132</v>
      </c>
      <c r="AE79" s="10" t="b">
        <f aca="false">FALSE()</f>
        <v>0</v>
      </c>
      <c r="AF79" s="2" t="s">
        <v>133</v>
      </c>
      <c r="AG79" s="2" t="s">
        <v>158</v>
      </c>
      <c r="AH79" s="2" t="s">
        <v>325</v>
      </c>
      <c r="AI79" s="11" t="s">
        <v>326</v>
      </c>
      <c r="AJ79" s="2" t="s">
        <v>1277</v>
      </c>
      <c r="AK79" s="2"/>
      <c r="AL79" s="2"/>
    </row>
    <row r="80" customFormat="false" ht="90" hidden="false" customHeight="true" outlineLevel="0" collapsed="false">
      <c r="A80" s="2" t="s">
        <v>1156</v>
      </c>
      <c r="B80" s="2" t="s">
        <v>451</v>
      </c>
      <c r="C80" s="2" t="s">
        <v>203</v>
      </c>
      <c r="D80" s="9" t="n">
        <v>2011</v>
      </c>
      <c r="E80" s="2" t="s">
        <v>310</v>
      </c>
      <c r="F80" s="2" t="s">
        <v>311</v>
      </c>
      <c r="G80" s="2" t="s">
        <v>452</v>
      </c>
      <c r="H80" s="2" t="s">
        <v>144</v>
      </c>
      <c r="I80" s="2" t="s">
        <v>145</v>
      </c>
      <c r="J80" s="2" t="s">
        <v>146</v>
      </c>
      <c r="K80" s="10" t="b">
        <f aca="false">FALSE()</f>
        <v>0</v>
      </c>
      <c r="L80" s="10" t="b">
        <f aca="false">FALSE()</f>
        <v>0</v>
      </c>
      <c r="M80" s="2" t="s">
        <v>316</v>
      </c>
      <c r="N80" s="2" t="s">
        <v>317</v>
      </c>
      <c r="O80" s="2" t="s">
        <v>453</v>
      </c>
      <c r="P80" s="2" t="n">
        <v>15</v>
      </c>
      <c r="Q80" s="11" t="s">
        <v>319</v>
      </c>
      <c r="R80" s="11" t="s">
        <v>320</v>
      </c>
      <c r="S80" s="11" t="s">
        <v>321</v>
      </c>
      <c r="T80" s="2" t="s">
        <v>298</v>
      </c>
      <c r="U80" s="2" t="s">
        <v>153</v>
      </c>
      <c r="V80" s="2" t="s">
        <v>454</v>
      </c>
      <c r="W80" s="11" t="s">
        <v>455</v>
      </c>
      <c r="X80" s="11" t="s">
        <v>1296</v>
      </c>
      <c r="Y80" s="2"/>
      <c r="Z80" s="2"/>
      <c r="AA80" s="2"/>
      <c r="AB80" s="2"/>
      <c r="AC80" s="2" t="s">
        <v>131</v>
      </c>
      <c r="AD80" s="2" t="s">
        <v>132</v>
      </c>
      <c r="AE80" s="10" t="b">
        <f aca="false">FALSE()</f>
        <v>0</v>
      </c>
      <c r="AF80" s="2" t="s">
        <v>133</v>
      </c>
      <c r="AG80" s="2" t="s">
        <v>134</v>
      </c>
      <c r="AH80" s="2" t="s">
        <v>325</v>
      </c>
      <c r="AI80" s="11" t="s">
        <v>326</v>
      </c>
      <c r="AJ80" s="2" t="s">
        <v>1142</v>
      </c>
      <c r="AK80" s="2" t="s">
        <v>1142</v>
      </c>
      <c r="AL80" s="2" t="s">
        <v>1157</v>
      </c>
    </row>
    <row r="81" customFormat="false" ht="90" hidden="false" customHeight="true" outlineLevel="0" collapsed="false">
      <c r="A81" s="2" t="s">
        <v>473</v>
      </c>
      <c r="B81" s="2" t="s">
        <v>451</v>
      </c>
      <c r="C81" s="2" t="s">
        <v>474</v>
      </c>
      <c r="D81" s="9" t="n">
        <v>1911</v>
      </c>
      <c r="E81" s="2" t="s">
        <v>475</v>
      </c>
      <c r="F81" s="2" t="s">
        <v>476</v>
      </c>
      <c r="G81" s="2" t="s">
        <v>477</v>
      </c>
      <c r="H81" s="2" t="s">
        <v>144</v>
      </c>
      <c r="I81" s="2" t="s">
        <v>478</v>
      </c>
      <c r="J81" s="2" t="s">
        <v>121</v>
      </c>
      <c r="K81" s="10" t="b">
        <f aca="false">FALSE()</f>
        <v>0</v>
      </c>
      <c r="L81" s="10" t="b">
        <f aca="false">FALSE()</f>
        <v>0</v>
      </c>
      <c r="M81" s="2" t="s">
        <v>479</v>
      </c>
      <c r="N81" s="2" t="s">
        <v>480</v>
      </c>
      <c r="O81" s="11" t="s">
        <v>481</v>
      </c>
      <c r="P81" s="2" t="n">
        <v>14</v>
      </c>
      <c r="Q81" s="11" t="s">
        <v>482</v>
      </c>
      <c r="R81" s="2" t="s">
        <v>483</v>
      </c>
      <c r="S81" s="2" t="s">
        <v>484</v>
      </c>
      <c r="T81" s="2" t="s">
        <v>485</v>
      </c>
      <c r="U81" s="2" t="s">
        <v>486</v>
      </c>
      <c r="V81" s="2"/>
      <c r="W81" s="2"/>
      <c r="X81" s="11" t="s">
        <v>487</v>
      </c>
      <c r="Y81" s="2"/>
      <c r="Z81" s="2"/>
      <c r="AA81" s="2"/>
      <c r="AB81" s="2"/>
      <c r="AC81" s="2" t="s">
        <v>131</v>
      </c>
      <c r="AD81" s="2" t="s">
        <v>132</v>
      </c>
      <c r="AE81" s="10" t="b">
        <f aca="false">FALSE()</f>
        <v>0</v>
      </c>
      <c r="AF81" s="2" t="s">
        <v>133</v>
      </c>
      <c r="AG81" s="2" t="s">
        <v>134</v>
      </c>
      <c r="AH81" s="2" t="s">
        <v>135</v>
      </c>
      <c r="AI81" s="11" t="s">
        <v>488</v>
      </c>
      <c r="AJ81" s="2" t="s">
        <v>1277</v>
      </c>
      <c r="AK81" s="2"/>
      <c r="AL81" s="2"/>
    </row>
    <row r="82" customFormat="false" ht="90" hidden="false" customHeight="true" outlineLevel="0" collapsed="false">
      <c r="A82" s="2" t="s">
        <v>1160</v>
      </c>
      <c r="B82" s="2" t="s">
        <v>451</v>
      </c>
      <c r="C82" s="2" t="s">
        <v>474</v>
      </c>
      <c r="D82" s="9" t="n">
        <v>1884</v>
      </c>
      <c r="E82" s="2" t="s">
        <v>475</v>
      </c>
      <c r="F82" s="2" t="s">
        <v>476</v>
      </c>
      <c r="G82" s="2" t="s">
        <v>477</v>
      </c>
      <c r="H82" s="2" t="s">
        <v>144</v>
      </c>
      <c r="I82" s="2" t="s">
        <v>478</v>
      </c>
      <c r="J82" s="2" t="s">
        <v>121</v>
      </c>
      <c r="K82" s="10" t="b">
        <f aca="false">FALSE()</f>
        <v>0</v>
      </c>
      <c r="L82" s="10" t="b">
        <f aca="false">FALSE()</f>
        <v>0</v>
      </c>
      <c r="M82" s="2" t="s">
        <v>479</v>
      </c>
      <c r="N82" s="2" t="s">
        <v>480</v>
      </c>
      <c r="O82" s="11" t="s">
        <v>481</v>
      </c>
      <c r="P82" s="2" t="n">
        <v>14</v>
      </c>
      <c r="Q82" s="11" t="s">
        <v>482</v>
      </c>
      <c r="R82" s="2" t="s">
        <v>483</v>
      </c>
      <c r="S82" s="2" t="s">
        <v>484</v>
      </c>
      <c r="T82" s="2" t="s">
        <v>223</v>
      </c>
      <c r="U82" s="2" t="s">
        <v>486</v>
      </c>
      <c r="V82" s="2"/>
      <c r="W82" s="2"/>
      <c r="X82" s="11" t="s">
        <v>1297</v>
      </c>
      <c r="Y82" s="2"/>
      <c r="Z82" s="2"/>
      <c r="AA82" s="2"/>
      <c r="AB82" s="2"/>
      <c r="AC82" s="2" t="s">
        <v>131</v>
      </c>
      <c r="AD82" s="2" t="s">
        <v>132</v>
      </c>
      <c r="AE82" s="10" t="b">
        <f aca="false">FALSE()</f>
        <v>0</v>
      </c>
      <c r="AF82" s="2" t="s">
        <v>133</v>
      </c>
      <c r="AG82" s="2" t="s">
        <v>134</v>
      </c>
      <c r="AH82" s="2" t="s">
        <v>135</v>
      </c>
      <c r="AI82" s="11" t="s">
        <v>488</v>
      </c>
      <c r="AJ82" s="2" t="s">
        <v>1142</v>
      </c>
      <c r="AK82" s="2" t="s">
        <v>1142</v>
      </c>
      <c r="AL82" s="2" t="s">
        <v>1161</v>
      </c>
    </row>
    <row r="83" customFormat="false" ht="90" hidden="false" customHeight="true" outlineLevel="0" collapsed="false">
      <c r="A83" s="2" t="s">
        <v>1162</v>
      </c>
      <c r="B83" s="2" t="s">
        <v>451</v>
      </c>
      <c r="C83" s="2" t="s">
        <v>474</v>
      </c>
      <c r="D83" s="9" t="n">
        <v>1817</v>
      </c>
      <c r="E83" s="2" t="s">
        <v>491</v>
      </c>
      <c r="F83" s="2" t="s">
        <v>492</v>
      </c>
      <c r="G83" s="2" t="s">
        <v>493</v>
      </c>
      <c r="H83" s="2" t="s">
        <v>368</v>
      </c>
      <c r="I83" s="2" t="s">
        <v>145</v>
      </c>
      <c r="J83" s="2" t="s">
        <v>369</v>
      </c>
      <c r="K83" s="10" t="b">
        <f aca="false">FALSE()</f>
        <v>0</v>
      </c>
      <c r="L83" s="10" t="b">
        <f aca="false">TRUE()</f>
        <v>1</v>
      </c>
      <c r="M83" s="2" t="s">
        <v>494</v>
      </c>
      <c r="N83" s="2" t="s">
        <v>371</v>
      </c>
      <c r="O83" s="2" t="s">
        <v>495</v>
      </c>
      <c r="P83" s="2" t="n">
        <v>30</v>
      </c>
      <c r="Q83" s="2" t="s">
        <v>496</v>
      </c>
      <c r="R83" s="11" t="s">
        <v>497</v>
      </c>
      <c r="S83" s="11" t="s">
        <v>498</v>
      </c>
      <c r="T83" s="2" t="s">
        <v>223</v>
      </c>
      <c r="U83" s="2" t="s">
        <v>153</v>
      </c>
      <c r="V83" s="2" t="s">
        <v>499</v>
      </c>
      <c r="W83" s="11" t="s">
        <v>500</v>
      </c>
      <c r="X83" s="2"/>
      <c r="Y83" s="2"/>
      <c r="Z83" s="2"/>
      <c r="AA83" s="2"/>
      <c r="AB83" s="2" t="s">
        <v>501</v>
      </c>
      <c r="AC83" s="2" t="s">
        <v>131</v>
      </c>
      <c r="AD83" s="2" t="s">
        <v>354</v>
      </c>
      <c r="AE83" s="10" t="b">
        <f aca="false">TRUE()</f>
        <v>1</v>
      </c>
      <c r="AF83" s="2" t="s">
        <v>133</v>
      </c>
      <c r="AG83" s="2" t="s">
        <v>158</v>
      </c>
      <c r="AH83" s="2" t="s">
        <v>135</v>
      </c>
      <c r="AI83" s="11" t="s">
        <v>502</v>
      </c>
      <c r="AJ83" s="2" t="s">
        <v>1142</v>
      </c>
      <c r="AK83" s="2" t="s">
        <v>1142</v>
      </c>
      <c r="AL83" s="2" t="s">
        <v>1163</v>
      </c>
    </row>
    <row r="84" customFormat="false" ht="90" hidden="false" customHeight="true" outlineLevel="0" collapsed="false">
      <c r="A84" s="2" t="s">
        <v>490</v>
      </c>
      <c r="B84" s="2" t="s">
        <v>451</v>
      </c>
      <c r="C84" s="2" t="s">
        <v>474</v>
      </c>
      <c r="D84" s="9" t="n">
        <v>1812</v>
      </c>
      <c r="E84" s="2" t="s">
        <v>491</v>
      </c>
      <c r="F84" s="2" t="s">
        <v>492</v>
      </c>
      <c r="G84" s="2" t="s">
        <v>493</v>
      </c>
      <c r="H84" s="2" t="s">
        <v>368</v>
      </c>
      <c r="I84" s="2" t="s">
        <v>145</v>
      </c>
      <c r="J84" s="2" t="s">
        <v>369</v>
      </c>
      <c r="K84" s="10" t="b">
        <f aca="false">FALSE()</f>
        <v>0</v>
      </c>
      <c r="L84" s="10" t="b">
        <f aca="false">TRUE()</f>
        <v>1</v>
      </c>
      <c r="M84" s="2" t="s">
        <v>494</v>
      </c>
      <c r="N84" s="2" t="s">
        <v>371</v>
      </c>
      <c r="O84" s="2" t="s">
        <v>495</v>
      </c>
      <c r="P84" s="2" t="n">
        <v>30</v>
      </c>
      <c r="Q84" s="2" t="s">
        <v>496</v>
      </c>
      <c r="R84" s="11" t="s">
        <v>497</v>
      </c>
      <c r="S84" s="11" t="s">
        <v>498</v>
      </c>
      <c r="T84" s="2" t="s">
        <v>406</v>
      </c>
      <c r="U84" s="2" t="s">
        <v>153</v>
      </c>
      <c r="V84" s="2" t="s">
        <v>499</v>
      </c>
      <c r="W84" s="11" t="s">
        <v>500</v>
      </c>
      <c r="X84" s="2"/>
      <c r="Y84" s="2"/>
      <c r="Z84" s="2"/>
      <c r="AA84" s="2"/>
      <c r="AB84" s="2" t="s">
        <v>501</v>
      </c>
      <c r="AC84" s="2" t="s">
        <v>131</v>
      </c>
      <c r="AD84" s="2" t="s">
        <v>354</v>
      </c>
      <c r="AE84" s="10" t="b">
        <f aca="false">TRUE()</f>
        <v>1</v>
      </c>
      <c r="AF84" s="2" t="s">
        <v>133</v>
      </c>
      <c r="AG84" s="2" t="s">
        <v>158</v>
      </c>
      <c r="AH84" s="2" t="s">
        <v>135</v>
      </c>
      <c r="AI84" s="11" t="s">
        <v>502</v>
      </c>
      <c r="AJ84" s="2" t="s">
        <v>1277</v>
      </c>
      <c r="AK84" s="2"/>
      <c r="AL84" s="2"/>
    </row>
    <row r="85" customFormat="false" ht="90" hidden="false" customHeight="true" outlineLevel="0" collapsed="false">
      <c r="A85" s="2" t="s">
        <v>504</v>
      </c>
      <c r="B85" s="2" t="s">
        <v>451</v>
      </c>
      <c r="C85" s="2" t="s">
        <v>474</v>
      </c>
      <c r="D85" s="9" t="n">
        <v>1759</v>
      </c>
      <c r="E85" s="2" t="s">
        <v>475</v>
      </c>
      <c r="F85" s="2" t="s">
        <v>476</v>
      </c>
      <c r="G85" s="2" t="s">
        <v>477</v>
      </c>
      <c r="H85" s="2" t="s">
        <v>144</v>
      </c>
      <c r="I85" s="2" t="s">
        <v>478</v>
      </c>
      <c r="J85" s="2" t="s">
        <v>121</v>
      </c>
      <c r="K85" s="10" t="b">
        <f aca="false">FALSE()</f>
        <v>0</v>
      </c>
      <c r="L85" s="10" t="b">
        <f aca="false">FALSE()</f>
        <v>0</v>
      </c>
      <c r="M85" s="2" t="s">
        <v>479</v>
      </c>
      <c r="N85" s="2" t="s">
        <v>480</v>
      </c>
      <c r="O85" s="11" t="s">
        <v>481</v>
      </c>
      <c r="P85" s="2" t="n">
        <v>14</v>
      </c>
      <c r="Q85" s="11" t="s">
        <v>482</v>
      </c>
      <c r="R85" s="2" t="s">
        <v>483</v>
      </c>
      <c r="S85" s="2" t="s">
        <v>484</v>
      </c>
      <c r="T85" s="2"/>
      <c r="U85" s="2" t="s">
        <v>486</v>
      </c>
      <c r="V85" s="2"/>
      <c r="W85" s="2"/>
      <c r="X85" s="11" t="s">
        <v>505</v>
      </c>
      <c r="Y85" s="2"/>
      <c r="Z85" s="2"/>
      <c r="AA85" s="2"/>
      <c r="AB85" s="2"/>
      <c r="AC85" s="2" t="s">
        <v>131</v>
      </c>
      <c r="AD85" s="2" t="s">
        <v>132</v>
      </c>
      <c r="AE85" s="10" t="b">
        <f aca="false">FALSE()</f>
        <v>0</v>
      </c>
      <c r="AF85" s="2" t="s">
        <v>133</v>
      </c>
      <c r="AG85" s="2" t="s">
        <v>134</v>
      </c>
      <c r="AH85" s="2" t="s">
        <v>135</v>
      </c>
      <c r="AI85" s="11" t="s">
        <v>488</v>
      </c>
      <c r="AJ85" s="2" t="s">
        <v>1277</v>
      </c>
      <c r="AK85" s="2"/>
      <c r="AL85" s="2"/>
    </row>
    <row r="86" customFormat="false" ht="90" hidden="false" customHeight="true" outlineLevel="0" collapsed="false">
      <c r="A86" s="2" t="s">
        <v>507</v>
      </c>
      <c r="B86" s="2" t="s">
        <v>451</v>
      </c>
      <c r="C86" s="2" t="s">
        <v>474</v>
      </c>
      <c r="D86" s="9" t="n">
        <v>1706</v>
      </c>
      <c r="E86" s="2" t="s">
        <v>491</v>
      </c>
      <c r="F86" s="2" t="s">
        <v>366</v>
      </c>
      <c r="G86" s="2" t="s">
        <v>508</v>
      </c>
      <c r="H86" s="2" t="s">
        <v>368</v>
      </c>
      <c r="I86" s="2" t="s">
        <v>145</v>
      </c>
      <c r="J86" s="2" t="s">
        <v>369</v>
      </c>
      <c r="K86" s="10" t="b">
        <f aca="false">FALSE()</f>
        <v>0</v>
      </c>
      <c r="L86" s="10" t="b">
        <f aca="false">TRUE()</f>
        <v>1</v>
      </c>
      <c r="M86" s="2" t="s">
        <v>370</v>
      </c>
      <c r="N86" s="2" t="s">
        <v>371</v>
      </c>
      <c r="O86" s="2" t="s">
        <v>372</v>
      </c>
      <c r="P86" s="2" t="n">
        <v>30</v>
      </c>
      <c r="Q86" s="11" t="s">
        <v>373</v>
      </c>
      <c r="R86" s="11" t="s">
        <v>374</v>
      </c>
      <c r="S86" s="2" t="s">
        <v>375</v>
      </c>
      <c r="T86" s="2"/>
      <c r="U86" s="2" t="s">
        <v>153</v>
      </c>
      <c r="V86" s="2" t="s">
        <v>376</v>
      </c>
      <c r="W86" s="11" t="s">
        <v>377</v>
      </c>
      <c r="X86" s="2"/>
      <c r="Y86" s="2"/>
      <c r="Z86" s="2"/>
      <c r="AA86" s="2"/>
      <c r="AB86" s="2"/>
      <c r="AC86" s="2" t="s">
        <v>131</v>
      </c>
      <c r="AD86" s="2" t="s">
        <v>132</v>
      </c>
      <c r="AE86" s="10" t="b">
        <f aca="false">TRUE()</f>
        <v>1</v>
      </c>
      <c r="AF86" s="2" t="s">
        <v>133</v>
      </c>
      <c r="AG86" s="2" t="s">
        <v>134</v>
      </c>
      <c r="AH86" s="2" t="s">
        <v>135</v>
      </c>
      <c r="AI86" s="11" t="s">
        <v>378</v>
      </c>
      <c r="AJ86" s="2" t="s">
        <v>1277</v>
      </c>
      <c r="AK86" s="2"/>
      <c r="AL86" s="2"/>
    </row>
    <row r="87" customFormat="false" ht="90" hidden="false" customHeight="true" outlineLevel="0" collapsed="false">
      <c r="A87" s="2" t="s">
        <v>510</v>
      </c>
      <c r="B87" s="2" t="s">
        <v>451</v>
      </c>
      <c r="C87" s="2" t="s">
        <v>474</v>
      </c>
      <c r="D87" s="9" t="n">
        <v>1614</v>
      </c>
      <c r="E87" s="2" t="s">
        <v>475</v>
      </c>
      <c r="F87" s="2" t="s">
        <v>476</v>
      </c>
      <c r="G87" s="2" t="s">
        <v>477</v>
      </c>
      <c r="H87" s="2" t="s">
        <v>144</v>
      </c>
      <c r="I87" s="2" t="s">
        <v>478</v>
      </c>
      <c r="J87" s="2" t="s">
        <v>121</v>
      </c>
      <c r="K87" s="10" t="b">
        <f aca="false">FALSE()</f>
        <v>0</v>
      </c>
      <c r="L87" s="10" t="b">
        <f aca="false">FALSE()</f>
        <v>0</v>
      </c>
      <c r="M87" s="2" t="s">
        <v>479</v>
      </c>
      <c r="N87" s="2" t="s">
        <v>480</v>
      </c>
      <c r="O87" s="11" t="s">
        <v>481</v>
      </c>
      <c r="P87" s="2" t="n">
        <v>14</v>
      </c>
      <c r="Q87" s="11" t="s">
        <v>482</v>
      </c>
      <c r="R87" s="2" t="s">
        <v>483</v>
      </c>
      <c r="S87" s="2" t="s">
        <v>484</v>
      </c>
      <c r="T87" s="2" t="s">
        <v>163</v>
      </c>
      <c r="U87" s="2" t="s">
        <v>486</v>
      </c>
      <c r="V87" s="2"/>
      <c r="W87" s="2"/>
      <c r="X87" s="11" t="s">
        <v>511</v>
      </c>
      <c r="Y87" s="2"/>
      <c r="Z87" s="2"/>
      <c r="AA87" s="2"/>
      <c r="AB87" s="2"/>
      <c r="AC87" s="2" t="s">
        <v>131</v>
      </c>
      <c r="AD87" s="2" t="s">
        <v>132</v>
      </c>
      <c r="AE87" s="10" t="b">
        <f aca="false">FALSE()</f>
        <v>0</v>
      </c>
      <c r="AF87" s="2" t="s">
        <v>133</v>
      </c>
      <c r="AG87" s="2" t="s">
        <v>134</v>
      </c>
      <c r="AH87" s="2" t="s">
        <v>135</v>
      </c>
      <c r="AI87" s="11" t="s">
        <v>488</v>
      </c>
      <c r="AJ87" s="2" t="s">
        <v>1277</v>
      </c>
      <c r="AK87" s="2"/>
      <c r="AL87" s="2"/>
    </row>
    <row r="88" customFormat="false" ht="90" hidden="false" customHeight="true" outlineLevel="0" collapsed="false">
      <c r="A88" s="2" t="s">
        <v>513</v>
      </c>
      <c r="B88" s="2" t="s">
        <v>451</v>
      </c>
      <c r="C88" s="2" t="s">
        <v>474</v>
      </c>
      <c r="D88" s="9" t="n">
        <v>1448</v>
      </c>
      <c r="E88" s="2" t="s">
        <v>475</v>
      </c>
      <c r="F88" s="2" t="s">
        <v>476</v>
      </c>
      <c r="G88" s="2" t="s">
        <v>477</v>
      </c>
      <c r="H88" s="2" t="s">
        <v>144</v>
      </c>
      <c r="I88" s="2" t="s">
        <v>478</v>
      </c>
      <c r="J88" s="2" t="s">
        <v>121</v>
      </c>
      <c r="K88" s="10" t="b">
        <f aca="false">FALSE()</f>
        <v>0</v>
      </c>
      <c r="L88" s="10" t="b">
        <f aca="false">FALSE()</f>
        <v>0</v>
      </c>
      <c r="M88" s="2" t="s">
        <v>479</v>
      </c>
      <c r="N88" s="2" t="s">
        <v>480</v>
      </c>
      <c r="O88" s="11" t="s">
        <v>481</v>
      </c>
      <c r="P88" s="2" t="n">
        <v>14</v>
      </c>
      <c r="Q88" s="11" t="s">
        <v>482</v>
      </c>
      <c r="R88" s="2" t="s">
        <v>483</v>
      </c>
      <c r="S88" s="2" t="s">
        <v>484</v>
      </c>
      <c r="T88" s="11" t="s">
        <v>514</v>
      </c>
      <c r="U88" s="2" t="s">
        <v>486</v>
      </c>
      <c r="V88" s="2"/>
      <c r="W88" s="2"/>
      <c r="X88" s="11" t="s">
        <v>515</v>
      </c>
      <c r="Y88" s="2"/>
      <c r="Z88" s="2"/>
      <c r="AA88" s="2"/>
      <c r="AB88" s="2"/>
      <c r="AC88" s="2" t="s">
        <v>131</v>
      </c>
      <c r="AD88" s="2" t="s">
        <v>354</v>
      </c>
      <c r="AE88" s="10" t="b">
        <f aca="false">FALSE()</f>
        <v>0</v>
      </c>
      <c r="AF88" s="2" t="s">
        <v>133</v>
      </c>
      <c r="AG88" s="2" t="s">
        <v>158</v>
      </c>
      <c r="AH88" s="2" t="s">
        <v>135</v>
      </c>
      <c r="AI88" s="11" t="s">
        <v>488</v>
      </c>
      <c r="AJ88" s="2" t="s">
        <v>1277</v>
      </c>
      <c r="AK88" s="2"/>
      <c r="AL88" s="2"/>
    </row>
    <row r="89" customFormat="false" ht="90" hidden="false" customHeight="true" outlineLevel="0" collapsed="false">
      <c r="A89" s="2" t="s">
        <v>517</v>
      </c>
      <c r="B89" s="2" t="s">
        <v>451</v>
      </c>
      <c r="C89" s="2" t="s">
        <v>474</v>
      </c>
      <c r="D89" s="9" t="n">
        <v>1422</v>
      </c>
      <c r="E89" s="2" t="s">
        <v>475</v>
      </c>
      <c r="F89" s="2" t="s">
        <v>476</v>
      </c>
      <c r="G89" s="2" t="s">
        <v>477</v>
      </c>
      <c r="H89" s="2" t="s">
        <v>144</v>
      </c>
      <c r="I89" s="2" t="s">
        <v>478</v>
      </c>
      <c r="J89" s="2" t="s">
        <v>121</v>
      </c>
      <c r="K89" s="10" t="b">
        <f aca="false">FALSE()</f>
        <v>0</v>
      </c>
      <c r="L89" s="10" t="b">
        <f aca="false">FALSE()</f>
        <v>0</v>
      </c>
      <c r="M89" s="2" t="s">
        <v>479</v>
      </c>
      <c r="N89" s="2" t="s">
        <v>480</v>
      </c>
      <c r="O89" s="11" t="s">
        <v>481</v>
      </c>
      <c r="P89" s="2" t="n">
        <v>14</v>
      </c>
      <c r="Q89" s="11" t="s">
        <v>482</v>
      </c>
      <c r="R89" s="2" t="s">
        <v>483</v>
      </c>
      <c r="S89" s="2" t="s">
        <v>484</v>
      </c>
      <c r="T89" s="2" t="s">
        <v>223</v>
      </c>
      <c r="U89" s="2" t="s">
        <v>486</v>
      </c>
      <c r="V89" s="2"/>
      <c r="W89" s="2"/>
      <c r="X89" s="11" t="s">
        <v>518</v>
      </c>
      <c r="Y89" s="2"/>
      <c r="Z89" s="2"/>
      <c r="AA89" s="2"/>
      <c r="AB89" s="2"/>
      <c r="AC89" s="2" t="s">
        <v>131</v>
      </c>
      <c r="AD89" s="2" t="s">
        <v>132</v>
      </c>
      <c r="AE89" s="10" t="b">
        <f aca="false">FALSE()</f>
        <v>0</v>
      </c>
      <c r="AF89" s="2" t="s">
        <v>133</v>
      </c>
      <c r="AG89" s="2" t="s">
        <v>158</v>
      </c>
      <c r="AH89" s="2" t="s">
        <v>135</v>
      </c>
      <c r="AI89" s="11" t="s">
        <v>488</v>
      </c>
      <c r="AJ89" s="2" t="s">
        <v>1277</v>
      </c>
      <c r="AK89" s="2"/>
      <c r="AL89" s="2"/>
    </row>
    <row r="90" customFormat="false" ht="90" hidden="false" customHeight="true" outlineLevel="0" collapsed="false">
      <c r="A90" s="2" t="s">
        <v>520</v>
      </c>
      <c r="B90" s="2" t="s">
        <v>451</v>
      </c>
      <c r="C90" s="2" t="s">
        <v>474</v>
      </c>
      <c r="D90" s="9" t="n">
        <v>1401</v>
      </c>
      <c r="E90" s="2" t="s">
        <v>475</v>
      </c>
      <c r="F90" s="2" t="s">
        <v>476</v>
      </c>
      <c r="G90" s="2" t="s">
        <v>477</v>
      </c>
      <c r="H90" s="2" t="s">
        <v>144</v>
      </c>
      <c r="I90" s="2" t="s">
        <v>478</v>
      </c>
      <c r="J90" s="2" t="s">
        <v>121</v>
      </c>
      <c r="K90" s="10" t="b">
        <f aca="false">FALSE()</f>
        <v>0</v>
      </c>
      <c r="L90" s="10" t="b">
        <f aca="false">FALSE()</f>
        <v>0</v>
      </c>
      <c r="M90" s="2" t="s">
        <v>479</v>
      </c>
      <c r="N90" s="2" t="s">
        <v>480</v>
      </c>
      <c r="O90" s="11" t="s">
        <v>481</v>
      </c>
      <c r="P90" s="2" t="n">
        <v>14</v>
      </c>
      <c r="Q90" s="11" t="s">
        <v>482</v>
      </c>
      <c r="R90" s="2" t="s">
        <v>483</v>
      </c>
      <c r="S90" s="2" t="s">
        <v>484</v>
      </c>
      <c r="T90" s="2" t="s">
        <v>215</v>
      </c>
      <c r="U90" s="2" t="s">
        <v>486</v>
      </c>
      <c r="V90" s="2"/>
      <c r="W90" s="2"/>
      <c r="X90" s="11" t="s">
        <v>521</v>
      </c>
      <c r="Y90" s="2"/>
      <c r="Z90" s="2"/>
      <c r="AA90" s="2"/>
      <c r="AB90" s="2"/>
      <c r="AC90" s="2" t="s">
        <v>131</v>
      </c>
      <c r="AD90" s="2" t="s">
        <v>132</v>
      </c>
      <c r="AE90" s="10" t="b">
        <f aca="false">FALSE()</f>
        <v>0</v>
      </c>
      <c r="AF90" s="2" t="s">
        <v>133</v>
      </c>
      <c r="AG90" s="2" t="s">
        <v>134</v>
      </c>
      <c r="AH90" s="2" t="s">
        <v>135</v>
      </c>
      <c r="AI90" s="11" t="s">
        <v>488</v>
      </c>
      <c r="AJ90" s="2" t="s">
        <v>1277</v>
      </c>
      <c r="AK90" s="2"/>
      <c r="AL90" s="2"/>
    </row>
    <row r="91" customFormat="false" ht="90" hidden="false" customHeight="true" outlineLevel="0" collapsed="false">
      <c r="A91" s="2" t="s">
        <v>523</v>
      </c>
      <c r="B91" s="2" t="s">
        <v>451</v>
      </c>
      <c r="C91" s="2" t="s">
        <v>474</v>
      </c>
      <c r="D91" s="9" t="n">
        <v>1366</v>
      </c>
      <c r="E91" s="2" t="s">
        <v>491</v>
      </c>
      <c r="F91" s="2" t="s">
        <v>492</v>
      </c>
      <c r="G91" s="2" t="s">
        <v>524</v>
      </c>
      <c r="H91" s="2" t="s">
        <v>391</v>
      </c>
      <c r="I91" s="2" t="s">
        <v>392</v>
      </c>
      <c r="J91" s="2" t="s">
        <v>121</v>
      </c>
      <c r="K91" s="10" t="b">
        <f aca="false">FALSE()</f>
        <v>0</v>
      </c>
      <c r="L91" s="10" t="b">
        <f aca="false">FALSE()</f>
        <v>0</v>
      </c>
      <c r="M91" s="2" t="s">
        <v>494</v>
      </c>
      <c r="N91" s="2" t="s">
        <v>371</v>
      </c>
      <c r="O91" s="11" t="s">
        <v>525</v>
      </c>
      <c r="P91" s="2" t="n">
        <v>30</v>
      </c>
      <c r="Q91" s="2" t="s">
        <v>496</v>
      </c>
      <c r="R91" s="11" t="s">
        <v>497</v>
      </c>
      <c r="S91" s="11" t="s">
        <v>498</v>
      </c>
      <c r="T91" s="11" t="s">
        <v>526</v>
      </c>
      <c r="U91" s="2" t="s">
        <v>395</v>
      </c>
      <c r="V91" s="2"/>
      <c r="W91" s="2"/>
      <c r="X91" s="11" t="s">
        <v>527</v>
      </c>
      <c r="Y91" s="2"/>
      <c r="Z91" s="2"/>
      <c r="AA91" s="2"/>
      <c r="AB91" s="2" t="s">
        <v>528</v>
      </c>
      <c r="AC91" s="2" t="s">
        <v>187</v>
      </c>
      <c r="AD91" s="2" t="s">
        <v>132</v>
      </c>
      <c r="AE91" s="10" t="b">
        <f aca="false">FALSE()</f>
        <v>0</v>
      </c>
      <c r="AF91" s="2" t="s">
        <v>133</v>
      </c>
      <c r="AG91" s="2" t="s">
        <v>158</v>
      </c>
      <c r="AH91" s="2" t="s">
        <v>135</v>
      </c>
      <c r="AI91" s="11" t="s">
        <v>502</v>
      </c>
      <c r="AJ91" s="2" t="s">
        <v>1277</v>
      </c>
      <c r="AK91" s="2"/>
      <c r="AL91" s="2"/>
    </row>
    <row r="92" customFormat="false" ht="90" hidden="false" customHeight="true" outlineLevel="0" collapsed="false">
      <c r="A92" s="2" t="s">
        <v>530</v>
      </c>
      <c r="B92" s="2" t="s">
        <v>451</v>
      </c>
      <c r="C92" s="2" t="s">
        <v>474</v>
      </c>
      <c r="D92" s="9" t="n">
        <v>1342</v>
      </c>
      <c r="E92" s="2" t="s">
        <v>475</v>
      </c>
      <c r="F92" s="2" t="s">
        <v>476</v>
      </c>
      <c r="G92" s="2" t="s">
        <v>477</v>
      </c>
      <c r="H92" s="2" t="s">
        <v>144</v>
      </c>
      <c r="I92" s="2" t="s">
        <v>478</v>
      </c>
      <c r="J92" s="2" t="s">
        <v>121</v>
      </c>
      <c r="K92" s="10" t="b">
        <f aca="false">FALSE()</f>
        <v>0</v>
      </c>
      <c r="L92" s="10" t="b">
        <f aca="false">FALSE()</f>
        <v>0</v>
      </c>
      <c r="M92" s="2" t="s">
        <v>479</v>
      </c>
      <c r="N92" s="2" t="s">
        <v>480</v>
      </c>
      <c r="O92" s="11" t="s">
        <v>481</v>
      </c>
      <c r="P92" s="2" t="n">
        <v>14</v>
      </c>
      <c r="Q92" s="11" t="s">
        <v>482</v>
      </c>
      <c r="R92" s="2" t="s">
        <v>483</v>
      </c>
      <c r="S92" s="2" t="s">
        <v>484</v>
      </c>
      <c r="T92" s="2"/>
      <c r="U92" s="2" t="s">
        <v>486</v>
      </c>
      <c r="V92" s="2"/>
      <c r="W92" s="2"/>
      <c r="X92" s="11" t="s">
        <v>531</v>
      </c>
      <c r="Y92" s="2"/>
      <c r="Z92" s="2"/>
      <c r="AA92" s="2"/>
      <c r="AB92" s="2"/>
      <c r="AC92" s="2" t="s">
        <v>131</v>
      </c>
      <c r="AD92" s="2" t="s">
        <v>354</v>
      </c>
      <c r="AE92" s="10" t="b">
        <f aca="false">FALSE()</f>
        <v>0</v>
      </c>
      <c r="AF92" s="2" t="s">
        <v>133</v>
      </c>
      <c r="AG92" s="2" t="s">
        <v>158</v>
      </c>
      <c r="AH92" s="2" t="s">
        <v>135</v>
      </c>
      <c r="AI92" s="11" t="s">
        <v>488</v>
      </c>
      <c r="AJ92" s="2" t="s">
        <v>1277</v>
      </c>
      <c r="AK92" s="2"/>
      <c r="AL92" s="2"/>
    </row>
    <row r="93" customFormat="false" ht="90" hidden="false" customHeight="true" outlineLevel="0" collapsed="false">
      <c r="A93" s="2" t="s">
        <v>1166</v>
      </c>
      <c r="B93" s="2" t="s">
        <v>451</v>
      </c>
      <c r="C93" s="2" t="s">
        <v>474</v>
      </c>
      <c r="D93" s="9" t="n">
        <v>1336</v>
      </c>
      <c r="E93" s="2" t="s">
        <v>475</v>
      </c>
      <c r="F93" s="2" t="s">
        <v>476</v>
      </c>
      <c r="G93" s="2" t="s">
        <v>477</v>
      </c>
      <c r="H93" s="2" t="s">
        <v>144</v>
      </c>
      <c r="I93" s="2" t="s">
        <v>478</v>
      </c>
      <c r="J93" s="2" t="s">
        <v>121</v>
      </c>
      <c r="K93" s="10" t="b">
        <f aca="false">FALSE()</f>
        <v>0</v>
      </c>
      <c r="L93" s="10" t="b">
        <f aca="false">FALSE()</f>
        <v>0</v>
      </c>
      <c r="M93" s="2" t="s">
        <v>479</v>
      </c>
      <c r="N93" s="2" t="s">
        <v>480</v>
      </c>
      <c r="O93" s="11" t="s">
        <v>481</v>
      </c>
      <c r="P93" s="2" t="n">
        <v>14</v>
      </c>
      <c r="Q93" s="11" t="s">
        <v>482</v>
      </c>
      <c r="R93" s="2" t="s">
        <v>483</v>
      </c>
      <c r="S93" s="2" t="s">
        <v>484</v>
      </c>
      <c r="T93" s="2" t="s">
        <v>1289</v>
      </c>
      <c r="U93" s="2" t="s">
        <v>486</v>
      </c>
      <c r="V93" s="2"/>
      <c r="W93" s="2"/>
      <c r="X93" s="11" t="s">
        <v>1298</v>
      </c>
      <c r="Y93" s="2"/>
      <c r="Z93" s="2"/>
      <c r="AA93" s="2"/>
      <c r="AB93" s="2"/>
      <c r="AC93" s="2" t="s">
        <v>131</v>
      </c>
      <c r="AD93" s="2" t="s">
        <v>132</v>
      </c>
      <c r="AE93" s="10" t="b">
        <f aca="false">FALSE()</f>
        <v>0</v>
      </c>
      <c r="AF93" s="2" t="s">
        <v>133</v>
      </c>
      <c r="AG93" s="2" t="s">
        <v>134</v>
      </c>
      <c r="AH93" s="2" t="s">
        <v>135</v>
      </c>
      <c r="AI93" s="11" t="s">
        <v>488</v>
      </c>
      <c r="AJ93" s="2" t="s">
        <v>1142</v>
      </c>
      <c r="AK93" s="2" t="s">
        <v>1142</v>
      </c>
      <c r="AL93" s="2" t="s">
        <v>1167</v>
      </c>
    </row>
    <row r="94" customFormat="false" ht="90" hidden="false" customHeight="true" outlineLevel="0" collapsed="false">
      <c r="A94" s="2" t="s">
        <v>533</v>
      </c>
      <c r="B94" s="2" t="s">
        <v>451</v>
      </c>
      <c r="C94" s="2" t="s">
        <v>474</v>
      </c>
      <c r="D94" s="9" t="n">
        <v>1217</v>
      </c>
      <c r="E94" s="2" t="s">
        <v>491</v>
      </c>
      <c r="F94" s="2" t="s">
        <v>366</v>
      </c>
      <c r="G94" s="2" t="s">
        <v>508</v>
      </c>
      <c r="H94" s="2" t="s">
        <v>368</v>
      </c>
      <c r="I94" s="2" t="s">
        <v>145</v>
      </c>
      <c r="J94" s="2" t="s">
        <v>369</v>
      </c>
      <c r="K94" s="10" t="b">
        <f aca="false">FALSE()</f>
        <v>0</v>
      </c>
      <c r="L94" s="10" t="b">
        <f aca="false">TRUE()</f>
        <v>1</v>
      </c>
      <c r="M94" s="2" t="s">
        <v>370</v>
      </c>
      <c r="N94" s="2" t="s">
        <v>371</v>
      </c>
      <c r="O94" s="2" t="s">
        <v>372</v>
      </c>
      <c r="P94" s="2" t="n">
        <v>30</v>
      </c>
      <c r="Q94" s="11" t="s">
        <v>373</v>
      </c>
      <c r="R94" s="11" t="s">
        <v>374</v>
      </c>
      <c r="S94" s="2" t="s">
        <v>375</v>
      </c>
      <c r="T94" s="2"/>
      <c r="U94" s="2" t="s">
        <v>153</v>
      </c>
      <c r="V94" s="2" t="s">
        <v>376</v>
      </c>
      <c r="W94" s="11" t="s">
        <v>534</v>
      </c>
      <c r="X94" s="2"/>
      <c r="Y94" s="2" t="s">
        <v>535</v>
      </c>
      <c r="Z94" s="2" t="s">
        <v>536</v>
      </c>
      <c r="AA94" s="11" t="s">
        <v>537</v>
      </c>
      <c r="AB94" s="2"/>
      <c r="AC94" s="2" t="s">
        <v>131</v>
      </c>
      <c r="AD94" s="2" t="s">
        <v>132</v>
      </c>
      <c r="AE94" s="10" t="b">
        <f aca="false">TRUE()</f>
        <v>1</v>
      </c>
      <c r="AF94" s="2" t="s">
        <v>133</v>
      </c>
      <c r="AG94" s="2" t="s">
        <v>134</v>
      </c>
      <c r="AH94" s="2" t="s">
        <v>135</v>
      </c>
      <c r="AI94" s="11" t="s">
        <v>378</v>
      </c>
      <c r="AJ94" s="2" t="s">
        <v>1277</v>
      </c>
      <c r="AK94" s="2"/>
      <c r="AL94" s="2"/>
    </row>
    <row r="95" customFormat="false" ht="90" hidden="false" customHeight="true" outlineLevel="0" collapsed="false">
      <c r="A95" s="2" t="s">
        <v>539</v>
      </c>
      <c r="B95" s="2" t="s">
        <v>451</v>
      </c>
      <c r="C95" s="2" t="s">
        <v>474</v>
      </c>
      <c r="D95" s="9" t="n">
        <v>1166</v>
      </c>
      <c r="E95" s="2" t="s">
        <v>491</v>
      </c>
      <c r="F95" s="2" t="s">
        <v>366</v>
      </c>
      <c r="G95" s="2" t="s">
        <v>508</v>
      </c>
      <c r="H95" s="2" t="s">
        <v>368</v>
      </c>
      <c r="I95" s="2" t="s">
        <v>145</v>
      </c>
      <c r="J95" s="2" t="s">
        <v>369</v>
      </c>
      <c r="K95" s="10" t="b">
        <f aca="false">FALSE()</f>
        <v>0</v>
      </c>
      <c r="L95" s="10" t="b">
        <f aca="false">TRUE()</f>
        <v>1</v>
      </c>
      <c r="M95" s="2" t="s">
        <v>370</v>
      </c>
      <c r="N95" s="2" t="s">
        <v>371</v>
      </c>
      <c r="O95" s="2" t="s">
        <v>372</v>
      </c>
      <c r="P95" s="2" t="n">
        <v>30</v>
      </c>
      <c r="Q95" s="11" t="s">
        <v>373</v>
      </c>
      <c r="R95" s="11" t="s">
        <v>374</v>
      </c>
      <c r="S95" s="2" t="s">
        <v>375</v>
      </c>
      <c r="T95" s="2"/>
      <c r="U95" s="2" t="s">
        <v>153</v>
      </c>
      <c r="V95" s="2" t="s">
        <v>376</v>
      </c>
      <c r="W95" s="11" t="s">
        <v>534</v>
      </c>
      <c r="X95" s="2"/>
      <c r="Y95" s="2" t="s">
        <v>535</v>
      </c>
      <c r="Z95" s="2" t="s">
        <v>536</v>
      </c>
      <c r="AA95" s="11" t="s">
        <v>537</v>
      </c>
      <c r="AB95" s="2"/>
      <c r="AC95" s="2" t="s">
        <v>131</v>
      </c>
      <c r="AD95" s="2" t="s">
        <v>132</v>
      </c>
      <c r="AE95" s="10" t="b">
        <f aca="false">TRUE()</f>
        <v>1</v>
      </c>
      <c r="AF95" s="2" t="s">
        <v>133</v>
      </c>
      <c r="AG95" s="2" t="s">
        <v>158</v>
      </c>
      <c r="AH95" s="2" t="s">
        <v>135</v>
      </c>
      <c r="AI95" s="11" t="s">
        <v>378</v>
      </c>
      <c r="AJ95" s="2" t="s">
        <v>1277</v>
      </c>
      <c r="AK95" s="2"/>
      <c r="AL95" s="2"/>
    </row>
    <row r="96" customFormat="false" ht="90" hidden="false" customHeight="true" outlineLevel="0" collapsed="false">
      <c r="A96" s="2" t="s">
        <v>541</v>
      </c>
      <c r="B96" s="2" t="s">
        <v>451</v>
      </c>
      <c r="C96" s="2" t="s">
        <v>474</v>
      </c>
      <c r="D96" s="9" t="n">
        <v>1166</v>
      </c>
      <c r="E96" s="2" t="s">
        <v>491</v>
      </c>
      <c r="F96" s="2" t="s">
        <v>542</v>
      </c>
      <c r="G96" s="2" t="s">
        <v>543</v>
      </c>
      <c r="H96" s="2" t="s">
        <v>368</v>
      </c>
      <c r="I96" s="2" t="s">
        <v>145</v>
      </c>
      <c r="J96" s="2" t="s">
        <v>369</v>
      </c>
      <c r="K96" s="10" t="b">
        <f aca="false">FALSE()</f>
        <v>0</v>
      </c>
      <c r="L96" s="10" t="b">
        <f aca="false">FALSE()</f>
        <v>0</v>
      </c>
      <c r="M96" s="2" t="s">
        <v>544</v>
      </c>
      <c r="N96" s="2" t="s">
        <v>371</v>
      </c>
      <c r="O96" s="2" t="s">
        <v>545</v>
      </c>
      <c r="P96" s="2" t="n">
        <v>14</v>
      </c>
      <c r="Q96" s="11" t="s">
        <v>546</v>
      </c>
      <c r="R96" s="11" t="s">
        <v>547</v>
      </c>
      <c r="S96" s="11" t="s">
        <v>548</v>
      </c>
      <c r="T96" s="2"/>
      <c r="U96" s="2" t="s">
        <v>153</v>
      </c>
      <c r="V96" s="2" t="s">
        <v>549</v>
      </c>
      <c r="W96" s="11" t="s">
        <v>550</v>
      </c>
      <c r="X96" s="2"/>
      <c r="Y96" s="2"/>
      <c r="Z96" s="2"/>
      <c r="AA96" s="2"/>
      <c r="AB96" s="2"/>
      <c r="AC96" s="2" t="s">
        <v>131</v>
      </c>
      <c r="AD96" s="2" t="s">
        <v>440</v>
      </c>
      <c r="AE96" s="10" t="b">
        <f aca="false">TRUE()</f>
        <v>1</v>
      </c>
      <c r="AF96" s="2" t="s">
        <v>133</v>
      </c>
      <c r="AG96" s="2" t="s">
        <v>134</v>
      </c>
      <c r="AH96" s="2" t="s">
        <v>135</v>
      </c>
      <c r="AI96" s="11" t="s">
        <v>551</v>
      </c>
      <c r="AJ96" s="2" t="s">
        <v>1277</v>
      </c>
      <c r="AK96" s="2"/>
      <c r="AL96" s="2"/>
    </row>
    <row r="97" customFormat="false" ht="90" hidden="false" customHeight="true" outlineLevel="0" collapsed="false">
      <c r="A97" s="2" t="s">
        <v>553</v>
      </c>
      <c r="B97" s="2" t="s">
        <v>451</v>
      </c>
      <c r="C97" s="2" t="s">
        <v>474</v>
      </c>
      <c r="D97" s="9" t="n">
        <v>1153</v>
      </c>
      <c r="E97" s="2" t="s">
        <v>491</v>
      </c>
      <c r="F97" s="2" t="s">
        <v>492</v>
      </c>
      <c r="G97" s="2" t="s">
        <v>493</v>
      </c>
      <c r="H97" s="2" t="s">
        <v>368</v>
      </c>
      <c r="I97" s="2" t="s">
        <v>145</v>
      </c>
      <c r="J97" s="2" t="s">
        <v>369</v>
      </c>
      <c r="K97" s="10" t="b">
        <f aca="false">FALSE()</f>
        <v>0</v>
      </c>
      <c r="L97" s="10" t="b">
        <f aca="false">TRUE()</f>
        <v>1</v>
      </c>
      <c r="M97" s="2" t="s">
        <v>494</v>
      </c>
      <c r="N97" s="2" t="s">
        <v>371</v>
      </c>
      <c r="O97" s="2" t="s">
        <v>495</v>
      </c>
      <c r="P97" s="2" t="n">
        <v>30</v>
      </c>
      <c r="Q97" s="2" t="s">
        <v>496</v>
      </c>
      <c r="R97" s="11" t="s">
        <v>497</v>
      </c>
      <c r="S97" s="11" t="s">
        <v>498</v>
      </c>
      <c r="T97" s="2" t="s">
        <v>215</v>
      </c>
      <c r="U97" s="2" t="s">
        <v>153</v>
      </c>
      <c r="V97" s="2" t="s">
        <v>499</v>
      </c>
      <c r="W97" s="11" t="s">
        <v>554</v>
      </c>
      <c r="X97" s="2"/>
      <c r="Y97" s="2"/>
      <c r="Z97" s="2"/>
      <c r="AA97" s="2"/>
      <c r="AB97" s="2" t="s">
        <v>501</v>
      </c>
      <c r="AC97" s="2" t="s">
        <v>131</v>
      </c>
      <c r="AD97" s="2" t="s">
        <v>132</v>
      </c>
      <c r="AE97" s="10" t="b">
        <f aca="false">TRUE()</f>
        <v>1</v>
      </c>
      <c r="AF97" s="2" t="s">
        <v>133</v>
      </c>
      <c r="AG97" s="2" t="s">
        <v>158</v>
      </c>
      <c r="AH97" s="2" t="s">
        <v>135</v>
      </c>
      <c r="AI97" s="11" t="s">
        <v>502</v>
      </c>
      <c r="AJ97" s="2" t="s">
        <v>1277</v>
      </c>
      <c r="AK97" s="2"/>
      <c r="AL97" s="2"/>
    </row>
    <row r="98" customFormat="false" ht="90" hidden="false" customHeight="true" outlineLevel="0" collapsed="false">
      <c r="A98" s="2" t="s">
        <v>556</v>
      </c>
      <c r="B98" s="2" t="s">
        <v>451</v>
      </c>
      <c r="C98" s="2" t="s">
        <v>474</v>
      </c>
      <c r="D98" s="9" t="n">
        <v>718</v>
      </c>
      <c r="E98" s="2" t="s">
        <v>475</v>
      </c>
      <c r="F98" s="2" t="s">
        <v>476</v>
      </c>
      <c r="G98" s="2" t="s">
        <v>477</v>
      </c>
      <c r="H98" s="2" t="s">
        <v>144</v>
      </c>
      <c r="I98" s="2" t="s">
        <v>478</v>
      </c>
      <c r="J98" s="2" t="s">
        <v>121</v>
      </c>
      <c r="K98" s="10" t="b">
        <f aca="false">FALSE()</f>
        <v>0</v>
      </c>
      <c r="L98" s="10" t="b">
        <f aca="false">FALSE()</f>
        <v>0</v>
      </c>
      <c r="M98" s="2" t="s">
        <v>479</v>
      </c>
      <c r="N98" s="2" t="s">
        <v>480</v>
      </c>
      <c r="O98" s="11" t="s">
        <v>481</v>
      </c>
      <c r="P98" s="2" t="n">
        <v>14</v>
      </c>
      <c r="Q98" s="11" t="s">
        <v>482</v>
      </c>
      <c r="R98" s="2" t="s">
        <v>483</v>
      </c>
      <c r="S98" s="2" t="s">
        <v>484</v>
      </c>
      <c r="T98" s="2" t="s">
        <v>557</v>
      </c>
      <c r="U98" s="2" t="s">
        <v>486</v>
      </c>
      <c r="V98" s="2"/>
      <c r="W98" s="2"/>
      <c r="X98" s="11" t="s">
        <v>558</v>
      </c>
      <c r="Y98" s="2"/>
      <c r="Z98" s="2"/>
      <c r="AA98" s="2"/>
      <c r="AB98" s="2"/>
      <c r="AC98" s="2" t="s">
        <v>131</v>
      </c>
      <c r="AD98" s="2" t="s">
        <v>132</v>
      </c>
      <c r="AE98" s="10" t="b">
        <f aca="false">FALSE()</f>
        <v>0</v>
      </c>
      <c r="AF98" s="2" t="s">
        <v>133</v>
      </c>
      <c r="AG98" s="2" t="s">
        <v>158</v>
      </c>
      <c r="AH98" s="2" t="s">
        <v>135</v>
      </c>
      <c r="AI98" s="11" t="s">
        <v>488</v>
      </c>
      <c r="AJ98" s="2" t="s">
        <v>1277</v>
      </c>
      <c r="AK98" s="2"/>
      <c r="AL98" s="2"/>
    </row>
    <row r="99" customFormat="false" ht="90" hidden="false" customHeight="true" outlineLevel="0" collapsed="false">
      <c r="A99" s="2" t="s">
        <v>560</v>
      </c>
      <c r="B99" s="2" t="s">
        <v>451</v>
      </c>
      <c r="C99" s="2" t="s">
        <v>474</v>
      </c>
      <c r="D99" s="9" t="n">
        <v>592</v>
      </c>
      <c r="E99" s="2" t="s">
        <v>491</v>
      </c>
      <c r="F99" s="2" t="s">
        <v>542</v>
      </c>
      <c r="G99" s="2" t="s">
        <v>543</v>
      </c>
      <c r="H99" s="2" t="s">
        <v>391</v>
      </c>
      <c r="I99" s="2" t="s">
        <v>392</v>
      </c>
      <c r="J99" s="2" t="s">
        <v>121</v>
      </c>
      <c r="K99" s="10" t="b">
        <f aca="false">FALSE()</f>
        <v>0</v>
      </c>
      <c r="L99" s="10" t="b">
        <f aca="false">FALSE()</f>
        <v>0</v>
      </c>
      <c r="M99" s="2" t="s">
        <v>544</v>
      </c>
      <c r="N99" s="2" t="s">
        <v>371</v>
      </c>
      <c r="O99" s="11" t="s">
        <v>525</v>
      </c>
      <c r="P99" s="2" t="n">
        <v>14</v>
      </c>
      <c r="Q99" s="11" t="s">
        <v>546</v>
      </c>
      <c r="R99" s="11" t="s">
        <v>547</v>
      </c>
      <c r="S99" s="11" t="s">
        <v>548</v>
      </c>
      <c r="T99" s="11" t="s">
        <v>561</v>
      </c>
      <c r="U99" s="2" t="s">
        <v>395</v>
      </c>
      <c r="V99" s="2"/>
      <c r="W99" s="2"/>
      <c r="X99" s="11" t="s">
        <v>562</v>
      </c>
      <c r="Y99" s="2"/>
      <c r="Z99" s="2"/>
      <c r="AA99" s="2"/>
      <c r="AB99" s="2"/>
      <c r="AC99" s="2" t="s">
        <v>131</v>
      </c>
      <c r="AD99" s="2" t="s">
        <v>132</v>
      </c>
      <c r="AE99" s="10" t="b">
        <f aca="false">FALSE()</f>
        <v>0</v>
      </c>
      <c r="AF99" s="2" t="s">
        <v>133</v>
      </c>
      <c r="AG99" s="2" t="s">
        <v>158</v>
      </c>
      <c r="AH99" s="2" t="s">
        <v>135</v>
      </c>
      <c r="AI99" s="11" t="s">
        <v>551</v>
      </c>
      <c r="AJ99" s="2" t="s">
        <v>1277</v>
      </c>
      <c r="AK99" s="2"/>
      <c r="AL99" s="2"/>
    </row>
    <row r="100" customFormat="false" ht="90" hidden="false" customHeight="true" outlineLevel="0" collapsed="false">
      <c r="A100" s="2" t="s">
        <v>564</v>
      </c>
      <c r="B100" s="2" t="s">
        <v>451</v>
      </c>
      <c r="C100" s="2" t="s">
        <v>474</v>
      </c>
      <c r="D100" s="9" t="n">
        <v>263</v>
      </c>
      <c r="E100" s="2" t="s">
        <v>491</v>
      </c>
      <c r="F100" s="2" t="s">
        <v>542</v>
      </c>
      <c r="G100" s="2" t="s">
        <v>543</v>
      </c>
      <c r="H100" s="2" t="s">
        <v>368</v>
      </c>
      <c r="I100" s="2" t="s">
        <v>145</v>
      </c>
      <c r="J100" s="2" t="s">
        <v>369</v>
      </c>
      <c r="K100" s="10" t="b">
        <f aca="false">FALSE()</f>
        <v>0</v>
      </c>
      <c r="L100" s="10" t="b">
        <f aca="false">FALSE()</f>
        <v>0</v>
      </c>
      <c r="M100" s="2" t="s">
        <v>544</v>
      </c>
      <c r="N100" s="2" t="s">
        <v>371</v>
      </c>
      <c r="O100" s="2" t="s">
        <v>545</v>
      </c>
      <c r="P100" s="2" t="n">
        <v>14</v>
      </c>
      <c r="Q100" s="11" t="s">
        <v>546</v>
      </c>
      <c r="R100" s="11" t="s">
        <v>547</v>
      </c>
      <c r="S100" s="11" t="s">
        <v>548</v>
      </c>
      <c r="T100" s="2" t="s">
        <v>219</v>
      </c>
      <c r="U100" s="2" t="s">
        <v>153</v>
      </c>
      <c r="V100" s="2" t="s">
        <v>549</v>
      </c>
      <c r="W100" s="11" t="s">
        <v>550</v>
      </c>
      <c r="X100" s="2"/>
      <c r="Y100" s="2"/>
      <c r="Z100" s="2"/>
      <c r="AA100" s="2"/>
      <c r="AB100" s="2"/>
      <c r="AC100" s="2" t="s">
        <v>131</v>
      </c>
      <c r="AD100" s="2" t="s">
        <v>440</v>
      </c>
      <c r="AE100" s="10" t="b">
        <f aca="false">FALSE()</f>
        <v>0</v>
      </c>
      <c r="AF100" s="2" t="s">
        <v>133</v>
      </c>
      <c r="AG100" s="2" t="s">
        <v>158</v>
      </c>
      <c r="AH100" s="2" t="s">
        <v>135</v>
      </c>
      <c r="AI100" s="11" t="s">
        <v>551</v>
      </c>
      <c r="AJ100" s="2" t="s">
        <v>1277</v>
      </c>
      <c r="AK100" s="2"/>
      <c r="AL100" s="2"/>
    </row>
    <row r="101" customFormat="false" ht="90" hidden="false" customHeight="true" outlineLevel="0" collapsed="false">
      <c r="A101" s="2" t="s">
        <v>566</v>
      </c>
      <c r="B101" s="2" t="s">
        <v>451</v>
      </c>
      <c r="C101" s="2" t="s">
        <v>474</v>
      </c>
      <c r="D101" s="9" t="n">
        <v>249</v>
      </c>
      <c r="E101" s="2" t="s">
        <v>491</v>
      </c>
      <c r="F101" s="2" t="s">
        <v>542</v>
      </c>
      <c r="G101" s="2" t="s">
        <v>543</v>
      </c>
      <c r="H101" s="2" t="s">
        <v>368</v>
      </c>
      <c r="I101" s="2" t="s">
        <v>145</v>
      </c>
      <c r="J101" s="2" t="s">
        <v>369</v>
      </c>
      <c r="K101" s="10" t="b">
        <f aca="false">FALSE()</f>
        <v>0</v>
      </c>
      <c r="L101" s="10" t="b">
        <f aca="false">TRUE()</f>
        <v>1</v>
      </c>
      <c r="M101" s="2" t="s">
        <v>544</v>
      </c>
      <c r="N101" s="2" t="s">
        <v>371</v>
      </c>
      <c r="O101" s="2" t="s">
        <v>545</v>
      </c>
      <c r="P101" s="2" t="n">
        <v>14</v>
      </c>
      <c r="Q101" s="11" t="s">
        <v>546</v>
      </c>
      <c r="R101" s="11" t="s">
        <v>547</v>
      </c>
      <c r="S101" s="11" t="s">
        <v>548</v>
      </c>
      <c r="T101" s="2" t="s">
        <v>557</v>
      </c>
      <c r="U101" s="2" t="s">
        <v>153</v>
      </c>
      <c r="V101" s="2" t="s">
        <v>549</v>
      </c>
      <c r="W101" s="11" t="s">
        <v>550</v>
      </c>
      <c r="X101" s="2"/>
      <c r="Y101" s="2"/>
      <c r="Z101" s="2"/>
      <c r="AA101" s="2"/>
      <c r="AB101" s="2"/>
      <c r="AC101" s="2" t="s">
        <v>131</v>
      </c>
      <c r="AD101" s="2" t="s">
        <v>132</v>
      </c>
      <c r="AE101" s="10" t="b">
        <f aca="false">FALSE()</f>
        <v>0</v>
      </c>
      <c r="AF101" s="2" t="s">
        <v>133</v>
      </c>
      <c r="AG101" s="2" t="s">
        <v>158</v>
      </c>
      <c r="AH101" s="2" t="s">
        <v>135</v>
      </c>
      <c r="AI101" s="11" t="s">
        <v>551</v>
      </c>
      <c r="AJ101" s="2" t="s">
        <v>1277</v>
      </c>
      <c r="AK101" s="2"/>
      <c r="AL101" s="2"/>
    </row>
    <row r="102" customFormat="false" ht="90" hidden="false" customHeight="true" outlineLevel="0" collapsed="false">
      <c r="A102" s="2" t="s">
        <v>568</v>
      </c>
      <c r="B102" s="2" t="s">
        <v>569</v>
      </c>
      <c r="C102" s="2" t="s">
        <v>474</v>
      </c>
      <c r="D102" s="9" t="n">
        <v>1963</v>
      </c>
      <c r="E102" s="2" t="s">
        <v>491</v>
      </c>
      <c r="F102" s="2" t="s">
        <v>492</v>
      </c>
      <c r="G102" s="2" t="s">
        <v>524</v>
      </c>
      <c r="H102" s="2" t="s">
        <v>368</v>
      </c>
      <c r="I102" s="2" t="s">
        <v>145</v>
      </c>
      <c r="J102" s="2" t="s">
        <v>369</v>
      </c>
      <c r="K102" s="10" t="b">
        <f aca="false">FALSE()</f>
        <v>0</v>
      </c>
      <c r="L102" s="10" t="b">
        <f aca="false">TRUE()</f>
        <v>1</v>
      </c>
      <c r="M102" s="2" t="s">
        <v>494</v>
      </c>
      <c r="N102" s="2" t="s">
        <v>371</v>
      </c>
      <c r="O102" s="2" t="s">
        <v>495</v>
      </c>
      <c r="P102" s="2" t="n">
        <v>60</v>
      </c>
      <c r="Q102" s="2" t="s">
        <v>496</v>
      </c>
      <c r="R102" s="11" t="s">
        <v>497</v>
      </c>
      <c r="S102" s="11" t="s">
        <v>498</v>
      </c>
      <c r="T102" s="2" t="s">
        <v>219</v>
      </c>
      <c r="U102" s="2" t="s">
        <v>153</v>
      </c>
      <c r="V102" s="2" t="s">
        <v>570</v>
      </c>
      <c r="W102" s="11" t="s">
        <v>571</v>
      </c>
      <c r="X102" s="2"/>
      <c r="Y102" s="2"/>
      <c r="Z102" s="2"/>
      <c r="AA102" s="2"/>
      <c r="AB102" s="2" t="s">
        <v>572</v>
      </c>
      <c r="AC102" s="2" t="s">
        <v>157</v>
      </c>
      <c r="AD102" s="2" t="s">
        <v>132</v>
      </c>
      <c r="AE102" s="10" t="b">
        <f aca="false">FALSE()</f>
        <v>0</v>
      </c>
      <c r="AF102" s="2" t="s">
        <v>133</v>
      </c>
      <c r="AG102" s="2" t="s">
        <v>158</v>
      </c>
      <c r="AH102" s="2" t="s">
        <v>135</v>
      </c>
      <c r="AI102" s="11" t="s">
        <v>502</v>
      </c>
      <c r="AJ102" s="2" t="s">
        <v>1277</v>
      </c>
      <c r="AK102" s="2"/>
      <c r="AL102" s="2"/>
    </row>
    <row r="103" customFormat="false" ht="90" hidden="false" customHeight="true" outlineLevel="0" collapsed="false">
      <c r="A103" s="2" t="s">
        <v>1158</v>
      </c>
      <c r="B103" s="2" t="s">
        <v>569</v>
      </c>
      <c r="C103" s="2" t="s">
        <v>474</v>
      </c>
      <c r="D103" s="9" t="n">
        <v>1910</v>
      </c>
      <c r="E103" s="2" t="s">
        <v>475</v>
      </c>
      <c r="F103" s="2" t="s">
        <v>492</v>
      </c>
      <c r="G103" s="2" t="s">
        <v>595</v>
      </c>
      <c r="H103" s="2" t="s">
        <v>368</v>
      </c>
      <c r="I103" s="2" t="s">
        <v>145</v>
      </c>
      <c r="J103" s="2" t="s">
        <v>369</v>
      </c>
      <c r="K103" s="10" t="b">
        <f aca="false">FALSE()</f>
        <v>0</v>
      </c>
      <c r="L103" s="10" t="b">
        <f aca="false">TRUE()</f>
        <v>1</v>
      </c>
      <c r="M103" s="2" t="s">
        <v>494</v>
      </c>
      <c r="N103" s="2" t="s">
        <v>371</v>
      </c>
      <c r="O103" s="2" t="s">
        <v>495</v>
      </c>
      <c r="P103" s="2" t="n">
        <v>60</v>
      </c>
      <c r="Q103" s="2" t="s">
        <v>496</v>
      </c>
      <c r="R103" s="11" t="s">
        <v>497</v>
      </c>
      <c r="S103" s="11" t="s">
        <v>498</v>
      </c>
      <c r="T103" s="2"/>
      <c r="U103" s="2" t="s">
        <v>153</v>
      </c>
      <c r="V103" s="2" t="s">
        <v>570</v>
      </c>
      <c r="W103" s="11" t="s">
        <v>571</v>
      </c>
      <c r="X103" s="2"/>
      <c r="Y103" s="2"/>
      <c r="Z103" s="2"/>
      <c r="AA103" s="2"/>
      <c r="AB103" s="2" t="s">
        <v>572</v>
      </c>
      <c r="AC103" s="2" t="s">
        <v>187</v>
      </c>
      <c r="AD103" s="2" t="s">
        <v>132</v>
      </c>
      <c r="AE103" s="10" t="b">
        <f aca="false">FALSE()</f>
        <v>0</v>
      </c>
      <c r="AF103" s="2" t="s">
        <v>133</v>
      </c>
      <c r="AG103" s="2" t="s">
        <v>134</v>
      </c>
      <c r="AH103" s="2" t="s">
        <v>135</v>
      </c>
      <c r="AI103" s="11" t="s">
        <v>502</v>
      </c>
      <c r="AJ103" s="2" t="s">
        <v>1142</v>
      </c>
      <c r="AK103" s="2" t="s">
        <v>1142</v>
      </c>
      <c r="AL103" s="2" t="s">
        <v>1159</v>
      </c>
    </row>
    <row r="104" customFormat="false" ht="90" hidden="false" customHeight="true" outlineLevel="0" collapsed="false">
      <c r="A104" s="2" t="s">
        <v>574</v>
      </c>
      <c r="B104" s="2" t="s">
        <v>569</v>
      </c>
      <c r="C104" s="2" t="s">
        <v>474</v>
      </c>
      <c r="D104" s="9" t="n">
        <v>1791</v>
      </c>
      <c r="E104" s="2" t="s">
        <v>491</v>
      </c>
      <c r="F104" s="2" t="s">
        <v>492</v>
      </c>
      <c r="G104" s="2" t="s">
        <v>524</v>
      </c>
      <c r="H104" s="2" t="s">
        <v>368</v>
      </c>
      <c r="I104" s="2" t="s">
        <v>145</v>
      </c>
      <c r="J104" s="2" t="s">
        <v>369</v>
      </c>
      <c r="K104" s="10" t="b">
        <f aca="false">FALSE()</f>
        <v>0</v>
      </c>
      <c r="L104" s="10" t="b">
        <f aca="false">TRUE()</f>
        <v>1</v>
      </c>
      <c r="M104" s="2" t="s">
        <v>494</v>
      </c>
      <c r="N104" s="2" t="s">
        <v>371</v>
      </c>
      <c r="O104" s="2" t="s">
        <v>495</v>
      </c>
      <c r="P104" s="2" t="n">
        <v>60</v>
      </c>
      <c r="Q104" s="2" t="s">
        <v>496</v>
      </c>
      <c r="R104" s="11" t="s">
        <v>497</v>
      </c>
      <c r="S104" s="11" t="s">
        <v>498</v>
      </c>
      <c r="T104" s="2"/>
      <c r="U104" s="2" t="s">
        <v>153</v>
      </c>
      <c r="V104" s="2" t="s">
        <v>570</v>
      </c>
      <c r="W104" s="11" t="s">
        <v>575</v>
      </c>
      <c r="X104" s="2"/>
      <c r="Y104" s="2"/>
      <c r="Z104" s="2"/>
      <c r="AA104" s="2"/>
      <c r="AB104" s="2" t="s">
        <v>572</v>
      </c>
      <c r="AC104" s="2" t="s">
        <v>187</v>
      </c>
      <c r="AD104" s="2" t="s">
        <v>132</v>
      </c>
      <c r="AE104" s="10" t="b">
        <f aca="false">FALSE()</f>
        <v>0</v>
      </c>
      <c r="AF104" s="2" t="s">
        <v>133</v>
      </c>
      <c r="AG104" s="2" t="s">
        <v>158</v>
      </c>
      <c r="AH104" s="2" t="s">
        <v>135</v>
      </c>
      <c r="AI104" s="11" t="s">
        <v>502</v>
      </c>
      <c r="AJ104" s="2" t="s">
        <v>1277</v>
      </c>
      <c r="AK104" s="2"/>
      <c r="AL104" s="2"/>
    </row>
    <row r="105" customFormat="false" ht="90" hidden="false" customHeight="true" outlineLevel="0" collapsed="false">
      <c r="A105" s="2" t="s">
        <v>577</v>
      </c>
      <c r="B105" s="2" t="s">
        <v>569</v>
      </c>
      <c r="C105" s="2" t="s">
        <v>474</v>
      </c>
      <c r="D105" s="9" t="n">
        <v>1682</v>
      </c>
      <c r="E105" s="2" t="s">
        <v>491</v>
      </c>
      <c r="F105" s="2" t="s">
        <v>492</v>
      </c>
      <c r="G105" s="2" t="s">
        <v>524</v>
      </c>
      <c r="H105" s="2" t="s">
        <v>368</v>
      </c>
      <c r="I105" s="2" t="s">
        <v>145</v>
      </c>
      <c r="J105" s="2" t="s">
        <v>369</v>
      </c>
      <c r="K105" s="10" t="b">
        <f aca="false">FALSE()</f>
        <v>0</v>
      </c>
      <c r="L105" s="10" t="b">
        <f aca="false">TRUE()</f>
        <v>1</v>
      </c>
      <c r="M105" s="2" t="s">
        <v>494</v>
      </c>
      <c r="N105" s="2" t="s">
        <v>371</v>
      </c>
      <c r="O105" s="2" t="s">
        <v>495</v>
      </c>
      <c r="P105" s="2" t="n">
        <v>30</v>
      </c>
      <c r="Q105" s="2" t="s">
        <v>496</v>
      </c>
      <c r="R105" s="11" t="s">
        <v>497</v>
      </c>
      <c r="S105" s="11" t="s">
        <v>498</v>
      </c>
      <c r="T105" s="2"/>
      <c r="U105" s="2" t="s">
        <v>153</v>
      </c>
      <c r="V105" s="2" t="s">
        <v>578</v>
      </c>
      <c r="W105" s="11" t="s">
        <v>579</v>
      </c>
      <c r="X105" s="2"/>
      <c r="Y105" s="2"/>
      <c r="Z105" s="2"/>
      <c r="AA105" s="2"/>
      <c r="AB105" s="2" t="s">
        <v>580</v>
      </c>
      <c r="AC105" s="2" t="s">
        <v>131</v>
      </c>
      <c r="AD105" s="2" t="s">
        <v>132</v>
      </c>
      <c r="AE105" s="10" t="b">
        <f aca="false">FALSE()</f>
        <v>0</v>
      </c>
      <c r="AF105" s="2" t="s">
        <v>133</v>
      </c>
      <c r="AG105" s="2" t="s">
        <v>134</v>
      </c>
      <c r="AH105" s="2" t="s">
        <v>135</v>
      </c>
      <c r="AI105" s="11" t="s">
        <v>502</v>
      </c>
      <c r="AJ105" s="2" t="s">
        <v>1277</v>
      </c>
      <c r="AK105" s="2"/>
      <c r="AL105" s="2"/>
    </row>
    <row r="106" customFormat="false" ht="90" hidden="false" customHeight="true" outlineLevel="0" collapsed="false">
      <c r="A106" s="2" t="s">
        <v>582</v>
      </c>
      <c r="B106" s="2" t="s">
        <v>569</v>
      </c>
      <c r="C106" s="2" t="s">
        <v>474</v>
      </c>
      <c r="D106" s="9" t="n">
        <v>1671</v>
      </c>
      <c r="E106" s="2" t="s">
        <v>491</v>
      </c>
      <c r="F106" s="2" t="s">
        <v>492</v>
      </c>
      <c r="G106" s="2" t="s">
        <v>524</v>
      </c>
      <c r="H106" s="2" t="s">
        <v>368</v>
      </c>
      <c r="I106" s="2" t="s">
        <v>145</v>
      </c>
      <c r="J106" s="2" t="s">
        <v>369</v>
      </c>
      <c r="K106" s="10" t="b">
        <f aca="false">FALSE()</f>
        <v>0</v>
      </c>
      <c r="L106" s="10" t="b">
        <f aca="false">TRUE()</f>
        <v>1</v>
      </c>
      <c r="M106" s="2" t="s">
        <v>494</v>
      </c>
      <c r="N106" s="2" t="s">
        <v>371</v>
      </c>
      <c r="O106" s="2" t="s">
        <v>495</v>
      </c>
      <c r="P106" s="2" t="n">
        <v>60</v>
      </c>
      <c r="Q106" s="2" t="s">
        <v>496</v>
      </c>
      <c r="R106" s="11" t="s">
        <v>497</v>
      </c>
      <c r="S106" s="11" t="s">
        <v>498</v>
      </c>
      <c r="T106" s="2" t="s">
        <v>219</v>
      </c>
      <c r="U106" s="2" t="s">
        <v>153</v>
      </c>
      <c r="V106" s="2" t="s">
        <v>570</v>
      </c>
      <c r="W106" s="11" t="s">
        <v>571</v>
      </c>
      <c r="X106" s="2"/>
      <c r="Y106" s="2"/>
      <c r="Z106" s="2"/>
      <c r="AA106" s="2"/>
      <c r="AB106" s="2" t="s">
        <v>572</v>
      </c>
      <c r="AC106" s="2" t="s">
        <v>157</v>
      </c>
      <c r="AD106" s="2" t="s">
        <v>132</v>
      </c>
      <c r="AE106" s="10" t="b">
        <f aca="false">FALSE()</f>
        <v>0</v>
      </c>
      <c r="AF106" s="2" t="s">
        <v>133</v>
      </c>
      <c r="AG106" s="2" t="s">
        <v>158</v>
      </c>
      <c r="AH106" s="2" t="s">
        <v>135</v>
      </c>
      <c r="AI106" s="11" t="s">
        <v>502</v>
      </c>
      <c r="AJ106" s="2" t="s">
        <v>1277</v>
      </c>
      <c r="AK106" s="2"/>
      <c r="AL106" s="2"/>
    </row>
    <row r="107" customFormat="false" ht="90" hidden="false" customHeight="true" outlineLevel="0" collapsed="false">
      <c r="A107" s="2" t="s">
        <v>1164</v>
      </c>
      <c r="B107" s="2" t="s">
        <v>569</v>
      </c>
      <c r="C107" s="2" t="s">
        <v>474</v>
      </c>
      <c r="D107" s="9" t="n">
        <v>1593</v>
      </c>
      <c r="E107" s="2" t="s">
        <v>475</v>
      </c>
      <c r="F107" s="2" t="s">
        <v>492</v>
      </c>
      <c r="G107" s="2" t="s">
        <v>595</v>
      </c>
      <c r="H107" s="2" t="s">
        <v>368</v>
      </c>
      <c r="I107" s="2" t="s">
        <v>145</v>
      </c>
      <c r="J107" s="2" t="s">
        <v>369</v>
      </c>
      <c r="K107" s="10" t="b">
        <f aca="false">FALSE()</f>
        <v>0</v>
      </c>
      <c r="L107" s="10" t="b">
        <f aca="false">TRUE()</f>
        <v>1</v>
      </c>
      <c r="M107" s="2" t="s">
        <v>494</v>
      </c>
      <c r="N107" s="2" t="s">
        <v>371</v>
      </c>
      <c r="O107" s="2" t="s">
        <v>495</v>
      </c>
      <c r="P107" s="2" t="n">
        <v>60</v>
      </c>
      <c r="Q107" s="2" t="s">
        <v>496</v>
      </c>
      <c r="R107" s="11" t="s">
        <v>497</v>
      </c>
      <c r="S107" s="11" t="s">
        <v>498</v>
      </c>
      <c r="T107" s="11" t="s">
        <v>1299</v>
      </c>
      <c r="U107" s="2" t="s">
        <v>153</v>
      </c>
      <c r="V107" s="2" t="s">
        <v>570</v>
      </c>
      <c r="W107" s="11" t="s">
        <v>571</v>
      </c>
      <c r="X107" s="2"/>
      <c r="Y107" s="2"/>
      <c r="Z107" s="2"/>
      <c r="AA107" s="2"/>
      <c r="AB107" s="2" t="s">
        <v>572</v>
      </c>
      <c r="AC107" s="2" t="s">
        <v>157</v>
      </c>
      <c r="AD107" s="2" t="s">
        <v>132</v>
      </c>
      <c r="AE107" s="10" t="b">
        <f aca="false">FALSE()</f>
        <v>0</v>
      </c>
      <c r="AF107" s="2" t="s">
        <v>133</v>
      </c>
      <c r="AG107" s="2" t="s">
        <v>158</v>
      </c>
      <c r="AH107" s="2" t="s">
        <v>135</v>
      </c>
      <c r="AI107" s="11" t="s">
        <v>502</v>
      </c>
      <c r="AJ107" s="2" t="s">
        <v>1142</v>
      </c>
      <c r="AK107" s="2" t="s">
        <v>1142</v>
      </c>
      <c r="AL107" s="2" t="s">
        <v>1165</v>
      </c>
    </row>
    <row r="108" customFormat="false" ht="90" hidden="false" customHeight="true" outlineLevel="0" collapsed="false">
      <c r="A108" s="2" t="s">
        <v>584</v>
      </c>
      <c r="B108" s="2" t="s">
        <v>569</v>
      </c>
      <c r="C108" s="2" t="s">
        <v>474</v>
      </c>
      <c r="D108" s="9" t="n">
        <v>1542</v>
      </c>
      <c r="E108" s="2" t="s">
        <v>491</v>
      </c>
      <c r="F108" s="2" t="s">
        <v>492</v>
      </c>
      <c r="G108" s="2" t="s">
        <v>524</v>
      </c>
      <c r="H108" s="2" t="s">
        <v>368</v>
      </c>
      <c r="I108" s="2" t="s">
        <v>145</v>
      </c>
      <c r="J108" s="2" t="s">
        <v>369</v>
      </c>
      <c r="K108" s="10" t="b">
        <f aca="false">FALSE()</f>
        <v>0</v>
      </c>
      <c r="L108" s="10" t="b">
        <f aca="false">TRUE()</f>
        <v>1</v>
      </c>
      <c r="M108" s="2" t="s">
        <v>494</v>
      </c>
      <c r="N108" s="2" t="s">
        <v>371</v>
      </c>
      <c r="O108" s="2" t="s">
        <v>495</v>
      </c>
      <c r="P108" s="2" t="n">
        <v>30</v>
      </c>
      <c r="Q108" s="2" t="s">
        <v>496</v>
      </c>
      <c r="R108" s="11" t="s">
        <v>497</v>
      </c>
      <c r="S108" s="11" t="s">
        <v>498</v>
      </c>
      <c r="T108" s="2" t="s">
        <v>223</v>
      </c>
      <c r="U108" s="2" t="s">
        <v>153</v>
      </c>
      <c r="V108" s="2" t="s">
        <v>578</v>
      </c>
      <c r="W108" s="11" t="s">
        <v>579</v>
      </c>
      <c r="X108" s="2"/>
      <c r="Y108" s="2"/>
      <c r="Z108" s="2"/>
      <c r="AA108" s="2"/>
      <c r="AB108" s="2" t="s">
        <v>580</v>
      </c>
      <c r="AC108" s="2" t="s">
        <v>131</v>
      </c>
      <c r="AD108" s="2" t="s">
        <v>132</v>
      </c>
      <c r="AE108" s="10" t="b">
        <f aca="false">FALSE()</f>
        <v>0</v>
      </c>
      <c r="AF108" s="2" t="s">
        <v>133</v>
      </c>
      <c r="AG108" s="2" t="s">
        <v>134</v>
      </c>
      <c r="AH108" s="2" t="s">
        <v>135</v>
      </c>
      <c r="AI108" s="11" t="s">
        <v>502</v>
      </c>
      <c r="AJ108" s="2" t="s">
        <v>1277</v>
      </c>
      <c r="AK108" s="2"/>
      <c r="AL108" s="2"/>
    </row>
    <row r="109" customFormat="false" ht="90" hidden="false" customHeight="true" outlineLevel="0" collapsed="false">
      <c r="A109" s="2" t="s">
        <v>586</v>
      </c>
      <c r="B109" s="2" t="s">
        <v>569</v>
      </c>
      <c r="C109" s="2" t="s">
        <v>474</v>
      </c>
      <c r="D109" s="9" t="n">
        <v>1501</v>
      </c>
      <c r="E109" s="2" t="s">
        <v>491</v>
      </c>
      <c r="F109" s="2" t="s">
        <v>492</v>
      </c>
      <c r="G109" s="2" t="s">
        <v>524</v>
      </c>
      <c r="H109" s="2" t="s">
        <v>368</v>
      </c>
      <c r="I109" s="2" t="s">
        <v>145</v>
      </c>
      <c r="J109" s="2" t="s">
        <v>369</v>
      </c>
      <c r="K109" s="10" t="b">
        <f aca="false">FALSE()</f>
        <v>0</v>
      </c>
      <c r="L109" s="10" t="b">
        <f aca="false">TRUE()</f>
        <v>1</v>
      </c>
      <c r="M109" s="2" t="s">
        <v>494</v>
      </c>
      <c r="N109" s="2" t="s">
        <v>371</v>
      </c>
      <c r="O109" s="2" t="s">
        <v>495</v>
      </c>
      <c r="P109" s="2" t="n">
        <v>30</v>
      </c>
      <c r="Q109" s="2" t="s">
        <v>496</v>
      </c>
      <c r="R109" s="11" t="s">
        <v>497</v>
      </c>
      <c r="S109" s="11" t="s">
        <v>498</v>
      </c>
      <c r="T109" s="2" t="s">
        <v>219</v>
      </c>
      <c r="U109" s="2" t="s">
        <v>153</v>
      </c>
      <c r="V109" s="2" t="s">
        <v>587</v>
      </c>
      <c r="W109" s="11" t="s">
        <v>588</v>
      </c>
      <c r="X109" s="2"/>
      <c r="Y109" s="2"/>
      <c r="Z109" s="2"/>
      <c r="AA109" s="2"/>
      <c r="AB109" s="2" t="s">
        <v>589</v>
      </c>
      <c r="AC109" s="2" t="s">
        <v>157</v>
      </c>
      <c r="AD109" s="2" t="s">
        <v>354</v>
      </c>
      <c r="AE109" s="10" t="b">
        <f aca="false">FALSE()</f>
        <v>0</v>
      </c>
      <c r="AF109" s="2" t="s">
        <v>133</v>
      </c>
      <c r="AG109" s="2" t="s">
        <v>158</v>
      </c>
      <c r="AH109" s="2" t="s">
        <v>135</v>
      </c>
      <c r="AI109" s="11" t="s">
        <v>502</v>
      </c>
      <c r="AJ109" s="2" t="s">
        <v>1277</v>
      </c>
      <c r="AK109" s="2"/>
      <c r="AL109" s="2"/>
    </row>
    <row r="110" customFormat="false" ht="90" hidden="false" customHeight="true" outlineLevel="0" collapsed="false">
      <c r="A110" s="2" t="s">
        <v>591</v>
      </c>
      <c r="B110" s="2" t="s">
        <v>569</v>
      </c>
      <c r="C110" s="2" t="s">
        <v>474</v>
      </c>
      <c r="D110" s="9" t="n">
        <v>1422</v>
      </c>
      <c r="E110" s="2" t="s">
        <v>491</v>
      </c>
      <c r="F110" s="2" t="s">
        <v>492</v>
      </c>
      <c r="G110" s="2" t="s">
        <v>524</v>
      </c>
      <c r="H110" s="2" t="s">
        <v>368</v>
      </c>
      <c r="I110" s="2" t="s">
        <v>145</v>
      </c>
      <c r="J110" s="2" t="s">
        <v>369</v>
      </c>
      <c r="K110" s="10" t="b">
        <f aca="false">FALSE()</f>
        <v>0</v>
      </c>
      <c r="L110" s="10" t="b">
        <f aca="false">TRUE()</f>
        <v>1</v>
      </c>
      <c r="M110" s="2" t="s">
        <v>494</v>
      </c>
      <c r="N110" s="2" t="s">
        <v>371</v>
      </c>
      <c r="O110" s="2" t="s">
        <v>495</v>
      </c>
      <c r="P110" s="2" t="n">
        <v>60</v>
      </c>
      <c r="Q110" s="2" t="s">
        <v>496</v>
      </c>
      <c r="R110" s="11" t="s">
        <v>497</v>
      </c>
      <c r="S110" s="11" t="s">
        <v>498</v>
      </c>
      <c r="T110" s="2" t="s">
        <v>219</v>
      </c>
      <c r="U110" s="2" t="s">
        <v>153</v>
      </c>
      <c r="V110" s="2" t="s">
        <v>570</v>
      </c>
      <c r="W110" s="11" t="s">
        <v>592</v>
      </c>
      <c r="X110" s="2"/>
      <c r="Y110" s="2"/>
      <c r="Z110" s="2"/>
      <c r="AA110" s="2"/>
      <c r="AB110" s="2" t="s">
        <v>572</v>
      </c>
      <c r="AC110" s="2" t="s">
        <v>157</v>
      </c>
      <c r="AD110" s="2" t="s">
        <v>132</v>
      </c>
      <c r="AE110" s="10" t="b">
        <f aca="false">FALSE()</f>
        <v>0</v>
      </c>
      <c r="AF110" s="2" t="s">
        <v>133</v>
      </c>
      <c r="AG110" s="2" t="s">
        <v>158</v>
      </c>
      <c r="AH110" s="2" t="s">
        <v>135</v>
      </c>
      <c r="AI110" s="11" t="s">
        <v>502</v>
      </c>
      <c r="AJ110" s="2" t="s">
        <v>1277</v>
      </c>
      <c r="AK110" s="2"/>
      <c r="AL110" s="2"/>
    </row>
    <row r="111" customFormat="false" ht="90" hidden="false" customHeight="true" outlineLevel="0" collapsed="false">
      <c r="A111" s="2" t="s">
        <v>594</v>
      </c>
      <c r="B111" s="2" t="s">
        <v>569</v>
      </c>
      <c r="C111" s="2" t="s">
        <v>474</v>
      </c>
      <c r="D111" s="9" t="n">
        <v>1342</v>
      </c>
      <c r="E111" s="2" t="s">
        <v>475</v>
      </c>
      <c r="F111" s="2" t="s">
        <v>492</v>
      </c>
      <c r="G111" s="2" t="s">
        <v>595</v>
      </c>
      <c r="H111" s="2" t="s">
        <v>368</v>
      </c>
      <c r="I111" s="2" t="s">
        <v>145</v>
      </c>
      <c r="J111" s="2" t="s">
        <v>369</v>
      </c>
      <c r="K111" s="10" t="b">
        <f aca="false">FALSE()</f>
        <v>0</v>
      </c>
      <c r="L111" s="10" t="b">
        <f aca="false">TRUE()</f>
        <v>1</v>
      </c>
      <c r="M111" s="2" t="s">
        <v>494</v>
      </c>
      <c r="N111" s="2" t="s">
        <v>371</v>
      </c>
      <c r="O111" s="2" t="s">
        <v>495</v>
      </c>
      <c r="P111" s="2" t="n">
        <v>60</v>
      </c>
      <c r="Q111" s="2" t="s">
        <v>496</v>
      </c>
      <c r="R111" s="11" t="s">
        <v>497</v>
      </c>
      <c r="S111" s="11" t="s">
        <v>498</v>
      </c>
      <c r="T111" s="2" t="s">
        <v>298</v>
      </c>
      <c r="U111" s="2" t="s">
        <v>153</v>
      </c>
      <c r="V111" s="2" t="s">
        <v>570</v>
      </c>
      <c r="W111" s="11" t="s">
        <v>571</v>
      </c>
      <c r="X111" s="2"/>
      <c r="Y111" s="2"/>
      <c r="Z111" s="2"/>
      <c r="AA111" s="2"/>
      <c r="AB111" s="2" t="s">
        <v>572</v>
      </c>
      <c r="AC111" s="2" t="s">
        <v>157</v>
      </c>
      <c r="AD111" s="2" t="s">
        <v>132</v>
      </c>
      <c r="AE111" s="10" t="b">
        <f aca="false">FALSE()</f>
        <v>0</v>
      </c>
      <c r="AF111" s="2" t="s">
        <v>133</v>
      </c>
      <c r="AG111" s="2" t="s">
        <v>158</v>
      </c>
      <c r="AH111" s="2" t="s">
        <v>135</v>
      </c>
      <c r="AI111" s="11" t="s">
        <v>502</v>
      </c>
      <c r="AJ111" s="2" t="s">
        <v>1277</v>
      </c>
      <c r="AK111" s="2"/>
      <c r="AL111" s="2"/>
    </row>
    <row r="112" customFormat="false" ht="90" hidden="false" customHeight="true" outlineLevel="0" collapsed="false">
      <c r="A112" s="2" t="s">
        <v>597</v>
      </c>
      <c r="B112" s="2" t="s">
        <v>569</v>
      </c>
      <c r="C112" s="2" t="s">
        <v>474</v>
      </c>
      <c r="D112" s="9" t="n">
        <v>1289</v>
      </c>
      <c r="E112" s="2" t="s">
        <v>475</v>
      </c>
      <c r="F112" s="2" t="s">
        <v>492</v>
      </c>
      <c r="G112" s="2" t="s">
        <v>595</v>
      </c>
      <c r="H112" s="2" t="s">
        <v>368</v>
      </c>
      <c r="I112" s="2" t="s">
        <v>145</v>
      </c>
      <c r="J112" s="2" t="s">
        <v>369</v>
      </c>
      <c r="K112" s="10" t="b">
        <f aca="false">FALSE()</f>
        <v>0</v>
      </c>
      <c r="L112" s="10" t="b">
        <f aca="false">TRUE()</f>
        <v>1</v>
      </c>
      <c r="M112" s="2" t="s">
        <v>494</v>
      </c>
      <c r="N112" s="2" t="s">
        <v>371</v>
      </c>
      <c r="O112" s="2" t="s">
        <v>495</v>
      </c>
      <c r="P112" s="2" t="n">
        <v>60</v>
      </c>
      <c r="Q112" s="2" t="s">
        <v>496</v>
      </c>
      <c r="R112" s="11" t="s">
        <v>497</v>
      </c>
      <c r="S112" s="11" t="s">
        <v>498</v>
      </c>
      <c r="T112" s="2"/>
      <c r="U112" s="2" t="s">
        <v>153</v>
      </c>
      <c r="V112" s="2" t="s">
        <v>570</v>
      </c>
      <c r="W112" s="11" t="s">
        <v>592</v>
      </c>
      <c r="X112" s="2"/>
      <c r="Y112" s="2"/>
      <c r="Z112" s="2"/>
      <c r="AA112" s="2"/>
      <c r="AB112" s="2" t="s">
        <v>572</v>
      </c>
      <c r="AC112" s="2" t="s">
        <v>187</v>
      </c>
      <c r="AD112" s="2" t="s">
        <v>132</v>
      </c>
      <c r="AE112" s="10" t="b">
        <f aca="false">FALSE()</f>
        <v>0</v>
      </c>
      <c r="AF112" s="2" t="s">
        <v>133</v>
      </c>
      <c r="AG112" s="2" t="s">
        <v>158</v>
      </c>
      <c r="AH112" s="2" t="s">
        <v>135</v>
      </c>
      <c r="AI112" s="11" t="s">
        <v>502</v>
      </c>
      <c r="AJ112" s="2" t="s">
        <v>1277</v>
      </c>
      <c r="AK112" s="2"/>
      <c r="AL112" s="2"/>
    </row>
    <row r="113" customFormat="false" ht="90" hidden="false" customHeight="true" outlineLevel="0" collapsed="false">
      <c r="A113" s="2" t="s">
        <v>599</v>
      </c>
      <c r="B113" s="2" t="s">
        <v>569</v>
      </c>
      <c r="C113" s="2" t="s">
        <v>474</v>
      </c>
      <c r="D113" s="9" t="n">
        <v>1263</v>
      </c>
      <c r="E113" s="2" t="s">
        <v>491</v>
      </c>
      <c r="F113" s="2" t="s">
        <v>492</v>
      </c>
      <c r="G113" s="2" t="s">
        <v>524</v>
      </c>
      <c r="H113" s="2" t="s">
        <v>368</v>
      </c>
      <c r="I113" s="2" t="s">
        <v>145</v>
      </c>
      <c r="J113" s="2" t="s">
        <v>369</v>
      </c>
      <c r="K113" s="10" t="b">
        <f aca="false">FALSE()</f>
        <v>0</v>
      </c>
      <c r="L113" s="10" t="b">
        <f aca="false">TRUE()</f>
        <v>1</v>
      </c>
      <c r="M113" s="2" t="s">
        <v>494</v>
      </c>
      <c r="N113" s="2" t="s">
        <v>371</v>
      </c>
      <c r="O113" s="2" t="s">
        <v>495</v>
      </c>
      <c r="P113" s="2" t="n">
        <v>60</v>
      </c>
      <c r="Q113" s="2" t="s">
        <v>496</v>
      </c>
      <c r="R113" s="11" t="s">
        <v>497</v>
      </c>
      <c r="S113" s="11" t="s">
        <v>498</v>
      </c>
      <c r="T113" s="2"/>
      <c r="U113" s="2" t="s">
        <v>153</v>
      </c>
      <c r="V113" s="2" t="s">
        <v>570</v>
      </c>
      <c r="W113" s="11" t="s">
        <v>571</v>
      </c>
      <c r="X113" s="2"/>
      <c r="Y113" s="2"/>
      <c r="Z113" s="2"/>
      <c r="AA113" s="2"/>
      <c r="AB113" s="2" t="s">
        <v>572</v>
      </c>
      <c r="AC113" s="2" t="s">
        <v>187</v>
      </c>
      <c r="AD113" s="2" t="s">
        <v>132</v>
      </c>
      <c r="AE113" s="10" t="b">
        <f aca="false">FALSE()</f>
        <v>0</v>
      </c>
      <c r="AF113" s="2" t="s">
        <v>133</v>
      </c>
      <c r="AG113" s="2" t="s">
        <v>158</v>
      </c>
      <c r="AH113" s="2" t="s">
        <v>135</v>
      </c>
      <c r="AI113" s="11" t="s">
        <v>502</v>
      </c>
      <c r="AJ113" s="2" t="s">
        <v>1277</v>
      </c>
      <c r="AK113" s="2"/>
      <c r="AL113" s="2"/>
    </row>
    <row r="114" customFormat="false" ht="90" hidden="false" customHeight="true" outlineLevel="0" collapsed="false">
      <c r="A114" s="2" t="s">
        <v>601</v>
      </c>
      <c r="B114" s="2" t="s">
        <v>569</v>
      </c>
      <c r="C114" s="2" t="s">
        <v>474</v>
      </c>
      <c r="D114" s="9" t="n">
        <v>1219</v>
      </c>
      <c r="E114" s="2" t="s">
        <v>491</v>
      </c>
      <c r="F114" s="2" t="s">
        <v>492</v>
      </c>
      <c r="G114" s="2" t="s">
        <v>524</v>
      </c>
      <c r="H114" s="2" t="s">
        <v>368</v>
      </c>
      <c r="I114" s="2" t="s">
        <v>145</v>
      </c>
      <c r="J114" s="2" t="s">
        <v>369</v>
      </c>
      <c r="K114" s="10" t="b">
        <f aca="false">FALSE()</f>
        <v>0</v>
      </c>
      <c r="L114" s="10" t="b">
        <f aca="false">FALSE()</f>
        <v>0</v>
      </c>
      <c r="M114" s="2" t="s">
        <v>494</v>
      </c>
      <c r="N114" s="2" t="s">
        <v>371</v>
      </c>
      <c r="O114" s="2" t="s">
        <v>495</v>
      </c>
      <c r="P114" s="2" t="n">
        <v>60</v>
      </c>
      <c r="Q114" s="2" t="s">
        <v>496</v>
      </c>
      <c r="R114" s="11" t="s">
        <v>497</v>
      </c>
      <c r="S114" s="11" t="s">
        <v>498</v>
      </c>
      <c r="T114" s="2"/>
      <c r="U114" s="2" t="s">
        <v>153</v>
      </c>
      <c r="V114" s="2" t="s">
        <v>570</v>
      </c>
      <c r="W114" s="11" t="s">
        <v>571</v>
      </c>
      <c r="X114" s="2"/>
      <c r="Y114" s="2"/>
      <c r="Z114" s="2"/>
      <c r="AA114" s="2"/>
      <c r="AB114" s="2" t="s">
        <v>572</v>
      </c>
      <c r="AC114" s="2" t="s">
        <v>157</v>
      </c>
      <c r="AD114" s="2" t="s">
        <v>132</v>
      </c>
      <c r="AE114" s="10" t="b">
        <f aca="false">FALSE()</f>
        <v>0</v>
      </c>
      <c r="AF114" s="2" t="s">
        <v>133</v>
      </c>
      <c r="AG114" s="2" t="s">
        <v>158</v>
      </c>
      <c r="AH114" s="2" t="s">
        <v>135</v>
      </c>
      <c r="AI114" s="11" t="s">
        <v>502</v>
      </c>
      <c r="AJ114" s="2" t="s">
        <v>1277</v>
      </c>
      <c r="AK114" s="2"/>
      <c r="AL114" s="2"/>
    </row>
    <row r="115" customFormat="false" ht="90" hidden="false" customHeight="true" outlineLevel="0" collapsed="false">
      <c r="A115" s="2" t="s">
        <v>603</v>
      </c>
      <c r="B115" s="2" t="s">
        <v>569</v>
      </c>
      <c r="C115" s="2" t="s">
        <v>474</v>
      </c>
      <c r="D115" s="9" t="n">
        <v>1185</v>
      </c>
      <c r="E115" s="2" t="s">
        <v>491</v>
      </c>
      <c r="F115" s="2" t="s">
        <v>492</v>
      </c>
      <c r="G115" s="2" t="s">
        <v>524</v>
      </c>
      <c r="H115" s="2" t="s">
        <v>368</v>
      </c>
      <c r="I115" s="2" t="s">
        <v>145</v>
      </c>
      <c r="J115" s="2" t="s">
        <v>369</v>
      </c>
      <c r="K115" s="10" t="b">
        <f aca="false">FALSE()</f>
        <v>0</v>
      </c>
      <c r="L115" s="10" t="b">
        <f aca="false">TRUE()</f>
        <v>1</v>
      </c>
      <c r="M115" s="2" t="s">
        <v>494</v>
      </c>
      <c r="N115" s="2" t="s">
        <v>371</v>
      </c>
      <c r="O115" s="2" t="s">
        <v>495</v>
      </c>
      <c r="P115" s="2" t="n">
        <v>60</v>
      </c>
      <c r="Q115" s="2" t="s">
        <v>496</v>
      </c>
      <c r="R115" s="11" t="s">
        <v>497</v>
      </c>
      <c r="S115" s="11" t="s">
        <v>498</v>
      </c>
      <c r="T115" s="2" t="s">
        <v>219</v>
      </c>
      <c r="U115" s="2" t="s">
        <v>153</v>
      </c>
      <c r="V115" s="2" t="s">
        <v>570</v>
      </c>
      <c r="W115" s="11" t="s">
        <v>571</v>
      </c>
      <c r="X115" s="2"/>
      <c r="Y115" s="2"/>
      <c r="Z115" s="2"/>
      <c r="AA115" s="2"/>
      <c r="AB115" s="2" t="s">
        <v>572</v>
      </c>
      <c r="AC115" s="2" t="s">
        <v>157</v>
      </c>
      <c r="AD115" s="2" t="s">
        <v>132</v>
      </c>
      <c r="AE115" s="10" t="b">
        <f aca="false">FALSE()</f>
        <v>0</v>
      </c>
      <c r="AF115" s="2" t="s">
        <v>133</v>
      </c>
      <c r="AG115" s="2" t="s">
        <v>158</v>
      </c>
      <c r="AH115" s="2" t="s">
        <v>135</v>
      </c>
      <c r="AI115" s="11" t="s">
        <v>502</v>
      </c>
      <c r="AJ115" s="2" t="s">
        <v>1277</v>
      </c>
      <c r="AK115" s="2"/>
      <c r="AL115" s="2"/>
    </row>
    <row r="116" customFormat="false" ht="90" hidden="false" customHeight="true" outlineLevel="0" collapsed="false">
      <c r="A116" s="2" t="s">
        <v>1168</v>
      </c>
      <c r="B116" s="2" t="s">
        <v>569</v>
      </c>
      <c r="C116" s="2" t="s">
        <v>474</v>
      </c>
      <c r="D116" s="9" t="n">
        <v>1170</v>
      </c>
      <c r="E116" s="2" t="s">
        <v>475</v>
      </c>
      <c r="F116" s="2" t="s">
        <v>492</v>
      </c>
      <c r="G116" s="2" t="s">
        <v>595</v>
      </c>
      <c r="H116" s="2" t="s">
        <v>368</v>
      </c>
      <c r="I116" s="2" t="s">
        <v>145</v>
      </c>
      <c r="J116" s="2" t="s">
        <v>369</v>
      </c>
      <c r="K116" s="10" t="b">
        <f aca="false">FALSE()</f>
        <v>0</v>
      </c>
      <c r="L116" s="10" t="b">
        <f aca="false">TRUE()</f>
        <v>1</v>
      </c>
      <c r="M116" s="2" t="s">
        <v>494</v>
      </c>
      <c r="N116" s="2" t="s">
        <v>371</v>
      </c>
      <c r="O116" s="2" t="s">
        <v>495</v>
      </c>
      <c r="P116" s="2" t="n">
        <v>60</v>
      </c>
      <c r="Q116" s="2" t="s">
        <v>496</v>
      </c>
      <c r="R116" s="11" t="s">
        <v>497</v>
      </c>
      <c r="S116" s="11" t="s">
        <v>498</v>
      </c>
      <c r="T116" s="2" t="s">
        <v>152</v>
      </c>
      <c r="U116" s="2" t="s">
        <v>153</v>
      </c>
      <c r="V116" s="2" t="s">
        <v>570</v>
      </c>
      <c r="W116" s="11" t="s">
        <v>571</v>
      </c>
      <c r="X116" s="2"/>
      <c r="Y116" s="2"/>
      <c r="Z116" s="2"/>
      <c r="AA116" s="2"/>
      <c r="AB116" s="2" t="s">
        <v>572</v>
      </c>
      <c r="AC116" s="2" t="s">
        <v>157</v>
      </c>
      <c r="AD116" s="2" t="s">
        <v>132</v>
      </c>
      <c r="AE116" s="10" t="b">
        <f aca="false">FALSE()</f>
        <v>0</v>
      </c>
      <c r="AF116" s="2" t="s">
        <v>133</v>
      </c>
      <c r="AG116" s="2" t="s">
        <v>158</v>
      </c>
      <c r="AH116" s="2" t="s">
        <v>135</v>
      </c>
      <c r="AI116" s="11" t="s">
        <v>502</v>
      </c>
      <c r="AJ116" s="2" t="s">
        <v>1142</v>
      </c>
      <c r="AK116" s="2" t="s">
        <v>1142</v>
      </c>
      <c r="AL116" s="2" t="s">
        <v>1169</v>
      </c>
    </row>
    <row r="117" customFormat="false" ht="90" hidden="false" customHeight="true" outlineLevel="0" collapsed="false">
      <c r="A117" s="2" t="s">
        <v>605</v>
      </c>
      <c r="B117" s="2" t="s">
        <v>569</v>
      </c>
      <c r="C117" s="2" t="s">
        <v>474</v>
      </c>
      <c r="D117" s="9" t="n">
        <v>1119</v>
      </c>
      <c r="E117" s="2" t="s">
        <v>491</v>
      </c>
      <c r="F117" s="2" t="s">
        <v>492</v>
      </c>
      <c r="G117" s="2" t="s">
        <v>524</v>
      </c>
      <c r="H117" s="2" t="s">
        <v>368</v>
      </c>
      <c r="I117" s="2" t="s">
        <v>145</v>
      </c>
      <c r="J117" s="2" t="s">
        <v>369</v>
      </c>
      <c r="K117" s="10" t="b">
        <f aca="false">FALSE()</f>
        <v>0</v>
      </c>
      <c r="L117" s="10" t="b">
        <f aca="false">FALSE()</f>
        <v>0</v>
      </c>
      <c r="M117" s="2" t="s">
        <v>494</v>
      </c>
      <c r="N117" s="2" t="s">
        <v>371</v>
      </c>
      <c r="O117" s="2" t="s">
        <v>495</v>
      </c>
      <c r="P117" s="2" t="n">
        <v>30</v>
      </c>
      <c r="Q117" s="2" t="s">
        <v>496</v>
      </c>
      <c r="R117" s="11" t="s">
        <v>497</v>
      </c>
      <c r="S117" s="11" t="s">
        <v>498</v>
      </c>
      <c r="T117" s="2" t="s">
        <v>219</v>
      </c>
      <c r="U117" s="2" t="s">
        <v>153</v>
      </c>
      <c r="V117" s="2" t="s">
        <v>606</v>
      </c>
      <c r="W117" s="11" t="s">
        <v>607</v>
      </c>
      <c r="X117" s="2"/>
      <c r="Y117" s="2"/>
      <c r="Z117" s="2"/>
      <c r="AA117" s="2"/>
      <c r="AB117" s="2" t="s">
        <v>608</v>
      </c>
      <c r="AC117" s="2" t="s">
        <v>157</v>
      </c>
      <c r="AD117" s="2" t="s">
        <v>440</v>
      </c>
      <c r="AE117" s="10" t="b">
        <f aca="false">FALSE()</f>
        <v>0</v>
      </c>
      <c r="AF117" s="2" t="s">
        <v>133</v>
      </c>
      <c r="AG117" s="2" t="s">
        <v>158</v>
      </c>
      <c r="AH117" s="2" t="s">
        <v>135</v>
      </c>
      <c r="AI117" s="11" t="s">
        <v>502</v>
      </c>
      <c r="AJ117" s="2" t="s">
        <v>1277</v>
      </c>
      <c r="AK117" s="2"/>
      <c r="AL117" s="2"/>
    </row>
    <row r="118" customFormat="false" ht="90" hidden="false" customHeight="true" outlineLevel="0" collapsed="false">
      <c r="A118" s="2" t="s">
        <v>610</v>
      </c>
      <c r="B118" s="2" t="s">
        <v>569</v>
      </c>
      <c r="C118" s="2" t="s">
        <v>474</v>
      </c>
      <c r="D118" s="9" t="n">
        <v>1079</v>
      </c>
      <c r="E118" s="2" t="s">
        <v>475</v>
      </c>
      <c r="F118" s="2" t="s">
        <v>492</v>
      </c>
      <c r="G118" s="2" t="s">
        <v>595</v>
      </c>
      <c r="H118" s="2" t="s">
        <v>368</v>
      </c>
      <c r="I118" s="2" t="s">
        <v>145</v>
      </c>
      <c r="J118" s="2" t="s">
        <v>369</v>
      </c>
      <c r="K118" s="10" t="b">
        <f aca="false">FALSE()</f>
        <v>0</v>
      </c>
      <c r="L118" s="10" t="b">
        <f aca="false">TRUE()</f>
        <v>1</v>
      </c>
      <c r="M118" s="2" t="s">
        <v>494</v>
      </c>
      <c r="N118" s="2" t="s">
        <v>371</v>
      </c>
      <c r="O118" s="2" t="s">
        <v>495</v>
      </c>
      <c r="P118" s="2" t="n">
        <v>60</v>
      </c>
      <c r="Q118" s="2" t="s">
        <v>496</v>
      </c>
      <c r="R118" s="11" t="s">
        <v>497</v>
      </c>
      <c r="S118" s="11" t="s">
        <v>498</v>
      </c>
      <c r="T118" s="2"/>
      <c r="U118" s="2" t="s">
        <v>153</v>
      </c>
      <c r="V118" s="2" t="s">
        <v>570</v>
      </c>
      <c r="W118" s="11" t="s">
        <v>571</v>
      </c>
      <c r="X118" s="2"/>
      <c r="Y118" s="2"/>
      <c r="Z118" s="2"/>
      <c r="AA118" s="2"/>
      <c r="AB118" s="2" t="s">
        <v>572</v>
      </c>
      <c r="AC118" s="2" t="s">
        <v>187</v>
      </c>
      <c r="AD118" s="2" t="s">
        <v>132</v>
      </c>
      <c r="AE118" s="10" t="b">
        <f aca="false">FALSE()</f>
        <v>0</v>
      </c>
      <c r="AF118" s="2" t="s">
        <v>133</v>
      </c>
      <c r="AG118" s="2" t="s">
        <v>158</v>
      </c>
      <c r="AH118" s="2" t="s">
        <v>135</v>
      </c>
      <c r="AI118" s="11" t="s">
        <v>502</v>
      </c>
      <c r="AJ118" s="2" t="s">
        <v>1277</v>
      </c>
      <c r="AK118" s="2"/>
      <c r="AL118" s="2"/>
    </row>
    <row r="119" customFormat="false" ht="90" hidden="false" customHeight="true" outlineLevel="0" collapsed="false">
      <c r="A119" s="2" t="s">
        <v>612</v>
      </c>
      <c r="B119" s="2" t="s">
        <v>569</v>
      </c>
      <c r="C119" s="2" t="s">
        <v>474</v>
      </c>
      <c r="D119" s="9" t="n">
        <v>1071</v>
      </c>
      <c r="E119" s="2" t="s">
        <v>475</v>
      </c>
      <c r="F119" s="2" t="s">
        <v>492</v>
      </c>
      <c r="G119" s="2" t="s">
        <v>595</v>
      </c>
      <c r="H119" s="2" t="s">
        <v>368</v>
      </c>
      <c r="I119" s="2" t="s">
        <v>145</v>
      </c>
      <c r="J119" s="2" t="s">
        <v>369</v>
      </c>
      <c r="K119" s="10" t="b">
        <f aca="false">FALSE()</f>
        <v>0</v>
      </c>
      <c r="L119" s="10" t="b">
        <f aca="false">TRUE()</f>
        <v>1</v>
      </c>
      <c r="M119" s="2" t="s">
        <v>494</v>
      </c>
      <c r="N119" s="2" t="s">
        <v>371</v>
      </c>
      <c r="O119" s="2" t="s">
        <v>495</v>
      </c>
      <c r="P119" s="2" t="n">
        <v>60</v>
      </c>
      <c r="Q119" s="2" t="s">
        <v>496</v>
      </c>
      <c r="R119" s="11" t="s">
        <v>497</v>
      </c>
      <c r="S119" s="11" t="s">
        <v>498</v>
      </c>
      <c r="T119" s="2" t="s">
        <v>219</v>
      </c>
      <c r="U119" s="2" t="s">
        <v>153</v>
      </c>
      <c r="V119" s="2" t="s">
        <v>570</v>
      </c>
      <c r="W119" s="11" t="s">
        <v>571</v>
      </c>
      <c r="X119" s="2"/>
      <c r="Y119" s="2"/>
      <c r="Z119" s="2"/>
      <c r="AA119" s="2"/>
      <c r="AB119" s="2" t="s">
        <v>572</v>
      </c>
      <c r="AC119" s="2" t="s">
        <v>157</v>
      </c>
      <c r="AD119" s="2" t="s">
        <v>132</v>
      </c>
      <c r="AE119" s="10" t="b">
        <f aca="false">FALSE()</f>
        <v>0</v>
      </c>
      <c r="AF119" s="2" t="s">
        <v>133</v>
      </c>
      <c r="AG119" s="2" t="s">
        <v>158</v>
      </c>
      <c r="AH119" s="2" t="s">
        <v>135</v>
      </c>
      <c r="AI119" s="11" t="s">
        <v>502</v>
      </c>
      <c r="AJ119" s="2" t="s">
        <v>1277</v>
      </c>
      <c r="AK119" s="2"/>
      <c r="AL119" s="2"/>
    </row>
    <row r="120" customFormat="false" ht="90" hidden="false" customHeight="true" outlineLevel="0" collapsed="false">
      <c r="A120" s="2" t="s">
        <v>1170</v>
      </c>
      <c r="B120" s="2" t="s">
        <v>569</v>
      </c>
      <c r="C120" s="2" t="s">
        <v>474</v>
      </c>
      <c r="D120" s="9" t="n">
        <v>1062</v>
      </c>
      <c r="E120" s="2" t="s">
        <v>475</v>
      </c>
      <c r="F120" s="2" t="s">
        <v>492</v>
      </c>
      <c r="G120" s="2" t="s">
        <v>595</v>
      </c>
      <c r="H120" s="2" t="s">
        <v>368</v>
      </c>
      <c r="I120" s="2" t="s">
        <v>145</v>
      </c>
      <c r="J120" s="2" t="s">
        <v>369</v>
      </c>
      <c r="K120" s="10" t="b">
        <f aca="false">FALSE()</f>
        <v>0</v>
      </c>
      <c r="L120" s="10" t="b">
        <f aca="false">TRUE()</f>
        <v>1</v>
      </c>
      <c r="M120" s="2" t="s">
        <v>494</v>
      </c>
      <c r="N120" s="2" t="s">
        <v>371</v>
      </c>
      <c r="O120" s="2" t="s">
        <v>495</v>
      </c>
      <c r="P120" s="2" t="n">
        <v>60</v>
      </c>
      <c r="Q120" s="2" t="s">
        <v>496</v>
      </c>
      <c r="R120" s="11" t="s">
        <v>497</v>
      </c>
      <c r="S120" s="11" t="s">
        <v>498</v>
      </c>
      <c r="T120" s="2" t="s">
        <v>219</v>
      </c>
      <c r="U120" s="2" t="s">
        <v>153</v>
      </c>
      <c r="V120" s="2" t="s">
        <v>570</v>
      </c>
      <c r="W120" s="11" t="s">
        <v>575</v>
      </c>
      <c r="X120" s="2"/>
      <c r="Y120" s="2"/>
      <c r="Z120" s="2"/>
      <c r="AA120" s="2"/>
      <c r="AB120" s="2" t="s">
        <v>572</v>
      </c>
      <c r="AC120" s="2" t="s">
        <v>157</v>
      </c>
      <c r="AD120" s="2" t="s">
        <v>132</v>
      </c>
      <c r="AE120" s="10" t="b">
        <f aca="false">FALSE()</f>
        <v>0</v>
      </c>
      <c r="AF120" s="2" t="s">
        <v>133</v>
      </c>
      <c r="AG120" s="2" t="s">
        <v>158</v>
      </c>
      <c r="AH120" s="2" t="s">
        <v>135</v>
      </c>
      <c r="AI120" s="11" t="s">
        <v>502</v>
      </c>
      <c r="AJ120" s="2" t="s">
        <v>1142</v>
      </c>
      <c r="AK120" s="2" t="s">
        <v>1142</v>
      </c>
      <c r="AL120" s="2" t="s">
        <v>1171</v>
      </c>
    </row>
    <row r="121" customFormat="false" ht="90" hidden="false" customHeight="true" outlineLevel="0" collapsed="false">
      <c r="A121" s="2" t="s">
        <v>614</v>
      </c>
      <c r="B121" s="2" t="s">
        <v>569</v>
      </c>
      <c r="C121" s="2" t="s">
        <v>474</v>
      </c>
      <c r="D121" s="9" t="n">
        <v>1011</v>
      </c>
      <c r="E121" s="2" t="s">
        <v>491</v>
      </c>
      <c r="F121" s="2" t="s">
        <v>492</v>
      </c>
      <c r="G121" s="2" t="s">
        <v>524</v>
      </c>
      <c r="H121" s="2" t="s">
        <v>368</v>
      </c>
      <c r="I121" s="2" t="s">
        <v>145</v>
      </c>
      <c r="J121" s="2" t="s">
        <v>369</v>
      </c>
      <c r="K121" s="10" t="b">
        <f aca="false">FALSE()</f>
        <v>0</v>
      </c>
      <c r="L121" s="10" t="b">
        <f aca="false">TRUE()</f>
        <v>1</v>
      </c>
      <c r="M121" s="2" t="s">
        <v>494</v>
      </c>
      <c r="N121" s="2" t="s">
        <v>371</v>
      </c>
      <c r="O121" s="2" t="s">
        <v>495</v>
      </c>
      <c r="P121" s="2" t="n">
        <v>60</v>
      </c>
      <c r="Q121" s="2" t="s">
        <v>496</v>
      </c>
      <c r="R121" s="11" t="s">
        <v>497</v>
      </c>
      <c r="S121" s="11" t="s">
        <v>498</v>
      </c>
      <c r="T121" s="2" t="s">
        <v>219</v>
      </c>
      <c r="U121" s="2" t="s">
        <v>153</v>
      </c>
      <c r="V121" s="2" t="s">
        <v>570</v>
      </c>
      <c r="W121" s="11" t="s">
        <v>592</v>
      </c>
      <c r="X121" s="2"/>
      <c r="Y121" s="2"/>
      <c r="Z121" s="2"/>
      <c r="AA121" s="2"/>
      <c r="AB121" s="2" t="s">
        <v>572</v>
      </c>
      <c r="AC121" s="2" t="s">
        <v>157</v>
      </c>
      <c r="AD121" s="2" t="s">
        <v>132</v>
      </c>
      <c r="AE121" s="10" t="b">
        <f aca="false">FALSE()</f>
        <v>0</v>
      </c>
      <c r="AF121" s="2" t="s">
        <v>133</v>
      </c>
      <c r="AG121" s="2" t="s">
        <v>158</v>
      </c>
      <c r="AH121" s="2" t="s">
        <v>135</v>
      </c>
      <c r="AI121" s="11" t="s">
        <v>502</v>
      </c>
      <c r="AJ121" s="2" t="s">
        <v>1277</v>
      </c>
      <c r="AK121" s="2"/>
      <c r="AL121" s="2"/>
    </row>
    <row r="122" customFormat="false" ht="90" hidden="false" customHeight="true" outlineLevel="0" collapsed="false">
      <c r="A122" s="2" t="s">
        <v>1172</v>
      </c>
      <c r="B122" s="2" t="s">
        <v>569</v>
      </c>
      <c r="C122" s="2" t="s">
        <v>474</v>
      </c>
      <c r="D122" s="9" t="n">
        <v>998</v>
      </c>
      <c r="E122" s="2" t="s">
        <v>491</v>
      </c>
      <c r="F122" s="2" t="s">
        <v>492</v>
      </c>
      <c r="G122" s="2" t="s">
        <v>524</v>
      </c>
      <c r="H122" s="2" t="s">
        <v>368</v>
      </c>
      <c r="I122" s="2" t="s">
        <v>145</v>
      </c>
      <c r="J122" s="2" t="s">
        <v>369</v>
      </c>
      <c r="K122" s="10" t="b">
        <f aca="false">FALSE()</f>
        <v>0</v>
      </c>
      <c r="L122" s="10" t="b">
        <f aca="false">TRUE()</f>
        <v>1</v>
      </c>
      <c r="M122" s="2" t="s">
        <v>494</v>
      </c>
      <c r="N122" s="2" t="s">
        <v>371</v>
      </c>
      <c r="O122" s="2" t="s">
        <v>495</v>
      </c>
      <c r="P122" s="2" t="n">
        <v>30</v>
      </c>
      <c r="Q122" s="2" t="s">
        <v>496</v>
      </c>
      <c r="R122" s="11" t="s">
        <v>497</v>
      </c>
      <c r="S122" s="11" t="s">
        <v>498</v>
      </c>
      <c r="T122" s="2" t="s">
        <v>219</v>
      </c>
      <c r="U122" s="2" t="s">
        <v>153</v>
      </c>
      <c r="V122" s="2" t="s">
        <v>587</v>
      </c>
      <c r="W122" s="11" t="s">
        <v>1300</v>
      </c>
      <c r="X122" s="2"/>
      <c r="Y122" s="2"/>
      <c r="Z122" s="2"/>
      <c r="AA122" s="2"/>
      <c r="AB122" s="2" t="s">
        <v>589</v>
      </c>
      <c r="AC122" s="2" t="s">
        <v>131</v>
      </c>
      <c r="AD122" s="2" t="s">
        <v>354</v>
      </c>
      <c r="AE122" s="10" t="b">
        <f aca="false">FALSE()</f>
        <v>0</v>
      </c>
      <c r="AF122" s="2" t="s">
        <v>133</v>
      </c>
      <c r="AG122" s="2" t="s">
        <v>158</v>
      </c>
      <c r="AH122" s="2" t="s">
        <v>135</v>
      </c>
      <c r="AI122" s="11" t="s">
        <v>502</v>
      </c>
      <c r="AJ122" s="2" t="s">
        <v>1142</v>
      </c>
      <c r="AK122" s="2" t="s">
        <v>1142</v>
      </c>
      <c r="AL122" s="2" t="s">
        <v>1173</v>
      </c>
    </row>
    <row r="123" customFormat="false" ht="90" hidden="false" customHeight="true" outlineLevel="0" collapsed="false">
      <c r="A123" s="2" t="s">
        <v>616</v>
      </c>
      <c r="B123" s="2" t="s">
        <v>569</v>
      </c>
      <c r="C123" s="2" t="s">
        <v>474</v>
      </c>
      <c r="D123" s="9" t="n">
        <v>987</v>
      </c>
      <c r="E123" s="2" t="s">
        <v>491</v>
      </c>
      <c r="F123" s="2" t="s">
        <v>492</v>
      </c>
      <c r="G123" s="2" t="s">
        <v>524</v>
      </c>
      <c r="H123" s="2" t="s">
        <v>368</v>
      </c>
      <c r="I123" s="2" t="s">
        <v>145</v>
      </c>
      <c r="J123" s="2" t="s">
        <v>369</v>
      </c>
      <c r="K123" s="10" t="b">
        <f aca="false">FALSE()</f>
        <v>0</v>
      </c>
      <c r="L123" s="10" t="b">
        <f aca="false">TRUE()</f>
        <v>1</v>
      </c>
      <c r="M123" s="2" t="s">
        <v>494</v>
      </c>
      <c r="N123" s="2" t="s">
        <v>371</v>
      </c>
      <c r="O123" s="2" t="s">
        <v>495</v>
      </c>
      <c r="P123" s="2" t="n">
        <v>30</v>
      </c>
      <c r="Q123" s="2" t="s">
        <v>496</v>
      </c>
      <c r="R123" s="11" t="s">
        <v>497</v>
      </c>
      <c r="S123" s="11" t="s">
        <v>498</v>
      </c>
      <c r="T123" s="2"/>
      <c r="U123" s="2" t="s">
        <v>153</v>
      </c>
      <c r="V123" s="2" t="s">
        <v>578</v>
      </c>
      <c r="W123" s="11" t="s">
        <v>579</v>
      </c>
      <c r="X123" s="2"/>
      <c r="Y123" s="2"/>
      <c r="Z123" s="2"/>
      <c r="AA123" s="2"/>
      <c r="AB123" s="2" t="s">
        <v>580</v>
      </c>
      <c r="AC123" s="2" t="s">
        <v>131</v>
      </c>
      <c r="AD123" s="2" t="s">
        <v>132</v>
      </c>
      <c r="AE123" s="10" t="b">
        <f aca="false">FALSE()</f>
        <v>0</v>
      </c>
      <c r="AF123" s="2" t="s">
        <v>133</v>
      </c>
      <c r="AG123" s="2" t="s">
        <v>134</v>
      </c>
      <c r="AH123" s="2" t="s">
        <v>135</v>
      </c>
      <c r="AI123" s="11" t="s">
        <v>502</v>
      </c>
      <c r="AJ123" s="2" t="s">
        <v>1277</v>
      </c>
      <c r="AK123" s="2"/>
      <c r="AL123" s="2"/>
    </row>
    <row r="124" customFormat="false" ht="90" hidden="false" customHeight="true" outlineLevel="0" collapsed="false">
      <c r="A124" s="2" t="s">
        <v>618</v>
      </c>
      <c r="B124" s="2" t="s">
        <v>569</v>
      </c>
      <c r="C124" s="2" t="s">
        <v>474</v>
      </c>
      <c r="D124" s="9" t="n">
        <v>982</v>
      </c>
      <c r="E124" s="2" t="s">
        <v>491</v>
      </c>
      <c r="F124" s="2" t="s">
        <v>492</v>
      </c>
      <c r="G124" s="2" t="s">
        <v>524</v>
      </c>
      <c r="H124" s="2" t="s">
        <v>368</v>
      </c>
      <c r="I124" s="2" t="s">
        <v>145</v>
      </c>
      <c r="J124" s="2" t="s">
        <v>369</v>
      </c>
      <c r="K124" s="10" t="b">
        <f aca="false">FALSE()</f>
        <v>0</v>
      </c>
      <c r="L124" s="10" t="b">
        <f aca="false">TRUE()</f>
        <v>1</v>
      </c>
      <c r="M124" s="2" t="s">
        <v>494</v>
      </c>
      <c r="N124" s="2" t="s">
        <v>371</v>
      </c>
      <c r="O124" s="2" t="s">
        <v>495</v>
      </c>
      <c r="P124" s="2" t="n">
        <v>60</v>
      </c>
      <c r="Q124" s="2" t="s">
        <v>496</v>
      </c>
      <c r="R124" s="11" t="s">
        <v>497</v>
      </c>
      <c r="S124" s="11" t="s">
        <v>498</v>
      </c>
      <c r="T124" s="2"/>
      <c r="U124" s="2" t="s">
        <v>153</v>
      </c>
      <c r="V124" s="2" t="s">
        <v>570</v>
      </c>
      <c r="W124" s="11" t="s">
        <v>575</v>
      </c>
      <c r="X124" s="2"/>
      <c r="Y124" s="2"/>
      <c r="Z124" s="2"/>
      <c r="AA124" s="2"/>
      <c r="AB124" s="2" t="s">
        <v>572</v>
      </c>
      <c r="AC124" s="2" t="s">
        <v>157</v>
      </c>
      <c r="AD124" s="2" t="s">
        <v>132</v>
      </c>
      <c r="AE124" s="10" t="b">
        <f aca="false">FALSE()</f>
        <v>0</v>
      </c>
      <c r="AF124" s="2" t="s">
        <v>133</v>
      </c>
      <c r="AG124" s="2" t="s">
        <v>158</v>
      </c>
      <c r="AH124" s="2" t="s">
        <v>135</v>
      </c>
      <c r="AI124" s="11" t="s">
        <v>502</v>
      </c>
      <c r="AJ124" s="2" t="s">
        <v>1277</v>
      </c>
      <c r="AK124" s="2"/>
      <c r="AL124" s="2"/>
    </row>
    <row r="125" customFormat="false" ht="90" hidden="false" customHeight="true" outlineLevel="0" collapsed="false">
      <c r="A125" s="2" t="s">
        <v>620</v>
      </c>
      <c r="B125" s="2" t="s">
        <v>569</v>
      </c>
      <c r="C125" s="2" t="s">
        <v>474</v>
      </c>
      <c r="D125" s="9" t="n">
        <v>944</v>
      </c>
      <c r="E125" s="2" t="s">
        <v>491</v>
      </c>
      <c r="F125" s="2" t="s">
        <v>492</v>
      </c>
      <c r="G125" s="2" t="s">
        <v>524</v>
      </c>
      <c r="H125" s="2" t="s">
        <v>368</v>
      </c>
      <c r="I125" s="2" t="s">
        <v>145</v>
      </c>
      <c r="J125" s="2" t="s">
        <v>369</v>
      </c>
      <c r="K125" s="10" t="b">
        <f aca="false">FALSE()</f>
        <v>0</v>
      </c>
      <c r="L125" s="10" t="b">
        <f aca="false">TRUE()</f>
        <v>1</v>
      </c>
      <c r="M125" s="2" t="s">
        <v>494</v>
      </c>
      <c r="N125" s="2" t="s">
        <v>371</v>
      </c>
      <c r="O125" s="2" t="s">
        <v>495</v>
      </c>
      <c r="P125" s="2" t="n">
        <v>60</v>
      </c>
      <c r="Q125" s="2" t="s">
        <v>496</v>
      </c>
      <c r="R125" s="11" t="s">
        <v>497</v>
      </c>
      <c r="S125" s="11" t="s">
        <v>498</v>
      </c>
      <c r="T125" s="2" t="s">
        <v>219</v>
      </c>
      <c r="U125" s="2" t="s">
        <v>153</v>
      </c>
      <c r="V125" s="2" t="s">
        <v>570</v>
      </c>
      <c r="W125" s="11" t="s">
        <v>571</v>
      </c>
      <c r="X125" s="2"/>
      <c r="Y125" s="2"/>
      <c r="Z125" s="2"/>
      <c r="AA125" s="2"/>
      <c r="AB125" s="2" t="s">
        <v>572</v>
      </c>
      <c r="AC125" s="2" t="s">
        <v>157</v>
      </c>
      <c r="AD125" s="2" t="s">
        <v>132</v>
      </c>
      <c r="AE125" s="10" t="b">
        <f aca="false">FALSE()</f>
        <v>0</v>
      </c>
      <c r="AF125" s="2" t="s">
        <v>133</v>
      </c>
      <c r="AG125" s="2" t="s">
        <v>158</v>
      </c>
      <c r="AH125" s="2" t="s">
        <v>135</v>
      </c>
      <c r="AI125" s="11" t="s">
        <v>502</v>
      </c>
      <c r="AJ125" s="2" t="s">
        <v>1277</v>
      </c>
      <c r="AK125" s="2"/>
      <c r="AL125" s="2"/>
    </row>
    <row r="126" customFormat="false" ht="90" hidden="false" customHeight="true" outlineLevel="0" collapsed="false">
      <c r="A126" s="2" t="s">
        <v>622</v>
      </c>
      <c r="B126" s="2" t="s">
        <v>569</v>
      </c>
      <c r="C126" s="2" t="s">
        <v>474</v>
      </c>
      <c r="D126" s="9" t="n">
        <v>925</v>
      </c>
      <c r="E126" s="2" t="s">
        <v>491</v>
      </c>
      <c r="F126" s="2" t="s">
        <v>492</v>
      </c>
      <c r="G126" s="2" t="s">
        <v>524</v>
      </c>
      <c r="H126" s="2" t="s">
        <v>368</v>
      </c>
      <c r="I126" s="2" t="s">
        <v>145</v>
      </c>
      <c r="J126" s="2" t="s">
        <v>369</v>
      </c>
      <c r="K126" s="10" t="b">
        <f aca="false">FALSE()</f>
        <v>0</v>
      </c>
      <c r="L126" s="10" t="b">
        <f aca="false">FALSE()</f>
        <v>0</v>
      </c>
      <c r="M126" s="2" t="s">
        <v>494</v>
      </c>
      <c r="N126" s="2" t="s">
        <v>371</v>
      </c>
      <c r="O126" s="2" t="s">
        <v>495</v>
      </c>
      <c r="P126" s="2" t="n">
        <v>30</v>
      </c>
      <c r="Q126" s="2" t="s">
        <v>496</v>
      </c>
      <c r="R126" s="11" t="s">
        <v>497</v>
      </c>
      <c r="S126" s="11" t="s">
        <v>498</v>
      </c>
      <c r="T126" s="2"/>
      <c r="U126" s="2" t="s">
        <v>153</v>
      </c>
      <c r="V126" s="2" t="s">
        <v>606</v>
      </c>
      <c r="W126" s="11" t="s">
        <v>607</v>
      </c>
      <c r="X126" s="2"/>
      <c r="Y126" s="2"/>
      <c r="Z126" s="2"/>
      <c r="AA126" s="2"/>
      <c r="AB126" s="2" t="s">
        <v>608</v>
      </c>
      <c r="AC126" s="2" t="s">
        <v>131</v>
      </c>
      <c r="AD126" s="2" t="s">
        <v>440</v>
      </c>
      <c r="AE126" s="10" t="b">
        <f aca="false">FALSE()</f>
        <v>0</v>
      </c>
      <c r="AF126" s="2" t="s">
        <v>133</v>
      </c>
      <c r="AG126" s="2" t="s">
        <v>158</v>
      </c>
      <c r="AH126" s="2" t="s">
        <v>135</v>
      </c>
      <c r="AI126" s="11" t="s">
        <v>502</v>
      </c>
      <c r="AJ126" s="2" t="s">
        <v>1277</v>
      </c>
      <c r="AK126" s="2"/>
      <c r="AL126" s="2"/>
    </row>
    <row r="127" customFormat="false" ht="90" hidden="false" customHeight="true" outlineLevel="0" collapsed="false">
      <c r="A127" s="2" t="s">
        <v>1174</v>
      </c>
      <c r="B127" s="2" t="s">
        <v>569</v>
      </c>
      <c r="C127" s="2" t="s">
        <v>474</v>
      </c>
      <c r="D127" s="9" t="n">
        <v>922</v>
      </c>
      <c r="E127" s="2" t="s">
        <v>475</v>
      </c>
      <c r="F127" s="2" t="s">
        <v>492</v>
      </c>
      <c r="G127" s="2" t="s">
        <v>595</v>
      </c>
      <c r="H127" s="2" t="s">
        <v>368</v>
      </c>
      <c r="I127" s="2" t="s">
        <v>145</v>
      </c>
      <c r="J127" s="2" t="s">
        <v>369</v>
      </c>
      <c r="K127" s="10" t="b">
        <f aca="false">FALSE()</f>
        <v>0</v>
      </c>
      <c r="L127" s="10" t="b">
        <f aca="false">TRUE()</f>
        <v>1</v>
      </c>
      <c r="M127" s="2" t="s">
        <v>494</v>
      </c>
      <c r="N127" s="2" t="s">
        <v>371</v>
      </c>
      <c r="O127" s="2" t="s">
        <v>495</v>
      </c>
      <c r="P127" s="2" t="n">
        <v>60</v>
      </c>
      <c r="Q127" s="2" t="s">
        <v>496</v>
      </c>
      <c r="R127" s="11" t="s">
        <v>497</v>
      </c>
      <c r="S127" s="11" t="s">
        <v>498</v>
      </c>
      <c r="T127" s="2"/>
      <c r="U127" s="2" t="s">
        <v>153</v>
      </c>
      <c r="V127" s="2" t="s">
        <v>570</v>
      </c>
      <c r="W127" s="11" t="s">
        <v>575</v>
      </c>
      <c r="X127" s="2"/>
      <c r="Y127" s="2"/>
      <c r="Z127" s="2"/>
      <c r="AA127" s="2"/>
      <c r="AB127" s="2" t="s">
        <v>572</v>
      </c>
      <c r="AC127" s="2" t="s">
        <v>187</v>
      </c>
      <c r="AD127" s="2" t="s">
        <v>132</v>
      </c>
      <c r="AE127" s="10" t="b">
        <f aca="false">FALSE()</f>
        <v>0</v>
      </c>
      <c r="AF127" s="2" t="s">
        <v>133</v>
      </c>
      <c r="AG127" s="2" t="s">
        <v>158</v>
      </c>
      <c r="AH127" s="2" t="s">
        <v>135</v>
      </c>
      <c r="AI127" s="11" t="s">
        <v>502</v>
      </c>
      <c r="AJ127" s="2" t="s">
        <v>1142</v>
      </c>
      <c r="AK127" s="2" t="s">
        <v>1142</v>
      </c>
      <c r="AL127" s="2" t="s">
        <v>1175</v>
      </c>
    </row>
    <row r="128" customFormat="false" ht="90" hidden="false" customHeight="true" outlineLevel="0" collapsed="false">
      <c r="A128" s="2" t="s">
        <v>624</v>
      </c>
      <c r="B128" s="2" t="s">
        <v>569</v>
      </c>
      <c r="C128" s="2" t="s">
        <v>474</v>
      </c>
      <c r="D128" s="9" t="n">
        <v>908</v>
      </c>
      <c r="E128" s="2" t="s">
        <v>491</v>
      </c>
      <c r="F128" s="2" t="s">
        <v>492</v>
      </c>
      <c r="G128" s="2" t="s">
        <v>524</v>
      </c>
      <c r="H128" s="2" t="s">
        <v>368</v>
      </c>
      <c r="I128" s="2" t="s">
        <v>145</v>
      </c>
      <c r="J128" s="2" t="s">
        <v>369</v>
      </c>
      <c r="K128" s="10" t="b">
        <f aca="false">FALSE()</f>
        <v>0</v>
      </c>
      <c r="L128" s="10" t="b">
        <f aca="false">TRUE()</f>
        <v>1</v>
      </c>
      <c r="M128" s="2" t="s">
        <v>494</v>
      </c>
      <c r="N128" s="2" t="s">
        <v>371</v>
      </c>
      <c r="O128" s="2" t="s">
        <v>495</v>
      </c>
      <c r="P128" s="2" t="n">
        <v>30</v>
      </c>
      <c r="Q128" s="2" t="s">
        <v>496</v>
      </c>
      <c r="R128" s="11" t="s">
        <v>497</v>
      </c>
      <c r="S128" s="11" t="s">
        <v>498</v>
      </c>
      <c r="T128" s="2" t="s">
        <v>406</v>
      </c>
      <c r="U128" s="2" t="s">
        <v>153</v>
      </c>
      <c r="V128" s="2" t="s">
        <v>578</v>
      </c>
      <c r="W128" s="11" t="s">
        <v>625</v>
      </c>
      <c r="X128" s="2"/>
      <c r="Y128" s="2"/>
      <c r="Z128" s="2"/>
      <c r="AA128" s="2"/>
      <c r="AB128" s="2" t="s">
        <v>580</v>
      </c>
      <c r="AC128" s="2" t="s">
        <v>131</v>
      </c>
      <c r="AD128" s="2" t="s">
        <v>132</v>
      </c>
      <c r="AE128" s="10" t="b">
        <f aca="false">FALSE()</f>
        <v>0</v>
      </c>
      <c r="AF128" s="2" t="s">
        <v>133</v>
      </c>
      <c r="AG128" s="2" t="s">
        <v>158</v>
      </c>
      <c r="AH128" s="2" t="s">
        <v>135</v>
      </c>
      <c r="AI128" s="11" t="s">
        <v>502</v>
      </c>
      <c r="AJ128" s="2" t="s">
        <v>1277</v>
      </c>
      <c r="AK128" s="2"/>
      <c r="AL128" s="2"/>
    </row>
    <row r="129" customFormat="false" ht="90" hidden="false" customHeight="true" outlineLevel="0" collapsed="false">
      <c r="A129" s="2" t="s">
        <v>627</v>
      </c>
      <c r="B129" s="2" t="s">
        <v>569</v>
      </c>
      <c r="C129" s="2" t="s">
        <v>474</v>
      </c>
      <c r="D129" s="9" t="n">
        <v>896</v>
      </c>
      <c r="E129" s="2" t="s">
        <v>491</v>
      </c>
      <c r="F129" s="2" t="s">
        <v>492</v>
      </c>
      <c r="G129" s="2" t="s">
        <v>524</v>
      </c>
      <c r="H129" s="2" t="s">
        <v>368</v>
      </c>
      <c r="I129" s="2" t="s">
        <v>145</v>
      </c>
      <c r="J129" s="2" t="s">
        <v>369</v>
      </c>
      <c r="K129" s="10" t="b">
        <f aca="false">FALSE()</f>
        <v>0</v>
      </c>
      <c r="L129" s="10" t="b">
        <f aca="false">TRUE()</f>
        <v>1</v>
      </c>
      <c r="M129" s="2" t="s">
        <v>494</v>
      </c>
      <c r="N129" s="2" t="s">
        <v>371</v>
      </c>
      <c r="O129" s="2" t="s">
        <v>495</v>
      </c>
      <c r="P129" s="2" t="n">
        <v>60</v>
      </c>
      <c r="Q129" s="2" t="s">
        <v>496</v>
      </c>
      <c r="R129" s="11" t="s">
        <v>497</v>
      </c>
      <c r="S129" s="11" t="s">
        <v>498</v>
      </c>
      <c r="T129" s="2" t="s">
        <v>219</v>
      </c>
      <c r="U129" s="2" t="s">
        <v>153</v>
      </c>
      <c r="V129" s="2" t="s">
        <v>570</v>
      </c>
      <c r="W129" s="11" t="s">
        <v>571</v>
      </c>
      <c r="X129" s="2"/>
      <c r="Y129" s="2"/>
      <c r="Z129" s="2"/>
      <c r="AA129" s="2"/>
      <c r="AB129" s="2" t="s">
        <v>572</v>
      </c>
      <c r="AC129" s="2" t="s">
        <v>157</v>
      </c>
      <c r="AD129" s="2" t="s">
        <v>132</v>
      </c>
      <c r="AE129" s="10" t="b">
        <f aca="false">FALSE()</f>
        <v>0</v>
      </c>
      <c r="AF129" s="2" t="s">
        <v>133</v>
      </c>
      <c r="AG129" s="2" t="s">
        <v>158</v>
      </c>
      <c r="AH129" s="2" t="s">
        <v>135</v>
      </c>
      <c r="AI129" s="11" t="s">
        <v>502</v>
      </c>
      <c r="AJ129" s="2" t="s">
        <v>1277</v>
      </c>
      <c r="AK129" s="2"/>
      <c r="AL129" s="2"/>
    </row>
    <row r="130" customFormat="false" ht="90" hidden="false" customHeight="true" outlineLevel="0" collapsed="false">
      <c r="A130" s="2" t="s">
        <v>629</v>
      </c>
      <c r="B130" s="2" t="s">
        <v>569</v>
      </c>
      <c r="C130" s="2" t="s">
        <v>474</v>
      </c>
      <c r="D130" s="9" t="n">
        <v>892</v>
      </c>
      <c r="E130" s="2" t="s">
        <v>491</v>
      </c>
      <c r="F130" s="2" t="s">
        <v>492</v>
      </c>
      <c r="G130" s="2" t="s">
        <v>524</v>
      </c>
      <c r="H130" s="2" t="s">
        <v>368</v>
      </c>
      <c r="I130" s="2" t="s">
        <v>145</v>
      </c>
      <c r="J130" s="2" t="s">
        <v>369</v>
      </c>
      <c r="K130" s="10" t="b">
        <f aca="false">FALSE()</f>
        <v>0</v>
      </c>
      <c r="L130" s="10" t="b">
        <f aca="false">TRUE()</f>
        <v>1</v>
      </c>
      <c r="M130" s="2" t="s">
        <v>494</v>
      </c>
      <c r="N130" s="2" t="s">
        <v>371</v>
      </c>
      <c r="O130" s="2" t="s">
        <v>495</v>
      </c>
      <c r="P130" s="2" t="n">
        <v>60</v>
      </c>
      <c r="Q130" s="2" t="s">
        <v>496</v>
      </c>
      <c r="R130" s="11" t="s">
        <v>497</v>
      </c>
      <c r="S130" s="11" t="s">
        <v>498</v>
      </c>
      <c r="T130" s="2" t="s">
        <v>219</v>
      </c>
      <c r="U130" s="2" t="s">
        <v>153</v>
      </c>
      <c r="V130" s="2" t="s">
        <v>570</v>
      </c>
      <c r="W130" s="11" t="s">
        <v>571</v>
      </c>
      <c r="X130" s="2"/>
      <c r="Y130" s="2"/>
      <c r="Z130" s="2"/>
      <c r="AA130" s="2"/>
      <c r="AB130" s="2" t="s">
        <v>572</v>
      </c>
      <c r="AC130" s="2" t="s">
        <v>157</v>
      </c>
      <c r="AD130" s="2" t="s">
        <v>132</v>
      </c>
      <c r="AE130" s="10" t="b">
        <f aca="false">FALSE()</f>
        <v>0</v>
      </c>
      <c r="AF130" s="2" t="s">
        <v>133</v>
      </c>
      <c r="AG130" s="2" t="s">
        <v>158</v>
      </c>
      <c r="AH130" s="2" t="s">
        <v>135</v>
      </c>
      <c r="AI130" s="11" t="s">
        <v>502</v>
      </c>
      <c r="AJ130" s="2" t="s">
        <v>1277</v>
      </c>
      <c r="AK130" s="2"/>
      <c r="AL130" s="2"/>
    </row>
    <row r="131" customFormat="false" ht="90" hidden="false" customHeight="true" outlineLevel="0" collapsed="false">
      <c r="A131" s="2" t="s">
        <v>631</v>
      </c>
      <c r="B131" s="2" t="s">
        <v>569</v>
      </c>
      <c r="C131" s="2" t="s">
        <v>474</v>
      </c>
      <c r="D131" s="9" t="n">
        <v>880</v>
      </c>
      <c r="E131" s="2" t="s">
        <v>491</v>
      </c>
      <c r="F131" s="2" t="s">
        <v>492</v>
      </c>
      <c r="G131" s="2" t="s">
        <v>524</v>
      </c>
      <c r="H131" s="2" t="s">
        <v>368</v>
      </c>
      <c r="I131" s="2" t="s">
        <v>145</v>
      </c>
      <c r="J131" s="2" t="s">
        <v>369</v>
      </c>
      <c r="K131" s="10" t="b">
        <f aca="false">FALSE()</f>
        <v>0</v>
      </c>
      <c r="L131" s="10" t="b">
        <f aca="false">FALSE()</f>
        <v>0</v>
      </c>
      <c r="M131" s="2" t="s">
        <v>494</v>
      </c>
      <c r="N131" s="2" t="s">
        <v>371</v>
      </c>
      <c r="O131" s="2" t="s">
        <v>495</v>
      </c>
      <c r="P131" s="2" t="n">
        <v>30</v>
      </c>
      <c r="Q131" s="2" t="s">
        <v>496</v>
      </c>
      <c r="R131" s="11" t="s">
        <v>497</v>
      </c>
      <c r="S131" s="11" t="s">
        <v>498</v>
      </c>
      <c r="T131" s="2" t="s">
        <v>632</v>
      </c>
      <c r="U131" s="2" t="s">
        <v>153</v>
      </c>
      <c r="V131" s="2" t="s">
        <v>606</v>
      </c>
      <c r="W131" s="11" t="s">
        <v>607</v>
      </c>
      <c r="X131" s="2"/>
      <c r="Y131" s="2"/>
      <c r="Z131" s="2"/>
      <c r="AA131" s="2"/>
      <c r="AB131" s="2" t="s">
        <v>608</v>
      </c>
      <c r="AC131" s="2" t="s">
        <v>131</v>
      </c>
      <c r="AD131" s="2" t="s">
        <v>440</v>
      </c>
      <c r="AE131" s="10" t="b">
        <f aca="false">FALSE()</f>
        <v>0</v>
      </c>
      <c r="AF131" s="2" t="s">
        <v>133</v>
      </c>
      <c r="AG131" s="2" t="s">
        <v>158</v>
      </c>
      <c r="AH131" s="2" t="s">
        <v>135</v>
      </c>
      <c r="AI131" s="11" t="s">
        <v>502</v>
      </c>
      <c r="AJ131" s="2" t="s">
        <v>1277</v>
      </c>
      <c r="AK131" s="2"/>
      <c r="AL131" s="2"/>
    </row>
    <row r="132" customFormat="false" ht="90" hidden="false" customHeight="true" outlineLevel="0" collapsed="false">
      <c r="A132" s="2" t="s">
        <v>634</v>
      </c>
      <c r="B132" s="2" t="s">
        <v>569</v>
      </c>
      <c r="C132" s="2" t="s">
        <v>474</v>
      </c>
      <c r="D132" s="9" t="n">
        <v>874</v>
      </c>
      <c r="E132" s="2" t="s">
        <v>475</v>
      </c>
      <c r="F132" s="2" t="s">
        <v>492</v>
      </c>
      <c r="G132" s="2" t="s">
        <v>595</v>
      </c>
      <c r="H132" s="2" t="s">
        <v>368</v>
      </c>
      <c r="I132" s="2" t="s">
        <v>145</v>
      </c>
      <c r="J132" s="2" t="s">
        <v>369</v>
      </c>
      <c r="K132" s="10" t="b">
        <f aca="false">FALSE()</f>
        <v>0</v>
      </c>
      <c r="L132" s="10" t="b">
        <f aca="false">TRUE()</f>
        <v>1</v>
      </c>
      <c r="M132" s="2" t="s">
        <v>494</v>
      </c>
      <c r="N132" s="2" t="s">
        <v>371</v>
      </c>
      <c r="O132" s="2" t="s">
        <v>495</v>
      </c>
      <c r="P132" s="2" t="n">
        <v>60</v>
      </c>
      <c r="Q132" s="2" t="s">
        <v>496</v>
      </c>
      <c r="R132" s="11" t="s">
        <v>497</v>
      </c>
      <c r="S132" s="11" t="s">
        <v>498</v>
      </c>
      <c r="T132" s="2" t="s">
        <v>219</v>
      </c>
      <c r="U132" s="2" t="s">
        <v>153</v>
      </c>
      <c r="V132" s="2" t="s">
        <v>570</v>
      </c>
      <c r="W132" s="11" t="s">
        <v>571</v>
      </c>
      <c r="X132" s="2"/>
      <c r="Y132" s="2"/>
      <c r="Z132" s="2"/>
      <c r="AA132" s="2"/>
      <c r="AB132" s="2" t="s">
        <v>572</v>
      </c>
      <c r="AC132" s="2" t="s">
        <v>157</v>
      </c>
      <c r="AD132" s="2" t="s">
        <v>132</v>
      </c>
      <c r="AE132" s="10" t="b">
        <f aca="false">FALSE()</f>
        <v>0</v>
      </c>
      <c r="AF132" s="2" t="s">
        <v>133</v>
      </c>
      <c r="AG132" s="2" t="s">
        <v>158</v>
      </c>
      <c r="AH132" s="2" t="s">
        <v>135</v>
      </c>
      <c r="AI132" s="11" t="s">
        <v>502</v>
      </c>
      <c r="AJ132" s="2" t="s">
        <v>1277</v>
      </c>
      <c r="AK132" s="2"/>
      <c r="AL132" s="2"/>
    </row>
    <row r="133" customFormat="false" ht="90" hidden="false" customHeight="true" outlineLevel="0" collapsed="false">
      <c r="A133" s="2" t="s">
        <v>636</v>
      </c>
      <c r="B133" s="2" t="s">
        <v>569</v>
      </c>
      <c r="C133" s="2" t="s">
        <v>474</v>
      </c>
      <c r="D133" s="9" t="n">
        <v>852</v>
      </c>
      <c r="E133" s="2" t="s">
        <v>491</v>
      </c>
      <c r="F133" s="2" t="s">
        <v>492</v>
      </c>
      <c r="G133" s="2" t="s">
        <v>524</v>
      </c>
      <c r="H133" s="2" t="s">
        <v>368</v>
      </c>
      <c r="I133" s="2" t="s">
        <v>145</v>
      </c>
      <c r="J133" s="2" t="s">
        <v>369</v>
      </c>
      <c r="K133" s="10" t="b">
        <f aca="false">FALSE()</f>
        <v>0</v>
      </c>
      <c r="L133" s="10" t="b">
        <f aca="false">TRUE()</f>
        <v>1</v>
      </c>
      <c r="M133" s="2" t="s">
        <v>494</v>
      </c>
      <c r="N133" s="2" t="s">
        <v>371</v>
      </c>
      <c r="O133" s="2" t="s">
        <v>495</v>
      </c>
      <c r="P133" s="2" t="n">
        <v>60</v>
      </c>
      <c r="Q133" s="2" t="s">
        <v>496</v>
      </c>
      <c r="R133" s="11" t="s">
        <v>497</v>
      </c>
      <c r="S133" s="11" t="s">
        <v>498</v>
      </c>
      <c r="T133" s="2"/>
      <c r="U133" s="2" t="s">
        <v>153</v>
      </c>
      <c r="V133" s="2" t="s">
        <v>570</v>
      </c>
      <c r="W133" s="11" t="s">
        <v>571</v>
      </c>
      <c r="X133" s="2"/>
      <c r="Y133" s="2"/>
      <c r="Z133" s="2"/>
      <c r="AA133" s="2"/>
      <c r="AB133" s="2" t="s">
        <v>572</v>
      </c>
      <c r="AC133" s="2" t="s">
        <v>187</v>
      </c>
      <c r="AD133" s="2" t="s">
        <v>132</v>
      </c>
      <c r="AE133" s="10" t="b">
        <f aca="false">FALSE()</f>
        <v>0</v>
      </c>
      <c r="AF133" s="2" t="s">
        <v>133</v>
      </c>
      <c r="AG133" s="2" t="s">
        <v>158</v>
      </c>
      <c r="AH133" s="2" t="s">
        <v>135</v>
      </c>
      <c r="AI133" s="11" t="s">
        <v>502</v>
      </c>
      <c r="AJ133" s="2" t="s">
        <v>1277</v>
      </c>
      <c r="AK133" s="2"/>
      <c r="AL133" s="2"/>
    </row>
    <row r="134" customFormat="false" ht="90" hidden="false" customHeight="true" outlineLevel="0" collapsed="false">
      <c r="A134" s="2" t="s">
        <v>638</v>
      </c>
      <c r="B134" s="2" t="s">
        <v>569</v>
      </c>
      <c r="C134" s="2" t="s">
        <v>474</v>
      </c>
      <c r="D134" s="9" t="n">
        <v>844</v>
      </c>
      <c r="E134" s="2" t="s">
        <v>491</v>
      </c>
      <c r="F134" s="2" t="s">
        <v>492</v>
      </c>
      <c r="G134" s="2" t="s">
        <v>524</v>
      </c>
      <c r="H134" s="2" t="s">
        <v>368</v>
      </c>
      <c r="I134" s="2" t="s">
        <v>145</v>
      </c>
      <c r="J134" s="2" t="s">
        <v>369</v>
      </c>
      <c r="K134" s="10" t="b">
        <f aca="false">FALSE()</f>
        <v>0</v>
      </c>
      <c r="L134" s="10" t="b">
        <f aca="false">TRUE()</f>
        <v>1</v>
      </c>
      <c r="M134" s="2" t="s">
        <v>494</v>
      </c>
      <c r="N134" s="2" t="s">
        <v>371</v>
      </c>
      <c r="O134" s="2" t="s">
        <v>495</v>
      </c>
      <c r="P134" s="2" t="n">
        <v>60</v>
      </c>
      <c r="Q134" s="2" t="s">
        <v>496</v>
      </c>
      <c r="R134" s="11" t="s">
        <v>497</v>
      </c>
      <c r="S134" s="11" t="s">
        <v>498</v>
      </c>
      <c r="T134" s="2"/>
      <c r="U134" s="2" t="s">
        <v>153</v>
      </c>
      <c r="V134" s="2" t="s">
        <v>570</v>
      </c>
      <c r="W134" s="11" t="s">
        <v>571</v>
      </c>
      <c r="X134" s="2"/>
      <c r="Y134" s="2"/>
      <c r="Z134" s="2"/>
      <c r="AA134" s="2"/>
      <c r="AB134" s="2" t="s">
        <v>572</v>
      </c>
      <c r="AC134" s="2" t="s">
        <v>187</v>
      </c>
      <c r="AD134" s="2" t="s">
        <v>132</v>
      </c>
      <c r="AE134" s="10" t="b">
        <f aca="false">FALSE()</f>
        <v>0</v>
      </c>
      <c r="AF134" s="2" t="s">
        <v>133</v>
      </c>
      <c r="AG134" s="2" t="s">
        <v>158</v>
      </c>
      <c r="AH134" s="2" t="s">
        <v>135</v>
      </c>
      <c r="AI134" s="11" t="s">
        <v>502</v>
      </c>
      <c r="AJ134" s="2" t="s">
        <v>1277</v>
      </c>
      <c r="AK134" s="2"/>
      <c r="AL134" s="2"/>
    </row>
    <row r="135" customFormat="false" ht="90" hidden="false" customHeight="true" outlineLevel="0" collapsed="false">
      <c r="A135" s="2" t="s">
        <v>640</v>
      </c>
      <c r="B135" s="2" t="s">
        <v>569</v>
      </c>
      <c r="C135" s="2" t="s">
        <v>474</v>
      </c>
      <c r="D135" s="9" t="n">
        <v>840</v>
      </c>
      <c r="E135" s="2" t="s">
        <v>491</v>
      </c>
      <c r="F135" s="2" t="s">
        <v>492</v>
      </c>
      <c r="G135" s="2" t="s">
        <v>524</v>
      </c>
      <c r="H135" s="2" t="s">
        <v>368</v>
      </c>
      <c r="I135" s="2" t="s">
        <v>145</v>
      </c>
      <c r="J135" s="2" t="s">
        <v>369</v>
      </c>
      <c r="K135" s="10" t="b">
        <f aca="false">FALSE()</f>
        <v>0</v>
      </c>
      <c r="L135" s="10" t="b">
        <f aca="false">TRUE()</f>
        <v>1</v>
      </c>
      <c r="M135" s="2" t="s">
        <v>494</v>
      </c>
      <c r="N135" s="2" t="s">
        <v>371</v>
      </c>
      <c r="O135" s="2" t="s">
        <v>495</v>
      </c>
      <c r="P135" s="2" t="n">
        <v>60</v>
      </c>
      <c r="Q135" s="2" t="s">
        <v>496</v>
      </c>
      <c r="R135" s="11" t="s">
        <v>497</v>
      </c>
      <c r="S135" s="11" t="s">
        <v>498</v>
      </c>
      <c r="T135" s="2" t="s">
        <v>219</v>
      </c>
      <c r="U135" s="2" t="s">
        <v>153</v>
      </c>
      <c r="V135" s="2" t="s">
        <v>570</v>
      </c>
      <c r="W135" s="11" t="s">
        <v>571</v>
      </c>
      <c r="X135" s="2"/>
      <c r="Y135" s="2"/>
      <c r="Z135" s="2"/>
      <c r="AA135" s="2"/>
      <c r="AB135" s="2" t="s">
        <v>572</v>
      </c>
      <c r="AC135" s="2" t="s">
        <v>157</v>
      </c>
      <c r="AD135" s="2" t="s">
        <v>132</v>
      </c>
      <c r="AE135" s="10" t="b">
        <f aca="false">FALSE()</f>
        <v>0</v>
      </c>
      <c r="AF135" s="2" t="s">
        <v>133</v>
      </c>
      <c r="AG135" s="2" t="s">
        <v>158</v>
      </c>
      <c r="AH135" s="2" t="s">
        <v>135</v>
      </c>
      <c r="AI135" s="11" t="s">
        <v>502</v>
      </c>
      <c r="AJ135" s="2" t="s">
        <v>1277</v>
      </c>
      <c r="AK135" s="2"/>
      <c r="AL135" s="2"/>
    </row>
    <row r="136" customFormat="false" ht="90" hidden="false" customHeight="true" outlineLevel="0" collapsed="false">
      <c r="A136" s="2" t="s">
        <v>642</v>
      </c>
      <c r="B136" s="2" t="s">
        <v>569</v>
      </c>
      <c r="C136" s="2" t="s">
        <v>474</v>
      </c>
      <c r="D136" s="9" t="n">
        <v>834</v>
      </c>
      <c r="E136" s="2" t="s">
        <v>491</v>
      </c>
      <c r="F136" s="2" t="s">
        <v>492</v>
      </c>
      <c r="G136" s="2" t="s">
        <v>524</v>
      </c>
      <c r="H136" s="2" t="s">
        <v>368</v>
      </c>
      <c r="I136" s="2" t="s">
        <v>145</v>
      </c>
      <c r="J136" s="2" t="s">
        <v>369</v>
      </c>
      <c r="K136" s="10" t="b">
        <f aca="false">FALSE()</f>
        <v>0</v>
      </c>
      <c r="L136" s="10" t="b">
        <f aca="false">TRUE()</f>
        <v>1</v>
      </c>
      <c r="M136" s="2" t="s">
        <v>494</v>
      </c>
      <c r="N136" s="2" t="s">
        <v>371</v>
      </c>
      <c r="O136" s="2" t="s">
        <v>495</v>
      </c>
      <c r="P136" s="2" t="n">
        <v>60</v>
      </c>
      <c r="Q136" s="2" t="s">
        <v>496</v>
      </c>
      <c r="R136" s="11" t="s">
        <v>497</v>
      </c>
      <c r="S136" s="11" t="s">
        <v>498</v>
      </c>
      <c r="T136" s="2"/>
      <c r="U136" s="2" t="s">
        <v>153</v>
      </c>
      <c r="V136" s="2" t="s">
        <v>570</v>
      </c>
      <c r="W136" s="11" t="s">
        <v>571</v>
      </c>
      <c r="X136" s="2"/>
      <c r="Y136" s="2"/>
      <c r="Z136" s="2"/>
      <c r="AA136" s="2"/>
      <c r="AB136" s="2" t="s">
        <v>572</v>
      </c>
      <c r="AC136" s="2" t="s">
        <v>187</v>
      </c>
      <c r="AD136" s="2" t="s">
        <v>132</v>
      </c>
      <c r="AE136" s="10" t="b">
        <f aca="false">FALSE()</f>
        <v>0</v>
      </c>
      <c r="AF136" s="2" t="s">
        <v>133</v>
      </c>
      <c r="AG136" s="2" t="s">
        <v>158</v>
      </c>
      <c r="AH136" s="2" t="s">
        <v>135</v>
      </c>
      <c r="AI136" s="11" t="s">
        <v>502</v>
      </c>
      <c r="AJ136" s="2" t="s">
        <v>1277</v>
      </c>
      <c r="AK136" s="2"/>
      <c r="AL136" s="2"/>
    </row>
    <row r="137" customFormat="false" ht="90" hidden="false" customHeight="true" outlineLevel="0" collapsed="false">
      <c r="A137" s="2" t="s">
        <v>644</v>
      </c>
      <c r="B137" s="2" t="s">
        <v>569</v>
      </c>
      <c r="C137" s="2" t="s">
        <v>474</v>
      </c>
      <c r="D137" s="9" t="n">
        <v>788</v>
      </c>
      <c r="E137" s="2" t="s">
        <v>491</v>
      </c>
      <c r="F137" s="2" t="s">
        <v>492</v>
      </c>
      <c r="G137" s="2" t="s">
        <v>524</v>
      </c>
      <c r="H137" s="2" t="s">
        <v>368</v>
      </c>
      <c r="I137" s="2" t="s">
        <v>145</v>
      </c>
      <c r="J137" s="2" t="s">
        <v>369</v>
      </c>
      <c r="K137" s="10" t="b">
        <f aca="false">FALSE()</f>
        <v>0</v>
      </c>
      <c r="L137" s="10" t="b">
        <f aca="false">TRUE()</f>
        <v>1</v>
      </c>
      <c r="M137" s="2" t="s">
        <v>494</v>
      </c>
      <c r="N137" s="2" t="s">
        <v>371</v>
      </c>
      <c r="O137" s="2" t="s">
        <v>495</v>
      </c>
      <c r="P137" s="2" t="n">
        <v>30</v>
      </c>
      <c r="Q137" s="2" t="s">
        <v>496</v>
      </c>
      <c r="R137" s="11" t="s">
        <v>497</v>
      </c>
      <c r="S137" s="11" t="s">
        <v>498</v>
      </c>
      <c r="T137" s="2" t="s">
        <v>219</v>
      </c>
      <c r="U137" s="2" t="s">
        <v>153</v>
      </c>
      <c r="V137" s="2" t="s">
        <v>587</v>
      </c>
      <c r="W137" s="11" t="s">
        <v>645</v>
      </c>
      <c r="X137" s="2"/>
      <c r="Y137" s="2"/>
      <c r="Z137" s="2"/>
      <c r="AA137" s="2"/>
      <c r="AB137" s="2" t="s">
        <v>589</v>
      </c>
      <c r="AC137" s="2" t="s">
        <v>157</v>
      </c>
      <c r="AD137" s="2" t="s">
        <v>354</v>
      </c>
      <c r="AE137" s="10" t="b">
        <f aca="false">FALSE()</f>
        <v>0</v>
      </c>
      <c r="AF137" s="2" t="s">
        <v>133</v>
      </c>
      <c r="AG137" s="2" t="s">
        <v>158</v>
      </c>
      <c r="AH137" s="2" t="s">
        <v>135</v>
      </c>
      <c r="AI137" s="11" t="s">
        <v>502</v>
      </c>
      <c r="AJ137" s="2" t="s">
        <v>1277</v>
      </c>
      <c r="AK137" s="2"/>
      <c r="AL137" s="2"/>
    </row>
    <row r="138" customFormat="false" ht="90" hidden="false" customHeight="true" outlineLevel="0" collapsed="false">
      <c r="A138" s="2" t="s">
        <v>647</v>
      </c>
      <c r="B138" s="2" t="s">
        <v>569</v>
      </c>
      <c r="C138" s="2" t="s">
        <v>474</v>
      </c>
      <c r="D138" s="9" t="n">
        <v>763</v>
      </c>
      <c r="E138" s="2" t="s">
        <v>491</v>
      </c>
      <c r="F138" s="2" t="s">
        <v>492</v>
      </c>
      <c r="G138" s="2" t="s">
        <v>524</v>
      </c>
      <c r="H138" s="2" t="s">
        <v>368</v>
      </c>
      <c r="I138" s="2" t="s">
        <v>145</v>
      </c>
      <c r="J138" s="2" t="s">
        <v>369</v>
      </c>
      <c r="K138" s="10" t="b">
        <f aca="false">FALSE()</f>
        <v>0</v>
      </c>
      <c r="L138" s="10" t="b">
        <f aca="false">TRUE()</f>
        <v>1</v>
      </c>
      <c r="M138" s="2" t="s">
        <v>494</v>
      </c>
      <c r="N138" s="2" t="s">
        <v>371</v>
      </c>
      <c r="O138" s="2" t="s">
        <v>495</v>
      </c>
      <c r="P138" s="2" t="n">
        <v>60</v>
      </c>
      <c r="Q138" s="2" t="s">
        <v>496</v>
      </c>
      <c r="R138" s="11" t="s">
        <v>497</v>
      </c>
      <c r="S138" s="11" t="s">
        <v>498</v>
      </c>
      <c r="T138" s="2" t="s">
        <v>219</v>
      </c>
      <c r="U138" s="2" t="s">
        <v>153</v>
      </c>
      <c r="V138" s="2" t="s">
        <v>570</v>
      </c>
      <c r="W138" s="11" t="s">
        <v>571</v>
      </c>
      <c r="X138" s="2"/>
      <c r="Y138" s="2"/>
      <c r="Z138" s="2"/>
      <c r="AA138" s="2"/>
      <c r="AB138" s="2" t="s">
        <v>572</v>
      </c>
      <c r="AC138" s="2" t="s">
        <v>157</v>
      </c>
      <c r="AD138" s="2" t="s">
        <v>132</v>
      </c>
      <c r="AE138" s="10" t="b">
        <f aca="false">FALSE()</f>
        <v>0</v>
      </c>
      <c r="AF138" s="2" t="s">
        <v>133</v>
      </c>
      <c r="AG138" s="2" t="s">
        <v>158</v>
      </c>
      <c r="AH138" s="2" t="s">
        <v>135</v>
      </c>
      <c r="AI138" s="11" t="s">
        <v>502</v>
      </c>
      <c r="AJ138" s="2" t="s">
        <v>1277</v>
      </c>
      <c r="AK138" s="2"/>
      <c r="AL138" s="2"/>
    </row>
    <row r="139" customFormat="false" ht="90" hidden="false" customHeight="true" outlineLevel="0" collapsed="false">
      <c r="A139" s="2" t="s">
        <v>649</v>
      </c>
      <c r="B139" s="2" t="s">
        <v>569</v>
      </c>
      <c r="C139" s="2" t="s">
        <v>474</v>
      </c>
      <c r="D139" s="9" t="n">
        <v>757</v>
      </c>
      <c r="E139" s="2" t="s">
        <v>491</v>
      </c>
      <c r="F139" s="2" t="s">
        <v>492</v>
      </c>
      <c r="G139" s="2" t="s">
        <v>524</v>
      </c>
      <c r="H139" s="2" t="s">
        <v>368</v>
      </c>
      <c r="I139" s="2" t="s">
        <v>145</v>
      </c>
      <c r="J139" s="2" t="s">
        <v>369</v>
      </c>
      <c r="K139" s="10" t="b">
        <f aca="false">FALSE()</f>
        <v>0</v>
      </c>
      <c r="L139" s="10" t="b">
        <f aca="false">TRUE()</f>
        <v>1</v>
      </c>
      <c r="M139" s="2" t="s">
        <v>494</v>
      </c>
      <c r="N139" s="2" t="s">
        <v>371</v>
      </c>
      <c r="O139" s="2" t="s">
        <v>495</v>
      </c>
      <c r="P139" s="2" t="n">
        <v>60</v>
      </c>
      <c r="Q139" s="2" t="s">
        <v>496</v>
      </c>
      <c r="R139" s="11" t="s">
        <v>497</v>
      </c>
      <c r="S139" s="11" t="s">
        <v>498</v>
      </c>
      <c r="T139" s="2" t="s">
        <v>219</v>
      </c>
      <c r="U139" s="2" t="s">
        <v>153</v>
      </c>
      <c r="V139" s="2" t="s">
        <v>570</v>
      </c>
      <c r="W139" s="11" t="s">
        <v>592</v>
      </c>
      <c r="X139" s="2"/>
      <c r="Y139" s="2"/>
      <c r="Z139" s="2"/>
      <c r="AA139" s="2"/>
      <c r="AB139" s="2" t="s">
        <v>572</v>
      </c>
      <c r="AC139" s="2" t="s">
        <v>157</v>
      </c>
      <c r="AD139" s="2" t="s">
        <v>132</v>
      </c>
      <c r="AE139" s="10" t="b">
        <f aca="false">FALSE()</f>
        <v>0</v>
      </c>
      <c r="AF139" s="2" t="s">
        <v>133</v>
      </c>
      <c r="AG139" s="2" t="s">
        <v>158</v>
      </c>
      <c r="AH139" s="2" t="s">
        <v>135</v>
      </c>
      <c r="AI139" s="11" t="s">
        <v>502</v>
      </c>
      <c r="AJ139" s="2" t="s">
        <v>1277</v>
      </c>
      <c r="AK139" s="2"/>
      <c r="AL139" s="2"/>
    </row>
    <row r="140" customFormat="false" ht="90" hidden="false" customHeight="true" outlineLevel="0" collapsed="false">
      <c r="A140" s="2" t="s">
        <v>651</v>
      </c>
      <c r="B140" s="2" t="s">
        <v>569</v>
      </c>
      <c r="C140" s="2" t="s">
        <v>474</v>
      </c>
      <c r="D140" s="9" t="n">
        <v>710</v>
      </c>
      <c r="E140" s="2" t="s">
        <v>475</v>
      </c>
      <c r="F140" s="2" t="s">
        <v>492</v>
      </c>
      <c r="G140" s="2" t="s">
        <v>595</v>
      </c>
      <c r="H140" s="2" t="s">
        <v>368</v>
      </c>
      <c r="I140" s="2" t="s">
        <v>145</v>
      </c>
      <c r="J140" s="2" t="s">
        <v>369</v>
      </c>
      <c r="K140" s="10" t="b">
        <f aca="false">FALSE()</f>
        <v>0</v>
      </c>
      <c r="L140" s="10" t="b">
        <f aca="false">TRUE()</f>
        <v>1</v>
      </c>
      <c r="M140" s="2" t="s">
        <v>494</v>
      </c>
      <c r="N140" s="2" t="s">
        <v>371</v>
      </c>
      <c r="O140" s="2" t="s">
        <v>495</v>
      </c>
      <c r="P140" s="2" t="n">
        <v>60</v>
      </c>
      <c r="Q140" s="2" t="s">
        <v>496</v>
      </c>
      <c r="R140" s="11" t="s">
        <v>497</v>
      </c>
      <c r="S140" s="11" t="s">
        <v>498</v>
      </c>
      <c r="T140" s="2" t="s">
        <v>219</v>
      </c>
      <c r="U140" s="2" t="s">
        <v>153</v>
      </c>
      <c r="V140" s="2" t="s">
        <v>570</v>
      </c>
      <c r="W140" s="11" t="s">
        <v>571</v>
      </c>
      <c r="X140" s="2"/>
      <c r="Y140" s="2"/>
      <c r="Z140" s="2"/>
      <c r="AA140" s="2"/>
      <c r="AB140" s="2" t="s">
        <v>572</v>
      </c>
      <c r="AC140" s="2" t="s">
        <v>157</v>
      </c>
      <c r="AD140" s="2" t="s">
        <v>132</v>
      </c>
      <c r="AE140" s="10" t="b">
        <f aca="false">FALSE()</f>
        <v>0</v>
      </c>
      <c r="AF140" s="2" t="s">
        <v>133</v>
      </c>
      <c r="AG140" s="2" t="s">
        <v>158</v>
      </c>
      <c r="AH140" s="2" t="s">
        <v>135</v>
      </c>
      <c r="AI140" s="11" t="s">
        <v>502</v>
      </c>
      <c r="AJ140" s="2" t="s">
        <v>1277</v>
      </c>
      <c r="AK140" s="2"/>
      <c r="AL140" s="2"/>
    </row>
    <row r="141" customFormat="false" ht="90" hidden="false" customHeight="true" outlineLevel="0" collapsed="false">
      <c r="A141" s="2" t="s">
        <v>653</v>
      </c>
      <c r="B141" s="2" t="s">
        <v>569</v>
      </c>
      <c r="C141" s="2" t="s">
        <v>474</v>
      </c>
      <c r="D141" s="9" t="n">
        <v>680</v>
      </c>
      <c r="E141" s="2" t="s">
        <v>491</v>
      </c>
      <c r="F141" s="2" t="s">
        <v>492</v>
      </c>
      <c r="G141" s="2" t="s">
        <v>524</v>
      </c>
      <c r="H141" s="2" t="s">
        <v>368</v>
      </c>
      <c r="I141" s="2" t="s">
        <v>145</v>
      </c>
      <c r="J141" s="2" t="s">
        <v>369</v>
      </c>
      <c r="K141" s="10" t="b">
        <f aca="false">FALSE()</f>
        <v>0</v>
      </c>
      <c r="L141" s="10" t="b">
        <f aca="false">TRUE()</f>
        <v>1</v>
      </c>
      <c r="M141" s="2" t="s">
        <v>494</v>
      </c>
      <c r="N141" s="2" t="s">
        <v>371</v>
      </c>
      <c r="O141" s="2" t="s">
        <v>495</v>
      </c>
      <c r="P141" s="2" t="n">
        <v>30</v>
      </c>
      <c r="Q141" s="2" t="s">
        <v>496</v>
      </c>
      <c r="R141" s="11" t="s">
        <v>497</v>
      </c>
      <c r="S141" s="11" t="s">
        <v>498</v>
      </c>
      <c r="T141" s="2" t="s">
        <v>557</v>
      </c>
      <c r="U141" s="2" t="s">
        <v>153</v>
      </c>
      <c r="V141" s="2" t="s">
        <v>587</v>
      </c>
      <c r="W141" s="11" t="s">
        <v>588</v>
      </c>
      <c r="X141" s="2"/>
      <c r="Y141" s="2"/>
      <c r="Z141" s="2"/>
      <c r="AA141" s="2"/>
      <c r="AB141" s="2" t="s">
        <v>589</v>
      </c>
      <c r="AC141" s="2" t="s">
        <v>131</v>
      </c>
      <c r="AD141" s="2" t="s">
        <v>354</v>
      </c>
      <c r="AE141" s="10" t="b">
        <f aca="false">FALSE()</f>
        <v>0</v>
      </c>
      <c r="AF141" s="2" t="s">
        <v>133</v>
      </c>
      <c r="AG141" s="2" t="s">
        <v>158</v>
      </c>
      <c r="AH141" s="2" t="s">
        <v>135</v>
      </c>
      <c r="AI141" s="11" t="s">
        <v>502</v>
      </c>
      <c r="AJ141" s="2" t="s">
        <v>1277</v>
      </c>
      <c r="AK141" s="2"/>
      <c r="AL141" s="2"/>
    </row>
    <row r="142" customFormat="false" ht="90" hidden="false" customHeight="true" outlineLevel="0" collapsed="false">
      <c r="A142" s="2" t="s">
        <v>655</v>
      </c>
      <c r="B142" s="2" t="s">
        <v>569</v>
      </c>
      <c r="C142" s="2" t="s">
        <v>474</v>
      </c>
      <c r="D142" s="9" t="n">
        <v>675</v>
      </c>
      <c r="E142" s="2" t="s">
        <v>475</v>
      </c>
      <c r="F142" s="2" t="s">
        <v>492</v>
      </c>
      <c r="G142" s="2" t="s">
        <v>595</v>
      </c>
      <c r="H142" s="2" t="s">
        <v>368</v>
      </c>
      <c r="I142" s="2" t="s">
        <v>145</v>
      </c>
      <c r="J142" s="2" t="s">
        <v>369</v>
      </c>
      <c r="K142" s="10" t="b">
        <f aca="false">FALSE()</f>
        <v>0</v>
      </c>
      <c r="L142" s="10" t="b">
        <f aca="false">TRUE()</f>
        <v>1</v>
      </c>
      <c r="M142" s="2" t="s">
        <v>494</v>
      </c>
      <c r="N142" s="2" t="s">
        <v>371</v>
      </c>
      <c r="O142" s="2" t="s">
        <v>495</v>
      </c>
      <c r="P142" s="2" t="n">
        <v>60</v>
      </c>
      <c r="Q142" s="2" t="s">
        <v>496</v>
      </c>
      <c r="R142" s="11" t="s">
        <v>497</v>
      </c>
      <c r="S142" s="11" t="s">
        <v>498</v>
      </c>
      <c r="T142" s="2" t="s">
        <v>219</v>
      </c>
      <c r="U142" s="2" t="s">
        <v>153</v>
      </c>
      <c r="V142" s="2" t="s">
        <v>570</v>
      </c>
      <c r="W142" s="11" t="s">
        <v>571</v>
      </c>
      <c r="X142" s="2"/>
      <c r="Y142" s="2"/>
      <c r="Z142" s="2"/>
      <c r="AA142" s="2"/>
      <c r="AB142" s="2" t="s">
        <v>572</v>
      </c>
      <c r="AC142" s="2" t="s">
        <v>157</v>
      </c>
      <c r="AD142" s="2" t="s">
        <v>132</v>
      </c>
      <c r="AE142" s="10" t="b">
        <f aca="false">FALSE()</f>
        <v>0</v>
      </c>
      <c r="AF142" s="2" t="s">
        <v>133</v>
      </c>
      <c r="AG142" s="2" t="s">
        <v>158</v>
      </c>
      <c r="AH142" s="2" t="s">
        <v>135</v>
      </c>
      <c r="AI142" s="11" t="s">
        <v>502</v>
      </c>
      <c r="AJ142" s="2" t="s">
        <v>1277</v>
      </c>
      <c r="AK142" s="2"/>
      <c r="AL142" s="2"/>
    </row>
    <row r="143" customFormat="false" ht="90" hidden="false" customHeight="true" outlineLevel="0" collapsed="false">
      <c r="A143" s="2" t="s">
        <v>657</v>
      </c>
      <c r="B143" s="2" t="s">
        <v>569</v>
      </c>
      <c r="C143" s="2" t="s">
        <v>474</v>
      </c>
      <c r="D143" s="9" t="n">
        <v>663</v>
      </c>
      <c r="E143" s="2" t="s">
        <v>491</v>
      </c>
      <c r="F143" s="2" t="s">
        <v>492</v>
      </c>
      <c r="G143" s="2" t="s">
        <v>524</v>
      </c>
      <c r="H143" s="2" t="s">
        <v>368</v>
      </c>
      <c r="I143" s="2" t="s">
        <v>145</v>
      </c>
      <c r="J143" s="2" t="s">
        <v>369</v>
      </c>
      <c r="K143" s="10" t="b">
        <f aca="false">FALSE()</f>
        <v>0</v>
      </c>
      <c r="L143" s="10" t="b">
        <f aca="false">TRUE()</f>
        <v>1</v>
      </c>
      <c r="M143" s="2" t="s">
        <v>494</v>
      </c>
      <c r="N143" s="2" t="s">
        <v>371</v>
      </c>
      <c r="O143" s="2" t="s">
        <v>495</v>
      </c>
      <c r="P143" s="2" t="n">
        <v>30</v>
      </c>
      <c r="Q143" s="2" t="s">
        <v>496</v>
      </c>
      <c r="R143" s="11" t="s">
        <v>497</v>
      </c>
      <c r="S143" s="11" t="s">
        <v>498</v>
      </c>
      <c r="T143" s="2" t="s">
        <v>163</v>
      </c>
      <c r="U143" s="2" t="s">
        <v>153</v>
      </c>
      <c r="V143" s="2" t="s">
        <v>658</v>
      </c>
      <c r="W143" s="11" t="s">
        <v>659</v>
      </c>
      <c r="X143" s="2"/>
      <c r="Y143" s="2"/>
      <c r="Z143" s="2"/>
      <c r="AA143" s="2"/>
      <c r="AB143" s="2" t="s">
        <v>528</v>
      </c>
      <c r="AC143" s="2" t="s">
        <v>187</v>
      </c>
      <c r="AD143" s="2" t="s">
        <v>132</v>
      </c>
      <c r="AE143" s="10" t="b">
        <f aca="false">FALSE()</f>
        <v>0</v>
      </c>
      <c r="AF143" s="2" t="s">
        <v>133</v>
      </c>
      <c r="AG143" s="2" t="s">
        <v>134</v>
      </c>
      <c r="AH143" s="2" t="s">
        <v>135</v>
      </c>
      <c r="AI143" s="11" t="s">
        <v>502</v>
      </c>
      <c r="AJ143" s="2" t="s">
        <v>1277</v>
      </c>
      <c r="AK143" s="2"/>
      <c r="AL143" s="2"/>
    </row>
    <row r="144" customFormat="false" ht="90" hidden="false" customHeight="true" outlineLevel="0" collapsed="false">
      <c r="A144" s="2" t="s">
        <v>1176</v>
      </c>
      <c r="B144" s="2" t="s">
        <v>569</v>
      </c>
      <c r="C144" s="2" t="s">
        <v>474</v>
      </c>
      <c r="D144" s="9" t="n">
        <v>626</v>
      </c>
      <c r="E144" s="2" t="s">
        <v>491</v>
      </c>
      <c r="F144" s="2" t="s">
        <v>492</v>
      </c>
      <c r="G144" s="2" t="s">
        <v>524</v>
      </c>
      <c r="H144" s="2" t="s">
        <v>368</v>
      </c>
      <c r="I144" s="2" t="s">
        <v>145</v>
      </c>
      <c r="J144" s="2" t="s">
        <v>369</v>
      </c>
      <c r="K144" s="10" t="b">
        <f aca="false">FALSE()</f>
        <v>0</v>
      </c>
      <c r="L144" s="10" t="b">
        <f aca="false">TRUE()</f>
        <v>1</v>
      </c>
      <c r="M144" s="2" t="s">
        <v>494</v>
      </c>
      <c r="N144" s="2" t="s">
        <v>371</v>
      </c>
      <c r="O144" s="2" t="s">
        <v>495</v>
      </c>
      <c r="P144" s="2" t="n">
        <v>30</v>
      </c>
      <c r="Q144" s="2" t="s">
        <v>496</v>
      </c>
      <c r="R144" s="11" t="s">
        <v>497</v>
      </c>
      <c r="S144" s="11" t="s">
        <v>498</v>
      </c>
      <c r="T144" s="2"/>
      <c r="U144" s="2" t="s">
        <v>153</v>
      </c>
      <c r="V144" s="2" t="s">
        <v>578</v>
      </c>
      <c r="W144" s="11" t="s">
        <v>579</v>
      </c>
      <c r="X144" s="2"/>
      <c r="Y144" s="2"/>
      <c r="Z144" s="2"/>
      <c r="AA144" s="2"/>
      <c r="AB144" s="2" t="s">
        <v>580</v>
      </c>
      <c r="AC144" s="2" t="s">
        <v>131</v>
      </c>
      <c r="AD144" s="2" t="s">
        <v>132</v>
      </c>
      <c r="AE144" s="10" t="b">
        <f aca="false">FALSE()</f>
        <v>0</v>
      </c>
      <c r="AF144" s="2" t="s">
        <v>133</v>
      </c>
      <c r="AG144" s="2" t="s">
        <v>134</v>
      </c>
      <c r="AH144" s="2" t="s">
        <v>135</v>
      </c>
      <c r="AI144" s="11" t="s">
        <v>502</v>
      </c>
      <c r="AJ144" s="2" t="s">
        <v>1142</v>
      </c>
      <c r="AK144" s="2" t="s">
        <v>1142</v>
      </c>
      <c r="AL144" s="2" t="s">
        <v>1177</v>
      </c>
    </row>
    <row r="145" customFormat="false" ht="90" hidden="false" customHeight="true" outlineLevel="0" collapsed="false">
      <c r="A145" s="2" t="s">
        <v>1178</v>
      </c>
      <c r="B145" s="2" t="s">
        <v>569</v>
      </c>
      <c r="C145" s="2" t="s">
        <v>474</v>
      </c>
      <c r="D145" s="9" t="n">
        <v>619</v>
      </c>
      <c r="E145" s="2" t="s">
        <v>491</v>
      </c>
      <c r="F145" s="2" t="s">
        <v>492</v>
      </c>
      <c r="G145" s="2" t="s">
        <v>524</v>
      </c>
      <c r="H145" s="2" t="s">
        <v>368</v>
      </c>
      <c r="I145" s="2" t="s">
        <v>145</v>
      </c>
      <c r="J145" s="2" t="s">
        <v>369</v>
      </c>
      <c r="K145" s="10" t="b">
        <f aca="false">FALSE()</f>
        <v>0</v>
      </c>
      <c r="L145" s="10" t="b">
        <f aca="false">TRUE()</f>
        <v>1</v>
      </c>
      <c r="M145" s="2" t="s">
        <v>494</v>
      </c>
      <c r="N145" s="2" t="s">
        <v>371</v>
      </c>
      <c r="O145" s="2" t="s">
        <v>495</v>
      </c>
      <c r="P145" s="2" t="n">
        <v>60</v>
      </c>
      <c r="Q145" s="2" t="s">
        <v>496</v>
      </c>
      <c r="R145" s="11" t="s">
        <v>497</v>
      </c>
      <c r="S145" s="11" t="s">
        <v>498</v>
      </c>
      <c r="T145" s="2" t="s">
        <v>219</v>
      </c>
      <c r="U145" s="2" t="s">
        <v>153</v>
      </c>
      <c r="V145" s="2" t="s">
        <v>570</v>
      </c>
      <c r="W145" s="11" t="s">
        <v>592</v>
      </c>
      <c r="X145" s="2"/>
      <c r="Y145" s="2"/>
      <c r="Z145" s="2"/>
      <c r="AA145" s="2"/>
      <c r="AB145" s="2" t="s">
        <v>572</v>
      </c>
      <c r="AC145" s="2" t="s">
        <v>157</v>
      </c>
      <c r="AD145" s="2" t="s">
        <v>132</v>
      </c>
      <c r="AE145" s="10" t="b">
        <f aca="false">FALSE()</f>
        <v>0</v>
      </c>
      <c r="AF145" s="2" t="s">
        <v>133</v>
      </c>
      <c r="AG145" s="2" t="s">
        <v>158</v>
      </c>
      <c r="AH145" s="2" t="s">
        <v>135</v>
      </c>
      <c r="AI145" s="11" t="s">
        <v>502</v>
      </c>
      <c r="AJ145" s="2" t="s">
        <v>1142</v>
      </c>
      <c r="AK145" s="2" t="s">
        <v>1142</v>
      </c>
      <c r="AL145" s="2" t="s">
        <v>1179</v>
      </c>
    </row>
    <row r="146" customFormat="false" ht="90" hidden="false" customHeight="true" outlineLevel="0" collapsed="false">
      <c r="A146" s="2" t="s">
        <v>1180</v>
      </c>
      <c r="B146" s="2" t="s">
        <v>569</v>
      </c>
      <c r="C146" s="2" t="s">
        <v>474</v>
      </c>
      <c r="D146" s="9" t="n">
        <v>614</v>
      </c>
      <c r="E146" s="2" t="s">
        <v>491</v>
      </c>
      <c r="F146" s="2" t="s">
        <v>492</v>
      </c>
      <c r="G146" s="2" t="s">
        <v>524</v>
      </c>
      <c r="H146" s="2" t="s">
        <v>368</v>
      </c>
      <c r="I146" s="2" t="s">
        <v>145</v>
      </c>
      <c r="J146" s="2" t="s">
        <v>369</v>
      </c>
      <c r="K146" s="10" t="b">
        <f aca="false">FALSE()</f>
        <v>0</v>
      </c>
      <c r="L146" s="10" t="b">
        <f aca="false">TRUE()</f>
        <v>1</v>
      </c>
      <c r="M146" s="2" t="s">
        <v>494</v>
      </c>
      <c r="N146" s="2" t="s">
        <v>371</v>
      </c>
      <c r="O146" s="2" t="s">
        <v>495</v>
      </c>
      <c r="P146" s="2" t="n">
        <v>60</v>
      </c>
      <c r="Q146" s="2" t="s">
        <v>496</v>
      </c>
      <c r="R146" s="11" t="s">
        <v>497</v>
      </c>
      <c r="S146" s="11" t="s">
        <v>498</v>
      </c>
      <c r="T146" s="2" t="s">
        <v>219</v>
      </c>
      <c r="U146" s="2" t="s">
        <v>153</v>
      </c>
      <c r="V146" s="2" t="s">
        <v>570</v>
      </c>
      <c r="W146" s="11" t="s">
        <v>571</v>
      </c>
      <c r="X146" s="2"/>
      <c r="Y146" s="2"/>
      <c r="Z146" s="2"/>
      <c r="AA146" s="2"/>
      <c r="AB146" s="2" t="s">
        <v>572</v>
      </c>
      <c r="AC146" s="2" t="s">
        <v>157</v>
      </c>
      <c r="AD146" s="2" t="s">
        <v>132</v>
      </c>
      <c r="AE146" s="10" t="b">
        <f aca="false">FALSE()</f>
        <v>0</v>
      </c>
      <c r="AF146" s="2" t="s">
        <v>133</v>
      </c>
      <c r="AG146" s="2" t="s">
        <v>158</v>
      </c>
      <c r="AH146" s="2" t="s">
        <v>135</v>
      </c>
      <c r="AI146" s="11" t="s">
        <v>502</v>
      </c>
      <c r="AJ146" s="2" t="s">
        <v>1142</v>
      </c>
      <c r="AK146" s="2" t="s">
        <v>1142</v>
      </c>
      <c r="AL146" s="2" t="s">
        <v>1181</v>
      </c>
    </row>
    <row r="147" customFormat="false" ht="90" hidden="false" customHeight="true" outlineLevel="0" collapsed="false">
      <c r="A147" s="2" t="s">
        <v>661</v>
      </c>
      <c r="B147" s="2" t="s">
        <v>569</v>
      </c>
      <c r="C147" s="2" t="s">
        <v>474</v>
      </c>
      <c r="D147" s="9" t="n">
        <v>607</v>
      </c>
      <c r="E147" s="2" t="s">
        <v>491</v>
      </c>
      <c r="F147" s="2" t="s">
        <v>492</v>
      </c>
      <c r="G147" s="2" t="s">
        <v>524</v>
      </c>
      <c r="H147" s="2" t="s">
        <v>368</v>
      </c>
      <c r="I147" s="2" t="s">
        <v>145</v>
      </c>
      <c r="J147" s="2" t="s">
        <v>369</v>
      </c>
      <c r="K147" s="10" t="b">
        <f aca="false">FALSE()</f>
        <v>0</v>
      </c>
      <c r="L147" s="10" t="b">
        <f aca="false">TRUE()</f>
        <v>1</v>
      </c>
      <c r="M147" s="2" t="s">
        <v>494</v>
      </c>
      <c r="N147" s="2" t="s">
        <v>371</v>
      </c>
      <c r="O147" s="2" t="s">
        <v>495</v>
      </c>
      <c r="P147" s="2" t="n">
        <v>30</v>
      </c>
      <c r="Q147" s="2" t="s">
        <v>496</v>
      </c>
      <c r="R147" s="11" t="s">
        <v>497</v>
      </c>
      <c r="S147" s="11" t="s">
        <v>498</v>
      </c>
      <c r="T147" s="2" t="s">
        <v>632</v>
      </c>
      <c r="U147" s="2" t="s">
        <v>153</v>
      </c>
      <c r="V147" s="2" t="s">
        <v>662</v>
      </c>
      <c r="W147" s="11" t="s">
        <v>663</v>
      </c>
      <c r="X147" s="2"/>
      <c r="Y147" s="2"/>
      <c r="Z147" s="2"/>
      <c r="AA147" s="2"/>
      <c r="AB147" s="2" t="s">
        <v>664</v>
      </c>
      <c r="AC147" s="2" t="s">
        <v>131</v>
      </c>
      <c r="AD147" s="2" t="s">
        <v>132</v>
      </c>
      <c r="AE147" s="10" t="b">
        <f aca="false">FALSE()</f>
        <v>0</v>
      </c>
      <c r="AF147" s="2" t="s">
        <v>133</v>
      </c>
      <c r="AG147" s="2" t="s">
        <v>158</v>
      </c>
      <c r="AH147" s="2" t="s">
        <v>135</v>
      </c>
      <c r="AI147" s="11" t="s">
        <v>502</v>
      </c>
      <c r="AJ147" s="2" t="s">
        <v>1277</v>
      </c>
      <c r="AK147" s="2"/>
      <c r="AL147" s="2"/>
    </row>
    <row r="148" customFormat="false" ht="90" hidden="false" customHeight="true" outlineLevel="0" collapsed="false">
      <c r="A148" s="2" t="s">
        <v>1182</v>
      </c>
      <c r="B148" s="2" t="s">
        <v>569</v>
      </c>
      <c r="C148" s="2" t="s">
        <v>474</v>
      </c>
      <c r="D148" s="9" t="n">
        <v>607</v>
      </c>
      <c r="E148" s="2" t="s">
        <v>491</v>
      </c>
      <c r="F148" s="2" t="s">
        <v>492</v>
      </c>
      <c r="G148" s="2" t="s">
        <v>524</v>
      </c>
      <c r="H148" s="2" t="s">
        <v>368</v>
      </c>
      <c r="I148" s="2" t="s">
        <v>145</v>
      </c>
      <c r="J148" s="2" t="s">
        <v>369</v>
      </c>
      <c r="K148" s="10" t="b">
        <f aca="false">FALSE()</f>
        <v>0</v>
      </c>
      <c r="L148" s="10" t="b">
        <f aca="false">TRUE()</f>
        <v>1</v>
      </c>
      <c r="M148" s="2" t="s">
        <v>494</v>
      </c>
      <c r="N148" s="2" t="s">
        <v>371</v>
      </c>
      <c r="O148" s="2" t="s">
        <v>495</v>
      </c>
      <c r="P148" s="2" t="n">
        <v>60</v>
      </c>
      <c r="Q148" s="2" t="s">
        <v>496</v>
      </c>
      <c r="R148" s="11" t="s">
        <v>497</v>
      </c>
      <c r="S148" s="11" t="s">
        <v>498</v>
      </c>
      <c r="T148" s="2" t="s">
        <v>219</v>
      </c>
      <c r="U148" s="2" t="s">
        <v>153</v>
      </c>
      <c r="V148" s="2" t="s">
        <v>570</v>
      </c>
      <c r="W148" s="11" t="s">
        <v>571</v>
      </c>
      <c r="X148" s="2"/>
      <c r="Y148" s="2"/>
      <c r="Z148" s="2"/>
      <c r="AA148" s="2"/>
      <c r="AB148" s="2" t="s">
        <v>572</v>
      </c>
      <c r="AC148" s="2" t="s">
        <v>157</v>
      </c>
      <c r="AD148" s="2" t="s">
        <v>132</v>
      </c>
      <c r="AE148" s="10" t="b">
        <f aca="false">FALSE()</f>
        <v>0</v>
      </c>
      <c r="AF148" s="2" t="s">
        <v>133</v>
      </c>
      <c r="AG148" s="2" t="s">
        <v>158</v>
      </c>
      <c r="AH148" s="2" t="s">
        <v>135</v>
      </c>
      <c r="AI148" s="11" t="s">
        <v>502</v>
      </c>
      <c r="AJ148" s="2" t="s">
        <v>1142</v>
      </c>
      <c r="AK148" s="2" t="s">
        <v>1142</v>
      </c>
      <c r="AL148" s="2" t="s">
        <v>1183</v>
      </c>
    </row>
    <row r="149" customFormat="false" ht="90" hidden="false" customHeight="true" outlineLevel="0" collapsed="false">
      <c r="A149" s="2" t="s">
        <v>666</v>
      </c>
      <c r="B149" s="2" t="s">
        <v>569</v>
      </c>
      <c r="C149" s="2" t="s">
        <v>474</v>
      </c>
      <c r="D149" s="9" t="n">
        <v>594</v>
      </c>
      <c r="E149" s="2" t="s">
        <v>491</v>
      </c>
      <c r="F149" s="2" t="s">
        <v>492</v>
      </c>
      <c r="G149" s="2" t="s">
        <v>524</v>
      </c>
      <c r="H149" s="2" t="s">
        <v>368</v>
      </c>
      <c r="I149" s="2" t="s">
        <v>145</v>
      </c>
      <c r="J149" s="2" t="s">
        <v>369</v>
      </c>
      <c r="K149" s="10" t="b">
        <f aca="false">FALSE()</f>
        <v>0</v>
      </c>
      <c r="L149" s="10" t="b">
        <f aca="false">TRUE()</f>
        <v>1</v>
      </c>
      <c r="M149" s="2" t="s">
        <v>494</v>
      </c>
      <c r="N149" s="2" t="s">
        <v>371</v>
      </c>
      <c r="O149" s="2" t="s">
        <v>495</v>
      </c>
      <c r="P149" s="2" t="n">
        <v>60</v>
      </c>
      <c r="Q149" s="2" t="s">
        <v>496</v>
      </c>
      <c r="R149" s="11" t="s">
        <v>497</v>
      </c>
      <c r="S149" s="11" t="s">
        <v>498</v>
      </c>
      <c r="T149" s="2" t="s">
        <v>219</v>
      </c>
      <c r="U149" s="2" t="s">
        <v>153</v>
      </c>
      <c r="V149" s="2" t="s">
        <v>570</v>
      </c>
      <c r="W149" s="11" t="s">
        <v>592</v>
      </c>
      <c r="X149" s="2"/>
      <c r="Y149" s="2"/>
      <c r="Z149" s="2"/>
      <c r="AA149" s="2"/>
      <c r="AB149" s="2" t="s">
        <v>572</v>
      </c>
      <c r="AC149" s="2" t="s">
        <v>157</v>
      </c>
      <c r="AD149" s="2" t="s">
        <v>132</v>
      </c>
      <c r="AE149" s="10" t="b">
        <f aca="false">FALSE()</f>
        <v>0</v>
      </c>
      <c r="AF149" s="2" t="s">
        <v>133</v>
      </c>
      <c r="AG149" s="2" t="s">
        <v>158</v>
      </c>
      <c r="AH149" s="2" t="s">
        <v>135</v>
      </c>
      <c r="AI149" s="11" t="s">
        <v>502</v>
      </c>
      <c r="AJ149" s="2" t="s">
        <v>1277</v>
      </c>
      <c r="AK149" s="2"/>
      <c r="AL149" s="2"/>
    </row>
    <row r="150" customFormat="false" ht="90" hidden="false" customHeight="true" outlineLevel="0" collapsed="false">
      <c r="A150" s="2" t="s">
        <v>668</v>
      </c>
      <c r="B150" s="2" t="s">
        <v>569</v>
      </c>
      <c r="C150" s="2" t="s">
        <v>474</v>
      </c>
      <c r="D150" s="9" t="n">
        <v>586</v>
      </c>
      <c r="E150" s="2" t="s">
        <v>491</v>
      </c>
      <c r="F150" s="2" t="s">
        <v>492</v>
      </c>
      <c r="G150" s="2" t="s">
        <v>524</v>
      </c>
      <c r="H150" s="2" t="s">
        <v>368</v>
      </c>
      <c r="I150" s="2" t="s">
        <v>145</v>
      </c>
      <c r="J150" s="2" t="s">
        <v>369</v>
      </c>
      <c r="K150" s="10" t="b">
        <f aca="false">FALSE()</f>
        <v>0</v>
      </c>
      <c r="L150" s="10" t="b">
        <f aca="false">TRUE()</f>
        <v>1</v>
      </c>
      <c r="M150" s="2" t="s">
        <v>494</v>
      </c>
      <c r="N150" s="2" t="s">
        <v>371</v>
      </c>
      <c r="O150" s="2" t="s">
        <v>495</v>
      </c>
      <c r="P150" s="2" t="n">
        <v>60</v>
      </c>
      <c r="Q150" s="2" t="s">
        <v>496</v>
      </c>
      <c r="R150" s="11" t="s">
        <v>497</v>
      </c>
      <c r="S150" s="11" t="s">
        <v>498</v>
      </c>
      <c r="T150" s="2" t="s">
        <v>219</v>
      </c>
      <c r="U150" s="2" t="s">
        <v>153</v>
      </c>
      <c r="V150" s="2" t="s">
        <v>570</v>
      </c>
      <c r="W150" s="11" t="s">
        <v>571</v>
      </c>
      <c r="X150" s="2"/>
      <c r="Y150" s="2"/>
      <c r="Z150" s="2"/>
      <c r="AA150" s="2"/>
      <c r="AB150" s="2" t="s">
        <v>572</v>
      </c>
      <c r="AC150" s="2" t="s">
        <v>157</v>
      </c>
      <c r="AD150" s="2" t="s">
        <v>132</v>
      </c>
      <c r="AE150" s="10" t="b">
        <f aca="false">FALSE()</f>
        <v>0</v>
      </c>
      <c r="AF150" s="2" t="s">
        <v>133</v>
      </c>
      <c r="AG150" s="2" t="s">
        <v>158</v>
      </c>
      <c r="AH150" s="2" t="s">
        <v>135</v>
      </c>
      <c r="AI150" s="11" t="s">
        <v>502</v>
      </c>
      <c r="AJ150" s="2" t="s">
        <v>1277</v>
      </c>
      <c r="AK150" s="2"/>
      <c r="AL150" s="2"/>
    </row>
    <row r="151" customFormat="false" ht="90" hidden="false" customHeight="true" outlineLevel="0" collapsed="false">
      <c r="A151" s="2" t="s">
        <v>670</v>
      </c>
      <c r="B151" s="2" t="s">
        <v>569</v>
      </c>
      <c r="C151" s="2" t="s">
        <v>474</v>
      </c>
      <c r="D151" s="9" t="n">
        <v>580</v>
      </c>
      <c r="E151" s="2" t="s">
        <v>475</v>
      </c>
      <c r="F151" s="2" t="s">
        <v>492</v>
      </c>
      <c r="G151" s="2" t="s">
        <v>595</v>
      </c>
      <c r="H151" s="2" t="s">
        <v>368</v>
      </c>
      <c r="I151" s="2" t="s">
        <v>145</v>
      </c>
      <c r="J151" s="2" t="s">
        <v>369</v>
      </c>
      <c r="K151" s="10" t="b">
        <f aca="false">FALSE()</f>
        <v>0</v>
      </c>
      <c r="L151" s="10" t="b">
        <f aca="false">TRUE()</f>
        <v>1</v>
      </c>
      <c r="M151" s="2" t="s">
        <v>494</v>
      </c>
      <c r="N151" s="2" t="s">
        <v>371</v>
      </c>
      <c r="O151" s="2" t="s">
        <v>495</v>
      </c>
      <c r="P151" s="2" t="n">
        <v>60</v>
      </c>
      <c r="Q151" s="2" t="s">
        <v>496</v>
      </c>
      <c r="R151" s="11" t="s">
        <v>497</v>
      </c>
      <c r="S151" s="11" t="s">
        <v>498</v>
      </c>
      <c r="T151" s="2" t="s">
        <v>152</v>
      </c>
      <c r="U151" s="2" t="s">
        <v>153</v>
      </c>
      <c r="V151" s="2" t="s">
        <v>570</v>
      </c>
      <c r="W151" s="11" t="s">
        <v>571</v>
      </c>
      <c r="X151" s="2"/>
      <c r="Y151" s="2"/>
      <c r="Z151" s="2"/>
      <c r="AA151" s="2"/>
      <c r="AB151" s="2" t="s">
        <v>572</v>
      </c>
      <c r="AC151" s="2" t="s">
        <v>157</v>
      </c>
      <c r="AD151" s="2" t="s">
        <v>132</v>
      </c>
      <c r="AE151" s="10" t="b">
        <f aca="false">FALSE()</f>
        <v>0</v>
      </c>
      <c r="AF151" s="2" t="s">
        <v>133</v>
      </c>
      <c r="AG151" s="2" t="s">
        <v>158</v>
      </c>
      <c r="AH151" s="2" t="s">
        <v>135</v>
      </c>
      <c r="AI151" s="11" t="s">
        <v>502</v>
      </c>
      <c r="AJ151" s="2" t="s">
        <v>1277</v>
      </c>
      <c r="AK151" s="2"/>
      <c r="AL151" s="2"/>
    </row>
    <row r="152" customFormat="false" ht="90" hidden="false" customHeight="true" outlineLevel="0" collapsed="false">
      <c r="A152" s="2" t="s">
        <v>672</v>
      </c>
      <c r="B152" s="2" t="s">
        <v>569</v>
      </c>
      <c r="C152" s="2" t="s">
        <v>474</v>
      </c>
      <c r="D152" s="9" t="n">
        <v>576</v>
      </c>
      <c r="E152" s="2" t="s">
        <v>475</v>
      </c>
      <c r="F152" s="2" t="s">
        <v>492</v>
      </c>
      <c r="G152" s="2" t="s">
        <v>595</v>
      </c>
      <c r="H152" s="2" t="s">
        <v>368</v>
      </c>
      <c r="I152" s="2" t="s">
        <v>145</v>
      </c>
      <c r="J152" s="2" t="s">
        <v>369</v>
      </c>
      <c r="K152" s="10" t="b">
        <f aca="false">FALSE()</f>
        <v>0</v>
      </c>
      <c r="L152" s="10" t="b">
        <f aca="false">TRUE()</f>
        <v>1</v>
      </c>
      <c r="M152" s="2" t="s">
        <v>494</v>
      </c>
      <c r="N152" s="2" t="s">
        <v>371</v>
      </c>
      <c r="O152" s="2" t="s">
        <v>495</v>
      </c>
      <c r="P152" s="2" t="n">
        <v>60</v>
      </c>
      <c r="Q152" s="2" t="s">
        <v>496</v>
      </c>
      <c r="R152" s="11" t="s">
        <v>497</v>
      </c>
      <c r="S152" s="11" t="s">
        <v>498</v>
      </c>
      <c r="T152" s="2" t="s">
        <v>219</v>
      </c>
      <c r="U152" s="2" t="s">
        <v>153</v>
      </c>
      <c r="V152" s="2" t="s">
        <v>570</v>
      </c>
      <c r="W152" s="11" t="s">
        <v>575</v>
      </c>
      <c r="X152" s="2"/>
      <c r="Y152" s="2"/>
      <c r="Z152" s="2"/>
      <c r="AA152" s="2"/>
      <c r="AB152" s="2" t="s">
        <v>572</v>
      </c>
      <c r="AC152" s="2" t="s">
        <v>157</v>
      </c>
      <c r="AD152" s="2" t="s">
        <v>132</v>
      </c>
      <c r="AE152" s="10" t="b">
        <f aca="false">FALSE()</f>
        <v>0</v>
      </c>
      <c r="AF152" s="2" t="s">
        <v>133</v>
      </c>
      <c r="AG152" s="2" t="s">
        <v>158</v>
      </c>
      <c r="AH152" s="2" t="s">
        <v>135</v>
      </c>
      <c r="AI152" s="11" t="s">
        <v>502</v>
      </c>
      <c r="AJ152" s="2" t="s">
        <v>1277</v>
      </c>
      <c r="AK152" s="2"/>
      <c r="AL152" s="2"/>
    </row>
    <row r="153" customFormat="false" ht="90" hidden="false" customHeight="true" outlineLevel="0" collapsed="false">
      <c r="A153" s="2" t="s">
        <v>674</v>
      </c>
      <c r="B153" s="2" t="s">
        <v>569</v>
      </c>
      <c r="C153" s="2" t="s">
        <v>474</v>
      </c>
      <c r="D153" s="9" t="n">
        <v>574</v>
      </c>
      <c r="E153" s="2" t="s">
        <v>491</v>
      </c>
      <c r="F153" s="2" t="s">
        <v>492</v>
      </c>
      <c r="G153" s="2" t="s">
        <v>524</v>
      </c>
      <c r="H153" s="2" t="s">
        <v>368</v>
      </c>
      <c r="I153" s="2" t="s">
        <v>145</v>
      </c>
      <c r="J153" s="2" t="s">
        <v>369</v>
      </c>
      <c r="K153" s="10" t="b">
        <f aca="false">FALSE()</f>
        <v>0</v>
      </c>
      <c r="L153" s="10" t="b">
        <f aca="false">TRUE()</f>
        <v>1</v>
      </c>
      <c r="M153" s="2" t="s">
        <v>494</v>
      </c>
      <c r="N153" s="2" t="s">
        <v>371</v>
      </c>
      <c r="O153" s="2" t="s">
        <v>495</v>
      </c>
      <c r="P153" s="2" t="n">
        <v>60</v>
      </c>
      <c r="Q153" s="2" t="s">
        <v>496</v>
      </c>
      <c r="R153" s="11" t="s">
        <v>497</v>
      </c>
      <c r="S153" s="11" t="s">
        <v>498</v>
      </c>
      <c r="T153" s="2" t="s">
        <v>219</v>
      </c>
      <c r="U153" s="2" t="s">
        <v>153</v>
      </c>
      <c r="V153" s="2" t="s">
        <v>570</v>
      </c>
      <c r="W153" s="11" t="s">
        <v>571</v>
      </c>
      <c r="X153" s="2"/>
      <c r="Y153" s="2"/>
      <c r="Z153" s="2"/>
      <c r="AA153" s="2"/>
      <c r="AB153" s="2" t="s">
        <v>572</v>
      </c>
      <c r="AC153" s="2" t="s">
        <v>157</v>
      </c>
      <c r="AD153" s="2" t="s">
        <v>132</v>
      </c>
      <c r="AE153" s="10" t="b">
        <f aca="false">FALSE()</f>
        <v>0</v>
      </c>
      <c r="AF153" s="2" t="s">
        <v>133</v>
      </c>
      <c r="AG153" s="2" t="s">
        <v>158</v>
      </c>
      <c r="AH153" s="2" t="s">
        <v>135</v>
      </c>
      <c r="AI153" s="11" t="s">
        <v>502</v>
      </c>
      <c r="AJ153" s="2" t="s">
        <v>1277</v>
      </c>
      <c r="AK153" s="2"/>
      <c r="AL153" s="2"/>
    </row>
    <row r="154" customFormat="false" ht="90" hidden="false" customHeight="true" outlineLevel="0" collapsed="false">
      <c r="A154" s="2" t="s">
        <v>676</v>
      </c>
      <c r="B154" s="2" t="s">
        <v>569</v>
      </c>
      <c r="C154" s="2" t="s">
        <v>474</v>
      </c>
      <c r="D154" s="9" t="n">
        <v>550</v>
      </c>
      <c r="E154" s="2" t="s">
        <v>491</v>
      </c>
      <c r="F154" s="2" t="s">
        <v>492</v>
      </c>
      <c r="G154" s="2" t="s">
        <v>524</v>
      </c>
      <c r="H154" s="2" t="s">
        <v>368</v>
      </c>
      <c r="I154" s="2" t="s">
        <v>145</v>
      </c>
      <c r="J154" s="2" t="s">
        <v>369</v>
      </c>
      <c r="K154" s="10" t="b">
        <f aca="false">FALSE()</f>
        <v>0</v>
      </c>
      <c r="L154" s="10" t="b">
        <f aca="false">FALSE()</f>
        <v>0</v>
      </c>
      <c r="M154" s="2" t="s">
        <v>494</v>
      </c>
      <c r="N154" s="2" t="s">
        <v>371</v>
      </c>
      <c r="O154" s="2" t="s">
        <v>495</v>
      </c>
      <c r="P154" s="2" t="n">
        <v>60</v>
      </c>
      <c r="Q154" s="2" t="s">
        <v>496</v>
      </c>
      <c r="R154" s="11" t="s">
        <v>497</v>
      </c>
      <c r="S154" s="11" t="s">
        <v>498</v>
      </c>
      <c r="T154" s="2" t="s">
        <v>219</v>
      </c>
      <c r="U154" s="2" t="s">
        <v>153</v>
      </c>
      <c r="V154" s="2" t="s">
        <v>570</v>
      </c>
      <c r="W154" s="11" t="s">
        <v>571</v>
      </c>
      <c r="X154" s="2"/>
      <c r="Y154" s="2"/>
      <c r="Z154" s="2"/>
      <c r="AA154" s="2"/>
      <c r="AB154" s="2" t="s">
        <v>572</v>
      </c>
      <c r="AC154" s="2" t="s">
        <v>157</v>
      </c>
      <c r="AD154" s="2" t="s">
        <v>132</v>
      </c>
      <c r="AE154" s="10" t="b">
        <f aca="false">FALSE()</f>
        <v>0</v>
      </c>
      <c r="AF154" s="2" t="s">
        <v>133</v>
      </c>
      <c r="AG154" s="2" t="s">
        <v>158</v>
      </c>
      <c r="AH154" s="2" t="s">
        <v>135</v>
      </c>
      <c r="AI154" s="11" t="s">
        <v>502</v>
      </c>
      <c r="AJ154" s="2" t="s">
        <v>1277</v>
      </c>
      <c r="AK154" s="2"/>
      <c r="AL154" s="2"/>
    </row>
    <row r="155" customFormat="false" ht="90" hidden="false" customHeight="true" outlineLevel="0" collapsed="false">
      <c r="A155" s="2" t="s">
        <v>678</v>
      </c>
      <c r="B155" s="2" t="s">
        <v>569</v>
      </c>
      <c r="C155" s="2" t="s">
        <v>474</v>
      </c>
      <c r="D155" s="9" t="n">
        <v>523</v>
      </c>
      <c r="E155" s="2" t="s">
        <v>491</v>
      </c>
      <c r="F155" s="2" t="s">
        <v>492</v>
      </c>
      <c r="G155" s="2" t="s">
        <v>524</v>
      </c>
      <c r="H155" s="2" t="s">
        <v>368</v>
      </c>
      <c r="I155" s="2" t="s">
        <v>145</v>
      </c>
      <c r="J155" s="2" t="s">
        <v>369</v>
      </c>
      <c r="K155" s="10" t="b">
        <f aca="false">FALSE()</f>
        <v>0</v>
      </c>
      <c r="L155" s="10" t="b">
        <f aca="false">TRUE()</f>
        <v>1</v>
      </c>
      <c r="M155" s="2" t="s">
        <v>494</v>
      </c>
      <c r="N155" s="2" t="s">
        <v>371</v>
      </c>
      <c r="O155" s="2" t="s">
        <v>495</v>
      </c>
      <c r="P155" s="2" t="n">
        <v>60</v>
      </c>
      <c r="Q155" s="2" t="s">
        <v>496</v>
      </c>
      <c r="R155" s="11" t="s">
        <v>497</v>
      </c>
      <c r="S155" s="11" t="s">
        <v>498</v>
      </c>
      <c r="T155" s="2"/>
      <c r="U155" s="2" t="s">
        <v>153</v>
      </c>
      <c r="V155" s="2" t="s">
        <v>570</v>
      </c>
      <c r="W155" s="11" t="s">
        <v>575</v>
      </c>
      <c r="X155" s="2"/>
      <c r="Y155" s="2"/>
      <c r="Z155" s="2"/>
      <c r="AA155" s="2"/>
      <c r="AB155" s="2" t="s">
        <v>572</v>
      </c>
      <c r="AC155" s="2" t="s">
        <v>187</v>
      </c>
      <c r="AD155" s="2" t="s">
        <v>132</v>
      </c>
      <c r="AE155" s="10" t="b">
        <f aca="false">FALSE()</f>
        <v>0</v>
      </c>
      <c r="AF155" s="2" t="s">
        <v>133</v>
      </c>
      <c r="AG155" s="2" t="s">
        <v>158</v>
      </c>
      <c r="AH155" s="2" t="s">
        <v>135</v>
      </c>
      <c r="AI155" s="11" t="s">
        <v>502</v>
      </c>
      <c r="AJ155" s="2" t="s">
        <v>1277</v>
      </c>
      <c r="AK155" s="2"/>
      <c r="AL155" s="2"/>
    </row>
    <row r="156" customFormat="false" ht="90" hidden="false" customHeight="true" outlineLevel="0" collapsed="false">
      <c r="A156" s="2" t="s">
        <v>680</v>
      </c>
      <c r="B156" s="2" t="s">
        <v>569</v>
      </c>
      <c r="C156" s="2" t="s">
        <v>474</v>
      </c>
      <c r="D156" s="9" t="n">
        <v>519</v>
      </c>
      <c r="E156" s="2" t="s">
        <v>491</v>
      </c>
      <c r="F156" s="2" t="s">
        <v>492</v>
      </c>
      <c r="G156" s="2" t="s">
        <v>524</v>
      </c>
      <c r="H156" s="2" t="s">
        <v>368</v>
      </c>
      <c r="I156" s="2" t="s">
        <v>145</v>
      </c>
      <c r="J156" s="2" t="s">
        <v>369</v>
      </c>
      <c r="K156" s="10" t="b">
        <f aca="false">FALSE()</f>
        <v>0</v>
      </c>
      <c r="L156" s="10" t="b">
        <f aca="false">TRUE()</f>
        <v>1</v>
      </c>
      <c r="M156" s="2" t="s">
        <v>494</v>
      </c>
      <c r="N156" s="2" t="s">
        <v>371</v>
      </c>
      <c r="O156" s="2" t="s">
        <v>495</v>
      </c>
      <c r="P156" s="2" t="n">
        <v>30</v>
      </c>
      <c r="Q156" s="2" t="s">
        <v>496</v>
      </c>
      <c r="R156" s="11" t="s">
        <v>497</v>
      </c>
      <c r="S156" s="11" t="s">
        <v>498</v>
      </c>
      <c r="T156" s="2" t="s">
        <v>219</v>
      </c>
      <c r="U156" s="2" t="s">
        <v>153</v>
      </c>
      <c r="V156" s="2" t="s">
        <v>587</v>
      </c>
      <c r="W156" s="11" t="s">
        <v>645</v>
      </c>
      <c r="X156" s="2"/>
      <c r="Y156" s="2"/>
      <c r="Z156" s="2"/>
      <c r="AA156" s="2"/>
      <c r="AB156" s="2" t="s">
        <v>589</v>
      </c>
      <c r="AC156" s="2" t="s">
        <v>157</v>
      </c>
      <c r="AD156" s="2" t="s">
        <v>354</v>
      </c>
      <c r="AE156" s="10" t="b">
        <f aca="false">FALSE()</f>
        <v>0</v>
      </c>
      <c r="AF156" s="2" t="s">
        <v>133</v>
      </c>
      <c r="AG156" s="2" t="s">
        <v>158</v>
      </c>
      <c r="AH156" s="2" t="s">
        <v>135</v>
      </c>
      <c r="AI156" s="11" t="s">
        <v>502</v>
      </c>
      <c r="AJ156" s="2" t="s">
        <v>1277</v>
      </c>
      <c r="AK156" s="2"/>
      <c r="AL156" s="2"/>
    </row>
    <row r="157" customFormat="false" ht="90" hidden="false" customHeight="true" outlineLevel="0" collapsed="false">
      <c r="A157" s="2" t="s">
        <v>1184</v>
      </c>
      <c r="B157" s="2" t="s">
        <v>569</v>
      </c>
      <c r="C157" s="2" t="s">
        <v>474</v>
      </c>
      <c r="D157" s="9" t="n">
        <v>512</v>
      </c>
      <c r="E157" s="2" t="s">
        <v>491</v>
      </c>
      <c r="F157" s="2" t="s">
        <v>492</v>
      </c>
      <c r="G157" s="2" t="s">
        <v>524</v>
      </c>
      <c r="H157" s="2" t="s">
        <v>368</v>
      </c>
      <c r="I157" s="2" t="s">
        <v>145</v>
      </c>
      <c r="J157" s="2" t="s">
        <v>369</v>
      </c>
      <c r="K157" s="10" t="b">
        <f aca="false">FALSE()</f>
        <v>0</v>
      </c>
      <c r="L157" s="10" t="b">
        <f aca="false">TRUE()</f>
        <v>1</v>
      </c>
      <c r="M157" s="2" t="s">
        <v>494</v>
      </c>
      <c r="N157" s="2" t="s">
        <v>371</v>
      </c>
      <c r="O157" s="2" t="s">
        <v>495</v>
      </c>
      <c r="P157" s="2" t="n">
        <v>60</v>
      </c>
      <c r="Q157" s="2" t="s">
        <v>496</v>
      </c>
      <c r="R157" s="11" t="s">
        <v>497</v>
      </c>
      <c r="S157" s="11" t="s">
        <v>498</v>
      </c>
      <c r="T157" s="2" t="s">
        <v>219</v>
      </c>
      <c r="U157" s="2" t="s">
        <v>153</v>
      </c>
      <c r="V157" s="2" t="s">
        <v>570</v>
      </c>
      <c r="W157" s="11" t="s">
        <v>571</v>
      </c>
      <c r="X157" s="2"/>
      <c r="Y157" s="2"/>
      <c r="Z157" s="2"/>
      <c r="AA157" s="2"/>
      <c r="AB157" s="2" t="s">
        <v>572</v>
      </c>
      <c r="AC157" s="2" t="s">
        <v>157</v>
      </c>
      <c r="AD157" s="2" t="s">
        <v>132</v>
      </c>
      <c r="AE157" s="10" t="b">
        <f aca="false">FALSE()</f>
        <v>0</v>
      </c>
      <c r="AF157" s="2" t="s">
        <v>133</v>
      </c>
      <c r="AG157" s="2" t="s">
        <v>158</v>
      </c>
      <c r="AH157" s="2" t="s">
        <v>135</v>
      </c>
      <c r="AI157" s="11" t="s">
        <v>502</v>
      </c>
      <c r="AJ157" s="2" t="s">
        <v>1142</v>
      </c>
      <c r="AK157" s="2" t="s">
        <v>1142</v>
      </c>
      <c r="AL157" s="2" t="s">
        <v>1185</v>
      </c>
    </row>
    <row r="158" customFormat="false" ht="90" hidden="false" customHeight="true" outlineLevel="0" collapsed="false">
      <c r="A158" s="2" t="s">
        <v>682</v>
      </c>
      <c r="B158" s="2" t="s">
        <v>569</v>
      </c>
      <c r="C158" s="2" t="s">
        <v>474</v>
      </c>
      <c r="D158" s="9" t="n">
        <v>501</v>
      </c>
      <c r="E158" s="2" t="s">
        <v>491</v>
      </c>
      <c r="F158" s="2" t="s">
        <v>492</v>
      </c>
      <c r="G158" s="2" t="s">
        <v>524</v>
      </c>
      <c r="H158" s="2" t="s">
        <v>368</v>
      </c>
      <c r="I158" s="2" t="s">
        <v>145</v>
      </c>
      <c r="J158" s="2" t="s">
        <v>369</v>
      </c>
      <c r="K158" s="10" t="b">
        <f aca="false">FALSE()</f>
        <v>0</v>
      </c>
      <c r="L158" s="10" t="b">
        <f aca="false">FALSE()</f>
        <v>0</v>
      </c>
      <c r="M158" s="2" t="s">
        <v>494</v>
      </c>
      <c r="N158" s="2" t="s">
        <v>371</v>
      </c>
      <c r="O158" s="2" t="s">
        <v>495</v>
      </c>
      <c r="P158" s="2" t="n">
        <v>30</v>
      </c>
      <c r="Q158" s="2" t="s">
        <v>496</v>
      </c>
      <c r="R158" s="11" t="s">
        <v>497</v>
      </c>
      <c r="S158" s="11" t="s">
        <v>498</v>
      </c>
      <c r="T158" s="2" t="s">
        <v>557</v>
      </c>
      <c r="U158" s="2" t="s">
        <v>153</v>
      </c>
      <c r="V158" s="2" t="s">
        <v>606</v>
      </c>
      <c r="W158" s="11" t="s">
        <v>607</v>
      </c>
      <c r="X158" s="2"/>
      <c r="Y158" s="2"/>
      <c r="Z158" s="2"/>
      <c r="AA158" s="2"/>
      <c r="AB158" s="2" t="s">
        <v>608</v>
      </c>
      <c r="AC158" s="2" t="s">
        <v>131</v>
      </c>
      <c r="AD158" s="2" t="s">
        <v>440</v>
      </c>
      <c r="AE158" s="10" t="b">
        <f aca="false">FALSE()</f>
        <v>0</v>
      </c>
      <c r="AF158" s="2" t="s">
        <v>133</v>
      </c>
      <c r="AG158" s="2" t="s">
        <v>158</v>
      </c>
      <c r="AH158" s="2" t="s">
        <v>135</v>
      </c>
      <c r="AI158" s="11" t="s">
        <v>502</v>
      </c>
      <c r="AJ158" s="2" t="s">
        <v>1277</v>
      </c>
      <c r="AK158" s="2"/>
      <c r="AL158" s="2"/>
    </row>
    <row r="159" customFormat="false" ht="90" hidden="false" customHeight="true" outlineLevel="0" collapsed="false">
      <c r="A159" s="2" t="s">
        <v>684</v>
      </c>
      <c r="B159" s="2" t="s">
        <v>569</v>
      </c>
      <c r="C159" s="2" t="s">
        <v>474</v>
      </c>
      <c r="D159" s="9" t="n">
        <v>493</v>
      </c>
      <c r="E159" s="2" t="s">
        <v>491</v>
      </c>
      <c r="F159" s="2" t="s">
        <v>492</v>
      </c>
      <c r="G159" s="2" t="s">
        <v>524</v>
      </c>
      <c r="H159" s="2" t="s">
        <v>368</v>
      </c>
      <c r="I159" s="2" t="s">
        <v>145</v>
      </c>
      <c r="J159" s="2" t="s">
        <v>369</v>
      </c>
      <c r="K159" s="10" t="b">
        <f aca="false">FALSE()</f>
        <v>0</v>
      </c>
      <c r="L159" s="10" t="b">
        <f aca="false">FALSE()</f>
        <v>0</v>
      </c>
      <c r="M159" s="2" t="s">
        <v>494</v>
      </c>
      <c r="N159" s="2" t="s">
        <v>371</v>
      </c>
      <c r="O159" s="2" t="s">
        <v>495</v>
      </c>
      <c r="P159" s="2" t="n">
        <v>60</v>
      </c>
      <c r="Q159" s="2" t="s">
        <v>496</v>
      </c>
      <c r="R159" s="11" t="s">
        <v>497</v>
      </c>
      <c r="S159" s="11" t="s">
        <v>498</v>
      </c>
      <c r="T159" s="2"/>
      <c r="U159" s="2" t="s">
        <v>153</v>
      </c>
      <c r="V159" s="2" t="s">
        <v>570</v>
      </c>
      <c r="W159" s="11" t="s">
        <v>575</v>
      </c>
      <c r="X159" s="2"/>
      <c r="Y159" s="2"/>
      <c r="Z159" s="2"/>
      <c r="AA159" s="2"/>
      <c r="AB159" s="2" t="s">
        <v>572</v>
      </c>
      <c r="AC159" s="2" t="s">
        <v>187</v>
      </c>
      <c r="AD159" s="2" t="s">
        <v>132</v>
      </c>
      <c r="AE159" s="10" t="b">
        <f aca="false">FALSE()</f>
        <v>0</v>
      </c>
      <c r="AF159" s="2" t="s">
        <v>133</v>
      </c>
      <c r="AG159" s="2" t="s">
        <v>158</v>
      </c>
      <c r="AH159" s="2" t="s">
        <v>135</v>
      </c>
      <c r="AI159" s="11" t="s">
        <v>502</v>
      </c>
      <c r="AJ159" s="2" t="s">
        <v>1277</v>
      </c>
      <c r="AK159" s="2"/>
      <c r="AL159" s="2"/>
    </row>
    <row r="160" customFormat="false" ht="90" hidden="false" customHeight="true" outlineLevel="0" collapsed="false">
      <c r="A160" s="2" t="s">
        <v>686</v>
      </c>
      <c r="B160" s="2" t="s">
        <v>569</v>
      </c>
      <c r="C160" s="2" t="s">
        <v>474</v>
      </c>
      <c r="D160" s="9" t="n">
        <v>489</v>
      </c>
      <c r="E160" s="2" t="s">
        <v>491</v>
      </c>
      <c r="F160" s="2" t="s">
        <v>492</v>
      </c>
      <c r="G160" s="2" t="s">
        <v>524</v>
      </c>
      <c r="H160" s="2" t="s">
        <v>368</v>
      </c>
      <c r="I160" s="2" t="s">
        <v>145</v>
      </c>
      <c r="J160" s="2" t="s">
        <v>369</v>
      </c>
      <c r="K160" s="10" t="b">
        <f aca="false">FALSE()</f>
        <v>0</v>
      </c>
      <c r="L160" s="10" t="b">
        <f aca="false">TRUE()</f>
        <v>1</v>
      </c>
      <c r="M160" s="2" t="s">
        <v>494</v>
      </c>
      <c r="N160" s="2" t="s">
        <v>371</v>
      </c>
      <c r="O160" s="2" t="s">
        <v>495</v>
      </c>
      <c r="P160" s="2" t="n">
        <v>30</v>
      </c>
      <c r="Q160" s="2" t="s">
        <v>496</v>
      </c>
      <c r="R160" s="11" t="s">
        <v>497</v>
      </c>
      <c r="S160" s="11" t="s">
        <v>498</v>
      </c>
      <c r="T160" s="2"/>
      <c r="U160" s="2" t="s">
        <v>153</v>
      </c>
      <c r="V160" s="2" t="s">
        <v>658</v>
      </c>
      <c r="W160" s="11" t="s">
        <v>687</v>
      </c>
      <c r="X160" s="2"/>
      <c r="Y160" s="2"/>
      <c r="Z160" s="2"/>
      <c r="AA160" s="2"/>
      <c r="AB160" s="2" t="s">
        <v>528</v>
      </c>
      <c r="AC160" s="2" t="s">
        <v>131</v>
      </c>
      <c r="AD160" s="2" t="s">
        <v>132</v>
      </c>
      <c r="AE160" s="10" t="b">
        <f aca="false">FALSE()</f>
        <v>0</v>
      </c>
      <c r="AF160" s="2" t="s">
        <v>133</v>
      </c>
      <c r="AG160" s="2" t="s">
        <v>158</v>
      </c>
      <c r="AH160" s="2" t="s">
        <v>135</v>
      </c>
      <c r="AI160" s="11" t="s">
        <v>502</v>
      </c>
      <c r="AJ160" s="2" t="s">
        <v>1277</v>
      </c>
      <c r="AK160" s="2"/>
      <c r="AL160" s="2"/>
    </row>
    <row r="161" customFormat="false" ht="90" hidden="false" customHeight="true" outlineLevel="0" collapsed="false">
      <c r="A161" s="2" t="s">
        <v>689</v>
      </c>
      <c r="B161" s="2" t="s">
        <v>569</v>
      </c>
      <c r="C161" s="2" t="s">
        <v>474</v>
      </c>
      <c r="D161" s="9" t="n">
        <v>489</v>
      </c>
      <c r="E161" s="2" t="s">
        <v>491</v>
      </c>
      <c r="F161" s="2" t="s">
        <v>492</v>
      </c>
      <c r="G161" s="2" t="s">
        <v>524</v>
      </c>
      <c r="H161" s="2" t="s">
        <v>368</v>
      </c>
      <c r="I161" s="2" t="s">
        <v>145</v>
      </c>
      <c r="J161" s="2" t="s">
        <v>369</v>
      </c>
      <c r="K161" s="10" t="b">
        <f aca="false">FALSE()</f>
        <v>0</v>
      </c>
      <c r="L161" s="10" t="b">
        <f aca="false">TRUE()</f>
        <v>1</v>
      </c>
      <c r="M161" s="2" t="s">
        <v>494</v>
      </c>
      <c r="N161" s="2" t="s">
        <v>371</v>
      </c>
      <c r="O161" s="2" t="s">
        <v>495</v>
      </c>
      <c r="P161" s="2" t="n">
        <v>60</v>
      </c>
      <c r="Q161" s="2" t="s">
        <v>496</v>
      </c>
      <c r="R161" s="11" t="s">
        <v>497</v>
      </c>
      <c r="S161" s="11" t="s">
        <v>498</v>
      </c>
      <c r="T161" s="2" t="s">
        <v>219</v>
      </c>
      <c r="U161" s="2" t="s">
        <v>153</v>
      </c>
      <c r="V161" s="2" t="s">
        <v>570</v>
      </c>
      <c r="W161" s="11" t="s">
        <v>571</v>
      </c>
      <c r="X161" s="2"/>
      <c r="Y161" s="2"/>
      <c r="Z161" s="2"/>
      <c r="AA161" s="2"/>
      <c r="AB161" s="2" t="s">
        <v>572</v>
      </c>
      <c r="AC161" s="2" t="s">
        <v>157</v>
      </c>
      <c r="AD161" s="2" t="s">
        <v>132</v>
      </c>
      <c r="AE161" s="10" t="b">
        <f aca="false">FALSE()</f>
        <v>0</v>
      </c>
      <c r="AF161" s="2" t="s">
        <v>133</v>
      </c>
      <c r="AG161" s="2" t="s">
        <v>158</v>
      </c>
      <c r="AH161" s="2" t="s">
        <v>135</v>
      </c>
      <c r="AI161" s="11" t="s">
        <v>502</v>
      </c>
      <c r="AJ161" s="2" t="s">
        <v>1277</v>
      </c>
      <c r="AK161" s="2"/>
      <c r="AL161" s="2"/>
    </row>
    <row r="162" customFormat="false" ht="90" hidden="false" customHeight="true" outlineLevel="0" collapsed="false">
      <c r="A162" s="2" t="s">
        <v>691</v>
      </c>
      <c r="B162" s="2" t="s">
        <v>569</v>
      </c>
      <c r="C162" s="2" t="s">
        <v>474</v>
      </c>
      <c r="D162" s="9" t="n">
        <v>486</v>
      </c>
      <c r="E162" s="2" t="s">
        <v>491</v>
      </c>
      <c r="F162" s="2" t="s">
        <v>492</v>
      </c>
      <c r="G162" s="2" t="s">
        <v>524</v>
      </c>
      <c r="H162" s="2" t="s">
        <v>368</v>
      </c>
      <c r="I162" s="2" t="s">
        <v>145</v>
      </c>
      <c r="J162" s="2" t="s">
        <v>369</v>
      </c>
      <c r="K162" s="10" t="b">
        <f aca="false">FALSE()</f>
        <v>0</v>
      </c>
      <c r="L162" s="10" t="b">
        <f aca="false">FALSE()</f>
        <v>0</v>
      </c>
      <c r="M162" s="2" t="s">
        <v>494</v>
      </c>
      <c r="N162" s="2" t="s">
        <v>371</v>
      </c>
      <c r="O162" s="2" t="s">
        <v>495</v>
      </c>
      <c r="P162" s="2" t="n">
        <v>60</v>
      </c>
      <c r="Q162" s="2" t="s">
        <v>496</v>
      </c>
      <c r="R162" s="11" t="s">
        <v>497</v>
      </c>
      <c r="S162" s="11" t="s">
        <v>498</v>
      </c>
      <c r="T162" s="2" t="s">
        <v>219</v>
      </c>
      <c r="U162" s="2" t="s">
        <v>153</v>
      </c>
      <c r="V162" s="2" t="s">
        <v>570</v>
      </c>
      <c r="W162" s="11" t="s">
        <v>571</v>
      </c>
      <c r="X162" s="2"/>
      <c r="Y162" s="2"/>
      <c r="Z162" s="2"/>
      <c r="AA162" s="2"/>
      <c r="AB162" s="2" t="s">
        <v>572</v>
      </c>
      <c r="AC162" s="2" t="s">
        <v>157</v>
      </c>
      <c r="AD162" s="2" t="s">
        <v>132</v>
      </c>
      <c r="AE162" s="10" t="b">
        <f aca="false">FALSE()</f>
        <v>0</v>
      </c>
      <c r="AF162" s="2" t="s">
        <v>133</v>
      </c>
      <c r="AG162" s="2" t="s">
        <v>158</v>
      </c>
      <c r="AH162" s="2" t="s">
        <v>135</v>
      </c>
      <c r="AI162" s="11" t="s">
        <v>502</v>
      </c>
      <c r="AJ162" s="2" t="s">
        <v>1277</v>
      </c>
      <c r="AK162" s="2"/>
      <c r="AL162" s="2"/>
    </row>
    <row r="163" customFormat="false" ht="90" hidden="false" customHeight="true" outlineLevel="0" collapsed="false">
      <c r="A163" s="2" t="s">
        <v>1186</v>
      </c>
      <c r="B163" s="2" t="s">
        <v>569</v>
      </c>
      <c r="C163" s="2" t="s">
        <v>474</v>
      </c>
      <c r="D163" s="9" t="n">
        <v>484</v>
      </c>
      <c r="E163" s="2" t="s">
        <v>475</v>
      </c>
      <c r="F163" s="2" t="s">
        <v>492</v>
      </c>
      <c r="G163" s="2" t="s">
        <v>595</v>
      </c>
      <c r="H163" s="2" t="s">
        <v>368</v>
      </c>
      <c r="I163" s="2" t="s">
        <v>145</v>
      </c>
      <c r="J163" s="2" t="s">
        <v>369</v>
      </c>
      <c r="K163" s="10" t="b">
        <f aca="false">FALSE()</f>
        <v>0</v>
      </c>
      <c r="L163" s="10" t="b">
        <f aca="false">TRUE()</f>
        <v>1</v>
      </c>
      <c r="M163" s="2" t="s">
        <v>494</v>
      </c>
      <c r="N163" s="2" t="s">
        <v>371</v>
      </c>
      <c r="O163" s="2" t="s">
        <v>495</v>
      </c>
      <c r="P163" s="2" t="n">
        <v>60</v>
      </c>
      <c r="Q163" s="2" t="s">
        <v>496</v>
      </c>
      <c r="R163" s="11" t="s">
        <v>497</v>
      </c>
      <c r="S163" s="11" t="s">
        <v>498</v>
      </c>
      <c r="T163" s="2" t="s">
        <v>219</v>
      </c>
      <c r="U163" s="2" t="s">
        <v>153</v>
      </c>
      <c r="V163" s="2" t="s">
        <v>570</v>
      </c>
      <c r="W163" s="11" t="s">
        <v>592</v>
      </c>
      <c r="X163" s="2"/>
      <c r="Y163" s="2"/>
      <c r="Z163" s="2"/>
      <c r="AA163" s="2"/>
      <c r="AB163" s="2" t="s">
        <v>572</v>
      </c>
      <c r="AC163" s="2" t="s">
        <v>157</v>
      </c>
      <c r="AD163" s="2" t="s">
        <v>132</v>
      </c>
      <c r="AE163" s="10" t="b">
        <f aca="false">FALSE()</f>
        <v>0</v>
      </c>
      <c r="AF163" s="2" t="s">
        <v>133</v>
      </c>
      <c r="AG163" s="2" t="s">
        <v>158</v>
      </c>
      <c r="AH163" s="2" t="s">
        <v>135</v>
      </c>
      <c r="AI163" s="11" t="s">
        <v>502</v>
      </c>
      <c r="AJ163" s="2" t="s">
        <v>1142</v>
      </c>
      <c r="AK163" s="2" t="s">
        <v>1142</v>
      </c>
      <c r="AL163" s="2" t="s">
        <v>1187</v>
      </c>
    </row>
    <row r="164" customFormat="false" ht="90" hidden="false" customHeight="true" outlineLevel="0" collapsed="false">
      <c r="A164" s="2" t="s">
        <v>1188</v>
      </c>
      <c r="B164" s="2" t="s">
        <v>569</v>
      </c>
      <c r="C164" s="2" t="s">
        <v>474</v>
      </c>
      <c r="D164" s="9" t="n">
        <v>478</v>
      </c>
      <c r="E164" s="2" t="s">
        <v>491</v>
      </c>
      <c r="F164" s="2" t="s">
        <v>492</v>
      </c>
      <c r="G164" s="2" t="s">
        <v>524</v>
      </c>
      <c r="H164" s="2" t="s">
        <v>368</v>
      </c>
      <c r="I164" s="2" t="s">
        <v>145</v>
      </c>
      <c r="J164" s="2" t="s">
        <v>369</v>
      </c>
      <c r="K164" s="10" t="b">
        <f aca="false">FALSE()</f>
        <v>0</v>
      </c>
      <c r="L164" s="10" t="b">
        <f aca="false">TRUE()</f>
        <v>1</v>
      </c>
      <c r="M164" s="2" t="s">
        <v>494</v>
      </c>
      <c r="N164" s="2" t="s">
        <v>371</v>
      </c>
      <c r="O164" s="2" t="s">
        <v>495</v>
      </c>
      <c r="P164" s="2" t="n">
        <v>60</v>
      </c>
      <c r="Q164" s="2" t="s">
        <v>496</v>
      </c>
      <c r="R164" s="11" t="s">
        <v>497</v>
      </c>
      <c r="S164" s="11" t="s">
        <v>498</v>
      </c>
      <c r="T164" s="2" t="s">
        <v>219</v>
      </c>
      <c r="U164" s="2" t="s">
        <v>153</v>
      </c>
      <c r="V164" s="2" t="s">
        <v>570</v>
      </c>
      <c r="W164" s="11" t="s">
        <v>571</v>
      </c>
      <c r="X164" s="2"/>
      <c r="Y164" s="2"/>
      <c r="Z164" s="2"/>
      <c r="AA164" s="2"/>
      <c r="AB164" s="2" t="s">
        <v>572</v>
      </c>
      <c r="AC164" s="2" t="s">
        <v>157</v>
      </c>
      <c r="AD164" s="2" t="s">
        <v>132</v>
      </c>
      <c r="AE164" s="10" t="b">
        <f aca="false">FALSE()</f>
        <v>0</v>
      </c>
      <c r="AF164" s="2" t="s">
        <v>133</v>
      </c>
      <c r="AG164" s="2" t="s">
        <v>158</v>
      </c>
      <c r="AH164" s="2" t="s">
        <v>135</v>
      </c>
      <c r="AI164" s="11" t="s">
        <v>502</v>
      </c>
      <c r="AJ164" s="2" t="s">
        <v>1142</v>
      </c>
      <c r="AK164" s="2" t="s">
        <v>1142</v>
      </c>
      <c r="AL164" s="2" t="s">
        <v>1189</v>
      </c>
    </row>
    <row r="165" customFormat="false" ht="90" hidden="false" customHeight="true" outlineLevel="0" collapsed="false">
      <c r="A165" s="2" t="s">
        <v>693</v>
      </c>
      <c r="B165" s="2" t="s">
        <v>569</v>
      </c>
      <c r="C165" s="2" t="s">
        <v>474</v>
      </c>
      <c r="D165" s="9" t="n">
        <v>471</v>
      </c>
      <c r="E165" s="2" t="s">
        <v>491</v>
      </c>
      <c r="F165" s="2" t="s">
        <v>492</v>
      </c>
      <c r="G165" s="2" t="s">
        <v>524</v>
      </c>
      <c r="H165" s="2" t="s">
        <v>368</v>
      </c>
      <c r="I165" s="2" t="s">
        <v>145</v>
      </c>
      <c r="J165" s="2" t="s">
        <v>369</v>
      </c>
      <c r="K165" s="10" t="b">
        <f aca="false">FALSE()</f>
        <v>0</v>
      </c>
      <c r="L165" s="10" t="b">
        <f aca="false">TRUE()</f>
        <v>1</v>
      </c>
      <c r="M165" s="2" t="s">
        <v>494</v>
      </c>
      <c r="N165" s="2" t="s">
        <v>371</v>
      </c>
      <c r="O165" s="2" t="s">
        <v>495</v>
      </c>
      <c r="P165" s="2" t="n">
        <v>60</v>
      </c>
      <c r="Q165" s="2" t="s">
        <v>496</v>
      </c>
      <c r="R165" s="11" t="s">
        <v>497</v>
      </c>
      <c r="S165" s="11" t="s">
        <v>498</v>
      </c>
      <c r="T165" s="2" t="s">
        <v>298</v>
      </c>
      <c r="U165" s="2" t="s">
        <v>153</v>
      </c>
      <c r="V165" s="2" t="s">
        <v>570</v>
      </c>
      <c r="W165" s="11" t="s">
        <v>592</v>
      </c>
      <c r="X165" s="2"/>
      <c r="Y165" s="2"/>
      <c r="Z165" s="2"/>
      <c r="AA165" s="2"/>
      <c r="AB165" s="2" t="s">
        <v>572</v>
      </c>
      <c r="AC165" s="2" t="s">
        <v>187</v>
      </c>
      <c r="AD165" s="2" t="s">
        <v>132</v>
      </c>
      <c r="AE165" s="10" t="b">
        <f aca="false">FALSE()</f>
        <v>0</v>
      </c>
      <c r="AF165" s="2" t="s">
        <v>133</v>
      </c>
      <c r="AG165" s="2" t="s">
        <v>158</v>
      </c>
      <c r="AH165" s="2" t="s">
        <v>135</v>
      </c>
      <c r="AI165" s="11" t="s">
        <v>502</v>
      </c>
      <c r="AJ165" s="2" t="s">
        <v>1277</v>
      </c>
      <c r="AK165" s="2"/>
      <c r="AL165" s="2"/>
    </row>
    <row r="166" customFormat="false" ht="90" hidden="false" customHeight="true" outlineLevel="0" collapsed="false">
      <c r="A166" s="2" t="s">
        <v>695</v>
      </c>
      <c r="B166" s="2" t="s">
        <v>569</v>
      </c>
      <c r="C166" s="2" t="s">
        <v>474</v>
      </c>
      <c r="D166" s="9" t="n">
        <v>468</v>
      </c>
      <c r="E166" s="2" t="s">
        <v>491</v>
      </c>
      <c r="F166" s="2" t="s">
        <v>492</v>
      </c>
      <c r="G166" s="2" t="s">
        <v>524</v>
      </c>
      <c r="H166" s="2" t="s">
        <v>368</v>
      </c>
      <c r="I166" s="2" t="s">
        <v>145</v>
      </c>
      <c r="J166" s="2" t="s">
        <v>369</v>
      </c>
      <c r="K166" s="10" t="b">
        <f aca="false">FALSE()</f>
        <v>0</v>
      </c>
      <c r="L166" s="10" t="b">
        <f aca="false">TRUE()</f>
        <v>1</v>
      </c>
      <c r="M166" s="2" t="s">
        <v>494</v>
      </c>
      <c r="N166" s="2" t="s">
        <v>371</v>
      </c>
      <c r="O166" s="2" t="s">
        <v>495</v>
      </c>
      <c r="P166" s="2" t="n">
        <v>60</v>
      </c>
      <c r="Q166" s="2" t="s">
        <v>496</v>
      </c>
      <c r="R166" s="11" t="s">
        <v>497</v>
      </c>
      <c r="S166" s="11" t="s">
        <v>498</v>
      </c>
      <c r="T166" s="2" t="s">
        <v>219</v>
      </c>
      <c r="U166" s="2" t="s">
        <v>153</v>
      </c>
      <c r="V166" s="2" t="s">
        <v>570</v>
      </c>
      <c r="W166" s="11" t="s">
        <v>592</v>
      </c>
      <c r="X166" s="2"/>
      <c r="Y166" s="2"/>
      <c r="Z166" s="2"/>
      <c r="AA166" s="2"/>
      <c r="AB166" s="2" t="s">
        <v>572</v>
      </c>
      <c r="AC166" s="2" t="s">
        <v>157</v>
      </c>
      <c r="AD166" s="2" t="s">
        <v>132</v>
      </c>
      <c r="AE166" s="10" t="b">
        <f aca="false">FALSE()</f>
        <v>0</v>
      </c>
      <c r="AF166" s="2" t="s">
        <v>133</v>
      </c>
      <c r="AG166" s="2" t="s">
        <v>158</v>
      </c>
      <c r="AH166" s="2" t="s">
        <v>135</v>
      </c>
      <c r="AI166" s="11" t="s">
        <v>502</v>
      </c>
      <c r="AJ166" s="2" t="s">
        <v>1277</v>
      </c>
      <c r="AK166" s="2"/>
      <c r="AL166" s="2"/>
    </row>
    <row r="167" customFormat="false" ht="90" hidden="false" customHeight="true" outlineLevel="0" collapsed="false">
      <c r="A167" s="2" t="s">
        <v>697</v>
      </c>
      <c r="B167" s="2" t="s">
        <v>569</v>
      </c>
      <c r="C167" s="2" t="s">
        <v>474</v>
      </c>
      <c r="D167" s="9" t="n">
        <v>461</v>
      </c>
      <c r="E167" s="2" t="s">
        <v>491</v>
      </c>
      <c r="F167" s="2" t="s">
        <v>492</v>
      </c>
      <c r="G167" s="2" t="s">
        <v>524</v>
      </c>
      <c r="H167" s="2" t="s">
        <v>368</v>
      </c>
      <c r="I167" s="2" t="s">
        <v>145</v>
      </c>
      <c r="J167" s="2" t="s">
        <v>369</v>
      </c>
      <c r="K167" s="10" t="b">
        <f aca="false">FALSE()</f>
        <v>0</v>
      </c>
      <c r="L167" s="10" t="b">
        <f aca="false">FALSE()</f>
        <v>0</v>
      </c>
      <c r="M167" s="2" t="s">
        <v>494</v>
      </c>
      <c r="N167" s="2" t="s">
        <v>371</v>
      </c>
      <c r="O167" s="2" t="s">
        <v>495</v>
      </c>
      <c r="P167" s="2" t="n">
        <v>30</v>
      </c>
      <c r="Q167" s="2" t="s">
        <v>496</v>
      </c>
      <c r="R167" s="11" t="s">
        <v>497</v>
      </c>
      <c r="S167" s="11" t="s">
        <v>498</v>
      </c>
      <c r="T167" s="2" t="s">
        <v>632</v>
      </c>
      <c r="U167" s="2" t="s">
        <v>153</v>
      </c>
      <c r="V167" s="2" t="s">
        <v>606</v>
      </c>
      <c r="W167" s="11" t="s">
        <v>607</v>
      </c>
      <c r="X167" s="2"/>
      <c r="Y167" s="2"/>
      <c r="Z167" s="2"/>
      <c r="AA167" s="2"/>
      <c r="AB167" s="2" t="s">
        <v>608</v>
      </c>
      <c r="AC167" s="2" t="s">
        <v>131</v>
      </c>
      <c r="AD167" s="2" t="s">
        <v>440</v>
      </c>
      <c r="AE167" s="10" t="b">
        <f aca="false">FALSE()</f>
        <v>0</v>
      </c>
      <c r="AF167" s="2" t="s">
        <v>133</v>
      </c>
      <c r="AG167" s="2" t="s">
        <v>158</v>
      </c>
      <c r="AH167" s="2" t="s">
        <v>135</v>
      </c>
      <c r="AI167" s="11" t="s">
        <v>502</v>
      </c>
      <c r="AJ167" s="2" t="s">
        <v>1277</v>
      </c>
      <c r="AK167" s="2"/>
      <c r="AL167" s="2"/>
    </row>
    <row r="168" customFormat="false" ht="90" hidden="false" customHeight="true" outlineLevel="0" collapsed="false">
      <c r="A168" s="2" t="s">
        <v>699</v>
      </c>
      <c r="B168" s="2" t="s">
        <v>569</v>
      </c>
      <c r="C168" s="2" t="s">
        <v>474</v>
      </c>
      <c r="D168" s="9" t="n">
        <v>459</v>
      </c>
      <c r="E168" s="2" t="s">
        <v>491</v>
      </c>
      <c r="F168" s="2" t="s">
        <v>492</v>
      </c>
      <c r="G168" s="2" t="s">
        <v>524</v>
      </c>
      <c r="H168" s="2" t="s">
        <v>368</v>
      </c>
      <c r="I168" s="2" t="s">
        <v>145</v>
      </c>
      <c r="J168" s="2" t="s">
        <v>369</v>
      </c>
      <c r="K168" s="10" t="b">
        <f aca="false">FALSE()</f>
        <v>0</v>
      </c>
      <c r="L168" s="10" t="b">
        <f aca="false">TRUE()</f>
        <v>1</v>
      </c>
      <c r="M168" s="2" t="s">
        <v>494</v>
      </c>
      <c r="N168" s="2" t="s">
        <v>371</v>
      </c>
      <c r="O168" s="2" t="s">
        <v>495</v>
      </c>
      <c r="P168" s="2" t="n">
        <v>60</v>
      </c>
      <c r="Q168" s="2" t="s">
        <v>496</v>
      </c>
      <c r="R168" s="11" t="s">
        <v>497</v>
      </c>
      <c r="S168" s="11" t="s">
        <v>498</v>
      </c>
      <c r="T168" s="2"/>
      <c r="U168" s="2" t="s">
        <v>153</v>
      </c>
      <c r="V168" s="2" t="s">
        <v>570</v>
      </c>
      <c r="W168" s="11" t="s">
        <v>592</v>
      </c>
      <c r="X168" s="2"/>
      <c r="Y168" s="2"/>
      <c r="Z168" s="2"/>
      <c r="AA168" s="2"/>
      <c r="AB168" s="2" t="s">
        <v>572</v>
      </c>
      <c r="AC168" s="2" t="s">
        <v>187</v>
      </c>
      <c r="AD168" s="2" t="s">
        <v>132</v>
      </c>
      <c r="AE168" s="10" t="b">
        <f aca="false">FALSE()</f>
        <v>0</v>
      </c>
      <c r="AF168" s="2" t="s">
        <v>133</v>
      </c>
      <c r="AG168" s="2" t="s">
        <v>158</v>
      </c>
      <c r="AH168" s="2" t="s">
        <v>135</v>
      </c>
      <c r="AI168" s="11" t="s">
        <v>502</v>
      </c>
      <c r="AJ168" s="2" t="s">
        <v>1277</v>
      </c>
      <c r="AK168" s="2"/>
      <c r="AL168" s="2"/>
    </row>
    <row r="169" customFormat="false" ht="90" hidden="false" customHeight="true" outlineLevel="0" collapsed="false">
      <c r="A169" s="2" t="s">
        <v>701</v>
      </c>
      <c r="B169" s="2" t="s">
        <v>569</v>
      </c>
      <c r="C169" s="2" t="s">
        <v>474</v>
      </c>
      <c r="D169" s="9" t="n">
        <v>457</v>
      </c>
      <c r="E169" s="2" t="s">
        <v>491</v>
      </c>
      <c r="F169" s="2" t="s">
        <v>492</v>
      </c>
      <c r="G169" s="2" t="s">
        <v>524</v>
      </c>
      <c r="H169" s="2" t="s">
        <v>368</v>
      </c>
      <c r="I169" s="2" t="s">
        <v>145</v>
      </c>
      <c r="J169" s="2" t="s">
        <v>369</v>
      </c>
      <c r="K169" s="10" t="b">
        <f aca="false">FALSE()</f>
        <v>0</v>
      </c>
      <c r="L169" s="10" t="b">
        <f aca="false">FALSE()</f>
        <v>0</v>
      </c>
      <c r="M169" s="2" t="s">
        <v>494</v>
      </c>
      <c r="N169" s="2" t="s">
        <v>371</v>
      </c>
      <c r="O169" s="2" t="s">
        <v>495</v>
      </c>
      <c r="P169" s="2" t="n">
        <v>30</v>
      </c>
      <c r="Q169" s="2" t="s">
        <v>496</v>
      </c>
      <c r="R169" s="11" t="s">
        <v>497</v>
      </c>
      <c r="S169" s="11" t="s">
        <v>498</v>
      </c>
      <c r="T169" s="2" t="s">
        <v>632</v>
      </c>
      <c r="U169" s="2" t="s">
        <v>153</v>
      </c>
      <c r="V169" s="2" t="s">
        <v>606</v>
      </c>
      <c r="W169" s="11" t="s">
        <v>607</v>
      </c>
      <c r="X169" s="2"/>
      <c r="Y169" s="2"/>
      <c r="Z169" s="2"/>
      <c r="AA169" s="2"/>
      <c r="AB169" s="2" t="s">
        <v>608</v>
      </c>
      <c r="AC169" s="2" t="s">
        <v>131</v>
      </c>
      <c r="AD169" s="2" t="s">
        <v>440</v>
      </c>
      <c r="AE169" s="10" t="b">
        <f aca="false">FALSE()</f>
        <v>0</v>
      </c>
      <c r="AF169" s="2" t="s">
        <v>133</v>
      </c>
      <c r="AG169" s="2" t="s">
        <v>158</v>
      </c>
      <c r="AH169" s="2" t="s">
        <v>135</v>
      </c>
      <c r="AI169" s="11" t="s">
        <v>502</v>
      </c>
      <c r="AJ169" s="2" t="s">
        <v>1277</v>
      </c>
      <c r="AK169" s="2"/>
      <c r="AL169" s="2"/>
    </row>
    <row r="170" customFormat="false" ht="90" hidden="false" customHeight="true" outlineLevel="0" collapsed="false">
      <c r="A170" s="2" t="s">
        <v>703</v>
      </c>
      <c r="B170" s="2" t="s">
        <v>569</v>
      </c>
      <c r="C170" s="2" t="s">
        <v>474</v>
      </c>
      <c r="D170" s="9" t="n">
        <v>454</v>
      </c>
      <c r="E170" s="2" t="s">
        <v>475</v>
      </c>
      <c r="F170" s="2" t="s">
        <v>492</v>
      </c>
      <c r="G170" s="2" t="s">
        <v>595</v>
      </c>
      <c r="H170" s="2" t="s">
        <v>368</v>
      </c>
      <c r="I170" s="2" t="s">
        <v>145</v>
      </c>
      <c r="J170" s="2" t="s">
        <v>369</v>
      </c>
      <c r="K170" s="10" t="b">
        <f aca="false">FALSE()</f>
        <v>0</v>
      </c>
      <c r="L170" s="10" t="b">
        <f aca="false">TRUE()</f>
        <v>1</v>
      </c>
      <c r="M170" s="2" t="s">
        <v>494</v>
      </c>
      <c r="N170" s="2" t="s">
        <v>371</v>
      </c>
      <c r="O170" s="2" t="s">
        <v>495</v>
      </c>
      <c r="P170" s="2" t="n">
        <v>60</v>
      </c>
      <c r="Q170" s="2" t="s">
        <v>496</v>
      </c>
      <c r="R170" s="11" t="s">
        <v>497</v>
      </c>
      <c r="S170" s="11" t="s">
        <v>498</v>
      </c>
      <c r="T170" s="2" t="s">
        <v>163</v>
      </c>
      <c r="U170" s="2" t="s">
        <v>153</v>
      </c>
      <c r="V170" s="2" t="s">
        <v>570</v>
      </c>
      <c r="W170" s="11" t="s">
        <v>571</v>
      </c>
      <c r="X170" s="2"/>
      <c r="Y170" s="2"/>
      <c r="Z170" s="2"/>
      <c r="AA170" s="2"/>
      <c r="AB170" s="2" t="s">
        <v>572</v>
      </c>
      <c r="AC170" s="2" t="s">
        <v>157</v>
      </c>
      <c r="AD170" s="2" t="s">
        <v>354</v>
      </c>
      <c r="AE170" s="10" t="b">
        <f aca="false">FALSE()</f>
        <v>0</v>
      </c>
      <c r="AF170" s="2" t="s">
        <v>133</v>
      </c>
      <c r="AG170" s="2" t="s">
        <v>158</v>
      </c>
      <c r="AH170" s="2" t="s">
        <v>135</v>
      </c>
      <c r="AI170" s="11" t="s">
        <v>502</v>
      </c>
      <c r="AJ170" s="2" t="s">
        <v>1277</v>
      </c>
      <c r="AK170" s="2"/>
      <c r="AL170" s="2"/>
    </row>
    <row r="171" customFormat="false" ht="90" hidden="false" customHeight="true" outlineLevel="0" collapsed="false">
      <c r="A171" s="2" t="s">
        <v>705</v>
      </c>
      <c r="B171" s="2" t="s">
        <v>569</v>
      </c>
      <c r="C171" s="2" t="s">
        <v>474</v>
      </c>
      <c r="D171" s="9" t="n">
        <v>447</v>
      </c>
      <c r="E171" s="2" t="s">
        <v>491</v>
      </c>
      <c r="F171" s="2" t="s">
        <v>492</v>
      </c>
      <c r="G171" s="2" t="s">
        <v>524</v>
      </c>
      <c r="H171" s="2" t="s">
        <v>368</v>
      </c>
      <c r="I171" s="2" t="s">
        <v>145</v>
      </c>
      <c r="J171" s="2" t="s">
        <v>369</v>
      </c>
      <c r="K171" s="10" t="b">
        <f aca="false">FALSE()</f>
        <v>0</v>
      </c>
      <c r="L171" s="10" t="b">
        <f aca="false">TRUE()</f>
        <v>1</v>
      </c>
      <c r="M171" s="2" t="s">
        <v>494</v>
      </c>
      <c r="N171" s="2" t="s">
        <v>371</v>
      </c>
      <c r="O171" s="2" t="s">
        <v>495</v>
      </c>
      <c r="P171" s="2" t="n">
        <v>60</v>
      </c>
      <c r="Q171" s="2" t="s">
        <v>496</v>
      </c>
      <c r="R171" s="11" t="s">
        <v>497</v>
      </c>
      <c r="S171" s="11" t="s">
        <v>498</v>
      </c>
      <c r="T171" s="2" t="s">
        <v>219</v>
      </c>
      <c r="U171" s="2" t="s">
        <v>153</v>
      </c>
      <c r="V171" s="2" t="s">
        <v>570</v>
      </c>
      <c r="W171" s="11" t="s">
        <v>571</v>
      </c>
      <c r="X171" s="2"/>
      <c r="Y171" s="2"/>
      <c r="Z171" s="2"/>
      <c r="AA171" s="2"/>
      <c r="AB171" s="2" t="s">
        <v>572</v>
      </c>
      <c r="AC171" s="2" t="s">
        <v>157</v>
      </c>
      <c r="AD171" s="2" t="s">
        <v>132</v>
      </c>
      <c r="AE171" s="10" t="b">
        <f aca="false">FALSE()</f>
        <v>0</v>
      </c>
      <c r="AF171" s="2" t="s">
        <v>133</v>
      </c>
      <c r="AG171" s="2" t="s">
        <v>158</v>
      </c>
      <c r="AH171" s="2" t="s">
        <v>135</v>
      </c>
      <c r="AI171" s="11" t="s">
        <v>502</v>
      </c>
      <c r="AJ171" s="2" t="s">
        <v>1277</v>
      </c>
      <c r="AK171" s="2"/>
      <c r="AL171" s="2"/>
    </row>
    <row r="172" customFormat="false" ht="90" hidden="false" customHeight="true" outlineLevel="0" collapsed="false">
      <c r="A172" s="2" t="s">
        <v>707</v>
      </c>
      <c r="B172" s="2" t="s">
        <v>569</v>
      </c>
      <c r="C172" s="2" t="s">
        <v>474</v>
      </c>
      <c r="D172" s="9" t="n">
        <v>446</v>
      </c>
      <c r="E172" s="2" t="s">
        <v>491</v>
      </c>
      <c r="F172" s="2" t="s">
        <v>492</v>
      </c>
      <c r="G172" s="2" t="s">
        <v>524</v>
      </c>
      <c r="H172" s="2" t="s">
        <v>368</v>
      </c>
      <c r="I172" s="2" t="s">
        <v>145</v>
      </c>
      <c r="J172" s="2" t="s">
        <v>369</v>
      </c>
      <c r="K172" s="10" t="b">
        <f aca="false">FALSE()</f>
        <v>0</v>
      </c>
      <c r="L172" s="10" t="b">
        <f aca="false">TRUE()</f>
        <v>1</v>
      </c>
      <c r="M172" s="2" t="s">
        <v>494</v>
      </c>
      <c r="N172" s="2" t="s">
        <v>371</v>
      </c>
      <c r="O172" s="2" t="s">
        <v>495</v>
      </c>
      <c r="P172" s="2" t="n">
        <v>60</v>
      </c>
      <c r="Q172" s="2" t="s">
        <v>496</v>
      </c>
      <c r="R172" s="11" t="s">
        <v>497</v>
      </c>
      <c r="S172" s="11" t="s">
        <v>498</v>
      </c>
      <c r="T172" s="2" t="s">
        <v>219</v>
      </c>
      <c r="U172" s="2" t="s">
        <v>153</v>
      </c>
      <c r="V172" s="2" t="s">
        <v>570</v>
      </c>
      <c r="W172" s="11" t="s">
        <v>571</v>
      </c>
      <c r="X172" s="2"/>
      <c r="Y172" s="2"/>
      <c r="Z172" s="2"/>
      <c r="AA172" s="2"/>
      <c r="AB172" s="2" t="s">
        <v>572</v>
      </c>
      <c r="AC172" s="2" t="s">
        <v>157</v>
      </c>
      <c r="AD172" s="2" t="s">
        <v>132</v>
      </c>
      <c r="AE172" s="10" t="b">
        <f aca="false">FALSE()</f>
        <v>0</v>
      </c>
      <c r="AF172" s="2" t="s">
        <v>133</v>
      </c>
      <c r="AG172" s="2" t="s">
        <v>158</v>
      </c>
      <c r="AH172" s="2" t="s">
        <v>135</v>
      </c>
      <c r="AI172" s="11" t="s">
        <v>502</v>
      </c>
      <c r="AJ172" s="2" t="s">
        <v>1277</v>
      </c>
      <c r="AK172" s="2"/>
      <c r="AL172" s="2"/>
    </row>
    <row r="173" customFormat="false" ht="90" hidden="false" customHeight="true" outlineLevel="0" collapsed="false">
      <c r="A173" s="2" t="s">
        <v>709</v>
      </c>
      <c r="B173" s="2" t="s">
        <v>569</v>
      </c>
      <c r="C173" s="2" t="s">
        <v>474</v>
      </c>
      <c r="D173" s="9" t="n">
        <v>443</v>
      </c>
      <c r="E173" s="2" t="s">
        <v>491</v>
      </c>
      <c r="F173" s="2" t="s">
        <v>492</v>
      </c>
      <c r="G173" s="2" t="s">
        <v>524</v>
      </c>
      <c r="H173" s="2" t="s">
        <v>368</v>
      </c>
      <c r="I173" s="2" t="s">
        <v>145</v>
      </c>
      <c r="J173" s="2" t="s">
        <v>369</v>
      </c>
      <c r="K173" s="10" t="b">
        <f aca="false">FALSE()</f>
        <v>0</v>
      </c>
      <c r="L173" s="10" t="b">
        <f aca="false">TRUE()</f>
        <v>1</v>
      </c>
      <c r="M173" s="2" t="s">
        <v>494</v>
      </c>
      <c r="N173" s="2" t="s">
        <v>371</v>
      </c>
      <c r="O173" s="2" t="s">
        <v>495</v>
      </c>
      <c r="P173" s="2" t="n">
        <v>60</v>
      </c>
      <c r="Q173" s="2" t="s">
        <v>496</v>
      </c>
      <c r="R173" s="11" t="s">
        <v>497</v>
      </c>
      <c r="S173" s="11" t="s">
        <v>498</v>
      </c>
      <c r="T173" s="2" t="s">
        <v>219</v>
      </c>
      <c r="U173" s="2" t="s">
        <v>153</v>
      </c>
      <c r="V173" s="2" t="s">
        <v>570</v>
      </c>
      <c r="W173" s="11" t="s">
        <v>592</v>
      </c>
      <c r="X173" s="2"/>
      <c r="Y173" s="2"/>
      <c r="Z173" s="2"/>
      <c r="AA173" s="2"/>
      <c r="AB173" s="2" t="s">
        <v>572</v>
      </c>
      <c r="AC173" s="2" t="s">
        <v>157</v>
      </c>
      <c r="AD173" s="2" t="s">
        <v>132</v>
      </c>
      <c r="AE173" s="10" t="b">
        <f aca="false">FALSE()</f>
        <v>0</v>
      </c>
      <c r="AF173" s="2" t="s">
        <v>133</v>
      </c>
      <c r="AG173" s="2" t="s">
        <v>158</v>
      </c>
      <c r="AH173" s="2" t="s">
        <v>135</v>
      </c>
      <c r="AI173" s="11" t="s">
        <v>502</v>
      </c>
      <c r="AJ173" s="2" t="s">
        <v>1277</v>
      </c>
      <c r="AK173" s="2"/>
      <c r="AL173" s="2"/>
    </row>
    <row r="174" customFormat="false" ht="90" hidden="false" customHeight="true" outlineLevel="0" collapsed="false">
      <c r="A174" s="2" t="s">
        <v>711</v>
      </c>
      <c r="B174" s="2" t="s">
        <v>569</v>
      </c>
      <c r="C174" s="2" t="s">
        <v>474</v>
      </c>
      <c r="D174" s="9" t="n">
        <v>442</v>
      </c>
      <c r="E174" s="2" t="s">
        <v>491</v>
      </c>
      <c r="F174" s="2" t="s">
        <v>492</v>
      </c>
      <c r="G174" s="2" t="s">
        <v>524</v>
      </c>
      <c r="H174" s="2" t="s">
        <v>368</v>
      </c>
      <c r="I174" s="2" t="s">
        <v>145</v>
      </c>
      <c r="J174" s="2" t="s">
        <v>369</v>
      </c>
      <c r="K174" s="10" t="b">
        <f aca="false">FALSE()</f>
        <v>0</v>
      </c>
      <c r="L174" s="10" t="b">
        <f aca="false">FALSE()</f>
        <v>0</v>
      </c>
      <c r="M174" s="2" t="s">
        <v>494</v>
      </c>
      <c r="N174" s="2" t="s">
        <v>371</v>
      </c>
      <c r="O174" s="2" t="s">
        <v>495</v>
      </c>
      <c r="P174" s="2" t="n">
        <v>30</v>
      </c>
      <c r="Q174" s="2" t="s">
        <v>496</v>
      </c>
      <c r="R174" s="11" t="s">
        <v>497</v>
      </c>
      <c r="S174" s="11" t="s">
        <v>498</v>
      </c>
      <c r="T174" s="2" t="s">
        <v>557</v>
      </c>
      <c r="U174" s="2" t="s">
        <v>153</v>
      </c>
      <c r="V174" s="2" t="s">
        <v>606</v>
      </c>
      <c r="W174" s="11" t="s">
        <v>607</v>
      </c>
      <c r="X174" s="2"/>
      <c r="Y174" s="2"/>
      <c r="Z174" s="2"/>
      <c r="AA174" s="2"/>
      <c r="AB174" s="2" t="s">
        <v>608</v>
      </c>
      <c r="AC174" s="2" t="s">
        <v>131</v>
      </c>
      <c r="AD174" s="2" t="s">
        <v>440</v>
      </c>
      <c r="AE174" s="10" t="b">
        <f aca="false">FALSE()</f>
        <v>0</v>
      </c>
      <c r="AF174" s="2" t="s">
        <v>133</v>
      </c>
      <c r="AG174" s="2" t="s">
        <v>158</v>
      </c>
      <c r="AH174" s="2" t="s">
        <v>135</v>
      </c>
      <c r="AI174" s="11" t="s">
        <v>502</v>
      </c>
      <c r="AJ174" s="2" t="s">
        <v>1277</v>
      </c>
      <c r="AK174" s="2"/>
      <c r="AL174" s="2"/>
    </row>
    <row r="175" customFormat="false" ht="90" hidden="false" customHeight="true" outlineLevel="0" collapsed="false">
      <c r="A175" s="2" t="s">
        <v>713</v>
      </c>
      <c r="B175" s="2" t="s">
        <v>569</v>
      </c>
      <c r="C175" s="2" t="s">
        <v>474</v>
      </c>
      <c r="D175" s="9" t="n">
        <v>422</v>
      </c>
      <c r="E175" s="2" t="s">
        <v>491</v>
      </c>
      <c r="F175" s="2" t="s">
        <v>492</v>
      </c>
      <c r="G175" s="2" t="s">
        <v>524</v>
      </c>
      <c r="H175" s="2" t="s">
        <v>368</v>
      </c>
      <c r="I175" s="2" t="s">
        <v>145</v>
      </c>
      <c r="J175" s="2" t="s">
        <v>369</v>
      </c>
      <c r="K175" s="10" t="b">
        <f aca="false">FALSE()</f>
        <v>0</v>
      </c>
      <c r="L175" s="10" t="b">
        <f aca="false">FALSE()</f>
        <v>0</v>
      </c>
      <c r="M175" s="2" t="s">
        <v>494</v>
      </c>
      <c r="N175" s="2" t="s">
        <v>371</v>
      </c>
      <c r="O175" s="2" t="s">
        <v>495</v>
      </c>
      <c r="P175" s="2" t="n">
        <v>30</v>
      </c>
      <c r="Q175" s="2" t="s">
        <v>496</v>
      </c>
      <c r="R175" s="11" t="s">
        <v>497</v>
      </c>
      <c r="S175" s="11" t="s">
        <v>498</v>
      </c>
      <c r="T175" s="11" t="s">
        <v>714</v>
      </c>
      <c r="U175" s="2" t="s">
        <v>153</v>
      </c>
      <c r="V175" s="2" t="s">
        <v>658</v>
      </c>
      <c r="W175" s="11" t="s">
        <v>687</v>
      </c>
      <c r="X175" s="2"/>
      <c r="Y175" s="2"/>
      <c r="Z175" s="2"/>
      <c r="AA175" s="2"/>
      <c r="AB175" s="2" t="s">
        <v>528</v>
      </c>
      <c r="AC175" s="2" t="s">
        <v>131</v>
      </c>
      <c r="AD175" s="2" t="s">
        <v>132</v>
      </c>
      <c r="AE175" s="10" t="b">
        <f aca="false">FALSE()</f>
        <v>0</v>
      </c>
      <c r="AF175" s="2" t="s">
        <v>133</v>
      </c>
      <c r="AG175" s="2" t="s">
        <v>158</v>
      </c>
      <c r="AH175" s="2" t="s">
        <v>135</v>
      </c>
      <c r="AI175" s="11" t="s">
        <v>502</v>
      </c>
      <c r="AJ175" s="2" t="s">
        <v>1277</v>
      </c>
      <c r="AK175" s="2"/>
      <c r="AL175" s="2"/>
    </row>
    <row r="176" customFormat="false" ht="90" hidden="false" customHeight="true" outlineLevel="0" collapsed="false">
      <c r="A176" s="2" t="s">
        <v>716</v>
      </c>
      <c r="B176" s="2" t="s">
        <v>569</v>
      </c>
      <c r="C176" s="2" t="s">
        <v>474</v>
      </c>
      <c r="D176" s="9" t="n">
        <v>416</v>
      </c>
      <c r="E176" s="2" t="s">
        <v>491</v>
      </c>
      <c r="F176" s="2" t="s">
        <v>492</v>
      </c>
      <c r="G176" s="2" t="s">
        <v>524</v>
      </c>
      <c r="H176" s="2" t="s">
        <v>368</v>
      </c>
      <c r="I176" s="2" t="s">
        <v>145</v>
      </c>
      <c r="J176" s="2" t="s">
        <v>369</v>
      </c>
      <c r="K176" s="10" t="b">
        <f aca="false">FALSE()</f>
        <v>0</v>
      </c>
      <c r="L176" s="10" t="b">
        <f aca="false">FALSE()</f>
        <v>0</v>
      </c>
      <c r="M176" s="2" t="s">
        <v>494</v>
      </c>
      <c r="N176" s="2" t="s">
        <v>371</v>
      </c>
      <c r="O176" s="2" t="s">
        <v>495</v>
      </c>
      <c r="P176" s="2" t="n">
        <v>30</v>
      </c>
      <c r="Q176" s="2" t="s">
        <v>496</v>
      </c>
      <c r="R176" s="11" t="s">
        <v>497</v>
      </c>
      <c r="S176" s="11" t="s">
        <v>498</v>
      </c>
      <c r="T176" s="2" t="s">
        <v>219</v>
      </c>
      <c r="U176" s="2" t="s">
        <v>153</v>
      </c>
      <c r="V176" s="2" t="s">
        <v>658</v>
      </c>
      <c r="W176" s="11" t="s">
        <v>687</v>
      </c>
      <c r="X176" s="2"/>
      <c r="Y176" s="2"/>
      <c r="Z176" s="2"/>
      <c r="AA176" s="2"/>
      <c r="AB176" s="2" t="s">
        <v>528</v>
      </c>
      <c r="AC176" s="2" t="s">
        <v>157</v>
      </c>
      <c r="AD176" s="2" t="s">
        <v>132</v>
      </c>
      <c r="AE176" s="10" t="b">
        <f aca="false">FALSE()</f>
        <v>0</v>
      </c>
      <c r="AF176" s="2" t="s">
        <v>133</v>
      </c>
      <c r="AG176" s="2" t="s">
        <v>158</v>
      </c>
      <c r="AH176" s="2" t="s">
        <v>135</v>
      </c>
      <c r="AI176" s="11" t="s">
        <v>502</v>
      </c>
      <c r="AJ176" s="2" t="s">
        <v>1277</v>
      </c>
      <c r="AK176" s="2"/>
      <c r="AL176" s="2"/>
    </row>
    <row r="177" customFormat="false" ht="90" hidden="false" customHeight="true" outlineLevel="0" collapsed="false">
      <c r="A177" s="2" t="s">
        <v>1222</v>
      </c>
      <c r="B177" s="2" t="s">
        <v>569</v>
      </c>
      <c r="C177" s="2" t="s">
        <v>474</v>
      </c>
      <c r="D177" s="9" t="n">
        <v>415</v>
      </c>
      <c r="E177" s="2" t="s">
        <v>491</v>
      </c>
      <c r="F177" s="2" t="s">
        <v>492</v>
      </c>
      <c r="G177" s="2" t="s">
        <v>524</v>
      </c>
      <c r="H177" s="2" t="s">
        <v>368</v>
      </c>
      <c r="I177" s="2" t="s">
        <v>145</v>
      </c>
      <c r="J177" s="2" t="s">
        <v>369</v>
      </c>
      <c r="K177" s="10" t="b">
        <f aca="false">FALSE()</f>
        <v>0</v>
      </c>
      <c r="L177" s="10" t="b">
        <f aca="false">FALSE()</f>
        <v>0</v>
      </c>
      <c r="M177" s="2" t="s">
        <v>494</v>
      </c>
      <c r="N177" s="2" t="s">
        <v>371</v>
      </c>
      <c r="O177" s="2" t="s">
        <v>495</v>
      </c>
      <c r="P177" s="2" t="n">
        <v>30</v>
      </c>
      <c r="Q177" s="2" t="s">
        <v>496</v>
      </c>
      <c r="R177" s="11" t="s">
        <v>497</v>
      </c>
      <c r="S177" s="11" t="s">
        <v>498</v>
      </c>
      <c r="T177" s="2" t="s">
        <v>219</v>
      </c>
      <c r="U177" s="2" t="s">
        <v>153</v>
      </c>
      <c r="V177" s="2" t="s">
        <v>606</v>
      </c>
      <c r="W177" s="11" t="s">
        <v>607</v>
      </c>
      <c r="X177" s="2"/>
      <c r="Y177" s="2"/>
      <c r="Z177" s="2"/>
      <c r="AA177" s="2"/>
      <c r="AB177" s="2" t="s">
        <v>608</v>
      </c>
      <c r="AC177" s="2" t="s">
        <v>157</v>
      </c>
      <c r="AD177" s="2" t="s">
        <v>440</v>
      </c>
      <c r="AE177" s="10" t="b">
        <f aca="false">FALSE()</f>
        <v>0</v>
      </c>
      <c r="AF177" s="2" t="s">
        <v>133</v>
      </c>
      <c r="AG177" s="2" t="s">
        <v>158</v>
      </c>
      <c r="AH177" s="2" t="s">
        <v>135</v>
      </c>
      <c r="AI177" s="11" t="s">
        <v>502</v>
      </c>
      <c r="AJ177" s="2" t="s">
        <v>1142</v>
      </c>
      <c r="AK177" s="2" t="s">
        <v>1142</v>
      </c>
      <c r="AL177" s="2" t="s">
        <v>1223</v>
      </c>
    </row>
    <row r="178" customFormat="false" ht="90" hidden="false" customHeight="true" outlineLevel="0" collapsed="false">
      <c r="A178" s="2" t="s">
        <v>718</v>
      </c>
      <c r="B178" s="2" t="s">
        <v>569</v>
      </c>
      <c r="C178" s="2" t="s">
        <v>474</v>
      </c>
      <c r="D178" s="9" t="n">
        <v>399</v>
      </c>
      <c r="E178" s="2" t="s">
        <v>491</v>
      </c>
      <c r="F178" s="2" t="s">
        <v>492</v>
      </c>
      <c r="G178" s="2" t="s">
        <v>524</v>
      </c>
      <c r="H178" s="2" t="s">
        <v>368</v>
      </c>
      <c r="I178" s="2" t="s">
        <v>145</v>
      </c>
      <c r="J178" s="2" t="s">
        <v>369</v>
      </c>
      <c r="K178" s="10" t="b">
        <f aca="false">FALSE()</f>
        <v>0</v>
      </c>
      <c r="L178" s="10" t="b">
        <f aca="false">FALSE()</f>
        <v>0</v>
      </c>
      <c r="M178" s="2" t="s">
        <v>494</v>
      </c>
      <c r="N178" s="2" t="s">
        <v>371</v>
      </c>
      <c r="O178" s="2" t="s">
        <v>495</v>
      </c>
      <c r="P178" s="2" t="n">
        <v>60</v>
      </c>
      <c r="Q178" s="2" t="s">
        <v>496</v>
      </c>
      <c r="R178" s="11" t="s">
        <v>497</v>
      </c>
      <c r="S178" s="11" t="s">
        <v>498</v>
      </c>
      <c r="T178" s="2" t="s">
        <v>219</v>
      </c>
      <c r="U178" s="2" t="s">
        <v>153</v>
      </c>
      <c r="V178" s="2" t="s">
        <v>570</v>
      </c>
      <c r="W178" s="11" t="s">
        <v>571</v>
      </c>
      <c r="X178" s="2"/>
      <c r="Y178" s="2"/>
      <c r="Z178" s="2"/>
      <c r="AA178" s="2"/>
      <c r="AB178" s="2" t="s">
        <v>572</v>
      </c>
      <c r="AC178" s="2" t="s">
        <v>157</v>
      </c>
      <c r="AD178" s="2" t="s">
        <v>132</v>
      </c>
      <c r="AE178" s="10" t="b">
        <f aca="false">FALSE()</f>
        <v>0</v>
      </c>
      <c r="AF178" s="2" t="s">
        <v>133</v>
      </c>
      <c r="AG178" s="2" t="s">
        <v>158</v>
      </c>
      <c r="AH178" s="2" t="s">
        <v>135</v>
      </c>
      <c r="AI178" s="11" t="s">
        <v>502</v>
      </c>
      <c r="AJ178" s="2" t="s">
        <v>1277</v>
      </c>
      <c r="AK178" s="2"/>
      <c r="AL178" s="2"/>
    </row>
    <row r="179" customFormat="false" ht="90" hidden="false" customHeight="true" outlineLevel="0" collapsed="false">
      <c r="A179" s="2" t="s">
        <v>720</v>
      </c>
      <c r="B179" s="2" t="s">
        <v>569</v>
      </c>
      <c r="C179" s="2" t="s">
        <v>474</v>
      </c>
      <c r="D179" s="9" t="n">
        <v>395</v>
      </c>
      <c r="E179" s="2" t="s">
        <v>491</v>
      </c>
      <c r="F179" s="2" t="s">
        <v>492</v>
      </c>
      <c r="G179" s="2" t="s">
        <v>524</v>
      </c>
      <c r="H179" s="2" t="s">
        <v>368</v>
      </c>
      <c r="I179" s="2" t="s">
        <v>145</v>
      </c>
      <c r="J179" s="2" t="s">
        <v>369</v>
      </c>
      <c r="K179" s="10" t="b">
        <f aca="false">FALSE()</f>
        <v>0</v>
      </c>
      <c r="L179" s="10" t="b">
        <f aca="false">FALSE()</f>
        <v>0</v>
      </c>
      <c r="M179" s="2" t="s">
        <v>494</v>
      </c>
      <c r="N179" s="2" t="s">
        <v>371</v>
      </c>
      <c r="O179" s="2" t="s">
        <v>495</v>
      </c>
      <c r="P179" s="2" t="n">
        <v>30</v>
      </c>
      <c r="Q179" s="2" t="s">
        <v>496</v>
      </c>
      <c r="R179" s="11" t="s">
        <v>497</v>
      </c>
      <c r="S179" s="11" t="s">
        <v>498</v>
      </c>
      <c r="T179" s="2" t="s">
        <v>219</v>
      </c>
      <c r="U179" s="2" t="s">
        <v>153</v>
      </c>
      <c r="V179" s="2" t="s">
        <v>662</v>
      </c>
      <c r="W179" s="11" t="s">
        <v>663</v>
      </c>
      <c r="X179" s="2"/>
      <c r="Y179" s="2"/>
      <c r="Z179" s="2"/>
      <c r="AA179" s="2"/>
      <c r="AB179" s="2" t="s">
        <v>664</v>
      </c>
      <c r="AC179" s="2" t="s">
        <v>157</v>
      </c>
      <c r="AD179" s="2" t="s">
        <v>132</v>
      </c>
      <c r="AE179" s="10" t="b">
        <f aca="false">FALSE()</f>
        <v>0</v>
      </c>
      <c r="AF179" s="2" t="s">
        <v>133</v>
      </c>
      <c r="AG179" s="2" t="s">
        <v>158</v>
      </c>
      <c r="AH179" s="2" t="s">
        <v>135</v>
      </c>
      <c r="AI179" s="11" t="s">
        <v>502</v>
      </c>
      <c r="AJ179" s="2" t="s">
        <v>1277</v>
      </c>
      <c r="AK179" s="2"/>
      <c r="AL179" s="2"/>
    </row>
    <row r="180" customFormat="false" ht="90" hidden="false" customHeight="true" outlineLevel="0" collapsed="false">
      <c r="A180" s="2" t="s">
        <v>722</v>
      </c>
      <c r="B180" s="2" t="s">
        <v>569</v>
      </c>
      <c r="C180" s="2" t="s">
        <v>474</v>
      </c>
      <c r="D180" s="9" t="n">
        <v>393</v>
      </c>
      <c r="E180" s="2" t="s">
        <v>491</v>
      </c>
      <c r="F180" s="2" t="s">
        <v>492</v>
      </c>
      <c r="G180" s="2" t="s">
        <v>524</v>
      </c>
      <c r="H180" s="2" t="s">
        <v>368</v>
      </c>
      <c r="I180" s="2" t="s">
        <v>145</v>
      </c>
      <c r="J180" s="2" t="s">
        <v>369</v>
      </c>
      <c r="K180" s="10" t="b">
        <f aca="false">FALSE()</f>
        <v>0</v>
      </c>
      <c r="L180" s="10" t="b">
        <f aca="false">FALSE()</f>
        <v>0</v>
      </c>
      <c r="M180" s="2" t="s">
        <v>494</v>
      </c>
      <c r="N180" s="2" t="s">
        <v>371</v>
      </c>
      <c r="O180" s="2" t="s">
        <v>495</v>
      </c>
      <c r="P180" s="2" t="n">
        <v>30</v>
      </c>
      <c r="Q180" s="2" t="s">
        <v>496</v>
      </c>
      <c r="R180" s="11" t="s">
        <v>497</v>
      </c>
      <c r="S180" s="11" t="s">
        <v>498</v>
      </c>
      <c r="T180" s="2" t="s">
        <v>632</v>
      </c>
      <c r="U180" s="2" t="s">
        <v>153</v>
      </c>
      <c r="V180" s="2" t="s">
        <v>606</v>
      </c>
      <c r="W180" s="11" t="s">
        <v>607</v>
      </c>
      <c r="X180" s="2"/>
      <c r="Y180" s="2"/>
      <c r="Z180" s="2"/>
      <c r="AA180" s="2"/>
      <c r="AB180" s="2" t="s">
        <v>608</v>
      </c>
      <c r="AC180" s="2" t="s">
        <v>131</v>
      </c>
      <c r="AD180" s="2" t="s">
        <v>440</v>
      </c>
      <c r="AE180" s="10" t="b">
        <f aca="false">FALSE()</f>
        <v>0</v>
      </c>
      <c r="AF180" s="2" t="s">
        <v>133</v>
      </c>
      <c r="AG180" s="2" t="s">
        <v>158</v>
      </c>
      <c r="AH180" s="2" t="s">
        <v>135</v>
      </c>
      <c r="AI180" s="11" t="s">
        <v>502</v>
      </c>
      <c r="AJ180" s="2" t="s">
        <v>1277</v>
      </c>
      <c r="AK180" s="2"/>
      <c r="AL180" s="2"/>
    </row>
    <row r="181" customFormat="false" ht="90" hidden="false" customHeight="true" outlineLevel="0" collapsed="false">
      <c r="A181" s="2" t="s">
        <v>724</v>
      </c>
      <c r="B181" s="2" t="s">
        <v>569</v>
      </c>
      <c r="C181" s="2" t="s">
        <v>474</v>
      </c>
      <c r="D181" s="9" t="n">
        <v>392</v>
      </c>
      <c r="E181" s="2" t="s">
        <v>491</v>
      </c>
      <c r="F181" s="2" t="s">
        <v>492</v>
      </c>
      <c r="G181" s="2" t="s">
        <v>524</v>
      </c>
      <c r="H181" s="2" t="s">
        <v>368</v>
      </c>
      <c r="I181" s="2" t="s">
        <v>145</v>
      </c>
      <c r="J181" s="2" t="s">
        <v>369</v>
      </c>
      <c r="K181" s="10" t="b">
        <f aca="false">FALSE()</f>
        <v>0</v>
      </c>
      <c r="L181" s="10" t="b">
        <f aca="false">TRUE()</f>
        <v>1</v>
      </c>
      <c r="M181" s="2" t="s">
        <v>494</v>
      </c>
      <c r="N181" s="2" t="s">
        <v>371</v>
      </c>
      <c r="O181" s="2" t="s">
        <v>495</v>
      </c>
      <c r="P181" s="2" t="n">
        <v>60</v>
      </c>
      <c r="Q181" s="2" t="s">
        <v>496</v>
      </c>
      <c r="R181" s="11" t="s">
        <v>497</v>
      </c>
      <c r="S181" s="11" t="s">
        <v>498</v>
      </c>
      <c r="T181" s="2" t="s">
        <v>219</v>
      </c>
      <c r="U181" s="2" t="s">
        <v>153</v>
      </c>
      <c r="V181" s="2" t="s">
        <v>570</v>
      </c>
      <c r="W181" s="11" t="s">
        <v>571</v>
      </c>
      <c r="X181" s="2"/>
      <c r="Y181" s="2"/>
      <c r="Z181" s="2"/>
      <c r="AA181" s="2"/>
      <c r="AB181" s="2" t="s">
        <v>572</v>
      </c>
      <c r="AC181" s="2" t="s">
        <v>157</v>
      </c>
      <c r="AD181" s="2" t="s">
        <v>132</v>
      </c>
      <c r="AE181" s="10" t="b">
        <f aca="false">FALSE()</f>
        <v>0</v>
      </c>
      <c r="AF181" s="2" t="s">
        <v>133</v>
      </c>
      <c r="AG181" s="2" t="s">
        <v>158</v>
      </c>
      <c r="AH181" s="2" t="s">
        <v>135</v>
      </c>
      <c r="AI181" s="11" t="s">
        <v>502</v>
      </c>
      <c r="AJ181" s="2" t="s">
        <v>1277</v>
      </c>
      <c r="AK181" s="2"/>
      <c r="AL181" s="2"/>
    </row>
    <row r="182" customFormat="false" ht="90" hidden="false" customHeight="true" outlineLevel="0" collapsed="false">
      <c r="A182" s="2" t="s">
        <v>726</v>
      </c>
      <c r="B182" s="2" t="s">
        <v>569</v>
      </c>
      <c r="C182" s="2" t="s">
        <v>474</v>
      </c>
      <c r="D182" s="9" t="n">
        <v>386</v>
      </c>
      <c r="E182" s="2" t="s">
        <v>475</v>
      </c>
      <c r="F182" s="2" t="s">
        <v>492</v>
      </c>
      <c r="G182" s="2" t="s">
        <v>595</v>
      </c>
      <c r="H182" s="2" t="s">
        <v>368</v>
      </c>
      <c r="I182" s="2" t="s">
        <v>145</v>
      </c>
      <c r="J182" s="2" t="s">
        <v>369</v>
      </c>
      <c r="K182" s="10" t="b">
        <f aca="false">FALSE()</f>
        <v>0</v>
      </c>
      <c r="L182" s="10" t="b">
        <f aca="false">TRUE()</f>
        <v>1</v>
      </c>
      <c r="M182" s="2" t="s">
        <v>494</v>
      </c>
      <c r="N182" s="2" t="s">
        <v>371</v>
      </c>
      <c r="O182" s="2" t="s">
        <v>495</v>
      </c>
      <c r="P182" s="2" t="n">
        <v>60</v>
      </c>
      <c r="Q182" s="2" t="s">
        <v>496</v>
      </c>
      <c r="R182" s="11" t="s">
        <v>497</v>
      </c>
      <c r="S182" s="11" t="s">
        <v>498</v>
      </c>
      <c r="T182" s="2" t="s">
        <v>152</v>
      </c>
      <c r="U182" s="2" t="s">
        <v>153</v>
      </c>
      <c r="V182" s="2" t="s">
        <v>570</v>
      </c>
      <c r="W182" s="11" t="s">
        <v>571</v>
      </c>
      <c r="X182" s="2"/>
      <c r="Y182" s="2"/>
      <c r="Z182" s="2"/>
      <c r="AA182" s="2"/>
      <c r="AB182" s="2" t="s">
        <v>572</v>
      </c>
      <c r="AC182" s="2" t="s">
        <v>157</v>
      </c>
      <c r="AD182" s="2" t="s">
        <v>132</v>
      </c>
      <c r="AE182" s="10" t="b">
        <f aca="false">FALSE()</f>
        <v>0</v>
      </c>
      <c r="AF182" s="2" t="s">
        <v>133</v>
      </c>
      <c r="AG182" s="2" t="s">
        <v>158</v>
      </c>
      <c r="AH182" s="2" t="s">
        <v>135</v>
      </c>
      <c r="AI182" s="11" t="s">
        <v>502</v>
      </c>
      <c r="AJ182" s="2" t="s">
        <v>1277</v>
      </c>
      <c r="AK182" s="2"/>
      <c r="AL182" s="2"/>
    </row>
    <row r="183" customFormat="false" ht="90" hidden="false" customHeight="true" outlineLevel="0" collapsed="false">
      <c r="A183" s="2" t="s">
        <v>728</v>
      </c>
      <c r="B183" s="2" t="s">
        <v>569</v>
      </c>
      <c r="C183" s="2" t="s">
        <v>474</v>
      </c>
      <c r="D183" s="9" t="n">
        <v>384</v>
      </c>
      <c r="E183" s="2" t="s">
        <v>491</v>
      </c>
      <c r="F183" s="2" t="s">
        <v>492</v>
      </c>
      <c r="G183" s="2" t="s">
        <v>524</v>
      </c>
      <c r="H183" s="2" t="s">
        <v>368</v>
      </c>
      <c r="I183" s="2" t="s">
        <v>145</v>
      </c>
      <c r="J183" s="2" t="s">
        <v>369</v>
      </c>
      <c r="K183" s="10" t="b">
        <f aca="false">FALSE()</f>
        <v>0</v>
      </c>
      <c r="L183" s="10" t="b">
        <f aca="false">FALSE()</f>
        <v>0</v>
      </c>
      <c r="M183" s="2" t="s">
        <v>494</v>
      </c>
      <c r="N183" s="2" t="s">
        <v>371</v>
      </c>
      <c r="O183" s="2" t="s">
        <v>495</v>
      </c>
      <c r="P183" s="2" t="n">
        <v>30</v>
      </c>
      <c r="Q183" s="2" t="s">
        <v>496</v>
      </c>
      <c r="R183" s="11" t="s">
        <v>497</v>
      </c>
      <c r="S183" s="11" t="s">
        <v>498</v>
      </c>
      <c r="T183" s="2" t="s">
        <v>557</v>
      </c>
      <c r="U183" s="2" t="s">
        <v>153</v>
      </c>
      <c r="V183" s="2" t="s">
        <v>606</v>
      </c>
      <c r="W183" s="11" t="s">
        <v>607</v>
      </c>
      <c r="X183" s="2"/>
      <c r="Y183" s="2"/>
      <c r="Z183" s="2"/>
      <c r="AA183" s="2"/>
      <c r="AB183" s="2" t="s">
        <v>608</v>
      </c>
      <c r="AC183" s="2" t="s">
        <v>131</v>
      </c>
      <c r="AD183" s="2" t="s">
        <v>440</v>
      </c>
      <c r="AE183" s="10" t="b">
        <f aca="false">FALSE()</f>
        <v>0</v>
      </c>
      <c r="AF183" s="2" t="s">
        <v>133</v>
      </c>
      <c r="AG183" s="2" t="s">
        <v>158</v>
      </c>
      <c r="AH183" s="2" t="s">
        <v>135</v>
      </c>
      <c r="AI183" s="11" t="s">
        <v>502</v>
      </c>
      <c r="AJ183" s="2" t="s">
        <v>1277</v>
      </c>
      <c r="AK183" s="2"/>
      <c r="AL183" s="2"/>
    </row>
    <row r="184" customFormat="false" ht="90" hidden="false" customHeight="true" outlineLevel="0" collapsed="false">
      <c r="A184" s="2" t="s">
        <v>730</v>
      </c>
      <c r="B184" s="2" t="s">
        <v>569</v>
      </c>
      <c r="C184" s="2" t="s">
        <v>474</v>
      </c>
      <c r="D184" s="9" t="n">
        <v>379</v>
      </c>
      <c r="E184" s="2" t="s">
        <v>475</v>
      </c>
      <c r="F184" s="2" t="s">
        <v>492</v>
      </c>
      <c r="G184" s="2" t="s">
        <v>595</v>
      </c>
      <c r="H184" s="2" t="s">
        <v>368</v>
      </c>
      <c r="I184" s="2" t="s">
        <v>145</v>
      </c>
      <c r="J184" s="2" t="s">
        <v>369</v>
      </c>
      <c r="K184" s="10" t="b">
        <f aca="false">FALSE()</f>
        <v>0</v>
      </c>
      <c r="L184" s="10" t="b">
        <f aca="false">TRUE()</f>
        <v>1</v>
      </c>
      <c r="M184" s="2" t="s">
        <v>494</v>
      </c>
      <c r="N184" s="2" t="s">
        <v>371</v>
      </c>
      <c r="O184" s="2" t="s">
        <v>495</v>
      </c>
      <c r="P184" s="2" t="n">
        <v>60</v>
      </c>
      <c r="Q184" s="2" t="s">
        <v>496</v>
      </c>
      <c r="R184" s="11" t="s">
        <v>497</v>
      </c>
      <c r="S184" s="11" t="s">
        <v>498</v>
      </c>
      <c r="T184" s="2" t="s">
        <v>219</v>
      </c>
      <c r="U184" s="2" t="s">
        <v>153</v>
      </c>
      <c r="V184" s="2" t="s">
        <v>570</v>
      </c>
      <c r="W184" s="11" t="s">
        <v>571</v>
      </c>
      <c r="X184" s="2"/>
      <c r="Y184" s="2"/>
      <c r="Z184" s="2"/>
      <c r="AA184" s="2"/>
      <c r="AB184" s="2" t="s">
        <v>572</v>
      </c>
      <c r="AC184" s="2" t="s">
        <v>157</v>
      </c>
      <c r="AD184" s="2" t="s">
        <v>132</v>
      </c>
      <c r="AE184" s="10" t="b">
        <f aca="false">FALSE()</f>
        <v>0</v>
      </c>
      <c r="AF184" s="2" t="s">
        <v>133</v>
      </c>
      <c r="AG184" s="2" t="s">
        <v>158</v>
      </c>
      <c r="AH184" s="2" t="s">
        <v>135</v>
      </c>
      <c r="AI184" s="11" t="s">
        <v>502</v>
      </c>
      <c r="AJ184" s="2" t="s">
        <v>1277</v>
      </c>
      <c r="AK184" s="2"/>
      <c r="AL184" s="2"/>
    </row>
    <row r="185" customFormat="false" ht="90" hidden="false" customHeight="true" outlineLevel="0" collapsed="false">
      <c r="A185" s="2" t="s">
        <v>732</v>
      </c>
      <c r="B185" s="2" t="s">
        <v>569</v>
      </c>
      <c r="C185" s="2" t="s">
        <v>474</v>
      </c>
      <c r="D185" s="9" t="n">
        <v>377</v>
      </c>
      <c r="E185" s="2" t="s">
        <v>491</v>
      </c>
      <c r="F185" s="2" t="s">
        <v>492</v>
      </c>
      <c r="G185" s="2" t="s">
        <v>524</v>
      </c>
      <c r="H185" s="2" t="s">
        <v>368</v>
      </c>
      <c r="I185" s="2" t="s">
        <v>145</v>
      </c>
      <c r="J185" s="2" t="s">
        <v>369</v>
      </c>
      <c r="K185" s="10" t="b">
        <f aca="false">FALSE()</f>
        <v>0</v>
      </c>
      <c r="L185" s="10" t="b">
        <f aca="false">TRUE()</f>
        <v>1</v>
      </c>
      <c r="M185" s="2" t="s">
        <v>494</v>
      </c>
      <c r="N185" s="2" t="s">
        <v>371</v>
      </c>
      <c r="O185" s="2" t="s">
        <v>495</v>
      </c>
      <c r="P185" s="2" t="n">
        <v>60</v>
      </c>
      <c r="Q185" s="2" t="s">
        <v>496</v>
      </c>
      <c r="R185" s="11" t="s">
        <v>497</v>
      </c>
      <c r="S185" s="11" t="s">
        <v>498</v>
      </c>
      <c r="T185" s="2" t="s">
        <v>219</v>
      </c>
      <c r="U185" s="2" t="s">
        <v>153</v>
      </c>
      <c r="V185" s="2" t="s">
        <v>570</v>
      </c>
      <c r="W185" s="11" t="s">
        <v>592</v>
      </c>
      <c r="X185" s="2"/>
      <c r="Y185" s="2"/>
      <c r="Z185" s="2"/>
      <c r="AA185" s="2"/>
      <c r="AB185" s="2" t="s">
        <v>572</v>
      </c>
      <c r="AC185" s="2" t="s">
        <v>157</v>
      </c>
      <c r="AD185" s="2" t="s">
        <v>132</v>
      </c>
      <c r="AE185" s="10" t="b">
        <f aca="false">FALSE()</f>
        <v>0</v>
      </c>
      <c r="AF185" s="2" t="s">
        <v>133</v>
      </c>
      <c r="AG185" s="2" t="s">
        <v>158</v>
      </c>
      <c r="AH185" s="2" t="s">
        <v>135</v>
      </c>
      <c r="AI185" s="11" t="s">
        <v>502</v>
      </c>
      <c r="AJ185" s="2" t="s">
        <v>1277</v>
      </c>
      <c r="AK185" s="2"/>
      <c r="AL185" s="2"/>
    </row>
    <row r="186" customFormat="false" ht="90" hidden="false" customHeight="true" outlineLevel="0" collapsed="false">
      <c r="A186" s="2" t="s">
        <v>1190</v>
      </c>
      <c r="B186" s="2" t="s">
        <v>569</v>
      </c>
      <c r="C186" s="2" t="s">
        <v>474</v>
      </c>
      <c r="D186" s="9" t="n">
        <v>377</v>
      </c>
      <c r="E186" s="2" t="s">
        <v>491</v>
      </c>
      <c r="F186" s="2" t="s">
        <v>492</v>
      </c>
      <c r="G186" s="2" t="s">
        <v>524</v>
      </c>
      <c r="H186" s="2" t="s">
        <v>368</v>
      </c>
      <c r="I186" s="2" t="s">
        <v>145</v>
      </c>
      <c r="J186" s="2" t="s">
        <v>369</v>
      </c>
      <c r="K186" s="10" t="b">
        <f aca="false">FALSE()</f>
        <v>0</v>
      </c>
      <c r="L186" s="10" t="b">
        <f aca="false">TRUE()</f>
        <v>1</v>
      </c>
      <c r="M186" s="2" t="s">
        <v>494</v>
      </c>
      <c r="N186" s="2" t="s">
        <v>371</v>
      </c>
      <c r="O186" s="2" t="s">
        <v>495</v>
      </c>
      <c r="P186" s="2" t="n">
        <v>60</v>
      </c>
      <c r="Q186" s="2" t="s">
        <v>496</v>
      </c>
      <c r="R186" s="11" t="s">
        <v>497</v>
      </c>
      <c r="S186" s="11" t="s">
        <v>498</v>
      </c>
      <c r="T186" s="2" t="s">
        <v>219</v>
      </c>
      <c r="U186" s="2" t="s">
        <v>153</v>
      </c>
      <c r="V186" s="2" t="s">
        <v>570</v>
      </c>
      <c r="W186" s="11" t="s">
        <v>575</v>
      </c>
      <c r="X186" s="2"/>
      <c r="Y186" s="2"/>
      <c r="Z186" s="2"/>
      <c r="AA186" s="2"/>
      <c r="AB186" s="2" t="s">
        <v>572</v>
      </c>
      <c r="AC186" s="2" t="s">
        <v>157</v>
      </c>
      <c r="AD186" s="2" t="s">
        <v>132</v>
      </c>
      <c r="AE186" s="10" t="b">
        <f aca="false">FALSE()</f>
        <v>0</v>
      </c>
      <c r="AF186" s="2" t="s">
        <v>133</v>
      </c>
      <c r="AG186" s="2" t="s">
        <v>158</v>
      </c>
      <c r="AH186" s="2" t="s">
        <v>135</v>
      </c>
      <c r="AI186" s="11" t="s">
        <v>502</v>
      </c>
      <c r="AJ186" s="2" t="s">
        <v>1142</v>
      </c>
      <c r="AK186" s="2" t="s">
        <v>1142</v>
      </c>
      <c r="AL186" s="2" t="s">
        <v>1191</v>
      </c>
    </row>
    <row r="187" customFormat="false" ht="90" hidden="false" customHeight="true" outlineLevel="0" collapsed="false">
      <c r="A187" s="2" t="s">
        <v>734</v>
      </c>
      <c r="B187" s="2" t="s">
        <v>569</v>
      </c>
      <c r="C187" s="2" t="s">
        <v>474</v>
      </c>
      <c r="D187" s="9" t="n">
        <v>371</v>
      </c>
      <c r="E187" s="2" t="s">
        <v>491</v>
      </c>
      <c r="F187" s="2" t="s">
        <v>492</v>
      </c>
      <c r="G187" s="2" t="s">
        <v>524</v>
      </c>
      <c r="H187" s="2" t="s">
        <v>368</v>
      </c>
      <c r="I187" s="2" t="s">
        <v>145</v>
      </c>
      <c r="J187" s="2" t="s">
        <v>369</v>
      </c>
      <c r="K187" s="10" t="b">
        <f aca="false">FALSE()</f>
        <v>0</v>
      </c>
      <c r="L187" s="10" t="b">
        <f aca="false">FALSE()</f>
        <v>0</v>
      </c>
      <c r="M187" s="2" t="s">
        <v>494</v>
      </c>
      <c r="N187" s="2" t="s">
        <v>371</v>
      </c>
      <c r="O187" s="2" t="s">
        <v>495</v>
      </c>
      <c r="P187" s="2" t="n">
        <v>30</v>
      </c>
      <c r="Q187" s="2" t="s">
        <v>496</v>
      </c>
      <c r="R187" s="11" t="s">
        <v>497</v>
      </c>
      <c r="S187" s="11" t="s">
        <v>498</v>
      </c>
      <c r="T187" s="2" t="s">
        <v>557</v>
      </c>
      <c r="U187" s="2" t="s">
        <v>153</v>
      </c>
      <c r="V187" s="2" t="s">
        <v>606</v>
      </c>
      <c r="W187" s="11" t="s">
        <v>607</v>
      </c>
      <c r="X187" s="2"/>
      <c r="Y187" s="2"/>
      <c r="Z187" s="2"/>
      <c r="AA187" s="2"/>
      <c r="AB187" s="2" t="s">
        <v>608</v>
      </c>
      <c r="AC187" s="2" t="s">
        <v>131</v>
      </c>
      <c r="AD187" s="2" t="s">
        <v>440</v>
      </c>
      <c r="AE187" s="10" t="b">
        <f aca="false">FALSE()</f>
        <v>0</v>
      </c>
      <c r="AF187" s="2" t="s">
        <v>133</v>
      </c>
      <c r="AG187" s="2" t="s">
        <v>158</v>
      </c>
      <c r="AH187" s="2" t="s">
        <v>135</v>
      </c>
      <c r="AI187" s="11" t="s">
        <v>502</v>
      </c>
      <c r="AJ187" s="2" t="s">
        <v>1277</v>
      </c>
      <c r="AK187" s="2"/>
      <c r="AL187" s="2"/>
    </row>
    <row r="188" customFormat="false" ht="90" hidden="false" customHeight="true" outlineLevel="0" collapsed="false">
      <c r="A188" s="2" t="s">
        <v>736</v>
      </c>
      <c r="B188" s="2" t="s">
        <v>569</v>
      </c>
      <c r="C188" s="2" t="s">
        <v>474</v>
      </c>
      <c r="D188" s="9" t="n">
        <v>371</v>
      </c>
      <c r="E188" s="2" t="s">
        <v>491</v>
      </c>
      <c r="F188" s="2" t="s">
        <v>492</v>
      </c>
      <c r="G188" s="2" t="s">
        <v>524</v>
      </c>
      <c r="H188" s="2" t="s">
        <v>368</v>
      </c>
      <c r="I188" s="2" t="s">
        <v>145</v>
      </c>
      <c r="J188" s="2" t="s">
        <v>369</v>
      </c>
      <c r="K188" s="10" t="b">
        <f aca="false">FALSE()</f>
        <v>0</v>
      </c>
      <c r="L188" s="10" t="b">
        <f aca="false">FALSE()</f>
        <v>0</v>
      </c>
      <c r="M188" s="2" t="s">
        <v>494</v>
      </c>
      <c r="N188" s="2" t="s">
        <v>371</v>
      </c>
      <c r="O188" s="2" t="s">
        <v>495</v>
      </c>
      <c r="P188" s="2" t="n">
        <v>30</v>
      </c>
      <c r="Q188" s="2" t="s">
        <v>496</v>
      </c>
      <c r="R188" s="11" t="s">
        <v>497</v>
      </c>
      <c r="S188" s="11" t="s">
        <v>498</v>
      </c>
      <c r="T188" s="2" t="s">
        <v>557</v>
      </c>
      <c r="U188" s="2" t="s">
        <v>153</v>
      </c>
      <c r="V188" s="2" t="s">
        <v>606</v>
      </c>
      <c r="W188" s="11" t="s">
        <v>607</v>
      </c>
      <c r="X188" s="2"/>
      <c r="Y188" s="2"/>
      <c r="Z188" s="2"/>
      <c r="AA188" s="2"/>
      <c r="AB188" s="2" t="s">
        <v>608</v>
      </c>
      <c r="AC188" s="2" t="s">
        <v>131</v>
      </c>
      <c r="AD188" s="2" t="s">
        <v>440</v>
      </c>
      <c r="AE188" s="10" t="b">
        <f aca="false">FALSE()</f>
        <v>0</v>
      </c>
      <c r="AF188" s="2" t="s">
        <v>133</v>
      </c>
      <c r="AG188" s="2" t="s">
        <v>158</v>
      </c>
      <c r="AH188" s="2" t="s">
        <v>135</v>
      </c>
      <c r="AI188" s="11" t="s">
        <v>502</v>
      </c>
      <c r="AJ188" s="2" t="s">
        <v>1277</v>
      </c>
      <c r="AK188" s="2"/>
      <c r="AL188" s="2"/>
    </row>
    <row r="189" customFormat="false" ht="90" hidden="false" customHeight="true" outlineLevel="0" collapsed="false">
      <c r="A189" s="2" t="s">
        <v>738</v>
      </c>
      <c r="B189" s="2" t="s">
        <v>569</v>
      </c>
      <c r="C189" s="2" t="s">
        <v>474</v>
      </c>
      <c r="D189" s="9" t="n">
        <v>363</v>
      </c>
      <c r="E189" s="2" t="s">
        <v>491</v>
      </c>
      <c r="F189" s="2" t="s">
        <v>492</v>
      </c>
      <c r="G189" s="2" t="s">
        <v>524</v>
      </c>
      <c r="H189" s="2" t="s">
        <v>368</v>
      </c>
      <c r="I189" s="2" t="s">
        <v>145</v>
      </c>
      <c r="J189" s="2" t="s">
        <v>369</v>
      </c>
      <c r="K189" s="10" t="b">
        <f aca="false">FALSE()</f>
        <v>0</v>
      </c>
      <c r="L189" s="10" t="b">
        <f aca="false">TRUE()</f>
        <v>1</v>
      </c>
      <c r="M189" s="2" t="s">
        <v>494</v>
      </c>
      <c r="N189" s="2" t="s">
        <v>371</v>
      </c>
      <c r="O189" s="2" t="s">
        <v>495</v>
      </c>
      <c r="P189" s="2" t="n">
        <v>30</v>
      </c>
      <c r="Q189" s="2" t="s">
        <v>496</v>
      </c>
      <c r="R189" s="11" t="s">
        <v>497</v>
      </c>
      <c r="S189" s="11" t="s">
        <v>498</v>
      </c>
      <c r="T189" s="2" t="s">
        <v>557</v>
      </c>
      <c r="U189" s="2" t="s">
        <v>153</v>
      </c>
      <c r="V189" s="2" t="s">
        <v>587</v>
      </c>
      <c r="W189" s="11" t="s">
        <v>588</v>
      </c>
      <c r="X189" s="2"/>
      <c r="Y189" s="2"/>
      <c r="Z189" s="2"/>
      <c r="AA189" s="2"/>
      <c r="AB189" s="2" t="s">
        <v>589</v>
      </c>
      <c r="AC189" s="2" t="s">
        <v>131</v>
      </c>
      <c r="AD189" s="2" t="s">
        <v>354</v>
      </c>
      <c r="AE189" s="10" t="b">
        <f aca="false">FALSE()</f>
        <v>0</v>
      </c>
      <c r="AF189" s="2" t="s">
        <v>133</v>
      </c>
      <c r="AG189" s="2" t="s">
        <v>158</v>
      </c>
      <c r="AH189" s="2" t="s">
        <v>135</v>
      </c>
      <c r="AI189" s="11" t="s">
        <v>502</v>
      </c>
      <c r="AJ189" s="2" t="s">
        <v>1277</v>
      </c>
      <c r="AK189" s="2"/>
      <c r="AL189" s="2"/>
    </row>
    <row r="190" customFormat="false" ht="90" hidden="false" customHeight="true" outlineLevel="0" collapsed="false">
      <c r="A190" s="2" t="s">
        <v>1224</v>
      </c>
      <c r="B190" s="2" t="s">
        <v>569</v>
      </c>
      <c r="C190" s="2" t="s">
        <v>474</v>
      </c>
      <c r="D190" s="9" t="n">
        <v>363</v>
      </c>
      <c r="E190" s="2" t="s">
        <v>491</v>
      </c>
      <c r="F190" s="2" t="s">
        <v>492</v>
      </c>
      <c r="G190" s="2" t="s">
        <v>524</v>
      </c>
      <c r="H190" s="2" t="s">
        <v>368</v>
      </c>
      <c r="I190" s="2" t="s">
        <v>145</v>
      </c>
      <c r="J190" s="2" t="s">
        <v>369</v>
      </c>
      <c r="K190" s="10" t="b">
        <f aca="false">FALSE()</f>
        <v>0</v>
      </c>
      <c r="L190" s="10" t="b">
        <f aca="false">FALSE()</f>
        <v>0</v>
      </c>
      <c r="M190" s="2" t="s">
        <v>494</v>
      </c>
      <c r="N190" s="2" t="s">
        <v>371</v>
      </c>
      <c r="O190" s="2" t="s">
        <v>495</v>
      </c>
      <c r="P190" s="2" t="n">
        <v>60</v>
      </c>
      <c r="Q190" s="2" t="s">
        <v>496</v>
      </c>
      <c r="R190" s="11" t="s">
        <v>497</v>
      </c>
      <c r="S190" s="11" t="s">
        <v>498</v>
      </c>
      <c r="T190" s="2" t="s">
        <v>219</v>
      </c>
      <c r="U190" s="2" t="s">
        <v>153</v>
      </c>
      <c r="V190" s="2" t="s">
        <v>570</v>
      </c>
      <c r="W190" s="11" t="s">
        <v>571</v>
      </c>
      <c r="X190" s="2"/>
      <c r="Y190" s="2"/>
      <c r="Z190" s="2"/>
      <c r="AA190" s="2"/>
      <c r="AB190" s="2" t="s">
        <v>572</v>
      </c>
      <c r="AC190" s="2" t="s">
        <v>157</v>
      </c>
      <c r="AD190" s="2" t="s">
        <v>132</v>
      </c>
      <c r="AE190" s="10" t="b">
        <f aca="false">FALSE()</f>
        <v>0</v>
      </c>
      <c r="AF190" s="2" t="s">
        <v>133</v>
      </c>
      <c r="AG190" s="2" t="s">
        <v>158</v>
      </c>
      <c r="AH190" s="2" t="s">
        <v>135</v>
      </c>
      <c r="AI190" s="11" t="s">
        <v>502</v>
      </c>
      <c r="AJ190" s="2" t="s">
        <v>1142</v>
      </c>
      <c r="AK190" s="2" t="s">
        <v>1142</v>
      </c>
      <c r="AL190" s="2" t="s">
        <v>1225</v>
      </c>
    </row>
    <row r="191" customFormat="false" ht="90" hidden="false" customHeight="true" outlineLevel="0" collapsed="false">
      <c r="A191" s="2" t="s">
        <v>740</v>
      </c>
      <c r="B191" s="2" t="s">
        <v>569</v>
      </c>
      <c r="C191" s="2" t="s">
        <v>474</v>
      </c>
      <c r="D191" s="9" t="n">
        <v>360</v>
      </c>
      <c r="E191" s="2" t="s">
        <v>491</v>
      </c>
      <c r="F191" s="2" t="s">
        <v>492</v>
      </c>
      <c r="G191" s="2" t="s">
        <v>524</v>
      </c>
      <c r="H191" s="2" t="s">
        <v>368</v>
      </c>
      <c r="I191" s="2" t="s">
        <v>145</v>
      </c>
      <c r="J191" s="2" t="s">
        <v>369</v>
      </c>
      <c r="K191" s="10" t="b">
        <f aca="false">FALSE()</f>
        <v>0</v>
      </c>
      <c r="L191" s="10" t="b">
        <f aca="false">TRUE()</f>
        <v>1</v>
      </c>
      <c r="M191" s="2" t="s">
        <v>494</v>
      </c>
      <c r="N191" s="2" t="s">
        <v>371</v>
      </c>
      <c r="O191" s="2" t="s">
        <v>495</v>
      </c>
      <c r="P191" s="2" t="n">
        <v>60</v>
      </c>
      <c r="Q191" s="2" t="s">
        <v>496</v>
      </c>
      <c r="R191" s="11" t="s">
        <v>497</v>
      </c>
      <c r="S191" s="11" t="s">
        <v>498</v>
      </c>
      <c r="T191" s="2" t="s">
        <v>219</v>
      </c>
      <c r="U191" s="2" t="s">
        <v>153</v>
      </c>
      <c r="V191" s="2" t="s">
        <v>570</v>
      </c>
      <c r="W191" s="11" t="s">
        <v>571</v>
      </c>
      <c r="X191" s="2"/>
      <c r="Y191" s="2"/>
      <c r="Z191" s="2"/>
      <c r="AA191" s="2"/>
      <c r="AB191" s="2" t="s">
        <v>572</v>
      </c>
      <c r="AC191" s="2" t="s">
        <v>157</v>
      </c>
      <c r="AD191" s="2" t="s">
        <v>132</v>
      </c>
      <c r="AE191" s="10" t="b">
        <f aca="false">FALSE()</f>
        <v>0</v>
      </c>
      <c r="AF191" s="2" t="s">
        <v>133</v>
      </c>
      <c r="AG191" s="2" t="s">
        <v>158</v>
      </c>
      <c r="AH191" s="2" t="s">
        <v>135</v>
      </c>
      <c r="AI191" s="11" t="s">
        <v>502</v>
      </c>
      <c r="AJ191" s="2" t="s">
        <v>1277</v>
      </c>
      <c r="AK191" s="2"/>
      <c r="AL191" s="2"/>
    </row>
    <row r="192" customFormat="false" ht="90" hidden="false" customHeight="true" outlineLevel="0" collapsed="false">
      <c r="A192" s="2" t="s">
        <v>742</v>
      </c>
      <c r="B192" s="2" t="s">
        <v>569</v>
      </c>
      <c r="C192" s="2" t="s">
        <v>474</v>
      </c>
      <c r="D192" s="9" t="n">
        <v>356</v>
      </c>
      <c r="E192" s="2" t="s">
        <v>491</v>
      </c>
      <c r="F192" s="2" t="s">
        <v>492</v>
      </c>
      <c r="G192" s="2" t="s">
        <v>524</v>
      </c>
      <c r="H192" s="2" t="s">
        <v>368</v>
      </c>
      <c r="I192" s="2" t="s">
        <v>145</v>
      </c>
      <c r="J192" s="2" t="s">
        <v>369</v>
      </c>
      <c r="K192" s="10" t="b">
        <f aca="false">FALSE()</f>
        <v>0</v>
      </c>
      <c r="L192" s="10" t="b">
        <f aca="false">TRUE()</f>
        <v>1</v>
      </c>
      <c r="M192" s="2" t="s">
        <v>494</v>
      </c>
      <c r="N192" s="2" t="s">
        <v>371</v>
      </c>
      <c r="O192" s="2" t="s">
        <v>495</v>
      </c>
      <c r="P192" s="2" t="n">
        <v>60</v>
      </c>
      <c r="Q192" s="2" t="s">
        <v>496</v>
      </c>
      <c r="R192" s="11" t="s">
        <v>497</v>
      </c>
      <c r="S192" s="11" t="s">
        <v>498</v>
      </c>
      <c r="T192" s="2" t="s">
        <v>219</v>
      </c>
      <c r="U192" s="2" t="s">
        <v>153</v>
      </c>
      <c r="V192" s="2" t="s">
        <v>570</v>
      </c>
      <c r="W192" s="11" t="s">
        <v>571</v>
      </c>
      <c r="X192" s="2"/>
      <c r="Y192" s="2"/>
      <c r="Z192" s="2"/>
      <c r="AA192" s="2"/>
      <c r="AB192" s="2" t="s">
        <v>572</v>
      </c>
      <c r="AC192" s="2" t="s">
        <v>157</v>
      </c>
      <c r="AD192" s="2" t="s">
        <v>132</v>
      </c>
      <c r="AE192" s="10" t="b">
        <f aca="false">FALSE()</f>
        <v>0</v>
      </c>
      <c r="AF192" s="2" t="s">
        <v>133</v>
      </c>
      <c r="AG192" s="2" t="s">
        <v>158</v>
      </c>
      <c r="AH192" s="2" t="s">
        <v>135</v>
      </c>
      <c r="AI192" s="11" t="s">
        <v>502</v>
      </c>
      <c r="AJ192" s="2" t="s">
        <v>1277</v>
      </c>
      <c r="AK192" s="2"/>
      <c r="AL192" s="2"/>
    </row>
    <row r="193" customFormat="false" ht="90" hidden="false" customHeight="true" outlineLevel="0" collapsed="false">
      <c r="A193" s="2" t="s">
        <v>744</v>
      </c>
      <c r="B193" s="2" t="s">
        <v>569</v>
      </c>
      <c r="C193" s="2" t="s">
        <v>474</v>
      </c>
      <c r="D193" s="9" t="n">
        <v>355</v>
      </c>
      <c r="E193" s="2" t="s">
        <v>491</v>
      </c>
      <c r="F193" s="2" t="s">
        <v>492</v>
      </c>
      <c r="G193" s="2" t="s">
        <v>524</v>
      </c>
      <c r="H193" s="2" t="s">
        <v>368</v>
      </c>
      <c r="I193" s="2" t="s">
        <v>145</v>
      </c>
      <c r="J193" s="2" t="s">
        <v>369</v>
      </c>
      <c r="K193" s="10" t="b">
        <f aca="false">FALSE()</f>
        <v>0</v>
      </c>
      <c r="L193" s="10" t="b">
        <f aca="false">TRUE()</f>
        <v>1</v>
      </c>
      <c r="M193" s="2" t="s">
        <v>494</v>
      </c>
      <c r="N193" s="2" t="s">
        <v>371</v>
      </c>
      <c r="O193" s="2" t="s">
        <v>495</v>
      </c>
      <c r="P193" s="2" t="n">
        <v>30</v>
      </c>
      <c r="Q193" s="2" t="s">
        <v>496</v>
      </c>
      <c r="R193" s="11" t="s">
        <v>497</v>
      </c>
      <c r="S193" s="11" t="s">
        <v>498</v>
      </c>
      <c r="T193" s="2" t="s">
        <v>632</v>
      </c>
      <c r="U193" s="2" t="s">
        <v>153</v>
      </c>
      <c r="V193" s="2" t="s">
        <v>587</v>
      </c>
      <c r="W193" s="11" t="s">
        <v>645</v>
      </c>
      <c r="X193" s="2"/>
      <c r="Y193" s="2"/>
      <c r="Z193" s="2"/>
      <c r="AA193" s="2"/>
      <c r="AB193" s="2" t="s">
        <v>589</v>
      </c>
      <c r="AC193" s="2" t="s">
        <v>131</v>
      </c>
      <c r="AD193" s="2" t="s">
        <v>354</v>
      </c>
      <c r="AE193" s="10" t="b">
        <f aca="false">FALSE()</f>
        <v>0</v>
      </c>
      <c r="AF193" s="2" t="s">
        <v>133</v>
      </c>
      <c r="AG193" s="2" t="s">
        <v>158</v>
      </c>
      <c r="AH193" s="2" t="s">
        <v>135</v>
      </c>
      <c r="AI193" s="11" t="s">
        <v>502</v>
      </c>
      <c r="AJ193" s="2" t="s">
        <v>1277</v>
      </c>
      <c r="AK193" s="2"/>
      <c r="AL193" s="2"/>
    </row>
    <row r="194" customFormat="false" ht="90" hidden="false" customHeight="true" outlineLevel="0" collapsed="false">
      <c r="A194" s="2" t="s">
        <v>746</v>
      </c>
      <c r="B194" s="2" t="s">
        <v>569</v>
      </c>
      <c r="C194" s="2" t="s">
        <v>474</v>
      </c>
      <c r="D194" s="9" t="n">
        <v>353</v>
      </c>
      <c r="E194" s="2" t="s">
        <v>491</v>
      </c>
      <c r="F194" s="2" t="s">
        <v>492</v>
      </c>
      <c r="G194" s="2" t="s">
        <v>524</v>
      </c>
      <c r="H194" s="2" t="s">
        <v>368</v>
      </c>
      <c r="I194" s="2" t="s">
        <v>145</v>
      </c>
      <c r="J194" s="2" t="s">
        <v>369</v>
      </c>
      <c r="K194" s="10" t="b">
        <f aca="false">FALSE()</f>
        <v>0</v>
      </c>
      <c r="L194" s="10" t="b">
        <f aca="false">TRUE()</f>
        <v>1</v>
      </c>
      <c r="M194" s="2" t="s">
        <v>494</v>
      </c>
      <c r="N194" s="2" t="s">
        <v>371</v>
      </c>
      <c r="O194" s="2" t="s">
        <v>495</v>
      </c>
      <c r="P194" s="2" t="n">
        <v>60</v>
      </c>
      <c r="Q194" s="2" t="s">
        <v>496</v>
      </c>
      <c r="R194" s="11" t="s">
        <v>497</v>
      </c>
      <c r="S194" s="11" t="s">
        <v>498</v>
      </c>
      <c r="T194" s="2" t="s">
        <v>219</v>
      </c>
      <c r="U194" s="2" t="s">
        <v>153</v>
      </c>
      <c r="V194" s="2" t="s">
        <v>570</v>
      </c>
      <c r="W194" s="11" t="s">
        <v>571</v>
      </c>
      <c r="X194" s="2"/>
      <c r="Y194" s="2"/>
      <c r="Z194" s="2"/>
      <c r="AA194" s="2"/>
      <c r="AB194" s="2" t="s">
        <v>572</v>
      </c>
      <c r="AC194" s="2" t="s">
        <v>157</v>
      </c>
      <c r="AD194" s="2" t="s">
        <v>132</v>
      </c>
      <c r="AE194" s="10" t="b">
        <f aca="false">FALSE()</f>
        <v>0</v>
      </c>
      <c r="AF194" s="2" t="s">
        <v>133</v>
      </c>
      <c r="AG194" s="2" t="s">
        <v>158</v>
      </c>
      <c r="AH194" s="2" t="s">
        <v>135</v>
      </c>
      <c r="AI194" s="11" t="s">
        <v>502</v>
      </c>
      <c r="AJ194" s="2" t="s">
        <v>1277</v>
      </c>
      <c r="AK194" s="2"/>
      <c r="AL194" s="2"/>
    </row>
    <row r="195" customFormat="false" ht="90" hidden="false" customHeight="true" outlineLevel="0" collapsed="false">
      <c r="A195" s="2" t="s">
        <v>748</v>
      </c>
      <c r="B195" s="2" t="s">
        <v>569</v>
      </c>
      <c r="C195" s="2" t="s">
        <v>474</v>
      </c>
      <c r="D195" s="9" t="n">
        <v>353</v>
      </c>
      <c r="E195" s="2" t="s">
        <v>491</v>
      </c>
      <c r="F195" s="2" t="s">
        <v>492</v>
      </c>
      <c r="G195" s="2" t="s">
        <v>524</v>
      </c>
      <c r="H195" s="2" t="s">
        <v>368</v>
      </c>
      <c r="I195" s="2" t="s">
        <v>145</v>
      </c>
      <c r="J195" s="2" t="s">
        <v>369</v>
      </c>
      <c r="K195" s="10" t="b">
        <f aca="false">FALSE()</f>
        <v>0</v>
      </c>
      <c r="L195" s="10" t="b">
        <f aca="false">FALSE()</f>
        <v>0</v>
      </c>
      <c r="M195" s="2" t="s">
        <v>494</v>
      </c>
      <c r="N195" s="2" t="s">
        <v>371</v>
      </c>
      <c r="O195" s="2" t="s">
        <v>495</v>
      </c>
      <c r="P195" s="2" t="n">
        <v>30</v>
      </c>
      <c r="Q195" s="2" t="s">
        <v>496</v>
      </c>
      <c r="R195" s="11" t="s">
        <v>497</v>
      </c>
      <c r="S195" s="11" t="s">
        <v>498</v>
      </c>
      <c r="T195" s="2" t="s">
        <v>557</v>
      </c>
      <c r="U195" s="2" t="s">
        <v>153</v>
      </c>
      <c r="V195" s="2" t="s">
        <v>606</v>
      </c>
      <c r="W195" s="11" t="s">
        <v>607</v>
      </c>
      <c r="X195" s="2"/>
      <c r="Y195" s="2"/>
      <c r="Z195" s="2"/>
      <c r="AA195" s="2"/>
      <c r="AB195" s="2" t="s">
        <v>608</v>
      </c>
      <c r="AC195" s="2" t="s">
        <v>131</v>
      </c>
      <c r="AD195" s="2" t="s">
        <v>440</v>
      </c>
      <c r="AE195" s="10" t="b">
        <f aca="false">FALSE()</f>
        <v>0</v>
      </c>
      <c r="AF195" s="2" t="s">
        <v>133</v>
      </c>
      <c r="AG195" s="2" t="s">
        <v>158</v>
      </c>
      <c r="AH195" s="2" t="s">
        <v>135</v>
      </c>
      <c r="AI195" s="11" t="s">
        <v>502</v>
      </c>
      <c r="AJ195" s="2" t="s">
        <v>1277</v>
      </c>
      <c r="AK195" s="2"/>
      <c r="AL195" s="2"/>
    </row>
    <row r="196" customFormat="false" ht="90" hidden="false" customHeight="true" outlineLevel="0" collapsed="false">
      <c r="A196" s="2" t="s">
        <v>750</v>
      </c>
      <c r="B196" s="2" t="s">
        <v>569</v>
      </c>
      <c r="C196" s="2" t="s">
        <v>474</v>
      </c>
      <c r="D196" s="9" t="n">
        <v>345</v>
      </c>
      <c r="E196" s="2" t="s">
        <v>475</v>
      </c>
      <c r="F196" s="2" t="s">
        <v>492</v>
      </c>
      <c r="G196" s="2" t="s">
        <v>595</v>
      </c>
      <c r="H196" s="2" t="s">
        <v>368</v>
      </c>
      <c r="I196" s="2" t="s">
        <v>145</v>
      </c>
      <c r="J196" s="2" t="s">
        <v>369</v>
      </c>
      <c r="K196" s="10" t="b">
        <f aca="false">FALSE()</f>
        <v>0</v>
      </c>
      <c r="L196" s="10" t="b">
        <f aca="false">TRUE()</f>
        <v>1</v>
      </c>
      <c r="M196" s="2" t="s">
        <v>494</v>
      </c>
      <c r="N196" s="2" t="s">
        <v>371</v>
      </c>
      <c r="O196" s="2" t="s">
        <v>495</v>
      </c>
      <c r="P196" s="2" t="n">
        <v>60</v>
      </c>
      <c r="Q196" s="2" t="s">
        <v>496</v>
      </c>
      <c r="R196" s="11" t="s">
        <v>497</v>
      </c>
      <c r="S196" s="11" t="s">
        <v>498</v>
      </c>
      <c r="T196" s="2" t="s">
        <v>219</v>
      </c>
      <c r="U196" s="2" t="s">
        <v>153</v>
      </c>
      <c r="V196" s="2" t="s">
        <v>570</v>
      </c>
      <c r="W196" s="11" t="s">
        <v>571</v>
      </c>
      <c r="X196" s="2"/>
      <c r="Y196" s="2"/>
      <c r="Z196" s="2"/>
      <c r="AA196" s="2"/>
      <c r="AB196" s="2" t="s">
        <v>572</v>
      </c>
      <c r="AC196" s="2" t="s">
        <v>157</v>
      </c>
      <c r="AD196" s="2" t="s">
        <v>132</v>
      </c>
      <c r="AE196" s="10" t="b">
        <f aca="false">FALSE()</f>
        <v>0</v>
      </c>
      <c r="AF196" s="2" t="s">
        <v>133</v>
      </c>
      <c r="AG196" s="2" t="s">
        <v>158</v>
      </c>
      <c r="AH196" s="2" t="s">
        <v>135</v>
      </c>
      <c r="AI196" s="11" t="s">
        <v>502</v>
      </c>
      <c r="AJ196" s="2" t="s">
        <v>1277</v>
      </c>
      <c r="AK196" s="2"/>
      <c r="AL196" s="2"/>
    </row>
    <row r="197" customFormat="false" ht="90" hidden="false" customHeight="true" outlineLevel="0" collapsed="false">
      <c r="A197" s="2" t="s">
        <v>752</v>
      </c>
      <c r="B197" s="2" t="s">
        <v>569</v>
      </c>
      <c r="C197" s="2" t="s">
        <v>474</v>
      </c>
      <c r="D197" s="9" t="n">
        <v>345</v>
      </c>
      <c r="E197" s="2" t="s">
        <v>491</v>
      </c>
      <c r="F197" s="2" t="s">
        <v>492</v>
      </c>
      <c r="G197" s="2" t="s">
        <v>524</v>
      </c>
      <c r="H197" s="2" t="s">
        <v>368</v>
      </c>
      <c r="I197" s="2" t="s">
        <v>145</v>
      </c>
      <c r="J197" s="2" t="s">
        <v>369</v>
      </c>
      <c r="K197" s="10" t="b">
        <f aca="false">FALSE()</f>
        <v>0</v>
      </c>
      <c r="L197" s="10" t="b">
        <f aca="false">FALSE()</f>
        <v>0</v>
      </c>
      <c r="M197" s="2" t="s">
        <v>494</v>
      </c>
      <c r="N197" s="2" t="s">
        <v>371</v>
      </c>
      <c r="O197" s="2" t="s">
        <v>495</v>
      </c>
      <c r="P197" s="2" t="n">
        <v>60</v>
      </c>
      <c r="Q197" s="2" t="s">
        <v>496</v>
      </c>
      <c r="R197" s="11" t="s">
        <v>497</v>
      </c>
      <c r="S197" s="11" t="s">
        <v>498</v>
      </c>
      <c r="T197" s="2" t="s">
        <v>219</v>
      </c>
      <c r="U197" s="2" t="s">
        <v>153</v>
      </c>
      <c r="V197" s="2" t="s">
        <v>570</v>
      </c>
      <c r="W197" s="11" t="s">
        <v>571</v>
      </c>
      <c r="X197" s="2"/>
      <c r="Y197" s="2"/>
      <c r="Z197" s="2"/>
      <c r="AA197" s="2"/>
      <c r="AB197" s="2" t="s">
        <v>572</v>
      </c>
      <c r="AC197" s="2" t="s">
        <v>157</v>
      </c>
      <c r="AD197" s="2" t="s">
        <v>132</v>
      </c>
      <c r="AE197" s="10" t="b">
        <f aca="false">FALSE()</f>
        <v>0</v>
      </c>
      <c r="AF197" s="2" t="s">
        <v>133</v>
      </c>
      <c r="AG197" s="2" t="s">
        <v>158</v>
      </c>
      <c r="AH197" s="2" t="s">
        <v>135</v>
      </c>
      <c r="AI197" s="11" t="s">
        <v>502</v>
      </c>
      <c r="AJ197" s="2" t="s">
        <v>1277</v>
      </c>
      <c r="AK197" s="2"/>
      <c r="AL197" s="2"/>
    </row>
    <row r="198" customFormat="false" ht="90" hidden="false" customHeight="true" outlineLevel="0" collapsed="false">
      <c r="A198" s="2" t="s">
        <v>754</v>
      </c>
      <c r="B198" s="2" t="s">
        <v>569</v>
      </c>
      <c r="C198" s="2" t="s">
        <v>474</v>
      </c>
      <c r="D198" s="9" t="n">
        <v>344</v>
      </c>
      <c r="E198" s="2" t="s">
        <v>491</v>
      </c>
      <c r="F198" s="2" t="s">
        <v>492</v>
      </c>
      <c r="G198" s="2" t="s">
        <v>524</v>
      </c>
      <c r="H198" s="2" t="s">
        <v>368</v>
      </c>
      <c r="I198" s="2" t="s">
        <v>145</v>
      </c>
      <c r="J198" s="2" t="s">
        <v>369</v>
      </c>
      <c r="K198" s="10" t="b">
        <f aca="false">FALSE()</f>
        <v>0</v>
      </c>
      <c r="L198" s="10" t="b">
        <f aca="false">TRUE()</f>
        <v>1</v>
      </c>
      <c r="M198" s="2" t="s">
        <v>494</v>
      </c>
      <c r="N198" s="2" t="s">
        <v>371</v>
      </c>
      <c r="O198" s="2" t="s">
        <v>495</v>
      </c>
      <c r="P198" s="2" t="n">
        <v>30</v>
      </c>
      <c r="Q198" s="2" t="s">
        <v>496</v>
      </c>
      <c r="R198" s="11" t="s">
        <v>497</v>
      </c>
      <c r="S198" s="11" t="s">
        <v>498</v>
      </c>
      <c r="T198" s="2" t="s">
        <v>632</v>
      </c>
      <c r="U198" s="2" t="s">
        <v>153</v>
      </c>
      <c r="V198" s="2" t="s">
        <v>662</v>
      </c>
      <c r="W198" s="11" t="s">
        <v>663</v>
      </c>
      <c r="X198" s="2"/>
      <c r="Y198" s="2"/>
      <c r="Z198" s="2"/>
      <c r="AA198" s="2"/>
      <c r="AB198" s="2" t="s">
        <v>664</v>
      </c>
      <c r="AC198" s="2" t="s">
        <v>131</v>
      </c>
      <c r="AD198" s="2" t="s">
        <v>132</v>
      </c>
      <c r="AE198" s="10" t="b">
        <f aca="false">FALSE()</f>
        <v>0</v>
      </c>
      <c r="AF198" s="2" t="s">
        <v>133</v>
      </c>
      <c r="AG198" s="2" t="s">
        <v>158</v>
      </c>
      <c r="AH198" s="2" t="s">
        <v>135</v>
      </c>
      <c r="AI198" s="11" t="s">
        <v>502</v>
      </c>
      <c r="AJ198" s="2" t="s">
        <v>1277</v>
      </c>
      <c r="AK198" s="2"/>
      <c r="AL198" s="2"/>
    </row>
    <row r="199" customFormat="false" ht="90" hidden="false" customHeight="true" outlineLevel="0" collapsed="false">
      <c r="A199" s="2" t="s">
        <v>756</v>
      </c>
      <c r="B199" s="2" t="s">
        <v>569</v>
      </c>
      <c r="C199" s="2" t="s">
        <v>474</v>
      </c>
      <c r="D199" s="9" t="n">
        <v>337</v>
      </c>
      <c r="E199" s="2" t="s">
        <v>491</v>
      </c>
      <c r="F199" s="2" t="s">
        <v>492</v>
      </c>
      <c r="G199" s="2" t="s">
        <v>524</v>
      </c>
      <c r="H199" s="2" t="s">
        <v>368</v>
      </c>
      <c r="I199" s="2" t="s">
        <v>145</v>
      </c>
      <c r="J199" s="2" t="s">
        <v>369</v>
      </c>
      <c r="K199" s="10" t="b">
        <f aca="false">FALSE()</f>
        <v>0</v>
      </c>
      <c r="L199" s="10" t="b">
        <f aca="false">FALSE()</f>
        <v>0</v>
      </c>
      <c r="M199" s="2" t="s">
        <v>494</v>
      </c>
      <c r="N199" s="2" t="s">
        <v>371</v>
      </c>
      <c r="O199" s="2" t="s">
        <v>495</v>
      </c>
      <c r="P199" s="2" t="n">
        <v>30</v>
      </c>
      <c r="Q199" s="2" t="s">
        <v>496</v>
      </c>
      <c r="R199" s="11" t="s">
        <v>497</v>
      </c>
      <c r="S199" s="11" t="s">
        <v>498</v>
      </c>
      <c r="T199" s="2" t="s">
        <v>557</v>
      </c>
      <c r="U199" s="2" t="s">
        <v>153</v>
      </c>
      <c r="V199" s="2" t="s">
        <v>606</v>
      </c>
      <c r="W199" s="11" t="s">
        <v>607</v>
      </c>
      <c r="X199" s="2"/>
      <c r="Y199" s="2"/>
      <c r="Z199" s="2"/>
      <c r="AA199" s="2"/>
      <c r="AB199" s="2" t="s">
        <v>608</v>
      </c>
      <c r="AC199" s="2" t="s">
        <v>131</v>
      </c>
      <c r="AD199" s="2" t="s">
        <v>440</v>
      </c>
      <c r="AE199" s="10" t="b">
        <f aca="false">FALSE()</f>
        <v>0</v>
      </c>
      <c r="AF199" s="2" t="s">
        <v>133</v>
      </c>
      <c r="AG199" s="2" t="s">
        <v>158</v>
      </c>
      <c r="AH199" s="2" t="s">
        <v>135</v>
      </c>
      <c r="AI199" s="11" t="s">
        <v>502</v>
      </c>
      <c r="AJ199" s="2" t="s">
        <v>1277</v>
      </c>
      <c r="AK199" s="2"/>
      <c r="AL199" s="2"/>
    </row>
    <row r="200" customFormat="false" ht="90" hidden="false" customHeight="true" outlineLevel="0" collapsed="false">
      <c r="A200" s="2" t="s">
        <v>758</v>
      </c>
      <c r="B200" s="2" t="s">
        <v>569</v>
      </c>
      <c r="C200" s="2" t="s">
        <v>474</v>
      </c>
      <c r="D200" s="9" t="n">
        <v>336</v>
      </c>
      <c r="E200" s="2" t="s">
        <v>491</v>
      </c>
      <c r="F200" s="2" t="s">
        <v>492</v>
      </c>
      <c r="G200" s="2" t="s">
        <v>524</v>
      </c>
      <c r="H200" s="2" t="s">
        <v>368</v>
      </c>
      <c r="I200" s="2" t="s">
        <v>145</v>
      </c>
      <c r="J200" s="2" t="s">
        <v>369</v>
      </c>
      <c r="K200" s="10" t="b">
        <f aca="false">FALSE()</f>
        <v>0</v>
      </c>
      <c r="L200" s="10" t="b">
        <f aca="false">FALSE()</f>
        <v>0</v>
      </c>
      <c r="M200" s="2" t="s">
        <v>494</v>
      </c>
      <c r="N200" s="2" t="s">
        <v>371</v>
      </c>
      <c r="O200" s="2" t="s">
        <v>495</v>
      </c>
      <c r="P200" s="2" t="n">
        <v>60</v>
      </c>
      <c r="Q200" s="2" t="s">
        <v>496</v>
      </c>
      <c r="R200" s="11" t="s">
        <v>497</v>
      </c>
      <c r="S200" s="11" t="s">
        <v>498</v>
      </c>
      <c r="T200" s="2" t="s">
        <v>219</v>
      </c>
      <c r="U200" s="2" t="s">
        <v>153</v>
      </c>
      <c r="V200" s="2" t="s">
        <v>570</v>
      </c>
      <c r="W200" s="11" t="s">
        <v>571</v>
      </c>
      <c r="X200" s="2"/>
      <c r="Y200" s="2"/>
      <c r="Z200" s="2"/>
      <c r="AA200" s="2"/>
      <c r="AB200" s="2" t="s">
        <v>572</v>
      </c>
      <c r="AC200" s="2" t="s">
        <v>157</v>
      </c>
      <c r="AD200" s="2" t="s">
        <v>132</v>
      </c>
      <c r="AE200" s="10" t="b">
        <f aca="false">FALSE()</f>
        <v>0</v>
      </c>
      <c r="AF200" s="2" t="s">
        <v>133</v>
      </c>
      <c r="AG200" s="2" t="s">
        <v>158</v>
      </c>
      <c r="AH200" s="2" t="s">
        <v>135</v>
      </c>
      <c r="AI200" s="11" t="s">
        <v>502</v>
      </c>
      <c r="AJ200" s="2" t="s">
        <v>1277</v>
      </c>
      <c r="AK200" s="2"/>
      <c r="AL200" s="2"/>
    </row>
    <row r="201" customFormat="false" ht="90" hidden="false" customHeight="true" outlineLevel="0" collapsed="false">
      <c r="A201" s="2" t="s">
        <v>760</v>
      </c>
      <c r="B201" s="2" t="s">
        <v>569</v>
      </c>
      <c r="C201" s="2" t="s">
        <v>474</v>
      </c>
      <c r="D201" s="9" t="n">
        <v>332</v>
      </c>
      <c r="E201" s="2" t="s">
        <v>491</v>
      </c>
      <c r="F201" s="2" t="s">
        <v>492</v>
      </c>
      <c r="G201" s="2" t="s">
        <v>524</v>
      </c>
      <c r="H201" s="2" t="s">
        <v>368</v>
      </c>
      <c r="I201" s="2" t="s">
        <v>145</v>
      </c>
      <c r="J201" s="2" t="s">
        <v>369</v>
      </c>
      <c r="K201" s="10" t="b">
        <f aca="false">FALSE()</f>
        <v>0</v>
      </c>
      <c r="L201" s="10" t="b">
        <f aca="false">FALSE()</f>
        <v>0</v>
      </c>
      <c r="M201" s="2" t="s">
        <v>494</v>
      </c>
      <c r="N201" s="2" t="s">
        <v>371</v>
      </c>
      <c r="O201" s="2" t="s">
        <v>495</v>
      </c>
      <c r="P201" s="2" t="n">
        <v>30</v>
      </c>
      <c r="Q201" s="2" t="s">
        <v>496</v>
      </c>
      <c r="R201" s="11" t="s">
        <v>497</v>
      </c>
      <c r="S201" s="11" t="s">
        <v>498</v>
      </c>
      <c r="T201" s="2" t="s">
        <v>557</v>
      </c>
      <c r="U201" s="2" t="s">
        <v>153</v>
      </c>
      <c r="V201" s="2" t="s">
        <v>606</v>
      </c>
      <c r="W201" s="11" t="s">
        <v>607</v>
      </c>
      <c r="X201" s="2"/>
      <c r="Y201" s="2"/>
      <c r="Z201" s="2"/>
      <c r="AA201" s="2"/>
      <c r="AB201" s="2" t="s">
        <v>608</v>
      </c>
      <c r="AC201" s="2" t="s">
        <v>131</v>
      </c>
      <c r="AD201" s="2" t="s">
        <v>440</v>
      </c>
      <c r="AE201" s="10" t="b">
        <f aca="false">FALSE()</f>
        <v>0</v>
      </c>
      <c r="AF201" s="2" t="s">
        <v>133</v>
      </c>
      <c r="AG201" s="2" t="s">
        <v>158</v>
      </c>
      <c r="AH201" s="2" t="s">
        <v>135</v>
      </c>
      <c r="AI201" s="11" t="s">
        <v>502</v>
      </c>
      <c r="AJ201" s="2" t="s">
        <v>1277</v>
      </c>
      <c r="AK201" s="2"/>
      <c r="AL201" s="2"/>
    </row>
    <row r="202" customFormat="false" ht="90" hidden="false" customHeight="true" outlineLevel="0" collapsed="false">
      <c r="A202" s="2" t="s">
        <v>762</v>
      </c>
      <c r="B202" s="2" t="s">
        <v>569</v>
      </c>
      <c r="C202" s="2" t="s">
        <v>474</v>
      </c>
      <c r="D202" s="9" t="n">
        <v>329</v>
      </c>
      <c r="E202" s="2" t="s">
        <v>491</v>
      </c>
      <c r="F202" s="2" t="s">
        <v>492</v>
      </c>
      <c r="G202" s="2" t="s">
        <v>524</v>
      </c>
      <c r="H202" s="2" t="s">
        <v>368</v>
      </c>
      <c r="I202" s="2" t="s">
        <v>145</v>
      </c>
      <c r="J202" s="2" t="s">
        <v>369</v>
      </c>
      <c r="K202" s="10" t="b">
        <f aca="false">FALSE()</f>
        <v>0</v>
      </c>
      <c r="L202" s="10" t="b">
        <f aca="false">TRUE()</f>
        <v>1</v>
      </c>
      <c r="M202" s="2" t="s">
        <v>494</v>
      </c>
      <c r="N202" s="2" t="s">
        <v>371</v>
      </c>
      <c r="O202" s="2" t="s">
        <v>495</v>
      </c>
      <c r="P202" s="2" t="n">
        <v>60</v>
      </c>
      <c r="Q202" s="2" t="s">
        <v>496</v>
      </c>
      <c r="R202" s="11" t="s">
        <v>497</v>
      </c>
      <c r="S202" s="11" t="s">
        <v>498</v>
      </c>
      <c r="T202" s="2" t="s">
        <v>219</v>
      </c>
      <c r="U202" s="2" t="s">
        <v>153</v>
      </c>
      <c r="V202" s="2" t="s">
        <v>570</v>
      </c>
      <c r="W202" s="11" t="s">
        <v>571</v>
      </c>
      <c r="X202" s="2"/>
      <c r="Y202" s="2"/>
      <c r="Z202" s="2"/>
      <c r="AA202" s="2"/>
      <c r="AB202" s="2" t="s">
        <v>572</v>
      </c>
      <c r="AC202" s="2" t="s">
        <v>157</v>
      </c>
      <c r="AD202" s="2" t="s">
        <v>132</v>
      </c>
      <c r="AE202" s="10" t="b">
        <f aca="false">FALSE()</f>
        <v>0</v>
      </c>
      <c r="AF202" s="2" t="s">
        <v>133</v>
      </c>
      <c r="AG202" s="2" t="s">
        <v>158</v>
      </c>
      <c r="AH202" s="2" t="s">
        <v>135</v>
      </c>
      <c r="AI202" s="11" t="s">
        <v>502</v>
      </c>
      <c r="AJ202" s="2" t="s">
        <v>1277</v>
      </c>
      <c r="AK202" s="2"/>
      <c r="AL202" s="2"/>
    </row>
    <row r="203" customFormat="false" ht="90" hidden="false" customHeight="true" outlineLevel="0" collapsed="false">
      <c r="A203" s="2" t="s">
        <v>764</v>
      </c>
      <c r="B203" s="2" t="s">
        <v>569</v>
      </c>
      <c r="C203" s="2" t="s">
        <v>474</v>
      </c>
      <c r="D203" s="9" t="n">
        <v>322</v>
      </c>
      <c r="E203" s="2" t="s">
        <v>491</v>
      </c>
      <c r="F203" s="2" t="s">
        <v>492</v>
      </c>
      <c r="G203" s="2" t="s">
        <v>524</v>
      </c>
      <c r="H203" s="2" t="s">
        <v>368</v>
      </c>
      <c r="I203" s="2" t="s">
        <v>145</v>
      </c>
      <c r="J203" s="2" t="s">
        <v>369</v>
      </c>
      <c r="K203" s="10" t="b">
        <f aca="false">FALSE()</f>
        <v>0</v>
      </c>
      <c r="L203" s="10" t="b">
        <f aca="false">TRUE()</f>
        <v>1</v>
      </c>
      <c r="M203" s="2" t="s">
        <v>494</v>
      </c>
      <c r="N203" s="2" t="s">
        <v>371</v>
      </c>
      <c r="O203" s="2" t="s">
        <v>495</v>
      </c>
      <c r="P203" s="2" t="n">
        <v>60</v>
      </c>
      <c r="Q203" s="2" t="s">
        <v>496</v>
      </c>
      <c r="R203" s="11" t="s">
        <v>497</v>
      </c>
      <c r="S203" s="11" t="s">
        <v>498</v>
      </c>
      <c r="T203" s="2" t="s">
        <v>219</v>
      </c>
      <c r="U203" s="2" t="s">
        <v>153</v>
      </c>
      <c r="V203" s="2" t="s">
        <v>570</v>
      </c>
      <c r="W203" s="11" t="s">
        <v>571</v>
      </c>
      <c r="X203" s="2"/>
      <c r="Y203" s="2"/>
      <c r="Z203" s="2"/>
      <c r="AA203" s="2"/>
      <c r="AB203" s="2" t="s">
        <v>572</v>
      </c>
      <c r="AC203" s="2" t="s">
        <v>157</v>
      </c>
      <c r="AD203" s="2" t="s">
        <v>132</v>
      </c>
      <c r="AE203" s="10" t="b">
        <f aca="false">FALSE()</f>
        <v>0</v>
      </c>
      <c r="AF203" s="2" t="s">
        <v>133</v>
      </c>
      <c r="AG203" s="2" t="s">
        <v>158</v>
      </c>
      <c r="AH203" s="2" t="s">
        <v>135</v>
      </c>
      <c r="AI203" s="11" t="s">
        <v>502</v>
      </c>
      <c r="AJ203" s="2" t="s">
        <v>1277</v>
      </c>
      <c r="AK203" s="2"/>
      <c r="AL203" s="2"/>
    </row>
    <row r="204" customFormat="false" ht="90" hidden="false" customHeight="true" outlineLevel="0" collapsed="false">
      <c r="A204" s="2" t="s">
        <v>766</v>
      </c>
      <c r="B204" s="2" t="s">
        <v>569</v>
      </c>
      <c r="C204" s="2" t="s">
        <v>474</v>
      </c>
      <c r="D204" s="9" t="n">
        <v>322</v>
      </c>
      <c r="E204" s="2" t="s">
        <v>491</v>
      </c>
      <c r="F204" s="2" t="s">
        <v>492</v>
      </c>
      <c r="G204" s="2" t="s">
        <v>524</v>
      </c>
      <c r="H204" s="2" t="s">
        <v>368</v>
      </c>
      <c r="I204" s="2" t="s">
        <v>145</v>
      </c>
      <c r="J204" s="2" t="s">
        <v>369</v>
      </c>
      <c r="K204" s="10" t="b">
        <f aca="false">FALSE()</f>
        <v>0</v>
      </c>
      <c r="L204" s="10" t="b">
        <f aca="false">FALSE()</f>
        <v>0</v>
      </c>
      <c r="M204" s="2" t="s">
        <v>494</v>
      </c>
      <c r="N204" s="2" t="s">
        <v>371</v>
      </c>
      <c r="O204" s="2" t="s">
        <v>495</v>
      </c>
      <c r="P204" s="2" t="n">
        <v>30</v>
      </c>
      <c r="Q204" s="2" t="s">
        <v>496</v>
      </c>
      <c r="R204" s="11" t="s">
        <v>497</v>
      </c>
      <c r="S204" s="11" t="s">
        <v>498</v>
      </c>
      <c r="T204" s="2" t="s">
        <v>557</v>
      </c>
      <c r="U204" s="2" t="s">
        <v>153</v>
      </c>
      <c r="V204" s="2" t="s">
        <v>606</v>
      </c>
      <c r="W204" s="11" t="s">
        <v>607</v>
      </c>
      <c r="X204" s="2"/>
      <c r="Y204" s="2"/>
      <c r="Z204" s="2"/>
      <c r="AA204" s="2"/>
      <c r="AB204" s="2" t="s">
        <v>608</v>
      </c>
      <c r="AC204" s="2" t="s">
        <v>131</v>
      </c>
      <c r="AD204" s="2" t="s">
        <v>440</v>
      </c>
      <c r="AE204" s="10" t="b">
        <f aca="false">FALSE()</f>
        <v>0</v>
      </c>
      <c r="AF204" s="2" t="s">
        <v>133</v>
      </c>
      <c r="AG204" s="2" t="s">
        <v>158</v>
      </c>
      <c r="AH204" s="2" t="s">
        <v>135</v>
      </c>
      <c r="AI204" s="11" t="s">
        <v>502</v>
      </c>
      <c r="AJ204" s="2" t="s">
        <v>1277</v>
      </c>
      <c r="AK204" s="2"/>
      <c r="AL204" s="2"/>
    </row>
    <row r="205" customFormat="false" ht="90" hidden="false" customHeight="true" outlineLevel="0" collapsed="false">
      <c r="A205" s="2" t="s">
        <v>1192</v>
      </c>
      <c r="B205" s="2" t="s">
        <v>569</v>
      </c>
      <c r="C205" s="2" t="s">
        <v>474</v>
      </c>
      <c r="D205" s="9" t="n">
        <v>322</v>
      </c>
      <c r="E205" s="2" t="s">
        <v>491</v>
      </c>
      <c r="F205" s="2" t="s">
        <v>492</v>
      </c>
      <c r="G205" s="2" t="s">
        <v>524</v>
      </c>
      <c r="H205" s="2" t="s">
        <v>368</v>
      </c>
      <c r="I205" s="2" t="s">
        <v>145</v>
      </c>
      <c r="J205" s="2" t="s">
        <v>369</v>
      </c>
      <c r="K205" s="10" t="b">
        <f aca="false">FALSE()</f>
        <v>0</v>
      </c>
      <c r="L205" s="10" t="b">
        <f aca="false">TRUE()</f>
        <v>1</v>
      </c>
      <c r="M205" s="2" t="s">
        <v>494</v>
      </c>
      <c r="N205" s="2" t="s">
        <v>371</v>
      </c>
      <c r="O205" s="2" t="s">
        <v>495</v>
      </c>
      <c r="P205" s="2" t="n">
        <v>60</v>
      </c>
      <c r="Q205" s="2" t="s">
        <v>496</v>
      </c>
      <c r="R205" s="11" t="s">
        <v>497</v>
      </c>
      <c r="S205" s="11" t="s">
        <v>498</v>
      </c>
      <c r="T205" s="2" t="s">
        <v>219</v>
      </c>
      <c r="U205" s="2" t="s">
        <v>153</v>
      </c>
      <c r="V205" s="2" t="s">
        <v>570</v>
      </c>
      <c r="W205" s="11" t="s">
        <v>571</v>
      </c>
      <c r="X205" s="2"/>
      <c r="Y205" s="2"/>
      <c r="Z205" s="2"/>
      <c r="AA205" s="2"/>
      <c r="AB205" s="2" t="s">
        <v>572</v>
      </c>
      <c r="AC205" s="2" t="s">
        <v>157</v>
      </c>
      <c r="AD205" s="2" t="s">
        <v>132</v>
      </c>
      <c r="AE205" s="10" t="b">
        <f aca="false">FALSE()</f>
        <v>0</v>
      </c>
      <c r="AF205" s="2" t="s">
        <v>133</v>
      </c>
      <c r="AG205" s="2" t="s">
        <v>158</v>
      </c>
      <c r="AH205" s="2" t="s">
        <v>135</v>
      </c>
      <c r="AI205" s="11" t="s">
        <v>502</v>
      </c>
      <c r="AJ205" s="2" t="s">
        <v>1142</v>
      </c>
      <c r="AK205" s="2" t="s">
        <v>1142</v>
      </c>
      <c r="AL205" s="2" t="s">
        <v>1193</v>
      </c>
    </row>
    <row r="206" customFormat="false" ht="90" hidden="false" customHeight="true" outlineLevel="0" collapsed="false">
      <c r="A206" s="2" t="s">
        <v>768</v>
      </c>
      <c r="B206" s="2" t="s">
        <v>569</v>
      </c>
      <c r="C206" s="2" t="s">
        <v>474</v>
      </c>
      <c r="D206" s="9" t="n">
        <v>320</v>
      </c>
      <c r="E206" s="2" t="s">
        <v>491</v>
      </c>
      <c r="F206" s="2" t="s">
        <v>492</v>
      </c>
      <c r="G206" s="2" t="s">
        <v>524</v>
      </c>
      <c r="H206" s="2" t="s">
        <v>368</v>
      </c>
      <c r="I206" s="2" t="s">
        <v>145</v>
      </c>
      <c r="J206" s="2" t="s">
        <v>369</v>
      </c>
      <c r="K206" s="10" t="b">
        <f aca="false">FALSE()</f>
        <v>0</v>
      </c>
      <c r="L206" s="10" t="b">
        <f aca="false">TRUE()</f>
        <v>1</v>
      </c>
      <c r="M206" s="2" t="s">
        <v>494</v>
      </c>
      <c r="N206" s="2" t="s">
        <v>371</v>
      </c>
      <c r="O206" s="2" t="s">
        <v>495</v>
      </c>
      <c r="P206" s="2" t="n">
        <v>60</v>
      </c>
      <c r="Q206" s="2" t="s">
        <v>496</v>
      </c>
      <c r="R206" s="11" t="s">
        <v>497</v>
      </c>
      <c r="S206" s="11" t="s">
        <v>498</v>
      </c>
      <c r="T206" s="2" t="s">
        <v>219</v>
      </c>
      <c r="U206" s="2" t="s">
        <v>153</v>
      </c>
      <c r="V206" s="2" t="s">
        <v>570</v>
      </c>
      <c r="W206" s="11" t="s">
        <v>571</v>
      </c>
      <c r="X206" s="2"/>
      <c r="Y206" s="2"/>
      <c r="Z206" s="2"/>
      <c r="AA206" s="2"/>
      <c r="AB206" s="2" t="s">
        <v>572</v>
      </c>
      <c r="AC206" s="2" t="s">
        <v>157</v>
      </c>
      <c r="AD206" s="2" t="s">
        <v>132</v>
      </c>
      <c r="AE206" s="10" t="b">
        <f aca="false">FALSE()</f>
        <v>0</v>
      </c>
      <c r="AF206" s="2" t="s">
        <v>133</v>
      </c>
      <c r="AG206" s="2" t="s">
        <v>158</v>
      </c>
      <c r="AH206" s="2" t="s">
        <v>135</v>
      </c>
      <c r="AI206" s="11" t="s">
        <v>502</v>
      </c>
      <c r="AJ206" s="2" t="s">
        <v>1277</v>
      </c>
      <c r="AK206" s="2"/>
      <c r="AL206" s="2"/>
    </row>
    <row r="207" customFormat="false" ht="90" hidden="false" customHeight="true" outlineLevel="0" collapsed="false">
      <c r="A207" s="2" t="s">
        <v>770</v>
      </c>
      <c r="B207" s="2" t="s">
        <v>569</v>
      </c>
      <c r="C207" s="2" t="s">
        <v>474</v>
      </c>
      <c r="D207" s="9" t="n">
        <v>316</v>
      </c>
      <c r="E207" s="2" t="s">
        <v>491</v>
      </c>
      <c r="F207" s="2" t="s">
        <v>492</v>
      </c>
      <c r="G207" s="2" t="s">
        <v>524</v>
      </c>
      <c r="H207" s="2" t="s">
        <v>368</v>
      </c>
      <c r="I207" s="2" t="s">
        <v>145</v>
      </c>
      <c r="J207" s="2" t="s">
        <v>369</v>
      </c>
      <c r="K207" s="10" t="b">
        <f aca="false">FALSE()</f>
        <v>0</v>
      </c>
      <c r="L207" s="10" t="b">
        <f aca="false">FALSE()</f>
        <v>0</v>
      </c>
      <c r="M207" s="2" t="s">
        <v>494</v>
      </c>
      <c r="N207" s="2" t="s">
        <v>371</v>
      </c>
      <c r="O207" s="2" t="s">
        <v>495</v>
      </c>
      <c r="P207" s="2" t="n">
        <v>60</v>
      </c>
      <c r="Q207" s="2" t="s">
        <v>496</v>
      </c>
      <c r="R207" s="11" t="s">
        <v>497</v>
      </c>
      <c r="S207" s="11" t="s">
        <v>498</v>
      </c>
      <c r="T207" s="2" t="s">
        <v>219</v>
      </c>
      <c r="U207" s="2" t="s">
        <v>153</v>
      </c>
      <c r="V207" s="2" t="s">
        <v>570</v>
      </c>
      <c r="W207" s="11" t="s">
        <v>571</v>
      </c>
      <c r="X207" s="2"/>
      <c r="Y207" s="2"/>
      <c r="Z207" s="2"/>
      <c r="AA207" s="2"/>
      <c r="AB207" s="2" t="s">
        <v>572</v>
      </c>
      <c r="AC207" s="2" t="s">
        <v>157</v>
      </c>
      <c r="AD207" s="2" t="s">
        <v>132</v>
      </c>
      <c r="AE207" s="10" t="b">
        <f aca="false">FALSE()</f>
        <v>0</v>
      </c>
      <c r="AF207" s="2" t="s">
        <v>133</v>
      </c>
      <c r="AG207" s="2" t="s">
        <v>158</v>
      </c>
      <c r="AH207" s="2" t="s">
        <v>135</v>
      </c>
      <c r="AI207" s="11" t="s">
        <v>502</v>
      </c>
      <c r="AJ207" s="2" t="s">
        <v>1277</v>
      </c>
      <c r="AK207" s="2"/>
      <c r="AL207" s="2"/>
    </row>
    <row r="208" customFormat="false" ht="90" hidden="false" customHeight="true" outlineLevel="0" collapsed="false">
      <c r="A208" s="2" t="s">
        <v>772</v>
      </c>
      <c r="B208" s="2" t="s">
        <v>569</v>
      </c>
      <c r="C208" s="2" t="s">
        <v>474</v>
      </c>
      <c r="D208" s="9" t="n">
        <v>313</v>
      </c>
      <c r="E208" s="2" t="s">
        <v>491</v>
      </c>
      <c r="F208" s="2" t="s">
        <v>492</v>
      </c>
      <c r="G208" s="2" t="s">
        <v>524</v>
      </c>
      <c r="H208" s="2" t="s">
        <v>368</v>
      </c>
      <c r="I208" s="2" t="s">
        <v>145</v>
      </c>
      <c r="J208" s="2" t="s">
        <v>369</v>
      </c>
      <c r="K208" s="10" t="b">
        <f aca="false">FALSE()</f>
        <v>0</v>
      </c>
      <c r="L208" s="10" t="b">
        <f aca="false">TRUE()</f>
        <v>1</v>
      </c>
      <c r="M208" s="2" t="s">
        <v>494</v>
      </c>
      <c r="N208" s="2" t="s">
        <v>371</v>
      </c>
      <c r="O208" s="2" t="s">
        <v>495</v>
      </c>
      <c r="P208" s="2" t="n">
        <v>30</v>
      </c>
      <c r="Q208" s="2" t="s">
        <v>496</v>
      </c>
      <c r="R208" s="11" t="s">
        <v>497</v>
      </c>
      <c r="S208" s="11" t="s">
        <v>498</v>
      </c>
      <c r="T208" s="2" t="s">
        <v>557</v>
      </c>
      <c r="U208" s="2" t="s">
        <v>153</v>
      </c>
      <c r="V208" s="2" t="s">
        <v>587</v>
      </c>
      <c r="W208" s="11" t="s">
        <v>645</v>
      </c>
      <c r="X208" s="2"/>
      <c r="Y208" s="2"/>
      <c r="Z208" s="2"/>
      <c r="AA208" s="2"/>
      <c r="AB208" s="2" t="s">
        <v>589</v>
      </c>
      <c r="AC208" s="2" t="s">
        <v>131</v>
      </c>
      <c r="AD208" s="2" t="s">
        <v>354</v>
      </c>
      <c r="AE208" s="10" t="b">
        <f aca="false">FALSE()</f>
        <v>0</v>
      </c>
      <c r="AF208" s="2" t="s">
        <v>133</v>
      </c>
      <c r="AG208" s="2" t="s">
        <v>158</v>
      </c>
      <c r="AH208" s="2" t="s">
        <v>135</v>
      </c>
      <c r="AI208" s="11" t="s">
        <v>502</v>
      </c>
      <c r="AJ208" s="2" t="s">
        <v>1277</v>
      </c>
      <c r="AK208" s="2"/>
      <c r="AL208" s="2"/>
    </row>
    <row r="209" customFormat="false" ht="90" hidden="false" customHeight="true" outlineLevel="0" collapsed="false">
      <c r="A209" s="2" t="s">
        <v>774</v>
      </c>
      <c r="B209" s="2" t="s">
        <v>569</v>
      </c>
      <c r="C209" s="2" t="s">
        <v>474</v>
      </c>
      <c r="D209" s="9" t="n">
        <v>312</v>
      </c>
      <c r="E209" s="2" t="s">
        <v>491</v>
      </c>
      <c r="F209" s="2" t="s">
        <v>492</v>
      </c>
      <c r="G209" s="2" t="s">
        <v>524</v>
      </c>
      <c r="H209" s="2" t="s">
        <v>368</v>
      </c>
      <c r="I209" s="2" t="s">
        <v>145</v>
      </c>
      <c r="J209" s="2" t="s">
        <v>369</v>
      </c>
      <c r="K209" s="10" t="b">
        <f aca="false">FALSE()</f>
        <v>0</v>
      </c>
      <c r="L209" s="10" t="b">
        <f aca="false">TRUE()</f>
        <v>1</v>
      </c>
      <c r="M209" s="2" t="s">
        <v>494</v>
      </c>
      <c r="N209" s="2" t="s">
        <v>371</v>
      </c>
      <c r="O209" s="2" t="s">
        <v>495</v>
      </c>
      <c r="P209" s="2" t="n">
        <v>60</v>
      </c>
      <c r="Q209" s="2" t="s">
        <v>496</v>
      </c>
      <c r="R209" s="11" t="s">
        <v>497</v>
      </c>
      <c r="S209" s="11" t="s">
        <v>498</v>
      </c>
      <c r="T209" s="2" t="s">
        <v>219</v>
      </c>
      <c r="U209" s="2" t="s">
        <v>153</v>
      </c>
      <c r="V209" s="2" t="s">
        <v>570</v>
      </c>
      <c r="W209" s="11" t="s">
        <v>592</v>
      </c>
      <c r="X209" s="2"/>
      <c r="Y209" s="2"/>
      <c r="Z209" s="2"/>
      <c r="AA209" s="2"/>
      <c r="AB209" s="2" t="s">
        <v>572</v>
      </c>
      <c r="AC209" s="2" t="s">
        <v>157</v>
      </c>
      <c r="AD209" s="2" t="s">
        <v>132</v>
      </c>
      <c r="AE209" s="10" t="b">
        <f aca="false">FALSE()</f>
        <v>0</v>
      </c>
      <c r="AF209" s="2" t="s">
        <v>133</v>
      </c>
      <c r="AG209" s="2" t="s">
        <v>158</v>
      </c>
      <c r="AH209" s="2" t="s">
        <v>135</v>
      </c>
      <c r="AI209" s="11" t="s">
        <v>502</v>
      </c>
      <c r="AJ209" s="2" t="s">
        <v>1277</v>
      </c>
      <c r="AK209" s="2"/>
      <c r="AL209" s="2"/>
    </row>
    <row r="210" customFormat="false" ht="90" hidden="false" customHeight="true" outlineLevel="0" collapsed="false">
      <c r="A210" s="2" t="s">
        <v>776</v>
      </c>
      <c r="B210" s="2" t="s">
        <v>569</v>
      </c>
      <c r="C210" s="2" t="s">
        <v>474</v>
      </c>
      <c r="D210" s="9" t="n">
        <v>312</v>
      </c>
      <c r="E210" s="2" t="s">
        <v>491</v>
      </c>
      <c r="F210" s="2" t="s">
        <v>492</v>
      </c>
      <c r="G210" s="2" t="s">
        <v>524</v>
      </c>
      <c r="H210" s="2" t="s">
        <v>368</v>
      </c>
      <c r="I210" s="2" t="s">
        <v>145</v>
      </c>
      <c r="J210" s="2" t="s">
        <v>369</v>
      </c>
      <c r="K210" s="10" t="b">
        <f aca="false">FALSE()</f>
        <v>0</v>
      </c>
      <c r="L210" s="10" t="b">
        <f aca="false">FALSE()</f>
        <v>0</v>
      </c>
      <c r="M210" s="2" t="s">
        <v>494</v>
      </c>
      <c r="N210" s="2" t="s">
        <v>371</v>
      </c>
      <c r="O210" s="2" t="s">
        <v>495</v>
      </c>
      <c r="P210" s="2" t="n">
        <v>60</v>
      </c>
      <c r="Q210" s="2" t="s">
        <v>496</v>
      </c>
      <c r="R210" s="11" t="s">
        <v>497</v>
      </c>
      <c r="S210" s="11" t="s">
        <v>498</v>
      </c>
      <c r="T210" s="2" t="s">
        <v>219</v>
      </c>
      <c r="U210" s="2" t="s">
        <v>153</v>
      </c>
      <c r="V210" s="2" t="s">
        <v>570</v>
      </c>
      <c r="W210" s="11" t="s">
        <v>571</v>
      </c>
      <c r="X210" s="2"/>
      <c r="Y210" s="2"/>
      <c r="Z210" s="2"/>
      <c r="AA210" s="2"/>
      <c r="AB210" s="2" t="s">
        <v>572</v>
      </c>
      <c r="AC210" s="2" t="s">
        <v>157</v>
      </c>
      <c r="AD210" s="2" t="s">
        <v>132</v>
      </c>
      <c r="AE210" s="10" t="b">
        <f aca="false">FALSE()</f>
        <v>0</v>
      </c>
      <c r="AF210" s="2" t="s">
        <v>133</v>
      </c>
      <c r="AG210" s="2" t="s">
        <v>158</v>
      </c>
      <c r="AH210" s="2" t="s">
        <v>135</v>
      </c>
      <c r="AI210" s="11" t="s">
        <v>502</v>
      </c>
      <c r="AJ210" s="2" t="s">
        <v>1277</v>
      </c>
      <c r="AK210" s="2"/>
      <c r="AL210" s="2"/>
    </row>
    <row r="211" customFormat="false" ht="90" hidden="false" customHeight="true" outlineLevel="0" collapsed="false">
      <c r="A211" s="2" t="s">
        <v>1194</v>
      </c>
      <c r="B211" s="2" t="s">
        <v>569</v>
      </c>
      <c r="C211" s="2" t="s">
        <v>474</v>
      </c>
      <c r="D211" s="9" t="n">
        <v>312</v>
      </c>
      <c r="E211" s="2" t="s">
        <v>491</v>
      </c>
      <c r="F211" s="2" t="s">
        <v>492</v>
      </c>
      <c r="G211" s="2" t="s">
        <v>524</v>
      </c>
      <c r="H211" s="2" t="s">
        <v>368</v>
      </c>
      <c r="I211" s="2" t="s">
        <v>145</v>
      </c>
      <c r="J211" s="2" t="s">
        <v>369</v>
      </c>
      <c r="K211" s="10" t="b">
        <f aca="false">FALSE()</f>
        <v>0</v>
      </c>
      <c r="L211" s="10" t="b">
        <f aca="false">TRUE()</f>
        <v>1</v>
      </c>
      <c r="M211" s="2" t="s">
        <v>494</v>
      </c>
      <c r="N211" s="2" t="s">
        <v>371</v>
      </c>
      <c r="O211" s="2" t="s">
        <v>495</v>
      </c>
      <c r="P211" s="2" t="n">
        <v>60</v>
      </c>
      <c r="Q211" s="2" t="s">
        <v>496</v>
      </c>
      <c r="R211" s="11" t="s">
        <v>497</v>
      </c>
      <c r="S211" s="11" t="s">
        <v>498</v>
      </c>
      <c r="T211" s="2" t="s">
        <v>298</v>
      </c>
      <c r="U211" s="2" t="s">
        <v>153</v>
      </c>
      <c r="V211" s="2" t="s">
        <v>570</v>
      </c>
      <c r="W211" s="11" t="s">
        <v>571</v>
      </c>
      <c r="X211" s="2"/>
      <c r="Y211" s="2"/>
      <c r="Z211" s="2"/>
      <c r="AA211" s="2"/>
      <c r="AB211" s="2" t="s">
        <v>572</v>
      </c>
      <c r="AC211" s="2" t="s">
        <v>187</v>
      </c>
      <c r="AD211" s="2" t="s">
        <v>132</v>
      </c>
      <c r="AE211" s="10" t="b">
        <f aca="false">FALSE()</f>
        <v>0</v>
      </c>
      <c r="AF211" s="2" t="s">
        <v>133</v>
      </c>
      <c r="AG211" s="2" t="s">
        <v>158</v>
      </c>
      <c r="AH211" s="2" t="s">
        <v>135</v>
      </c>
      <c r="AI211" s="11" t="s">
        <v>502</v>
      </c>
      <c r="AJ211" s="2" t="s">
        <v>1142</v>
      </c>
      <c r="AK211" s="2" t="s">
        <v>1142</v>
      </c>
      <c r="AL211" s="2" t="s">
        <v>1195</v>
      </c>
    </row>
    <row r="212" customFormat="false" ht="90" hidden="false" customHeight="true" outlineLevel="0" collapsed="false">
      <c r="A212" s="2" t="s">
        <v>778</v>
      </c>
      <c r="B212" s="2" t="s">
        <v>569</v>
      </c>
      <c r="C212" s="2" t="s">
        <v>474</v>
      </c>
      <c r="D212" s="9" t="n">
        <v>308</v>
      </c>
      <c r="E212" s="2" t="s">
        <v>491</v>
      </c>
      <c r="F212" s="2" t="s">
        <v>492</v>
      </c>
      <c r="G212" s="2" t="s">
        <v>524</v>
      </c>
      <c r="H212" s="2" t="s">
        <v>368</v>
      </c>
      <c r="I212" s="2" t="s">
        <v>145</v>
      </c>
      <c r="J212" s="2" t="s">
        <v>369</v>
      </c>
      <c r="K212" s="10" t="b">
        <f aca="false">FALSE()</f>
        <v>0</v>
      </c>
      <c r="L212" s="10" t="b">
        <f aca="false">TRUE()</f>
        <v>1</v>
      </c>
      <c r="M212" s="2" t="s">
        <v>494</v>
      </c>
      <c r="N212" s="2" t="s">
        <v>371</v>
      </c>
      <c r="O212" s="2" t="s">
        <v>495</v>
      </c>
      <c r="P212" s="2" t="n">
        <v>60</v>
      </c>
      <c r="Q212" s="2" t="s">
        <v>496</v>
      </c>
      <c r="R212" s="11" t="s">
        <v>497</v>
      </c>
      <c r="S212" s="11" t="s">
        <v>498</v>
      </c>
      <c r="T212" s="2" t="s">
        <v>219</v>
      </c>
      <c r="U212" s="2" t="s">
        <v>153</v>
      </c>
      <c r="V212" s="2" t="s">
        <v>570</v>
      </c>
      <c r="W212" s="11" t="s">
        <v>571</v>
      </c>
      <c r="X212" s="2"/>
      <c r="Y212" s="2"/>
      <c r="Z212" s="2"/>
      <c r="AA212" s="2"/>
      <c r="AB212" s="2" t="s">
        <v>572</v>
      </c>
      <c r="AC212" s="2" t="s">
        <v>157</v>
      </c>
      <c r="AD212" s="2" t="s">
        <v>132</v>
      </c>
      <c r="AE212" s="10" t="b">
        <f aca="false">FALSE()</f>
        <v>0</v>
      </c>
      <c r="AF212" s="2" t="s">
        <v>133</v>
      </c>
      <c r="AG212" s="2" t="s">
        <v>158</v>
      </c>
      <c r="AH212" s="2" t="s">
        <v>135</v>
      </c>
      <c r="AI212" s="11" t="s">
        <v>502</v>
      </c>
      <c r="AJ212" s="2" t="s">
        <v>1277</v>
      </c>
      <c r="AK212" s="2"/>
      <c r="AL212" s="2"/>
    </row>
    <row r="213" customFormat="false" ht="90" hidden="false" customHeight="true" outlineLevel="0" collapsed="false">
      <c r="A213" s="2" t="s">
        <v>780</v>
      </c>
      <c r="B213" s="2" t="s">
        <v>569</v>
      </c>
      <c r="C213" s="2" t="s">
        <v>474</v>
      </c>
      <c r="D213" s="9" t="n">
        <v>308</v>
      </c>
      <c r="E213" s="2" t="s">
        <v>491</v>
      </c>
      <c r="F213" s="2" t="s">
        <v>492</v>
      </c>
      <c r="G213" s="2" t="s">
        <v>524</v>
      </c>
      <c r="H213" s="2" t="s">
        <v>368</v>
      </c>
      <c r="I213" s="2" t="s">
        <v>145</v>
      </c>
      <c r="J213" s="2" t="s">
        <v>369</v>
      </c>
      <c r="K213" s="10" t="b">
        <f aca="false">FALSE()</f>
        <v>0</v>
      </c>
      <c r="L213" s="10" t="b">
        <f aca="false">FALSE()</f>
        <v>0</v>
      </c>
      <c r="M213" s="2" t="s">
        <v>494</v>
      </c>
      <c r="N213" s="2" t="s">
        <v>371</v>
      </c>
      <c r="O213" s="2" t="s">
        <v>495</v>
      </c>
      <c r="P213" s="2" t="n">
        <v>30</v>
      </c>
      <c r="Q213" s="2" t="s">
        <v>496</v>
      </c>
      <c r="R213" s="11" t="s">
        <v>497</v>
      </c>
      <c r="S213" s="11" t="s">
        <v>498</v>
      </c>
      <c r="T213" s="2" t="s">
        <v>632</v>
      </c>
      <c r="U213" s="2" t="s">
        <v>153</v>
      </c>
      <c r="V213" s="2" t="s">
        <v>606</v>
      </c>
      <c r="W213" s="11" t="s">
        <v>607</v>
      </c>
      <c r="X213" s="2"/>
      <c r="Y213" s="2"/>
      <c r="Z213" s="2"/>
      <c r="AA213" s="2"/>
      <c r="AB213" s="2" t="s">
        <v>608</v>
      </c>
      <c r="AC213" s="2" t="s">
        <v>131</v>
      </c>
      <c r="AD213" s="2" t="s">
        <v>440</v>
      </c>
      <c r="AE213" s="10" t="b">
        <f aca="false">FALSE()</f>
        <v>0</v>
      </c>
      <c r="AF213" s="2" t="s">
        <v>133</v>
      </c>
      <c r="AG213" s="2" t="s">
        <v>158</v>
      </c>
      <c r="AH213" s="2" t="s">
        <v>135</v>
      </c>
      <c r="AI213" s="11" t="s">
        <v>502</v>
      </c>
      <c r="AJ213" s="2" t="s">
        <v>1277</v>
      </c>
      <c r="AK213" s="2"/>
      <c r="AL213" s="2"/>
    </row>
    <row r="214" customFormat="false" ht="90" hidden="false" customHeight="true" outlineLevel="0" collapsed="false">
      <c r="A214" s="2" t="s">
        <v>782</v>
      </c>
      <c r="B214" s="2" t="s">
        <v>569</v>
      </c>
      <c r="C214" s="2" t="s">
        <v>474</v>
      </c>
      <c r="D214" s="9" t="n">
        <v>306</v>
      </c>
      <c r="E214" s="2" t="s">
        <v>491</v>
      </c>
      <c r="F214" s="2" t="s">
        <v>492</v>
      </c>
      <c r="G214" s="2" t="s">
        <v>524</v>
      </c>
      <c r="H214" s="2" t="s">
        <v>368</v>
      </c>
      <c r="I214" s="2" t="s">
        <v>145</v>
      </c>
      <c r="J214" s="2" t="s">
        <v>369</v>
      </c>
      <c r="K214" s="10" t="b">
        <f aca="false">FALSE()</f>
        <v>0</v>
      </c>
      <c r="L214" s="10" t="b">
        <f aca="false">TRUE()</f>
        <v>1</v>
      </c>
      <c r="M214" s="2" t="s">
        <v>494</v>
      </c>
      <c r="N214" s="2" t="s">
        <v>371</v>
      </c>
      <c r="O214" s="2" t="s">
        <v>495</v>
      </c>
      <c r="P214" s="2" t="n">
        <v>60</v>
      </c>
      <c r="Q214" s="2" t="s">
        <v>496</v>
      </c>
      <c r="R214" s="11" t="s">
        <v>497</v>
      </c>
      <c r="S214" s="11" t="s">
        <v>498</v>
      </c>
      <c r="T214" s="2" t="s">
        <v>219</v>
      </c>
      <c r="U214" s="2" t="s">
        <v>153</v>
      </c>
      <c r="V214" s="2" t="s">
        <v>570</v>
      </c>
      <c r="W214" s="11" t="s">
        <v>571</v>
      </c>
      <c r="X214" s="2"/>
      <c r="Y214" s="2"/>
      <c r="Z214" s="2"/>
      <c r="AA214" s="2"/>
      <c r="AB214" s="2" t="s">
        <v>572</v>
      </c>
      <c r="AC214" s="2" t="s">
        <v>157</v>
      </c>
      <c r="AD214" s="2" t="s">
        <v>132</v>
      </c>
      <c r="AE214" s="10" t="b">
        <f aca="false">FALSE()</f>
        <v>0</v>
      </c>
      <c r="AF214" s="2" t="s">
        <v>133</v>
      </c>
      <c r="AG214" s="2" t="s">
        <v>158</v>
      </c>
      <c r="AH214" s="2" t="s">
        <v>135</v>
      </c>
      <c r="AI214" s="11" t="s">
        <v>502</v>
      </c>
      <c r="AJ214" s="2" t="s">
        <v>1277</v>
      </c>
      <c r="AK214" s="2"/>
      <c r="AL214" s="2"/>
    </row>
    <row r="215" customFormat="false" ht="90" hidden="false" customHeight="true" outlineLevel="0" collapsed="false">
      <c r="A215" s="2" t="s">
        <v>784</v>
      </c>
      <c r="B215" s="2" t="s">
        <v>569</v>
      </c>
      <c r="C215" s="2" t="s">
        <v>474</v>
      </c>
      <c r="D215" s="9" t="n">
        <v>305</v>
      </c>
      <c r="E215" s="2" t="s">
        <v>491</v>
      </c>
      <c r="F215" s="2" t="s">
        <v>492</v>
      </c>
      <c r="G215" s="2" t="s">
        <v>524</v>
      </c>
      <c r="H215" s="2" t="s">
        <v>368</v>
      </c>
      <c r="I215" s="2" t="s">
        <v>145</v>
      </c>
      <c r="J215" s="2" t="s">
        <v>369</v>
      </c>
      <c r="K215" s="10" t="b">
        <f aca="false">FALSE()</f>
        <v>0</v>
      </c>
      <c r="L215" s="10" t="b">
        <f aca="false">TRUE()</f>
        <v>1</v>
      </c>
      <c r="M215" s="2" t="s">
        <v>494</v>
      </c>
      <c r="N215" s="2" t="s">
        <v>371</v>
      </c>
      <c r="O215" s="2" t="s">
        <v>495</v>
      </c>
      <c r="P215" s="2" t="n">
        <v>30</v>
      </c>
      <c r="Q215" s="2" t="s">
        <v>496</v>
      </c>
      <c r="R215" s="11" t="s">
        <v>497</v>
      </c>
      <c r="S215" s="11" t="s">
        <v>498</v>
      </c>
      <c r="T215" s="2" t="s">
        <v>632</v>
      </c>
      <c r="U215" s="2" t="s">
        <v>153</v>
      </c>
      <c r="V215" s="2" t="s">
        <v>587</v>
      </c>
      <c r="W215" s="11" t="s">
        <v>645</v>
      </c>
      <c r="X215" s="2"/>
      <c r="Y215" s="2"/>
      <c r="Z215" s="2"/>
      <c r="AA215" s="2"/>
      <c r="AB215" s="2" t="s">
        <v>589</v>
      </c>
      <c r="AC215" s="2" t="s">
        <v>131</v>
      </c>
      <c r="AD215" s="2" t="s">
        <v>354</v>
      </c>
      <c r="AE215" s="10" t="b">
        <f aca="false">FALSE()</f>
        <v>0</v>
      </c>
      <c r="AF215" s="2" t="s">
        <v>133</v>
      </c>
      <c r="AG215" s="2" t="s">
        <v>158</v>
      </c>
      <c r="AH215" s="2" t="s">
        <v>135</v>
      </c>
      <c r="AI215" s="11" t="s">
        <v>502</v>
      </c>
      <c r="AJ215" s="2" t="s">
        <v>1277</v>
      </c>
      <c r="AK215" s="2"/>
      <c r="AL215" s="2"/>
    </row>
    <row r="216" customFormat="false" ht="90" hidden="false" customHeight="true" outlineLevel="0" collapsed="false">
      <c r="A216" s="2" t="s">
        <v>786</v>
      </c>
      <c r="B216" s="2" t="s">
        <v>569</v>
      </c>
      <c r="C216" s="2" t="s">
        <v>474</v>
      </c>
      <c r="D216" s="9" t="n">
        <v>304</v>
      </c>
      <c r="E216" s="2" t="s">
        <v>491</v>
      </c>
      <c r="F216" s="2" t="s">
        <v>492</v>
      </c>
      <c r="G216" s="2" t="s">
        <v>524</v>
      </c>
      <c r="H216" s="2" t="s">
        <v>368</v>
      </c>
      <c r="I216" s="2" t="s">
        <v>145</v>
      </c>
      <c r="J216" s="2" t="s">
        <v>369</v>
      </c>
      <c r="K216" s="10" t="b">
        <f aca="false">FALSE()</f>
        <v>0</v>
      </c>
      <c r="L216" s="10" t="b">
        <f aca="false">FALSE()</f>
        <v>0</v>
      </c>
      <c r="M216" s="2" t="s">
        <v>494</v>
      </c>
      <c r="N216" s="2" t="s">
        <v>371</v>
      </c>
      <c r="O216" s="2" t="s">
        <v>495</v>
      </c>
      <c r="P216" s="2" t="n">
        <v>30</v>
      </c>
      <c r="Q216" s="2" t="s">
        <v>496</v>
      </c>
      <c r="R216" s="11" t="s">
        <v>497</v>
      </c>
      <c r="S216" s="11" t="s">
        <v>498</v>
      </c>
      <c r="T216" s="2" t="s">
        <v>557</v>
      </c>
      <c r="U216" s="2" t="s">
        <v>153</v>
      </c>
      <c r="V216" s="2" t="s">
        <v>606</v>
      </c>
      <c r="W216" s="11" t="s">
        <v>607</v>
      </c>
      <c r="X216" s="2"/>
      <c r="Y216" s="2"/>
      <c r="Z216" s="2"/>
      <c r="AA216" s="2"/>
      <c r="AB216" s="2" t="s">
        <v>608</v>
      </c>
      <c r="AC216" s="2" t="s">
        <v>131</v>
      </c>
      <c r="AD216" s="2" t="s">
        <v>440</v>
      </c>
      <c r="AE216" s="10" t="b">
        <f aca="false">FALSE()</f>
        <v>0</v>
      </c>
      <c r="AF216" s="2" t="s">
        <v>133</v>
      </c>
      <c r="AG216" s="2" t="s">
        <v>158</v>
      </c>
      <c r="AH216" s="2" t="s">
        <v>135</v>
      </c>
      <c r="AI216" s="11" t="s">
        <v>502</v>
      </c>
      <c r="AJ216" s="2" t="s">
        <v>1277</v>
      </c>
      <c r="AK216" s="2"/>
      <c r="AL216" s="2"/>
    </row>
    <row r="217" customFormat="false" ht="90" hidden="false" customHeight="true" outlineLevel="0" collapsed="false">
      <c r="A217" s="2" t="s">
        <v>788</v>
      </c>
      <c r="B217" s="2" t="s">
        <v>569</v>
      </c>
      <c r="C217" s="2" t="s">
        <v>474</v>
      </c>
      <c r="D217" s="9" t="n">
        <v>303</v>
      </c>
      <c r="E217" s="2" t="s">
        <v>491</v>
      </c>
      <c r="F217" s="2" t="s">
        <v>492</v>
      </c>
      <c r="G217" s="2" t="s">
        <v>524</v>
      </c>
      <c r="H217" s="2" t="s">
        <v>368</v>
      </c>
      <c r="I217" s="2" t="s">
        <v>145</v>
      </c>
      <c r="J217" s="2" t="s">
        <v>369</v>
      </c>
      <c r="K217" s="10" t="b">
        <f aca="false">FALSE()</f>
        <v>0</v>
      </c>
      <c r="L217" s="10" t="b">
        <f aca="false">FALSE()</f>
        <v>0</v>
      </c>
      <c r="M217" s="2" t="s">
        <v>494</v>
      </c>
      <c r="N217" s="2" t="s">
        <v>371</v>
      </c>
      <c r="O217" s="2" t="s">
        <v>495</v>
      </c>
      <c r="P217" s="2" t="n">
        <v>60</v>
      </c>
      <c r="Q217" s="2" t="s">
        <v>496</v>
      </c>
      <c r="R217" s="11" t="s">
        <v>497</v>
      </c>
      <c r="S217" s="11" t="s">
        <v>498</v>
      </c>
      <c r="T217" s="2" t="s">
        <v>219</v>
      </c>
      <c r="U217" s="2" t="s">
        <v>153</v>
      </c>
      <c r="V217" s="2" t="s">
        <v>570</v>
      </c>
      <c r="W217" s="11" t="s">
        <v>592</v>
      </c>
      <c r="X217" s="2"/>
      <c r="Y217" s="2"/>
      <c r="Z217" s="2"/>
      <c r="AA217" s="2"/>
      <c r="AB217" s="2" t="s">
        <v>572</v>
      </c>
      <c r="AC217" s="2" t="s">
        <v>157</v>
      </c>
      <c r="AD217" s="2" t="s">
        <v>132</v>
      </c>
      <c r="AE217" s="10" t="b">
        <f aca="false">FALSE()</f>
        <v>0</v>
      </c>
      <c r="AF217" s="2" t="s">
        <v>133</v>
      </c>
      <c r="AG217" s="2" t="s">
        <v>158</v>
      </c>
      <c r="AH217" s="2" t="s">
        <v>135</v>
      </c>
      <c r="AI217" s="11" t="s">
        <v>502</v>
      </c>
      <c r="AJ217" s="2" t="s">
        <v>1277</v>
      </c>
      <c r="AK217" s="2"/>
      <c r="AL217" s="2"/>
    </row>
    <row r="218" customFormat="false" ht="90" hidden="false" customHeight="true" outlineLevel="0" collapsed="false">
      <c r="A218" s="2" t="s">
        <v>790</v>
      </c>
      <c r="B218" s="2" t="s">
        <v>569</v>
      </c>
      <c r="C218" s="2" t="s">
        <v>474</v>
      </c>
      <c r="D218" s="9" t="n">
        <v>298</v>
      </c>
      <c r="E218" s="2" t="s">
        <v>491</v>
      </c>
      <c r="F218" s="2" t="s">
        <v>492</v>
      </c>
      <c r="G218" s="2" t="s">
        <v>524</v>
      </c>
      <c r="H218" s="2" t="s">
        <v>368</v>
      </c>
      <c r="I218" s="2" t="s">
        <v>145</v>
      </c>
      <c r="J218" s="2" t="s">
        <v>369</v>
      </c>
      <c r="K218" s="10" t="b">
        <f aca="false">FALSE()</f>
        <v>0</v>
      </c>
      <c r="L218" s="10" t="b">
        <f aca="false">TRUE()</f>
        <v>1</v>
      </c>
      <c r="M218" s="2" t="s">
        <v>494</v>
      </c>
      <c r="N218" s="2" t="s">
        <v>371</v>
      </c>
      <c r="O218" s="2" t="s">
        <v>495</v>
      </c>
      <c r="P218" s="2" t="n">
        <v>60</v>
      </c>
      <c r="Q218" s="2" t="s">
        <v>496</v>
      </c>
      <c r="R218" s="11" t="s">
        <v>497</v>
      </c>
      <c r="S218" s="11" t="s">
        <v>498</v>
      </c>
      <c r="T218" s="2"/>
      <c r="U218" s="2" t="s">
        <v>153</v>
      </c>
      <c r="V218" s="2" t="s">
        <v>570</v>
      </c>
      <c r="W218" s="11" t="s">
        <v>571</v>
      </c>
      <c r="X218" s="2"/>
      <c r="Y218" s="2"/>
      <c r="Z218" s="2"/>
      <c r="AA218" s="2"/>
      <c r="AB218" s="2" t="s">
        <v>572</v>
      </c>
      <c r="AC218" s="2" t="s">
        <v>187</v>
      </c>
      <c r="AD218" s="2" t="s">
        <v>132</v>
      </c>
      <c r="AE218" s="10" t="b">
        <f aca="false">FALSE()</f>
        <v>0</v>
      </c>
      <c r="AF218" s="2" t="s">
        <v>133</v>
      </c>
      <c r="AG218" s="2" t="s">
        <v>158</v>
      </c>
      <c r="AH218" s="2" t="s">
        <v>135</v>
      </c>
      <c r="AI218" s="11" t="s">
        <v>502</v>
      </c>
      <c r="AJ218" s="2" t="s">
        <v>1277</v>
      </c>
      <c r="AK218" s="2"/>
      <c r="AL218" s="2"/>
    </row>
    <row r="219" customFormat="false" ht="90" hidden="false" customHeight="true" outlineLevel="0" collapsed="false">
      <c r="A219" s="2" t="s">
        <v>792</v>
      </c>
      <c r="B219" s="2" t="s">
        <v>569</v>
      </c>
      <c r="C219" s="2" t="s">
        <v>474</v>
      </c>
      <c r="D219" s="9" t="n">
        <v>298</v>
      </c>
      <c r="E219" s="2" t="s">
        <v>491</v>
      </c>
      <c r="F219" s="2" t="s">
        <v>492</v>
      </c>
      <c r="G219" s="2" t="s">
        <v>524</v>
      </c>
      <c r="H219" s="2" t="s">
        <v>368</v>
      </c>
      <c r="I219" s="2" t="s">
        <v>145</v>
      </c>
      <c r="J219" s="2" t="s">
        <v>369</v>
      </c>
      <c r="K219" s="10" t="b">
        <f aca="false">FALSE()</f>
        <v>0</v>
      </c>
      <c r="L219" s="10" t="b">
        <f aca="false">FALSE()</f>
        <v>0</v>
      </c>
      <c r="M219" s="2" t="s">
        <v>494</v>
      </c>
      <c r="N219" s="2" t="s">
        <v>371</v>
      </c>
      <c r="O219" s="2" t="s">
        <v>495</v>
      </c>
      <c r="P219" s="2" t="n">
        <v>60</v>
      </c>
      <c r="Q219" s="2" t="s">
        <v>496</v>
      </c>
      <c r="R219" s="11" t="s">
        <v>497</v>
      </c>
      <c r="S219" s="11" t="s">
        <v>498</v>
      </c>
      <c r="T219" s="2" t="s">
        <v>219</v>
      </c>
      <c r="U219" s="2" t="s">
        <v>153</v>
      </c>
      <c r="V219" s="2" t="s">
        <v>570</v>
      </c>
      <c r="W219" s="11" t="s">
        <v>571</v>
      </c>
      <c r="X219" s="2"/>
      <c r="Y219" s="2"/>
      <c r="Z219" s="2"/>
      <c r="AA219" s="2"/>
      <c r="AB219" s="2" t="s">
        <v>572</v>
      </c>
      <c r="AC219" s="2" t="s">
        <v>157</v>
      </c>
      <c r="AD219" s="2" t="s">
        <v>132</v>
      </c>
      <c r="AE219" s="10" t="b">
        <f aca="false">FALSE()</f>
        <v>0</v>
      </c>
      <c r="AF219" s="2" t="s">
        <v>133</v>
      </c>
      <c r="AG219" s="2" t="s">
        <v>158</v>
      </c>
      <c r="AH219" s="2" t="s">
        <v>135</v>
      </c>
      <c r="AI219" s="11" t="s">
        <v>502</v>
      </c>
      <c r="AJ219" s="2" t="s">
        <v>1277</v>
      </c>
      <c r="AK219" s="2"/>
      <c r="AL219" s="2"/>
    </row>
    <row r="220" customFormat="false" ht="90" hidden="false" customHeight="true" outlineLevel="0" collapsed="false">
      <c r="A220" s="2" t="s">
        <v>794</v>
      </c>
      <c r="B220" s="2" t="s">
        <v>569</v>
      </c>
      <c r="C220" s="2" t="s">
        <v>474</v>
      </c>
      <c r="D220" s="9" t="n">
        <v>296</v>
      </c>
      <c r="E220" s="2" t="s">
        <v>491</v>
      </c>
      <c r="F220" s="2" t="s">
        <v>492</v>
      </c>
      <c r="G220" s="2" t="s">
        <v>524</v>
      </c>
      <c r="H220" s="2" t="s">
        <v>368</v>
      </c>
      <c r="I220" s="2" t="s">
        <v>145</v>
      </c>
      <c r="J220" s="2" t="s">
        <v>369</v>
      </c>
      <c r="K220" s="10" t="b">
        <f aca="false">FALSE()</f>
        <v>0</v>
      </c>
      <c r="L220" s="10" t="b">
        <f aca="false">TRUE()</f>
        <v>1</v>
      </c>
      <c r="M220" s="2" t="s">
        <v>494</v>
      </c>
      <c r="N220" s="2" t="s">
        <v>371</v>
      </c>
      <c r="O220" s="2" t="s">
        <v>495</v>
      </c>
      <c r="P220" s="2" t="n">
        <v>60</v>
      </c>
      <c r="Q220" s="2" t="s">
        <v>496</v>
      </c>
      <c r="R220" s="11" t="s">
        <v>497</v>
      </c>
      <c r="S220" s="11" t="s">
        <v>498</v>
      </c>
      <c r="T220" s="2" t="s">
        <v>219</v>
      </c>
      <c r="U220" s="2" t="s">
        <v>153</v>
      </c>
      <c r="V220" s="2" t="s">
        <v>570</v>
      </c>
      <c r="W220" s="11" t="s">
        <v>571</v>
      </c>
      <c r="X220" s="2"/>
      <c r="Y220" s="2"/>
      <c r="Z220" s="2"/>
      <c r="AA220" s="2"/>
      <c r="AB220" s="2" t="s">
        <v>572</v>
      </c>
      <c r="AC220" s="2" t="s">
        <v>157</v>
      </c>
      <c r="AD220" s="2" t="s">
        <v>132</v>
      </c>
      <c r="AE220" s="10" t="b">
        <f aca="false">FALSE()</f>
        <v>0</v>
      </c>
      <c r="AF220" s="2" t="s">
        <v>133</v>
      </c>
      <c r="AG220" s="2" t="s">
        <v>158</v>
      </c>
      <c r="AH220" s="2" t="s">
        <v>135</v>
      </c>
      <c r="AI220" s="11" t="s">
        <v>502</v>
      </c>
      <c r="AJ220" s="2" t="s">
        <v>1277</v>
      </c>
      <c r="AK220" s="2"/>
      <c r="AL220" s="2"/>
    </row>
    <row r="221" customFormat="false" ht="90" hidden="false" customHeight="true" outlineLevel="0" collapsed="false">
      <c r="A221" s="2" t="s">
        <v>796</v>
      </c>
      <c r="B221" s="2" t="s">
        <v>569</v>
      </c>
      <c r="C221" s="2" t="s">
        <v>474</v>
      </c>
      <c r="D221" s="9" t="n">
        <v>294</v>
      </c>
      <c r="E221" s="2" t="s">
        <v>491</v>
      </c>
      <c r="F221" s="2" t="s">
        <v>492</v>
      </c>
      <c r="G221" s="2" t="s">
        <v>524</v>
      </c>
      <c r="H221" s="2" t="s">
        <v>368</v>
      </c>
      <c r="I221" s="2" t="s">
        <v>145</v>
      </c>
      <c r="J221" s="2" t="s">
        <v>369</v>
      </c>
      <c r="K221" s="10" t="b">
        <f aca="false">FALSE()</f>
        <v>0</v>
      </c>
      <c r="L221" s="10" t="b">
        <f aca="false">FALSE()</f>
        <v>0</v>
      </c>
      <c r="M221" s="2" t="s">
        <v>494</v>
      </c>
      <c r="N221" s="2" t="s">
        <v>371</v>
      </c>
      <c r="O221" s="2" t="s">
        <v>495</v>
      </c>
      <c r="P221" s="2" t="n">
        <v>60</v>
      </c>
      <c r="Q221" s="2" t="s">
        <v>496</v>
      </c>
      <c r="R221" s="11" t="s">
        <v>497</v>
      </c>
      <c r="S221" s="11" t="s">
        <v>498</v>
      </c>
      <c r="T221" s="2" t="s">
        <v>219</v>
      </c>
      <c r="U221" s="2" t="s">
        <v>153</v>
      </c>
      <c r="V221" s="2" t="s">
        <v>570</v>
      </c>
      <c r="W221" s="11" t="s">
        <v>571</v>
      </c>
      <c r="X221" s="2"/>
      <c r="Y221" s="2"/>
      <c r="Z221" s="2"/>
      <c r="AA221" s="2"/>
      <c r="AB221" s="2" t="s">
        <v>572</v>
      </c>
      <c r="AC221" s="2" t="s">
        <v>157</v>
      </c>
      <c r="AD221" s="2" t="s">
        <v>132</v>
      </c>
      <c r="AE221" s="10" t="b">
        <f aca="false">FALSE()</f>
        <v>0</v>
      </c>
      <c r="AF221" s="2" t="s">
        <v>133</v>
      </c>
      <c r="AG221" s="2" t="s">
        <v>158</v>
      </c>
      <c r="AH221" s="2" t="s">
        <v>135</v>
      </c>
      <c r="AI221" s="11" t="s">
        <v>502</v>
      </c>
      <c r="AJ221" s="2" t="s">
        <v>1277</v>
      </c>
      <c r="AK221" s="2"/>
      <c r="AL221" s="2"/>
    </row>
    <row r="222" customFormat="false" ht="90" hidden="false" customHeight="true" outlineLevel="0" collapsed="false">
      <c r="A222" s="2" t="s">
        <v>1226</v>
      </c>
      <c r="B222" s="2" t="s">
        <v>569</v>
      </c>
      <c r="C222" s="2" t="s">
        <v>474</v>
      </c>
      <c r="D222" s="9" t="n">
        <v>294</v>
      </c>
      <c r="E222" s="2" t="s">
        <v>491</v>
      </c>
      <c r="F222" s="2" t="s">
        <v>492</v>
      </c>
      <c r="G222" s="2" t="s">
        <v>524</v>
      </c>
      <c r="H222" s="2" t="s">
        <v>368</v>
      </c>
      <c r="I222" s="2" t="s">
        <v>145</v>
      </c>
      <c r="J222" s="2" t="s">
        <v>369</v>
      </c>
      <c r="K222" s="10" t="b">
        <f aca="false">FALSE()</f>
        <v>0</v>
      </c>
      <c r="L222" s="10" t="b">
        <f aca="false">FALSE()</f>
        <v>0</v>
      </c>
      <c r="M222" s="2" t="s">
        <v>494</v>
      </c>
      <c r="N222" s="2" t="s">
        <v>371</v>
      </c>
      <c r="O222" s="2" t="s">
        <v>495</v>
      </c>
      <c r="P222" s="2" t="n">
        <v>60</v>
      </c>
      <c r="Q222" s="2" t="s">
        <v>496</v>
      </c>
      <c r="R222" s="11" t="s">
        <v>497</v>
      </c>
      <c r="S222" s="11" t="s">
        <v>498</v>
      </c>
      <c r="T222" s="2" t="s">
        <v>219</v>
      </c>
      <c r="U222" s="2" t="s">
        <v>153</v>
      </c>
      <c r="V222" s="2" t="s">
        <v>570</v>
      </c>
      <c r="W222" s="11" t="s">
        <v>571</v>
      </c>
      <c r="X222" s="2"/>
      <c r="Y222" s="2"/>
      <c r="Z222" s="2"/>
      <c r="AA222" s="2"/>
      <c r="AB222" s="2" t="s">
        <v>572</v>
      </c>
      <c r="AC222" s="2" t="s">
        <v>157</v>
      </c>
      <c r="AD222" s="2" t="s">
        <v>132</v>
      </c>
      <c r="AE222" s="10" t="b">
        <f aca="false">FALSE()</f>
        <v>0</v>
      </c>
      <c r="AF222" s="2" t="s">
        <v>133</v>
      </c>
      <c r="AG222" s="2" t="s">
        <v>158</v>
      </c>
      <c r="AH222" s="2" t="s">
        <v>135</v>
      </c>
      <c r="AI222" s="11" t="s">
        <v>502</v>
      </c>
      <c r="AJ222" s="2" t="s">
        <v>1142</v>
      </c>
      <c r="AK222" s="2" t="s">
        <v>1142</v>
      </c>
      <c r="AL222" s="2" t="s">
        <v>1227</v>
      </c>
    </row>
    <row r="223" customFormat="false" ht="90" hidden="false" customHeight="true" outlineLevel="0" collapsed="false">
      <c r="A223" s="2" t="s">
        <v>798</v>
      </c>
      <c r="B223" s="2" t="s">
        <v>569</v>
      </c>
      <c r="C223" s="2" t="s">
        <v>474</v>
      </c>
      <c r="D223" s="9" t="n">
        <v>291</v>
      </c>
      <c r="E223" s="2" t="s">
        <v>491</v>
      </c>
      <c r="F223" s="2" t="s">
        <v>492</v>
      </c>
      <c r="G223" s="2" t="s">
        <v>524</v>
      </c>
      <c r="H223" s="2" t="s">
        <v>368</v>
      </c>
      <c r="I223" s="2" t="s">
        <v>145</v>
      </c>
      <c r="J223" s="2" t="s">
        <v>369</v>
      </c>
      <c r="K223" s="10" t="b">
        <f aca="false">FALSE()</f>
        <v>0</v>
      </c>
      <c r="L223" s="10" t="b">
        <f aca="false">TRUE()</f>
        <v>1</v>
      </c>
      <c r="M223" s="2" t="s">
        <v>494</v>
      </c>
      <c r="N223" s="2" t="s">
        <v>371</v>
      </c>
      <c r="O223" s="2" t="s">
        <v>495</v>
      </c>
      <c r="P223" s="2" t="n">
        <v>60</v>
      </c>
      <c r="Q223" s="2" t="s">
        <v>496</v>
      </c>
      <c r="R223" s="11" t="s">
        <v>497</v>
      </c>
      <c r="S223" s="11" t="s">
        <v>498</v>
      </c>
      <c r="T223" s="2" t="s">
        <v>219</v>
      </c>
      <c r="U223" s="2" t="s">
        <v>153</v>
      </c>
      <c r="V223" s="2" t="s">
        <v>570</v>
      </c>
      <c r="W223" s="11" t="s">
        <v>571</v>
      </c>
      <c r="X223" s="2"/>
      <c r="Y223" s="2"/>
      <c r="Z223" s="2"/>
      <c r="AA223" s="2"/>
      <c r="AB223" s="2" t="s">
        <v>572</v>
      </c>
      <c r="AC223" s="2" t="s">
        <v>157</v>
      </c>
      <c r="AD223" s="2" t="s">
        <v>132</v>
      </c>
      <c r="AE223" s="10" t="b">
        <f aca="false">FALSE()</f>
        <v>0</v>
      </c>
      <c r="AF223" s="2" t="s">
        <v>133</v>
      </c>
      <c r="AG223" s="2" t="s">
        <v>158</v>
      </c>
      <c r="AH223" s="2" t="s">
        <v>135</v>
      </c>
      <c r="AI223" s="11" t="s">
        <v>502</v>
      </c>
      <c r="AJ223" s="2" t="s">
        <v>1277</v>
      </c>
      <c r="AK223" s="2"/>
      <c r="AL223" s="2"/>
    </row>
    <row r="224" customFormat="false" ht="90" hidden="false" customHeight="true" outlineLevel="0" collapsed="false">
      <c r="A224" s="2" t="s">
        <v>800</v>
      </c>
      <c r="B224" s="2" t="s">
        <v>569</v>
      </c>
      <c r="C224" s="2" t="s">
        <v>474</v>
      </c>
      <c r="D224" s="9" t="n">
        <v>289</v>
      </c>
      <c r="E224" s="2" t="s">
        <v>491</v>
      </c>
      <c r="F224" s="2" t="s">
        <v>492</v>
      </c>
      <c r="G224" s="2" t="s">
        <v>524</v>
      </c>
      <c r="H224" s="2" t="s">
        <v>368</v>
      </c>
      <c r="I224" s="2" t="s">
        <v>145</v>
      </c>
      <c r="J224" s="2" t="s">
        <v>369</v>
      </c>
      <c r="K224" s="10" t="b">
        <f aca="false">FALSE()</f>
        <v>0</v>
      </c>
      <c r="L224" s="10" t="b">
        <f aca="false">TRUE()</f>
        <v>1</v>
      </c>
      <c r="M224" s="2" t="s">
        <v>494</v>
      </c>
      <c r="N224" s="2" t="s">
        <v>371</v>
      </c>
      <c r="O224" s="2" t="s">
        <v>495</v>
      </c>
      <c r="P224" s="2" t="n">
        <v>60</v>
      </c>
      <c r="Q224" s="2" t="s">
        <v>496</v>
      </c>
      <c r="R224" s="11" t="s">
        <v>497</v>
      </c>
      <c r="S224" s="11" t="s">
        <v>498</v>
      </c>
      <c r="T224" s="2" t="s">
        <v>219</v>
      </c>
      <c r="U224" s="2" t="s">
        <v>153</v>
      </c>
      <c r="V224" s="2" t="s">
        <v>570</v>
      </c>
      <c r="W224" s="11" t="s">
        <v>571</v>
      </c>
      <c r="X224" s="2"/>
      <c r="Y224" s="2"/>
      <c r="Z224" s="2"/>
      <c r="AA224" s="2"/>
      <c r="AB224" s="2" t="s">
        <v>572</v>
      </c>
      <c r="AC224" s="2" t="s">
        <v>157</v>
      </c>
      <c r="AD224" s="2" t="s">
        <v>132</v>
      </c>
      <c r="AE224" s="10" t="b">
        <f aca="false">FALSE()</f>
        <v>0</v>
      </c>
      <c r="AF224" s="2" t="s">
        <v>133</v>
      </c>
      <c r="AG224" s="2" t="s">
        <v>158</v>
      </c>
      <c r="AH224" s="2" t="s">
        <v>135</v>
      </c>
      <c r="AI224" s="11" t="s">
        <v>502</v>
      </c>
      <c r="AJ224" s="2" t="s">
        <v>1277</v>
      </c>
      <c r="AK224" s="2"/>
      <c r="AL224" s="2"/>
    </row>
    <row r="225" customFormat="false" ht="90" hidden="false" customHeight="true" outlineLevel="0" collapsed="false">
      <c r="A225" s="2" t="s">
        <v>1196</v>
      </c>
      <c r="B225" s="2" t="s">
        <v>569</v>
      </c>
      <c r="C225" s="2" t="s">
        <v>474</v>
      </c>
      <c r="D225" s="9" t="n">
        <v>289</v>
      </c>
      <c r="E225" s="2" t="s">
        <v>491</v>
      </c>
      <c r="F225" s="2" t="s">
        <v>492</v>
      </c>
      <c r="G225" s="2" t="s">
        <v>524</v>
      </c>
      <c r="H225" s="2" t="s">
        <v>368</v>
      </c>
      <c r="I225" s="2" t="s">
        <v>145</v>
      </c>
      <c r="J225" s="2" t="s">
        <v>369</v>
      </c>
      <c r="K225" s="10" t="b">
        <f aca="false">FALSE()</f>
        <v>0</v>
      </c>
      <c r="L225" s="10" t="b">
        <f aca="false">TRUE()</f>
        <v>1</v>
      </c>
      <c r="M225" s="2" t="s">
        <v>494</v>
      </c>
      <c r="N225" s="2" t="s">
        <v>371</v>
      </c>
      <c r="O225" s="2" t="s">
        <v>495</v>
      </c>
      <c r="P225" s="2" t="n">
        <v>60</v>
      </c>
      <c r="Q225" s="2" t="s">
        <v>496</v>
      </c>
      <c r="R225" s="11" t="s">
        <v>497</v>
      </c>
      <c r="S225" s="11" t="s">
        <v>498</v>
      </c>
      <c r="T225" s="2" t="s">
        <v>219</v>
      </c>
      <c r="U225" s="2" t="s">
        <v>153</v>
      </c>
      <c r="V225" s="2" t="s">
        <v>570</v>
      </c>
      <c r="W225" s="11" t="s">
        <v>571</v>
      </c>
      <c r="X225" s="2"/>
      <c r="Y225" s="2"/>
      <c r="Z225" s="2"/>
      <c r="AA225" s="2"/>
      <c r="AB225" s="2" t="s">
        <v>572</v>
      </c>
      <c r="AC225" s="2" t="s">
        <v>157</v>
      </c>
      <c r="AD225" s="2" t="s">
        <v>132</v>
      </c>
      <c r="AE225" s="10" t="b">
        <f aca="false">FALSE()</f>
        <v>0</v>
      </c>
      <c r="AF225" s="2" t="s">
        <v>133</v>
      </c>
      <c r="AG225" s="2" t="s">
        <v>158</v>
      </c>
      <c r="AH225" s="2" t="s">
        <v>135</v>
      </c>
      <c r="AI225" s="11" t="s">
        <v>502</v>
      </c>
      <c r="AJ225" s="2" t="s">
        <v>1142</v>
      </c>
      <c r="AK225" s="2" t="s">
        <v>1142</v>
      </c>
      <c r="AL225" s="2" t="s">
        <v>1197</v>
      </c>
    </row>
    <row r="226" customFormat="false" ht="90" hidden="false" customHeight="true" outlineLevel="0" collapsed="false">
      <c r="A226" s="2" t="s">
        <v>802</v>
      </c>
      <c r="B226" s="2" t="s">
        <v>569</v>
      </c>
      <c r="C226" s="2" t="s">
        <v>474</v>
      </c>
      <c r="D226" s="9" t="n">
        <v>284</v>
      </c>
      <c r="E226" s="2" t="s">
        <v>491</v>
      </c>
      <c r="F226" s="2" t="s">
        <v>492</v>
      </c>
      <c r="G226" s="2" t="s">
        <v>524</v>
      </c>
      <c r="H226" s="2" t="s">
        <v>368</v>
      </c>
      <c r="I226" s="2" t="s">
        <v>145</v>
      </c>
      <c r="J226" s="2" t="s">
        <v>369</v>
      </c>
      <c r="K226" s="10" t="b">
        <f aca="false">FALSE()</f>
        <v>0</v>
      </c>
      <c r="L226" s="10" t="b">
        <f aca="false">TRUE()</f>
        <v>1</v>
      </c>
      <c r="M226" s="2" t="s">
        <v>494</v>
      </c>
      <c r="N226" s="2" t="s">
        <v>371</v>
      </c>
      <c r="O226" s="2" t="s">
        <v>495</v>
      </c>
      <c r="P226" s="2" t="n">
        <v>60</v>
      </c>
      <c r="Q226" s="2" t="s">
        <v>496</v>
      </c>
      <c r="R226" s="11" t="s">
        <v>497</v>
      </c>
      <c r="S226" s="11" t="s">
        <v>498</v>
      </c>
      <c r="T226" s="2" t="s">
        <v>219</v>
      </c>
      <c r="U226" s="2" t="s">
        <v>153</v>
      </c>
      <c r="V226" s="2" t="s">
        <v>570</v>
      </c>
      <c r="W226" s="11" t="s">
        <v>571</v>
      </c>
      <c r="X226" s="2"/>
      <c r="Y226" s="2"/>
      <c r="Z226" s="2"/>
      <c r="AA226" s="2"/>
      <c r="AB226" s="2" t="s">
        <v>572</v>
      </c>
      <c r="AC226" s="2" t="s">
        <v>157</v>
      </c>
      <c r="AD226" s="2" t="s">
        <v>132</v>
      </c>
      <c r="AE226" s="10" t="b">
        <f aca="false">FALSE()</f>
        <v>0</v>
      </c>
      <c r="AF226" s="2" t="s">
        <v>133</v>
      </c>
      <c r="AG226" s="2" t="s">
        <v>158</v>
      </c>
      <c r="AH226" s="2" t="s">
        <v>135</v>
      </c>
      <c r="AI226" s="11" t="s">
        <v>502</v>
      </c>
      <c r="AJ226" s="2" t="s">
        <v>1277</v>
      </c>
      <c r="AK226" s="2"/>
      <c r="AL226" s="2"/>
    </row>
    <row r="227" customFormat="false" ht="90" hidden="false" customHeight="true" outlineLevel="0" collapsed="false">
      <c r="A227" s="2" t="s">
        <v>804</v>
      </c>
      <c r="B227" s="2" t="s">
        <v>569</v>
      </c>
      <c r="C227" s="2" t="s">
        <v>474</v>
      </c>
      <c r="D227" s="9" t="n">
        <v>282</v>
      </c>
      <c r="E227" s="2" t="s">
        <v>491</v>
      </c>
      <c r="F227" s="2" t="s">
        <v>492</v>
      </c>
      <c r="G227" s="2" t="s">
        <v>524</v>
      </c>
      <c r="H227" s="2" t="s">
        <v>368</v>
      </c>
      <c r="I227" s="2" t="s">
        <v>145</v>
      </c>
      <c r="J227" s="2" t="s">
        <v>369</v>
      </c>
      <c r="K227" s="10" t="b">
        <f aca="false">FALSE()</f>
        <v>0</v>
      </c>
      <c r="L227" s="10" t="b">
        <f aca="false">TRUE()</f>
        <v>1</v>
      </c>
      <c r="M227" s="2" t="s">
        <v>494</v>
      </c>
      <c r="N227" s="2" t="s">
        <v>371</v>
      </c>
      <c r="O227" s="2" t="s">
        <v>495</v>
      </c>
      <c r="P227" s="2" t="n">
        <v>60</v>
      </c>
      <c r="Q227" s="2" t="s">
        <v>496</v>
      </c>
      <c r="R227" s="11" t="s">
        <v>497</v>
      </c>
      <c r="S227" s="11" t="s">
        <v>498</v>
      </c>
      <c r="T227" s="2" t="s">
        <v>219</v>
      </c>
      <c r="U227" s="2" t="s">
        <v>153</v>
      </c>
      <c r="V227" s="2" t="s">
        <v>570</v>
      </c>
      <c r="W227" s="11" t="s">
        <v>571</v>
      </c>
      <c r="X227" s="2"/>
      <c r="Y227" s="2"/>
      <c r="Z227" s="2"/>
      <c r="AA227" s="2"/>
      <c r="AB227" s="2" t="s">
        <v>572</v>
      </c>
      <c r="AC227" s="2" t="s">
        <v>157</v>
      </c>
      <c r="AD227" s="2" t="s">
        <v>132</v>
      </c>
      <c r="AE227" s="10" t="b">
        <f aca="false">FALSE()</f>
        <v>0</v>
      </c>
      <c r="AF227" s="2" t="s">
        <v>133</v>
      </c>
      <c r="AG227" s="2" t="s">
        <v>158</v>
      </c>
      <c r="AH227" s="2" t="s">
        <v>135</v>
      </c>
      <c r="AI227" s="11" t="s">
        <v>502</v>
      </c>
      <c r="AJ227" s="2" t="s">
        <v>1277</v>
      </c>
      <c r="AK227" s="2"/>
      <c r="AL227" s="2"/>
    </row>
    <row r="228" customFormat="false" ht="90" hidden="false" customHeight="true" outlineLevel="0" collapsed="false">
      <c r="A228" s="2" t="s">
        <v>806</v>
      </c>
      <c r="B228" s="2" t="s">
        <v>569</v>
      </c>
      <c r="C228" s="2" t="s">
        <v>474</v>
      </c>
      <c r="D228" s="9" t="n">
        <v>281</v>
      </c>
      <c r="E228" s="2" t="s">
        <v>491</v>
      </c>
      <c r="F228" s="2" t="s">
        <v>492</v>
      </c>
      <c r="G228" s="2" t="s">
        <v>524</v>
      </c>
      <c r="H228" s="2" t="s">
        <v>368</v>
      </c>
      <c r="I228" s="2" t="s">
        <v>145</v>
      </c>
      <c r="J228" s="2" t="s">
        <v>369</v>
      </c>
      <c r="K228" s="10" t="b">
        <f aca="false">FALSE()</f>
        <v>0</v>
      </c>
      <c r="L228" s="10" t="b">
        <f aca="false">FALSE()</f>
        <v>0</v>
      </c>
      <c r="M228" s="2" t="s">
        <v>494</v>
      </c>
      <c r="N228" s="2" t="s">
        <v>371</v>
      </c>
      <c r="O228" s="2" t="s">
        <v>495</v>
      </c>
      <c r="P228" s="2" t="n">
        <v>60</v>
      </c>
      <c r="Q228" s="2" t="s">
        <v>496</v>
      </c>
      <c r="R228" s="11" t="s">
        <v>497</v>
      </c>
      <c r="S228" s="11" t="s">
        <v>498</v>
      </c>
      <c r="T228" s="2" t="s">
        <v>219</v>
      </c>
      <c r="U228" s="2" t="s">
        <v>153</v>
      </c>
      <c r="V228" s="2" t="s">
        <v>570</v>
      </c>
      <c r="W228" s="11" t="s">
        <v>592</v>
      </c>
      <c r="X228" s="2"/>
      <c r="Y228" s="2"/>
      <c r="Z228" s="2"/>
      <c r="AA228" s="2"/>
      <c r="AB228" s="2" t="s">
        <v>572</v>
      </c>
      <c r="AC228" s="2" t="s">
        <v>157</v>
      </c>
      <c r="AD228" s="2" t="s">
        <v>132</v>
      </c>
      <c r="AE228" s="10" t="b">
        <f aca="false">FALSE()</f>
        <v>0</v>
      </c>
      <c r="AF228" s="2" t="s">
        <v>133</v>
      </c>
      <c r="AG228" s="2" t="s">
        <v>158</v>
      </c>
      <c r="AH228" s="2" t="s">
        <v>135</v>
      </c>
      <c r="AI228" s="11" t="s">
        <v>502</v>
      </c>
      <c r="AJ228" s="2" t="s">
        <v>1277</v>
      </c>
      <c r="AK228" s="2"/>
      <c r="AL228" s="2"/>
    </row>
    <row r="229" customFormat="false" ht="90" hidden="false" customHeight="true" outlineLevel="0" collapsed="false">
      <c r="A229" s="2" t="s">
        <v>808</v>
      </c>
      <c r="B229" s="2" t="s">
        <v>569</v>
      </c>
      <c r="C229" s="2" t="s">
        <v>474</v>
      </c>
      <c r="D229" s="9" t="n">
        <v>279</v>
      </c>
      <c r="E229" s="2" t="s">
        <v>491</v>
      </c>
      <c r="F229" s="2" t="s">
        <v>492</v>
      </c>
      <c r="G229" s="2" t="s">
        <v>524</v>
      </c>
      <c r="H229" s="2" t="s">
        <v>368</v>
      </c>
      <c r="I229" s="2" t="s">
        <v>145</v>
      </c>
      <c r="J229" s="2" t="s">
        <v>369</v>
      </c>
      <c r="K229" s="10" t="b">
        <f aca="false">FALSE()</f>
        <v>0</v>
      </c>
      <c r="L229" s="10" t="b">
        <f aca="false">FALSE()</f>
        <v>0</v>
      </c>
      <c r="M229" s="2" t="s">
        <v>494</v>
      </c>
      <c r="N229" s="2" t="s">
        <v>371</v>
      </c>
      <c r="O229" s="2" t="s">
        <v>495</v>
      </c>
      <c r="P229" s="2" t="n">
        <v>30</v>
      </c>
      <c r="Q229" s="2" t="s">
        <v>496</v>
      </c>
      <c r="R229" s="11" t="s">
        <v>497</v>
      </c>
      <c r="S229" s="11" t="s">
        <v>498</v>
      </c>
      <c r="T229" s="2" t="s">
        <v>632</v>
      </c>
      <c r="U229" s="2" t="s">
        <v>153</v>
      </c>
      <c r="V229" s="2" t="s">
        <v>606</v>
      </c>
      <c r="W229" s="11" t="s">
        <v>607</v>
      </c>
      <c r="X229" s="2"/>
      <c r="Y229" s="2"/>
      <c r="Z229" s="2"/>
      <c r="AA229" s="2"/>
      <c r="AB229" s="2" t="s">
        <v>608</v>
      </c>
      <c r="AC229" s="2" t="s">
        <v>131</v>
      </c>
      <c r="AD229" s="2" t="s">
        <v>440</v>
      </c>
      <c r="AE229" s="10" t="b">
        <f aca="false">FALSE()</f>
        <v>0</v>
      </c>
      <c r="AF229" s="2" t="s">
        <v>133</v>
      </c>
      <c r="AG229" s="2" t="s">
        <v>158</v>
      </c>
      <c r="AH229" s="2" t="s">
        <v>135</v>
      </c>
      <c r="AI229" s="11" t="s">
        <v>502</v>
      </c>
      <c r="AJ229" s="2" t="s">
        <v>1277</v>
      </c>
      <c r="AK229" s="2"/>
      <c r="AL229" s="2"/>
    </row>
    <row r="230" customFormat="false" ht="90" hidden="false" customHeight="true" outlineLevel="0" collapsed="false">
      <c r="A230" s="2" t="s">
        <v>810</v>
      </c>
      <c r="B230" s="2" t="s">
        <v>569</v>
      </c>
      <c r="C230" s="2" t="s">
        <v>474</v>
      </c>
      <c r="D230" s="9" t="n">
        <v>274</v>
      </c>
      <c r="E230" s="2" t="s">
        <v>491</v>
      </c>
      <c r="F230" s="2" t="s">
        <v>492</v>
      </c>
      <c r="G230" s="2" t="s">
        <v>524</v>
      </c>
      <c r="H230" s="2" t="s">
        <v>368</v>
      </c>
      <c r="I230" s="2" t="s">
        <v>145</v>
      </c>
      <c r="J230" s="2" t="s">
        <v>369</v>
      </c>
      <c r="K230" s="10" t="b">
        <f aca="false">FALSE()</f>
        <v>0</v>
      </c>
      <c r="L230" s="10" t="b">
        <f aca="false">FALSE()</f>
        <v>0</v>
      </c>
      <c r="M230" s="2" t="s">
        <v>494</v>
      </c>
      <c r="N230" s="2" t="s">
        <v>371</v>
      </c>
      <c r="O230" s="2" t="s">
        <v>495</v>
      </c>
      <c r="P230" s="2" t="n">
        <v>30</v>
      </c>
      <c r="Q230" s="2" t="s">
        <v>496</v>
      </c>
      <c r="R230" s="11" t="s">
        <v>497</v>
      </c>
      <c r="S230" s="11" t="s">
        <v>498</v>
      </c>
      <c r="T230" s="2" t="s">
        <v>557</v>
      </c>
      <c r="U230" s="2" t="s">
        <v>153</v>
      </c>
      <c r="V230" s="2" t="s">
        <v>606</v>
      </c>
      <c r="W230" s="11" t="s">
        <v>607</v>
      </c>
      <c r="X230" s="2"/>
      <c r="Y230" s="2"/>
      <c r="Z230" s="2"/>
      <c r="AA230" s="2"/>
      <c r="AB230" s="2" t="s">
        <v>608</v>
      </c>
      <c r="AC230" s="2" t="s">
        <v>131</v>
      </c>
      <c r="AD230" s="2" t="s">
        <v>440</v>
      </c>
      <c r="AE230" s="10" t="b">
        <f aca="false">FALSE()</f>
        <v>0</v>
      </c>
      <c r="AF230" s="2" t="s">
        <v>133</v>
      </c>
      <c r="AG230" s="2" t="s">
        <v>158</v>
      </c>
      <c r="AH230" s="2" t="s">
        <v>135</v>
      </c>
      <c r="AI230" s="11" t="s">
        <v>502</v>
      </c>
      <c r="AJ230" s="2" t="s">
        <v>1277</v>
      </c>
      <c r="AK230" s="2"/>
      <c r="AL230" s="2"/>
    </row>
    <row r="231" customFormat="false" ht="90" hidden="false" customHeight="true" outlineLevel="0" collapsed="false">
      <c r="A231" s="2" t="s">
        <v>812</v>
      </c>
      <c r="B231" s="2" t="s">
        <v>569</v>
      </c>
      <c r="C231" s="2" t="s">
        <v>474</v>
      </c>
      <c r="D231" s="9" t="n">
        <v>273</v>
      </c>
      <c r="E231" s="2" t="s">
        <v>491</v>
      </c>
      <c r="F231" s="2" t="s">
        <v>492</v>
      </c>
      <c r="G231" s="2" t="s">
        <v>524</v>
      </c>
      <c r="H231" s="2" t="s">
        <v>368</v>
      </c>
      <c r="I231" s="2" t="s">
        <v>145</v>
      </c>
      <c r="J231" s="2" t="s">
        <v>369</v>
      </c>
      <c r="K231" s="10" t="b">
        <f aca="false">FALSE()</f>
        <v>0</v>
      </c>
      <c r="L231" s="10" t="b">
        <f aca="false">TRUE()</f>
        <v>1</v>
      </c>
      <c r="M231" s="2" t="s">
        <v>494</v>
      </c>
      <c r="N231" s="2" t="s">
        <v>371</v>
      </c>
      <c r="O231" s="2" t="s">
        <v>495</v>
      </c>
      <c r="P231" s="2" t="n">
        <v>60</v>
      </c>
      <c r="Q231" s="2" t="s">
        <v>496</v>
      </c>
      <c r="R231" s="11" t="s">
        <v>497</v>
      </c>
      <c r="S231" s="11" t="s">
        <v>498</v>
      </c>
      <c r="T231" s="2" t="s">
        <v>219</v>
      </c>
      <c r="U231" s="2" t="s">
        <v>153</v>
      </c>
      <c r="V231" s="2" t="s">
        <v>570</v>
      </c>
      <c r="W231" s="11" t="s">
        <v>571</v>
      </c>
      <c r="X231" s="2"/>
      <c r="Y231" s="2"/>
      <c r="Z231" s="2"/>
      <c r="AA231" s="2"/>
      <c r="AB231" s="2" t="s">
        <v>572</v>
      </c>
      <c r="AC231" s="2" t="s">
        <v>157</v>
      </c>
      <c r="AD231" s="2" t="s">
        <v>132</v>
      </c>
      <c r="AE231" s="10" t="b">
        <f aca="false">FALSE()</f>
        <v>0</v>
      </c>
      <c r="AF231" s="2" t="s">
        <v>133</v>
      </c>
      <c r="AG231" s="2" t="s">
        <v>158</v>
      </c>
      <c r="AH231" s="2" t="s">
        <v>135</v>
      </c>
      <c r="AI231" s="11" t="s">
        <v>502</v>
      </c>
      <c r="AJ231" s="2" t="s">
        <v>1277</v>
      </c>
      <c r="AK231" s="2"/>
      <c r="AL231" s="2"/>
    </row>
    <row r="232" customFormat="false" ht="90" hidden="false" customHeight="true" outlineLevel="0" collapsed="false">
      <c r="A232" s="2" t="s">
        <v>814</v>
      </c>
      <c r="B232" s="2" t="s">
        <v>569</v>
      </c>
      <c r="C232" s="2" t="s">
        <v>474</v>
      </c>
      <c r="D232" s="9" t="n">
        <v>272</v>
      </c>
      <c r="E232" s="2" t="s">
        <v>491</v>
      </c>
      <c r="F232" s="2" t="s">
        <v>492</v>
      </c>
      <c r="G232" s="2" t="s">
        <v>524</v>
      </c>
      <c r="H232" s="2" t="s">
        <v>368</v>
      </c>
      <c r="I232" s="2" t="s">
        <v>145</v>
      </c>
      <c r="J232" s="2" t="s">
        <v>369</v>
      </c>
      <c r="K232" s="10" t="b">
        <f aca="false">FALSE()</f>
        <v>0</v>
      </c>
      <c r="L232" s="10" t="b">
        <f aca="false">TRUE()</f>
        <v>1</v>
      </c>
      <c r="M232" s="2" t="s">
        <v>494</v>
      </c>
      <c r="N232" s="2" t="s">
        <v>371</v>
      </c>
      <c r="O232" s="2" t="s">
        <v>495</v>
      </c>
      <c r="P232" s="2" t="n">
        <v>60</v>
      </c>
      <c r="Q232" s="2" t="s">
        <v>496</v>
      </c>
      <c r="R232" s="11" t="s">
        <v>497</v>
      </c>
      <c r="S232" s="11" t="s">
        <v>498</v>
      </c>
      <c r="T232" s="2" t="s">
        <v>219</v>
      </c>
      <c r="U232" s="2" t="s">
        <v>153</v>
      </c>
      <c r="V232" s="2" t="s">
        <v>570</v>
      </c>
      <c r="W232" s="11" t="s">
        <v>592</v>
      </c>
      <c r="X232" s="2"/>
      <c r="Y232" s="2"/>
      <c r="Z232" s="2"/>
      <c r="AA232" s="2"/>
      <c r="AB232" s="2" t="s">
        <v>572</v>
      </c>
      <c r="AC232" s="2" t="s">
        <v>157</v>
      </c>
      <c r="AD232" s="2" t="s">
        <v>132</v>
      </c>
      <c r="AE232" s="10" t="b">
        <f aca="false">FALSE()</f>
        <v>0</v>
      </c>
      <c r="AF232" s="2" t="s">
        <v>133</v>
      </c>
      <c r="AG232" s="2" t="s">
        <v>158</v>
      </c>
      <c r="AH232" s="2" t="s">
        <v>135</v>
      </c>
      <c r="AI232" s="11" t="s">
        <v>502</v>
      </c>
      <c r="AJ232" s="2" t="s">
        <v>1277</v>
      </c>
      <c r="AK232" s="2"/>
      <c r="AL232" s="2"/>
    </row>
    <row r="233" customFormat="false" ht="90" hidden="false" customHeight="true" outlineLevel="0" collapsed="false">
      <c r="A233" s="2" t="s">
        <v>816</v>
      </c>
      <c r="B233" s="2" t="s">
        <v>569</v>
      </c>
      <c r="C233" s="2" t="s">
        <v>474</v>
      </c>
      <c r="D233" s="9" t="n">
        <v>270</v>
      </c>
      <c r="E233" s="2" t="s">
        <v>491</v>
      </c>
      <c r="F233" s="2" t="s">
        <v>492</v>
      </c>
      <c r="G233" s="2" t="s">
        <v>524</v>
      </c>
      <c r="H233" s="2" t="s">
        <v>368</v>
      </c>
      <c r="I233" s="2" t="s">
        <v>145</v>
      </c>
      <c r="J233" s="2" t="s">
        <v>369</v>
      </c>
      <c r="K233" s="10" t="b">
        <f aca="false">FALSE()</f>
        <v>0</v>
      </c>
      <c r="L233" s="10" t="b">
        <f aca="false">FALSE()</f>
        <v>0</v>
      </c>
      <c r="M233" s="2" t="s">
        <v>494</v>
      </c>
      <c r="N233" s="2" t="s">
        <v>371</v>
      </c>
      <c r="O233" s="2" t="s">
        <v>495</v>
      </c>
      <c r="P233" s="2" t="n">
        <v>60</v>
      </c>
      <c r="Q233" s="2" t="s">
        <v>496</v>
      </c>
      <c r="R233" s="11" t="s">
        <v>497</v>
      </c>
      <c r="S233" s="11" t="s">
        <v>498</v>
      </c>
      <c r="T233" s="2" t="s">
        <v>219</v>
      </c>
      <c r="U233" s="2" t="s">
        <v>153</v>
      </c>
      <c r="V233" s="2" t="s">
        <v>570</v>
      </c>
      <c r="W233" s="11" t="s">
        <v>571</v>
      </c>
      <c r="X233" s="2"/>
      <c r="Y233" s="2"/>
      <c r="Z233" s="2"/>
      <c r="AA233" s="2"/>
      <c r="AB233" s="2" t="s">
        <v>572</v>
      </c>
      <c r="AC233" s="2" t="s">
        <v>157</v>
      </c>
      <c r="AD233" s="2" t="s">
        <v>132</v>
      </c>
      <c r="AE233" s="10" t="b">
        <f aca="false">FALSE()</f>
        <v>0</v>
      </c>
      <c r="AF233" s="2" t="s">
        <v>133</v>
      </c>
      <c r="AG233" s="2" t="s">
        <v>158</v>
      </c>
      <c r="AH233" s="2" t="s">
        <v>135</v>
      </c>
      <c r="AI233" s="11" t="s">
        <v>502</v>
      </c>
      <c r="AJ233" s="2" t="s">
        <v>1277</v>
      </c>
      <c r="AK233" s="2"/>
      <c r="AL233" s="2"/>
    </row>
    <row r="234" customFormat="false" ht="90" hidden="false" customHeight="true" outlineLevel="0" collapsed="false">
      <c r="A234" s="2" t="s">
        <v>818</v>
      </c>
      <c r="B234" s="2" t="s">
        <v>569</v>
      </c>
      <c r="C234" s="2" t="s">
        <v>474</v>
      </c>
      <c r="D234" s="9" t="n">
        <v>269</v>
      </c>
      <c r="E234" s="2" t="s">
        <v>491</v>
      </c>
      <c r="F234" s="2" t="s">
        <v>492</v>
      </c>
      <c r="G234" s="2" t="s">
        <v>524</v>
      </c>
      <c r="H234" s="2" t="s">
        <v>368</v>
      </c>
      <c r="I234" s="2" t="s">
        <v>145</v>
      </c>
      <c r="J234" s="2" t="s">
        <v>369</v>
      </c>
      <c r="K234" s="10" t="b">
        <f aca="false">FALSE()</f>
        <v>0</v>
      </c>
      <c r="L234" s="10" t="b">
        <f aca="false">TRUE()</f>
        <v>1</v>
      </c>
      <c r="M234" s="2" t="s">
        <v>494</v>
      </c>
      <c r="N234" s="2" t="s">
        <v>371</v>
      </c>
      <c r="O234" s="2" t="s">
        <v>495</v>
      </c>
      <c r="P234" s="2" t="n">
        <v>60</v>
      </c>
      <c r="Q234" s="2" t="s">
        <v>496</v>
      </c>
      <c r="R234" s="11" t="s">
        <v>497</v>
      </c>
      <c r="S234" s="11" t="s">
        <v>498</v>
      </c>
      <c r="T234" s="2" t="s">
        <v>219</v>
      </c>
      <c r="U234" s="2" t="s">
        <v>153</v>
      </c>
      <c r="V234" s="2" t="s">
        <v>570</v>
      </c>
      <c r="W234" s="11" t="s">
        <v>571</v>
      </c>
      <c r="X234" s="2"/>
      <c r="Y234" s="2"/>
      <c r="Z234" s="2"/>
      <c r="AA234" s="2"/>
      <c r="AB234" s="2" t="s">
        <v>572</v>
      </c>
      <c r="AC234" s="2" t="s">
        <v>157</v>
      </c>
      <c r="AD234" s="2" t="s">
        <v>132</v>
      </c>
      <c r="AE234" s="10" t="b">
        <f aca="false">FALSE()</f>
        <v>0</v>
      </c>
      <c r="AF234" s="2" t="s">
        <v>133</v>
      </c>
      <c r="AG234" s="2" t="s">
        <v>158</v>
      </c>
      <c r="AH234" s="2" t="s">
        <v>135</v>
      </c>
      <c r="AI234" s="11" t="s">
        <v>502</v>
      </c>
      <c r="AJ234" s="2" t="s">
        <v>1277</v>
      </c>
      <c r="AK234" s="2"/>
      <c r="AL234" s="2"/>
    </row>
    <row r="235" customFormat="false" ht="90" hidden="false" customHeight="true" outlineLevel="0" collapsed="false">
      <c r="A235" s="2" t="s">
        <v>820</v>
      </c>
      <c r="B235" s="2" t="s">
        <v>569</v>
      </c>
      <c r="C235" s="2" t="s">
        <v>474</v>
      </c>
      <c r="D235" s="9" t="n">
        <v>269</v>
      </c>
      <c r="E235" s="2" t="s">
        <v>491</v>
      </c>
      <c r="F235" s="2" t="s">
        <v>492</v>
      </c>
      <c r="G235" s="2" t="s">
        <v>524</v>
      </c>
      <c r="H235" s="2" t="s">
        <v>368</v>
      </c>
      <c r="I235" s="2" t="s">
        <v>145</v>
      </c>
      <c r="J235" s="2" t="s">
        <v>369</v>
      </c>
      <c r="K235" s="10" t="b">
        <f aca="false">FALSE()</f>
        <v>0</v>
      </c>
      <c r="L235" s="10" t="b">
        <f aca="false">FALSE()</f>
        <v>0</v>
      </c>
      <c r="M235" s="2" t="s">
        <v>494</v>
      </c>
      <c r="N235" s="2" t="s">
        <v>371</v>
      </c>
      <c r="O235" s="2" t="s">
        <v>495</v>
      </c>
      <c r="P235" s="2" t="n">
        <v>30</v>
      </c>
      <c r="Q235" s="2" t="s">
        <v>496</v>
      </c>
      <c r="R235" s="11" t="s">
        <v>497</v>
      </c>
      <c r="S235" s="11" t="s">
        <v>498</v>
      </c>
      <c r="T235" s="2" t="s">
        <v>219</v>
      </c>
      <c r="U235" s="2" t="s">
        <v>153</v>
      </c>
      <c r="V235" s="2" t="s">
        <v>606</v>
      </c>
      <c r="W235" s="11" t="s">
        <v>607</v>
      </c>
      <c r="X235" s="2"/>
      <c r="Y235" s="2"/>
      <c r="Z235" s="2"/>
      <c r="AA235" s="2"/>
      <c r="AB235" s="2" t="s">
        <v>608</v>
      </c>
      <c r="AC235" s="2" t="s">
        <v>157</v>
      </c>
      <c r="AD235" s="2" t="s">
        <v>440</v>
      </c>
      <c r="AE235" s="10" t="b">
        <f aca="false">FALSE()</f>
        <v>0</v>
      </c>
      <c r="AF235" s="2" t="s">
        <v>133</v>
      </c>
      <c r="AG235" s="2" t="s">
        <v>158</v>
      </c>
      <c r="AH235" s="2" t="s">
        <v>135</v>
      </c>
      <c r="AI235" s="11" t="s">
        <v>502</v>
      </c>
      <c r="AJ235" s="2" t="s">
        <v>1277</v>
      </c>
      <c r="AK235" s="2"/>
      <c r="AL235" s="2"/>
    </row>
    <row r="236" customFormat="false" ht="90" hidden="false" customHeight="true" outlineLevel="0" collapsed="false">
      <c r="A236" s="2" t="s">
        <v>1198</v>
      </c>
      <c r="B236" s="2" t="s">
        <v>569</v>
      </c>
      <c r="C236" s="2" t="s">
        <v>474</v>
      </c>
      <c r="D236" s="9" t="n">
        <v>263</v>
      </c>
      <c r="E236" s="2" t="s">
        <v>491</v>
      </c>
      <c r="F236" s="2" t="s">
        <v>492</v>
      </c>
      <c r="G236" s="2" t="s">
        <v>524</v>
      </c>
      <c r="H236" s="2" t="s">
        <v>368</v>
      </c>
      <c r="I236" s="2" t="s">
        <v>145</v>
      </c>
      <c r="J236" s="2" t="s">
        <v>369</v>
      </c>
      <c r="K236" s="10" t="b">
        <f aca="false">FALSE()</f>
        <v>0</v>
      </c>
      <c r="L236" s="10" t="b">
        <f aca="false">TRUE()</f>
        <v>1</v>
      </c>
      <c r="M236" s="2" t="s">
        <v>494</v>
      </c>
      <c r="N236" s="2" t="s">
        <v>371</v>
      </c>
      <c r="O236" s="2" t="s">
        <v>495</v>
      </c>
      <c r="P236" s="2" t="n">
        <v>60</v>
      </c>
      <c r="Q236" s="2" t="s">
        <v>496</v>
      </c>
      <c r="R236" s="11" t="s">
        <v>497</v>
      </c>
      <c r="S236" s="11" t="s">
        <v>498</v>
      </c>
      <c r="T236" s="2" t="s">
        <v>219</v>
      </c>
      <c r="U236" s="2" t="s">
        <v>153</v>
      </c>
      <c r="V236" s="2" t="s">
        <v>570</v>
      </c>
      <c r="W236" s="11" t="s">
        <v>571</v>
      </c>
      <c r="X236" s="2"/>
      <c r="Y236" s="2"/>
      <c r="Z236" s="2"/>
      <c r="AA236" s="2"/>
      <c r="AB236" s="2" t="s">
        <v>572</v>
      </c>
      <c r="AC236" s="2" t="s">
        <v>157</v>
      </c>
      <c r="AD236" s="2" t="s">
        <v>132</v>
      </c>
      <c r="AE236" s="10" t="b">
        <f aca="false">FALSE()</f>
        <v>0</v>
      </c>
      <c r="AF236" s="2" t="s">
        <v>133</v>
      </c>
      <c r="AG236" s="2" t="s">
        <v>158</v>
      </c>
      <c r="AH236" s="2" t="s">
        <v>135</v>
      </c>
      <c r="AI236" s="11" t="s">
        <v>502</v>
      </c>
      <c r="AJ236" s="2" t="s">
        <v>1142</v>
      </c>
      <c r="AK236" s="2" t="s">
        <v>1142</v>
      </c>
      <c r="AL236" s="2" t="s">
        <v>1199</v>
      </c>
    </row>
    <row r="237" customFormat="false" ht="90" hidden="false" customHeight="true" outlineLevel="0" collapsed="false">
      <c r="A237" s="2" t="s">
        <v>822</v>
      </c>
      <c r="B237" s="2" t="s">
        <v>569</v>
      </c>
      <c r="C237" s="2" t="s">
        <v>474</v>
      </c>
      <c r="D237" s="9" t="n">
        <v>261</v>
      </c>
      <c r="E237" s="2" t="s">
        <v>491</v>
      </c>
      <c r="F237" s="2" t="s">
        <v>492</v>
      </c>
      <c r="G237" s="2" t="s">
        <v>524</v>
      </c>
      <c r="H237" s="2" t="s">
        <v>368</v>
      </c>
      <c r="I237" s="2" t="s">
        <v>145</v>
      </c>
      <c r="J237" s="2" t="s">
        <v>369</v>
      </c>
      <c r="K237" s="10" t="b">
        <f aca="false">FALSE()</f>
        <v>0</v>
      </c>
      <c r="L237" s="10" t="b">
        <f aca="false">TRUE()</f>
        <v>1</v>
      </c>
      <c r="M237" s="2" t="s">
        <v>494</v>
      </c>
      <c r="N237" s="2" t="s">
        <v>371</v>
      </c>
      <c r="O237" s="2" t="s">
        <v>495</v>
      </c>
      <c r="P237" s="2" t="n">
        <v>60</v>
      </c>
      <c r="Q237" s="2" t="s">
        <v>496</v>
      </c>
      <c r="R237" s="11" t="s">
        <v>497</v>
      </c>
      <c r="S237" s="11" t="s">
        <v>498</v>
      </c>
      <c r="T237" s="2" t="s">
        <v>219</v>
      </c>
      <c r="U237" s="2" t="s">
        <v>153</v>
      </c>
      <c r="V237" s="2" t="s">
        <v>570</v>
      </c>
      <c r="W237" s="11" t="s">
        <v>571</v>
      </c>
      <c r="X237" s="2"/>
      <c r="Y237" s="2"/>
      <c r="Z237" s="2"/>
      <c r="AA237" s="2"/>
      <c r="AB237" s="2" t="s">
        <v>572</v>
      </c>
      <c r="AC237" s="2" t="s">
        <v>157</v>
      </c>
      <c r="AD237" s="2" t="s">
        <v>132</v>
      </c>
      <c r="AE237" s="10" t="b">
        <f aca="false">FALSE()</f>
        <v>0</v>
      </c>
      <c r="AF237" s="2" t="s">
        <v>133</v>
      </c>
      <c r="AG237" s="2" t="s">
        <v>158</v>
      </c>
      <c r="AH237" s="2" t="s">
        <v>135</v>
      </c>
      <c r="AI237" s="11" t="s">
        <v>502</v>
      </c>
      <c r="AJ237" s="2" t="s">
        <v>1277</v>
      </c>
      <c r="AK237" s="2"/>
      <c r="AL237" s="2"/>
    </row>
    <row r="238" customFormat="false" ht="90" hidden="false" customHeight="true" outlineLevel="0" collapsed="false">
      <c r="A238" s="2" t="s">
        <v>824</v>
      </c>
      <c r="B238" s="2" t="s">
        <v>569</v>
      </c>
      <c r="C238" s="2" t="s">
        <v>474</v>
      </c>
      <c r="D238" s="9" t="n">
        <v>260</v>
      </c>
      <c r="E238" s="2" t="s">
        <v>491</v>
      </c>
      <c r="F238" s="2" t="s">
        <v>492</v>
      </c>
      <c r="G238" s="2" t="s">
        <v>524</v>
      </c>
      <c r="H238" s="2" t="s">
        <v>368</v>
      </c>
      <c r="I238" s="2" t="s">
        <v>145</v>
      </c>
      <c r="J238" s="2" t="s">
        <v>369</v>
      </c>
      <c r="K238" s="10" t="b">
        <f aca="false">FALSE()</f>
        <v>0</v>
      </c>
      <c r="L238" s="10" t="b">
        <f aca="false">FALSE()</f>
        <v>0</v>
      </c>
      <c r="M238" s="2" t="s">
        <v>494</v>
      </c>
      <c r="N238" s="2" t="s">
        <v>371</v>
      </c>
      <c r="O238" s="2" t="s">
        <v>495</v>
      </c>
      <c r="P238" s="2" t="n">
        <v>60</v>
      </c>
      <c r="Q238" s="2" t="s">
        <v>496</v>
      </c>
      <c r="R238" s="11" t="s">
        <v>497</v>
      </c>
      <c r="S238" s="11" t="s">
        <v>498</v>
      </c>
      <c r="T238" s="2" t="s">
        <v>219</v>
      </c>
      <c r="U238" s="2" t="s">
        <v>153</v>
      </c>
      <c r="V238" s="2" t="s">
        <v>570</v>
      </c>
      <c r="W238" s="11" t="s">
        <v>571</v>
      </c>
      <c r="X238" s="2"/>
      <c r="Y238" s="2"/>
      <c r="Z238" s="2"/>
      <c r="AA238" s="2"/>
      <c r="AB238" s="2" t="s">
        <v>572</v>
      </c>
      <c r="AC238" s="2" t="s">
        <v>157</v>
      </c>
      <c r="AD238" s="2" t="s">
        <v>132</v>
      </c>
      <c r="AE238" s="10" t="b">
        <f aca="false">FALSE()</f>
        <v>0</v>
      </c>
      <c r="AF238" s="2" t="s">
        <v>133</v>
      </c>
      <c r="AG238" s="2" t="s">
        <v>158</v>
      </c>
      <c r="AH238" s="2" t="s">
        <v>135</v>
      </c>
      <c r="AI238" s="11" t="s">
        <v>502</v>
      </c>
      <c r="AJ238" s="2" t="s">
        <v>1277</v>
      </c>
      <c r="AK238" s="2"/>
      <c r="AL238" s="2"/>
    </row>
    <row r="239" customFormat="false" ht="90" hidden="false" customHeight="true" outlineLevel="0" collapsed="false">
      <c r="A239" s="2" t="s">
        <v>826</v>
      </c>
      <c r="B239" s="2" t="s">
        <v>569</v>
      </c>
      <c r="C239" s="2" t="s">
        <v>474</v>
      </c>
      <c r="D239" s="9" t="n">
        <v>255</v>
      </c>
      <c r="E239" s="2" t="s">
        <v>491</v>
      </c>
      <c r="F239" s="2" t="s">
        <v>492</v>
      </c>
      <c r="G239" s="2" t="s">
        <v>524</v>
      </c>
      <c r="H239" s="2" t="s">
        <v>368</v>
      </c>
      <c r="I239" s="2" t="s">
        <v>145</v>
      </c>
      <c r="J239" s="2" t="s">
        <v>369</v>
      </c>
      <c r="K239" s="10" t="b">
        <f aca="false">FALSE()</f>
        <v>0</v>
      </c>
      <c r="L239" s="10" t="b">
        <f aca="false">TRUE()</f>
        <v>1</v>
      </c>
      <c r="M239" s="2" t="s">
        <v>494</v>
      </c>
      <c r="N239" s="2" t="s">
        <v>371</v>
      </c>
      <c r="O239" s="2" t="s">
        <v>495</v>
      </c>
      <c r="P239" s="2" t="n">
        <v>30</v>
      </c>
      <c r="Q239" s="2" t="s">
        <v>496</v>
      </c>
      <c r="R239" s="11" t="s">
        <v>497</v>
      </c>
      <c r="S239" s="11" t="s">
        <v>498</v>
      </c>
      <c r="T239" s="2" t="s">
        <v>632</v>
      </c>
      <c r="U239" s="2" t="s">
        <v>153</v>
      </c>
      <c r="V239" s="2" t="s">
        <v>587</v>
      </c>
      <c r="W239" s="11" t="s">
        <v>645</v>
      </c>
      <c r="X239" s="2"/>
      <c r="Y239" s="2"/>
      <c r="Z239" s="2"/>
      <c r="AA239" s="2"/>
      <c r="AB239" s="2" t="s">
        <v>589</v>
      </c>
      <c r="AC239" s="2" t="s">
        <v>131</v>
      </c>
      <c r="AD239" s="2" t="s">
        <v>354</v>
      </c>
      <c r="AE239" s="10" t="b">
        <f aca="false">FALSE()</f>
        <v>0</v>
      </c>
      <c r="AF239" s="2" t="s">
        <v>133</v>
      </c>
      <c r="AG239" s="2" t="s">
        <v>158</v>
      </c>
      <c r="AH239" s="2" t="s">
        <v>135</v>
      </c>
      <c r="AI239" s="11" t="s">
        <v>502</v>
      </c>
      <c r="AJ239" s="2" t="s">
        <v>1277</v>
      </c>
      <c r="AK239" s="2"/>
      <c r="AL239" s="2"/>
    </row>
    <row r="240" customFormat="false" ht="90" hidden="false" customHeight="true" outlineLevel="0" collapsed="false">
      <c r="A240" s="2" t="s">
        <v>828</v>
      </c>
      <c r="B240" s="2" t="s">
        <v>569</v>
      </c>
      <c r="C240" s="2" t="s">
        <v>474</v>
      </c>
      <c r="D240" s="9" t="n">
        <v>254</v>
      </c>
      <c r="E240" s="2" t="s">
        <v>491</v>
      </c>
      <c r="F240" s="2" t="s">
        <v>492</v>
      </c>
      <c r="G240" s="2" t="s">
        <v>524</v>
      </c>
      <c r="H240" s="2" t="s">
        <v>368</v>
      </c>
      <c r="I240" s="2" t="s">
        <v>145</v>
      </c>
      <c r="J240" s="2" t="s">
        <v>369</v>
      </c>
      <c r="K240" s="10" t="b">
        <f aca="false">FALSE()</f>
        <v>0</v>
      </c>
      <c r="L240" s="10" t="b">
        <f aca="false">TRUE()</f>
        <v>1</v>
      </c>
      <c r="M240" s="2" t="s">
        <v>494</v>
      </c>
      <c r="N240" s="2" t="s">
        <v>371</v>
      </c>
      <c r="O240" s="2" t="s">
        <v>495</v>
      </c>
      <c r="P240" s="2" t="n">
        <v>60</v>
      </c>
      <c r="Q240" s="2" t="s">
        <v>496</v>
      </c>
      <c r="R240" s="11" t="s">
        <v>497</v>
      </c>
      <c r="S240" s="11" t="s">
        <v>498</v>
      </c>
      <c r="T240" s="2" t="s">
        <v>219</v>
      </c>
      <c r="U240" s="2" t="s">
        <v>153</v>
      </c>
      <c r="V240" s="2" t="s">
        <v>570</v>
      </c>
      <c r="W240" s="11" t="s">
        <v>592</v>
      </c>
      <c r="X240" s="2"/>
      <c r="Y240" s="2"/>
      <c r="Z240" s="2"/>
      <c r="AA240" s="2"/>
      <c r="AB240" s="2" t="s">
        <v>572</v>
      </c>
      <c r="AC240" s="2" t="s">
        <v>157</v>
      </c>
      <c r="AD240" s="2" t="s">
        <v>132</v>
      </c>
      <c r="AE240" s="10" t="b">
        <f aca="false">FALSE()</f>
        <v>0</v>
      </c>
      <c r="AF240" s="2" t="s">
        <v>133</v>
      </c>
      <c r="AG240" s="2" t="s">
        <v>158</v>
      </c>
      <c r="AH240" s="2" t="s">
        <v>135</v>
      </c>
      <c r="AI240" s="11" t="s">
        <v>502</v>
      </c>
      <c r="AJ240" s="2" t="s">
        <v>1277</v>
      </c>
      <c r="AK240" s="2"/>
      <c r="AL240" s="2"/>
    </row>
    <row r="241" customFormat="false" ht="90" hidden="false" customHeight="true" outlineLevel="0" collapsed="false">
      <c r="A241" s="2" t="s">
        <v>830</v>
      </c>
      <c r="B241" s="2" t="s">
        <v>569</v>
      </c>
      <c r="C241" s="2" t="s">
        <v>474</v>
      </c>
      <c r="D241" s="9" t="n">
        <v>254</v>
      </c>
      <c r="E241" s="2" t="s">
        <v>491</v>
      </c>
      <c r="F241" s="2" t="s">
        <v>492</v>
      </c>
      <c r="G241" s="2" t="s">
        <v>524</v>
      </c>
      <c r="H241" s="2" t="s">
        <v>368</v>
      </c>
      <c r="I241" s="2" t="s">
        <v>145</v>
      </c>
      <c r="J241" s="2" t="s">
        <v>369</v>
      </c>
      <c r="K241" s="10" t="b">
        <f aca="false">FALSE()</f>
        <v>0</v>
      </c>
      <c r="L241" s="10" t="b">
        <f aca="false">TRUE()</f>
        <v>1</v>
      </c>
      <c r="M241" s="2" t="s">
        <v>494</v>
      </c>
      <c r="N241" s="2" t="s">
        <v>371</v>
      </c>
      <c r="O241" s="2" t="s">
        <v>495</v>
      </c>
      <c r="P241" s="2" t="n">
        <v>60</v>
      </c>
      <c r="Q241" s="2" t="s">
        <v>496</v>
      </c>
      <c r="R241" s="11" t="s">
        <v>497</v>
      </c>
      <c r="S241" s="11" t="s">
        <v>498</v>
      </c>
      <c r="T241" s="2" t="s">
        <v>219</v>
      </c>
      <c r="U241" s="2" t="s">
        <v>153</v>
      </c>
      <c r="V241" s="2" t="s">
        <v>570</v>
      </c>
      <c r="W241" s="11" t="s">
        <v>571</v>
      </c>
      <c r="X241" s="2"/>
      <c r="Y241" s="2"/>
      <c r="Z241" s="2"/>
      <c r="AA241" s="2"/>
      <c r="AB241" s="2" t="s">
        <v>572</v>
      </c>
      <c r="AC241" s="2" t="s">
        <v>157</v>
      </c>
      <c r="AD241" s="2" t="s">
        <v>132</v>
      </c>
      <c r="AE241" s="10" t="b">
        <f aca="false">FALSE()</f>
        <v>0</v>
      </c>
      <c r="AF241" s="2" t="s">
        <v>133</v>
      </c>
      <c r="AG241" s="2" t="s">
        <v>158</v>
      </c>
      <c r="AH241" s="2" t="s">
        <v>135</v>
      </c>
      <c r="AI241" s="11" t="s">
        <v>502</v>
      </c>
      <c r="AJ241" s="2" t="s">
        <v>1277</v>
      </c>
      <c r="AK241" s="2"/>
      <c r="AL241" s="2"/>
    </row>
    <row r="242" customFormat="false" ht="90" hidden="false" customHeight="true" outlineLevel="0" collapsed="false">
      <c r="A242" s="2" t="s">
        <v>832</v>
      </c>
      <c r="B242" s="2" t="s">
        <v>569</v>
      </c>
      <c r="C242" s="2" t="s">
        <v>474</v>
      </c>
      <c r="D242" s="9" t="n">
        <v>253</v>
      </c>
      <c r="E242" s="2" t="s">
        <v>491</v>
      </c>
      <c r="F242" s="2" t="s">
        <v>492</v>
      </c>
      <c r="G242" s="2" t="s">
        <v>524</v>
      </c>
      <c r="H242" s="2" t="s">
        <v>368</v>
      </c>
      <c r="I242" s="2" t="s">
        <v>145</v>
      </c>
      <c r="J242" s="2" t="s">
        <v>369</v>
      </c>
      <c r="K242" s="10" t="b">
        <f aca="false">FALSE()</f>
        <v>0</v>
      </c>
      <c r="L242" s="10" t="b">
        <f aca="false">TRUE()</f>
        <v>1</v>
      </c>
      <c r="M242" s="2" t="s">
        <v>494</v>
      </c>
      <c r="N242" s="2" t="s">
        <v>371</v>
      </c>
      <c r="O242" s="2" t="s">
        <v>495</v>
      </c>
      <c r="P242" s="2" t="n">
        <v>60</v>
      </c>
      <c r="Q242" s="2" t="s">
        <v>496</v>
      </c>
      <c r="R242" s="11" t="s">
        <v>497</v>
      </c>
      <c r="S242" s="11" t="s">
        <v>498</v>
      </c>
      <c r="T242" s="2" t="s">
        <v>219</v>
      </c>
      <c r="U242" s="2" t="s">
        <v>153</v>
      </c>
      <c r="V242" s="2" t="s">
        <v>570</v>
      </c>
      <c r="W242" s="11" t="s">
        <v>571</v>
      </c>
      <c r="X242" s="2"/>
      <c r="Y242" s="2"/>
      <c r="Z242" s="2"/>
      <c r="AA242" s="2"/>
      <c r="AB242" s="2" t="s">
        <v>572</v>
      </c>
      <c r="AC242" s="2" t="s">
        <v>157</v>
      </c>
      <c r="AD242" s="2" t="s">
        <v>132</v>
      </c>
      <c r="AE242" s="10" t="b">
        <f aca="false">FALSE()</f>
        <v>0</v>
      </c>
      <c r="AF242" s="2" t="s">
        <v>133</v>
      </c>
      <c r="AG242" s="2" t="s">
        <v>158</v>
      </c>
      <c r="AH242" s="2" t="s">
        <v>135</v>
      </c>
      <c r="AI242" s="11" t="s">
        <v>502</v>
      </c>
      <c r="AJ242" s="2" t="s">
        <v>1277</v>
      </c>
      <c r="AK242" s="2"/>
      <c r="AL242" s="2"/>
    </row>
    <row r="243" customFormat="false" ht="90" hidden="false" customHeight="true" outlineLevel="0" collapsed="false">
      <c r="A243" s="2" t="s">
        <v>834</v>
      </c>
      <c r="B243" s="2" t="s">
        <v>569</v>
      </c>
      <c r="C243" s="2" t="s">
        <v>474</v>
      </c>
      <c r="D243" s="9" t="n">
        <v>248</v>
      </c>
      <c r="E243" s="2" t="s">
        <v>491</v>
      </c>
      <c r="F243" s="2" t="s">
        <v>492</v>
      </c>
      <c r="G243" s="2" t="s">
        <v>524</v>
      </c>
      <c r="H243" s="2" t="s">
        <v>368</v>
      </c>
      <c r="I243" s="2" t="s">
        <v>145</v>
      </c>
      <c r="J243" s="2" t="s">
        <v>369</v>
      </c>
      <c r="K243" s="10" t="b">
        <f aca="false">FALSE()</f>
        <v>0</v>
      </c>
      <c r="L243" s="10" t="b">
        <f aca="false">TRUE()</f>
        <v>1</v>
      </c>
      <c r="M243" s="2" t="s">
        <v>494</v>
      </c>
      <c r="N243" s="2" t="s">
        <v>371</v>
      </c>
      <c r="O243" s="2" t="s">
        <v>495</v>
      </c>
      <c r="P243" s="2" t="n">
        <v>60</v>
      </c>
      <c r="Q243" s="2" t="s">
        <v>496</v>
      </c>
      <c r="R243" s="11" t="s">
        <v>497</v>
      </c>
      <c r="S243" s="11" t="s">
        <v>498</v>
      </c>
      <c r="T243" s="2" t="s">
        <v>219</v>
      </c>
      <c r="U243" s="2" t="s">
        <v>153</v>
      </c>
      <c r="V243" s="2" t="s">
        <v>570</v>
      </c>
      <c r="W243" s="11" t="s">
        <v>592</v>
      </c>
      <c r="X243" s="2"/>
      <c r="Y243" s="2"/>
      <c r="Z243" s="2"/>
      <c r="AA243" s="2"/>
      <c r="AB243" s="2" t="s">
        <v>572</v>
      </c>
      <c r="AC243" s="2" t="s">
        <v>157</v>
      </c>
      <c r="AD243" s="2" t="s">
        <v>132</v>
      </c>
      <c r="AE243" s="10" t="b">
        <f aca="false">FALSE()</f>
        <v>0</v>
      </c>
      <c r="AF243" s="2" t="s">
        <v>133</v>
      </c>
      <c r="AG243" s="2" t="s">
        <v>158</v>
      </c>
      <c r="AH243" s="2" t="s">
        <v>135</v>
      </c>
      <c r="AI243" s="11" t="s">
        <v>502</v>
      </c>
      <c r="AJ243" s="2" t="s">
        <v>1277</v>
      </c>
      <c r="AK243" s="2"/>
      <c r="AL243" s="2"/>
    </row>
    <row r="244" customFormat="false" ht="90" hidden="false" customHeight="true" outlineLevel="0" collapsed="false">
      <c r="A244" s="2" t="s">
        <v>836</v>
      </c>
      <c r="B244" s="2" t="s">
        <v>569</v>
      </c>
      <c r="C244" s="2" t="s">
        <v>474</v>
      </c>
      <c r="D244" s="9" t="n">
        <v>246</v>
      </c>
      <c r="E244" s="2" t="s">
        <v>491</v>
      </c>
      <c r="F244" s="2" t="s">
        <v>492</v>
      </c>
      <c r="G244" s="2" t="s">
        <v>524</v>
      </c>
      <c r="H244" s="2" t="s">
        <v>368</v>
      </c>
      <c r="I244" s="2" t="s">
        <v>145</v>
      </c>
      <c r="J244" s="2" t="s">
        <v>369</v>
      </c>
      <c r="K244" s="10" t="b">
        <f aca="false">FALSE()</f>
        <v>0</v>
      </c>
      <c r="L244" s="10" t="b">
        <f aca="false">FALSE()</f>
        <v>0</v>
      </c>
      <c r="M244" s="2" t="s">
        <v>494</v>
      </c>
      <c r="N244" s="2" t="s">
        <v>371</v>
      </c>
      <c r="O244" s="2" t="s">
        <v>495</v>
      </c>
      <c r="P244" s="2" t="n">
        <v>60</v>
      </c>
      <c r="Q244" s="2" t="s">
        <v>496</v>
      </c>
      <c r="R244" s="11" t="s">
        <v>497</v>
      </c>
      <c r="S244" s="11" t="s">
        <v>498</v>
      </c>
      <c r="T244" s="2" t="s">
        <v>219</v>
      </c>
      <c r="U244" s="2" t="s">
        <v>153</v>
      </c>
      <c r="V244" s="2" t="s">
        <v>570</v>
      </c>
      <c r="W244" s="11" t="s">
        <v>571</v>
      </c>
      <c r="X244" s="2"/>
      <c r="Y244" s="2"/>
      <c r="Z244" s="2"/>
      <c r="AA244" s="2"/>
      <c r="AB244" s="2" t="s">
        <v>572</v>
      </c>
      <c r="AC244" s="2" t="s">
        <v>157</v>
      </c>
      <c r="AD244" s="2" t="s">
        <v>132</v>
      </c>
      <c r="AE244" s="10" t="b">
        <f aca="false">FALSE()</f>
        <v>0</v>
      </c>
      <c r="AF244" s="2" t="s">
        <v>133</v>
      </c>
      <c r="AG244" s="2" t="s">
        <v>158</v>
      </c>
      <c r="AH244" s="2" t="s">
        <v>135</v>
      </c>
      <c r="AI244" s="11" t="s">
        <v>502</v>
      </c>
      <c r="AJ244" s="2" t="s">
        <v>1277</v>
      </c>
      <c r="AK244" s="2"/>
      <c r="AL244" s="2"/>
    </row>
    <row r="245" customFormat="false" ht="90" hidden="false" customHeight="true" outlineLevel="0" collapsed="false">
      <c r="A245" s="2" t="s">
        <v>838</v>
      </c>
      <c r="B245" s="2" t="s">
        <v>569</v>
      </c>
      <c r="C245" s="2" t="s">
        <v>474</v>
      </c>
      <c r="D245" s="9" t="n">
        <v>242</v>
      </c>
      <c r="E245" s="2" t="s">
        <v>491</v>
      </c>
      <c r="F245" s="2" t="s">
        <v>492</v>
      </c>
      <c r="G245" s="2" t="s">
        <v>524</v>
      </c>
      <c r="H245" s="2" t="s">
        <v>368</v>
      </c>
      <c r="I245" s="2" t="s">
        <v>145</v>
      </c>
      <c r="J245" s="2" t="s">
        <v>369</v>
      </c>
      <c r="K245" s="10" t="b">
        <f aca="false">FALSE()</f>
        <v>0</v>
      </c>
      <c r="L245" s="10" t="b">
        <f aca="false">TRUE()</f>
        <v>1</v>
      </c>
      <c r="M245" s="2" t="s">
        <v>494</v>
      </c>
      <c r="N245" s="2" t="s">
        <v>371</v>
      </c>
      <c r="O245" s="2" t="s">
        <v>495</v>
      </c>
      <c r="P245" s="2" t="n">
        <v>60</v>
      </c>
      <c r="Q245" s="2" t="s">
        <v>496</v>
      </c>
      <c r="R245" s="11" t="s">
        <v>497</v>
      </c>
      <c r="S245" s="11" t="s">
        <v>498</v>
      </c>
      <c r="T245" s="2" t="s">
        <v>219</v>
      </c>
      <c r="U245" s="2" t="s">
        <v>153</v>
      </c>
      <c r="V245" s="2" t="s">
        <v>570</v>
      </c>
      <c r="W245" s="11" t="s">
        <v>571</v>
      </c>
      <c r="X245" s="2"/>
      <c r="Y245" s="2"/>
      <c r="Z245" s="2"/>
      <c r="AA245" s="2"/>
      <c r="AB245" s="2" t="s">
        <v>572</v>
      </c>
      <c r="AC245" s="2" t="s">
        <v>157</v>
      </c>
      <c r="AD245" s="2" t="s">
        <v>132</v>
      </c>
      <c r="AE245" s="10" t="b">
        <f aca="false">FALSE()</f>
        <v>0</v>
      </c>
      <c r="AF245" s="2" t="s">
        <v>133</v>
      </c>
      <c r="AG245" s="2" t="s">
        <v>158</v>
      </c>
      <c r="AH245" s="2" t="s">
        <v>135</v>
      </c>
      <c r="AI245" s="11" t="s">
        <v>502</v>
      </c>
      <c r="AJ245" s="2" t="s">
        <v>1277</v>
      </c>
      <c r="AK245" s="2"/>
      <c r="AL245" s="2"/>
    </row>
    <row r="246" customFormat="false" ht="90" hidden="false" customHeight="true" outlineLevel="0" collapsed="false">
      <c r="A246" s="2" t="s">
        <v>840</v>
      </c>
      <c r="B246" s="2" t="s">
        <v>569</v>
      </c>
      <c r="C246" s="2" t="s">
        <v>474</v>
      </c>
      <c r="D246" s="9" t="n">
        <v>242</v>
      </c>
      <c r="E246" s="2" t="s">
        <v>491</v>
      </c>
      <c r="F246" s="2" t="s">
        <v>492</v>
      </c>
      <c r="G246" s="2" t="s">
        <v>524</v>
      </c>
      <c r="H246" s="2" t="s">
        <v>368</v>
      </c>
      <c r="I246" s="2" t="s">
        <v>145</v>
      </c>
      <c r="J246" s="2" t="s">
        <v>369</v>
      </c>
      <c r="K246" s="10" t="b">
        <f aca="false">FALSE()</f>
        <v>0</v>
      </c>
      <c r="L246" s="10" t="b">
        <f aca="false">FALSE()</f>
        <v>0</v>
      </c>
      <c r="M246" s="2" t="s">
        <v>494</v>
      </c>
      <c r="N246" s="2" t="s">
        <v>371</v>
      </c>
      <c r="O246" s="2" t="s">
        <v>495</v>
      </c>
      <c r="P246" s="2" t="n">
        <v>30</v>
      </c>
      <c r="Q246" s="2" t="s">
        <v>496</v>
      </c>
      <c r="R246" s="11" t="s">
        <v>497</v>
      </c>
      <c r="S246" s="11" t="s">
        <v>498</v>
      </c>
      <c r="T246" s="2" t="s">
        <v>632</v>
      </c>
      <c r="U246" s="2" t="s">
        <v>153</v>
      </c>
      <c r="V246" s="2" t="s">
        <v>606</v>
      </c>
      <c r="W246" s="11" t="s">
        <v>607</v>
      </c>
      <c r="X246" s="2"/>
      <c r="Y246" s="2"/>
      <c r="Z246" s="2"/>
      <c r="AA246" s="2"/>
      <c r="AB246" s="2" t="s">
        <v>608</v>
      </c>
      <c r="AC246" s="2" t="s">
        <v>131</v>
      </c>
      <c r="AD246" s="2" t="s">
        <v>440</v>
      </c>
      <c r="AE246" s="10" t="b">
        <f aca="false">FALSE()</f>
        <v>0</v>
      </c>
      <c r="AF246" s="2" t="s">
        <v>133</v>
      </c>
      <c r="AG246" s="2" t="s">
        <v>158</v>
      </c>
      <c r="AH246" s="2" t="s">
        <v>135</v>
      </c>
      <c r="AI246" s="11" t="s">
        <v>502</v>
      </c>
      <c r="AJ246" s="2" t="s">
        <v>1277</v>
      </c>
      <c r="AK246" s="2"/>
      <c r="AL246" s="2"/>
    </row>
    <row r="247" customFormat="false" ht="90" hidden="false" customHeight="true" outlineLevel="0" collapsed="false">
      <c r="A247" s="2" t="s">
        <v>842</v>
      </c>
      <c r="B247" s="2" t="s">
        <v>569</v>
      </c>
      <c r="C247" s="2" t="s">
        <v>474</v>
      </c>
      <c r="D247" s="9" t="n">
        <v>240</v>
      </c>
      <c r="E247" s="2" t="s">
        <v>491</v>
      </c>
      <c r="F247" s="2" t="s">
        <v>492</v>
      </c>
      <c r="G247" s="2" t="s">
        <v>524</v>
      </c>
      <c r="H247" s="2" t="s">
        <v>368</v>
      </c>
      <c r="I247" s="2" t="s">
        <v>145</v>
      </c>
      <c r="J247" s="2" t="s">
        <v>369</v>
      </c>
      <c r="K247" s="10" t="b">
        <f aca="false">FALSE()</f>
        <v>0</v>
      </c>
      <c r="L247" s="10" t="b">
        <f aca="false">TRUE()</f>
        <v>1</v>
      </c>
      <c r="M247" s="2" t="s">
        <v>494</v>
      </c>
      <c r="N247" s="2" t="s">
        <v>371</v>
      </c>
      <c r="O247" s="2" t="s">
        <v>495</v>
      </c>
      <c r="P247" s="2" t="n">
        <v>60</v>
      </c>
      <c r="Q247" s="2" t="s">
        <v>496</v>
      </c>
      <c r="R247" s="11" t="s">
        <v>497</v>
      </c>
      <c r="S247" s="11" t="s">
        <v>498</v>
      </c>
      <c r="T247" s="2" t="s">
        <v>219</v>
      </c>
      <c r="U247" s="2" t="s">
        <v>153</v>
      </c>
      <c r="V247" s="2" t="s">
        <v>570</v>
      </c>
      <c r="W247" s="11" t="s">
        <v>571</v>
      </c>
      <c r="X247" s="2"/>
      <c r="Y247" s="2"/>
      <c r="Z247" s="2"/>
      <c r="AA247" s="2"/>
      <c r="AB247" s="2" t="s">
        <v>572</v>
      </c>
      <c r="AC247" s="2" t="s">
        <v>157</v>
      </c>
      <c r="AD247" s="2" t="s">
        <v>132</v>
      </c>
      <c r="AE247" s="10" t="b">
        <f aca="false">FALSE()</f>
        <v>0</v>
      </c>
      <c r="AF247" s="2" t="s">
        <v>133</v>
      </c>
      <c r="AG247" s="2" t="s">
        <v>158</v>
      </c>
      <c r="AH247" s="2" t="s">
        <v>135</v>
      </c>
      <c r="AI247" s="11" t="s">
        <v>502</v>
      </c>
      <c r="AJ247" s="2" t="s">
        <v>1277</v>
      </c>
      <c r="AK247" s="2"/>
      <c r="AL247" s="2"/>
    </row>
    <row r="248" customFormat="false" ht="90" hidden="false" customHeight="true" outlineLevel="0" collapsed="false">
      <c r="A248" s="2" t="s">
        <v>844</v>
      </c>
      <c r="B248" s="2" t="s">
        <v>569</v>
      </c>
      <c r="C248" s="2" t="s">
        <v>474</v>
      </c>
      <c r="D248" s="9" t="n">
        <v>230</v>
      </c>
      <c r="E248" s="2" t="s">
        <v>491</v>
      </c>
      <c r="F248" s="2" t="s">
        <v>492</v>
      </c>
      <c r="G248" s="2" t="s">
        <v>524</v>
      </c>
      <c r="H248" s="2" t="s">
        <v>368</v>
      </c>
      <c r="I248" s="2" t="s">
        <v>145</v>
      </c>
      <c r="J248" s="2" t="s">
        <v>369</v>
      </c>
      <c r="K248" s="10" t="b">
        <f aca="false">FALSE()</f>
        <v>0</v>
      </c>
      <c r="L248" s="10" t="b">
        <f aca="false">TRUE()</f>
        <v>1</v>
      </c>
      <c r="M248" s="2" t="s">
        <v>494</v>
      </c>
      <c r="N248" s="2" t="s">
        <v>371</v>
      </c>
      <c r="O248" s="2" t="s">
        <v>495</v>
      </c>
      <c r="P248" s="2" t="n">
        <v>60</v>
      </c>
      <c r="Q248" s="2" t="s">
        <v>496</v>
      </c>
      <c r="R248" s="11" t="s">
        <v>497</v>
      </c>
      <c r="S248" s="11" t="s">
        <v>498</v>
      </c>
      <c r="T248" s="2" t="s">
        <v>219</v>
      </c>
      <c r="U248" s="2" t="s">
        <v>153</v>
      </c>
      <c r="V248" s="2" t="s">
        <v>570</v>
      </c>
      <c r="W248" s="11" t="s">
        <v>571</v>
      </c>
      <c r="X248" s="2"/>
      <c r="Y248" s="2"/>
      <c r="Z248" s="2"/>
      <c r="AA248" s="2"/>
      <c r="AB248" s="2" t="s">
        <v>572</v>
      </c>
      <c r="AC248" s="2" t="s">
        <v>157</v>
      </c>
      <c r="AD248" s="2" t="s">
        <v>132</v>
      </c>
      <c r="AE248" s="10" t="b">
        <f aca="false">FALSE()</f>
        <v>0</v>
      </c>
      <c r="AF248" s="2" t="s">
        <v>133</v>
      </c>
      <c r="AG248" s="2" t="s">
        <v>158</v>
      </c>
      <c r="AH248" s="2" t="s">
        <v>135</v>
      </c>
      <c r="AI248" s="11" t="s">
        <v>502</v>
      </c>
      <c r="AJ248" s="2" t="s">
        <v>1277</v>
      </c>
      <c r="AK248" s="2"/>
      <c r="AL248" s="2"/>
    </row>
    <row r="249" customFormat="false" ht="90" hidden="false" customHeight="true" outlineLevel="0" collapsed="false">
      <c r="A249" s="2" t="s">
        <v>846</v>
      </c>
      <c r="B249" s="2" t="s">
        <v>569</v>
      </c>
      <c r="C249" s="2" t="s">
        <v>474</v>
      </c>
      <c r="D249" s="9" t="n">
        <v>222</v>
      </c>
      <c r="E249" s="2" t="s">
        <v>491</v>
      </c>
      <c r="F249" s="2" t="s">
        <v>492</v>
      </c>
      <c r="G249" s="2" t="s">
        <v>524</v>
      </c>
      <c r="H249" s="2" t="s">
        <v>368</v>
      </c>
      <c r="I249" s="2" t="s">
        <v>145</v>
      </c>
      <c r="J249" s="2" t="s">
        <v>369</v>
      </c>
      <c r="K249" s="10" t="b">
        <f aca="false">FALSE()</f>
        <v>0</v>
      </c>
      <c r="L249" s="10" t="b">
        <f aca="false">TRUE()</f>
        <v>1</v>
      </c>
      <c r="M249" s="2" t="s">
        <v>494</v>
      </c>
      <c r="N249" s="2" t="s">
        <v>371</v>
      </c>
      <c r="O249" s="2" t="s">
        <v>495</v>
      </c>
      <c r="P249" s="2" t="n">
        <v>60</v>
      </c>
      <c r="Q249" s="2" t="s">
        <v>496</v>
      </c>
      <c r="R249" s="11" t="s">
        <v>497</v>
      </c>
      <c r="S249" s="11" t="s">
        <v>498</v>
      </c>
      <c r="T249" s="2" t="s">
        <v>219</v>
      </c>
      <c r="U249" s="2" t="s">
        <v>153</v>
      </c>
      <c r="V249" s="2" t="s">
        <v>570</v>
      </c>
      <c r="W249" s="11" t="s">
        <v>575</v>
      </c>
      <c r="X249" s="2"/>
      <c r="Y249" s="2"/>
      <c r="Z249" s="2"/>
      <c r="AA249" s="2"/>
      <c r="AB249" s="2" t="s">
        <v>572</v>
      </c>
      <c r="AC249" s="2" t="s">
        <v>157</v>
      </c>
      <c r="AD249" s="2" t="s">
        <v>132</v>
      </c>
      <c r="AE249" s="10" t="b">
        <f aca="false">FALSE()</f>
        <v>0</v>
      </c>
      <c r="AF249" s="2" t="s">
        <v>133</v>
      </c>
      <c r="AG249" s="2" t="s">
        <v>158</v>
      </c>
      <c r="AH249" s="2" t="s">
        <v>135</v>
      </c>
      <c r="AI249" s="11" t="s">
        <v>502</v>
      </c>
      <c r="AJ249" s="2" t="s">
        <v>1277</v>
      </c>
      <c r="AK249" s="2"/>
      <c r="AL249" s="2"/>
    </row>
    <row r="250" customFormat="false" ht="90" hidden="false" customHeight="true" outlineLevel="0" collapsed="false">
      <c r="A250" s="2" t="s">
        <v>1200</v>
      </c>
      <c r="B250" s="2" t="s">
        <v>569</v>
      </c>
      <c r="C250" s="2" t="s">
        <v>474</v>
      </c>
      <c r="D250" s="9" t="n">
        <v>218</v>
      </c>
      <c r="E250" s="2" t="s">
        <v>491</v>
      </c>
      <c r="F250" s="2" t="s">
        <v>492</v>
      </c>
      <c r="G250" s="2" t="s">
        <v>524</v>
      </c>
      <c r="H250" s="2" t="s">
        <v>368</v>
      </c>
      <c r="I250" s="2" t="s">
        <v>145</v>
      </c>
      <c r="J250" s="2" t="s">
        <v>369</v>
      </c>
      <c r="K250" s="10" t="b">
        <f aca="false">FALSE()</f>
        <v>0</v>
      </c>
      <c r="L250" s="10" t="b">
        <f aca="false">TRUE()</f>
        <v>1</v>
      </c>
      <c r="M250" s="2" t="s">
        <v>494</v>
      </c>
      <c r="N250" s="2" t="s">
        <v>371</v>
      </c>
      <c r="O250" s="2" t="s">
        <v>495</v>
      </c>
      <c r="P250" s="2" t="n">
        <v>60</v>
      </c>
      <c r="Q250" s="2" t="s">
        <v>496</v>
      </c>
      <c r="R250" s="11" t="s">
        <v>497</v>
      </c>
      <c r="S250" s="11" t="s">
        <v>498</v>
      </c>
      <c r="T250" s="2" t="s">
        <v>219</v>
      </c>
      <c r="U250" s="2" t="s">
        <v>153</v>
      </c>
      <c r="V250" s="2" t="s">
        <v>570</v>
      </c>
      <c r="W250" s="11" t="s">
        <v>571</v>
      </c>
      <c r="X250" s="2"/>
      <c r="Y250" s="2"/>
      <c r="Z250" s="2"/>
      <c r="AA250" s="2"/>
      <c r="AB250" s="2" t="s">
        <v>572</v>
      </c>
      <c r="AC250" s="2" t="s">
        <v>157</v>
      </c>
      <c r="AD250" s="2" t="s">
        <v>132</v>
      </c>
      <c r="AE250" s="10" t="b">
        <f aca="false">FALSE()</f>
        <v>0</v>
      </c>
      <c r="AF250" s="2" t="s">
        <v>133</v>
      </c>
      <c r="AG250" s="2" t="s">
        <v>158</v>
      </c>
      <c r="AH250" s="2" t="s">
        <v>135</v>
      </c>
      <c r="AI250" s="11" t="s">
        <v>502</v>
      </c>
      <c r="AJ250" s="2" t="s">
        <v>1142</v>
      </c>
      <c r="AK250" s="2" t="s">
        <v>1142</v>
      </c>
      <c r="AL250" s="2" t="s">
        <v>1201</v>
      </c>
    </row>
    <row r="251" customFormat="false" ht="90" hidden="false" customHeight="true" outlineLevel="0" collapsed="false">
      <c r="A251" s="2" t="s">
        <v>848</v>
      </c>
      <c r="B251" s="2" t="s">
        <v>569</v>
      </c>
      <c r="C251" s="2" t="s">
        <v>474</v>
      </c>
      <c r="D251" s="9" t="n">
        <v>217</v>
      </c>
      <c r="E251" s="2" t="s">
        <v>491</v>
      </c>
      <c r="F251" s="2" t="s">
        <v>492</v>
      </c>
      <c r="G251" s="2" t="s">
        <v>524</v>
      </c>
      <c r="H251" s="2" t="s">
        <v>368</v>
      </c>
      <c r="I251" s="2" t="s">
        <v>145</v>
      </c>
      <c r="J251" s="2" t="s">
        <v>369</v>
      </c>
      <c r="K251" s="10" t="b">
        <f aca="false">FALSE()</f>
        <v>0</v>
      </c>
      <c r="L251" s="10" t="b">
        <f aca="false">TRUE()</f>
        <v>1</v>
      </c>
      <c r="M251" s="2" t="s">
        <v>494</v>
      </c>
      <c r="N251" s="2" t="s">
        <v>371</v>
      </c>
      <c r="O251" s="2" t="s">
        <v>495</v>
      </c>
      <c r="P251" s="2" t="n">
        <v>60</v>
      </c>
      <c r="Q251" s="2" t="s">
        <v>496</v>
      </c>
      <c r="R251" s="11" t="s">
        <v>497</v>
      </c>
      <c r="S251" s="11" t="s">
        <v>498</v>
      </c>
      <c r="T251" s="2" t="s">
        <v>219</v>
      </c>
      <c r="U251" s="2" t="s">
        <v>153</v>
      </c>
      <c r="V251" s="2" t="s">
        <v>570</v>
      </c>
      <c r="W251" s="11" t="s">
        <v>571</v>
      </c>
      <c r="X251" s="2"/>
      <c r="Y251" s="2"/>
      <c r="Z251" s="2"/>
      <c r="AA251" s="2"/>
      <c r="AB251" s="2" t="s">
        <v>572</v>
      </c>
      <c r="AC251" s="2" t="s">
        <v>157</v>
      </c>
      <c r="AD251" s="2" t="s">
        <v>132</v>
      </c>
      <c r="AE251" s="10" t="b">
        <f aca="false">FALSE()</f>
        <v>0</v>
      </c>
      <c r="AF251" s="2" t="s">
        <v>133</v>
      </c>
      <c r="AG251" s="2" t="s">
        <v>158</v>
      </c>
      <c r="AH251" s="2" t="s">
        <v>135</v>
      </c>
      <c r="AI251" s="11" t="s">
        <v>502</v>
      </c>
      <c r="AJ251" s="2" t="s">
        <v>1277</v>
      </c>
      <c r="AK251" s="2"/>
      <c r="AL251" s="2"/>
    </row>
    <row r="252" customFormat="false" ht="90" hidden="false" customHeight="true" outlineLevel="0" collapsed="false">
      <c r="A252" s="2" t="s">
        <v>850</v>
      </c>
      <c r="B252" s="2" t="s">
        <v>569</v>
      </c>
      <c r="C252" s="2" t="s">
        <v>474</v>
      </c>
      <c r="D252" s="9" t="n">
        <v>216</v>
      </c>
      <c r="E252" s="2" t="s">
        <v>491</v>
      </c>
      <c r="F252" s="2" t="s">
        <v>492</v>
      </c>
      <c r="G252" s="2" t="s">
        <v>524</v>
      </c>
      <c r="H252" s="2" t="s">
        <v>368</v>
      </c>
      <c r="I252" s="2" t="s">
        <v>145</v>
      </c>
      <c r="J252" s="2" t="s">
        <v>369</v>
      </c>
      <c r="K252" s="10" t="b">
        <f aca="false">FALSE()</f>
        <v>0</v>
      </c>
      <c r="L252" s="10" t="b">
        <f aca="false">FALSE()</f>
        <v>0</v>
      </c>
      <c r="M252" s="2" t="s">
        <v>494</v>
      </c>
      <c r="N252" s="2" t="s">
        <v>371</v>
      </c>
      <c r="O252" s="2" t="s">
        <v>495</v>
      </c>
      <c r="P252" s="2" t="n">
        <v>60</v>
      </c>
      <c r="Q252" s="2" t="s">
        <v>496</v>
      </c>
      <c r="R252" s="11" t="s">
        <v>497</v>
      </c>
      <c r="S252" s="11" t="s">
        <v>498</v>
      </c>
      <c r="T252" s="2" t="s">
        <v>219</v>
      </c>
      <c r="U252" s="2" t="s">
        <v>153</v>
      </c>
      <c r="V252" s="2" t="s">
        <v>570</v>
      </c>
      <c r="W252" s="11" t="s">
        <v>575</v>
      </c>
      <c r="X252" s="2"/>
      <c r="Y252" s="2"/>
      <c r="Z252" s="2"/>
      <c r="AA252" s="2"/>
      <c r="AB252" s="2" t="s">
        <v>572</v>
      </c>
      <c r="AC252" s="2" t="s">
        <v>157</v>
      </c>
      <c r="AD252" s="2" t="s">
        <v>132</v>
      </c>
      <c r="AE252" s="10" t="b">
        <f aca="false">FALSE()</f>
        <v>0</v>
      </c>
      <c r="AF252" s="2" t="s">
        <v>133</v>
      </c>
      <c r="AG252" s="2" t="s">
        <v>158</v>
      </c>
      <c r="AH252" s="2" t="s">
        <v>135</v>
      </c>
      <c r="AI252" s="11" t="s">
        <v>502</v>
      </c>
      <c r="AJ252" s="2" t="s">
        <v>1277</v>
      </c>
      <c r="AK252" s="2"/>
      <c r="AL252" s="2"/>
    </row>
    <row r="253" customFormat="false" ht="90" hidden="false" customHeight="true" outlineLevel="0" collapsed="false">
      <c r="A253" s="2" t="s">
        <v>852</v>
      </c>
      <c r="B253" s="2" t="s">
        <v>569</v>
      </c>
      <c r="C253" s="2" t="s">
        <v>474</v>
      </c>
      <c r="D253" s="9" t="n">
        <v>216</v>
      </c>
      <c r="E253" s="2" t="s">
        <v>491</v>
      </c>
      <c r="F253" s="2" t="s">
        <v>492</v>
      </c>
      <c r="G253" s="2" t="s">
        <v>524</v>
      </c>
      <c r="H253" s="2" t="s">
        <v>368</v>
      </c>
      <c r="I253" s="2" t="s">
        <v>145</v>
      </c>
      <c r="J253" s="2" t="s">
        <v>369</v>
      </c>
      <c r="K253" s="10" t="b">
        <f aca="false">FALSE()</f>
        <v>0</v>
      </c>
      <c r="L253" s="10" t="b">
        <f aca="false">FALSE()</f>
        <v>0</v>
      </c>
      <c r="M253" s="2" t="s">
        <v>494</v>
      </c>
      <c r="N253" s="2" t="s">
        <v>371</v>
      </c>
      <c r="O253" s="2" t="s">
        <v>495</v>
      </c>
      <c r="P253" s="2" t="n">
        <v>60</v>
      </c>
      <c r="Q253" s="2" t="s">
        <v>496</v>
      </c>
      <c r="R253" s="11" t="s">
        <v>497</v>
      </c>
      <c r="S253" s="11" t="s">
        <v>498</v>
      </c>
      <c r="T253" s="2" t="s">
        <v>219</v>
      </c>
      <c r="U253" s="2" t="s">
        <v>153</v>
      </c>
      <c r="V253" s="2" t="s">
        <v>570</v>
      </c>
      <c r="W253" s="11" t="s">
        <v>571</v>
      </c>
      <c r="X253" s="2"/>
      <c r="Y253" s="2"/>
      <c r="Z253" s="2"/>
      <c r="AA253" s="2"/>
      <c r="AB253" s="2" t="s">
        <v>572</v>
      </c>
      <c r="AC253" s="2" t="s">
        <v>157</v>
      </c>
      <c r="AD253" s="2" t="s">
        <v>132</v>
      </c>
      <c r="AE253" s="10" t="b">
        <f aca="false">FALSE()</f>
        <v>0</v>
      </c>
      <c r="AF253" s="2" t="s">
        <v>133</v>
      </c>
      <c r="AG253" s="2" t="s">
        <v>158</v>
      </c>
      <c r="AH253" s="2" t="s">
        <v>135</v>
      </c>
      <c r="AI253" s="11" t="s">
        <v>502</v>
      </c>
      <c r="AJ253" s="2" t="s">
        <v>1277</v>
      </c>
      <c r="AK253" s="2"/>
      <c r="AL253" s="2"/>
    </row>
    <row r="254" customFormat="false" ht="90" hidden="false" customHeight="true" outlineLevel="0" collapsed="false">
      <c r="A254" s="2" t="s">
        <v>854</v>
      </c>
      <c r="B254" s="2" t="s">
        <v>569</v>
      </c>
      <c r="C254" s="2" t="s">
        <v>474</v>
      </c>
      <c r="D254" s="9" t="n">
        <v>212</v>
      </c>
      <c r="E254" s="2" t="s">
        <v>491</v>
      </c>
      <c r="F254" s="2" t="s">
        <v>492</v>
      </c>
      <c r="G254" s="2" t="s">
        <v>524</v>
      </c>
      <c r="H254" s="2" t="s">
        <v>368</v>
      </c>
      <c r="I254" s="2" t="s">
        <v>145</v>
      </c>
      <c r="J254" s="2" t="s">
        <v>369</v>
      </c>
      <c r="K254" s="10" t="b">
        <f aca="false">FALSE()</f>
        <v>0</v>
      </c>
      <c r="L254" s="10" t="b">
        <f aca="false">FALSE()</f>
        <v>0</v>
      </c>
      <c r="M254" s="2" t="s">
        <v>494</v>
      </c>
      <c r="N254" s="2" t="s">
        <v>371</v>
      </c>
      <c r="O254" s="2" t="s">
        <v>495</v>
      </c>
      <c r="P254" s="2" t="n">
        <v>30</v>
      </c>
      <c r="Q254" s="2" t="s">
        <v>496</v>
      </c>
      <c r="R254" s="11" t="s">
        <v>497</v>
      </c>
      <c r="S254" s="11" t="s">
        <v>498</v>
      </c>
      <c r="T254" s="2" t="s">
        <v>557</v>
      </c>
      <c r="U254" s="2" t="s">
        <v>153</v>
      </c>
      <c r="V254" s="2" t="s">
        <v>606</v>
      </c>
      <c r="W254" s="11" t="s">
        <v>607</v>
      </c>
      <c r="X254" s="2"/>
      <c r="Y254" s="2"/>
      <c r="Z254" s="2"/>
      <c r="AA254" s="2"/>
      <c r="AB254" s="2" t="s">
        <v>608</v>
      </c>
      <c r="AC254" s="2" t="s">
        <v>131</v>
      </c>
      <c r="AD254" s="2" t="s">
        <v>440</v>
      </c>
      <c r="AE254" s="10" t="b">
        <f aca="false">FALSE()</f>
        <v>0</v>
      </c>
      <c r="AF254" s="2" t="s">
        <v>133</v>
      </c>
      <c r="AG254" s="2" t="s">
        <v>158</v>
      </c>
      <c r="AH254" s="2" t="s">
        <v>135</v>
      </c>
      <c r="AI254" s="11" t="s">
        <v>502</v>
      </c>
      <c r="AJ254" s="2" t="s">
        <v>1277</v>
      </c>
      <c r="AK254" s="2"/>
      <c r="AL254" s="2"/>
    </row>
    <row r="255" customFormat="false" ht="90" hidden="false" customHeight="true" outlineLevel="0" collapsed="false">
      <c r="A255" s="2" t="s">
        <v>856</v>
      </c>
      <c r="B255" s="2" t="s">
        <v>569</v>
      </c>
      <c r="C255" s="2" t="s">
        <v>474</v>
      </c>
      <c r="D255" s="9" t="n">
        <v>211</v>
      </c>
      <c r="E255" s="2" t="s">
        <v>491</v>
      </c>
      <c r="F255" s="2" t="s">
        <v>492</v>
      </c>
      <c r="G255" s="2" t="s">
        <v>524</v>
      </c>
      <c r="H255" s="2" t="s">
        <v>368</v>
      </c>
      <c r="I255" s="2" t="s">
        <v>145</v>
      </c>
      <c r="J255" s="2" t="s">
        <v>369</v>
      </c>
      <c r="K255" s="10" t="b">
        <f aca="false">FALSE()</f>
        <v>0</v>
      </c>
      <c r="L255" s="10" t="b">
        <f aca="false">FALSE()</f>
        <v>0</v>
      </c>
      <c r="M255" s="2" t="s">
        <v>494</v>
      </c>
      <c r="N255" s="2" t="s">
        <v>371</v>
      </c>
      <c r="O255" s="2" t="s">
        <v>495</v>
      </c>
      <c r="P255" s="2" t="n">
        <v>30</v>
      </c>
      <c r="Q255" s="2" t="s">
        <v>496</v>
      </c>
      <c r="R255" s="11" t="s">
        <v>497</v>
      </c>
      <c r="S255" s="11" t="s">
        <v>498</v>
      </c>
      <c r="T255" s="2" t="s">
        <v>632</v>
      </c>
      <c r="U255" s="2" t="s">
        <v>153</v>
      </c>
      <c r="V255" s="2" t="s">
        <v>606</v>
      </c>
      <c r="W255" s="11" t="s">
        <v>607</v>
      </c>
      <c r="X255" s="2"/>
      <c r="Y255" s="2"/>
      <c r="Z255" s="2"/>
      <c r="AA255" s="2"/>
      <c r="AB255" s="2" t="s">
        <v>608</v>
      </c>
      <c r="AC255" s="2" t="s">
        <v>131</v>
      </c>
      <c r="AD255" s="2" t="s">
        <v>440</v>
      </c>
      <c r="AE255" s="10" t="b">
        <f aca="false">FALSE()</f>
        <v>0</v>
      </c>
      <c r="AF255" s="2" t="s">
        <v>133</v>
      </c>
      <c r="AG255" s="2" t="s">
        <v>158</v>
      </c>
      <c r="AH255" s="2" t="s">
        <v>135</v>
      </c>
      <c r="AI255" s="11" t="s">
        <v>502</v>
      </c>
      <c r="AJ255" s="2" t="s">
        <v>1277</v>
      </c>
      <c r="AK255" s="2"/>
      <c r="AL255" s="2"/>
    </row>
    <row r="256" customFormat="false" ht="90" hidden="false" customHeight="true" outlineLevel="0" collapsed="false">
      <c r="A256" s="2" t="s">
        <v>858</v>
      </c>
      <c r="B256" s="2" t="s">
        <v>569</v>
      </c>
      <c r="C256" s="2" t="s">
        <v>474</v>
      </c>
      <c r="D256" s="9" t="n">
        <v>209</v>
      </c>
      <c r="E256" s="2" t="s">
        <v>491</v>
      </c>
      <c r="F256" s="2" t="s">
        <v>492</v>
      </c>
      <c r="G256" s="2" t="s">
        <v>524</v>
      </c>
      <c r="H256" s="2" t="s">
        <v>368</v>
      </c>
      <c r="I256" s="2" t="s">
        <v>145</v>
      </c>
      <c r="J256" s="2" t="s">
        <v>369</v>
      </c>
      <c r="K256" s="10" t="b">
        <f aca="false">FALSE()</f>
        <v>0</v>
      </c>
      <c r="L256" s="10" t="b">
        <f aca="false">TRUE()</f>
        <v>1</v>
      </c>
      <c r="M256" s="2" t="s">
        <v>494</v>
      </c>
      <c r="N256" s="2" t="s">
        <v>371</v>
      </c>
      <c r="O256" s="2" t="s">
        <v>495</v>
      </c>
      <c r="P256" s="2" t="n">
        <v>60</v>
      </c>
      <c r="Q256" s="2" t="s">
        <v>496</v>
      </c>
      <c r="R256" s="11" t="s">
        <v>497</v>
      </c>
      <c r="S256" s="11" t="s">
        <v>498</v>
      </c>
      <c r="T256" s="2" t="s">
        <v>219</v>
      </c>
      <c r="U256" s="2" t="s">
        <v>153</v>
      </c>
      <c r="V256" s="2" t="s">
        <v>570</v>
      </c>
      <c r="W256" s="11" t="s">
        <v>571</v>
      </c>
      <c r="X256" s="2"/>
      <c r="Y256" s="2"/>
      <c r="Z256" s="2"/>
      <c r="AA256" s="2"/>
      <c r="AB256" s="2" t="s">
        <v>572</v>
      </c>
      <c r="AC256" s="2" t="s">
        <v>157</v>
      </c>
      <c r="AD256" s="2" t="s">
        <v>132</v>
      </c>
      <c r="AE256" s="10" t="b">
        <f aca="false">FALSE()</f>
        <v>0</v>
      </c>
      <c r="AF256" s="2" t="s">
        <v>133</v>
      </c>
      <c r="AG256" s="2" t="s">
        <v>158</v>
      </c>
      <c r="AH256" s="2" t="s">
        <v>135</v>
      </c>
      <c r="AI256" s="11" t="s">
        <v>502</v>
      </c>
      <c r="AJ256" s="2" t="s">
        <v>1277</v>
      </c>
      <c r="AK256" s="2"/>
      <c r="AL256" s="2"/>
    </row>
    <row r="257" customFormat="false" ht="90" hidden="false" customHeight="true" outlineLevel="0" collapsed="false">
      <c r="A257" s="2" t="s">
        <v>860</v>
      </c>
      <c r="B257" s="2" t="s">
        <v>569</v>
      </c>
      <c r="C257" s="2" t="s">
        <v>474</v>
      </c>
      <c r="D257" s="9" t="n">
        <v>209</v>
      </c>
      <c r="E257" s="2" t="s">
        <v>491</v>
      </c>
      <c r="F257" s="2" t="s">
        <v>492</v>
      </c>
      <c r="G257" s="2" t="s">
        <v>524</v>
      </c>
      <c r="H257" s="2" t="s">
        <v>368</v>
      </c>
      <c r="I257" s="2" t="s">
        <v>145</v>
      </c>
      <c r="J257" s="2" t="s">
        <v>369</v>
      </c>
      <c r="K257" s="10" t="b">
        <f aca="false">FALSE()</f>
        <v>0</v>
      </c>
      <c r="L257" s="10" t="b">
        <f aca="false">FALSE()</f>
        <v>0</v>
      </c>
      <c r="M257" s="2" t="s">
        <v>494</v>
      </c>
      <c r="N257" s="2" t="s">
        <v>371</v>
      </c>
      <c r="O257" s="2" t="s">
        <v>495</v>
      </c>
      <c r="P257" s="2" t="n">
        <v>30</v>
      </c>
      <c r="Q257" s="2" t="s">
        <v>496</v>
      </c>
      <c r="R257" s="11" t="s">
        <v>497</v>
      </c>
      <c r="S257" s="11" t="s">
        <v>498</v>
      </c>
      <c r="T257" s="2" t="s">
        <v>557</v>
      </c>
      <c r="U257" s="2" t="s">
        <v>153</v>
      </c>
      <c r="V257" s="2" t="s">
        <v>606</v>
      </c>
      <c r="W257" s="11" t="s">
        <v>607</v>
      </c>
      <c r="X257" s="2"/>
      <c r="Y257" s="2"/>
      <c r="Z257" s="2"/>
      <c r="AA257" s="2"/>
      <c r="AB257" s="2" t="s">
        <v>608</v>
      </c>
      <c r="AC257" s="2" t="s">
        <v>131</v>
      </c>
      <c r="AD257" s="2" t="s">
        <v>440</v>
      </c>
      <c r="AE257" s="10" t="b">
        <f aca="false">FALSE()</f>
        <v>0</v>
      </c>
      <c r="AF257" s="2" t="s">
        <v>133</v>
      </c>
      <c r="AG257" s="2" t="s">
        <v>158</v>
      </c>
      <c r="AH257" s="2" t="s">
        <v>135</v>
      </c>
      <c r="AI257" s="11" t="s">
        <v>502</v>
      </c>
      <c r="AJ257" s="2" t="s">
        <v>1277</v>
      </c>
      <c r="AK257" s="2"/>
      <c r="AL257" s="2"/>
    </row>
    <row r="258" customFormat="false" ht="90" hidden="false" customHeight="true" outlineLevel="0" collapsed="false">
      <c r="A258" s="2" t="s">
        <v>862</v>
      </c>
      <c r="B258" s="2" t="s">
        <v>569</v>
      </c>
      <c r="C258" s="2" t="s">
        <v>474</v>
      </c>
      <c r="D258" s="9" t="n">
        <v>200</v>
      </c>
      <c r="E258" s="2" t="s">
        <v>491</v>
      </c>
      <c r="F258" s="2" t="s">
        <v>492</v>
      </c>
      <c r="G258" s="2" t="s">
        <v>524</v>
      </c>
      <c r="H258" s="2" t="s">
        <v>368</v>
      </c>
      <c r="I258" s="2" t="s">
        <v>145</v>
      </c>
      <c r="J258" s="2" t="s">
        <v>369</v>
      </c>
      <c r="K258" s="10" t="b">
        <f aca="false">FALSE()</f>
        <v>0</v>
      </c>
      <c r="L258" s="10" t="b">
        <f aca="false">TRUE()</f>
        <v>1</v>
      </c>
      <c r="M258" s="2" t="s">
        <v>494</v>
      </c>
      <c r="N258" s="2" t="s">
        <v>371</v>
      </c>
      <c r="O258" s="2" t="s">
        <v>495</v>
      </c>
      <c r="P258" s="2" t="n">
        <v>60</v>
      </c>
      <c r="Q258" s="2" t="s">
        <v>496</v>
      </c>
      <c r="R258" s="11" t="s">
        <v>497</v>
      </c>
      <c r="S258" s="11" t="s">
        <v>498</v>
      </c>
      <c r="T258" s="2" t="s">
        <v>219</v>
      </c>
      <c r="U258" s="2" t="s">
        <v>153</v>
      </c>
      <c r="V258" s="2" t="s">
        <v>570</v>
      </c>
      <c r="W258" s="11" t="s">
        <v>571</v>
      </c>
      <c r="X258" s="2"/>
      <c r="Y258" s="2"/>
      <c r="Z258" s="2"/>
      <c r="AA258" s="2"/>
      <c r="AB258" s="2" t="s">
        <v>572</v>
      </c>
      <c r="AC258" s="2" t="s">
        <v>157</v>
      </c>
      <c r="AD258" s="2" t="s">
        <v>132</v>
      </c>
      <c r="AE258" s="10" t="b">
        <f aca="false">FALSE()</f>
        <v>0</v>
      </c>
      <c r="AF258" s="2" t="s">
        <v>133</v>
      </c>
      <c r="AG258" s="2" t="s">
        <v>158</v>
      </c>
      <c r="AH258" s="2" t="s">
        <v>135</v>
      </c>
      <c r="AI258" s="11" t="s">
        <v>502</v>
      </c>
      <c r="AJ258" s="2" t="s">
        <v>1277</v>
      </c>
      <c r="AK258" s="2"/>
      <c r="AL258" s="2"/>
    </row>
    <row r="259" customFormat="false" ht="90" hidden="false" customHeight="true" outlineLevel="0" collapsed="false">
      <c r="A259" s="2" t="s">
        <v>864</v>
      </c>
      <c r="B259" s="2" t="s">
        <v>569</v>
      </c>
      <c r="C259" s="2" t="s">
        <v>474</v>
      </c>
      <c r="D259" s="9" t="n">
        <v>200</v>
      </c>
      <c r="E259" s="2" t="s">
        <v>491</v>
      </c>
      <c r="F259" s="2" t="s">
        <v>492</v>
      </c>
      <c r="G259" s="2" t="s">
        <v>524</v>
      </c>
      <c r="H259" s="2" t="s">
        <v>368</v>
      </c>
      <c r="I259" s="2" t="s">
        <v>145</v>
      </c>
      <c r="J259" s="2" t="s">
        <v>369</v>
      </c>
      <c r="K259" s="10" t="b">
        <f aca="false">FALSE()</f>
        <v>0</v>
      </c>
      <c r="L259" s="10" t="b">
        <f aca="false">TRUE()</f>
        <v>1</v>
      </c>
      <c r="M259" s="2" t="s">
        <v>494</v>
      </c>
      <c r="N259" s="2" t="s">
        <v>371</v>
      </c>
      <c r="O259" s="2" t="s">
        <v>495</v>
      </c>
      <c r="P259" s="2" t="n">
        <v>60</v>
      </c>
      <c r="Q259" s="2" t="s">
        <v>496</v>
      </c>
      <c r="R259" s="11" t="s">
        <v>497</v>
      </c>
      <c r="S259" s="11" t="s">
        <v>498</v>
      </c>
      <c r="T259" s="2" t="s">
        <v>219</v>
      </c>
      <c r="U259" s="2" t="s">
        <v>153</v>
      </c>
      <c r="V259" s="2" t="s">
        <v>570</v>
      </c>
      <c r="W259" s="11" t="s">
        <v>571</v>
      </c>
      <c r="X259" s="2"/>
      <c r="Y259" s="2"/>
      <c r="Z259" s="2"/>
      <c r="AA259" s="2"/>
      <c r="AB259" s="2" t="s">
        <v>572</v>
      </c>
      <c r="AC259" s="2" t="s">
        <v>157</v>
      </c>
      <c r="AD259" s="2" t="s">
        <v>132</v>
      </c>
      <c r="AE259" s="10" t="b">
        <f aca="false">FALSE()</f>
        <v>0</v>
      </c>
      <c r="AF259" s="2" t="s">
        <v>133</v>
      </c>
      <c r="AG259" s="2" t="s">
        <v>158</v>
      </c>
      <c r="AH259" s="2" t="s">
        <v>135</v>
      </c>
      <c r="AI259" s="11" t="s">
        <v>502</v>
      </c>
      <c r="AJ259" s="2" t="s">
        <v>1277</v>
      </c>
      <c r="AK259" s="2"/>
      <c r="AL259" s="2"/>
    </row>
    <row r="260" customFormat="false" ht="90" hidden="false" customHeight="true" outlineLevel="0" collapsed="false">
      <c r="A260" s="2" t="s">
        <v>866</v>
      </c>
      <c r="B260" s="2" t="s">
        <v>569</v>
      </c>
      <c r="C260" s="2" t="s">
        <v>474</v>
      </c>
      <c r="D260" s="9" t="n">
        <v>196</v>
      </c>
      <c r="E260" s="2" t="s">
        <v>491</v>
      </c>
      <c r="F260" s="2" t="s">
        <v>492</v>
      </c>
      <c r="G260" s="2" t="s">
        <v>524</v>
      </c>
      <c r="H260" s="2" t="s">
        <v>368</v>
      </c>
      <c r="I260" s="2" t="s">
        <v>145</v>
      </c>
      <c r="J260" s="2" t="s">
        <v>369</v>
      </c>
      <c r="K260" s="10" t="b">
        <f aca="false">FALSE()</f>
        <v>0</v>
      </c>
      <c r="L260" s="10" t="b">
        <f aca="false">TRUE()</f>
        <v>1</v>
      </c>
      <c r="M260" s="2" t="s">
        <v>494</v>
      </c>
      <c r="N260" s="2" t="s">
        <v>371</v>
      </c>
      <c r="O260" s="2" t="s">
        <v>495</v>
      </c>
      <c r="P260" s="2" t="n">
        <v>60</v>
      </c>
      <c r="Q260" s="2" t="s">
        <v>496</v>
      </c>
      <c r="R260" s="11" t="s">
        <v>497</v>
      </c>
      <c r="S260" s="11" t="s">
        <v>498</v>
      </c>
      <c r="T260" s="2" t="s">
        <v>219</v>
      </c>
      <c r="U260" s="2" t="s">
        <v>153</v>
      </c>
      <c r="V260" s="2" t="s">
        <v>570</v>
      </c>
      <c r="W260" s="11" t="s">
        <v>592</v>
      </c>
      <c r="X260" s="2"/>
      <c r="Y260" s="2"/>
      <c r="Z260" s="2"/>
      <c r="AA260" s="2"/>
      <c r="AB260" s="2" t="s">
        <v>572</v>
      </c>
      <c r="AC260" s="2" t="s">
        <v>157</v>
      </c>
      <c r="AD260" s="2" t="s">
        <v>132</v>
      </c>
      <c r="AE260" s="10" t="b">
        <f aca="false">FALSE()</f>
        <v>0</v>
      </c>
      <c r="AF260" s="2" t="s">
        <v>133</v>
      </c>
      <c r="AG260" s="2" t="s">
        <v>158</v>
      </c>
      <c r="AH260" s="2" t="s">
        <v>135</v>
      </c>
      <c r="AI260" s="11" t="s">
        <v>502</v>
      </c>
      <c r="AJ260" s="2" t="s">
        <v>1277</v>
      </c>
      <c r="AK260" s="2"/>
      <c r="AL260" s="2"/>
    </row>
    <row r="261" customFormat="false" ht="90" hidden="false" customHeight="true" outlineLevel="0" collapsed="false">
      <c r="A261" s="2" t="s">
        <v>868</v>
      </c>
      <c r="B261" s="2" t="s">
        <v>569</v>
      </c>
      <c r="C261" s="2" t="s">
        <v>474</v>
      </c>
      <c r="D261" s="9" t="n">
        <v>196</v>
      </c>
      <c r="E261" s="2" t="s">
        <v>491</v>
      </c>
      <c r="F261" s="2" t="s">
        <v>492</v>
      </c>
      <c r="G261" s="2" t="s">
        <v>524</v>
      </c>
      <c r="H261" s="2" t="s">
        <v>368</v>
      </c>
      <c r="I261" s="2" t="s">
        <v>145</v>
      </c>
      <c r="J261" s="2" t="s">
        <v>369</v>
      </c>
      <c r="K261" s="10" t="b">
        <f aca="false">FALSE()</f>
        <v>0</v>
      </c>
      <c r="L261" s="10" t="b">
        <f aca="false">FALSE()</f>
        <v>0</v>
      </c>
      <c r="M261" s="2" t="s">
        <v>494</v>
      </c>
      <c r="N261" s="2" t="s">
        <v>371</v>
      </c>
      <c r="O261" s="2" t="s">
        <v>495</v>
      </c>
      <c r="P261" s="2" t="n">
        <v>30</v>
      </c>
      <c r="Q261" s="2" t="s">
        <v>496</v>
      </c>
      <c r="R261" s="11" t="s">
        <v>497</v>
      </c>
      <c r="S261" s="11" t="s">
        <v>498</v>
      </c>
      <c r="T261" s="2" t="s">
        <v>557</v>
      </c>
      <c r="U261" s="2" t="s">
        <v>153</v>
      </c>
      <c r="V261" s="2" t="s">
        <v>606</v>
      </c>
      <c r="W261" s="11" t="s">
        <v>607</v>
      </c>
      <c r="X261" s="2"/>
      <c r="Y261" s="2"/>
      <c r="Z261" s="2"/>
      <c r="AA261" s="2"/>
      <c r="AB261" s="2" t="s">
        <v>608</v>
      </c>
      <c r="AC261" s="2" t="s">
        <v>131</v>
      </c>
      <c r="AD261" s="2" t="s">
        <v>440</v>
      </c>
      <c r="AE261" s="10" t="b">
        <f aca="false">FALSE()</f>
        <v>0</v>
      </c>
      <c r="AF261" s="2" t="s">
        <v>133</v>
      </c>
      <c r="AG261" s="2" t="s">
        <v>158</v>
      </c>
      <c r="AH261" s="2" t="s">
        <v>135</v>
      </c>
      <c r="AI261" s="11" t="s">
        <v>502</v>
      </c>
      <c r="AJ261" s="2" t="s">
        <v>1277</v>
      </c>
      <c r="AK261" s="2"/>
      <c r="AL261" s="2"/>
    </row>
    <row r="262" customFormat="false" ht="90" hidden="false" customHeight="true" outlineLevel="0" collapsed="false">
      <c r="A262" s="2" t="s">
        <v>870</v>
      </c>
      <c r="B262" s="2" t="s">
        <v>569</v>
      </c>
      <c r="C262" s="2" t="s">
        <v>474</v>
      </c>
      <c r="D262" s="9" t="n">
        <v>192</v>
      </c>
      <c r="E262" s="2" t="s">
        <v>491</v>
      </c>
      <c r="F262" s="2" t="s">
        <v>492</v>
      </c>
      <c r="G262" s="2" t="s">
        <v>524</v>
      </c>
      <c r="H262" s="2" t="s">
        <v>368</v>
      </c>
      <c r="I262" s="2" t="s">
        <v>145</v>
      </c>
      <c r="J262" s="2" t="s">
        <v>369</v>
      </c>
      <c r="K262" s="10" t="b">
        <f aca="false">FALSE()</f>
        <v>0</v>
      </c>
      <c r="L262" s="10" t="b">
        <f aca="false">TRUE()</f>
        <v>1</v>
      </c>
      <c r="M262" s="2" t="s">
        <v>494</v>
      </c>
      <c r="N262" s="2" t="s">
        <v>371</v>
      </c>
      <c r="O262" s="2" t="s">
        <v>495</v>
      </c>
      <c r="P262" s="2" t="n">
        <v>60</v>
      </c>
      <c r="Q262" s="2" t="s">
        <v>496</v>
      </c>
      <c r="R262" s="11" t="s">
        <v>497</v>
      </c>
      <c r="S262" s="11" t="s">
        <v>498</v>
      </c>
      <c r="T262" s="2" t="s">
        <v>219</v>
      </c>
      <c r="U262" s="2" t="s">
        <v>153</v>
      </c>
      <c r="V262" s="2" t="s">
        <v>570</v>
      </c>
      <c r="W262" s="11" t="s">
        <v>571</v>
      </c>
      <c r="X262" s="2"/>
      <c r="Y262" s="2"/>
      <c r="Z262" s="2"/>
      <c r="AA262" s="2"/>
      <c r="AB262" s="2" t="s">
        <v>572</v>
      </c>
      <c r="AC262" s="2" t="s">
        <v>157</v>
      </c>
      <c r="AD262" s="2" t="s">
        <v>132</v>
      </c>
      <c r="AE262" s="10" t="b">
        <f aca="false">FALSE()</f>
        <v>0</v>
      </c>
      <c r="AF262" s="2" t="s">
        <v>133</v>
      </c>
      <c r="AG262" s="2" t="s">
        <v>158</v>
      </c>
      <c r="AH262" s="2" t="s">
        <v>135</v>
      </c>
      <c r="AI262" s="11" t="s">
        <v>502</v>
      </c>
      <c r="AJ262" s="2" t="s">
        <v>1277</v>
      </c>
      <c r="AK262" s="2"/>
      <c r="AL262" s="2"/>
    </row>
    <row r="263" customFormat="false" ht="90" hidden="false" customHeight="true" outlineLevel="0" collapsed="false">
      <c r="A263" s="2" t="s">
        <v>872</v>
      </c>
      <c r="B263" s="2" t="s">
        <v>569</v>
      </c>
      <c r="C263" s="2" t="s">
        <v>474</v>
      </c>
      <c r="D263" s="9" t="n">
        <v>188</v>
      </c>
      <c r="E263" s="2" t="s">
        <v>491</v>
      </c>
      <c r="F263" s="2" t="s">
        <v>492</v>
      </c>
      <c r="G263" s="2" t="s">
        <v>524</v>
      </c>
      <c r="H263" s="2" t="s">
        <v>368</v>
      </c>
      <c r="I263" s="2" t="s">
        <v>145</v>
      </c>
      <c r="J263" s="2" t="s">
        <v>369</v>
      </c>
      <c r="K263" s="10" t="b">
        <f aca="false">FALSE()</f>
        <v>0</v>
      </c>
      <c r="L263" s="10" t="b">
        <f aca="false">FALSE()</f>
        <v>0</v>
      </c>
      <c r="M263" s="2" t="s">
        <v>494</v>
      </c>
      <c r="N263" s="2" t="s">
        <v>371</v>
      </c>
      <c r="O263" s="2" t="s">
        <v>495</v>
      </c>
      <c r="P263" s="2" t="n">
        <v>60</v>
      </c>
      <c r="Q263" s="2" t="s">
        <v>496</v>
      </c>
      <c r="R263" s="11" t="s">
        <v>497</v>
      </c>
      <c r="S263" s="11" t="s">
        <v>498</v>
      </c>
      <c r="T263" s="2" t="s">
        <v>219</v>
      </c>
      <c r="U263" s="2" t="s">
        <v>153</v>
      </c>
      <c r="V263" s="2" t="s">
        <v>570</v>
      </c>
      <c r="W263" s="11" t="s">
        <v>571</v>
      </c>
      <c r="X263" s="2"/>
      <c r="Y263" s="2"/>
      <c r="Z263" s="2"/>
      <c r="AA263" s="2"/>
      <c r="AB263" s="2" t="s">
        <v>572</v>
      </c>
      <c r="AC263" s="2" t="s">
        <v>157</v>
      </c>
      <c r="AD263" s="2" t="s">
        <v>132</v>
      </c>
      <c r="AE263" s="10" t="b">
        <f aca="false">FALSE()</f>
        <v>0</v>
      </c>
      <c r="AF263" s="2" t="s">
        <v>133</v>
      </c>
      <c r="AG263" s="2" t="s">
        <v>158</v>
      </c>
      <c r="AH263" s="2" t="s">
        <v>135</v>
      </c>
      <c r="AI263" s="11" t="s">
        <v>502</v>
      </c>
      <c r="AJ263" s="2" t="s">
        <v>1277</v>
      </c>
      <c r="AK263" s="2"/>
      <c r="AL263" s="2"/>
    </row>
    <row r="264" customFormat="false" ht="90" hidden="false" customHeight="true" outlineLevel="0" collapsed="false">
      <c r="A264" s="2" t="s">
        <v>1202</v>
      </c>
      <c r="B264" s="2" t="s">
        <v>569</v>
      </c>
      <c r="C264" s="2" t="s">
        <v>474</v>
      </c>
      <c r="D264" s="9" t="n">
        <v>187</v>
      </c>
      <c r="E264" s="2" t="s">
        <v>491</v>
      </c>
      <c r="F264" s="2" t="s">
        <v>492</v>
      </c>
      <c r="G264" s="2" t="s">
        <v>524</v>
      </c>
      <c r="H264" s="2" t="s">
        <v>368</v>
      </c>
      <c r="I264" s="2" t="s">
        <v>145</v>
      </c>
      <c r="J264" s="2" t="s">
        <v>369</v>
      </c>
      <c r="K264" s="10" t="b">
        <f aca="false">FALSE()</f>
        <v>0</v>
      </c>
      <c r="L264" s="10" t="b">
        <f aca="false">TRUE()</f>
        <v>1</v>
      </c>
      <c r="M264" s="2" t="s">
        <v>494</v>
      </c>
      <c r="N264" s="2" t="s">
        <v>371</v>
      </c>
      <c r="O264" s="2" t="s">
        <v>495</v>
      </c>
      <c r="P264" s="2" t="n">
        <v>60</v>
      </c>
      <c r="Q264" s="2" t="s">
        <v>496</v>
      </c>
      <c r="R264" s="11" t="s">
        <v>497</v>
      </c>
      <c r="S264" s="11" t="s">
        <v>498</v>
      </c>
      <c r="T264" s="2" t="s">
        <v>219</v>
      </c>
      <c r="U264" s="2" t="s">
        <v>153</v>
      </c>
      <c r="V264" s="2" t="s">
        <v>570</v>
      </c>
      <c r="W264" s="11" t="s">
        <v>571</v>
      </c>
      <c r="X264" s="2"/>
      <c r="Y264" s="2"/>
      <c r="Z264" s="2"/>
      <c r="AA264" s="2"/>
      <c r="AB264" s="2" t="s">
        <v>572</v>
      </c>
      <c r="AC264" s="2" t="s">
        <v>157</v>
      </c>
      <c r="AD264" s="2" t="s">
        <v>132</v>
      </c>
      <c r="AE264" s="10" t="b">
        <f aca="false">FALSE()</f>
        <v>0</v>
      </c>
      <c r="AF264" s="2" t="s">
        <v>133</v>
      </c>
      <c r="AG264" s="2" t="s">
        <v>158</v>
      </c>
      <c r="AH264" s="2" t="s">
        <v>135</v>
      </c>
      <c r="AI264" s="11" t="s">
        <v>502</v>
      </c>
      <c r="AJ264" s="2" t="s">
        <v>1142</v>
      </c>
      <c r="AK264" s="2" t="s">
        <v>1142</v>
      </c>
      <c r="AL264" s="2" t="s">
        <v>1203</v>
      </c>
    </row>
    <row r="265" customFormat="false" ht="90" hidden="false" customHeight="true" outlineLevel="0" collapsed="false">
      <c r="A265" s="2" t="s">
        <v>874</v>
      </c>
      <c r="B265" s="2" t="s">
        <v>569</v>
      </c>
      <c r="C265" s="2" t="s">
        <v>474</v>
      </c>
      <c r="D265" s="9" t="n">
        <v>186</v>
      </c>
      <c r="E265" s="2" t="s">
        <v>491</v>
      </c>
      <c r="F265" s="2" t="s">
        <v>492</v>
      </c>
      <c r="G265" s="2" t="s">
        <v>524</v>
      </c>
      <c r="H265" s="2" t="s">
        <v>368</v>
      </c>
      <c r="I265" s="2" t="s">
        <v>145</v>
      </c>
      <c r="J265" s="2" t="s">
        <v>369</v>
      </c>
      <c r="K265" s="10" t="b">
        <f aca="false">FALSE()</f>
        <v>0</v>
      </c>
      <c r="L265" s="10" t="b">
        <f aca="false">TRUE()</f>
        <v>1</v>
      </c>
      <c r="M265" s="2" t="s">
        <v>494</v>
      </c>
      <c r="N265" s="2" t="s">
        <v>371</v>
      </c>
      <c r="O265" s="2" t="s">
        <v>495</v>
      </c>
      <c r="P265" s="2" t="n">
        <v>60</v>
      </c>
      <c r="Q265" s="2" t="s">
        <v>496</v>
      </c>
      <c r="R265" s="11" t="s">
        <v>497</v>
      </c>
      <c r="S265" s="11" t="s">
        <v>498</v>
      </c>
      <c r="T265" s="2" t="s">
        <v>219</v>
      </c>
      <c r="U265" s="2" t="s">
        <v>153</v>
      </c>
      <c r="V265" s="2" t="s">
        <v>570</v>
      </c>
      <c r="W265" s="11" t="s">
        <v>571</v>
      </c>
      <c r="X265" s="2"/>
      <c r="Y265" s="2"/>
      <c r="Z265" s="2"/>
      <c r="AA265" s="2"/>
      <c r="AB265" s="2" t="s">
        <v>572</v>
      </c>
      <c r="AC265" s="2" t="s">
        <v>157</v>
      </c>
      <c r="AD265" s="2" t="s">
        <v>132</v>
      </c>
      <c r="AE265" s="10" t="b">
        <f aca="false">FALSE()</f>
        <v>0</v>
      </c>
      <c r="AF265" s="2" t="s">
        <v>133</v>
      </c>
      <c r="AG265" s="2" t="s">
        <v>158</v>
      </c>
      <c r="AH265" s="2" t="s">
        <v>135</v>
      </c>
      <c r="AI265" s="11" t="s">
        <v>502</v>
      </c>
      <c r="AJ265" s="2" t="s">
        <v>1277</v>
      </c>
      <c r="AK265" s="2"/>
      <c r="AL265" s="2"/>
    </row>
    <row r="266" customFormat="false" ht="90" hidden="false" customHeight="true" outlineLevel="0" collapsed="false">
      <c r="A266" s="2" t="s">
        <v>876</v>
      </c>
      <c r="B266" s="2" t="s">
        <v>569</v>
      </c>
      <c r="C266" s="2" t="s">
        <v>474</v>
      </c>
      <c r="D266" s="9" t="n">
        <v>186</v>
      </c>
      <c r="E266" s="2" t="s">
        <v>491</v>
      </c>
      <c r="F266" s="2" t="s">
        <v>492</v>
      </c>
      <c r="G266" s="2" t="s">
        <v>524</v>
      </c>
      <c r="H266" s="2" t="s">
        <v>368</v>
      </c>
      <c r="I266" s="2" t="s">
        <v>145</v>
      </c>
      <c r="J266" s="2" t="s">
        <v>369</v>
      </c>
      <c r="K266" s="10" t="b">
        <f aca="false">FALSE()</f>
        <v>0</v>
      </c>
      <c r="L266" s="10" t="b">
        <f aca="false">FALSE()</f>
        <v>0</v>
      </c>
      <c r="M266" s="2" t="s">
        <v>494</v>
      </c>
      <c r="N266" s="2" t="s">
        <v>371</v>
      </c>
      <c r="O266" s="2" t="s">
        <v>495</v>
      </c>
      <c r="P266" s="2" t="n">
        <v>60</v>
      </c>
      <c r="Q266" s="2" t="s">
        <v>496</v>
      </c>
      <c r="R266" s="11" t="s">
        <v>497</v>
      </c>
      <c r="S266" s="11" t="s">
        <v>498</v>
      </c>
      <c r="T266" s="2" t="s">
        <v>219</v>
      </c>
      <c r="U266" s="2" t="s">
        <v>153</v>
      </c>
      <c r="V266" s="2" t="s">
        <v>570</v>
      </c>
      <c r="W266" s="11" t="s">
        <v>571</v>
      </c>
      <c r="X266" s="2"/>
      <c r="Y266" s="2"/>
      <c r="Z266" s="2"/>
      <c r="AA266" s="2"/>
      <c r="AB266" s="2" t="s">
        <v>572</v>
      </c>
      <c r="AC266" s="2" t="s">
        <v>157</v>
      </c>
      <c r="AD266" s="2" t="s">
        <v>132</v>
      </c>
      <c r="AE266" s="10" t="b">
        <f aca="false">FALSE()</f>
        <v>0</v>
      </c>
      <c r="AF266" s="2" t="s">
        <v>133</v>
      </c>
      <c r="AG266" s="2" t="s">
        <v>158</v>
      </c>
      <c r="AH266" s="2" t="s">
        <v>135</v>
      </c>
      <c r="AI266" s="11" t="s">
        <v>502</v>
      </c>
      <c r="AJ266" s="2" t="s">
        <v>1277</v>
      </c>
      <c r="AK266" s="2"/>
      <c r="AL266" s="2"/>
    </row>
    <row r="267" customFormat="false" ht="90" hidden="false" customHeight="true" outlineLevel="0" collapsed="false">
      <c r="A267" s="2" t="s">
        <v>878</v>
      </c>
      <c r="B267" s="2" t="s">
        <v>569</v>
      </c>
      <c r="C267" s="2" t="s">
        <v>474</v>
      </c>
      <c r="D267" s="9" t="n">
        <v>185</v>
      </c>
      <c r="E267" s="2" t="s">
        <v>491</v>
      </c>
      <c r="F267" s="2" t="s">
        <v>492</v>
      </c>
      <c r="G267" s="2" t="s">
        <v>524</v>
      </c>
      <c r="H267" s="2" t="s">
        <v>368</v>
      </c>
      <c r="I267" s="2" t="s">
        <v>145</v>
      </c>
      <c r="J267" s="2" t="s">
        <v>369</v>
      </c>
      <c r="K267" s="10" t="b">
        <f aca="false">FALSE()</f>
        <v>0</v>
      </c>
      <c r="L267" s="10" t="b">
        <f aca="false">TRUE()</f>
        <v>1</v>
      </c>
      <c r="M267" s="2" t="s">
        <v>494</v>
      </c>
      <c r="N267" s="2" t="s">
        <v>371</v>
      </c>
      <c r="O267" s="2" t="s">
        <v>495</v>
      </c>
      <c r="P267" s="2" t="n">
        <v>30</v>
      </c>
      <c r="Q267" s="2" t="s">
        <v>496</v>
      </c>
      <c r="R267" s="11" t="s">
        <v>497</v>
      </c>
      <c r="S267" s="11" t="s">
        <v>498</v>
      </c>
      <c r="T267" s="2" t="s">
        <v>557</v>
      </c>
      <c r="U267" s="2" t="s">
        <v>153</v>
      </c>
      <c r="V267" s="2" t="s">
        <v>587</v>
      </c>
      <c r="W267" s="11" t="s">
        <v>645</v>
      </c>
      <c r="X267" s="2"/>
      <c r="Y267" s="2"/>
      <c r="Z267" s="2"/>
      <c r="AA267" s="2"/>
      <c r="AB267" s="2" t="s">
        <v>589</v>
      </c>
      <c r="AC267" s="2" t="s">
        <v>131</v>
      </c>
      <c r="AD267" s="2" t="s">
        <v>354</v>
      </c>
      <c r="AE267" s="10" t="b">
        <f aca="false">FALSE()</f>
        <v>0</v>
      </c>
      <c r="AF267" s="2" t="s">
        <v>133</v>
      </c>
      <c r="AG267" s="2" t="s">
        <v>158</v>
      </c>
      <c r="AH267" s="2" t="s">
        <v>135</v>
      </c>
      <c r="AI267" s="11" t="s">
        <v>502</v>
      </c>
      <c r="AJ267" s="2" t="s">
        <v>1277</v>
      </c>
      <c r="AK267" s="2"/>
      <c r="AL267" s="2"/>
    </row>
    <row r="268" customFormat="false" ht="90" hidden="false" customHeight="true" outlineLevel="0" collapsed="false">
      <c r="A268" s="2" t="s">
        <v>880</v>
      </c>
      <c r="B268" s="2" t="s">
        <v>569</v>
      </c>
      <c r="C268" s="2" t="s">
        <v>474</v>
      </c>
      <c r="D268" s="9" t="n">
        <v>182</v>
      </c>
      <c r="E268" s="2" t="s">
        <v>491</v>
      </c>
      <c r="F268" s="2" t="s">
        <v>492</v>
      </c>
      <c r="G268" s="2" t="s">
        <v>524</v>
      </c>
      <c r="H268" s="2" t="s">
        <v>368</v>
      </c>
      <c r="I268" s="2" t="s">
        <v>145</v>
      </c>
      <c r="J268" s="2" t="s">
        <v>369</v>
      </c>
      <c r="K268" s="10" t="b">
        <f aca="false">FALSE()</f>
        <v>0</v>
      </c>
      <c r="L268" s="10" t="b">
        <f aca="false">FALSE()</f>
        <v>0</v>
      </c>
      <c r="M268" s="2" t="s">
        <v>494</v>
      </c>
      <c r="N268" s="2" t="s">
        <v>371</v>
      </c>
      <c r="O268" s="2" t="s">
        <v>495</v>
      </c>
      <c r="P268" s="2" t="n">
        <v>30</v>
      </c>
      <c r="Q268" s="2" t="s">
        <v>496</v>
      </c>
      <c r="R268" s="11" t="s">
        <v>497</v>
      </c>
      <c r="S268" s="11" t="s">
        <v>498</v>
      </c>
      <c r="T268" s="2" t="s">
        <v>557</v>
      </c>
      <c r="U268" s="2" t="s">
        <v>153</v>
      </c>
      <c r="V268" s="2" t="s">
        <v>606</v>
      </c>
      <c r="W268" s="11" t="s">
        <v>607</v>
      </c>
      <c r="X268" s="2"/>
      <c r="Y268" s="2"/>
      <c r="Z268" s="2"/>
      <c r="AA268" s="2"/>
      <c r="AB268" s="2" t="s">
        <v>608</v>
      </c>
      <c r="AC268" s="2" t="s">
        <v>131</v>
      </c>
      <c r="AD268" s="2" t="s">
        <v>440</v>
      </c>
      <c r="AE268" s="10" t="b">
        <f aca="false">FALSE()</f>
        <v>0</v>
      </c>
      <c r="AF268" s="2" t="s">
        <v>133</v>
      </c>
      <c r="AG268" s="2" t="s">
        <v>158</v>
      </c>
      <c r="AH268" s="2" t="s">
        <v>135</v>
      </c>
      <c r="AI268" s="11" t="s">
        <v>502</v>
      </c>
      <c r="AJ268" s="2" t="s">
        <v>1277</v>
      </c>
      <c r="AK268" s="2"/>
      <c r="AL268" s="2"/>
    </row>
    <row r="269" customFormat="false" ht="90" hidden="false" customHeight="true" outlineLevel="0" collapsed="false">
      <c r="A269" s="2" t="s">
        <v>882</v>
      </c>
      <c r="B269" s="2" t="s">
        <v>569</v>
      </c>
      <c r="C269" s="2" t="s">
        <v>474</v>
      </c>
      <c r="D269" s="9" t="n">
        <v>181</v>
      </c>
      <c r="E269" s="2" t="s">
        <v>491</v>
      </c>
      <c r="F269" s="2" t="s">
        <v>492</v>
      </c>
      <c r="G269" s="2" t="s">
        <v>524</v>
      </c>
      <c r="H269" s="2" t="s">
        <v>368</v>
      </c>
      <c r="I269" s="2" t="s">
        <v>145</v>
      </c>
      <c r="J269" s="2" t="s">
        <v>369</v>
      </c>
      <c r="K269" s="10" t="b">
        <f aca="false">FALSE()</f>
        <v>0</v>
      </c>
      <c r="L269" s="10" t="b">
        <f aca="false">FALSE()</f>
        <v>0</v>
      </c>
      <c r="M269" s="2" t="s">
        <v>494</v>
      </c>
      <c r="N269" s="2" t="s">
        <v>371</v>
      </c>
      <c r="O269" s="2" t="s">
        <v>495</v>
      </c>
      <c r="P269" s="2" t="n">
        <v>30</v>
      </c>
      <c r="Q269" s="2" t="s">
        <v>496</v>
      </c>
      <c r="R269" s="11" t="s">
        <v>497</v>
      </c>
      <c r="S269" s="11" t="s">
        <v>498</v>
      </c>
      <c r="T269" s="2" t="s">
        <v>557</v>
      </c>
      <c r="U269" s="2" t="s">
        <v>153</v>
      </c>
      <c r="V269" s="2" t="s">
        <v>606</v>
      </c>
      <c r="W269" s="11" t="s">
        <v>607</v>
      </c>
      <c r="X269" s="2"/>
      <c r="Y269" s="2"/>
      <c r="Z269" s="2"/>
      <c r="AA269" s="2"/>
      <c r="AB269" s="2" t="s">
        <v>608</v>
      </c>
      <c r="AC269" s="2" t="s">
        <v>131</v>
      </c>
      <c r="AD269" s="2" t="s">
        <v>440</v>
      </c>
      <c r="AE269" s="10" t="b">
        <f aca="false">FALSE()</f>
        <v>0</v>
      </c>
      <c r="AF269" s="2" t="s">
        <v>133</v>
      </c>
      <c r="AG269" s="2" t="s">
        <v>158</v>
      </c>
      <c r="AH269" s="2" t="s">
        <v>135</v>
      </c>
      <c r="AI269" s="11" t="s">
        <v>502</v>
      </c>
      <c r="AJ269" s="2" t="s">
        <v>1277</v>
      </c>
      <c r="AK269" s="2"/>
      <c r="AL269" s="2"/>
    </row>
    <row r="270" customFormat="false" ht="90" hidden="false" customHeight="true" outlineLevel="0" collapsed="false">
      <c r="A270" s="2" t="s">
        <v>1204</v>
      </c>
      <c r="B270" s="2" t="s">
        <v>569</v>
      </c>
      <c r="C270" s="2" t="s">
        <v>474</v>
      </c>
      <c r="D270" s="9" t="n">
        <v>181</v>
      </c>
      <c r="E270" s="2" t="s">
        <v>491</v>
      </c>
      <c r="F270" s="2" t="s">
        <v>492</v>
      </c>
      <c r="G270" s="2" t="s">
        <v>524</v>
      </c>
      <c r="H270" s="2" t="s">
        <v>368</v>
      </c>
      <c r="I270" s="2" t="s">
        <v>145</v>
      </c>
      <c r="J270" s="2" t="s">
        <v>369</v>
      </c>
      <c r="K270" s="10" t="b">
        <f aca="false">FALSE()</f>
        <v>0</v>
      </c>
      <c r="L270" s="10" t="b">
        <f aca="false">TRUE()</f>
        <v>1</v>
      </c>
      <c r="M270" s="2" t="s">
        <v>494</v>
      </c>
      <c r="N270" s="2" t="s">
        <v>371</v>
      </c>
      <c r="O270" s="2" t="s">
        <v>495</v>
      </c>
      <c r="P270" s="2" t="n">
        <v>60</v>
      </c>
      <c r="Q270" s="2" t="s">
        <v>496</v>
      </c>
      <c r="R270" s="11" t="s">
        <v>497</v>
      </c>
      <c r="S270" s="11" t="s">
        <v>498</v>
      </c>
      <c r="T270" s="2" t="s">
        <v>219</v>
      </c>
      <c r="U270" s="2" t="s">
        <v>153</v>
      </c>
      <c r="V270" s="2" t="s">
        <v>570</v>
      </c>
      <c r="W270" s="11" t="s">
        <v>571</v>
      </c>
      <c r="X270" s="2"/>
      <c r="Y270" s="2"/>
      <c r="Z270" s="2"/>
      <c r="AA270" s="2"/>
      <c r="AB270" s="2" t="s">
        <v>572</v>
      </c>
      <c r="AC270" s="2" t="s">
        <v>157</v>
      </c>
      <c r="AD270" s="2" t="s">
        <v>132</v>
      </c>
      <c r="AE270" s="10" t="b">
        <f aca="false">FALSE()</f>
        <v>0</v>
      </c>
      <c r="AF270" s="2" t="s">
        <v>133</v>
      </c>
      <c r="AG270" s="2" t="s">
        <v>158</v>
      </c>
      <c r="AH270" s="2" t="s">
        <v>135</v>
      </c>
      <c r="AI270" s="11" t="s">
        <v>502</v>
      </c>
      <c r="AJ270" s="2" t="s">
        <v>1142</v>
      </c>
      <c r="AK270" s="2" t="s">
        <v>1142</v>
      </c>
      <c r="AL270" s="2" t="s">
        <v>1205</v>
      </c>
    </row>
    <row r="271" customFormat="false" ht="90" hidden="false" customHeight="true" outlineLevel="0" collapsed="false">
      <c r="A271" s="2" t="s">
        <v>884</v>
      </c>
      <c r="B271" s="2" t="s">
        <v>569</v>
      </c>
      <c r="C271" s="2" t="s">
        <v>474</v>
      </c>
      <c r="D271" s="9" t="n">
        <v>180</v>
      </c>
      <c r="E271" s="2" t="s">
        <v>491</v>
      </c>
      <c r="F271" s="2" t="s">
        <v>492</v>
      </c>
      <c r="G271" s="2" t="s">
        <v>524</v>
      </c>
      <c r="H271" s="2" t="s">
        <v>368</v>
      </c>
      <c r="I271" s="2" t="s">
        <v>145</v>
      </c>
      <c r="J271" s="2" t="s">
        <v>369</v>
      </c>
      <c r="K271" s="10" t="b">
        <f aca="false">FALSE()</f>
        <v>0</v>
      </c>
      <c r="L271" s="10" t="b">
        <f aca="false">FALSE()</f>
        <v>0</v>
      </c>
      <c r="M271" s="2" t="s">
        <v>494</v>
      </c>
      <c r="N271" s="2" t="s">
        <v>371</v>
      </c>
      <c r="O271" s="2" t="s">
        <v>495</v>
      </c>
      <c r="P271" s="2" t="n">
        <v>60</v>
      </c>
      <c r="Q271" s="2" t="s">
        <v>496</v>
      </c>
      <c r="R271" s="11" t="s">
        <v>497</v>
      </c>
      <c r="S271" s="11" t="s">
        <v>498</v>
      </c>
      <c r="T271" s="2" t="s">
        <v>219</v>
      </c>
      <c r="U271" s="2" t="s">
        <v>153</v>
      </c>
      <c r="V271" s="2" t="s">
        <v>570</v>
      </c>
      <c r="W271" s="11" t="s">
        <v>571</v>
      </c>
      <c r="X271" s="2"/>
      <c r="Y271" s="2"/>
      <c r="Z271" s="2"/>
      <c r="AA271" s="2"/>
      <c r="AB271" s="2" t="s">
        <v>572</v>
      </c>
      <c r="AC271" s="2" t="s">
        <v>157</v>
      </c>
      <c r="AD271" s="2" t="s">
        <v>132</v>
      </c>
      <c r="AE271" s="10" t="b">
        <f aca="false">FALSE()</f>
        <v>0</v>
      </c>
      <c r="AF271" s="2" t="s">
        <v>133</v>
      </c>
      <c r="AG271" s="2" t="s">
        <v>158</v>
      </c>
      <c r="AH271" s="2" t="s">
        <v>135</v>
      </c>
      <c r="AI271" s="11" t="s">
        <v>502</v>
      </c>
      <c r="AJ271" s="2" t="s">
        <v>1277</v>
      </c>
      <c r="AK271" s="2"/>
      <c r="AL271" s="2"/>
    </row>
    <row r="272" customFormat="false" ht="90" hidden="false" customHeight="true" outlineLevel="0" collapsed="false">
      <c r="A272" s="2" t="s">
        <v>1206</v>
      </c>
      <c r="B272" s="2" t="s">
        <v>569</v>
      </c>
      <c r="C272" s="2" t="s">
        <v>474</v>
      </c>
      <c r="D272" s="9" t="n">
        <v>180</v>
      </c>
      <c r="E272" s="2" t="s">
        <v>491</v>
      </c>
      <c r="F272" s="2" t="s">
        <v>492</v>
      </c>
      <c r="G272" s="2" t="s">
        <v>524</v>
      </c>
      <c r="H272" s="2" t="s">
        <v>368</v>
      </c>
      <c r="I272" s="2" t="s">
        <v>145</v>
      </c>
      <c r="J272" s="2" t="s">
        <v>369</v>
      </c>
      <c r="K272" s="10" t="b">
        <f aca="false">FALSE()</f>
        <v>0</v>
      </c>
      <c r="L272" s="10" t="b">
        <f aca="false">TRUE()</f>
        <v>1</v>
      </c>
      <c r="M272" s="2" t="s">
        <v>494</v>
      </c>
      <c r="N272" s="2" t="s">
        <v>371</v>
      </c>
      <c r="O272" s="2" t="s">
        <v>495</v>
      </c>
      <c r="P272" s="2" t="n">
        <v>30</v>
      </c>
      <c r="Q272" s="2" t="s">
        <v>496</v>
      </c>
      <c r="R272" s="11" t="s">
        <v>497</v>
      </c>
      <c r="S272" s="11" t="s">
        <v>498</v>
      </c>
      <c r="T272" s="2" t="s">
        <v>557</v>
      </c>
      <c r="U272" s="2" t="s">
        <v>153</v>
      </c>
      <c r="V272" s="2" t="s">
        <v>587</v>
      </c>
      <c r="W272" s="11" t="s">
        <v>645</v>
      </c>
      <c r="X272" s="2"/>
      <c r="Y272" s="2"/>
      <c r="Z272" s="2"/>
      <c r="AA272" s="2"/>
      <c r="AB272" s="2" t="s">
        <v>589</v>
      </c>
      <c r="AC272" s="2" t="s">
        <v>131</v>
      </c>
      <c r="AD272" s="2" t="s">
        <v>354</v>
      </c>
      <c r="AE272" s="10" t="b">
        <f aca="false">FALSE()</f>
        <v>0</v>
      </c>
      <c r="AF272" s="2" t="s">
        <v>133</v>
      </c>
      <c r="AG272" s="2" t="s">
        <v>158</v>
      </c>
      <c r="AH272" s="2" t="s">
        <v>135</v>
      </c>
      <c r="AI272" s="11" t="s">
        <v>502</v>
      </c>
      <c r="AJ272" s="2" t="s">
        <v>1142</v>
      </c>
      <c r="AK272" s="2" t="s">
        <v>1142</v>
      </c>
      <c r="AL272" s="2" t="s">
        <v>1207</v>
      </c>
    </row>
    <row r="273" customFormat="false" ht="90" hidden="false" customHeight="true" outlineLevel="0" collapsed="false">
      <c r="A273" s="2" t="s">
        <v>1208</v>
      </c>
      <c r="B273" s="2" t="s">
        <v>569</v>
      </c>
      <c r="C273" s="2" t="s">
        <v>474</v>
      </c>
      <c r="D273" s="9" t="n">
        <v>179</v>
      </c>
      <c r="E273" s="2" t="s">
        <v>491</v>
      </c>
      <c r="F273" s="2" t="s">
        <v>492</v>
      </c>
      <c r="G273" s="2" t="s">
        <v>524</v>
      </c>
      <c r="H273" s="2" t="s">
        <v>368</v>
      </c>
      <c r="I273" s="2" t="s">
        <v>145</v>
      </c>
      <c r="J273" s="2" t="s">
        <v>369</v>
      </c>
      <c r="K273" s="10" t="b">
        <f aca="false">FALSE()</f>
        <v>0</v>
      </c>
      <c r="L273" s="10" t="b">
        <f aca="false">TRUE()</f>
        <v>1</v>
      </c>
      <c r="M273" s="2" t="s">
        <v>494</v>
      </c>
      <c r="N273" s="2" t="s">
        <v>371</v>
      </c>
      <c r="O273" s="2" t="s">
        <v>495</v>
      </c>
      <c r="P273" s="2" t="n">
        <v>60</v>
      </c>
      <c r="Q273" s="2" t="s">
        <v>496</v>
      </c>
      <c r="R273" s="11" t="s">
        <v>497</v>
      </c>
      <c r="S273" s="11" t="s">
        <v>498</v>
      </c>
      <c r="T273" s="2" t="s">
        <v>219</v>
      </c>
      <c r="U273" s="2" t="s">
        <v>153</v>
      </c>
      <c r="V273" s="2" t="s">
        <v>570</v>
      </c>
      <c r="W273" s="11" t="s">
        <v>571</v>
      </c>
      <c r="X273" s="2"/>
      <c r="Y273" s="2"/>
      <c r="Z273" s="2"/>
      <c r="AA273" s="2"/>
      <c r="AB273" s="2" t="s">
        <v>572</v>
      </c>
      <c r="AC273" s="2" t="s">
        <v>157</v>
      </c>
      <c r="AD273" s="2" t="s">
        <v>132</v>
      </c>
      <c r="AE273" s="10" t="b">
        <f aca="false">FALSE()</f>
        <v>0</v>
      </c>
      <c r="AF273" s="2" t="s">
        <v>133</v>
      </c>
      <c r="AG273" s="2" t="s">
        <v>158</v>
      </c>
      <c r="AH273" s="2" t="s">
        <v>135</v>
      </c>
      <c r="AI273" s="11" t="s">
        <v>502</v>
      </c>
      <c r="AJ273" s="2" t="s">
        <v>1142</v>
      </c>
      <c r="AK273" s="2" t="s">
        <v>1142</v>
      </c>
      <c r="AL273" s="2" t="s">
        <v>1209</v>
      </c>
    </row>
    <row r="274" customFormat="false" ht="90" hidden="false" customHeight="true" outlineLevel="0" collapsed="false">
      <c r="A274" s="2" t="s">
        <v>886</v>
      </c>
      <c r="B274" s="2" t="s">
        <v>569</v>
      </c>
      <c r="C274" s="2" t="s">
        <v>474</v>
      </c>
      <c r="D274" s="9" t="n">
        <v>176</v>
      </c>
      <c r="E274" s="2" t="s">
        <v>491</v>
      </c>
      <c r="F274" s="2" t="s">
        <v>492</v>
      </c>
      <c r="G274" s="2" t="s">
        <v>524</v>
      </c>
      <c r="H274" s="2" t="s">
        <v>368</v>
      </c>
      <c r="I274" s="2" t="s">
        <v>145</v>
      </c>
      <c r="J274" s="2" t="s">
        <v>369</v>
      </c>
      <c r="K274" s="10" t="b">
        <f aca="false">FALSE()</f>
        <v>0</v>
      </c>
      <c r="L274" s="10" t="b">
        <f aca="false">TRUE()</f>
        <v>1</v>
      </c>
      <c r="M274" s="2" t="s">
        <v>494</v>
      </c>
      <c r="N274" s="2" t="s">
        <v>371</v>
      </c>
      <c r="O274" s="2" t="s">
        <v>495</v>
      </c>
      <c r="P274" s="2" t="n">
        <v>60</v>
      </c>
      <c r="Q274" s="2" t="s">
        <v>496</v>
      </c>
      <c r="R274" s="11" t="s">
        <v>497</v>
      </c>
      <c r="S274" s="11" t="s">
        <v>498</v>
      </c>
      <c r="T274" s="2" t="s">
        <v>219</v>
      </c>
      <c r="U274" s="2" t="s">
        <v>153</v>
      </c>
      <c r="V274" s="2" t="s">
        <v>570</v>
      </c>
      <c r="W274" s="11" t="s">
        <v>571</v>
      </c>
      <c r="X274" s="2"/>
      <c r="Y274" s="2"/>
      <c r="Z274" s="2"/>
      <c r="AA274" s="2"/>
      <c r="AB274" s="2" t="s">
        <v>572</v>
      </c>
      <c r="AC274" s="2" t="s">
        <v>157</v>
      </c>
      <c r="AD274" s="2" t="s">
        <v>132</v>
      </c>
      <c r="AE274" s="10" t="b">
        <f aca="false">FALSE()</f>
        <v>0</v>
      </c>
      <c r="AF274" s="2" t="s">
        <v>133</v>
      </c>
      <c r="AG274" s="2" t="s">
        <v>158</v>
      </c>
      <c r="AH274" s="2" t="s">
        <v>135</v>
      </c>
      <c r="AI274" s="11" t="s">
        <v>502</v>
      </c>
      <c r="AJ274" s="2" t="s">
        <v>1277</v>
      </c>
      <c r="AK274" s="2"/>
      <c r="AL274" s="2"/>
    </row>
    <row r="275" customFormat="false" ht="90" hidden="false" customHeight="true" outlineLevel="0" collapsed="false">
      <c r="A275" s="2" t="s">
        <v>888</v>
      </c>
      <c r="B275" s="2" t="s">
        <v>569</v>
      </c>
      <c r="C275" s="2" t="s">
        <v>474</v>
      </c>
      <c r="D275" s="9" t="n">
        <v>173</v>
      </c>
      <c r="E275" s="2" t="s">
        <v>491</v>
      </c>
      <c r="F275" s="2" t="s">
        <v>492</v>
      </c>
      <c r="G275" s="2" t="s">
        <v>524</v>
      </c>
      <c r="H275" s="2" t="s">
        <v>368</v>
      </c>
      <c r="I275" s="2" t="s">
        <v>145</v>
      </c>
      <c r="J275" s="2" t="s">
        <v>369</v>
      </c>
      <c r="K275" s="10" t="b">
        <f aca="false">FALSE()</f>
        <v>0</v>
      </c>
      <c r="L275" s="10" t="b">
        <f aca="false">FALSE()</f>
        <v>0</v>
      </c>
      <c r="M275" s="2" t="s">
        <v>494</v>
      </c>
      <c r="N275" s="2" t="s">
        <v>371</v>
      </c>
      <c r="O275" s="2" t="s">
        <v>495</v>
      </c>
      <c r="P275" s="2" t="n">
        <v>60</v>
      </c>
      <c r="Q275" s="2" t="s">
        <v>496</v>
      </c>
      <c r="R275" s="11" t="s">
        <v>497</v>
      </c>
      <c r="S275" s="11" t="s">
        <v>498</v>
      </c>
      <c r="T275" s="2" t="s">
        <v>219</v>
      </c>
      <c r="U275" s="2" t="s">
        <v>153</v>
      </c>
      <c r="V275" s="2" t="s">
        <v>570</v>
      </c>
      <c r="W275" s="11" t="s">
        <v>571</v>
      </c>
      <c r="X275" s="2"/>
      <c r="Y275" s="2"/>
      <c r="Z275" s="2"/>
      <c r="AA275" s="2"/>
      <c r="AB275" s="2" t="s">
        <v>572</v>
      </c>
      <c r="AC275" s="2" t="s">
        <v>157</v>
      </c>
      <c r="AD275" s="2" t="s">
        <v>132</v>
      </c>
      <c r="AE275" s="10" t="b">
        <f aca="false">FALSE()</f>
        <v>0</v>
      </c>
      <c r="AF275" s="2" t="s">
        <v>133</v>
      </c>
      <c r="AG275" s="2" t="s">
        <v>158</v>
      </c>
      <c r="AH275" s="2" t="s">
        <v>135</v>
      </c>
      <c r="AI275" s="11" t="s">
        <v>502</v>
      </c>
      <c r="AJ275" s="2" t="s">
        <v>1277</v>
      </c>
      <c r="AK275" s="2"/>
      <c r="AL275" s="2"/>
    </row>
    <row r="276" customFormat="false" ht="90" hidden="false" customHeight="true" outlineLevel="0" collapsed="false">
      <c r="A276" s="2" t="s">
        <v>890</v>
      </c>
      <c r="B276" s="2" t="s">
        <v>569</v>
      </c>
      <c r="C276" s="2" t="s">
        <v>474</v>
      </c>
      <c r="D276" s="9" t="n">
        <v>172</v>
      </c>
      <c r="E276" s="2" t="s">
        <v>491</v>
      </c>
      <c r="F276" s="2" t="s">
        <v>492</v>
      </c>
      <c r="G276" s="2" t="s">
        <v>524</v>
      </c>
      <c r="H276" s="2" t="s">
        <v>368</v>
      </c>
      <c r="I276" s="2" t="s">
        <v>145</v>
      </c>
      <c r="J276" s="2" t="s">
        <v>369</v>
      </c>
      <c r="K276" s="10" t="b">
        <f aca="false">FALSE()</f>
        <v>0</v>
      </c>
      <c r="L276" s="10" t="b">
        <f aca="false">TRUE()</f>
        <v>1</v>
      </c>
      <c r="M276" s="2" t="s">
        <v>494</v>
      </c>
      <c r="N276" s="2" t="s">
        <v>371</v>
      </c>
      <c r="O276" s="2" t="s">
        <v>495</v>
      </c>
      <c r="P276" s="2" t="n">
        <v>60</v>
      </c>
      <c r="Q276" s="2" t="s">
        <v>496</v>
      </c>
      <c r="R276" s="11" t="s">
        <v>497</v>
      </c>
      <c r="S276" s="11" t="s">
        <v>498</v>
      </c>
      <c r="T276" s="2" t="s">
        <v>219</v>
      </c>
      <c r="U276" s="2" t="s">
        <v>153</v>
      </c>
      <c r="V276" s="2" t="s">
        <v>570</v>
      </c>
      <c r="W276" s="11" t="s">
        <v>571</v>
      </c>
      <c r="X276" s="2"/>
      <c r="Y276" s="2"/>
      <c r="Z276" s="2"/>
      <c r="AA276" s="2"/>
      <c r="AB276" s="2" t="s">
        <v>572</v>
      </c>
      <c r="AC276" s="2" t="s">
        <v>157</v>
      </c>
      <c r="AD276" s="2" t="s">
        <v>132</v>
      </c>
      <c r="AE276" s="10" t="b">
        <f aca="false">FALSE()</f>
        <v>0</v>
      </c>
      <c r="AF276" s="2" t="s">
        <v>133</v>
      </c>
      <c r="AG276" s="2" t="s">
        <v>158</v>
      </c>
      <c r="AH276" s="2" t="s">
        <v>135</v>
      </c>
      <c r="AI276" s="11" t="s">
        <v>502</v>
      </c>
      <c r="AJ276" s="2" t="s">
        <v>1277</v>
      </c>
      <c r="AK276" s="2"/>
      <c r="AL276" s="2"/>
    </row>
    <row r="277" customFormat="false" ht="90" hidden="false" customHeight="true" outlineLevel="0" collapsed="false">
      <c r="A277" s="2" t="s">
        <v>1210</v>
      </c>
      <c r="B277" s="2" t="s">
        <v>569</v>
      </c>
      <c r="C277" s="2" t="s">
        <v>474</v>
      </c>
      <c r="D277" s="9" t="n">
        <v>171</v>
      </c>
      <c r="E277" s="2" t="s">
        <v>491</v>
      </c>
      <c r="F277" s="2" t="s">
        <v>492</v>
      </c>
      <c r="G277" s="2" t="s">
        <v>524</v>
      </c>
      <c r="H277" s="2" t="s">
        <v>368</v>
      </c>
      <c r="I277" s="2" t="s">
        <v>145</v>
      </c>
      <c r="J277" s="2" t="s">
        <v>369</v>
      </c>
      <c r="K277" s="10" t="b">
        <f aca="false">FALSE()</f>
        <v>0</v>
      </c>
      <c r="L277" s="10" t="b">
        <f aca="false">TRUE()</f>
        <v>1</v>
      </c>
      <c r="M277" s="2" t="s">
        <v>494</v>
      </c>
      <c r="N277" s="2" t="s">
        <v>371</v>
      </c>
      <c r="O277" s="2" t="s">
        <v>495</v>
      </c>
      <c r="P277" s="2" t="n">
        <v>60</v>
      </c>
      <c r="Q277" s="2" t="s">
        <v>496</v>
      </c>
      <c r="R277" s="11" t="s">
        <v>497</v>
      </c>
      <c r="S277" s="11" t="s">
        <v>498</v>
      </c>
      <c r="T277" s="2" t="s">
        <v>219</v>
      </c>
      <c r="U277" s="2" t="s">
        <v>153</v>
      </c>
      <c r="V277" s="2" t="s">
        <v>570</v>
      </c>
      <c r="W277" s="11" t="s">
        <v>571</v>
      </c>
      <c r="X277" s="2"/>
      <c r="Y277" s="2"/>
      <c r="Z277" s="2"/>
      <c r="AA277" s="2"/>
      <c r="AB277" s="2" t="s">
        <v>572</v>
      </c>
      <c r="AC277" s="2" t="s">
        <v>157</v>
      </c>
      <c r="AD277" s="2" t="s">
        <v>132</v>
      </c>
      <c r="AE277" s="10" t="b">
        <f aca="false">FALSE()</f>
        <v>0</v>
      </c>
      <c r="AF277" s="2" t="s">
        <v>133</v>
      </c>
      <c r="AG277" s="2" t="s">
        <v>158</v>
      </c>
      <c r="AH277" s="2" t="s">
        <v>135</v>
      </c>
      <c r="AI277" s="11" t="s">
        <v>502</v>
      </c>
      <c r="AJ277" s="2" t="s">
        <v>1142</v>
      </c>
      <c r="AK277" s="2" t="s">
        <v>1142</v>
      </c>
      <c r="AL277" s="2" t="s">
        <v>1211</v>
      </c>
    </row>
    <row r="278" customFormat="false" ht="90" hidden="false" customHeight="true" outlineLevel="0" collapsed="false">
      <c r="A278" s="2" t="s">
        <v>892</v>
      </c>
      <c r="B278" s="2" t="s">
        <v>569</v>
      </c>
      <c r="C278" s="2" t="s">
        <v>474</v>
      </c>
      <c r="D278" s="9" t="n">
        <v>170</v>
      </c>
      <c r="E278" s="2" t="s">
        <v>491</v>
      </c>
      <c r="F278" s="2" t="s">
        <v>492</v>
      </c>
      <c r="G278" s="2" t="s">
        <v>524</v>
      </c>
      <c r="H278" s="2" t="s">
        <v>368</v>
      </c>
      <c r="I278" s="2" t="s">
        <v>145</v>
      </c>
      <c r="J278" s="2" t="s">
        <v>369</v>
      </c>
      <c r="K278" s="10" t="b">
        <f aca="false">FALSE()</f>
        <v>0</v>
      </c>
      <c r="L278" s="10" t="b">
        <f aca="false">FALSE()</f>
        <v>0</v>
      </c>
      <c r="M278" s="2" t="s">
        <v>494</v>
      </c>
      <c r="N278" s="2" t="s">
        <v>371</v>
      </c>
      <c r="O278" s="2" t="s">
        <v>495</v>
      </c>
      <c r="P278" s="2" t="n">
        <v>30</v>
      </c>
      <c r="Q278" s="2" t="s">
        <v>496</v>
      </c>
      <c r="R278" s="11" t="s">
        <v>497</v>
      </c>
      <c r="S278" s="11" t="s">
        <v>498</v>
      </c>
      <c r="T278" s="2" t="s">
        <v>219</v>
      </c>
      <c r="U278" s="2" t="s">
        <v>153</v>
      </c>
      <c r="V278" s="2" t="s">
        <v>606</v>
      </c>
      <c r="W278" s="11" t="s">
        <v>607</v>
      </c>
      <c r="X278" s="2"/>
      <c r="Y278" s="2"/>
      <c r="Z278" s="2"/>
      <c r="AA278" s="2"/>
      <c r="AB278" s="2" t="s">
        <v>608</v>
      </c>
      <c r="AC278" s="2" t="s">
        <v>157</v>
      </c>
      <c r="AD278" s="2" t="s">
        <v>440</v>
      </c>
      <c r="AE278" s="10" t="b">
        <f aca="false">FALSE()</f>
        <v>0</v>
      </c>
      <c r="AF278" s="2" t="s">
        <v>133</v>
      </c>
      <c r="AG278" s="2" t="s">
        <v>158</v>
      </c>
      <c r="AH278" s="2" t="s">
        <v>135</v>
      </c>
      <c r="AI278" s="11" t="s">
        <v>502</v>
      </c>
      <c r="AJ278" s="2" t="s">
        <v>1277</v>
      </c>
      <c r="AK278" s="2"/>
      <c r="AL278" s="2"/>
    </row>
    <row r="279" customFormat="false" ht="90" hidden="false" customHeight="true" outlineLevel="0" collapsed="false">
      <c r="A279" s="2" t="s">
        <v>894</v>
      </c>
      <c r="B279" s="2" t="s">
        <v>569</v>
      </c>
      <c r="C279" s="2" t="s">
        <v>474</v>
      </c>
      <c r="D279" s="9" t="n">
        <v>164</v>
      </c>
      <c r="E279" s="2" t="s">
        <v>491</v>
      </c>
      <c r="F279" s="2" t="s">
        <v>492</v>
      </c>
      <c r="G279" s="2" t="s">
        <v>524</v>
      </c>
      <c r="H279" s="2" t="s">
        <v>368</v>
      </c>
      <c r="I279" s="2" t="s">
        <v>145</v>
      </c>
      <c r="J279" s="2" t="s">
        <v>369</v>
      </c>
      <c r="K279" s="10" t="b">
        <f aca="false">FALSE()</f>
        <v>0</v>
      </c>
      <c r="L279" s="10" t="b">
        <f aca="false">TRUE()</f>
        <v>1</v>
      </c>
      <c r="M279" s="2" t="s">
        <v>494</v>
      </c>
      <c r="N279" s="2" t="s">
        <v>371</v>
      </c>
      <c r="O279" s="2" t="s">
        <v>495</v>
      </c>
      <c r="P279" s="2" t="n">
        <v>60</v>
      </c>
      <c r="Q279" s="2" t="s">
        <v>496</v>
      </c>
      <c r="R279" s="11" t="s">
        <v>497</v>
      </c>
      <c r="S279" s="11" t="s">
        <v>498</v>
      </c>
      <c r="T279" s="2" t="s">
        <v>219</v>
      </c>
      <c r="U279" s="2" t="s">
        <v>153</v>
      </c>
      <c r="V279" s="2" t="s">
        <v>570</v>
      </c>
      <c r="W279" s="11" t="s">
        <v>571</v>
      </c>
      <c r="X279" s="2"/>
      <c r="Y279" s="2"/>
      <c r="Z279" s="2"/>
      <c r="AA279" s="2"/>
      <c r="AB279" s="2" t="s">
        <v>572</v>
      </c>
      <c r="AC279" s="2" t="s">
        <v>157</v>
      </c>
      <c r="AD279" s="2" t="s">
        <v>132</v>
      </c>
      <c r="AE279" s="10" t="b">
        <f aca="false">FALSE()</f>
        <v>0</v>
      </c>
      <c r="AF279" s="2" t="s">
        <v>133</v>
      </c>
      <c r="AG279" s="2" t="s">
        <v>158</v>
      </c>
      <c r="AH279" s="2" t="s">
        <v>135</v>
      </c>
      <c r="AI279" s="11" t="s">
        <v>502</v>
      </c>
      <c r="AJ279" s="2" t="s">
        <v>1277</v>
      </c>
      <c r="AK279" s="2"/>
      <c r="AL279" s="2"/>
    </row>
    <row r="280" customFormat="false" ht="90" hidden="false" customHeight="true" outlineLevel="0" collapsed="false">
      <c r="A280" s="2" t="s">
        <v>896</v>
      </c>
      <c r="B280" s="2" t="s">
        <v>569</v>
      </c>
      <c r="C280" s="2" t="s">
        <v>474</v>
      </c>
      <c r="D280" s="9" t="n">
        <v>164</v>
      </c>
      <c r="E280" s="2" t="s">
        <v>491</v>
      </c>
      <c r="F280" s="2" t="s">
        <v>492</v>
      </c>
      <c r="G280" s="2" t="s">
        <v>524</v>
      </c>
      <c r="H280" s="2" t="s">
        <v>368</v>
      </c>
      <c r="I280" s="2" t="s">
        <v>145</v>
      </c>
      <c r="J280" s="2" t="s">
        <v>369</v>
      </c>
      <c r="K280" s="10" t="b">
        <f aca="false">FALSE()</f>
        <v>0</v>
      </c>
      <c r="L280" s="10" t="b">
        <f aca="false">TRUE()</f>
        <v>1</v>
      </c>
      <c r="M280" s="2" t="s">
        <v>494</v>
      </c>
      <c r="N280" s="2" t="s">
        <v>371</v>
      </c>
      <c r="O280" s="2" t="s">
        <v>495</v>
      </c>
      <c r="P280" s="2" t="n">
        <v>30</v>
      </c>
      <c r="Q280" s="2" t="s">
        <v>496</v>
      </c>
      <c r="R280" s="11" t="s">
        <v>497</v>
      </c>
      <c r="S280" s="11" t="s">
        <v>498</v>
      </c>
      <c r="T280" s="2" t="s">
        <v>632</v>
      </c>
      <c r="U280" s="2" t="s">
        <v>153</v>
      </c>
      <c r="V280" s="2" t="s">
        <v>587</v>
      </c>
      <c r="W280" s="11" t="s">
        <v>645</v>
      </c>
      <c r="X280" s="2"/>
      <c r="Y280" s="2"/>
      <c r="Z280" s="2"/>
      <c r="AA280" s="2"/>
      <c r="AB280" s="2" t="s">
        <v>589</v>
      </c>
      <c r="AC280" s="2" t="s">
        <v>131</v>
      </c>
      <c r="AD280" s="2" t="s">
        <v>354</v>
      </c>
      <c r="AE280" s="10" t="b">
        <f aca="false">FALSE()</f>
        <v>0</v>
      </c>
      <c r="AF280" s="2" t="s">
        <v>133</v>
      </c>
      <c r="AG280" s="2" t="s">
        <v>158</v>
      </c>
      <c r="AH280" s="2" t="s">
        <v>135</v>
      </c>
      <c r="AI280" s="11" t="s">
        <v>502</v>
      </c>
      <c r="AJ280" s="2" t="s">
        <v>1277</v>
      </c>
      <c r="AK280" s="2"/>
      <c r="AL280" s="2"/>
    </row>
    <row r="281" customFormat="false" ht="90" hidden="false" customHeight="true" outlineLevel="0" collapsed="false">
      <c r="A281" s="2" t="s">
        <v>1212</v>
      </c>
      <c r="B281" s="2" t="s">
        <v>569</v>
      </c>
      <c r="C281" s="2" t="s">
        <v>474</v>
      </c>
      <c r="D281" s="9" t="n">
        <v>159</v>
      </c>
      <c r="E281" s="2" t="s">
        <v>491</v>
      </c>
      <c r="F281" s="2" t="s">
        <v>492</v>
      </c>
      <c r="G281" s="2" t="s">
        <v>524</v>
      </c>
      <c r="H281" s="2" t="s">
        <v>368</v>
      </c>
      <c r="I281" s="2" t="s">
        <v>145</v>
      </c>
      <c r="J281" s="2" t="s">
        <v>369</v>
      </c>
      <c r="K281" s="10" t="b">
        <f aca="false">FALSE()</f>
        <v>0</v>
      </c>
      <c r="L281" s="10" t="b">
        <f aca="false">TRUE()</f>
        <v>1</v>
      </c>
      <c r="M281" s="2" t="s">
        <v>494</v>
      </c>
      <c r="N281" s="2" t="s">
        <v>371</v>
      </c>
      <c r="O281" s="2" t="s">
        <v>495</v>
      </c>
      <c r="P281" s="2" t="n">
        <v>60</v>
      </c>
      <c r="Q281" s="2" t="s">
        <v>496</v>
      </c>
      <c r="R281" s="11" t="s">
        <v>497</v>
      </c>
      <c r="S281" s="11" t="s">
        <v>498</v>
      </c>
      <c r="T281" s="2" t="s">
        <v>219</v>
      </c>
      <c r="U281" s="2" t="s">
        <v>153</v>
      </c>
      <c r="V281" s="2" t="s">
        <v>570</v>
      </c>
      <c r="W281" s="11" t="s">
        <v>571</v>
      </c>
      <c r="X281" s="2"/>
      <c r="Y281" s="2"/>
      <c r="Z281" s="2"/>
      <c r="AA281" s="2"/>
      <c r="AB281" s="2" t="s">
        <v>572</v>
      </c>
      <c r="AC281" s="2" t="s">
        <v>157</v>
      </c>
      <c r="AD281" s="2" t="s">
        <v>132</v>
      </c>
      <c r="AE281" s="10" t="b">
        <f aca="false">FALSE()</f>
        <v>0</v>
      </c>
      <c r="AF281" s="2" t="s">
        <v>133</v>
      </c>
      <c r="AG281" s="2" t="s">
        <v>158</v>
      </c>
      <c r="AH281" s="2" t="s">
        <v>135</v>
      </c>
      <c r="AI281" s="11" t="s">
        <v>502</v>
      </c>
      <c r="AJ281" s="2" t="s">
        <v>1142</v>
      </c>
      <c r="AK281" s="2" t="s">
        <v>1142</v>
      </c>
      <c r="AL281" s="2" t="s">
        <v>1213</v>
      </c>
    </row>
    <row r="282" customFormat="false" ht="90" hidden="false" customHeight="true" outlineLevel="0" collapsed="false">
      <c r="A282" s="2" t="s">
        <v>898</v>
      </c>
      <c r="B282" s="2" t="s">
        <v>569</v>
      </c>
      <c r="C282" s="2" t="s">
        <v>474</v>
      </c>
      <c r="D282" s="9" t="n">
        <v>156</v>
      </c>
      <c r="E282" s="2" t="s">
        <v>491</v>
      </c>
      <c r="F282" s="2" t="s">
        <v>492</v>
      </c>
      <c r="G282" s="2" t="s">
        <v>524</v>
      </c>
      <c r="H282" s="2" t="s">
        <v>368</v>
      </c>
      <c r="I282" s="2" t="s">
        <v>145</v>
      </c>
      <c r="J282" s="2" t="s">
        <v>369</v>
      </c>
      <c r="K282" s="10" t="b">
        <f aca="false">FALSE()</f>
        <v>0</v>
      </c>
      <c r="L282" s="10" t="b">
        <f aca="false">TRUE()</f>
        <v>1</v>
      </c>
      <c r="M282" s="2" t="s">
        <v>494</v>
      </c>
      <c r="N282" s="2" t="s">
        <v>371</v>
      </c>
      <c r="O282" s="2" t="s">
        <v>495</v>
      </c>
      <c r="P282" s="2" t="n">
        <v>60</v>
      </c>
      <c r="Q282" s="2" t="s">
        <v>496</v>
      </c>
      <c r="R282" s="11" t="s">
        <v>497</v>
      </c>
      <c r="S282" s="11" t="s">
        <v>498</v>
      </c>
      <c r="T282" s="2" t="s">
        <v>219</v>
      </c>
      <c r="U282" s="2" t="s">
        <v>153</v>
      </c>
      <c r="V282" s="2" t="s">
        <v>570</v>
      </c>
      <c r="W282" s="11" t="s">
        <v>592</v>
      </c>
      <c r="X282" s="2"/>
      <c r="Y282" s="2"/>
      <c r="Z282" s="2"/>
      <c r="AA282" s="2"/>
      <c r="AB282" s="2" t="s">
        <v>572</v>
      </c>
      <c r="AC282" s="2" t="s">
        <v>157</v>
      </c>
      <c r="AD282" s="2" t="s">
        <v>132</v>
      </c>
      <c r="AE282" s="10" t="b">
        <f aca="false">FALSE()</f>
        <v>0</v>
      </c>
      <c r="AF282" s="2" t="s">
        <v>133</v>
      </c>
      <c r="AG282" s="2" t="s">
        <v>158</v>
      </c>
      <c r="AH282" s="2" t="s">
        <v>135</v>
      </c>
      <c r="AI282" s="11" t="s">
        <v>502</v>
      </c>
      <c r="AJ282" s="2" t="s">
        <v>1277</v>
      </c>
      <c r="AK282" s="2"/>
      <c r="AL282" s="2"/>
    </row>
    <row r="283" customFormat="false" ht="90" hidden="false" customHeight="true" outlineLevel="0" collapsed="false">
      <c r="A283" s="2" t="s">
        <v>900</v>
      </c>
      <c r="B283" s="2" t="s">
        <v>569</v>
      </c>
      <c r="C283" s="2" t="s">
        <v>474</v>
      </c>
      <c r="D283" s="9" t="n">
        <v>154</v>
      </c>
      <c r="E283" s="2" t="s">
        <v>491</v>
      </c>
      <c r="F283" s="2" t="s">
        <v>492</v>
      </c>
      <c r="G283" s="2" t="s">
        <v>524</v>
      </c>
      <c r="H283" s="2" t="s">
        <v>368</v>
      </c>
      <c r="I283" s="2" t="s">
        <v>145</v>
      </c>
      <c r="J283" s="2" t="s">
        <v>369</v>
      </c>
      <c r="K283" s="10" t="b">
        <f aca="false">FALSE()</f>
        <v>0</v>
      </c>
      <c r="L283" s="10" t="b">
        <f aca="false">FALSE()</f>
        <v>0</v>
      </c>
      <c r="M283" s="2" t="s">
        <v>494</v>
      </c>
      <c r="N283" s="2" t="s">
        <v>371</v>
      </c>
      <c r="O283" s="2" t="s">
        <v>495</v>
      </c>
      <c r="P283" s="2" t="n">
        <v>30</v>
      </c>
      <c r="Q283" s="2" t="s">
        <v>496</v>
      </c>
      <c r="R283" s="11" t="s">
        <v>497</v>
      </c>
      <c r="S283" s="11" t="s">
        <v>498</v>
      </c>
      <c r="T283" s="2" t="s">
        <v>557</v>
      </c>
      <c r="U283" s="2" t="s">
        <v>153</v>
      </c>
      <c r="V283" s="2" t="s">
        <v>606</v>
      </c>
      <c r="W283" s="11" t="s">
        <v>607</v>
      </c>
      <c r="X283" s="2"/>
      <c r="Y283" s="2"/>
      <c r="Z283" s="2"/>
      <c r="AA283" s="2"/>
      <c r="AB283" s="2" t="s">
        <v>608</v>
      </c>
      <c r="AC283" s="2" t="s">
        <v>131</v>
      </c>
      <c r="AD283" s="2" t="s">
        <v>440</v>
      </c>
      <c r="AE283" s="10" t="b">
        <f aca="false">FALSE()</f>
        <v>0</v>
      </c>
      <c r="AF283" s="2" t="s">
        <v>133</v>
      </c>
      <c r="AG283" s="2" t="s">
        <v>158</v>
      </c>
      <c r="AH283" s="2" t="s">
        <v>135</v>
      </c>
      <c r="AI283" s="11" t="s">
        <v>502</v>
      </c>
      <c r="AJ283" s="2" t="s">
        <v>1277</v>
      </c>
      <c r="AK283" s="2"/>
      <c r="AL283" s="2"/>
    </row>
    <row r="284" customFormat="false" ht="90" hidden="false" customHeight="true" outlineLevel="0" collapsed="false">
      <c r="A284" s="2" t="s">
        <v>902</v>
      </c>
      <c r="B284" s="2" t="s">
        <v>569</v>
      </c>
      <c r="C284" s="2" t="s">
        <v>474</v>
      </c>
      <c r="D284" s="9" t="n">
        <v>153</v>
      </c>
      <c r="E284" s="2" t="s">
        <v>491</v>
      </c>
      <c r="F284" s="2" t="s">
        <v>492</v>
      </c>
      <c r="G284" s="2" t="s">
        <v>524</v>
      </c>
      <c r="H284" s="2" t="s">
        <v>368</v>
      </c>
      <c r="I284" s="2" t="s">
        <v>145</v>
      </c>
      <c r="J284" s="2" t="s">
        <v>369</v>
      </c>
      <c r="K284" s="10" t="b">
        <f aca="false">FALSE()</f>
        <v>0</v>
      </c>
      <c r="L284" s="10" t="b">
        <f aca="false">TRUE()</f>
        <v>1</v>
      </c>
      <c r="M284" s="2" t="s">
        <v>494</v>
      </c>
      <c r="N284" s="2" t="s">
        <v>371</v>
      </c>
      <c r="O284" s="2" t="s">
        <v>495</v>
      </c>
      <c r="P284" s="2" t="n">
        <v>60</v>
      </c>
      <c r="Q284" s="2" t="s">
        <v>496</v>
      </c>
      <c r="R284" s="11" t="s">
        <v>497</v>
      </c>
      <c r="S284" s="11" t="s">
        <v>498</v>
      </c>
      <c r="T284" s="2" t="s">
        <v>219</v>
      </c>
      <c r="U284" s="2" t="s">
        <v>153</v>
      </c>
      <c r="V284" s="2" t="s">
        <v>570</v>
      </c>
      <c r="W284" s="11" t="s">
        <v>571</v>
      </c>
      <c r="X284" s="2"/>
      <c r="Y284" s="2"/>
      <c r="Z284" s="2"/>
      <c r="AA284" s="2"/>
      <c r="AB284" s="2" t="s">
        <v>572</v>
      </c>
      <c r="AC284" s="2" t="s">
        <v>157</v>
      </c>
      <c r="AD284" s="2" t="s">
        <v>132</v>
      </c>
      <c r="AE284" s="10" t="b">
        <f aca="false">FALSE()</f>
        <v>0</v>
      </c>
      <c r="AF284" s="2" t="s">
        <v>133</v>
      </c>
      <c r="AG284" s="2" t="s">
        <v>158</v>
      </c>
      <c r="AH284" s="2" t="s">
        <v>135</v>
      </c>
      <c r="AI284" s="11" t="s">
        <v>502</v>
      </c>
      <c r="AJ284" s="2" t="s">
        <v>1277</v>
      </c>
      <c r="AK284" s="2"/>
      <c r="AL284" s="2"/>
    </row>
    <row r="285" customFormat="false" ht="90" hidden="false" customHeight="true" outlineLevel="0" collapsed="false">
      <c r="A285" s="2" t="s">
        <v>904</v>
      </c>
      <c r="B285" s="2" t="s">
        <v>569</v>
      </c>
      <c r="C285" s="2" t="s">
        <v>474</v>
      </c>
      <c r="D285" s="9" t="n">
        <v>152</v>
      </c>
      <c r="E285" s="2" t="s">
        <v>491</v>
      </c>
      <c r="F285" s="2" t="s">
        <v>492</v>
      </c>
      <c r="G285" s="2" t="s">
        <v>524</v>
      </c>
      <c r="H285" s="2" t="s">
        <v>368</v>
      </c>
      <c r="I285" s="2" t="s">
        <v>145</v>
      </c>
      <c r="J285" s="2" t="s">
        <v>369</v>
      </c>
      <c r="K285" s="10" t="b">
        <f aca="false">FALSE()</f>
        <v>0</v>
      </c>
      <c r="L285" s="10" t="b">
        <f aca="false">TRUE()</f>
        <v>1</v>
      </c>
      <c r="M285" s="2" t="s">
        <v>494</v>
      </c>
      <c r="N285" s="2" t="s">
        <v>371</v>
      </c>
      <c r="O285" s="2" t="s">
        <v>495</v>
      </c>
      <c r="P285" s="2" t="n">
        <v>30</v>
      </c>
      <c r="Q285" s="2" t="s">
        <v>496</v>
      </c>
      <c r="R285" s="11" t="s">
        <v>497</v>
      </c>
      <c r="S285" s="11" t="s">
        <v>498</v>
      </c>
      <c r="T285" s="2" t="s">
        <v>557</v>
      </c>
      <c r="U285" s="2" t="s">
        <v>153</v>
      </c>
      <c r="V285" s="2" t="s">
        <v>587</v>
      </c>
      <c r="W285" s="11" t="s">
        <v>645</v>
      </c>
      <c r="X285" s="2"/>
      <c r="Y285" s="2"/>
      <c r="Z285" s="2"/>
      <c r="AA285" s="2"/>
      <c r="AB285" s="2" t="s">
        <v>589</v>
      </c>
      <c r="AC285" s="2" t="s">
        <v>131</v>
      </c>
      <c r="AD285" s="2" t="s">
        <v>354</v>
      </c>
      <c r="AE285" s="10" t="b">
        <f aca="false">FALSE()</f>
        <v>0</v>
      </c>
      <c r="AF285" s="2" t="s">
        <v>133</v>
      </c>
      <c r="AG285" s="2" t="s">
        <v>158</v>
      </c>
      <c r="AH285" s="2" t="s">
        <v>135</v>
      </c>
      <c r="AI285" s="11" t="s">
        <v>502</v>
      </c>
      <c r="AJ285" s="2" t="s">
        <v>1277</v>
      </c>
      <c r="AK285" s="2"/>
      <c r="AL285" s="2"/>
    </row>
    <row r="286" customFormat="false" ht="90" hidden="false" customHeight="true" outlineLevel="0" collapsed="false">
      <c r="A286" s="2" t="s">
        <v>906</v>
      </c>
      <c r="B286" s="2" t="s">
        <v>569</v>
      </c>
      <c r="C286" s="2" t="s">
        <v>474</v>
      </c>
      <c r="D286" s="9" t="n">
        <v>149</v>
      </c>
      <c r="E286" s="2" t="s">
        <v>491</v>
      </c>
      <c r="F286" s="2" t="s">
        <v>492</v>
      </c>
      <c r="G286" s="2" t="s">
        <v>524</v>
      </c>
      <c r="H286" s="2" t="s">
        <v>368</v>
      </c>
      <c r="I286" s="2" t="s">
        <v>145</v>
      </c>
      <c r="J286" s="2" t="s">
        <v>369</v>
      </c>
      <c r="K286" s="10" t="b">
        <f aca="false">FALSE()</f>
        <v>0</v>
      </c>
      <c r="L286" s="10" t="b">
        <f aca="false">TRUE()</f>
        <v>1</v>
      </c>
      <c r="M286" s="2" t="s">
        <v>494</v>
      </c>
      <c r="N286" s="2" t="s">
        <v>371</v>
      </c>
      <c r="O286" s="2" t="s">
        <v>495</v>
      </c>
      <c r="P286" s="2" t="n">
        <v>60</v>
      </c>
      <c r="Q286" s="2" t="s">
        <v>496</v>
      </c>
      <c r="R286" s="11" t="s">
        <v>497</v>
      </c>
      <c r="S286" s="11" t="s">
        <v>498</v>
      </c>
      <c r="T286" s="2" t="s">
        <v>219</v>
      </c>
      <c r="U286" s="2" t="s">
        <v>153</v>
      </c>
      <c r="V286" s="2" t="s">
        <v>570</v>
      </c>
      <c r="W286" s="11" t="s">
        <v>571</v>
      </c>
      <c r="X286" s="2"/>
      <c r="Y286" s="2"/>
      <c r="Z286" s="2"/>
      <c r="AA286" s="2"/>
      <c r="AB286" s="2" t="s">
        <v>572</v>
      </c>
      <c r="AC286" s="2" t="s">
        <v>157</v>
      </c>
      <c r="AD286" s="2" t="s">
        <v>132</v>
      </c>
      <c r="AE286" s="10" t="b">
        <f aca="false">FALSE()</f>
        <v>0</v>
      </c>
      <c r="AF286" s="2" t="s">
        <v>133</v>
      </c>
      <c r="AG286" s="2" t="s">
        <v>158</v>
      </c>
      <c r="AH286" s="2" t="s">
        <v>135</v>
      </c>
      <c r="AI286" s="11" t="s">
        <v>502</v>
      </c>
      <c r="AJ286" s="2" t="s">
        <v>1277</v>
      </c>
      <c r="AK286" s="2"/>
      <c r="AL286" s="2"/>
    </row>
    <row r="287" customFormat="false" ht="90" hidden="false" customHeight="true" outlineLevel="0" collapsed="false">
      <c r="A287" s="2" t="s">
        <v>908</v>
      </c>
      <c r="B287" s="2" t="s">
        <v>569</v>
      </c>
      <c r="C287" s="2" t="s">
        <v>474</v>
      </c>
      <c r="D287" s="9" t="n">
        <v>147</v>
      </c>
      <c r="E287" s="2" t="s">
        <v>491</v>
      </c>
      <c r="F287" s="2" t="s">
        <v>492</v>
      </c>
      <c r="G287" s="2" t="s">
        <v>524</v>
      </c>
      <c r="H287" s="2" t="s">
        <v>368</v>
      </c>
      <c r="I287" s="2" t="s">
        <v>145</v>
      </c>
      <c r="J287" s="2" t="s">
        <v>369</v>
      </c>
      <c r="K287" s="10" t="b">
        <f aca="false">FALSE()</f>
        <v>0</v>
      </c>
      <c r="L287" s="10" t="b">
        <f aca="false">FALSE()</f>
        <v>0</v>
      </c>
      <c r="M287" s="2" t="s">
        <v>494</v>
      </c>
      <c r="N287" s="2" t="s">
        <v>371</v>
      </c>
      <c r="O287" s="2" t="s">
        <v>495</v>
      </c>
      <c r="P287" s="2" t="n">
        <v>30</v>
      </c>
      <c r="Q287" s="2" t="s">
        <v>496</v>
      </c>
      <c r="R287" s="11" t="s">
        <v>497</v>
      </c>
      <c r="S287" s="11" t="s">
        <v>498</v>
      </c>
      <c r="T287" s="2" t="s">
        <v>557</v>
      </c>
      <c r="U287" s="2" t="s">
        <v>153</v>
      </c>
      <c r="V287" s="2" t="s">
        <v>606</v>
      </c>
      <c r="W287" s="11" t="s">
        <v>607</v>
      </c>
      <c r="X287" s="2"/>
      <c r="Y287" s="2"/>
      <c r="Z287" s="2"/>
      <c r="AA287" s="2"/>
      <c r="AB287" s="2" t="s">
        <v>608</v>
      </c>
      <c r="AC287" s="2" t="s">
        <v>131</v>
      </c>
      <c r="AD287" s="2" t="s">
        <v>440</v>
      </c>
      <c r="AE287" s="10" t="b">
        <f aca="false">FALSE()</f>
        <v>0</v>
      </c>
      <c r="AF287" s="2" t="s">
        <v>133</v>
      </c>
      <c r="AG287" s="2" t="s">
        <v>158</v>
      </c>
      <c r="AH287" s="2" t="s">
        <v>135</v>
      </c>
      <c r="AI287" s="11" t="s">
        <v>502</v>
      </c>
      <c r="AJ287" s="2" t="s">
        <v>1277</v>
      </c>
      <c r="AK287" s="2"/>
      <c r="AL287" s="2"/>
    </row>
    <row r="288" customFormat="false" ht="90" hidden="false" customHeight="true" outlineLevel="0" collapsed="false">
      <c r="A288" s="2" t="s">
        <v>910</v>
      </c>
      <c r="B288" s="2" t="s">
        <v>569</v>
      </c>
      <c r="C288" s="2" t="s">
        <v>474</v>
      </c>
      <c r="D288" s="9" t="n">
        <v>146</v>
      </c>
      <c r="E288" s="2" t="s">
        <v>491</v>
      </c>
      <c r="F288" s="2" t="s">
        <v>492</v>
      </c>
      <c r="G288" s="2" t="s">
        <v>524</v>
      </c>
      <c r="H288" s="2" t="s">
        <v>368</v>
      </c>
      <c r="I288" s="2" t="s">
        <v>145</v>
      </c>
      <c r="J288" s="2" t="s">
        <v>369</v>
      </c>
      <c r="K288" s="10" t="b">
        <f aca="false">FALSE()</f>
        <v>0</v>
      </c>
      <c r="L288" s="10" t="b">
        <f aca="false">TRUE()</f>
        <v>1</v>
      </c>
      <c r="M288" s="2" t="s">
        <v>494</v>
      </c>
      <c r="N288" s="2" t="s">
        <v>371</v>
      </c>
      <c r="O288" s="2" t="s">
        <v>495</v>
      </c>
      <c r="P288" s="2" t="n">
        <v>60</v>
      </c>
      <c r="Q288" s="2" t="s">
        <v>496</v>
      </c>
      <c r="R288" s="11" t="s">
        <v>497</v>
      </c>
      <c r="S288" s="11" t="s">
        <v>498</v>
      </c>
      <c r="T288" s="2" t="s">
        <v>219</v>
      </c>
      <c r="U288" s="2" t="s">
        <v>153</v>
      </c>
      <c r="V288" s="2" t="s">
        <v>570</v>
      </c>
      <c r="W288" s="11" t="s">
        <v>571</v>
      </c>
      <c r="X288" s="2"/>
      <c r="Y288" s="2"/>
      <c r="Z288" s="2"/>
      <c r="AA288" s="2"/>
      <c r="AB288" s="2" t="s">
        <v>572</v>
      </c>
      <c r="AC288" s="2" t="s">
        <v>157</v>
      </c>
      <c r="AD288" s="2" t="s">
        <v>132</v>
      </c>
      <c r="AE288" s="10" t="b">
        <f aca="false">FALSE()</f>
        <v>0</v>
      </c>
      <c r="AF288" s="2" t="s">
        <v>133</v>
      </c>
      <c r="AG288" s="2" t="s">
        <v>158</v>
      </c>
      <c r="AH288" s="2" t="s">
        <v>135</v>
      </c>
      <c r="AI288" s="11" t="s">
        <v>502</v>
      </c>
      <c r="AJ288" s="2" t="s">
        <v>1277</v>
      </c>
      <c r="AK288" s="2"/>
      <c r="AL288" s="2"/>
    </row>
    <row r="289" customFormat="false" ht="90" hidden="false" customHeight="true" outlineLevel="0" collapsed="false">
      <c r="A289" s="2" t="s">
        <v>912</v>
      </c>
      <c r="B289" s="2" t="s">
        <v>569</v>
      </c>
      <c r="C289" s="2" t="s">
        <v>474</v>
      </c>
      <c r="D289" s="9" t="n">
        <v>145</v>
      </c>
      <c r="E289" s="2" t="s">
        <v>491</v>
      </c>
      <c r="F289" s="2" t="s">
        <v>492</v>
      </c>
      <c r="G289" s="2" t="s">
        <v>524</v>
      </c>
      <c r="H289" s="2" t="s">
        <v>368</v>
      </c>
      <c r="I289" s="2" t="s">
        <v>145</v>
      </c>
      <c r="J289" s="2" t="s">
        <v>369</v>
      </c>
      <c r="K289" s="10" t="b">
        <f aca="false">FALSE()</f>
        <v>0</v>
      </c>
      <c r="L289" s="10" t="b">
        <f aca="false">TRUE()</f>
        <v>1</v>
      </c>
      <c r="M289" s="2" t="s">
        <v>494</v>
      </c>
      <c r="N289" s="2" t="s">
        <v>371</v>
      </c>
      <c r="O289" s="2" t="s">
        <v>495</v>
      </c>
      <c r="P289" s="2" t="n">
        <v>60</v>
      </c>
      <c r="Q289" s="2" t="s">
        <v>496</v>
      </c>
      <c r="R289" s="11" t="s">
        <v>497</v>
      </c>
      <c r="S289" s="11" t="s">
        <v>498</v>
      </c>
      <c r="T289" s="2" t="s">
        <v>219</v>
      </c>
      <c r="U289" s="2" t="s">
        <v>153</v>
      </c>
      <c r="V289" s="2" t="s">
        <v>570</v>
      </c>
      <c r="W289" s="11" t="s">
        <v>571</v>
      </c>
      <c r="X289" s="2"/>
      <c r="Y289" s="2"/>
      <c r="Z289" s="2"/>
      <c r="AA289" s="2"/>
      <c r="AB289" s="2" t="s">
        <v>572</v>
      </c>
      <c r="AC289" s="2" t="s">
        <v>157</v>
      </c>
      <c r="AD289" s="2" t="s">
        <v>132</v>
      </c>
      <c r="AE289" s="10" t="b">
        <f aca="false">FALSE()</f>
        <v>0</v>
      </c>
      <c r="AF289" s="2" t="s">
        <v>133</v>
      </c>
      <c r="AG289" s="2" t="s">
        <v>158</v>
      </c>
      <c r="AH289" s="2" t="s">
        <v>135</v>
      </c>
      <c r="AI289" s="11" t="s">
        <v>502</v>
      </c>
      <c r="AJ289" s="2" t="s">
        <v>1277</v>
      </c>
      <c r="AK289" s="2"/>
      <c r="AL289" s="2"/>
    </row>
    <row r="290" customFormat="false" ht="90" hidden="false" customHeight="true" outlineLevel="0" collapsed="false">
      <c r="A290" s="2" t="s">
        <v>914</v>
      </c>
      <c r="B290" s="2" t="s">
        <v>569</v>
      </c>
      <c r="C290" s="2" t="s">
        <v>474</v>
      </c>
      <c r="D290" s="9" t="n">
        <v>143</v>
      </c>
      <c r="E290" s="2" t="s">
        <v>491</v>
      </c>
      <c r="F290" s="2" t="s">
        <v>492</v>
      </c>
      <c r="G290" s="2" t="s">
        <v>524</v>
      </c>
      <c r="H290" s="2" t="s">
        <v>368</v>
      </c>
      <c r="I290" s="2" t="s">
        <v>145</v>
      </c>
      <c r="J290" s="2" t="s">
        <v>369</v>
      </c>
      <c r="K290" s="10" t="b">
        <f aca="false">FALSE()</f>
        <v>0</v>
      </c>
      <c r="L290" s="10" t="b">
        <f aca="false">FALSE()</f>
        <v>0</v>
      </c>
      <c r="M290" s="2" t="s">
        <v>494</v>
      </c>
      <c r="N290" s="2" t="s">
        <v>371</v>
      </c>
      <c r="O290" s="2" t="s">
        <v>495</v>
      </c>
      <c r="P290" s="2" t="n">
        <v>30</v>
      </c>
      <c r="Q290" s="2" t="s">
        <v>496</v>
      </c>
      <c r="R290" s="11" t="s">
        <v>497</v>
      </c>
      <c r="S290" s="11" t="s">
        <v>498</v>
      </c>
      <c r="T290" s="2" t="s">
        <v>632</v>
      </c>
      <c r="U290" s="2" t="s">
        <v>153</v>
      </c>
      <c r="V290" s="2" t="s">
        <v>606</v>
      </c>
      <c r="W290" s="11" t="s">
        <v>607</v>
      </c>
      <c r="X290" s="2"/>
      <c r="Y290" s="2"/>
      <c r="Z290" s="2"/>
      <c r="AA290" s="2"/>
      <c r="AB290" s="2" t="s">
        <v>608</v>
      </c>
      <c r="AC290" s="2" t="s">
        <v>131</v>
      </c>
      <c r="AD290" s="2" t="s">
        <v>440</v>
      </c>
      <c r="AE290" s="10" t="b">
        <f aca="false">FALSE()</f>
        <v>0</v>
      </c>
      <c r="AF290" s="2" t="s">
        <v>133</v>
      </c>
      <c r="AG290" s="2" t="s">
        <v>158</v>
      </c>
      <c r="AH290" s="2" t="s">
        <v>135</v>
      </c>
      <c r="AI290" s="11" t="s">
        <v>502</v>
      </c>
      <c r="AJ290" s="2" t="s">
        <v>1277</v>
      </c>
      <c r="AK290" s="2"/>
      <c r="AL290" s="2"/>
    </row>
    <row r="291" customFormat="false" ht="90" hidden="false" customHeight="true" outlineLevel="0" collapsed="false">
      <c r="A291" s="2" t="s">
        <v>916</v>
      </c>
      <c r="B291" s="2" t="s">
        <v>569</v>
      </c>
      <c r="C291" s="2" t="s">
        <v>474</v>
      </c>
      <c r="D291" s="9" t="n">
        <v>142</v>
      </c>
      <c r="E291" s="2" t="s">
        <v>491</v>
      </c>
      <c r="F291" s="2" t="s">
        <v>492</v>
      </c>
      <c r="G291" s="2" t="s">
        <v>524</v>
      </c>
      <c r="H291" s="2" t="s">
        <v>368</v>
      </c>
      <c r="I291" s="2" t="s">
        <v>145</v>
      </c>
      <c r="J291" s="2" t="s">
        <v>369</v>
      </c>
      <c r="K291" s="10" t="b">
        <f aca="false">FALSE()</f>
        <v>0</v>
      </c>
      <c r="L291" s="10" t="b">
        <f aca="false">FALSE()</f>
        <v>0</v>
      </c>
      <c r="M291" s="2" t="s">
        <v>494</v>
      </c>
      <c r="N291" s="2" t="s">
        <v>371</v>
      </c>
      <c r="O291" s="2" t="s">
        <v>495</v>
      </c>
      <c r="P291" s="2" t="n">
        <v>30</v>
      </c>
      <c r="Q291" s="2" t="s">
        <v>496</v>
      </c>
      <c r="R291" s="11" t="s">
        <v>497</v>
      </c>
      <c r="S291" s="11" t="s">
        <v>498</v>
      </c>
      <c r="T291" s="2" t="s">
        <v>557</v>
      </c>
      <c r="U291" s="2" t="s">
        <v>153</v>
      </c>
      <c r="V291" s="2" t="s">
        <v>606</v>
      </c>
      <c r="W291" s="11" t="s">
        <v>607</v>
      </c>
      <c r="X291" s="2"/>
      <c r="Y291" s="2"/>
      <c r="Z291" s="2"/>
      <c r="AA291" s="2"/>
      <c r="AB291" s="2" t="s">
        <v>608</v>
      </c>
      <c r="AC291" s="2" t="s">
        <v>131</v>
      </c>
      <c r="AD291" s="2" t="s">
        <v>440</v>
      </c>
      <c r="AE291" s="10" t="b">
        <f aca="false">FALSE()</f>
        <v>0</v>
      </c>
      <c r="AF291" s="2" t="s">
        <v>133</v>
      </c>
      <c r="AG291" s="2" t="s">
        <v>158</v>
      </c>
      <c r="AH291" s="2" t="s">
        <v>135</v>
      </c>
      <c r="AI291" s="11" t="s">
        <v>502</v>
      </c>
      <c r="AJ291" s="2" t="s">
        <v>1277</v>
      </c>
      <c r="AK291" s="2"/>
      <c r="AL291" s="2"/>
    </row>
    <row r="292" customFormat="false" ht="90" hidden="false" customHeight="true" outlineLevel="0" collapsed="false">
      <c r="A292" s="2" t="s">
        <v>918</v>
      </c>
      <c r="B292" s="2" t="s">
        <v>569</v>
      </c>
      <c r="C292" s="2" t="s">
        <v>474</v>
      </c>
      <c r="D292" s="9" t="n">
        <v>140</v>
      </c>
      <c r="E292" s="2" t="s">
        <v>491</v>
      </c>
      <c r="F292" s="2" t="s">
        <v>492</v>
      </c>
      <c r="G292" s="2" t="s">
        <v>524</v>
      </c>
      <c r="H292" s="2" t="s">
        <v>368</v>
      </c>
      <c r="I292" s="2" t="s">
        <v>145</v>
      </c>
      <c r="J292" s="2" t="s">
        <v>369</v>
      </c>
      <c r="K292" s="10" t="b">
        <f aca="false">FALSE()</f>
        <v>0</v>
      </c>
      <c r="L292" s="10" t="b">
        <f aca="false">FALSE()</f>
        <v>0</v>
      </c>
      <c r="M292" s="2" t="s">
        <v>494</v>
      </c>
      <c r="N292" s="2" t="s">
        <v>371</v>
      </c>
      <c r="O292" s="2" t="s">
        <v>495</v>
      </c>
      <c r="P292" s="2" t="n">
        <v>30</v>
      </c>
      <c r="Q292" s="2" t="s">
        <v>496</v>
      </c>
      <c r="R292" s="11" t="s">
        <v>497</v>
      </c>
      <c r="S292" s="11" t="s">
        <v>498</v>
      </c>
      <c r="T292" s="2" t="s">
        <v>632</v>
      </c>
      <c r="U292" s="2" t="s">
        <v>153</v>
      </c>
      <c r="V292" s="2" t="s">
        <v>606</v>
      </c>
      <c r="W292" s="11" t="s">
        <v>607</v>
      </c>
      <c r="X292" s="2"/>
      <c r="Y292" s="2"/>
      <c r="Z292" s="2"/>
      <c r="AA292" s="2"/>
      <c r="AB292" s="2" t="s">
        <v>608</v>
      </c>
      <c r="AC292" s="2" t="s">
        <v>131</v>
      </c>
      <c r="AD292" s="2" t="s">
        <v>440</v>
      </c>
      <c r="AE292" s="10" t="b">
        <f aca="false">FALSE()</f>
        <v>0</v>
      </c>
      <c r="AF292" s="2" t="s">
        <v>133</v>
      </c>
      <c r="AG292" s="2" t="s">
        <v>158</v>
      </c>
      <c r="AH292" s="2" t="s">
        <v>135</v>
      </c>
      <c r="AI292" s="11" t="s">
        <v>502</v>
      </c>
      <c r="AJ292" s="2" t="s">
        <v>1277</v>
      </c>
      <c r="AK292" s="2"/>
      <c r="AL292" s="2"/>
    </row>
    <row r="293" customFormat="false" ht="90" hidden="false" customHeight="true" outlineLevel="0" collapsed="false">
      <c r="A293" s="2" t="s">
        <v>920</v>
      </c>
      <c r="B293" s="2" t="s">
        <v>569</v>
      </c>
      <c r="C293" s="2" t="s">
        <v>474</v>
      </c>
      <c r="D293" s="9" t="n">
        <v>138</v>
      </c>
      <c r="E293" s="2" t="s">
        <v>491</v>
      </c>
      <c r="F293" s="2" t="s">
        <v>492</v>
      </c>
      <c r="G293" s="2" t="s">
        <v>524</v>
      </c>
      <c r="H293" s="2" t="s">
        <v>368</v>
      </c>
      <c r="I293" s="2" t="s">
        <v>145</v>
      </c>
      <c r="J293" s="2" t="s">
        <v>369</v>
      </c>
      <c r="K293" s="10" t="b">
        <f aca="false">FALSE()</f>
        <v>0</v>
      </c>
      <c r="L293" s="10" t="b">
        <f aca="false">FALSE()</f>
        <v>0</v>
      </c>
      <c r="M293" s="2" t="s">
        <v>494</v>
      </c>
      <c r="N293" s="2" t="s">
        <v>371</v>
      </c>
      <c r="O293" s="2" t="s">
        <v>495</v>
      </c>
      <c r="P293" s="2" t="n">
        <v>60</v>
      </c>
      <c r="Q293" s="2" t="s">
        <v>496</v>
      </c>
      <c r="R293" s="11" t="s">
        <v>497</v>
      </c>
      <c r="S293" s="11" t="s">
        <v>498</v>
      </c>
      <c r="T293" s="2" t="s">
        <v>219</v>
      </c>
      <c r="U293" s="2" t="s">
        <v>153</v>
      </c>
      <c r="V293" s="2" t="s">
        <v>570</v>
      </c>
      <c r="W293" s="11" t="s">
        <v>571</v>
      </c>
      <c r="X293" s="2"/>
      <c r="Y293" s="2"/>
      <c r="Z293" s="2"/>
      <c r="AA293" s="2"/>
      <c r="AB293" s="2" t="s">
        <v>572</v>
      </c>
      <c r="AC293" s="2" t="s">
        <v>157</v>
      </c>
      <c r="AD293" s="2" t="s">
        <v>132</v>
      </c>
      <c r="AE293" s="10" t="b">
        <f aca="false">FALSE()</f>
        <v>0</v>
      </c>
      <c r="AF293" s="2" t="s">
        <v>133</v>
      </c>
      <c r="AG293" s="2" t="s">
        <v>158</v>
      </c>
      <c r="AH293" s="2" t="s">
        <v>135</v>
      </c>
      <c r="AI293" s="11" t="s">
        <v>502</v>
      </c>
      <c r="AJ293" s="2" t="s">
        <v>1277</v>
      </c>
      <c r="AK293" s="2"/>
      <c r="AL293" s="2"/>
    </row>
    <row r="294" customFormat="false" ht="90" hidden="false" customHeight="true" outlineLevel="0" collapsed="false">
      <c r="A294" s="2" t="s">
        <v>1228</v>
      </c>
      <c r="B294" s="2" t="s">
        <v>569</v>
      </c>
      <c r="C294" s="2" t="s">
        <v>474</v>
      </c>
      <c r="D294" s="9" t="n">
        <v>138</v>
      </c>
      <c r="E294" s="2" t="s">
        <v>491</v>
      </c>
      <c r="F294" s="2" t="s">
        <v>492</v>
      </c>
      <c r="G294" s="2" t="s">
        <v>524</v>
      </c>
      <c r="H294" s="2" t="s">
        <v>368</v>
      </c>
      <c r="I294" s="2" t="s">
        <v>145</v>
      </c>
      <c r="J294" s="2" t="s">
        <v>369</v>
      </c>
      <c r="K294" s="10" t="b">
        <f aca="false">FALSE()</f>
        <v>0</v>
      </c>
      <c r="L294" s="10" t="b">
        <f aca="false">FALSE()</f>
        <v>0</v>
      </c>
      <c r="M294" s="2" t="s">
        <v>494</v>
      </c>
      <c r="N294" s="2" t="s">
        <v>371</v>
      </c>
      <c r="O294" s="2" t="s">
        <v>495</v>
      </c>
      <c r="P294" s="2" t="n">
        <v>30</v>
      </c>
      <c r="Q294" s="2" t="s">
        <v>496</v>
      </c>
      <c r="R294" s="11" t="s">
        <v>497</v>
      </c>
      <c r="S294" s="11" t="s">
        <v>498</v>
      </c>
      <c r="T294" s="2" t="s">
        <v>632</v>
      </c>
      <c r="U294" s="2" t="s">
        <v>153</v>
      </c>
      <c r="V294" s="2" t="s">
        <v>606</v>
      </c>
      <c r="W294" s="11" t="s">
        <v>607</v>
      </c>
      <c r="X294" s="2"/>
      <c r="Y294" s="2"/>
      <c r="Z294" s="2"/>
      <c r="AA294" s="2"/>
      <c r="AB294" s="2" t="s">
        <v>608</v>
      </c>
      <c r="AC294" s="2" t="s">
        <v>131</v>
      </c>
      <c r="AD294" s="2" t="s">
        <v>440</v>
      </c>
      <c r="AE294" s="10" t="b">
        <f aca="false">FALSE()</f>
        <v>0</v>
      </c>
      <c r="AF294" s="2" t="s">
        <v>133</v>
      </c>
      <c r="AG294" s="2" t="s">
        <v>158</v>
      </c>
      <c r="AH294" s="2" t="s">
        <v>135</v>
      </c>
      <c r="AI294" s="11" t="s">
        <v>502</v>
      </c>
      <c r="AJ294" s="2" t="s">
        <v>1142</v>
      </c>
      <c r="AK294" s="2" t="s">
        <v>1142</v>
      </c>
      <c r="AL294" s="2" t="s">
        <v>1229</v>
      </c>
    </row>
    <row r="295" customFormat="false" ht="90" hidden="false" customHeight="true" outlineLevel="0" collapsed="false">
      <c r="A295" s="2" t="s">
        <v>1214</v>
      </c>
      <c r="B295" s="2" t="s">
        <v>569</v>
      </c>
      <c r="C295" s="2" t="s">
        <v>474</v>
      </c>
      <c r="D295" s="9" t="n">
        <v>136</v>
      </c>
      <c r="E295" s="2" t="s">
        <v>491</v>
      </c>
      <c r="F295" s="2" t="s">
        <v>492</v>
      </c>
      <c r="G295" s="2" t="s">
        <v>524</v>
      </c>
      <c r="H295" s="2" t="s">
        <v>368</v>
      </c>
      <c r="I295" s="2" t="s">
        <v>145</v>
      </c>
      <c r="J295" s="2" t="s">
        <v>369</v>
      </c>
      <c r="K295" s="10" t="b">
        <f aca="false">FALSE()</f>
        <v>0</v>
      </c>
      <c r="L295" s="10" t="b">
        <f aca="false">TRUE()</f>
        <v>1</v>
      </c>
      <c r="M295" s="2" t="s">
        <v>494</v>
      </c>
      <c r="N295" s="2" t="s">
        <v>371</v>
      </c>
      <c r="O295" s="2" t="s">
        <v>495</v>
      </c>
      <c r="P295" s="2" t="n">
        <v>60</v>
      </c>
      <c r="Q295" s="2" t="s">
        <v>496</v>
      </c>
      <c r="R295" s="11" t="s">
        <v>497</v>
      </c>
      <c r="S295" s="11" t="s">
        <v>498</v>
      </c>
      <c r="T295" s="2" t="s">
        <v>219</v>
      </c>
      <c r="U295" s="2" t="s">
        <v>153</v>
      </c>
      <c r="V295" s="2" t="s">
        <v>570</v>
      </c>
      <c r="W295" s="11" t="s">
        <v>571</v>
      </c>
      <c r="X295" s="2"/>
      <c r="Y295" s="2"/>
      <c r="Z295" s="2"/>
      <c r="AA295" s="2"/>
      <c r="AB295" s="2" t="s">
        <v>572</v>
      </c>
      <c r="AC295" s="2" t="s">
        <v>157</v>
      </c>
      <c r="AD295" s="2" t="s">
        <v>132</v>
      </c>
      <c r="AE295" s="10" t="b">
        <f aca="false">FALSE()</f>
        <v>0</v>
      </c>
      <c r="AF295" s="2" t="s">
        <v>133</v>
      </c>
      <c r="AG295" s="2" t="s">
        <v>158</v>
      </c>
      <c r="AH295" s="2" t="s">
        <v>135</v>
      </c>
      <c r="AI295" s="11" t="s">
        <v>502</v>
      </c>
      <c r="AJ295" s="2" t="s">
        <v>1142</v>
      </c>
      <c r="AK295" s="2" t="s">
        <v>1142</v>
      </c>
      <c r="AL295" s="2" t="s">
        <v>1215</v>
      </c>
    </row>
    <row r="296" customFormat="false" ht="90" hidden="false" customHeight="true" outlineLevel="0" collapsed="false">
      <c r="A296" s="2" t="s">
        <v>922</v>
      </c>
      <c r="B296" s="2" t="s">
        <v>569</v>
      </c>
      <c r="C296" s="2" t="s">
        <v>474</v>
      </c>
      <c r="D296" s="9" t="n">
        <v>134</v>
      </c>
      <c r="E296" s="2" t="s">
        <v>491</v>
      </c>
      <c r="F296" s="2" t="s">
        <v>492</v>
      </c>
      <c r="G296" s="2" t="s">
        <v>524</v>
      </c>
      <c r="H296" s="2" t="s">
        <v>368</v>
      </c>
      <c r="I296" s="2" t="s">
        <v>145</v>
      </c>
      <c r="J296" s="2" t="s">
        <v>369</v>
      </c>
      <c r="K296" s="10" t="b">
        <f aca="false">FALSE()</f>
        <v>0</v>
      </c>
      <c r="L296" s="10" t="b">
        <f aca="false">TRUE()</f>
        <v>1</v>
      </c>
      <c r="M296" s="2" t="s">
        <v>494</v>
      </c>
      <c r="N296" s="2" t="s">
        <v>371</v>
      </c>
      <c r="O296" s="2" t="s">
        <v>495</v>
      </c>
      <c r="P296" s="2" t="n">
        <v>60</v>
      </c>
      <c r="Q296" s="2" t="s">
        <v>496</v>
      </c>
      <c r="R296" s="11" t="s">
        <v>497</v>
      </c>
      <c r="S296" s="11" t="s">
        <v>498</v>
      </c>
      <c r="T296" s="2" t="s">
        <v>219</v>
      </c>
      <c r="U296" s="2" t="s">
        <v>153</v>
      </c>
      <c r="V296" s="2" t="s">
        <v>570</v>
      </c>
      <c r="W296" s="11" t="s">
        <v>571</v>
      </c>
      <c r="X296" s="2"/>
      <c r="Y296" s="2"/>
      <c r="Z296" s="2"/>
      <c r="AA296" s="2"/>
      <c r="AB296" s="2" t="s">
        <v>572</v>
      </c>
      <c r="AC296" s="2" t="s">
        <v>157</v>
      </c>
      <c r="AD296" s="2" t="s">
        <v>132</v>
      </c>
      <c r="AE296" s="10" t="b">
        <f aca="false">FALSE()</f>
        <v>0</v>
      </c>
      <c r="AF296" s="2" t="s">
        <v>133</v>
      </c>
      <c r="AG296" s="2" t="s">
        <v>158</v>
      </c>
      <c r="AH296" s="2" t="s">
        <v>135</v>
      </c>
      <c r="AI296" s="11" t="s">
        <v>502</v>
      </c>
      <c r="AJ296" s="2" t="s">
        <v>1277</v>
      </c>
      <c r="AK296" s="2"/>
      <c r="AL296" s="2"/>
    </row>
    <row r="297" customFormat="false" ht="90" hidden="false" customHeight="true" outlineLevel="0" collapsed="false">
      <c r="A297" s="2" t="s">
        <v>924</v>
      </c>
      <c r="B297" s="2" t="s">
        <v>569</v>
      </c>
      <c r="C297" s="2" t="s">
        <v>474</v>
      </c>
      <c r="D297" s="9" t="n">
        <v>131</v>
      </c>
      <c r="E297" s="2" t="s">
        <v>491</v>
      </c>
      <c r="F297" s="2" t="s">
        <v>492</v>
      </c>
      <c r="G297" s="2" t="s">
        <v>524</v>
      </c>
      <c r="H297" s="2" t="s">
        <v>368</v>
      </c>
      <c r="I297" s="2" t="s">
        <v>145</v>
      </c>
      <c r="J297" s="2" t="s">
        <v>369</v>
      </c>
      <c r="K297" s="10" t="b">
        <f aca="false">FALSE()</f>
        <v>0</v>
      </c>
      <c r="L297" s="10" t="b">
        <f aca="false">FALSE()</f>
        <v>0</v>
      </c>
      <c r="M297" s="2" t="s">
        <v>494</v>
      </c>
      <c r="N297" s="2" t="s">
        <v>371</v>
      </c>
      <c r="O297" s="2" t="s">
        <v>495</v>
      </c>
      <c r="P297" s="2" t="n">
        <v>30</v>
      </c>
      <c r="Q297" s="2" t="s">
        <v>496</v>
      </c>
      <c r="R297" s="11" t="s">
        <v>497</v>
      </c>
      <c r="S297" s="11" t="s">
        <v>498</v>
      </c>
      <c r="T297" s="2" t="s">
        <v>219</v>
      </c>
      <c r="U297" s="2" t="s">
        <v>153</v>
      </c>
      <c r="V297" s="2" t="s">
        <v>606</v>
      </c>
      <c r="W297" s="11" t="s">
        <v>607</v>
      </c>
      <c r="X297" s="2"/>
      <c r="Y297" s="2"/>
      <c r="Z297" s="2"/>
      <c r="AA297" s="2"/>
      <c r="AB297" s="2" t="s">
        <v>608</v>
      </c>
      <c r="AC297" s="2" t="s">
        <v>157</v>
      </c>
      <c r="AD297" s="2" t="s">
        <v>440</v>
      </c>
      <c r="AE297" s="10" t="b">
        <f aca="false">FALSE()</f>
        <v>0</v>
      </c>
      <c r="AF297" s="2" t="s">
        <v>133</v>
      </c>
      <c r="AG297" s="2" t="s">
        <v>158</v>
      </c>
      <c r="AH297" s="2" t="s">
        <v>135</v>
      </c>
      <c r="AI297" s="11" t="s">
        <v>502</v>
      </c>
      <c r="AJ297" s="2" t="s">
        <v>1277</v>
      </c>
      <c r="AK297" s="2"/>
      <c r="AL297" s="2"/>
    </row>
    <row r="298" customFormat="false" ht="90" hidden="false" customHeight="true" outlineLevel="0" collapsed="false">
      <c r="A298" s="2" t="s">
        <v>1216</v>
      </c>
      <c r="B298" s="2" t="s">
        <v>569</v>
      </c>
      <c r="C298" s="2" t="s">
        <v>474</v>
      </c>
      <c r="D298" s="9" t="n">
        <v>124</v>
      </c>
      <c r="E298" s="2" t="s">
        <v>491</v>
      </c>
      <c r="F298" s="2" t="s">
        <v>492</v>
      </c>
      <c r="G298" s="2" t="s">
        <v>524</v>
      </c>
      <c r="H298" s="2" t="s">
        <v>368</v>
      </c>
      <c r="I298" s="2" t="s">
        <v>145</v>
      </c>
      <c r="J298" s="2" t="s">
        <v>369</v>
      </c>
      <c r="K298" s="10" t="b">
        <f aca="false">FALSE()</f>
        <v>0</v>
      </c>
      <c r="L298" s="10" t="b">
        <f aca="false">TRUE()</f>
        <v>1</v>
      </c>
      <c r="M298" s="2" t="s">
        <v>494</v>
      </c>
      <c r="N298" s="2" t="s">
        <v>371</v>
      </c>
      <c r="O298" s="2" t="s">
        <v>495</v>
      </c>
      <c r="P298" s="2" t="n">
        <v>60</v>
      </c>
      <c r="Q298" s="2" t="s">
        <v>496</v>
      </c>
      <c r="R298" s="11" t="s">
        <v>497</v>
      </c>
      <c r="S298" s="11" t="s">
        <v>498</v>
      </c>
      <c r="T298" s="2" t="s">
        <v>219</v>
      </c>
      <c r="U298" s="2" t="s">
        <v>153</v>
      </c>
      <c r="V298" s="2" t="s">
        <v>570</v>
      </c>
      <c r="W298" s="11" t="s">
        <v>571</v>
      </c>
      <c r="X298" s="2"/>
      <c r="Y298" s="2"/>
      <c r="Z298" s="2"/>
      <c r="AA298" s="2"/>
      <c r="AB298" s="2" t="s">
        <v>572</v>
      </c>
      <c r="AC298" s="2" t="s">
        <v>157</v>
      </c>
      <c r="AD298" s="2" t="s">
        <v>132</v>
      </c>
      <c r="AE298" s="10" t="b">
        <f aca="false">FALSE()</f>
        <v>0</v>
      </c>
      <c r="AF298" s="2" t="s">
        <v>133</v>
      </c>
      <c r="AG298" s="2" t="s">
        <v>158</v>
      </c>
      <c r="AH298" s="2" t="s">
        <v>135</v>
      </c>
      <c r="AI298" s="11" t="s">
        <v>502</v>
      </c>
      <c r="AJ298" s="2" t="s">
        <v>1142</v>
      </c>
      <c r="AK298" s="2" t="s">
        <v>1142</v>
      </c>
      <c r="AL298" s="2" t="s">
        <v>1217</v>
      </c>
    </row>
    <row r="299" customFormat="false" ht="90" hidden="false" customHeight="true" outlineLevel="0" collapsed="false">
      <c r="A299" s="2" t="s">
        <v>926</v>
      </c>
      <c r="B299" s="2" t="s">
        <v>569</v>
      </c>
      <c r="C299" s="2" t="s">
        <v>474</v>
      </c>
      <c r="D299" s="9" t="n">
        <v>123</v>
      </c>
      <c r="E299" s="2" t="s">
        <v>491</v>
      </c>
      <c r="F299" s="2" t="s">
        <v>492</v>
      </c>
      <c r="G299" s="2" t="s">
        <v>524</v>
      </c>
      <c r="H299" s="2" t="s">
        <v>368</v>
      </c>
      <c r="I299" s="2" t="s">
        <v>145</v>
      </c>
      <c r="J299" s="2" t="s">
        <v>369</v>
      </c>
      <c r="K299" s="10" t="b">
        <f aca="false">FALSE()</f>
        <v>0</v>
      </c>
      <c r="L299" s="10" t="b">
        <f aca="false">TRUE()</f>
        <v>1</v>
      </c>
      <c r="M299" s="2" t="s">
        <v>494</v>
      </c>
      <c r="N299" s="2" t="s">
        <v>371</v>
      </c>
      <c r="O299" s="2" t="s">
        <v>495</v>
      </c>
      <c r="P299" s="2" t="n">
        <v>30</v>
      </c>
      <c r="Q299" s="2" t="s">
        <v>496</v>
      </c>
      <c r="R299" s="11" t="s">
        <v>497</v>
      </c>
      <c r="S299" s="11" t="s">
        <v>498</v>
      </c>
      <c r="T299" s="2" t="s">
        <v>557</v>
      </c>
      <c r="U299" s="2" t="s">
        <v>153</v>
      </c>
      <c r="V299" s="2" t="s">
        <v>587</v>
      </c>
      <c r="W299" s="11" t="s">
        <v>645</v>
      </c>
      <c r="X299" s="2"/>
      <c r="Y299" s="2"/>
      <c r="Z299" s="2"/>
      <c r="AA299" s="2"/>
      <c r="AB299" s="2" t="s">
        <v>589</v>
      </c>
      <c r="AC299" s="2" t="s">
        <v>131</v>
      </c>
      <c r="AD299" s="2" t="s">
        <v>354</v>
      </c>
      <c r="AE299" s="10" t="b">
        <f aca="false">FALSE()</f>
        <v>0</v>
      </c>
      <c r="AF299" s="2" t="s">
        <v>133</v>
      </c>
      <c r="AG299" s="2" t="s">
        <v>158</v>
      </c>
      <c r="AH299" s="2" t="s">
        <v>135</v>
      </c>
      <c r="AI299" s="11" t="s">
        <v>502</v>
      </c>
      <c r="AJ299" s="2" t="s">
        <v>1277</v>
      </c>
      <c r="AK299" s="2"/>
      <c r="AL299" s="2"/>
    </row>
    <row r="300" customFormat="false" ht="90" hidden="false" customHeight="true" outlineLevel="0" collapsed="false">
      <c r="A300" s="2" t="s">
        <v>928</v>
      </c>
      <c r="B300" s="2" t="s">
        <v>569</v>
      </c>
      <c r="C300" s="2" t="s">
        <v>474</v>
      </c>
      <c r="D300" s="9" t="n">
        <v>123</v>
      </c>
      <c r="E300" s="2" t="s">
        <v>491</v>
      </c>
      <c r="F300" s="2" t="s">
        <v>492</v>
      </c>
      <c r="G300" s="2" t="s">
        <v>524</v>
      </c>
      <c r="H300" s="2" t="s">
        <v>368</v>
      </c>
      <c r="I300" s="2" t="s">
        <v>145</v>
      </c>
      <c r="J300" s="2" t="s">
        <v>369</v>
      </c>
      <c r="K300" s="10" t="b">
        <f aca="false">FALSE()</f>
        <v>0</v>
      </c>
      <c r="L300" s="10" t="b">
        <f aca="false">FALSE()</f>
        <v>0</v>
      </c>
      <c r="M300" s="2" t="s">
        <v>494</v>
      </c>
      <c r="N300" s="2" t="s">
        <v>371</v>
      </c>
      <c r="O300" s="2" t="s">
        <v>495</v>
      </c>
      <c r="P300" s="2" t="n">
        <v>30</v>
      </c>
      <c r="Q300" s="2" t="s">
        <v>496</v>
      </c>
      <c r="R300" s="11" t="s">
        <v>497</v>
      </c>
      <c r="S300" s="11" t="s">
        <v>498</v>
      </c>
      <c r="T300" s="2" t="s">
        <v>557</v>
      </c>
      <c r="U300" s="2" t="s">
        <v>153</v>
      </c>
      <c r="V300" s="2" t="s">
        <v>606</v>
      </c>
      <c r="W300" s="11" t="s">
        <v>607</v>
      </c>
      <c r="X300" s="2"/>
      <c r="Y300" s="2"/>
      <c r="Z300" s="2"/>
      <c r="AA300" s="2"/>
      <c r="AB300" s="2" t="s">
        <v>608</v>
      </c>
      <c r="AC300" s="2" t="s">
        <v>131</v>
      </c>
      <c r="AD300" s="2" t="s">
        <v>440</v>
      </c>
      <c r="AE300" s="10" t="b">
        <f aca="false">FALSE()</f>
        <v>0</v>
      </c>
      <c r="AF300" s="2" t="s">
        <v>133</v>
      </c>
      <c r="AG300" s="2" t="s">
        <v>158</v>
      </c>
      <c r="AH300" s="2" t="s">
        <v>135</v>
      </c>
      <c r="AI300" s="11" t="s">
        <v>502</v>
      </c>
      <c r="AJ300" s="2" t="s">
        <v>1277</v>
      </c>
      <c r="AK300" s="2"/>
      <c r="AL300" s="2"/>
    </row>
    <row r="301" customFormat="false" ht="90" hidden="false" customHeight="true" outlineLevel="0" collapsed="false">
      <c r="A301" s="2" t="s">
        <v>930</v>
      </c>
      <c r="B301" s="2" t="s">
        <v>569</v>
      </c>
      <c r="C301" s="2" t="s">
        <v>474</v>
      </c>
      <c r="D301" s="9" t="n">
        <v>121</v>
      </c>
      <c r="E301" s="2" t="s">
        <v>491</v>
      </c>
      <c r="F301" s="2" t="s">
        <v>492</v>
      </c>
      <c r="G301" s="2" t="s">
        <v>524</v>
      </c>
      <c r="H301" s="2" t="s">
        <v>368</v>
      </c>
      <c r="I301" s="2" t="s">
        <v>145</v>
      </c>
      <c r="J301" s="2" t="s">
        <v>369</v>
      </c>
      <c r="K301" s="10" t="b">
        <f aca="false">FALSE()</f>
        <v>0</v>
      </c>
      <c r="L301" s="10" t="b">
        <f aca="false">TRUE()</f>
        <v>1</v>
      </c>
      <c r="M301" s="2" t="s">
        <v>494</v>
      </c>
      <c r="N301" s="2" t="s">
        <v>371</v>
      </c>
      <c r="O301" s="2" t="s">
        <v>495</v>
      </c>
      <c r="P301" s="2" t="n">
        <v>60</v>
      </c>
      <c r="Q301" s="2" t="s">
        <v>496</v>
      </c>
      <c r="R301" s="11" t="s">
        <v>497</v>
      </c>
      <c r="S301" s="11" t="s">
        <v>498</v>
      </c>
      <c r="T301" s="2" t="s">
        <v>219</v>
      </c>
      <c r="U301" s="2" t="s">
        <v>153</v>
      </c>
      <c r="V301" s="2" t="s">
        <v>570</v>
      </c>
      <c r="W301" s="11" t="s">
        <v>571</v>
      </c>
      <c r="X301" s="2"/>
      <c r="Y301" s="2"/>
      <c r="Z301" s="2"/>
      <c r="AA301" s="2"/>
      <c r="AB301" s="2" t="s">
        <v>572</v>
      </c>
      <c r="AC301" s="2" t="s">
        <v>157</v>
      </c>
      <c r="AD301" s="2" t="s">
        <v>132</v>
      </c>
      <c r="AE301" s="10" t="b">
        <f aca="false">FALSE()</f>
        <v>0</v>
      </c>
      <c r="AF301" s="2" t="s">
        <v>133</v>
      </c>
      <c r="AG301" s="2" t="s">
        <v>158</v>
      </c>
      <c r="AH301" s="2" t="s">
        <v>135</v>
      </c>
      <c r="AI301" s="11" t="s">
        <v>502</v>
      </c>
      <c r="AJ301" s="2" t="s">
        <v>1277</v>
      </c>
      <c r="AK301" s="2"/>
      <c r="AL301" s="2"/>
    </row>
    <row r="302" customFormat="false" ht="90" hidden="false" customHeight="true" outlineLevel="0" collapsed="false">
      <c r="A302" s="2" t="s">
        <v>932</v>
      </c>
      <c r="B302" s="2" t="s">
        <v>569</v>
      </c>
      <c r="C302" s="2" t="s">
        <v>474</v>
      </c>
      <c r="D302" s="9" t="n">
        <v>119</v>
      </c>
      <c r="E302" s="2" t="s">
        <v>491</v>
      </c>
      <c r="F302" s="2" t="s">
        <v>492</v>
      </c>
      <c r="G302" s="2" t="s">
        <v>524</v>
      </c>
      <c r="H302" s="2" t="s">
        <v>368</v>
      </c>
      <c r="I302" s="2" t="s">
        <v>145</v>
      </c>
      <c r="J302" s="2" t="s">
        <v>369</v>
      </c>
      <c r="K302" s="10" t="b">
        <f aca="false">FALSE()</f>
        <v>0</v>
      </c>
      <c r="L302" s="10" t="b">
        <f aca="false">FALSE()</f>
        <v>0</v>
      </c>
      <c r="M302" s="2" t="s">
        <v>494</v>
      </c>
      <c r="N302" s="2" t="s">
        <v>371</v>
      </c>
      <c r="O302" s="2" t="s">
        <v>495</v>
      </c>
      <c r="P302" s="2" t="n">
        <v>60</v>
      </c>
      <c r="Q302" s="2" t="s">
        <v>496</v>
      </c>
      <c r="R302" s="11" t="s">
        <v>497</v>
      </c>
      <c r="S302" s="11" t="s">
        <v>498</v>
      </c>
      <c r="T302" s="2" t="s">
        <v>219</v>
      </c>
      <c r="U302" s="2" t="s">
        <v>153</v>
      </c>
      <c r="V302" s="2" t="s">
        <v>570</v>
      </c>
      <c r="W302" s="11" t="s">
        <v>571</v>
      </c>
      <c r="X302" s="2"/>
      <c r="Y302" s="2"/>
      <c r="Z302" s="2"/>
      <c r="AA302" s="2"/>
      <c r="AB302" s="2" t="s">
        <v>572</v>
      </c>
      <c r="AC302" s="2" t="s">
        <v>157</v>
      </c>
      <c r="AD302" s="2" t="s">
        <v>132</v>
      </c>
      <c r="AE302" s="10" t="b">
        <f aca="false">FALSE()</f>
        <v>0</v>
      </c>
      <c r="AF302" s="2" t="s">
        <v>133</v>
      </c>
      <c r="AG302" s="2" t="s">
        <v>158</v>
      </c>
      <c r="AH302" s="2" t="s">
        <v>135</v>
      </c>
      <c r="AI302" s="11" t="s">
        <v>502</v>
      </c>
      <c r="AJ302" s="2" t="s">
        <v>1277</v>
      </c>
      <c r="AK302" s="2"/>
      <c r="AL302" s="2"/>
    </row>
    <row r="303" customFormat="false" ht="90" hidden="false" customHeight="true" outlineLevel="0" collapsed="false">
      <c r="A303" s="2" t="s">
        <v>934</v>
      </c>
      <c r="B303" s="2" t="s">
        <v>569</v>
      </c>
      <c r="C303" s="2" t="s">
        <v>474</v>
      </c>
      <c r="D303" s="9" t="n">
        <v>118</v>
      </c>
      <c r="E303" s="2" t="s">
        <v>491</v>
      </c>
      <c r="F303" s="2" t="s">
        <v>492</v>
      </c>
      <c r="G303" s="2" t="s">
        <v>524</v>
      </c>
      <c r="H303" s="2" t="s">
        <v>368</v>
      </c>
      <c r="I303" s="2" t="s">
        <v>145</v>
      </c>
      <c r="J303" s="2" t="s">
        <v>369</v>
      </c>
      <c r="K303" s="10" t="b">
        <f aca="false">FALSE()</f>
        <v>0</v>
      </c>
      <c r="L303" s="10" t="b">
        <f aca="false">FALSE()</f>
        <v>0</v>
      </c>
      <c r="M303" s="2" t="s">
        <v>494</v>
      </c>
      <c r="N303" s="2" t="s">
        <v>371</v>
      </c>
      <c r="O303" s="2" t="s">
        <v>495</v>
      </c>
      <c r="P303" s="2" t="n">
        <v>30</v>
      </c>
      <c r="Q303" s="2" t="s">
        <v>496</v>
      </c>
      <c r="R303" s="11" t="s">
        <v>497</v>
      </c>
      <c r="S303" s="11" t="s">
        <v>498</v>
      </c>
      <c r="T303" s="2" t="s">
        <v>557</v>
      </c>
      <c r="U303" s="2" t="s">
        <v>153</v>
      </c>
      <c r="V303" s="2" t="s">
        <v>606</v>
      </c>
      <c r="W303" s="11" t="s">
        <v>607</v>
      </c>
      <c r="X303" s="2"/>
      <c r="Y303" s="2"/>
      <c r="Z303" s="2"/>
      <c r="AA303" s="2"/>
      <c r="AB303" s="2" t="s">
        <v>608</v>
      </c>
      <c r="AC303" s="2" t="s">
        <v>131</v>
      </c>
      <c r="AD303" s="2" t="s">
        <v>440</v>
      </c>
      <c r="AE303" s="10" t="b">
        <f aca="false">FALSE()</f>
        <v>0</v>
      </c>
      <c r="AF303" s="2" t="s">
        <v>133</v>
      </c>
      <c r="AG303" s="2" t="s">
        <v>158</v>
      </c>
      <c r="AH303" s="2" t="s">
        <v>135</v>
      </c>
      <c r="AI303" s="11" t="s">
        <v>502</v>
      </c>
      <c r="AJ303" s="2" t="s">
        <v>1277</v>
      </c>
      <c r="AK303" s="2"/>
      <c r="AL303" s="2"/>
    </row>
    <row r="304" customFormat="false" ht="90" hidden="false" customHeight="true" outlineLevel="0" collapsed="false">
      <c r="A304" s="2" t="s">
        <v>936</v>
      </c>
      <c r="B304" s="2" t="s">
        <v>569</v>
      </c>
      <c r="C304" s="2" t="s">
        <v>474</v>
      </c>
      <c r="D304" s="9" t="n">
        <v>117</v>
      </c>
      <c r="E304" s="2" t="s">
        <v>491</v>
      </c>
      <c r="F304" s="2" t="s">
        <v>492</v>
      </c>
      <c r="G304" s="2" t="s">
        <v>524</v>
      </c>
      <c r="H304" s="2" t="s">
        <v>368</v>
      </c>
      <c r="I304" s="2" t="s">
        <v>145</v>
      </c>
      <c r="J304" s="2" t="s">
        <v>369</v>
      </c>
      <c r="K304" s="10" t="b">
        <f aca="false">FALSE()</f>
        <v>0</v>
      </c>
      <c r="L304" s="10" t="b">
        <f aca="false">TRUE()</f>
        <v>1</v>
      </c>
      <c r="M304" s="2" t="s">
        <v>494</v>
      </c>
      <c r="N304" s="2" t="s">
        <v>371</v>
      </c>
      <c r="O304" s="2" t="s">
        <v>495</v>
      </c>
      <c r="P304" s="2" t="n">
        <v>30</v>
      </c>
      <c r="Q304" s="2" t="s">
        <v>496</v>
      </c>
      <c r="R304" s="11" t="s">
        <v>497</v>
      </c>
      <c r="S304" s="11" t="s">
        <v>498</v>
      </c>
      <c r="T304" s="2" t="s">
        <v>557</v>
      </c>
      <c r="U304" s="2" t="s">
        <v>153</v>
      </c>
      <c r="V304" s="2" t="s">
        <v>587</v>
      </c>
      <c r="W304" s="11" t="s">
        <v>645</v>
      </c>
      <c r="X304" s="2"/>
      <c r="Y304" s="2"/>
      <c r="Z304" s="2"/>
      <c r="AA304" s="2"/>
      <c r="AB304" s="2" t="s">
        <v>589</v>
      </c>
      <c r="AC304" s="2" t="s">
        <v>131</v>
      </c>
      <c r="AD304" s="2" t="s">
        <v>354</v>
      </c>
      <c r="AE304" s="10" t="b">
        <f aca="false">FALSE()</f>
        <v>0</v>
      </c>
      <c r="AF304" s="2" t="s">
        <v>133</v>
      </c>
      <c r="AG304" s="2" t="s">
        <v>158</v>
      </c>
      <c r="AH304" s="2" t="s">
        <v>135</v>
      </c>
      <c r="AI304" s="11" t="s">
        <v>502</v>
      </c>
      <c r="AJ304" s="2" t="s">
        <v>1277</v>
      </c>
      <c r="AK304" s="2"/>
      <c r="AL304" s="2"/>
    </row>
    <row r="305" customFormat="false" ht="90" hidden="false" customHeight="true" outlineLevel="0" collapsed="false">
      <c r="A305" s="2" t="s">
        <v>938</v>
      </c>
      <c r="B305" s="2" t="s">
        <v>569</v>
      </c>
      <c r="C305" s="2" t="s">
        <v>474</v>
      </c>
      <c r="D305" s="9" t="n">
        <v>116</v>
      </c>
      <c r="E305" s="2" t="s">
        <v>491</v>
      </c>
      <c r="F305" s="2" t="s">
        <v>492</v>
      </c>
      <c r="G305" s="2" t="s">
        <v>524</v>
      </c>
      <c r="H305" s="2" t="s">
        <v>368</v>
      </c>
      <c r="I305" s="2" t="s">
        <v>145</v>
      </c>
      <c r="J305" s="2" t="s">
        <v>369</v>
      </c>
      <c r="K305" s="10" t="b">
        <f aca="false">FALSE()</f>
        <v>0</v>
      </c>
      <c r="L305" s="10" t="b">
        <f aca="false">TRUE()</f>
        <v>1</v>
      </c>
      <c r="M305" s="2" t="s">
        <v>494</v>
      </c>
      <c r="N305" s="2" t="s">
        <v>371</v>
      </c>
      <c r="O305" s="2" t="s">
        <v>495</v>
      </c>
      <c r="P305" s="2" t="n">
        <v>60</v>
      </c>
      <c r="Q305" s="2" t="s">
        <v>496</v>
      </c>
      <c r="R305" s="11" t="s">
        <v>497</v>
      </c>
      <c r="S305" s="11" t="s">
        <v>498</v>
      </c>
      <c r="T305" s="2" t="s">
        <v>219</v>
      </c>
      <c r="U305" s="2" t="s">
        <v>153</v>
      </c>
      <c r="V305" s="2" t="s">
        <v>570</v>
      </c>
      <c r="W305" s="11" t="s">
        <v>571</v>
      </c>
      <c r="X305" s="2"/>
      <c r="Y305" s="2"/>
      <c r="Z305" s="2"/>
      <c r="AA305" s="2"/>
      <c r="AB305" s="2" t="s">
        <v>572</v>
      </c>
      <c r="AC305" s="2" t="s">
        <v>157</v>
      </c>
      <c r="AD305" s="2" t="s">
        <v>132</v>
      </c>
      <c r="AE305" s="10" t="b">
        <f aca="false">FALSE()</f>
        <v>0</v>
      </c>
      <c r="AF305" s="2" t="s">
        <v>133</v>
      </c>
      <c r="AG305" s="2" t="s">
        <v>158</v>
      </c>
      <c r="AH305" s="2" t="s">
        <v>135</v>
      </c>
      <c r="AI305" s="11" t="s">
        <v>502</v>
      </c>
      <c r="AJ305" s="2" t="s">
        <v>1277</v>
      </c>
      <c r="AK305" s="2"/>
      <c r="AL305" s="2"/>
    </row>
    <row r="306" customFormat="false" ht="90" hidden="false" customHeight="true" outlineLevel="0" collapsed="false">
      <c r="A306" s="2" t="s">
        <v>940</v>
      </c>
      <c r="B306" s="2" t="s">
        <v>569</v>
      </c>
      <c r="C306" s="2" t="s">
        <v>474</v>
      </c>
      <c r="D306" s="9" t="n">
        <v>116</v>
      </c>
      <c r="E306" s="2" t="s">
        <v>491</v>
      </c>
      <c r="F306" s="2" t="s">
        <v>492</v>
      </c>
      <c r="G306" s="2" t="s">
        <v>524</v>
      </c>
      <c r="H306" s="2" t="s">
        <v>368</v>
      </c>
      <c r="I306" s="2" t="s">
        <v>145</v>
      </c>
      <c r="J306" s="2" t="s">
        <v>369</v>
      </c>
      <c r="K306" s="10" t="b">
        <f aca="false">FALSE()</f>
        <v>0</v>
      </c>
      <c r="L306" s="10" t="b">
        <f aca="false">TRUE()</f>
        <v>1</v>
      </c>
      <c r="M306" s="2" t="s">
        <v>494</v>
      </c>
      <c r="N306" s="2" t="s">
        <v>371</v>
      </c>
      <c r="O306" s="2" t="s">
        <v>495</v>
      </c>
      <c r="P306" s="2" t="n">
        <v>60</v>
      </c>
      <c r="Q306" s="2" t="s">
        <v>496</v>
      </c>
      <c r="R306" s="11" t="s">
        <v>497</v>
      </c>
      <c r="S306" s="11" t="s">
        <v>498</v>
      </c>
      <c r="T306" s="2" t="s">
        <v>219</v>
      </c>
      <c r="U306" s="2" t="s">
        <v>153</v>
      </c>
      <c r="V306" s="2" t="s">
        <v>570</v>
      </c>
      <c r="W306" s="11" t="s">
        <v>571</v>
      </c>
      <c r="X306" s="2"/>
      <c r="Y306" s="2"/>
      <c r="Z306" s="2"/>
      <c r="AA306" s="2"/>
      <c r="AB306" s="2" t="s">
        <v>572</v>
      </c>
      <c r="AC306" s="2" t="s">
        <v>157</v>
      </c>
      <c r="AD306" s="2" t="s">
        <v>132</v>
      </c>
      <c r="AE306" s="10" t="b">
        <f aca="false">FALSE()</f>
        <v>0</v>
      </c>
      <c r="AF306" s="2" t="s">
        <v>133</v>
      </c>
      <c r="AG306" s="2" t="s">
        <v>158</v>
      </c>
      <c r="AH306" s="2" t="s">
        <v>135</v>
      </c>
      <c r="AI306" s="11" t="s">
        <v>502</v>
      </c>
      <c r="AJ306" s="2" t="s">
        <v>1277</v>
      </c>
      <c r="AK306" s="2"/>
      <c r="AL306" s="2"/>
    </row>
    <row r="307" customFormat="false" ht="90" hidden="false" customHeight="true" outlineLevel="0" collapsed="false">
      <c r="A307" s="2" t="s">
        <v>942</v>
      </c>
      <c r="B307" s="2" t="s">
        <v>569</v>
      </c>
      <c r="C307" s="2" t="s">
        <v>474</v>
      </c>
      <c r="D307" s="9" t="n">
        <v>113</v>
      </c>
      <c r="E307" s="2" t="s">
        <v>491</v>
      </c>
      <c r="F307" s="2" t="s">
        <v>492</v>
      </c>
      <c r="G307" s="2" t="s">
        <v>524</v>
      </c>
      <c r="H307" s="2" t="s">
        <v>368</v>
      </c>
      <c r="I307" s="2" t="s">
        <v>145</v>
      </c>
      <c r="J307" s="2" t="s">
        <v>369</v>
      </c>
      <c r="K307" s="10" t="b">
        <f aca="false">FALSE()</f>
        <v>0</v>
      </c>
      <c r="L307" s="10" t="b">
        <f aca="false">TRUE()</f>
        <v>1</v>
      </c>
      <c r="M307" s="2" t="s">
        <v>494</v>
      </c>
      <c r="N307" s="2" t="s">
        <v>371</v>
      </c>
      <c r="O307" s="2" t="s">
        <v>495</v>
      </c>
      <c r="P307" s="2" t="n">
        <v>60</v>
      </c>
      <c r="Q307" s="2" t="s">
        <v>496</v>
      </c>
      <c r="R307" s="11" t="s">
        <v>497</v>
      </c>
      <c r="S307" s="11" t="s">
        <v>498</v>
      </c>
      <c r="T307" s="2" t="s">
        <v>219</v>
      </c>
      <c r="U307" s="2" t="s">
        <v>153</v>
      </c>
      <c r="V307" s="2" t="s">
        <v>570</v>
      </c>
      <c r="W307" s="11" t="s">
        <v>571</v>
      </c>
      <c r="X307" s="2"/>
      <c r="Y307" s="2"/>
      <c r="Z307" s="2"/>
      <c r="AA307" s="2"/>
      <c r="AB307" s="2" t="s">
        <v>572</v>
      </c>
      <c r="AC307" s="2" t="s">
        <v>157</v>
      </c>
      <c r="AD307" s="2" t="s">
        <v>132</v>
      </c>
      <c r="AE307" s="10" t="b">
        <f aca="false">FALSE()</f>
        <v>0</v>
      </c>
      <c r="AF307" s="2" t="s">
        <v>133</v>
      </c>
      <c r="AG307" s="2" t="s">
        <v>158</v>
      </c>
      <c r="AH307" s="2" t="s">
        <v>135</v>
      </c>
      <c r="AI307" s="11" t="s">
        <v>502</v>
      </c>
      <c r="AJ307" s="2" t="s">
        <v>1277</v>
      </c>
      <c r="AK307" s="2"/>
      <c r="AL307" s="2"/>
    </row>
    <row r="308" customFormat="false" ht="90" hidden="false" customHeight="true" outlineLevel="0" collapsed="false">
      <c r="A308" s="2" t="s">
        <v>944</v>
      </c>
      <c r="B308" s="2" t="s">
        <v>569</v>
      </c>
      <c r="C308" s="2" t="s">
        <v>474</v>
      </c>
      <c r="D308" s="9" t="n">
        <v>112</v>
      </c>
      <c r="E308" s="2" t="s">
        <v>491</v>
      </c>
      <c r="F308" s="2" t="s">
        <v>492</v>
      </c>
      <c r="G308" s="2" t="s">
        <v>524</v>
      </c>
      <c r="H308" s="2" t="s">
        <v>368</v>
      </c>
      <c r="I308" s="2" t="s">
        <v>145</v>
      </c>
      <c r="J308" s="2" t="s">
        <v>369</v>
      </c>
      <c r="K308" s="10" t="b">
        <f aca="false">FALSE()</f>
        <v>0</v>
      </c>
      <c r="L308" s="10" t="b">
        <f aca="false">FALSE()</f>
        <v>0</v>
      </c>
      <c r="M308" s="2" t="s">
        <v>494</v>
      </c>
      <c r="N308" s="2" t="s">
        <v>371</v>
      </c>
      <c r="O308" s="2" t="s">
        <v>495</v>
      </c>
      <c r="P308" s="2" t="n">
        <v>60</v>
      </c>
      <c r="Q308" s="2" t="s">
        <v>496</v>
      </c>
      <c r="R308" s="11" t="s">
        <v>497</v>
      </c>
      <c r="S308" s="11" t="s">
        <v>498</v>
      </c>
      <c r="T308" s="2" t="s">
        <v>219</v>
      </c>
      <c r="U308" s="2" t="s">
        <v>153</v>
      </c>
      <c r="V308" s="2" t="s">
        <v>570</v>
      </c>
      <c r="W308" s="11" t="s">
        <v>571</v>
      </c>
      <c r="X308" s="2"/>
      <c r="Y308" s="2"/>
      <c r="Z308" s="2"/>
      <c r="AA308" s="2"/>
      <c r="AB308" s="2" t="s">
        <v>572</v>
      </c>
      <c r="AC308" s="2" t="s">
        <v>157</v>
      </c>
      <c r="AD308" s="2" t="s">
        <v>132</v>
      </c>
      <c r="AE308" s="10" t="b">
        <f aca="false">FALSE()</f>
        <v>0</v>
      </c>
      <c r="AF308" s="2" t="s">
        <v>133</v>
      </c>
      <c r="AG308" s="2" t="s">
        <v>158</v>
      </c>
      <c r="AH308" s="2" t="s">
        <v>135</v>
      </c>
      <c r="AI308" s="11" t="s">
        <v>502</v>
      </c>
      <c r="AJ308" s="2" t="s">
        <v>1277</v>
      </c>
      <c r="AK308" s="2"/>
      <c r="AL308" s="2"/>
    </row>
    <row r="309" customFormat="false" ht="90" hidden="false" customHeight="true" outlineLevel="0" collapsed="false">
      <c r="A309" s="2" t="s">
        <v>946</v>
      </c>
      <c r="B309" s="2" t="s">
        <v>569</v>
      </c>
      <c r="C309" s="2" t="s">
        <v>474</v>
      </c>
      <c r="D309" s="9" t="n">
        <v>109</v>
      </c>
      <c r="E309" s="2" t="s">
        <v>491</v>
      </c>
      <c r="F309" s="2" t="s">
        <v>492</v>
      </c>
      <c r="G309" s="2" t="s">
        <v>524</v>
      </c>
      <c r="H309" s="2" t="s">
        <v>368</v>
      </c>
      <c r="I309" s="2" t="s">
        <v>145</v>
      </c>
      <c r="J309" s="2" t="s">
        <v>369</v>
      </c>
      <c r="K309" s="10" t="b">
        <f aca="false">FALSE()</f>
        <v>0</v>
      </c>
      <c r="L309" s="10" t="b">
        <f aca="false">TRUE()</f>
        <v>1</v>
      </c>
      <c r="M309" s="2" t="s">
        <v>494</v>
      </c>
      <c r="N309" s="2" t="s">
        <v>371</v>
      </c>
      <c r="O309" s="2" t="s">
        <v>495</v>
      </c>
      <c r="P309" s="2" t="n">
        <v>60</v>
      </c>
      <c r="Q309" s="2" t="s">
        <v>496</v>
      </c>
      <c r="R309" s="11" t="s">
        <v>497</v>
      </c>
      <c r="S309" s="11" t="s">
        <v>498</v>
      </c>
      <c r="T309" s="2" t="s">
        <v>219</v>
      </c>
      <c r="U309" s="2" t="s">
        <v>153</v>
      </c>
      <c r="V309" s="2" t="s">
        <v>570</v>
      </c>
      <c r="W309" s="11" t="s">
        <v>571</v>
      </c>
      <c r="X309" s="2"/>
      <c r="Y309" s="2"/>
      <c r="Z309" s="2"/>
      <c r="AA309" s="2"/>
      <c r="AB309" s="2" t="s">
        <v>572</v>
      </c>
      <c r="AC309" s="2" t="s">
        <v>157</v>
      </c>
      <c r="AD309" s="2" t="s">
        <v>132</v>
      </c>
      <c r="AE309" s="10" t="b">
        <f aca="false">FALSE()</f>
        <v>0</v>
      </c>
      <c r="AF309" s="2" t="s">
        <v>133</v>
      </c>
      <c r="AG309" s="2" t="s">
        <v>158</v>
      </c>
      <c r="AH309" s="2" t="s">
        <v>135</v>
      </c>
      <c r="AI309" s="11" t="s">
        <v>502</v>
      </c>
      <c r="AJ309" s="2" t="s">
        <v>1277</v>
      </c>
      <c r="AK309" s="2"/>
      <c r="AL309" s="2"/>
    </row>
    <row r="310" customFormat="false" ht="90" hidden="false" customHeight="true" outlineLevel="0" collapsed="false">
      <c r="A310" s="2" t="s">
        <v>948</v>
      </c>
      <c r="B310" s="2" t="s">
        <v>569</v>
      </c>
      <c r="C310" s="2" t="s">
        <v>474</v>
      </c>
      <c r="D310" s="9" t="n">
        <v>107</v>
      </c>
      <c r="E310" s="2" t="s">
        <v>491</v>
      </c>
      <c r="F310" s="2" t="s">
        <v>492</v>
      </c>
      <c r="G310" s="2" t="s">
        <v>524</v>
      </c>
      <c r="H310" s="2" t="s">
        <v>368</v>
      </c>
      <c r="I310" s="2" t="s">
        <v>145</v>
      </c>
      <c r="J310" s="2" t="s">
        <v>369</v>
      </c>
      <c r="K310" s="10" t="b">
        <f aca="false">FALSE()</f>
        <v>0</v>
      </c>
      <c r="L310" s="10" t="b">
        <f aca="false">TRUE()</f>
        <v>1</v>
      </c>
      <c r="M310" s="2" t="s">
        <v>494</v>
      </c>
      <c r="N310" s="2" t="s">
        <v>371</v>
      </c>
      <c r="O310" s="2" t="s">
        <v>495</v>
      </c>
      <c r="P310" s="2" t="n">
        <v>30</v>
      </c>
      <c r="Q310" s="2" t="s">
        <v>496</v>
      </c>
      <c r="R310" s="11" t="s">
        <v>497</v>
      </c>
      <c r="S310" s="11" t="s">
        <v>498</v>
      </c>
      <c r="T310" s="2" t="s">
        <v>557</v>
      </c>
      <c r="U310" s="2" t="s">
        <v>153</v>
      </c>
      <c r="V310" s="2" t="s">
        <v>587</v>
      </c>
      <c r="W310" s="11" t="s">
        <v>645</v>
      </c>
      <c r="X310" s="2"/>
      <c r="Y310" s="2"/>
      <c r="Z310" s="2"/>
      <c r="AA310" s="2"/>
      <c r="AB310" s="2" t="s">
        <v>589</v>
      </c>
      <c r="AC310" s="2" t="s">
        <v>131</v>
      </c>
      <c r="AD310" s="2" t="s">
        <v>354</v>
      </c>
      <c r="AE310" s="10" t="b">
        <f aca="false">FALSE()</f>
        <v>0</v>
      </c>
      <c r="AF310" s="2" t="s">
        <v>133</v>
      </c>
      <c r="AG310" s="2" t="s">
        <v>158</v>
      </c>
      <c r="AH310" s="2" t="s">
        <v>135</v>
      </c>
      <c r="AI310" s="11" t="s">
        <v>502</v>
      </c>
      <c r="AJ310" s="2" t="s">
        <v>1277</v>
      </c>
      <c r="AK310" s="2"/>
      <c r="AL310" s="2"/>
    </row>
    <row r="311" customFormat="false" ht="90" hidden="false" customHeight="true" outlineLevel="0" collapsed="false">
      <c r="A311" s="2" t="s">
        <v>950</v>
      </c>
      <c r="B311" s="2" t="s">
        <v>569</v>
      </c>
      <c r="C311" s="2" t="s">
        <v>474</v>
      </c>
      <c r="D311" s="9" t="n">
        <v>106</v>
      </c>
      <c r="E311" s="2" t="s">
        <v>491</v>
      </c>
      <c r="F311" s="2" t="s">
        <v>492</v>
      </c>
      <c r="G311" s="2" t="s">
        <v>524</v>
      </c>
      <c r="H311" s="2" t="s">
        <v>368</v>
      </c>
      <c r="I311" s="2" t="s">
        <v>145</v>
      </c>
      <c r="J311" s="2" t="s">
        <v>369</v>
      </c>
      <c r="K311" s="10" t="b">
        <f aca="false">FALSE()</f>
        <v>0</v>
      </c>
      <c r="L311" s="10" t="b">
        <f aca="false">TRUE()</f>
        <v>1</v>
      </c>
      <c r="M311" s="2" t="s">
        <v>494</v>
      </c>
      <c r="N311" s="2" t="s">
        <v>371</v>
      </c>
      <c r="O311" s="2" t="s">
        <v>495</v>
      </c>
      <c r="P311" s="2" t="n">
        <v>60</v>
      </c>
      <c r="Q311" s="2" t="s">
        <v>496</v>
      </c>
      <c r="R311" s="11" t="s">
        <v>497</v>
      </c>
      <c r="S311" s="11" t="s">
        <v>498</v>
      </c>
      <c r="T311" s="2" t="s">
        <v>219</v>
      </c>
      <c r="U311" s="2" t="s">
        <v>153</v>
      </c>
      <c r="V311" s="2" t="s">
        <v>570</v>
      </c>
      <c r="W311" s="11" t="s">
        <v>571</v>
      </c>
      <c r="X311" s="2"/>
      <c r="Y311" s="2"/>
      <c r="Z311" s="2"/>
      <c r="AA311" s="2"/>
      <c r="AB311" s="2" t="s">
        <v>572</v>
      </c>
      <c r="AC311" s="2" t="s">
        <v>157</v>
      </c>
      <c r="AD311" s="2" t="s">
        <v>132</v>
      </c>
      <c r="AE311" s="10" t="b">
        <f aca="false">FALSE()</f>
        <v>0</v>
      </c>
      <c r="AF311" s="2" t="s">
        <v>133</v>
      </c>
      <c r="AG311" s="2" t="s">
        <v>158</v>
      </c>
      <c r="AH311" s="2" t="s">
        <v>135</v>
      </c>
      <c r="AI311" s="11" t="s">
        <v>502</v>
      </c>
      <c r="AJ311" s="2" t="s">
        <v>1277</v>
      </c>
      <c r="AK311" s="2"/>
      <c r="AL311" s="2"/>
    </row>
    <row r="312" customFormat="false" ht="90" hidden="false" customHeight="true" outlineLevel="0" collapsed="false">
      <c r="A312" s="2" t="s">
        <v>952</v>
      </c>
      <c r="B312" s="2" t="s">
        <v>569</v>
      </c>
      <c r="C312" s="2" t="s">
        <v>474</v>
      </c>
      <c r="D312" s="9" t="n">
        <v>106</v>
      </c>
      <c r="E312" s="2" t="s">
        <v>491</v>
      </c>
      <c r="F312" s="2" t="s">
        <v>492</v>
      </c>
      <c r="G312" s="2" t="s">
        <v>524</v>
      </c>
      <c r="H312" s="2" t="s">
        <v>368</v>
      </c>
      <c r="I312" s="2" t="s">
        <v>145</v>
      </c>
      <c r="J312" s="2" t="s">
        <v>369</v>
      </c>
      <c r="K312" s="10" t="b">
        <f aca="false">FALSE()</f>
        <v>0</v>
      </c>
      <c r="L312" s="10" t="b">
        <f aca="false">TRUE()</f>
        <v>1</v>
      </c>
      <c r="M312" s="2" t="s">
        <v>494</v>
      </c>
      <c r="N312" s="2" t="s">
        <v>371</v>
      </c>
      <c r="O312" s="2" t="s">
        <v>495</v>
      </c>
      <c r="P312" s="2" t="n">
        <v>30</v>
      </c>
      <c r="Q312" s="2" t="s">
        <v>496</v>
      </c>
      <c r="R312" s="11" t="s">
        <v>497</v>
      </c>
      <c r="S312" s="11" t="s">
        <v>498</v>
      </c>
      <c r="T312" s="2" t="s">
        <v>219</v>
      </c>
      <c r="U312" s="2" t="s">
        <v>153</v>
      </c>
      <c r="V312" s="2" t="s">
        <v>587</v>
      </c>
      <c r="W312" s="11" t="s">
        <v>645</v>
      </c>
      <c r="X312" s="2"/>
      <c r="Y312" s="2"/>
      <c r="Z312" s="2"/>
      <c r="AA312" s="2"/>
      <c r="AB312" s="2" t="s">
        <v>589</v>
      </c>
      <c r="AC312" s="2" t="s">
        <v>157</v>
      </c>
      <c r="AD312" s="2" t="s">
        <v>354</v>
      </c>
      <c r="AE312" s="10" t="b">
        <f aca="false">FALSE()</f>
        <v>0</v>
      </c>
      <c r="AF312" s="2" t="s">
        <v>133</v>
      </c>
      <c r="AG312" s="2" t="s">
        <v>158</v>
      </c>
      <c r="AH312" s="2" t="s">
        <v>135</v>
      </c>
      <c r="AI312" s="11" t="s">
        <v>502</v>
      </c>
      <c r="AJ312" s="2" t="s">
        <v>1277</v>
      </c>
      <c r="AK312" s="2"/>
      <c r="AL312" s="2"/>
    </row>
    <row r="313" customFormat="false" ht="90" hidden="false" customHeight="true" outlineLevel="0" collapsed="false">
      <c r="A313" s="2" t="s">
        <v>954</v>
      </c>
      <c r="B313" s="2" t="s">
        <v>569</v>
      </c>
      <c r="C313" s="2" t="s">
        <v>474</v>
      </c>
      <c r="D313" s="9" t="n">
        <v>104</v>
      </c>
      <c r="E313" s="2" t="s">
        <v>491</v>
      </c>
      <c r="F313" s="2" t="s">
        <v>492</v>
      </c>
      <c r="G313" s="2" t="s">
        <v>524</v>
      </c>
      <c r="H313" s="2" t="s">
        <v>368</v>
      </c>
      <c r="I313" s="2" t="s">
        <v>145</v>
      </c>
      <c r="J313" s="2" t="s">
        <v>369</v>
      </c>
      <c r="K313" s="10" t="b">
        <f aca="false">FALSE()</f>
        <v>0</v>
      </c>
      <c r="L313" s="10" t="b">
        <f aca="false">FALSE()</f>
        <v>0</v>
      </c>
      <c r="M313" s="2" t="s">
        <v>494</v>
      </c>
      <c r="N313" s="2" t="s">
        <v>371</v>
      </c>
      <c r="O313" s="2" t="s">
        <v>495</v>
      </c>
      <c r="P313" s="2" t="n">
        <v>30</v>
      </c>
      <c r="Q313" s="2" t="s">
        <v>496</v>
      </c>
      <c r="R313" s="11" t="s">
        <v>497</v>
      </c>
      <c r="S313" s="11" t="s">
        <v>498</v>
      </c>
      <c r="T313" s="2" t="s">
        <v>632</v>
      </c>
      <c r="U313" s="2" t="s">
        <v>153</v>
      </c>
      <c r="V313" s="2" t="s">
        <v>606</v>
      </c>
      <c r="W313" s="11" t="s">
        <v>607</v>
      </c>
      <c r="X313" s="2"/>
      <c r="Y313" s="2"/>
      <c r="Z313" s="2"/>
      <c r="AA313" s="2"/>
      <c r="AB313" s="2" t="s">
        <v>608</v>
      </c>
      <c r="AC313" s="2" t="s">
        <v>131</v>
      </c>
      <c r="AD313" s="2" t="s">
        <v>440</v>
      </c>
      <c r="AE313" s="10" t="b">
        <f aca="false">FALSE()</f>
        <v>0</v>
      </c>
      <c r="AF313" s="2" t="s">
        <v>133</v>
      </c>
      <c r="AG313" s="2" t="s">
        <v>158</v>
      </c>
      <c r="AH313" s="2" t="s">
        <v>135</v>
      </c>
      <c r="AI313" s="11" t="s">
        <v>502</v>
      </c>
      <c r="AJ313" s="2" t="s">
        <v>1277</v>
      </c>
      <c r="AK313" s="2"/>
      <c r="AL313" s="2"/>
    </row>
    <row r="314" customFormat="false" ht="90" hidden="false" customHeight="true" outlineLevel="0" collapsed="false">
      <c r="A314" s="2" t="s">
        <v>956</v>
      </c>
      <c r="B314" s="2" t="s">
        <v>569</v>
      </c>
      <c r="C314" s="2" t="s">
        <v>474</v>
      </c>
      <c r="D314" s="9" t="n">
        <v>103</v>
      </c>
      <c r="E314" s="2" t="s">
        <v>491</v>
      </c>
      <c r="F314" s="2" t="s">
        <v>492</v>
      </c>
      <c r="G314" s="2" t="s">
        <v>524</v>
      </c>
      <c r="H314" s="2" t="s">
        <v>368</v>
      </c>
      <c r="I314" s="2" t="s">
        <v>145</v>
      </c>
      <c r="J314" s="2" t="s">
        <v>369</v>
      </c>
      <c r="K314" s="10" t="b">
        <f aca="false">FALSE()</f>
        <v>0</v>
      </c>
      <c r="L314" s="10" t="b">
        <f aca="false">TRUE()</f>
        <v>1</v>
      </c>
      <c r="M314" s="2" t="s">
        <v>494</v>
      </c>
      <c r="N314" s="2" t="s">
        <v>371</v>
      </c>
      <c r="O314" s="2" t="s">
        <v>495</v>
      </c>
      <c r="P314" s="2" t="n">
        <v>60</v>
      </c>
      <c r="Q314" s="2" t="s">
        <v>496</v>
      </c>
      <c r="R314" s="11" t="s">
        <v>497</v>
      </c>
      <c r="S314" s="11" t="s">
        <v>498</v>
      </c>
      <c r="T314" s="2" t="s">
        <v>219</v>
      </c>
      <c r="U314" s="2" t="s">
        <v>153</v>
      </c>
      <c r="V314" s="2" t="s">
        <v>570</v>
      </c>
      <c r="W314" s="11" t="s">
        <v>571</v>
      </c>
      <c r="X314" s="2"/>
      <c r="Y314" s="2"/>
      <c r="Z314" s="2"/>
      <c r="AA314" s="2"/>
      <c r="AB314" s="2" t="s">
        <v>572</v>
      </c>
      <c r="AC314" s="2" t="s">
        <v>157</v>
      </c>
      <c r="AD314" s="2" t="s">
        <v>132</v>
      </c>
      <c r="AE314" s="10" t="b">
        <f aca="false">FALSE()</f>
        <v>0</v>
      </c>
      <c r="AF314" s="2" t="s">
        <v>133</v>
      </c>
      <c r="AG314" s="2" t="s">
        <v>158</v>
      </c>
      <c r="AH314" s="2" t="s">
        <v>135</v>
      </c>
      <c r="AI314" s="11" t="s">
        <v>502</v>
      </c>
      <c r="AJ314" s="2" t="s">
        <v>1277</v>
      </c>
      <c r="AK314" s="2"/>
      <c r="AL314" s="2"/>
    </row>
    <row r="315" customFormat="false" ht="90" hidden="false" customHeight="true" outlineLevel="0" collapsed="false">
      <c r="A315" s="2" t="s">
        <v>958</v>
      </c>
      <c r="B315" s="2" t="s">
        <v>569</v>
      </c>
      <c r="C315" s="2" t="s">
        <v>474</v>
      </c>
      <c r="D315" s="9" t="n">
        <v>101</v>
      </c>
      <c r="E315" s="2" t="s">
        <v>491</v>
      </c>
      <c r="F315" s="2" t="s">
        <v>492</v>
      </c>
      <c r="G315" s="2" t="s">
        <v>524</v>
      </c>
      <c r="H315" s="2" t="s">
        <v>368</v>
      </c>
      <c r="I315" s="2" t="s">
        <v>145</v>
      </c>
      <c r="J315" s="2" t="s">
        <v>369</v>
      </c>
      <c r="K315" s="10" t="b">
        <f aca="false">FALSE()</f>
        <v>0</v>
      </c>
      <c r="L315" s="10" t="b">
        <f aca="false">TRUE()</f>
        <v>1</v>
      </c>
      <c r="M315" s="2" t="s">
        <v>494</v>
      </c>
      <c r="N315" s="2" t="s">
        <v>371</v>
      </c>
      <c r="O315" s="2" t="s">
        <v>495</v>
      </c>
      <c r="P315" s="2" t="n">
        <v>60</v>
      </c>
      <c r="Q315" s="2" t="s">
        <v>496</v>
      </c>
      <c r="R315" s="11" t="s">
        <v>497</v>
      </c>
      <c r="S315" s="11" t="s">
        <v>498</v>
      </c>
      <c r="T315" s="2" t="s">
        <v>219</v>
      </c>
      <c r="U315" s="2" t="s">
        <v>153</v>
      </c>
      <c r="V315" s="2" t="s">
        <v>570</v>
      </c>
      <c r="W315" s="11" t="s">
        <v>571</v>
      </c>
      <c r="X315" s="2"/>
      <c r="Y315" s="2"/>
      <c r="Z315" s="2"/>
      <c r="AA315" s="2"/>
      <c r="AB315" s="2" t="s">
        <v>572</v>
      </c>
      <c r="AC315" s="2" t="s">
        <v>157</v>
      </c>
      <c r="AD315" s="2" t="s">
        <v>132</v>
      </c>
      <c r="AE315" s="10" t="b">
        <f aca="false">FALSE()</f>
        <v>0</v>
      </c>
      <c r="AF315" s="2" t="s">
        <v>133</v>
      </c>
      <c r="AG315" s="2" t="s">
        <v>158</v>
      </c>
      <c r="AH315" s="2" t="s">
        <v>135</v>
      </c>
      <c r="AI315" s="11" t="s">
        <v>502</v>
      </c>
      <c r="AJ315" s="2" t="s">
        <v>1277</v>
      </c>
      <c r="AK315" s="2"/>
      <c r="AL315" s="2"/>
    </row>
    <row r="316" customFormat="false" ht="90" hidden="false" customHeight="true" outlineLevel="0" collapsed="false">
      <c r="A316" s="2" t="s">
        <v>960</v>
      </c>
      <c r="B316" s="2" t="s">
        <v>569</v>
      </c>
      <c r="C316" s="2" t="s">
        <v>474</v>
      </c>
      <c r="D316" s="9" t="n">
        <v>98</v>
      </c>
      <c r="E316" s="2" t="s">
        <v>491</v>
      </c>
      <c r="F316" s="2" t="s">
        <v>492</v>
      </c>
      <c r="G316" s="2" t="s">
        <v>524</v>
      </c>
      <c r="H316" s="2" t="s">
        <v>368</v>
      </c>
      <c r="I316" s="2" t="s">
        <v>145</v>
      </c>
      <c r="J316" s="2" t="s">
        <v>369</v>
      </c>
      <c r="K316" s="10" t="b">
        <f aca="false">FALSE()</f>
        <v>0</v>
      </c>
      <c r="L316" s="10" t="b">
        <f aca="false">FALSE()</f>
        <v>0</v>
      </c>
      <c r="M316" s="2" t="s">
        <v>494</v>
      </c>
      <c r="N316" s="2" t="s">
        <v>371</v>
      </c>
      <c r="O316" s="2" t="s">
        <v>495</v>
      </c>
      <c r="P316" s="2" t="n">
        <v>30</v>
      </c>
      <c r="Q316" s="2" t="s">
        <v>496</v>
      </c>
      <c r="R316" s="11" t="s">
        <v>497</v>
      </c>
      <c r="S316" s="11" t="s">
        <v>498</v>
      </c>
      <c r="T316" s="2" t="s">
        <v>632</v>
      </c>
      <c r="U316" s="2" t="s">
        <v>153</v>
      </c>
      <c r="V316" s="2" t="s">
        <v>606</v>
      </c>
      <c r="W316" s="11" t="s">
        <v>607</v>
      </c>
      <c r="X316" s="2"/>
      <c r="Y316" s="2"/>
      <c r="Z316" s="2"/>
      <c r="AA316" s="2"/>
      <c r="AB316" s="2" t="s">
        <v>608</v>
      </c>
      <c r="AC316" s="2" t="s">
        <v>131</v>
      </c>
      <c r="AD316" s="2" t="s">
        <v>440</v>
      </c>
      <c r="AE316" s="10" t="b">
        <f aca="false">FALSE()</f>
        <v>0</v>
      </c>
      <c r="AF316" s="2" t="s">
        <v>133</v>
      </c>
      <c r="AG316" s="2" t="s">
        <v>158</v>
      </c>
      <c r="AH316" s="2" t="s">
        <v>135</v>
      </c>
      <c r="AI316" s="11" t="s">
        <v>502</v>
      </c>
      <c r="AJ316" s="2" t="s">
        <v>1277</v>
      </c>
      <c r="AK316" s="2"/>
      <c r="AL316" s="2"/>
    </row>
    <row r="317" customFormat="false" ht="90" hidden="false" customHeight="true" outlineLevel="0" collapsed="false">
      <c r="A317" s="2" t="s">
        <v>962</v>
      </c>
      <c r="B317" s="2" t="s">
        <v>569</v>
      </c>
      <c r="C317" s="2" t="s">
        <v>474</v>
      </c>
      <c r="D317" s="9" t="n">
        <v>97</v>
      </c>
      <c r="E317" s="2" t="s">
        <v>491</v>
      </c>
      <c r="F317" s="2" t="s">
        <v>492</v>
      </c>
      <c r="G317" s="2" t="s">
        <v>524</v>
      </c>
      <c r="H317" s="2" t="s">
        <v>368</v>
      </c>
      <c r="I317" s="2" t="s">
        <v>145</v>
      </c>
      <c r="J317" s="2" t="s">
        <v>369</v>
      </c>
      <c r="K317" s="10" t="b">
        <f aca="false">FALSE()</f>
        <v>0</v>
      </c>
      <c r="L317" s="10" t="b">
        <f aca="false">TRUE()</f>
        <v>1</v>
      </c>
      <c r="M317" s="2" t="s">
        <v>494</v>
      </c>
      <c r="N317" s="2" t="s">
        <v>371</v>
      </c>
      <c r="O317" s="2" t="s">
        <v>495</v>
      </c>
      <c r="P317" s="2" t="n">
        <v>60</v>
      </c>
      <c r="Q317" s="2" t="s">
        <v>496</v>
      </c>
      <c r="R317" s="11" t="s">
        <v>497</v>
      </c>
      <c r="S317" s="11" t="s">
        <v>498</v>
      </c>
      <c r="T317" s="2" t="s">
        <v>219</v>
      </c>
      <c r="U317" s="2" t="s">
        <v>153</v>
      </c>
      <c r="V317" s="2" t="s">
        <v>570</v>
      </c>
      <c r="W317" s="11" t="s">
        <v>571</v>
      </c>
      <c r="X317" s="2"/>
      <c r="Y317" s="2"/>
      <c r="Z317" s="2"/>
      <c r="AA317" s="2"/>
      <c r="AB317" s="2" t="s">
        <v>572</v>
      </c>
      <c r="AC317" s="2" t="s">
        <v>157</v>
      </c>
      <c r="AD317" s="2" t="s">
        <v>132</v>
      </c>
      <c r="AE317" s="10" t="b">
        <f aca="false">FALSE()</f>
        <v>0</v>
      </c>
      <c r="AF317" s="2" t="s">
        <v>133</v>
      </c>
      <c r="AG317" s="2" t="s">
        <v>158</v>
      </c>
      <c r="AH317" s="2" t="s">
        <v>135</v>
      </c>
      <c r="AI317" s="11" t="s">
        <v>502</v>
      </c>
      <c r="AJ317" s="2" t="s">
        <v>1277</v>
      </c>
      <c r="AK317" s="2"/>
      <c r="AL317" s="2"/>
    </row>
    <row r="318" customFormat="false" ht="90" hidden="false" customHeight="true" outlineLevel="0" collapsed="false">
      <c r="A318" s="2" t="s">
        <v>964</v>
      </c>
      <c r="B318" s="2" t="s">
        <v>569</v>
      </c>
      <c r="C318" s="2" t="s">
        <v>474</v>
      </c>
      <c r="D318" s="9" t="n">
        <v>96</v>
      </c>
      <c r="E318" s="2" t="s">
        <v>491</v>
      </c>
      <c r="F318" s="2" t="s">
        <v>492</v>
      </c>
      <c r="G318" s="2" t="s">
        <v>524</v>
      </c>
      <c r="H318" s="2" t="s">
        <v>368</v>
      </c>
      <c r="I318" s="2" t="s">
        <v>145</v>
      </c>
      <c r="J318" s="2" t="s">
        <v>369</v>
      </c>
      <c r="K318" s="10" t="b">
        <f aca="false">FALSE()</f>
        <v>0</v>
      </c>
      <c r="L318" s="10" t="b">
        <f aca="false">TRUE()</f>
        <v>1</v>
      </c>
      <c r="M318" s="2" t="s">
        <v>494</v>
      </c>
      <c r="N318" s="2" t="s">
        <v>371</v>
      </c>
      <c r="O318" s="2" t="s">
        <v>495</v>
      </c>
      <c r="P318" s="2" t="n">
        <v>60</v>
      </c>
      <c r="Q318" s="2" t="s">
        <v>496</v>
      </c>
      <c r="R318" s="11" t="s">
        <v>497</v>
      </c>
      <c r="S318" s="11" t="s">
        <v>498</v>
      </c>
      <c r="T318" s="2" t="s">
        <v>219</v>
      </c>
      <c r="U318" s="2" t="s">
        <v>153</v>
      </c>
      <c r="V318" s="2" t="s">
        <v>570</v>
      </c>
      <c r="W318" s="11" t="s">
        <v>571</v>
      </c>
      <c r="X318" s="2"/>
      <c r="Y318" s="2"/>
      <c r="Z318" s="2"/>
      <c r="AA318" s="2"/>
      <c r="AB318" s="2" t="s">
        <v>572</v>
      </c>
      <c r="AC318" s="2" t="s">
        <v>157</v>
      </c>
      <c r="AD318" s="2" t="s">
        <v>132</v>
      </c>
      <c r="AE318" s="10" t="b">
        <f aca="false">FALSE()</f>
        <v>0</v>
      </c>
      <c r="AF318" s="2" t="s">
        <v>133</v>
      </c>
      <c r="AG318" s="2" t="s">
        <v>158</v>
      </c>
      <c r="AH318" s="2" t="s">
        <v>135</v>
      </c>
      <c r="AI318" s="11" t="s">
        <v>502</v>
      </c>
      <c r="AJ318" s="2" t="s">
        <v>1277</v>
      </c>
      <c r="AK318" s="2"/>
      <c r="AL318" s="2"/>
    </row>
    <row r="319" customFormat="false" ht="90" hidden="false" customHeight="true" outlineLevel="0" collapsed="false">
      <c r="A319" s="2" t="s">
        <v>966</v>
      </c>
      <c r="B319" s="2" t="s">
        <v>569</v>
      </c>
      <c r="C319" s="2" t="s">
        <v>474</v>
      </c>
      <c r="D319" s="9" t="n">
        <v>96</v>
      </c>
      <c r="E319" s="2" t="s">
        <v>491</v>
      </c>
      <c r="F319" s="2" t="s">
        <v>492</v>
      </c>
      <c r="G319" s="2" t="s">
        <v>524</v>
      </c>
      <c r="H319" s="2" t="s">
        <v>368</v>
      </c>
      <c r="I319" s="2" t="s">
        <v>145</v>
      </c>
      <c r="J319" s="2" t="s">
        <v>369</v>
      </c>
      <c r="K319" s="10" t="b">
        <f aca="false">FALSE()</f>
        <v>0</v>
      </c>
      <c r="L319" s="10" t="b">
        <f aca="false">TRUE()</f>
        <v>1</v>
      </c>
      <c r="M319" s="2" t="s">
        <v>494</v>
      </c>
      <c r="N319" s="2" t="s">
        <v>371</v>
      </c>
      <c r="O319" s="2" t="s">
        <v>495</v>
      </c>
      <c r="P319" s="2" t="n">
        <v>60</v>
      </c>
      <c r="Q319" s="2" t="s">
        <v>496</v>
      </c>
      <c r="R319" s="11" t="s">
        <v>497</v>
      </c>
      <c r="S319" s="11" t="s">
        <v>498</v>
      </c>
      <c r="T319" s="2" t="s">
        <v>219</v>
      </c>
      <c r="U319" s="2" t="s">
        <v>153</v>
      </c>
      <c r="V319" s="2" t="s">
        <v>570</v>
      </c>
      <c r="W319" s="11" t="s">
        <v>571</v>
      </c>
      <c r="X319" s="2"/>
      <c r="Y319" s="2"/>
      <c r="Z319" s="2"/>
      <c r="AA319" s="2"/>
      <c r="AB319" s="2" t="s">
        <v>572</v>
      </c>
      <c r="AC319" s="2" t="s">
        <v>157</v>
      </c>
      <c r="AD319" s="2" t="s">
        <v>132</v>
      </c>
      <c r="AE319" s="10" t="b">
        <f aca="false">FALSE()</f>
        <v>0</v>
      </c>
      <c r="AF319" s="2" t="s">
        <v>133</v>
      </c>
      <c r="AG319" s="2" t="s">
        <v>158</v>
      </c>
      <c r="AH319" s="2" t="s">
        <v>135</v>
      </c>
      <c r="AI319" s="11" t="s">
        <v>502</v>
      </c>
      <c r="AJ319" s="2" t="s">
        <v>1277</v>
      </c>
      <c r="AK319" s="2"/>
      <c r="AL319" s="2"/>
    </row>
    <row r="320" customFormat="false" ht="90" hidden="false" customHeight="true" outlineLevel="0" collapsed="false">
      <c r="A320" s="2" t="s">
        <v>968</v>
      </c>
      <c r="B320" s="2" t="s">
        <v>569</v>
      </c>
      <c r="C320" s="2" t="s">
        <v>474</v>
      </c>
      <c r="D320" s="9" t="n">
        <v>96</v>
      </c>
      <c r="E320" s="2" t="s">
        <v>491</v>
      </c>
      <c r="F320" s="2" t="s">
        <v>492</v>
      </c>
      <c r="G320" s="2" t="s">
        <v>524</v>
      </c>
      <c r="H320" s="2" t="s">
        <v>368</v>
      </c>
      <c r="I320" s="2" t="s">
        <v>145</v>
      </c>
      <c r="J320" s="2" t="s">
        <v>369</v>
      </c>
      <c r="K320" s="10" t="b">
        <f aca="false">FALSE()</f>
        <v>0</v>
      </c>
      <c r="L320" s="10" t="b">
        <f aca="false">FALSE()</f>
        <v>0</v>
      </c>
      <c r="M320" s="2" t="s">
        <v>494</v>
      </c>
      <c r="N320" s="2" t="s">
        <v>371</v>
      </c>
      <c r="O320" s="2" t="s">
        <v>495</v>
      </c>
      <c r="P320" s="2" t="n">
        <v>60</v>
      </c>
      <c r="Q320" s="2" t="s">
        <v>496</v>
      </c>
      <c r="R320" s="11" t="s">
        <v>497</v>
      </c>
      <c r="S320" s="11" t="s">
        <v>498</v>
      </c>
      <c r="T320" s="2" t="s">
        <v>219</v>
      </c>
      <c r="U320" s="2" t="s">
        <v>153</v>
      </c>
      <c r="V320" s="2" t="s">
        <v>570</v>
      </c>
      <c r="W320" s="11" t="s">
        <v>571</v>
      </c>
      <c r="X320" s="2"/>
      <c r="Y320" s="2"/>
      <c r="Z320" s="2"/>
      <c r="AA320" s="2"/>
      <c r="AB320" s="2" t="s">
        <v>572</v>
      </c>
      <c r="AC320" s="2" t="s">
        <v>157</v>
      </c>
      <c r="AD320" s="2" t="s">
        <v>132</v>
      </c>
      <c r="AE320" s="10" t="b">
        <f aca="false">FALSE()</f>
        <v>0</v>
      </c>
      <c r="AF320" s="2" t="s">
        <v>133</v>
      </c>
      <c r="AG320" s="2" t="s">
        <v>158</v>
      </c>
      <c r="AH320" s="2" t="s">
        <v>135</v>
      </c>
      <c r="AI320" s="11" t="s">
        <v>502</v>
      </c>
      <c r="AJ320" s="2" t="s">
        <v>1277</v>
      </c>
      <c r="AK320" s="2"/>
      <c r="AL320" s="2"/>
    </row>
    <row r="321" customFormat="false" ht="90" hidden="false" customHeight="true" outlineLevel="0" collapsed="false">
      <c r="A321" s="2" t="s">
        <v>1218</v>
      </c>
      <c r="B321" s="2" t="s">
        <v>569</v>
      </c>
      <c r="C321" s="2" t="s">
        <v>474</v>
      </c>
      <c r="D321" s="9" t="n">
        <v>96</v>
      </c>
      <c r="E321" s="2" t="s">
        <v>491</v>
      </c>
      <c r="F321" s="2" t="s">
        <v>492</v>
      </c>
      <c r="G321" s="2" t="s">
        <v>524</v>
      </c>
      <c r="H321" s="2" t="s">
        <v>368</v>
      </c>
      <c r="I321" s="2" t="s">
        <v>145</v>
      </c>
      <c r="J321" s="2" t="s">
        <v>369</v>
      </c>
      <c r="K321" s="10" t="b">
        <f aca="false">FALSE()</f>
        <v>0</v>
      </c>
      <c r="L321" s="10" t="b">
        <f aca="false">TRUE()</f>
        <v>1</v>
      </c>
      <c r="M321" s="2" t="s">
        <v>494</v>
      </c>
      <c r="N321" s="2" t="s">
        <v>371</v>
      </c>
      <c r="O321" s="2" t="s">
        <v>495</v>
      </c>
      <c r="P321" s="2" t="n">
        <v>60</v>
      </c>
      <c r="Q321" s="2" t="s">
        <v>496</v>
      </c>
      <c r="R321" s="11" t="s">
        <v>497</v>
      </c>
      <c r="S321" s="11" t="s">
        <v>498</v>
      </c>
      <c r="T321" s="2" t="s">
        <v>219</v>
      </c>
      <c r="U321" s="2" t="s">
        <v>153</v>
      </c>
      <c r="V321" s="2" t="s">
        <v>570</v>
      </c>
      <c r="W321" s="11" t="s">
        <v>571</v>
      </c>
      <c r="X321" s="2"/>
      <c r="Y321" s="2"/>
      <c r="Z321" s="2"/>
      <c r="AA321" s="2"/>
      <c r="AB321" s="2" t="s">
        <v>572</v>
      </c>
      <c r="AC321" s="2" t="s">
        <v>157</v>
      </c>
      <c r="AD321" s="2" t="s">
        <v>132</v>
      </c>
      <c r="AE321" s="10" t="b">
        <f aca="false">FALSE()</f>
        <v>0</v>
      </c>
      <c r="AF321" s="2" t="s">
        <v>133</v>
      </c>
      <c r="AG321" s="2" t="s">
        <v>158</v>
      </c>
      <c r="AH321" s="2" t="s">
        <v>135</v>
      </c>
      <c r="AI321" s="11" t="s">
        <v>502</v>
      </c>
      <c r="AJ321" s="2" t="s">
        <v>1142</v>
      </c>
      <c r="AK321" s="2" t="s">
        <v>1142</v>
      </c>
      <c r="AL321" s="2" t="s">
        <v>1219</v>
      </c>
    </row>
    <row r="322" customFormat="false" ht="90" hidden="false" customHeight="true" outlineLevel="0" collapsed="false">
      <c r="A322" s="2" t="s">
        <v>1220</v>
      </c>
      <c r="B322" s="2" t="s">
        <v>569</v>
      </c>
      <c r="C322" s="2" t="s">
        <v>474</v>
      </c>
      <c r="D322" s="9" t="n">
        <v>95</v>
      </c>
      <c r="E322" s="2" t="s">
        <v>491</v>
      </c>
      <c r="F322" s="2" t="s">
        <v>492</v>
      </c>
      <c r="G322" s="2" t="s">
        <v>524</v>
      </c>
      <c r="H322" s="2" t="s">
        <v>368</v>
      </c>
      <c r="I322" s="2" t="s">
        <v>145</v>
      </c>
      <c r="J322" s="2" t="s">
        <v>369</v>
      </c>
      <c r="K322" s="10" t="b">
        <f aca="false">FALSE()</f>
        <v>0</v>
      </c>
      <c r="L322" s="10" t="b">
        <f aca="false">TRUE()</f>
        <v>1</v>
      </c>
      <c r="M322" s="2" t="s">
        <v>494</v>
      </c>
      <c r="N322" s="2" t="s">
        <v>371</v>
      </c>
      <c r="O322" s="2" t="s">
        <v>495</v>
      </c>
      <c r="P322" s="2" t="n">
        <v>60</v>
      </c>
      <c r="Q322" s="2" t="s">
        <v>496</v>
      </c>
      <c r="R322" s="11" t="s">
        <v>497</v>
      </c>
      <c r="S322" s="11" t="s">
        <v>498</v>
      </c>
      <c r="T322" s="2" t="s">
        <v>219</v>
      </c>
      <c r="U322" s="2" t="s">
        <v>153</v>
      </c>
      <c r="V322" s="2" t="s">
        <v>570</v>
      </c>
      <c r="W322" s="11" t="s">
        <v>571</v>
      </c>
      <c r="X322" s="2"/>
      <c r="Y322" s="2"/>
      <c r="Z322" s="2"/>
      <c r="AA322" s="2"/>
      <c r="AB322" s="2" t="s">
        <v>572</v>
      </c>
      <c r="AC322" s="2" t="s">
        <v>157</v>
      </c>
      <c r="AD322" s="2" t="s">
        <v>132</v>
      </c>
      <c r="AE322" s="10" t="b">
        <f aca="false">FALSE()</f>
        <v>0</v>
      </c>
      <c r="AF322" s="2" t="s">
        <v>133</v>
      </c>
      <c r="AG322" s="2" t="s">
        <v>158</v>
      </c>
      <c r="AH322" s="2" t="s">
        <v>135</v>
      </c>
      <c r="AI322" s="11" t="s">
        <v>502</v>
      </c>
      <c r="AJ322" s="2" t="s">
        <v>1142</v>
      </c>
      <c r="AK322" s="2" t="s">
        <v>1142</v>
      </c>
      <c r="AL322" s="2" t="s">
        <v>1221</v>
      </c>
    </row>
    <row r="323" customFormat="false" ht="90" hidden="false" customHeight="true" outlineLevel="0" collapsed="false">
      <c r="A323" s="2" t="s">
        <v>970</v>
      </c>
      <c r="B323" s="2" t="s">
        <v>569</v>
      </c>
      <c r="C323" s="2" t="s">
        <v>474</v>
      </c>
      <c r="D323" s="9" t="n">
        <v>94</v>
      </c>
      <c r="E323" s="2" t="s">
        <v>491</v>
      </c>
      <c r="F323" s="2" t="s">
        <v>492</v>
      </c>
      <c r="G323" s="2" t="s">
        <v>524</v>
      </c>
      <c r="H323" s="2" t="s">
        <v>368</v>
      </c>
      <c r="I323" s="2" t="s">
        <v>145</v>
      </c>
      <c r="J323" s="2" t="s">
        <v>369</v>
      </c>
      <c r="K323" s="10" t="b">
        <f aca="false">FALSE()</f>
        <v>0</v>
      </c>
      <c r="L323" s="10" t="b">
        <f aca="false">TRUE()</f>
        <v>1</v>
      </c>
      <c r="M323" s="2" t="s">
        <v>494</v>
      </c>
      <c r="N323" s="2" t="s">
        <v>371</v>
      </c>
      <c r="O323" s="2" t="s">
        <v>495</v>
      </c>
      <c r="P323" s="2" t="n">
        <v>60</v>
      </c>
      <c r="Q323" s="2" t="s">
        <v>496</v>
      </c>
      <c r="R323" s="11" t="s">
        <v>497</v>
      </c>
      <c r="S323" s="11" t="s">
        <v>498</v>
      </c>
      <c r="T323" s="2" t="s">
        <v>219</v>
      </c>
      <c r="U323" s="2" t="s">
        <v>153</v>
      </c>
      <c r="V323" s="2" t="s">
        <v>570</v>
      </c>
      <c r="W323" s="11" t="s">
        <v>571</v>
      </c>
      <c r="X323" s="2"/>
      <c r="Y323" s="2"/>
      <c r="Z323" s="2"/>
      <c r="AA323" s="2"/>
      <c r="AB323" s="2" t="s">
        <v>572</v>
      </c>
      <c r="AC323" s="2" t="s">
        <v>157</v>
      </c>
      <c r="AD323" s="2" t="s">
        <v>132</v>
      </c>
      <c r="AE323" s="10" t="b">
        <f aca="false">FALSE()</f>
        <v>0</v>
      </c>
      <c r="AF323" s="2" t="s">
        <v>133</v>
      </c>
      <c r="AG323" s="2" t="s">
        <v>158</v>
      </c>
      <c r="AH323" s="2" t="s">
        <v>135</v>
      </c>
      <c r="AI323" s="11" t="s">
        <v>502</v>
      </c>
      <c r="AJ323" s="2" t="s">
        <v>1277</v>
      </c>
      <c r="AK323" s="2"/>
      <c r="AL323" s="2"/>
    </row>
    <row r="324" customFormat="false" ht="90" hidden="false" customHeight="true" outlineLevel="0" collapsed="false">
      <c r="A324" s="2" t="s">
        <v>972</v>
      </c>
      <c r="B324" s="2" t="s">
        <v>569</v>
      </c>
      <c r="C324" s="2" t="s">
        <v>474</v>
      </c>
      <c r="D324" s="9" t="n">
        <v>94</v>
      </c>
      <c r="E324" s="2" t="s">
        <v>491</v>
      </c>
      <c r="F324" s="2" t="s">
        <v>492</v>
      </c>
      <c r="G324" s="2" t="s">
        <v>524</v>
      </c>
      <c r="H324" s="2" t="s">
        <v>368</v>
      </c>
      <c r="I324" s="2" t="s">
        <v>145</v>
      </c>
      <c r="J324" s="2" t="s">
        <v>369</v>
      </c>
      <c r="K324" s="10" t="b">
        <f aca="false">FALSE()</f>
        <v>0</v>
      </c>
      <c r="L324" s="10" t="b">
        <f aca="false">FALSE()</f>
        <v>0</v>
      </c>
      <c r="M324" s="2" t="s">
        <v>494</v>
      </c>
      <c r="N324" s="2" t="s">
        <v>371</v>
      </c>
      <c r="O324" s="2" t="s">
        <v>495</v>
      </c>
      <c r="P324" s="2" t="n">
        <v>30</v>
      </c>
      <c r="Q324" s="2" t="s">
        <v>496</v>
      </c>
      <c r="R324" s="11" t="s">
        <v>497</v>
      </c>
      <c r="S324" s="11" t="s">
        <v>498</v>
      </c>
      <c r="T324" s="2" t="s">
        <v>219</v>
      </c>
      <c r="U324" s="2" t="s">
        <v>153</v>
      </c>
      <c r="V324" s="2" t="s">
        <v>606</v>
      </c>
      <c r="W324" s="11" t="s">
        <v>607</v>
      </c>
      <c r="X324" s="2"/>
      <c r="Y324" s="2"/>
      <c r="Z324" s="2"/>
      <c r="AA324" s="2"/>
      <c r="AB324" s="2" t="s">
        <v>608</v>
      </c>
      <c r="AC324" s="2" t="s">
        <v>157</v>
      </c>
      <c r="AD324" s="2" t="s">
        <v>440</v>
      </c>
      <c r="AE324" s="10" t="b">
        <f aca="false">FALSE()</f>
        <v>0</v>
      </c>
      <c r="AF324" s="2" t="s">
        <v>133</v>
      </c>
      <c r="AG324" s="2" t="s">
        <v>158</v>
      </c>
      <c r="AH324" s="2" t="s">
        <v>135</v>
      </c>
      <c r="AI324" s="11" t="s">
        <v>502</v>
      </c>
      <c r="AJ324" s="2" t="s">
        <v>1277</v>
      </c>
      <c r="AK324" s="2"/>
      <c r="AL324" s="2"/>
    </row>
    <row r="325" customFormat="false" ht="90" hidden="false" customHeight="true" outlineLevel="0" collapsed="false">
      <c r="A325" s="2" t="s">
        <v>974</v>
      </c>
      <c r="B325" s="2" t="s">
        <v>569</v>
      </c>
      <c r="C325" s="2" t="s">
        <v>474</v>
      </c>
      <c r="D325" s="9" t="n">
        <v>88</v>
      </c>
      <c r="E325" s="2" t="s">
        <v>491</v>
      </c>
      <c r="F325" s="2" t="s">
        <v>492</v>
      </c>
      <c r="G325" s="2" t="s">
        <v>524</v>
      </c>
      <c r="H325" s="2" t="s">
        <v>368</v>
      </c>
      <c r="I325" s="2" t="s">
        <v>145</v>
      </c>
      <c r="J325" s="2" t="s">
        <v>369</v>
      </c>
      <c r="K325" s="10" t="b">
        <f aca="false">FALSE()</f>
        <v>0</v>
      </c>
      <c r="L325" s="10" t="b">
        <f aca="false">TRUE()</f>
        <v>1</v>
      </c>
      <c r="M325" s="2" t="s">
        <v>494</v>
      </c>
      <c r="N325" s="2" t="s">
        <v>371</v>
      </c>
      <c r="O325" s="2" t="s">
        <v>495</v>
      </c>
      <c r="P325" s="2" t="n">
        <v>60</v>
      </c>
      <c r="Q325" s="2" t="s">
        <v>496</v>
      </c>
      <c r="R325" s="11" t="s">
        <v>497</v>
      </c>
      <c r="S325" s="11" t="s">
        <v>498</v>
      </c>
      <c r="T325" s="2" t="s">
        <v>219</v>
      </c>
      <c r="U325" s="2" t="s">
        <v>153</v>
      </c>
      <c r="V325" s="2" t="s">
        <v>570</v>
      </c>
      <c r="W325" s="11" t="s">
        <v>571</v>
      </c>
      <c r="X325" s="2"/>
      <c r="Y325" s="2"/>
      <c r="Z325" s="2"/>
      <c r="AA325" s="2"/>
      <c r="AB325" s="2" t="s">
        <v>572</v>
      </c>
      <c r="AC325" s="2" t="s">
        <v>157</v>
      </c>
      <c r="AD325" s="2" t="s">
        <v>132</v>
      </c>
      <c r="AE325" s="10" t="b">
        <f aca="false">FALSE()</f>
        <v>0</v>
      </c>
      <c r="AF325" s="2" t="s">
        <v>133</v>
      </c>
      <c r="AG325" s="2" t="s">
        <v>158</v>
      </c>
      <c r="AH325" s="2" t="s">
        <v>135</v>
      </c>
      <c r="AI325" s="11" t="s">
        <v>502</v>
      </c>
      <c r="AJ325" s="2" t="s">
        <v>1277</v>
      </c>
      <c r="AK325" s="2"/>
      <c r="AL325" s="2"/>
    </row>
    <row r="326" customFormat="false" ht="90" hidden="false" customHeight="true" outlineLevel="0" collapsed="false">
      <c r="A326" s="2" t="s">
        <v>976</v>
      </c>
      <c r="B326" s="2" t="s">
        <v>569</v>
      </c>
      <c r="C326" s="2" t="s">
        <v>474</v>
      </c>
      <c r="D326" s="9" t="n">
        <v>88</v>
      </c>
      <c r="E326" s="2" t="s">
        <v>491</v>
      </c>
      <c r="F326" s="2" t="s">
        <v>492</v>
      </c>
      <c r="G326" s="2" t="s">
        <v>524</v>
      </c>
      <c r="H326" s="2" t="s">
        <v>368</v>
      </c>
      <c r="I326" s="2" t="s">
        <v>145</v>
      </c>
      <c r="J326" s="2" t="s">
        <v>369</v>
      </c>
      <c r="K326" s="10" t="b">
        <f aca="false">FALSE()</f>
        <v>0</v>
      </c>
      <c r="L326" s="10" t="b">
        <f aca="false">FALSE()</f>
        <v>0</v>
      </c>
      <c r="M326" s="2" t="s">
        <v>494</v>
      </c>
      <c r="N326" s="2" t="s">
        <v>371</v>
      </c>
      <c r="O326" s="2" t="s">
        <v>495</v>
      </c>
      <c r="P326" s="2" t="n">
        <v>60</v>
      </c>
      <c r="Q326" s="2" t="s">
        <v>496</v>
      </c>
      <c r="R326" s="11" t="s">
        <v>497</v>
      </c>
      <c r="S326" s="11" t="s">
        <v>498</v>
      </c>
      <c r="T326" s="2" t="s">
        <v>219</v>
      </c>
      <c r="U326" s="2" t="s">
        <v>153</v>
      </c>
      <c r="V326" s="2" t="s">
        <v>570</v>
      </c>
      <c r="W326" s="11" t="s">
        <v>571</v>
      </c>
      <c r="X326" s="2"/>
      <c r="Y326" s="2"/>
      <c r="Z326" s="2"/>
      <c r="AA326" s="2"/>
      <c r="AB326" s="2" t="s">
        <v>572</v>
      </c>
      <c r="AC326" s="2" t="s">
        <v>157</v>
      </c>
      <c r="AD326" s="2" t="s">
        <v>132</v>
      </c>
      <c r="AE326" s="10" t="b">
        <f aca="false">FALSE()</f>
        <v>0</v>
      </c>
      <c r="AF326" s="2" t="s">
        <v>133</v>
      </c>
      <c r="AG326" s="2" t="s">
        <v>158</v>
      </c>
      <c r="AH326" s="2" t="s">
        <v>135</v>
      </c>
      <c r="AI326" s="11" t="s">
        <v>502</v>
      </c>
      <c r="AJ326" s="2" t="s">
        <v>1277</v>
      </c>
      <c r="AK326" s="2"/>
      <c r="AL326" s="2"/>
    </row>
    <row r="327" customFormat="false" ht="90" hidden="false" customHeight="true" outlineLevel="0" collapsed="false">
      <c r="A327" s="2" t="s">
        <v>978</v>
      </c>
      <c r="B327" s="2" t="s">
        <v>569</v>
      </c>
      <c r="C327" s="2" t="s">
        <v>474</v>
      </c>
      <c r="D327" s="9" t="n">
        <v>87</v>
      </c>
      <c r="E327" s="2" t="s">
        <v>491</v>
      </c>
      <c r="F327" s="2" t="s">
        <v>492</v>
      </c>
      <c r="G327" s="2" t="s">
        <v>524</v>
      </c>
      <c r="H327" s="2" t="s">
        <v>368</v>
      </c>
      <c r="I327" s="2" t="s">
        <v>145</v>
      </c>
      <c r="J327" s="2" t="s">
        <v>369</v>
      </c>
      <c r="K327" s="10" t="b">
        <f aca="false">FALSE()</f>
        <v>0</v>
      </c>
      <c r="L327" s="10" t="b">
        <f aca="false">FALSE()</f>
        <v>0</v>
      </c>
      <c r="M327" s="2" t="s">
        <v>494</v>
      </c>
      <c r="N327" s="2" t="s">
        <v>371</v>
      </c>
      <c r="O327" s="2" t="s">
        <v>495</v>
      </c>
      <c r="P327" s="2" t="n">
        <v>30</v>
      </c>
      <c r="Q327" s="2" t="s">
        <v>496</v>
      </c>
      <c r="R327" s="11" t="s">
        <v>497</v>
      </c>
      <c r="S327" s="11" t="s">
        <v>498</v>
      </c>
      <c r="T327" s="2" t="s">
        <v>632</v>
      </c>
      <c r="U327" s="2" t="s">
        <v>153</v>
      </c>
      <c r="V327" s="2" t="s">
        <v>606</v>
      </c>
      <c r="W327" s="11" t="s">
        <v>607</v>
      </c>
      <c r="X327" s="2"/>
      <c r="Y327" s="2"/>
      <c r="Z327" s="2"/>
      <c r="AA327" s="2"/>
      <c r="AB327" s="2" t="s">
        <v>608</v>
      </c>
      <c r="AC327" s="2" t="s">
        <v>131</v>
      </c>
      <c r="AD327" s="2" t="s">
        <v>440</v>
      </c>
      <c r="AE327" s="10" t="b">
        <f aca="false">FALSE()</f>
        <v>0</v>
      </c>
      <c r="AF327" s="2" t="s">
        <v>133</v>
      </c>
      <c r="AG327" s="2" t="s">
        <v>158</v>
      </c>
      <c r="AH327" s="2" t="s">
        <v>135</v>
      </c>
      <c r="AI327" s="11" t="s">
        <v>502</v>
      </c>
      <c r="AJ327" s="2" t="s">
        <v>1277</v>
      </c>
      <c r="AK327" s="2"/>
      <c r="AL327" s="2"/>
    </row>
    <row r="328" customFormat="false" ht="90" hidden="false" customHeight="true" outlineLevel="0" collapsed="false">
      <c r="A328" s="2" t="s">
        <v>980</v>
      </c>
      <c r="B328" s="2" t="s">
        <v>569</v>
      </c>
      <c r="C328" s="2" t="s">
        <v>474</v>
      </c>
      <c r="D328" s="9" t="n">
        <v>86</v>
      </c>
      <c r="E328" s="2" t="s">
        <v>491</v>
      </c>
      <c r="F328" s="2" t="s">
        <v>492</v>
      </c>
      <c r="G328" s="2" t="s">
        <v>524</v>
      </c>
      <c r="H328" s="2" t="s">
        <v>368</v>
      </c>
      <c r="I328" s="2" t="s">
        <v>145</v>
      </c>
      <c r="J328" s="2" t="s">
        <v>369</v>
      </c>
      <c r="K328" s="10" t="b">
        <f aca="false">FALSE()</f>
        <v>0</v>
      </c>
      <c r="L328" s="10" t="b">
        <f aca="false">FALSE()</f>
        <v>0</v>
      </c>
      <c r="M328" s="2" t="s">
        <v>494</v>
      </c>
      <c r="N328" s="2" t="s">
        <v>371</v>
      </c>
      <c r="O328" s="2" t="s">
        <v>495</v>
      </c>
      <c r="P328" s="2" t="n">
        <v>30</v>
      </c>
      <c r="Q328" s="2" t="s">
        <v>496</v>
      </c>
      <c r="R328" s="11" t="s">
        <v>497</v>
      </c>
      <c r="S328" s="11" t="s">
        <v>498</v>
      </c>
      <c r="T328" s="2" t="s">
        <v>557</v>
      </c>
      <c r="U328" s="2" t="s">
        <v>153</v>
      </c>
      <c r="V328" s="2" t="s">
        <v>606</v>
      </c>
      <c r="W328" s="11" t="s">
        <v>607</v>
      </c>
      <c r="X328" s="2"/>
      <c r="Y328" s="2"/>
      <c r="Z328" s="2"/>
      <c r="AA328" s="2"/>
      <c r="AB328" s="2" t="s">
        <v>608</v>
      </c>
      <c r="AC328" s="2" t="s">
        <v>131</v>
      </c>
      <c r="AD328" s="2" t="s">
        <v>440</v>
      </c>
      <c r="AE328" s="10" t="b">
        <f aca="false">FALSE()</f>
        <v>0</v>
      </c>
      <c r="AF328" s="2" t="s">
        <v>133</v>
      </c>
      <c r="AG328" s="2" t="s">
        <v>158</v>
      </c>
      <c r="AH328" s="2" t="s">
        <v>135</v>
      </c>
      <c r="AI328" s="11" t="s">
        <v>502</v>
      </c>
      <c r="AJ328" s="2" t="s">
        <v>1277</v>
      </c>
      <c r="AK328" s="2"/>
      <c r="AL328" s="2"/>
    </row>
    <row r="329" customFormat="false" ht="90" hidden="false" customHeight="true" outlineLevel="0" collapsed="false">
      <c r="A329" s="2" t="s">
        <v>982</v>
      </c>
      <c r="B329" s="2" t="s">
        <v>569</v>
      </c>
      <c r="C329" s="2" t="s">
        <v>474</v>
      </c>
      <c r="D329" s="9" t="n">
        <v>85</v>
      </c>
      <c r="E329" s="2" t="s">
        <v>491</v>
      </c>
      <c r="F329" s="2" t="s">
        <v>492</v>
      </c>
      <c r="G329" s="2" t="s">
        <v>524</v>
      </c>
      <c r="H329" s="2" t="s">
        <v>368</v>
      </c>
      <c r="I329" s="2" t="s">
        <v>145</v>
      </c>
      <c r="J329" s="2" t="s">
        <v>369</v>
      </c>
      <c r="K329" s="10" t="b">
        <f aca="false">FALSE()</f>
        <v>0</v>
      </c>
      <c r="L329" s="10" t="b">
        <f aca="false">TRUE()</f>
        <v>1</v>
      </c>
      <c r="M329" s="2" t="s">
        <v>494</v>
      </c>
      <c r="N329" s="2" t="s">
        <v>371</v>
      </c>
      <c r="O329" s="2" t="s">
        <v>495</v>
      </c>
      <c r="P329" s="2" t="n">
        <v>60</v>
      </c>
      <c r="Q329" s="2" t="s">
        <v>496</v>
      </c>
      <c r="R329" s="11" t="s">
        <v>497</v>
      </c>
      <c r="S329" s="11" t="s">
        <v>498</v>
      </c>
      <c r="T329" s="2" t="s">
        <v>219</v>
      </c>
      <c r="U329" s="2" t="s">
        <v>153</v>
      </c>
      <c r="V329" s="2" t="s">
        <v>570</v>
      </c>
      <c r="W329" s="11" t="s">
        <v>571</v>
      </c>
      <c r="X329" s="2"/>
      <c r="Y329" s="2"/>
      <c r="Z329" s="2"/>
      <c r="AA329" s="2"/>
      <c r="AB329" s="2" t="s">
        <v>572</v>
      </c>
      <c r="AC329" s="2" t="s">
        <v>157</v>
      </c>
      <c r="AD329" s="2" t="s">
        <v>132</v>
      </c>
      <c r="AE329" s="10" t="b">
        <f aca="false">FALSE()</f>
        <v>0</v>
      </c>
      <c r="AF329" s="2" t="s">
        <v>133</v>
      </c>
      <c r="AG329" s="2" t="s">
        <v>158</v>
      </c>
      <c r="AH329" s="2" t="s">
        <v>135</v>
      </c>
      <c r="AI329" s="11" t="s">
        <v>502</v>
      </c>
      <c r="AJ329" s="2" t="s">
        <v>1277</v>
      </c>
      <c r="AK329" s="2"/>
      <c r="AL329" s="2"/>
    </row>
    <row r="330" customFormat="false" ht="90" hidden="false" customHeight="true" outlineLevel="0" collapsed="false">
      <c r="A330" s="2" t="s">
        <v>984</v>
      </c>
      <c r="B330" s="2" t="s">
        <v>569</v>
      </c>
      <c r="C330" s="2" t="s">
        <v>474</v>
      </c>
      <c r="D330" s="9" t="n">
        <v>84</v>
      </c>
      <c r="E330" s="2" t="s">
        <v>491</v>
      </c>
      <c r="F330" s="2" t="s">
        <v>492</v>
      </c>
      <c r="G330" s="2" t="s">
        <v>524</v>
      </c>
      <c r="H330" s="2" t="s">
        <v>368</v>
      </c>
      <c r="I330" s="2" t="s">
        <v>145</v>
      </c>
      <c r="J330" s="2" t="s">
        <v>369</v>
      </c>
      <c r="K330" s="10" t="b">
        <f aca="false">FALSE()</f>
        <v>0</v>
      </c>
      <c r="L330" s="10" t="b">
        <f aca="false">TRUE()</f>
        <v>1</v>
      </c>
      <c r="M330" s="2" t="s">
        <v>494</v>
      </c>
      <c r="N330" s="2" t="s">
        <v>371</v>
      </c>
      <c r="O330" s="2" t="s">
        <v>495</v>
      </c>
      <c r="P330" s="2" t="n">
        <v>60</v>
      </c>
      <c r="Q330" s="2" t="s">
        <v>496</v>
      </c>
      <c r="R330" s="11" t="s">
        <v>497</v>
      </c>
      <c r="S330" s="11" t="s">
        <v>498</v>
      </c>
      <c r="T330" s="2" t="s">
        <v>219</v>
      </c>
      <c r="U330" s="2" t="s">
        <v>153</v>
      </c>
      <c r="V330" s="2" t="s">
        <v>570</v>
      </c>
      <c r="W330" s="11" t="s">
        <v>571</v>
      </c>
      <c r="X330" s="2"/>
      <c r="Y330" s="2"/>
      <c r="Z330" s="2"/>
      <c r="AA330" s="2"/>
      <c r="AB330" s="2" t="s">
        <v>572</v>
      </c>
      <c r="AC330" s="2" t="s">
        <v>157</v>
      </c>
      <c r="AD330" s="2" t="s">
        <v>132</v>
      </c>
      <c r="AE330" s="10" t="b">
        <f aca="false">FALSE()</f>
        <v>0</v>
      </c>
      <c r="AF330" s="2" t="s">
        <v>133</v>
      </c>
      <c r="AG330" s="2" t="s">
        <v>158</v>
      </c>
      <c r="AH330" s="2" t="s">
        <v>135</v>
      </c>
      <c r="AI330" s="11" t="s">
        <v>502</v>
      </c>
      <c r="AJ330" s="2" t="s">
        <v>1277</v>
      </c>
      <c r="AK330" s="2"/>
      <c r="AL330" s="2"/>
    </row>
    <row r="331" customFormat="false" ht="90" hidden="false" customHeight="true" outlineLevel="0" collapsed="false">
      <c r="A331" s="2" t="s">
        <v>986</v>
      </c>
      <c r="B331" s="2" t="s">
        <v>569</v>
      </c>
      <c r="C331" s="2" t="s">
        <v>474</v>
      </c>
      <c r="D331" s="9" t="n">
        <v>84</v>
      </c>
      <c r="E331" s="2" t="s">
        <v>491</v>
      </c>
      <c r="F331" s="2" t="s">
        <v>492</v>
      </c>
      <c r="G331" s="2" t="s">
        <v>524</v>
      </c>
      <c r="H331" s="2" t="s">
        <v>368</v>
      </c>
      <c r="I331" s="2" t="s">
        <v>145</v>
      </c>
      <c r="J331" s="2" t="s">
        <v>369</v>
      </c>
      <c r="K331" s="10" t="b">
        <f aca="false">FALSE()</f>
        <v>0</v>
      </c>
      <c r="L331" s="10" t="b">
        <f aca="false">TRUE()</f>
        <v>1</v>
      </c>
      <c r="M331" s="2" t="s">
        <v>494</v>
      </c>
      <c r="N331" s="2" t="s">
        <v>371</v>
      </c>
      <c r="O331" s="2" t="s">
        <v>495</v>
      </c>
      <c r="P331" s="2" t="n">
        <v>60</v>
      </c>
      <c r="Q331" s="2" t="s">
        <v>496</v>
      </c>
      <c r="R331" s="11" t="s">
        <v>497</v>
      </c>
      <c r="S331" s="11" t="s">
        <v>498</v>
      </c>
      <c r="T331" s="2" t="s">
        <v>219</v>
      </c>
      <c r="U331" s="2" t="s">
        <v>153</v>
      </c>
      <c r="V331" s="2" t="s">
        <v>570</v>
      </c>
      <c r="W331" s="11" t="s">
        <v>571</v>
      </c>
      <c r="X331" s="2"/>
      <c r="Y331" s="2"/>
      <c r="Z331" s="2"/>
      <c r="AA331" s="2"/>
      <c r="AB331" s="2" t="s">
        <v>572</v>
      </c>
      <c r="AC331" s="2" t="s">
        <v>157</v>
      </c>
      <c r="AD331" s="2" t="s">
        <v>132</v>
      </c>
      <c r="AE331" s="10" t="b">
        <f aca="false">FALSE()</f>
        <v>0</v>
      </c>
      <c r="AF331" s="2" t="s">
        <v>133</v>
      </c>
      <c r="AG331" s="2" t="s">
        <v>158</v>
      </c>
      <c r="AH331" s="2" t="s">
        <v>135</v>
      </c>
      <c r="AI331" s="11" t="s">
        <v>502</v>
      </c>
      <c r="AJ331" s="2" t="s">
        <v>1277</v>
      </c>
      <c r="AK331" s="2"/>
      <c r="AL331" s="2"/>
    </row>
    <row r="332" customFormat="false" ht="90" hidden="false" customHeight="true" outlineLevel="0" collapsed="false">
      <c r="A332" s="2" t="s">
        <v>988</v>
      </c>
      <c r="B332" s="2" t="s">
        <v>569</v>
      </c>
      <c r="C332" s="2" t="s">
        <v>474</v>
      </c>
      <c r="D332" s="9" t="n">
        <v>84</v>
      </c>
      <c r="E332" s="2" t="s">
        <v>491</v>
      </c>
      <c r="F332" s="2" t="s">
        <v>492</v>
      </c>
      <c r="G332" s="2" t="s">
        <v>524</v>
      </c>
      <c r="H332" s="2" t="s">
        <v>368</v>
      </c>
      <c r="I332" s="2" t="s">
        <v>145</v>
      </c>
      <c r="J332" s="2" t="s">
        <v>369</v>
      </c>
      <c r="K332" s="10" t="b">
        <f aca="false">FALSE()</f>
        <v>0</v>
      </c>
      <c r="L332" s="10" t="b">
        <f aca="false">TRUE()</f>
        <v>1</v>
      </c>
      <c r="M332" s="2" t="s">
        <v>494</v>
      </c>
      <c r="N332" s="2" t="s">
        <v>371</v>
      </c>
      <c r="O332" s="2" t="s">
        <v>495</v>
      </c>
      <c r="P332" s="2" t="n">
        <v>60</v>
      </c>
      <c r="Q332" s="2" t="s">
        <v>496</v>
      </c>
      <c r="R332" s="11" t="s">
        <v>497</v>
      </c>
      <c r="S332" s="11" t="s">
        <v>498</v>
      </c>
      <c r="T332" s="2" t="s">
        <v>219</v>
      </c>
      <c r="U332" s="2" t="s">
        <v>153</v>
      </c>
      <c r="V332" s="2" t="s">
        <v>570</v>
      </c>
      <c r="W332" s="11" t="s">
        <v>571</v>
      </c>
      <c r="X332" s="2"/>
      <c r="Y332" s="2"/>
      <c r="Z332" s="2"/>
      <c r="AA332" s="2"/>
      <c r="AB332" s="2" t="s">
        <v>572</v>
      </c>
      <c r="AC332" s="2" t="s">
        <v>157</v>
      </c>
      <c r="AD332" s="2" t="s">
        <v>132</v>
      </c>
      <c r="AE332" s="10" t="b">
        <f aca="false">FALSE()</f>
        <v>0</v>
      </c>
      <c r="AF332" s="2" t="s">
        <v>133</v>
      </c>
      <c r="AG332" s="2" t="s">
        <v>158</v>
      </c>
      <c r="AH332" s="2" t="s">
        <v>135</v>
      </c>
      <c r="AI332" s="11" t="s">
        <v>502</v>
      </c>
      <c r="AJ332" s="2" t="s">
        <v>1277</v>
      </c>
      <c r="AK332" s="2"/>
      <c r="AL332" s="2"/>
    </row>
    <row r="333" customFormat="false" ht="90" hidden="false" customHeight="true" outlineLevel="0" collapsed="false">
      <c r="A333" s="2" t="s">
        <v>990</v>
      </c>
      <c r="B333" s="2" t="s">
        <v>569</v>
      </c>
      <c r="C333" s="2" t="s">
        <v>474</v>
      </c>
      <c r="D333" s="9" t="n">
        <v>84</v>
      </c>
      <c r="E333" s="2" t="s">
        <v>491</v>
      </c>
      <c r="F333" s="2" t="s">
        <v>492</v>
      </c>
      <c r="G333" s="2" t="s">
        <v>524</v>
      </c>
      <c r="H333" s="2" t="s">
        <v>368</v>
      </c>
      <c r="I333" s="2" t="s">
        <v>145</v>
      </c>
      <c r="J333" s="2" t="s">
        <v>369</v>
      </c>
      <c r="K333" s="10" t="b">
        <f aca="false">FALSE()</f>
        <v>0</v>
      </c>
      <c r="L333" s="10" t="b">
        <f aca="false">FALSE()</f>
        <v>0</v>
      </c>
      <c r="M333" s="2" t="s">
        <v>494</v>
      </c>
      <c r="N333" s="2" t="s">
        <v>371</v>
      </c>
      <c r="O333" s="2" t="s">
        <v>495</v>
      </c>
      <c r="P333" s="2" t="n">
        <v>30</v>
      </c>
      <c r="Q333" s="2" t="s">
        <v>496</v>
      </c>
      <c r="R333" s="11" t="s">
        <v>497</v>
      </c>
      <c r="S333" s="11" t="s">
        <v>498</v>
      </c>
      <c r="T333" s="2" t="s">
        <v>557</v>
      </c>
      <c r="U333" s="2" t="s">
        <v>153</v>
      </c>
      <c r="V333" s="2" t="s">
        <v>606</v>
      </c>
      <c r="W333" s="11" t="s">
        <v>607</v>
      </c>
      <c r="X333" s="2"/>
      <c r="Y333" s="2"/>
      <c r="Z333" s="2"/>
      <c r="AA333" s="2"/>
      <c r="AB333" s="2" t="s">
        <v>608</v>
      </c>
      <c r="AC333" s="2" t="s">
        <v>131</v>
      </c>
      <c r="AD333" s="2" t="s">
        <v>440</v>
      </c>
      <c r="AE333" s="10" t="b">
        <f aca="false">FALSE()</f>
        <v>0</v>
      </c>
      <c r="AF333" s="2" t="s">
        <v>133</v>
      </c>
      <c r="AG333" s="2" t="s">
        <v>158</v>
      </c>
      <c r="AH333" s="2" t="s">
        <v>135</v>
      </c>
      <c r="AI333" s="11" t="s">
        <v>502</v>
      </c>
      <c r="AJ333" s="2" t="s">
        <v>1277</v>
      </c>
      <c r="AK333" s="2"/>
      <c r="AL333" s="2"/>
    </row>
    <row r="334" customFormat="false" ht="90" hidden="false" customHeight="true" outlineLevel="0" collapsed="false">
      <c r="A334" s="2" t="s">
        <v>992</v>
      </c>
      <c r="B334" s="2" t="s">
        <v>569</v>
      </c>
      <c r="C334" s="2" t="s">
        <v>474</v>
      </c>
      <c r="D334" s="9" t="n">
        <v>84</v>
      </c>
      <c r="E334" s="2" t="s">
        <v>491</v>
      </c>
      <c r="F334" s="2" t="s">
        <v>492</v>
      </c>
      <c r="G334" s="2" t="s">
        <v>524</v>
      </c>
      <c r="H334" s="2" t="s">
        <v>368</v>
      </c>
      <c r="I334" s="2" t="s">
        <v>145</v>
      </c>
      <c r="J334" s="2" t="s">
        <v>369</v>
      </c>
      <c r="K334" s="10" t="b">
        <f aca="false">FALSE()</f>
        <v>0</v>
      </c>
      <c r="L334" s="10" t="b">
        <f aca="false">FALSE()</f>
        <v>0</v>
      </c>
      <c r="M334" s="2" t="s">
        <v>494</v>
      </c>
      <c r="N334" s="2" t="s">
        <v>371</v>
      </c>
      <c r="O334" s="2" t="s">
        <v>495</v>
      </c>
      <c r="P334" s="2" t="n">
        <v>60</v>
      </c>
      <c r="Q334" s="2" t="s">
        <v>496</v>
      </c>
      <c r="R334" s="11" t="s">
        <v>497</v>
      </c>
      <c r="S334" s="11" t="s">
        <v>498</v>
      </c>
      <c r="T334" s="2" t="s">
        <v>219</v>
      </c>
      <c r="U334" s="2" t="s">
        <v>153</v>
      </c>
      <c r="V334" s="2" t="s">
        <v>570</v>
      </c>
      <c r="W334" s="11" t="s">
        <v>571</v>
      </c>
      <c r="X334" s="2"/>
      <c r="Y334" s="2"/>
      <c r="Z334" s="2"/>
      <c r="AA334" s="2"/>
      <c r="AB334" s="2" t="s">
        <v>572</v>
      </c>
      <c r="AC334" s="2" t="s">
        <v>157</v>
      </c>
      <c r="AD334" s="2" t="s">
        <v>132</v>
      </c>
      <c r="AE334" s="10" t="b">
        <f aca="false">FALSE()</f>
        <v>0</v>
      </c>
      <c r="AF334" s="2" t="s">
        <v>133</v>
      </c>
      <c r="AG334" s="2" t="s">
        <v>158</v>
      </c>
      <c r="AH334" s="2" t="s">
        <v>135</v>
      </c>
      <c r="AI334" s="11" t="s">
        <v>502</v>
      </c>
      <c r="AJ334" s="2" t="s">
        <v>1277</v>
      </c>
      <c r="AK334" s="2"/>
      <c r="AL334" s="2"/>
    </row>
    <row r="335" customFormat="false" ht="90" hidden="false" customHeight="true" outlineLevel="0" collapsed="false">
      <c r="A335" s="2" t="s">
        <v>994</v>
      </c>
      <c r="B335" s="2" t="s">
        <v>569</v>
      </c>
      <c r="C335" s="2" t="s">
        <v>474</v>
      </c>
      <c r="D335" s="9" t="n">
        <v>82</v>
      </c>
      <c r="E335" s="2" t="s">
        <v>491</v>
      </c>
      <c r="F335" s="2" t="s">
        <v>492</v>
      </c>
      <c r="G335" s="2" t="s">
        <v>524</v>
      </c>
      <c r="H335" s="2" t="s">
        <v>368</v>
      </c>
      <c r="I335" s="2" t="s">
        <v>145</v>
      </c>
      <c r="J335" s="2" t="s">
        <v>369</v>
      </c>
      <c r="K335" s="10" t="b">
        <f aca="false">FALSE()</f>
        <v>0</v>
      </c>
      <c r="L335" s="10" t="b">
        <f aca="false">FALSE()</f>
        <v>0</v>
      </c>
      <c r="M335" s="2" t="s">
        <v>494</v>
      </c>
      <c r="N335" s="2" t="s">
        <v>371</v>
      </c>
      <c r="O335" s="2" t="s">
        <v>495</v>
      </c>
      <c r="P335" s="2" t="n">
        <v>30</v>
      </c>
      <c r="Q335" s="2" t="s">
        <v>496</v>
      </c>
      <c r="R335" s="11" t="s">
        <v>497</v>
      </c>
      <c r="S335" s="11" t="s">
        <v>498</v>
      </c>
      <c r="T335" s="2" t="s">
        <v>632</v>
      </c>
      <c r="U335" s="2" t="s">
        <v>153</v>
      </c>
      <c r="V335" s="2" t="s">
        <v>606</v>
      </c>
      <c r="W335" s="11" t="s">
        <v>607</v>
      </c>
      <c r="X335" s="2"/>
      <c r="Y335" s="2"/>
      <c r="Z335" s="2"/>
      <c r="AA335" s="2"/>
      <c r="AB335" s="2" t="s">
        <v>608</v>
      </c>
      <c r="AC335" s="2" t="s">
        <v>131</v>
      </c>
      <c r="AD335" s="2" t="s">
        <v>440</v>
      </c>
      <c r="AE335" s="10" t="b">
        <f aca="false">FALSE()</f>
        <v>0</v>
      </c>
      <c r="AF335" s="2" t="s">
        <v>133</v>
      </c>
      <c r="AG335" s="2" t="s">
        <v>158</v>
      </c>
      <c r="AH335" s="2" t="s">
        <v>135</v>
      </c>
      <c r="AI335" s="11" t="s">
        <v>502</v>
      </c>
      <c r="AJ335" s="2" t="s">
        <v>1277</v>
      </c>
      <c r="AK335" s="2"/>
      <c r="AL335" s="2"/>
    </row>
    <row r="336" customFormat="false" ht="90" hidden="false" customHeight="true" outlineLevel="0" collapsed="false">
      <c r="A336" s="2" t="s">
        <v>996</v>
      </c>
      <c r="B336" s="2" t="s">
        <v>569</v>
      </c>
      <c r="C336" s="2" t="s">
        <v>474</v>
      </c>
      <c r="D336" s="9" t="n">
        <v>80</v>
      </c>
      <c r="E336" s="2" t="s">
        <v>491</v>
      </c>
      <c r="F336" s="2" t="s">
        <v>492</v>
      </c>
      <c r="G336" s="2" t="s">
        <v>524</v>
      </c>
      <c r="H336" s="2" t="s">
        <v>368</v>
      </c>
      <c r="I336" s="2" t="s">
        <v>145</v>
      </c>
      <c r="J336" s="2" t="s">
        <v>369</v>
      </c>
      <c r="K336" s="10" t="b">
        <f aca="false">FALSE()</f>
        <v>0</v>
      </c>
      <c r="L336" s="10" t="b">
        <f aca="false">TRUE()</f>
        <v>1</v>
      </c>
      <c r="M336" s="2" t="s">
        <v>494</v>
      </c>
      <c r="N336" s="2" t="s">
        <v>371</v>
      </c>
      <c r="O336" s="2" t="s">
        <v>495</v>
      </c>
      <c r="P336" s="2" t="n">
        <v>60</v>
      </c>
      <c r="Q336" s="2" t="s">
        <v>496</v>
      </c>
      <c r="R336" s="11" t="s">
        <v>497</v>
      </c>
      <c r="S336" s="11" t="s">
        <v>498</v>
      </c>
      <c r="T336" s="2" t="s">
        <v>219</v>
      </c>
      <c r="U336" s="2" t="s">
        <v>153</v>
      </c>
      <c r="V336" s="2" t="s">
        <v>570</v>
      </c>
      <c r="W336" s="11" t="s">
        <v>571</v>
      </c>
      <c r="X336" s="2"/>
      <c r="Y336" s="2"/>
      <c r="Z336" s="2"/>
      <c r="AA336" s="2"/>
      <c r="AB336" s="2" t="s">
        <v>572</v>
      </c>
      <c r="AC336" s="2" t="s">
        <v>157</v>
      </c>
      <c r="AD336" s="2" t="s">
        <v>132</v>
      </c>
      <c r="AE336" s="10" t="b">
        <f aca="false">FALSE()</f>
        <v>0</v>
      </c>
      <c r="AF336" s="2" t="s">
        <v>133</v>
      </c>
      <c r="AG336" s="2" t="s">
        <v>158</v>
      </c>
      <c r="AH336" s="2" t="s">
        <v>135</v>
      </c>
      <c r="AI336" s="11" t="s">
        <v>502</v>
      </c>
      <c r="AJ336" s="2" t="s">
        <v>1277</v>
      </c>
      <c r="AK336" s="2"/>
      <c r="AL336" s="2"/>
    </row>
    <row r="337" customFormat="false" ht="90" hidden="false" customHeight="true" outlineLevel="0" collapsed="false">
      <c r="A337" s="2" t="s">
        <v>998</v>
      </c>
      <c r="B337" s="2" t="s">
        <v>569</v>
      </c>
      <c r="C337" s="2" t="s">
        <v>474</v>
      </c>
      <c r="D337" s="9" t="n">
        <v>78</v>
      </c>
      <c r="E337" s="2" t="s">
        <v>491</v>
      </c>
      <c r="F337" s="2" t="s">
        <v>492</v>
      </c>
      <c r="G337" s="2" t="s">
        <v>524</v>
      </c>
      <c r="H337" s="2" t="s">
        <v>368</v>
      </c>
      <c r="I337" s="2" t="s">
        <v>145</v>
      </c>
      <c r="J337" s="2" t="s">
        <v>369</v>
      </c>
      <c r="K337" s="10" t="b">
        <f aca="false">FALSE()</f>
        <v>0</v>
      </c>
      <c r="L337" s="10" t="b">
        <f aca="false">FALSE()</f>
        <v>0</v>
      </c>
      <c r="M337" s="2" t="s">
        <v>494</v>
      </c>
      <c r="N337" s="2" t="s">
        <v>371</v>
      </c>
      <c r="O337" s="2" t="s">
        <v>495</v>
      </c>
      <c r="P337" s="2" t="n">
        <v>60</v>
      </c>
      <c r="Q337" s="2" t="s">
        <v>496</v>
      </c>
      <c r="R337" s="11" t="s">
        <v>497</v>
      </c>
      <c r="S337" s="11" t="s">
        <v>498</v>
      </c>
      <c r="T337" s="2" t="s">
        <v>219</v>
      </c>
      <c r="U337" s="2" t="s">
        <v>153</v>
      </c>
      <c r="V337" s="2" t="s">
        <v>570</v>
      </c>
      <c r="W337" s="11" t="s">
        <v>571</v>
      </c>
      <c r="X337" s="2"/>
      <c r="Y337" s="2"/>
      <c r="Z337" s="2"/>
      <c r="AA337" s="2"/>
      <c r="AB337" s="2" t="s">
        <v>572</v>
      </c>
      <c r="AC337" s="2" t="s">
        <v>157</v>
      </c>
      <c r="AD337" s="2" t="s">
        <v>132</v>
      </c>
      <c r="AE337" s="10" t="b">
        <f aca="false">FALSE()</f>
        <v>0</v>
      </c>
      <c r="AF337" s="2" t="s">
        <v>133</v>
      </c>
      <c r="AG337" s="2" t="s">
        <v>158</v>
      </c>
      <c r="AH337" s="2" t="s">
        <v>135</v>
      </c>
      <c r="AI337" s="11" t="s">
        <v>502</v>
      </c>
      <c r="AJ337" s="2" t="s">
        <v>1277</v>
      </c>
      <c r="AK337" s="2"/>
      <c r="AL337" s="2"/>
    </row>
    <row r="338" customFormat="false" ht="90" hidden="false" customHeight="true" outlineLevel="0" collapsed="false">
      <c r="A338" s="2" t="s">
        <v>1000</v>
      </c>
      <c r="B338" s="2" t="s">
        <v>569</v>
      </c>
      <c r="C338" s="2" t="s">
        <v>474</v>
      </c>
      <c r="D338" s="9" t="n">
        <v>77</v>
      </c>
      <c r="E338" s="2" t="s">
        <v>491</v>
      </c>
      <c r="F338" s="2" t="s">
        <v>492</v>
      </c>
      <c r="G338" s="2" t="s">
        <v>524</v>
      </c>
      <c r="H338" s="2" t="s">
        <v>368</v>
      </c>
      <c r="I338" s="2" t="s">
        <v>145</v>
      </c>
      <c r="J338" s="2" t="s">
        <v>369</v>
      </c>
      <c r="K338" s="10" t="b">
        <f aca="false">FALSE()</f>
        <v>0</v>
      </c>
      <c r="L338" s="10" t="b">
        <f aca="false">TRUE()</f>
        <v>1</v>
      </c>
      <c r="M338" s="2" t="s">
        <v>494</v>
      </c>
      <c r="N338" s="2" t="s">
        <v>371</v>
      </c>
      <c r="O338" s="2" t="s">
        <v>495</v>
      </c>
      <c r="P338" s="2" t="n">
        <v>60</v>
      </c>
      <c r="Q338" s="2" t="s">
        <v>496</v>
      </c>
      <c r="R338" s="11" t="s">
        <v>497</v>
      </c>
      <c r="S338" s="11" t="s">
        <v>498</v>
      </c>
      <c r="T338" s="2" t="s">
        <v>219</v>
      </c>
      <c r="U338" s="2" t="s">
        <v>153</v>
      </c>
      <c r="V338" s="2" t="s">
        <v>570</v>
      </c>
      <c r="W338" s="11" t="s">
        <v>571</v>
      </c>
      <c r="X338" s="2"/>
      <c r="Y338" s="2"/>
      <c r="Z338" s="2"/>
      <c r="AA338" s="2"/>
      <c r="AB338" s="2" t="s">
        <v>572</v>
      </c>
      <c r="AC338" s="2" t="s">
        <v>157</v>
      </c>
      <c r="AD338" s="2" t="s">
        <v>132</v>
      </c>
      <c r="AE338" s="10" t="b">
        <f aca="false">FALSE()</f>
        <v>0</v>
      </c>
      <c r="AF338" s="2" t="s">
        <v>133</v>
      </c>
      <c r="AG338" s="2" t="s">
        <v>158</v>
      </c>
      <c r="AH338" s="2" t="s">
        <v>135</v>
      </c>
      <c r="AI338" s="11" t="s">
        <v>502</v>
      </c>
      <c r="AJ338" s="2" t="s">
        <v>1277</v>
      </c>
      <c r="AK338" s="2"/>
      <c r="AL338" s="2"/>
    </row>
    <row r="339" customFormat="false" ht="90" hidden="false" customHeight="true" outlineLevel="0" collapsed="false">
      <c r="A339" s="2" t="s">
        <v>1002</v>
      </c>
      <c r="B339" s="2" t="s">
        <v>569</v>
      </c>
      <c r="C339" s="2" t="s">
        <v>474</v>
      </c>
      <c r="D339" s="9" t="n">
        <v>75</v>
      </c>
      <c r="E339" s="2" t="s">
        <v>491</v>
      </c>
      <c r="F339" s="2" t="s">
        <v>492</v>
      </c>
      <c r="G339" s="2" t="s">
        <v>524</v>
      </c>
      <c r="H339" s="2" t="s">
        <v>368</v>
      </c>
      <c r="I339" s="2" t="s">
        <v>145</v>
      </c>
      <c r="J339" s="2" t="s">
        <v>369</v>
      </c>
      <c r="K339" s="10" t="b">
        <f aca="false">FALSE()</f>
        <v>0</v>
      </c>
      <c r="L339" s="10" t="b">
        <f aca="false">FALSE()</f>
        <v>0</v>
      </c>
      <c r="M339" s="2" t="s">
        <v>494</v>
      </c>
      <c r="N339" s="2" t="s">
        <v>371</v>
      </c>
      <c r="O339" s="2" t="s">
        <v>495</v>
      </c>
      <c r="P339" s="2" t="n">
        <v>60</v>
      </c>
      <c r="Q339" s="2" t="s">
        <v>496</v>
      </c>
      <c r="R339" s="11" t="s">
        <v>497</v>
      </c>
      <c r="S339" s="11" t="s">
        <v>498</v>
      </c>
      <c r="T339" s="2" t="s">
        <v>219</v>
      </c>
      <c r="U339" s="2" t="s">
        <v>153</v>
      </c>
      <c r="V339" s="2" t="s">
        <v>570</v>
      </c>
      <c r="W339" s="11" t="s">
        <v>571</v>
      </c>
      <c r="X339" s="2"/>
      <c r="Y339" s="2"/>
      <c r="Z339" s="2"/>
      <c r="AA339" s="2"/>
      <c r="AB339" s="2" t="s">
        <v>572</v>
      </c>
      <c r="AC339" s="2" t="s">
        <v>157</v>
      </c>
      <c r="AD339" s="2" t="s">
        <v>132</v>
      </c>
      <c r="AE339" s="10" t="b">
        <f aca="false">FALSE()</f>
        <v>0</v>
      </c>
      <c r="AF339" s="2" t="s">
        <v>133</v>
      </c>
      <c r="AG339" s="2" t="s">
        <v>158</v>
      </c>
      <c r="AH339" s="2" t="s">
        <v>135</v>
      </c>
      <c r="AI339" s="11" t="s">
        <v>502</v>
      </c>
      <c r="AJ339" s="2" t="s">
        <v>1277</v>
      </c>
      <c r="AK339" s="2"/>
      <c r="AL339" s="2"/>
    </row>
    <row r="340" customFormat="false" ht="90" hidden="false" customHeight="true" outlineLevel="0" collapsed="false">
      <c r="A340" s="2" t="s">
        <v>1004</v>
      </c>
      <c r="B340" s="2" t="s">
        <v>569</v>
      </c>
      <c r="C340" s="2" t="s">
        <v>474</v>
      </c>
      <c r="D340" s="9" t="n">
        <v>67</v>
      </c>
      <c r="E340" s="2" t="s">
        <v>491</v>
      </c>
      <c r="F340" s="2" t="s">
        <v>492</v>
      </c>
      <c r="G340" s="2" t="s">
        <v>524</v>
      </c>
      <c r="H340" s="2" t="s">
        <v>368</v>
      </c>
      <c r="I340" s="2" t="s">
        <v>145</v>
      </c>
      <c r="J340" s="2" t="s">
        <v>369</v>
      </c>
      <c r="K340" s="10" t="b">
        <f aca="false">FALSE()</f>
        <v>0</v>
      </c>
      <c r="L340" s="10" t="b">
        <f aca="false">FALSE()</f>
        <v>0</v>
      </c>
      <c r="M340" s="2" t="s">
        <v>494</v>
      </c>
      <c r="N340" s="2" t="s">
        <v>371</v>
      </c>
      <c r="O340" s="2" t="s">
        <v>495</v>
      </c>
      <c r="P340" s="2" t="n">
        <v>30</v>
      </c>
      <c r="Q340" s="2" t="s">
        <v>496</v>
      </c>
      <c r="R340" s="11" t="s">
        <v>497</v>
      </c>
      <c r="S340" s="11" t="s">
        <v>498</v>
      </c>
      <c r="T340" s="2" t="s">
        <v>632</v>
      </c>
      <c r="U340" s="2" t="s">
        <v>153</v>
      </c>
      <c r="V340" s="2" t="s">
        <v>606</v>
      </c>
      <c r="W340" s="11" t="s">
        <v>607</v>
      </c>
      <c r="X340" s="2"/>
      <c r="Y340" s="2"/>
      <c r="Z340" s="2"/>
      <c r="AA340" s="2"/>
      <c r="AB340" s="2" t="s">
        <v>608</v>
      </c>
      <c r="AC340" s="2" t="s">
        <v>131</v>
      </c>
      <c r="AD340" s="2" t="s">
        <v>440</v>
      </c>
      <c r="AE340" s="10" t="b">
        <f aca="false">FALSE()</f>
        <v>0</v>
      </c>
      <c r="AF340" s="2" t="s">
        <v>133</v>
      </c>
      <c r="AG340" s="2" t="s">
        <v>158</v>
      </c>
      <c r="AH340" s="2" t="s">
        <v>135</v>
      </c>
      <c r="AI340" s="11" t="s">
        <v>502</v>
      </c>
      <c r="AJ340" s="2" t="s">
        <v>1277</v>
      </c>
      <c r="AK340" s="2"/>
      <c r="AL340" s="2"/>
    </row>
    <row r="341" customFormat="false" ht="90" hidden="false" customHeight="true" outlineLevel="0" collapsed="false">
      <c r="A341" s="2" t="s">
        <v>1006</v>
      </c>
      <c r="B341" s="2" t="s">
        <v>569</v>
      </c>
      <c r="C341" s="2" t="s">
        <v>474</v>
      </c>
      <c r="D341" s="9" t="n">
        <v>61</v>
      </c>
      <c r="E341" s="2" t="s">
        <v>491</v>
      </c>
      <c r="F341" s="2" t="s">
        <v>492</v>
      </c>
      <c r="G341" s="2" t="s">
        <v>524</v>
      </c>
      <c r="H341" s="2" t="s">
        <v>368</v>
      </c>
      <c r="I341" s="2" t="s">
        <v>145</v>
      </c>
      <c r="J341" s="2" t="s">
        <v>369</v>
      </c>
      <c r="K341" s="10" t="b">
        <f aca="false">FALSE()</f>
        <v>0</v>
      </c>
      <c r="L341" s="10" t="b">
        <f aca="false">FALSE()</f>
        <v>0</v>
      </c>
      <c r="M341" s="2" t="s">
        <v>494</v>
      </c>
      <c r="N341" s="2" t="s">
        <v>371</v>
      </c>
      <c r="O341" s="2" t="s">
        <v>495</v>
      </c>
      <c r="P341" s="2" t="n">
        <v>60</v>
      </c>
      <c r="Q341" s="2" t="s">
        <v>496</v>
      </c>
      <c r="R341" s="11" t="s">
        <v>497</v>
      </c>
      <c r="S341" s="11" t="s">
        <v>498</v>
      </c>
      <c r="T341" s="2" t="s">
        <v>219</v>
      </c>
      <c r="U341" s="2" t="s">
        <v>153</v>
      </c>
      <c r="V341" s="2" t="s">
        <v>570</v>
      </c>
      <c r="W341" s="11" t="s">
        <v>571</v>
      </c>
      <c r="X341" s="2"/>
      <c r="Y341" s="2"/>
      <c r="Z341" s="2"/>
      <c r="AA341" s="2"/>
      <c r="AB341" s="2" t="s">
        <v>572</v>
      </c>
      <c r="AC341" s="2" t="s">
        <v>157</v>
      </c>
      <c r="AD341" s="2" t="s">
        <v>132</v>
      </c>
      <c r="AE341" s="10" t="b">
        <f aca="false">FALSE()</f>
        <v>0</v>
      </c>
      <c r="AF341" s="2" t="s">
        <v>133</v>
      </c>
      <c r="AG341" s="2" t="s">
        <v>158</v>
      </c>
      <c r="AH341" s="2" t="s">
        <v>135</v>
      </c>
      <c r="AI341" s="11" t="s">
        <v>502</v>
      </c>
      <c r="AJ341" s="2" t="s">
        <v>1277</v>
      </c>
      <c r="AK341" s="2"/>
      <c r="AL341" s="2"/>
    </row>
    <row r="342" customFormat="false" ht="90" hidden="false" customHeight="true" outlineLevel="0" collapsed="false">
      <c r="A342" s="2" t="s">
        <v>1008</v>
      </c>
      <c r="B342" s="2" t="s">
        <v>569</v>
      </c>
      <c r="C342" s="2" t="s">
        <v>474</v>
      </c>
      <c r="D342" s="9" t="n">
        <v>61</v>
      </c>
      <c r="E342" s="2" t="s">
        <v>491</v>
      </c>
      <c r="F342" s="2" t="s">
        <v>492</v>
      </c>
      <c r="G342" s="2" t="s">
        <v>524</v>
      </c>
      <c r="H342" s="2" t="s">
        <v>368</v>
      </c>
      <c r="I342" s="2" t="s">
        <v>145</v>
      </c>
      <c r="J342" s="2" t="s">
        <v>369</v>
      </c>
      <c r="K342" s="10" t="b">
        <f aca="false">FALSE()</f>
        <v>0</v>
      </c>
      <c r="L342" s="10" t="b">
        <f aca="false">FALSE()</f>
        <v>0</v>
      </c>
      <c r="M342" s="2" t="s">
        <v>494</v>
      </c>
      <c r="N342" s="2" t="s">
        <v>371</v>
      </c>
      <c r="O342" s="2" t="s">
        <v>495</v>
      </c>
      <c r="P342" s="2" t="n">
        <v>30</v>
      </c>
      <c r="Q342" s="2" t="s">
        <v>496</v>
      </c>
      <c r="R342" s="11" t="s">
        <v>497</v>
      </c>
      <c r="S342" s="11" t="s">
        <v>498</v>
      </c>
      <c r="T342" s="2" t="s">
        <v>632</v>
      </c>
      <c r="U342" s="2" t="s">
        <v>153</v>
      </c>
      <c r="V342" s="2" t="s">
        <v>606</v>
      </c>
      <c r="W342" s="11" t="s">
        <v>607</v>
      </c>
      <c r="X342" s="2"/>
      <c r="Y342" s="2"/>
      <c r="Z342" s="2"/>
      <c r="AA342" s="2"/>
      <c r="AB342" s="2" t="s">
        <v>608</v>
      </c>
      <c r="AC342" s="2" t="s">
        <v>131</v>
      </c>
      <c r="AD342" s="2" t="s">
        <v>440</v>
      </c>
      <c r="AE342" s="10" t="b">
        <f aca="false">FALSE()</f>
        <v>0</v>
      </c>
      <c r="AF342" s="2" t="s">
        <v>133</v>
      </c>
      <c r="AG342" s="2" t="s">
        <v>158</v>
      </c>
      <c r="AH342" s="2" t="s">
        <v>135</v>
      </c>
      <c r="AI342" s="11" t="s">
        <v>502</v>
      </c>
      <c r="AJ342" s="2" t="s">
        <v>1277</v>
      </c>
      <c r="AK342" s="2"/>
      <c r="AL342" s="2"/>
    </row>
    <row r="343" customFormat="false" ht="90" hidden="false" customHeight="true" outlineLevel="0" collapsed="false">
      <c r="A343" s="2" t="s">
        <v>1010</v>
      </c>
      <c r="B343" s="2" t="s">
        <v>569</v>
      </c>
      <c r="C343" s="2" t="s">
        <v>474</v>
      </c>
      <c r="D343" s="9" t="n">
        <v>58</v>
      </c>
      <c r="E343" s="2" t="s">
        <v>491</v>
      </c>
      <c r="F343" s="2" t="s">
        <v>492</v>
      </c>
      <c r="G343" s="2" t="s">
        <v>524</v>
      </c>
      <c r="H343" s="2" t="s">
        <v>368</v>
      </c>
      <c r="I343" s="2" t="s">
        <v>145</v>
      </c>
      <c r="J343" s="2" t="s">
        <v>369</v>
      </c>
      <c r="K343" s="10" t="b">
        <f aca="false">FALSE()</f>
        <v>0</v>
      </c>
      <c r="L343" s="10" t="b">
        <f aca="false">FALSE()</f>
        <v>0</v>
      </c>
      <c r="M343" s="2" t="s">
        <v>494</v>
      </c>
      <c r="N343" s="2" t="s">
        <v>371</v>
      </c>
      <c r="O343" s="2" t="s">
        <v>495</v>
      </c>
      <c r="P343" s="2" t="n">
        <v>60</v>
      </c>
      <c r="Q343" s="2" t="s">
        <v>496</v>
      </c>
      <c r="R343" s="11" t="s">
        <v>497</v>
      </c>
      <c r="S343" s="11" t="s">
        <v>498</v>
      </c>
      <c r="T343" s="2" t="s">
        <v>219</v>
      </c>
      <c r="U343" s="2" t="s">
        <v>153</v>
      </c>
      <c r="V343" s="2" t="s">
        <v>570</v>
      </c>
      <c r="W343" s="11" t="s">
        <v>571</v>
      </c>
      <c r="X343" s="2"/>
      <c r="Y343" s="2"/>
      <c r="Z343" s="2"/>
      <c r="AA343" s="2"/>
      <c r="AB343" s="2" t="s">
        <v>572</v>
      </c>
      <c r="AC343" s="2" t="s">
        <v>157</v>
      </c>
      <c r="AD343" s="2" t="s">
        <v>132</v>
      </c>
      <c r="AE343" s="10" t="b">
        <f aca="false">FALSE()</f>
        <v>0</v>
      </c>
      <c r="AF343" s="2" t="s">
        <v>133</v>
      </c>
      <c r="AG343" s="2" t="s">
        <v>158</v>
      </c>
      <c r="AH343" s="2" t="s">
        <v>135</v>
      </c>
      <c r="AI343" s="11" t="s">
        <v>502</v>
      </c>
      <c r="AJ343" s="2" t="s">
        <v>1277</v>
      </c>
      <c r="AK343" s="2"/>
      <c r="AL343" s="2"/>
    </row>
    <row r="344" customFormat="false" ht="90" hidden="false" customHeight="true" outlineLevel="0" collapsed="false">
      <c r="A344" s="2" t="s">
        <v>1012</v>
      </c>
      <c r="B344" s="2" t="s">
        <v>569</v>
      </c>
      <c r="C344" s="2" t="s">
        <v>474</v>
      </c>
      <c r="D344" s="9" t="n">
        <v>53</v>
      </c>
      <c r="E344" s="2" t="s">
        <v>491</v>
      </c>
      <c r="F344" s="2" t="s">
        <v>492</v>
      </c>
      <c r="G344" s="2" t="s">
        <v>524</v>
      </c>
      <c r="H344" s="2" t="s">
        <v>368</v>
      </c>
      <c r="I344" s="2" t="s">
        <v>145</v>
      </c>
      <c r="J344" s="2" t="s">
        <v>369</v>
      </c>
      <c r="K344" s="10" t="b">
        <f aca="false">FALSE()</f>
        <v>0</v>
      </c>
      <c r="L344" s="10" t="b">
        <f aca="false">TRUE()</f>
        <v>1</v>
      </c>
      <c r="M344" s="2" t="s">
        <v>494</v>
      </c>
      <c r="N344" s="2" t="s">
        <v>371</v>
      </c>
      <c r="O344" s="2" t="s">
        <v>495</v>
      </c>
      <c r="P344" s="2" t="n">
        <v>60</v>
      </c>
      <c r="Q344" s="2" t="s">
        <v>496</v>
      </c>
      <c r="R344" s="11" t="s">
        <v>497</v>
      </c>
      <c r="S344" s="11" t="s">
        <v>498</v>
      </c>
      <c r="T344" s="2" t="s">
        <v>219</v>
      </c>
      <c r="U344" s="2" t="s">
        <v>153</v>
      </c>
      <c r="V344" s="2" t="s">
        <v>570</v>
      </c>
      <c r="W344" s="11" t="s">
        <v>571</v>
      </c>
      <c r="X344" s="2"/>
      <c r="Y344" s="2"/>
      <c r="Z344" s="2"/>
      <c r="AA344" s="2"/>
      <c r="AB344" s="2" t="s">
        <v>572</v>
      </c>
      <c r="AC344" s="2" t="s">
        <v>157</v>
      </c>
      <c r="AD344" s="2" t="s">
        <v>132</v>
      </c>
      <c r="AE344" s="10" t="b">
        <f aca="false">FALSE()</f>
        <v>0</v>
      </c>
      <c r="AF344" s="2" t="s">
        <v>133</v>
      </c>
      <c r="AG344" s="2" t="s">
        <v>158</v>
      </c>
      <c r="AH344" s="2" t="s">
        <v>135</v>
      </c>
      <c r="AI344" s="11" t="s">
        <v>502</v>
      </c>
      <c r="AJ344" s="2" t="s">
        <v>1277</v>
      </c>
      <c r="AK344" s="2"/>
      <c r="AL344" s="2"/>
    </row>
    <row r="345" customFormat="false" ht="90" hidden="false" customHeight="true" outlineLevel="0" collapsed="false">
      <c r="A345" s="2" t="s">
        <v>1014</v>
      </c>
      <c r="B345" s="2" t="s">
        <v>569</v>
      </c>
      <c r="C345" s="2" t="s">
        <v>474</v>
      </c>
      <c r="D345" s="9" t="n">
        <v>49</v>
      </c>
      <c r="E345" s="2" t="s">
        <v>491</v>
      </c>
      <c r="F345" s="2" t="s">
        <v>492</v>
      </c>
      <c r="G345" s="2" t="s">
        <v>524</v>
      </c>
      <c r="H345" s="2" t="s">
        <v>368</v>
      </c>
      <c r="I345" s="2" t="s">
        <v>145</v>
      </c>
      <c r="J345" s="2" t="s">
        <v>369</v>
      </c>
      <c r="K345" s="10" t="b">
        <f aca="false">FALSE()</f>
        <v>0</v>
      </c>
      <c r="L345" s="10" t="b">
        <f aca="false">TRUE()</f>
        <v>1</v>
      </c>
      <c r="M345" s="2" t="s">
        <v>494</v>
      </c>
      <c r="N345" s="2" t="s">
        <v>371</v>
      </c>
      <c r="O345" s="2" t="s">
        <v>495</v>
      </c>
      <c r="P345" s="2" t="n">
        <v>30</v>
      </c>
      <c r="Q345" s="2" t="s">
        <v>496</v>
      </c>
      <c r="R345" s="11" t="s">
        <v>497</v>
      </c>
      <c r="S345" s="11" t="s">
        <v>498</v>
      </c>
      <c r="T345" s="2" t="s">
        <v>219</v>
      </c>
      <c r="U345" s="2" t="s">
        <v>153</v>
      </c>
      <c r="V345" s="2" t="s">
        <v>587</v>
      </c>
      <c r="W345" s="11" t="s">
        <v>645</v>
      </c>
      <c r="X345" s="2"/>
      <c r="Y345" s="2"/>
      <c r="Z345" s="2"/>
      <c r="AA345" s="2"/>
      <c r="AB345" s="2" t="s">
        <v>589</v>
      </c>
      <c r="AC345" s="2" t="s">
        <v>157</v>
      </c>
      <c r="AD345" s="2" t="s">
        <v>354</v>
      </c>
      <c r="AE345" s="10" t="b">
        <f aca="false">FALSE()</f>
        <v>0</v>
      </c>
      <c r="AF345" s="2" t="s">
        <v>133</v>
      </c>
      <c r="AG345" s="2" t="s">
        <v>158</v>
      </c>
      <c r="AH345" s="2" t="s">
        <v>135</v>
      </c>
      <c r="AI345" s="11" t="s">
        <v>502</v>
      </c>
      <c r="AJ345" s="2" t="s">
        <v>1277</v>
      </c>
      <c r="AK345" s="2"/>
      <c r="AL345" s="2"/>
    </row>
    <row r="346" customFormat="false" ht="90" hidden="false" customHeight="true" outlineLevel="0" collapsed="false">
      <c r="A346" s="2" t="s">
        <v>1230</v>
      </c>
      <c r="B346" s="2" t="s">
        <v>569</v>
      </c>
      <c r="C346" s="2" t="s">
        <v>474</v>
      </c>
      <c r="D346" s="9" t="n">
        <v>37</v>
      </c>
      <c r="E346" s="2" t="s">
        <v>491</v>
      </c>
      <c r="F346" s="2" t="s">
        <v>492</v>
      </c>
      <c r="G346" s="2" t="s">
        <v>524</v>
      </c>
      <c r="H346" s="2" t="s">
        <v>368</v>
      </c>
      <c r="I346" s="2" t="s">
        <v>145</v>
      </c>
      <c r="J346" s="2" t="s">
        <v>369</v>
      </c>
      <c r="K346" s="10" t="b">
        <f aca="false">FALSE()</f>
        <v>0</v>
      </c>
      <c r="L346" s="10" t="b">
        <f aca="false">FALSE()</f>
        <v>0</v>
      </c>
      <c r="M346" s="2" t="s">
        <v>494</v>
      </c>
      <c r="N346" s="2" t="s">
        <v>371</v>
      </c>
      <c r="O346" s="2" t="s">
        <v>495</v>
      </c>
      <c r="P346" s="2" t="n">
        <v>30</v>
      </c>
      <c r="Q346" s="2" t="s">
        <v>496</v>
      </c>
      <c r="R346" s="11" t="s">
        <v>497</v>
      </c>
      <c r="S346" s="11" t="s">
        <v>498</v>
      </c>
      <c r="T346" s="2" t="s">
        <v>557</v>
      </c>
      <c r="U346" s="2" t="s">
        <v>153</v>
      </c>
      <c r="V346" s="2" t="s">
        <v>606</v>
      </c>
      <c r="W346" s="11" t="s">
        <v>607</v>
      </c>
      <c r="X346" s="2"/>
      <c r="Y346" s="2"/>
      <c r="Z346" s="2"/>
      <c r="AA346" s="2"/>
      <c r="AB346" s="2" t="s">
        <v>608</v>
      </c>
      <c r="AC346" s="2" t="s">
        <v>131</v>
      </c>
      <c r="AD346" s="2" t="s">
        <v>440</v>
      </c>
      <c r="AE346" s="10" t="b">
        <f aca="false">FALSE()</f>
        <v>0</v>
      </c>
      <c r="AF346" s="2" t="s">
        <v>133</v>
      </c>
      <c r="AG346" s="2" t="s">
        <v>158</v>
      </c>
      <c r="AH346" s="2" t="s">
        <v>135</v>
      </c>
      <c r="AI346" s="11" t="s">
        <v>502</v>
      </c>
      <c r="AJ346" s="2" t="s">
        <v>1142</v>
      </c>
      <c r="AK346" s="2" t="s">
        <v>1142</v>
      </c>
      <c r="AL346" s="2" t="s">
        <v>1231</v>
      </c>
    </row>
    <row r="347" customFormat="false" ht="90" hidden="false" customHeight="true" outlineLevel="0" collapsed="false">
      <c r="A347" s="2" t="s">
        <v>1016</v>
      </c>
      <c r="B347" s="2" t="s">
        <v>569</v>
      </c>
      <c r="C347" s="2" t="s">
        <v>474</v>
      </c>
      <c r="D347" s="9" t="n">
        <v>34</v>
      </c>
      <c r="E347" s="2" t="s">
        <v>491</v>
      </c>
      <c r="F347" s="2" t="s">
        <v>492</v>
      </c>
      <c r="G347" s="2" t="s">
        <v>524</v>
      </c>
      <c r="H347" s="2" t="s">
        <v>368</v>
      </c>
      <c r="I347" s="2" t="s">
        <v>145</v>
      </c>
      <c r="J347" s="2" t="s">
        <v>369</v>
      </c>
      <c r="K347" s="10" t="b">
        <f aca="false">FALSE()</f>
        <v>0</v>
      </c>
      <c r="L347" s="10" t="b">
        <f aca="false">FALSE()</f>
        <v>0</v>
      </c>
      <c r="M347" s="2" t="s">
        <v>494</v>
      </c>
      <c r="N347" s="2" t="s">
        <v>371</v>
      </c>
      <c r="O347" s="2" t="s">
        <v>495</v>
      </c>
      <c r="P347" s="2" t="n">
        <v>30</v>
      </c>
      <c r="Q347" s="2" t="s">
        <v>496</v>
      </c>
      <c r="R347" s="11" t="s">
        <v>497</v>
      </c>
      <c r="S347" s="11" t="s">
        <v>498</v>
      </c>
      <c r="T347" s="2" t="s">
        <v>632</v>
      </c>
      <c r="U347" s="2" t="s">
        <v>153</v>
      </c>
      <c r="V347" s="2" t="s">
        <v>606</v>
      </c>
      <c r="W347" s="11" t="s">
        <v>607</v>
      </c>
      <c r="X347" s="2"/>
      <c r="Y347" s="2"/>
      <c r="Z347" s="2"/>
      <c r="AA347" s="2"/>
      <c r="AB347" s="2" t="s">
        <v>608</v>
      </c>
      <c r="AC347" s="2" t="s">
        <v>131</v>
      </c>
      <c r="AD347" s="2" t="s">
        <v>440</v>
      </c>
      <c r="AE347" s="10" t="b">
        <f aca="false">FALSE()</f>
        <v>0</v>
      </c>
      <c r="AF347" s="2" t="s">
        <v>133</v>
      </c>
      <c r="AG347" s="2" t="s">
        <v>158</v>
      </c>
      <c r="AH347" s="2" t="s">
        <v>135</v>
      </c>
      <c r="AI347" s="11" t="s">
        <v>502</v>
      </c>
      <c r="AJ347" s="2" t="s">
        <v>1277</v>
      </c>
      <c r="AK347" s="2"/>
      <c r="AL347" s="2"/>
    </row>
    <row r="348" customFormat="false" ht="90" hidden="false" customHeight="true" outlineLevel="0" collapsed="false">
      <c r="A348" s="2" t="s">
        <v>1018</v>
      </c>
      <c r="B348" s="2" t="s">
        <v>569</v>
      </c>
      <c r="C348" s="2" t="s">
        <v>474</v>
      </c>
      <c r="D348" s="9" t="n">
        <v>7</v>
      </c>
      <c r="E348" s="2" t="s">
        <v>491</v>
      </c>
      <c r="F348" s="2" t="s">
        <v>492</v>
      </c>
      <c r="G348" s="2" t="s">
        <v>524</v>
      </c>
      <c r="H348" s="2" t="s">
        <v>368</v>
      </c>
      <c r="I348" s="2" t="s">
        <v>145</v>
      </c>
      <c r="J348" s="2" t="s">
        <v>369</v>
      </c>
      <c r="K348" s="10" t="b">
        <f aca="false">FALSE()</f>
        <v>0</v>
      </c>
      <c r="L348" s="10" t="b">
        <f aca="false">TRUE()</f>
        <v>1</v>
      </c>
      <c r="M348" s="2" t="s">
        <v>494</v>
      </c>
      <c r="N348" s="2" t="s">
        <v>371</v>
      </c>
      <c r="O348" s="2" t="s">
        <v>495</v>
      </c>
      <c r="P348" s="2" t="n">
        <v>60</v>
      </c>
      <c r="Q348" s="2" t="s">
        <v>496</v>
      </c>
      <c r="R348" s="11" t="s">
        <v>497</v>
      </c>
      <c r="S348" s="11" t="s">
        <v>498</v>
      </c>
      <c r="T348" s="2" t="s">
        <v>219</v>
      </c>
      <c r="U348" s="2" t="s">
        <v>153</v>
      </c>
      <c r="V348" s="2" t="s">
        <v>570</v>
      </c>
      <c r="W348" s="11" t="s">
        <v>571</v>
      </c>
      <c r="X348" s="2"/>
      <c r="Y348" s="2"/>
      <c r="Z348" s="2"/>
      <c r="AA348" s="2"/>
      <c r="AB348" s="2" t="s">
        <v>572</v>
      </c>
      <c r="AC348" s="2" t="s">
        <v>157</v>
      </c>
      <c r="AD348" s="2" t="s">
        <v>132</v>
      </c>
      <c r="AE348" s="10" t="b">
        <f aca="false">FALSE()</f>
        <v>0</v>
      </c>
      <c r="AF348" s="2" t="s">
        <v>133</v>
      </c>
      <c r="AG348" s="2" t="s">
        <v>158</v>
      </c>
      <c r="AH348" s="2" t="s">
        <v>135</v>
      </c>
      <c r="AI348" s="11" t="s">
        <v>502</v>
      </c>
      <c r="AJ348" s="2" t="s">
        <v>1277</v>
      </c>
      <c r="AK348" s="2"/>
      <c r="AL348" s="2"/>
    </row>
  </sheetData>
  <autoFilter ref="A3:AL34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14"/>
    <col collapsed="false" customWidth="true" hidden="false" outlineLevel="0" max="5" min="5" style="0" width="26"/>
    <col collapsed="false" customWidth="true" hidden="false" outlineLevel="0" max="6" min="6" style="0" width="24"/>
    <col collapsed="false" customWidth="true" hidden="false" outlineLevel="0" max="8" min="7" style="0" width="26"/>
    <col collapsed="false" customWidth="true" hidden="false" outlineLevel="0" max="9" min="9" style="0" width="40"/>
    <col collapsed="false" customWidth="true" hidden="false" outlineLevel="0" max="19" min="10" style="0" width="14"/>
  </cols>
  <sheetData>
    <row r="1" customFormat="false" ht="15" hidden="false" customHeight="false" outlineLevel="0" collapsed="false">
      <c r="A1" s="1" t="s">
        <v>1301</v>
      </c>
      <c r="B1" s="7"/>
      <c r="C1" s="7"/>
      <c r="D1" s="7"/>
      <c r="E1" s="7"/>
      <c r="F1" s="7"/>
      <c r="G1" s="7"/>
      <c r="H1" s="7"/>
      <c r="I1" s="7"/>
      <c r="J1" s="7"/>
      <c r="K1" s="7"/>
      <c r="L1" s="7"/>
      <c r="M1" s="7"/>
      <c r="N1" s="7"/>
      <c r="O1" s="7"/>
      <c r="P1" s="7"/>
      <c r="Q1" s="7"/>
      <c r="R1" s="7"/>
      <c r="S1" s="7"/>
    </row>
    <row r="2" customFormat="false" ht="15" hidden="false" customHeight="false" outlineLevel="0" collapsed="false">
      <c r="A2" s="2"/>
      <c r="B2" s="2"/>
      <c r="C2" s="2"/>
      <c r="D2" s="2"/>
      <c r="E2" s="2"/>
      <c r="F2" s="2"/>
      <c r="G2" s="2"/>
      <c r="H2" s="2"/>
      <c r="I2" s="2"/>
      <c r="J2" s="2"/>
      <c r="K2" s="2"/>
      <c r="L2" s="2"/>
      <c r="M2" s="2"/>
      <c r="N2" s="2"/>
      <c r="O2" s="2"/>
      <c r="P2" s="2"/>
      <c r="Q2" s="2"/>
      <c r="R2" s="2"/>
      <c r="S2" s="2"/>
    </row>
    <row r="3" customFormat="false" ht="15" hidden="false" customHeight="false" outlineLevel="0" collapsed="false">
      <c r="A3" s="3" t="s">
        <v>1302</v>
      </c>
      <c r="B3" s="2"/>
      <c r="C3" s="2" t="s">
        <v>1303</v>
      </c>
      <c r="D3" s="2"/>
      <c r="E3" s="2"/>
      <c r="F3" s="2"/>
      <c r="G3" s="2"/>
      <c r="H3" s="2"/>
      <c r="I3" s="2"/>
      <c r="J3" s="2"/>
      <c r="K3" s="2"/>
      <c r="L3" s="2"/>
      <c r="M3" s="2"/>
      <c r="N3" s="2"/>
      <c r="O3" s="2"/>
      <c r="P3" s="2"/>
      <c r="Q3" s="2"/>
      <c r="R3" s="2"/>
      <c r="S3" s="2"/>
    </row>
    <row r="4" customFormat="false" ht="15" hidden="false" customHeight="false" outlineLevel="0" collapsed="false">
      <c r="A4" s="2" t="s">
        <v>1304</v>
      </c>
      <c r="B4" s="2" t="n">
        <f aca="false">COUNTA('NBA Engine'!$A$2:$A$301)</f>
        <v>300</v>
      </c>
      <c r="C4" s="10" t="b">
        <f aca="false">B4=300</f>
        <v>1</v>
      </c>
      <c r="D4" s="2"/>
      <c r="E4" s="2"/>
      <c r="F4" s="2"/>
      <c r="G4" s="2"/>
      <c r="H4" s="2"/>
      <c r="I4" s="2"/>
      <c r="J4" s="2"/>
      <c r="K4" s="2"/>
      <c r="L4" s="2"/>
      <c r="M4" s="2"/>
      <c r="N4" s="2"/>
      <c r="O4" s="2"/>
      <c r="P4" s="2"/>
      <c r="Q4" s="2"/>
      <c r="R4" s="2"/>
      <c r="S4" s="2"/>
    </row>
    <row r="5" customFormat="false" ht="15" hidden="false" customHeight="false" outlineLevel="0" collapsed="false">
      <c r="A5" s="2" t="s">
        <v>1305</v>
      </c>
      <c r="B5" s="2" t="n">
        <f aca="false">COUNTIF('NBA Engine'!$AK$2:$AK$301,"?*")</f>
        <v>300</v>
      </c>
      <c r="C5" s="10" t="b">
        <f aca="false">B5=B4</f>
        <v>1</v>
      </c>
      <c r="D5" s="2"/>
      <c r="E5" s="2"/>
      <c r="F5" s="2"/>
      <c r="G5" s="2"/>
      <c r="H5" s="2"/>
      <c r="I5" s="2"/>
      <c r="J5" s="2"/>
      <c r="K5" s="2"/>
      <c r="L5" s="2"/>
      <c r="M5" s="2"/>
      <c r="N5" s="2"/>
      <c r="O5" s="2"/>
      <c r="P5" s="2"/>
      <c r="Q5" s="2"/>
      <c r="R5" s="2"/>
      <c r="S5" s="2"/>
    </row>
    <row r="6" customFormat="false" ht="15" hidden="false" customHeight="false" outlineLevel="0" collapsed="false">
      <c r="A6" s="2" t="s">
        <v>1306</v>
      </c>
      <c r="B6" s="2" t="n">
        <f aca="false">COUNTIF('NBA Engine'!$AM$2:$AM$301,"?*")</f>
        <v>300</v>
      </c>
      <c r="C6" s="10" t="b">
        <f aca="false">B6=B4</f>
        <v>1</v>
      </c>
      <c r="D6" s="2"/>
      <c r="E6" s="2"/>
      <c r="F6" s="2"/>
      <c r="G6" s="2"/>
      <c r="H6" s="2"/>
      <c r="I6" s="2"/>
      <c r="J6" s="2"/>
      <c r="K6" s="2"/>
      <c r="L6" s="2"/>
      <c r="M6" s="2"/>
      <c r="N6" s="2"/>
      <c r="O6" s="2"/>
      <c r="P6" s="2"/>
      <c r="Q6" s="2"/>
      <c r="R6" s="2"/>
      <c r="S6" s="2"/>
    </row>
    <row r="7" customFormat="false" ht="15" hidden="false" customHeight="false" outlineLevel="0" collapsed="false">
      <c r="A7" s="2" t="s">
        <v>1307</v>
      </c>
      <c r="B7" s="2" t="n">
        <f aca="false">COUNTIF('NBA Engine'!$AN$2:$AN$301,"P?")</f>
        <v>300</v>
      </c>
      <c r="C7" s="10" t="b">
        <f aca="false">B7=B4</f>
        <v>1</v>
      </c>
      <c r="D7" s="2"/>
      <c r="E7" s="2"/>
      <c r="F7" s="2"/>
      <c r="G7" s="2"/>
      <c r="H7" s="2"/>
      <c r="I7" s="2"/>
      <c r="J7" s="2"/>
      <c r="K7" s="2"/>
      <c r="L7" s="2"/>
      <c r="M7" s="2"/>
      <c r="N7" s="2"/>
      <c r="O7" s="2"/>
      <c r="P7" s="2"/>
      <c r="Q7" s="2"/>
      <c r="R7" s="2"/>
      <c r="S7" s="2"/>
    </row>
    <row r="8" customFormat="false" ht="15" hidden="false" customHeight="false" outlineLevel="0" collapsed="false">
      <c r="A8" s="2" t="s">
        <v>1308</v>
      </c>
      <c r="B8" s="2" t="n">
        <f aca="false">SUMPRODUCT(--ISNA(MATCH('NBA Engine'!$AJ$2:$AJ$301,'NBA Library'!$A$4:$A$21,0)))</f>
        <v>0</v>
      </c>
      <c r="C8" s="10" t="b">
        <f aca="false">B8=0</f>
        <v>1</v>
      </c>
      <c r="D8" s="2"/>
      <c r="E8" s="2"/>
      <c r="F8" s="2"/>
      <c r="G8" s="2"/>
      <c r="H8" s="2"/>
      <c r="I8" s="2"/>
      <c r="J8" s="2"/>
      <c r="K8" s="2"/>
      <c r="L8" s="2"/>
      <c r="M8" s="2"/>
      <c r="N8" s="2"/>
      <c r="O8" s="2"/>
      <c r="P8" s="2"/>
      <c r="Q8" s="2"/>
      <c r="R8" s="2"/>
      <c r="S8" s="2"/>
    </row>
    <row r="9" customFormat="false" ht="15" hidden="false" customHeight="false" outlineLevel="0" collapsed="false">
      <c r="A9" s="2" t="s">
        <v>1242</v>
      </c>
      <c r="B9" s="2" t="n">
        <f aca="false">SUMPRODUCT(('NBA Engine'!$C$2:$C$301="Broker-Reliant")*(('NBA Engine'!$AK$2:$AK$301="Discovery-to-Offer Enablement")+('NBA Engine'!$AK$2:$AK$301="Reinforce Successful Behaviour")))</f>
        <v>0</v>
      </c>
      <c r="C9" s="10" t="b">
        <f aca="false">B9=0</f>
        <v>1</v>
      </c>
      <c r="D9" s="2"/>
      <c r="E9" s="2"/>
      <c r="F9" s="2"/>
      <c r="G9" s="2"/>
      <c r="H9" s="2"/>
      <c r="I9" s="2"/>
      <c r="J9" s="2"/>
      <c r="K9" s="2"/>
      <c r="L9" s="2"/>
      <c r="M9" s="2"/>
      <c r="N9" s="2"/>
      <c r="O9" s="2"/>
      <c r="P9" s="2"/>
      <c r="Q9" s="2"/>
      <c r="R9" s="2"/>
      <c r="S9" s="2"/>
    </row>
    <row r="10" customFormat="false" ht="15" hidden="false" customHeight="false" outlineLevel="0" collapsed="false">
      <c r="A10" s="2" t="s">
        <v>1309</v>
      </c>
      <c r="B10" s="2" t="n">
        <f aca="false">COUNTIFS('NBA Engine'!$G$2:$G$301,"Declining",'NBA Engine'!$E$2:$E$301,"&lt;&gt;Tail",'NBA Engine'!$AL$2:$AL$301,"Automated")</f>
        <v>0</v>
      </c>
      <c r="C10" s="10" t="b">
        <f aca="false">B10=0</f>
        <v>1</v>
      </c>
      <c r="D10" s="2"/>
      <c r="E10" s="2"/>
      <c r="F10" s="2"/>
      <c r="G10" s="2"/>
      <c r="H10" s="2"/>
      <c r="I10" s="2"/>
      <c r="J10" s="2"/>
      <c r="K10" s="2"/>
      <c r="L10" s="2"/>
      <c r="M10" s="2"/>
      <c r="N10" s="2"/>
      <c r="O10" s="2"/>
      <c r="P10" s="2"/>
      <c r="Q10" s="2"/>
      <c r="R10" s="2"/>
      <c r="S10" s="2"/>
    </row>
    <row r="11" customFormat="false" ht="15" hidden="false" customHeight="false" outlineLevel="0" collapsed="false">
      <c r="A11" s="2" t="s">
        <v>1243</v>
      </c>
      <c r="B11" s="2" t="n">
        <f aca="false">COUNTIFS('NBA Engine'!$Y$2:$Y$301,TRUE(),'NBA Engine'!$AM$2:$AM$301,"&lt;&gt;Human Sign-Off Required")</f>
        <v>0</v>
      </c>
      <c r="C11" s="10" t="b">
        <f aca="false">B11=0</f>
        <v>1</v>
      </c>
      <c r="D11" s="2"/>
      <c r="E11" s="2"/>
      <c r="F11" s="2"/>
      <c r="G11" s="2"/>
      <c r="H11" s="2"/>
      <c r="I11" s="2"/>
      <c r="J11" s="2"/>
      <c r="K11" s="2"/>
      <c r="L11" s="2"/>
      <c r="M11" s="2"/>
      <c r="N11" s="2"/>
      <c r="O11" s="2"/>
      <c r="P11" s="2"/>
      <c r="Q11" s="2"/>
      <c r="R11" s="2"/>
      <c r="S11" s="2"/>
    </row>
    <row r="12" customFormat="false" ht="15" hidden="false" customHeight="false" outlineLevel="0" collapsed="false">
      <c r="A12" s="2" t="s">
        <v>1310</v>
      </c>
      <c r="B12" s="2" t="n">
        <f aca="false">COUNTIFS('NBA Engine'!$Y$2:$Y$301,TRUE(),'NBA Engine'!$AM$2:$AM$301,"Ready — Automated")+COUNTIFS('NBA Engine'!$Y$2:$Y$301,TRUE(),'NBA Engine'!$AM$2:$AM$301,"Ready — Hybrid")</f>
        <v>0</v>
      </c>
      <c r="C12" s="10" t="b">
        <f aca="false">B12=0</f>
        <v>1</v>
      </c>
      <c r="D12" s="2"/>
      <c r="E12" s="2"/>
      <c r="F12" s="2"/>
      <c r="G12" s="2"/>
      <c r="H12" s="2"/>
      <c r="I12" s="2"/>
      <c r="J12" s="2"/>
      <c r="K12" s="2"/>
      <c r="L12" s="2"/>
      <c r="M12" s="2"/>
      <c r="N12" s="2"/>
      <c r="O12" s="2"/>
      <c r="P12" s="2"/>
      <c r="Q12" s="2"/>
      <c r="R12" s="2"/>
      <c r="S12" s="2"/>
    </row>
    <row r="13" customFormat="false" ht="15" hidden="false" customHeight="false" outlineLevel="0" collapsed="false">
      <c r="A13" s="2" t="s">
        <v>1311</v>
      </c>
      <c r="B13" s="2" t="n">
        <f aca="false">COUNTIFS('NBA Engine'!$AA$2:$AA$301,TRUE(),'NBA Engine'!$AM$2:$AM$301,"&lt;&gt;HOLD — Critical Data Issue")</f>
        <v>0</v>
      </c>
      <c r="C13" s="10" t="b">
        <f aca="false">B13=0</f>
        <v>1</v>
      </c>
      <c r="D13" s="2"/>
      <c r="E13" s="2"/>
      <c r="F13" s="2"/>
      <c r="G13" s="2"/>
      <c r="H13" s="2"/>
      <c r="I13" s="2"/>
      <c r="J13" s="2"/>
      <c r="K13" s="2"/>
      <c r="L13" s="2"/>
      <c r="M13" s="2"/>
      <c r="N13" s="2"/>
      <c r="O13" s="2"/>
      <c r="P13" s="2"/>
      <c r="Q13" s="2"/>
      <c r="R13" s="2"/>
      <c r="S13" s="2"/>
    </row>
    <row r="14" customFormat="false" ht="15" hidden="false" customHeight="false" outlineLevel="0" collapsed="false">
      <c r="A14" s="2" t="s">
        <v>1312</v>
      </c>
      <c r="B14" s="2" t="n">
        <f aca="false">SUMPRODUCT(('NBA Engine'!$P$2:$P$301="Recent Inactivity")*(('NBA Engine'!$AK$2:$AK$301="Discovery-to-Offer Enablement")+('NBA Engine'!$AK$2:$AK$301="Reinforce Successful Behaviour")))</f>
        <v>0</v>
      </c>
      <c r="C14" s="10" t="b">
        <f aca="false">B14=0</f>
        <v>1</v>
      </c>
      <c r="D14" s="2"/>
      <c r="E14" s="2"/>
      <c r="F14" s="2"/>
      <c r="G14" s="2"/>
      <c r="H14" s="2"/>
      <c r="I14" s="2"/>
      <c r="J14" s="2"/>
      <c r="K14" s="2"/>
      <c r="L14" s="2"/>
      <c r="M14" s="2"/>
      <c r="N14" s="2"/>
      <c r="O14" s="2"/>
      <c r="P14" s="2"/>
      <c r="Q14" s="2"/>
      <c r="R14" s="2"/>
      <c r="S14" s="2"/>
    </row>
    <row r="15" customFormat="false" ht="15" hidden="false" customHeight="false" outlineLevel="0" collapsed="false">
      <c r="A15" s="2" t="s">
        <v>1313</v>
      </c>
      <c r="B15" s="2" t="n">
        <f aca="false">COUNTIFS('NBA Engine'!$D$2:$D$301,"2*",'NBA Engine'!$AL$2:$AL$301,"Automated")+COUNTIFS('NBA Engine'!$D$2:$D$301,"3*",'NBA Engine'!$AL$2:$AL$301,"Automated")+COUNTIFS('NBA Engine'!$D$2:$D$301,"8*",'NBA Engine'!$AL$2:$AL$301,"Automated")</f>
        <v>0</v>
      </c>
      <c r="C15" s="10" t="b">
        <f aca="false">B15=0</f>
        <v>1</v>
      </c>
      <c r="D15" s="2"/>
      <c r="E15" s="2"/>
      <c r="F15" s="2"/>
      <c r="G15" s="2"/>
      <c r="H15" s="2"/>
      <c r="I15" s="2"/>
      <c r="J15" s="2"/>
      <c r="K15" s="2"/>
      <c r="L15" s="2"/>
      <c r="M15" s="2"/>
      <c r="N15" s="2"/>
      <c r="O15" s="2"/>
      <c r="P15" s="2"/>
      <c r="Q15" s="2"/>
      <c r="R15" s="2"/>
      <c r="S15" s="2"/>
    </row>
    <row r="16" customFormat="false" ht="15" hidden="false" customHeight="false" outlineLevel="0" collapsed="false">
      <c r="A16" s="2" t="s">
        <v>1314</v>
      </c>
      <c r="B16" s="2" t="n">
        <f aca="false">COUNTIF('NBA Engine'!$AP$2:$AP$301,"*chat*")+COUNTIF('NBA Engine'!$AP$2:$AP$301,"*video*")</f>
        <v>0</v>
      </c>
      <c r="C16" s="10" t="b">
        <f aca="false">B16=0</f>
        <v>1</v>
      </c>
      <c r="D16" s="2"/>
      <c r="E16" s="2"/>
      <c r="F16" s="2"/>
      <c r="G16" s="2"/>
      <c r="H16" s="2"/>
      <c r="I16" s="2"/>
      <c r="J16" s="2"/>
      <c r="K16" s="2"/>
      <c r="L16" s="2"/>
      <c r="M16" s="2"/>
      <c r="N16" s="2"/>
      <c r="O16" s="2"/>
      <c r="P16" s="2"/>
      <c r="Q16" s="2"/>
      <c r="R16" s="2"/>
      <c r="S16" s="2"/>
    </row>
    <row r="17" customFormat="false" ht="15" hidden="false" customHeight="false" outlineLevel="0" collapsed="false">
      <c r="A17" s="2" t="s">
        <v>1315</v>
      </c>
      <c r="B17" s="2" t="n">
        <f aca="false">SUM('NBA Engine'!$BL$2:$BL$301)</f>
        <v>0</v>
      </c>
      <c r="C17" s="10" t="b">
        <f aca="false">B17=0</f>
        <v>1</v>
      </c>
      <c r="D17" s="2"/>
      <c r="E17" s="2"/>
      <c r="F17" s="2"/>
      <c r="G17" s="2"/>
      <c r="H17" s="2"/>
      <c r="I17" s="2"/>
      <c r="J17" s="2"/>
      <c r="K17" s="2"/>
      <c r="L17" s="2"/>
      <c r="M17" s="2"/>
      <c r="N17" s="2"/>
      <c r="O17" s="2"/>
      <c r="P17" s="2"/>
      <c r="Q17" s="2"/>
      <c r="R17" s="2"/>
      <c r="S17" s="2"/>
    </row>
    <row r="18" customFormat="false" ht="15" hidden="false" customHeight="false" outlineLevel="0" collapsed="false">
      <c r="A18" s="3" t="s">
        <v>1316</v>
      </c>
      <c r="B18" s="10" t="b">
        <f aca="false">AND(C4:C17)</f>
        <v>1</v>
      </c>
      <c r="C18" s="2"/>
      <c r="D18" s="2"/>
      <c r="E18" s="2"/>
      <c r="F18" s="2"/>
      <c r="G18" s="2"/>
      <c r="H18" s="2"/>
      <c r="I18" s="2"/>
      <c r="J18" s="2"/>
      <c r="K18" s="2"/>
      <c r="L18" s="2"/>
      <c r="M18" s="2"/>
      <c r="N18" s="2"/>
      <c r="O18" s="2"/>
      <c r="P18" s="2"/>
      <c r="Q18" s="2"/>
      <c r="R18" s="2"/>
      <c r="S18" s="2"/>
    </row>
    <row r="19" customFormat="false" ht="15" hidden="false" customHeight="false" outlineLevel="0" collapsed="false">
      <c r="A19" s="2"/>
      <c r="B19" s="2"/>
      <c r="C19" s="2"/>
      <c r="D19" s="2"/>
      <c r="E19" s="2"/>
      <c r="F19" s="2"/>
      <c r="G19" s="2"/>
      <c r="H19" s="2"/>
      <c r="I19" s="2"/>
      <c r="J19" s="2"/>
      <c r="K19" s="2"/>
      <c r="L19" s="2"/>
      <c r="M19" s="2"/>
      <c r="N19" s="2"/>
      <c r="O19" s="2"/>
      <c r="P19" s="2"/>
      <c r="Q19" s="2"/>
      <c r="R19" s="2"/>
      <c r="S19" s="2"/>
    </row>
    <row r="20" customFormat="false" ht="15" hidden="false" customHeight="false" outlineLevel="0" collapsed="false">
      <c r="A20" s="3" t="s">
        <v>1317</v>
      </c>
      <c r="B20" s="2"/>
      <c r="C20" s="2"/>
      <c r="D20" s="2"/>
      <c r="E20" s="2"/>
      <c r="F20" s="2"/>
      <c r="G20" s="2"/>
      <c r="H20" s="2"/>
      <c r="I20" s="2"/>
      <c r="J20" s="2"/>
      <c r="K20" s="2"/>
      <c r="L20" s="2"/>
      <c r="M20" s="2"/>
      <c r="N20" s="2"/>
      <c r="O20" s="2"/>
      <c r="P20" s="2"/>
      <c r="Q20" s="2"/>
      <c r="R20" s="2"/>
      <c r="S20" s="2"/>
    </row>
    <row r="21" customFormat="false" ht="15" hidden="false" customHeight="false" outlineLevel="0" collapsed="false">
      <c r="A21" s="12" t="s">
        <v>1318</v>
      </c>
      <c r="B21" s="12" t="s">
        <v>1319</v>
      </c>
      <c r="C21" s="12" t="s">
        <v>1320</v>
      </c>
      <c r="D21" s="12" t="s">
        <v>1321</v>
      </c>
      <c r="E21" s="12" t="s">
        <v>115</v>
      </c>
      <c r="F21" s="12" t="s">
        <v>203</v>
      </c>
      <c r="G21" s="12" t="s">
        <v>474</v>
      </c>
      <c r="H21" s="12" t="s">
        <v>1322</v>
      </c>
      <c r="I21" s="12" t="s">
        <v>1323</v>
      </c>
      <c r="J21" s="12" t="s">
        <v>1324</v>
      </c>
      <c r="K21" s="12" t="s">
        <v>1325</v>
      </c>
      <c r="L21" s="12" t="s">
        <v>1326</v>
      </c>
      <c r="M21" s="12" t="s">
        <v>1327</v>
      </c>
      <c r="N21" s="12" t="s">
        <v>1328</v>
      </c>
      <c r="O21" s="12" t="s">
        <v>1329</v>
      </c>
      <c r="P21" s="12" t="s">
        <v>1330</v>
      </c>
      <c r="Q21" s="12" t="s">
        <v>1058</v>
      </c>
      <c r="R21" s="12" t="s">
        <v>1029</v>
      </c>
      <c r="S21" s="12" t="s">
        <v>1044</v>
      </c>
    </row>
    <row r="22" customFormat="false" ht="15" hidden="false" customHeight="false" outlineLevel="0" collapsed="false">
      <c r="A22" s="2" t="s">
        <v>117</v>
      </c>
      <c r="B22" s="2" t="n">
        <f aca="false">COUNTIF('NBA Engine'!$AK$2:$AK$301,A22)</f>
        <v>28</v>
      </c>
      <c r="C22" s="9" t="n">
        <f aca="false">SUMIF('NBA Engine'!$AK$2:$AK$301,A22,'NBA Engine'!$H$2:$H$301)</f>
        <v>208724</v>
      </c>
      <c r="D22" s="13" t="n">
        <f aca="false">C22/SUM('NBA Engine'!$H$2:$H$301)</f>
        <v>0.246893486049815</v>
      </c>
      <c r="E22" s="2" t="n">
        <f aca="false">COUNTIFS('NBA Engine'!$AK$2:$AK$301,$A22,'NBA Engine'!$E$2:$E$301,"Key")</f>
        <v>8</v>
      </c>
      <c r="F22" s="2" t="n">
        <f aca="false">COUNTIFS('NBA Engine'!$AK$2:$AK$301,$A22,'NBA Engine'!$E$2:$E$301,"Core")</f>
        <v>20</v>
      </c>
      <c r="G22" s="2" t="n">
        <f aca="false">COUNTIFS('NBA Engine'!$AK$2:$AK$301,$A22,'NBA Engine'!$E$2:$E$301,"Tail")</f>
        <v>0</v>
      </c>
      <c r="H22" s="2" t="n">
        <f aca="false">COUNTIFS('NBA Engine'!$AK$2:$AK$301,$A22,'NBA Engine'!$D$2:$D$301,"1*")</f>
        <v>0</v>
      </c>
      <c r="I22" s="2" t="n">
        <f aca="false">COUNTIFS('NBA Engine'!$AK$2:$AK$301,$A22,'NBA Engine'!$D$2:$D$301,"2*")</f>
        <v>25</v>
      </c>
      <c r="J22" s="2" t="n">
        <f aca="false">COUNTIFS('NBA Engine'!$AK$2:$AK$301,$A22,'NBA Engine'!$D$2:$D$301,"3*")</f>
        <v>0</v>
      </c>
      <c r="K22" s="2" t="n">
        <f aca="false">COUNTIFS('NBA Engine'!$AK$2:$AK$301,$A22,'NBA Engine'!$D$2:$D$301,"4*")</f>
        <v>0</v>
      </c>
      <c r="L22" s="2" t="n">
        <f aca="false">COUNTIFS('NBA Engine'!$AK$2:$AK$301,$A22,'NBA Engine'!$D$2:$D$301,"5*")</f>
        <v>0</v>
      </c>
      <c r="M22" s="2" t="n">
        <f aca="false">COUNTIFS('NBA Engine'!$AK$2:$AK$301,$A22,'NBA Engine'!$D$2:$D$301,"6*")</f>
        <v>0</v>
      </c>
      <c r="N22" s="2" t="n">
        <f aca="false">COUNTIFS('NBA Engine'!$AK$2:$AK$301,$A22,'NBA Engine'!$D$2:$D$301,"7*")</f>
        <v>0</v>
      </c>
      <c r="O22" s="2" t="n">
        <f aca="false">COUNTIFS('NBA Engine'!$AK$2:$AK$301,$A22,'NBA Engine'!$D$2:$D$301,"8*")</f>
        <v>3</v>
      </c>
      <c r="P22" s="2" t="n">
        <f aca="false">COUNTIFS('NBA Engine'!$AK$2:$AK$301,$A22,'NBA Engine'!$D$2:$D$301,"9*")</f>
        <v>0</v>
      </c>
      <c r="Q22" s="2" t="n">
        <f aca="false">COUNTIFS('NBA Engine'!$AK$2:$AK$301,$A22,'NBA Engine'!$AL$2:$AL$301,"Automated")</f>
        <v>0</v>
      </c>
      <c r="R22" s="2" t="n">
        <f aca="false">COUNTIFS('NBA Engine'!$AK$2:$AK$301,$A22,'NBA Engine'!$AL$2:$AL$301,"Human")</f>
        <v>28</v>
      </c>
      <c r="S22" s="2" t="n">
        <f aca="false">COUNTIFS('NBA Engine'!$AK$2:$AK$301,$A22,'NBA Engine'!$AL$2:$AL$301,"Hybrid")</f>
        <v>0</v>
      </c>
    </row>
    <row r="23" customFormat="false" ht="15" hidden="false" customHeight="false" outlineLevel="0" collapsed="false">
      <c r="A23" s="2" t="s">
        <v>142</v>
      </c>
      <c r="B23" s="2" t="n">
        <f aca="false">COUNTIF('NBA Engine'!$AK$2:$AK$301,A23)</f>
        <v>12</v>
      </c>
      <c r="C23" s="9" t="n">
        <f aca="false">SUMIF('NBA Engine'!$AK$2:$AK$301,A23,'NBA Engine'!$H$2:$H$301)</f>
        <v>116338</v>
      </c>
      <c r="D23" s="13" t="n">
        <f aca="false">C23/SUM('NBA Engine'!$H$2:$H$301)</f>
        <v>0.137612801498934</v>
      </c>
      <c r="E23" s="2" t="n">
        <f aca="false">COUNTIFS('NBA Engine'!$AK$2:$AK$301,$A23,'NBA Engine'!$E$2:$E$301,"Key")</f>
        <v>2</v>
      </c>
      <c r="F23" s="2" t="n">
        <f aca="false">COUNTIFS('NBA Engine'!$AK$2:$AK$301,$A23,'NBA Engine'!$E$2:$E$301,"Core")</f>
        <v>10</v>
      </c>
      <c r="G23" s="2" t="n">
        <f aca="false">COUNTIFS('NBA Engine'!$AK$2:$AK$301,$A23,'NBA Engine'!$E$2:$E$301,"Tail")</f>
        <v>0</v>
      </c>
      <c r="H23" s="2" t="n">
        <f aca="false">COUNTIFS('NBA Engine'!$AK$2:$AK$301,$A23,'NBA Engine'!$D$2:$D$301,"1*")</f>
        <v>0</v>
      </c>
      <c r="I23" s="2" t="n">
        <f aca="false">COUNTIFS('NBA Engine'!$AK$2:$AK$301,$A23,'NBA Engine'!$D$2:$D$301,"2*")</f>
        <v>0</v>
      </c>
      <c r="J23" s="2" t="n">
        <f aca="false">COUNTIFS('NBA Engine'!$AK$2:$AK$301,$A23,'NBA Engine'!$D$2:$D$301,"3*")</f>
        <v>8</v>
      </c>
      <c r="K23" s="2" t="n">
        <f aca="false">COUNTIFS('NBA Engine'!$AK$2:$AK$301,$A23,'NBA Engine'!$D$2:$D$301,"4*")</f>
        <v>0</v>
      </c>
      <c r="L23" s="2" t="n">
        <f aca="false">COUNTIFS('NBA Engine'!$AK$2:$AK$301,$A23,'NBA Engine'!$D$2:$D$301,"5*")</f>
        <v>0</v>
      </c>
      <c r="M23" s="2" t="n">
        <f aca="false">COUNTIFS('NBA Engine'!$AK$2:$AK$301,$A23,'NBA Engine'!$D$2:$D$301,"6*")</f>
        <v>1</v>
      </c>
      <c r="N23" s="2" t="n">
        <f aca="false">COUNTIFS('NBA Engine'!$AK$2:$AK$301,$A23,'NBA Engine'!$D$2:$D$301,"7*")</f>
        <v>0</v>
      </c>
      <c r="O23" s="2" t="n">
        <f aca="false">COUNTIFS('NBA Engine'!$AK$2:$AK$301,$A23,'NBA Engine'!$D$2:$D$301,"8*")</f>
        <v>3</v>
      </c>
      <c r="P23" s="2" t="n">
        <f aca="false">COUNTIFS('NBA Engine'!$AK$2:$AK$301,$A23,'NBA Engine'!$D$2:$D$301,"9*")</f>
        <v>0</v>
      </c>
      <c r="Q23" s="2" t="n">
        <f aca="false">COUNTIFS('NBA Engine'!$AK$2:$AK$301,$A23,'NBA Engine'!$AL$2:$AL$301,"Automated")</f>
        <v>0</v>
      </c>
      <c r="R23" s="2" t="n">
        <f aca="false">COUNTIFS('NBA Engine'!$AK$2:$AK$301,$A23,'NBA Engine'!$AL$2:$AL$301,"Human")</f>
        <v>12</v>
      </c>
      <c r="S23" s="2" t="n">
        <f aca="false">COUNTIFS('NBA Engine'!$AK$2:$AK$301,$A23,'NBA Engine'!$AL$2:$AL$301,"Hybrid")</f>
        <v>0</v>
      </c>
    </row>
    <row r="24" customFormat="false" ht="15" hidden="false" customHeight="false" outlineLevel="0" collapsed="false">
      <c r="A24" s="2" t="s">
        <v>311</v>
      </c>
      <c r="B24" s="2" t="n">
        <f aca="false">COUNTIF('NBA Engine'!$AK$2:$AK$301,A24)</f>
        <v>22</v>
      </c>
      <c r="C24" s="9" t="n">
        <f aca="false">SUMIF('NBA Engine'!$AK$2:$AK$301,A24,'NBA Engine'!$H$2:$H$301)</f>
        <v>372264</v>
      </c>
      <c r="D24" s="13" t="n">
        <f aca="false">C24/SUM('NBA Engine'!$H$2:$H$301)</f>
        <v>0.44034014627378</v>
      </c>
      <c r="E24" s="2" t="n">
        <f aca="false">COUNTIFS('NBA Engine'!$AK$2:$AK$301,$A24,'NBA Engine'!$E$2:$E$301,"Key")</f>
        <v>7</v>
      </c>
      <c r="F24" s="2" t="n">
        <f aca="false">COUNTIFS('NBA Engine'!$AK$2:$AK$301,$A24,'NBA Engine'!$E$2:$E$301,"Core")</f>
        <v>15</v>
      </c>
      <c r="G24" s="2" t="n">
        <f aca="false">COUNTIFS('NBA Engine'!$AK$2:$AK$301,$A24,'NBA Engine'!$E$2:$E$301,"Tail")</f>
        <v>0</v>
      </c>
      <c r="H24" s="2" t="n">
        <f aca="false">COUNTIFS('NBA Engine'!$AK$2:$AK$301,$A24,'NBA Engine'!$D$2:$D$301,"1*")</f>
        <v>22</v>
      </c>
      <c r="I24" s="2" t="n">
        <f aca="false">COUNTIFS('NBA Engine'!$AK$2:$AK$301,$A24,'NBA Engine'!$D$2:$D$301,"2*")</f>
        <v>0</v>
      </c>
      <c r="J24" s="2" t="n">
        <f aca="false">COUNTIFS('NBA Engine'!$AK$2:$AK$301,$A24,'NBA Engine'!$D$2:$D$301,"3*")</f>
        <v>0</v>
      </c>
      <c r="K24" s="2" t="n">
        <f aca="false">COUNTIFS('NBA Engine'!$AK$2:$AK$301,$A24,'NBA Engine'!$D$2:$D$301,"4*")</f>
        <v>0</v>
      </c>
      <c r="L24" s="2" t="n">
        <f aca="false">COUNTIFS('NBA Engine'!$AK$2:$AK$301,$A24,'NBA Engine'!$D$2:$D$301,"5*")</f>
        <v>0</v>
      </c>
      <c r="M24" s="2" t="n">
        <f aca="false">COUNTIFS('NBA Engine'!$AK$2:$AK$301,$A24,'NBA Engine'!$D$2:$D$301,"6*")</f>
        <v>0</v>
      </c>
      <c r="N24" s="2" t="n">
        <f aca="false">COUNTIFS('NBA Engine'!$AK$2:$AK$301,$A24,'NBA Engine'!$D$2:$D$301,"7*")</f>
        <v>0</v>
      </c>
      <c r="O24" s="2" t="n">
        <f aca="false">COUNTIFS('NBA Engine'!$AK$2:$AK$301,$A24,'NBA Engine'!$D$2:$D$301,"8*")</f>
        <v>0</v>
      </c>
      <c r="P24" s="2" t="n">
        <f aca="false">COUNTIFS('NBA Engine'!$AK$2:$AK$301,$A24,'NBA Engine'!$D$2:$D$301,"9*")</f>
        <v>0</v>
      </c>
      <c r="Q24" s="2" t="n">
        <f aca="false">COUNTIFS('NBA Engine'!$AK$2:$AK$301,$A24,'NBA Engine'!$AL$2:$AL$301,"Automated")</f>
        <v>0</v>
      </c>
      <c r="R24" s="2" t="n">
        <f aca="false">COUNTIFS('NBA Engine'!$AK$2:$AK$301,$A24,'NBA Engine'!$AL$2:$AL$301,"Human")</f>
        <v>5</v>
      </c>
      <c r="S24" s="2" t="n">
        <f aca="false">COUNTIFS('NBA Engine'!$AK$2:$AK$301,$A24,'NBA Engine'!$AL$2:$AL$301,"Hybrid")</f>
        <v>17</v>
      </c>
    </row>
    <row r="25" customFormat="false" ht="15" hidden="false" customHeight="false" outlineLevel="0" collapsed="false">
      <c r="A25" s="2" t="s">
        <v>344</v>
      </c>
      <c r="B25" s="2" t="n">
        <f aca="false">COUNTIF('NBA Engine'!$AK$2:$AK$301,A25)</f>
        <v>4</v>
      </c>
      <c r="C25" s="9" t="n">
        <f aca="false">SUMIF('NBA Engine'!$AK$2:$AK$301,A25,'NBA Engine'!$H$2:$H$301)</f>
        <v>24315</v>
      </c>
      <c r="D25" s="13" t="n">
        <f aca="false">C25/SUM('NBA Engine'!$H$2:$H$301)</f>
        <v>0.028761498980957</v>
      </c>
      <c r="E25" s="2" t="n">
        <f aca="false">COUNTIFS('NBA Engine'!$AK$2:$AK$301,$A25,'NBA Engine'!$E$2:$E$301,"Key")</f>
        <v>1</v>
      </c>
      <c r="F25" s="2" t="n">
        <f aca="false">COUNTIFS('NBA Engine'!$AK$2:$AK$301,$A25,'NBA Engine'!$E$2:$E$301,"Core")</f>
        <v>3</v>
      </c>
      <c r="G25" s="2" t="n">
        <f aca="false">COUNTIFS('NBA Engine'!$AK$2:$AK$301,$A25,'NBA Engine'!$E$2:$E$301,"Tail")</f>
        <v>0</v>
      </c>
      <c r="H25" s="2" t="n">
        <f aca="false">COUNTIFS('NBA Engine'!$AK$2:$AK$301,$A25,'NBA Engine'!$D$2:$D$301,"1*")</f>
        <v>0</v>
      </c>
      <c r="I25" s="2" t="n">
        <f aca="false">COUNTIFS('NBA Engine'!$AK$2:$AK$301,$A25,'NBA Engine'!$D$2:$D$301,"2*")</f>
        <v>0</v>
      </c>
      <c r="J25" s="2" t="n">
        <f aca="false">COUNTIFS('NBA Engine'!$AK$2:$AK$301,$A25,'NBA Engine'!$D$2:$D$301,"3*")</f>
        <v>0</v>
      </c>
      <c r="K25" s="2" t="n">
        <f aca="false">COUNTIFS('NBA Engine'!$AK$2:$AK$301,$A25,'NBA Engine'!$D$2:$D$301,"4*")</f>
        <v>2</v>
      </c>
      <c r="L25" s="2" t="n">
        <f aca="false">COUNTIFS('NBA Engine'!$AK$2:$AK$301,$A25,'NBA Engine'!$D$2:$D$301,"5*")</f>
        <v>0</v>
      </c>
      <c r="M25" s="2" t="n">
        <f aca="false">COUNTIFS('NBA Engine'!$AK$2:$AK$301,$A25,'NBA Engine'!$D$2:$D$301,"6*")</f>
        <v>0</v>
      </c>
      <c r="N25" s="2" t="n">
        <f aca="false">COUNTIFS('NBA Engine'!$AK$2:$AK$301,$A25,'NBA Engine'!$D$2:$D$301,"7*")</f>
        <v>2</v>
      </c>
      <c r="O25" s="2" t="n">
        <f aca="false">COUNTIFS('NBA Engine'!$AK$2:$AK$301,$A25,'NBA Engine'!$D$2:$D$301,"8*")</f>
        <v>0</v>
      </c>
      <c r="P25" s="2" t="n">
        <f aca="false">COUNTIFS('NBA Engine'!$AK$2:$AK$301,$A25,'NBA Engine'!$D$2:$D$301,"9*")</f>
        <v>0</v>
      </c>
      <c r="Q25" s="2" t="n">
        <f aca="false">COUNTIFS('NBA Engine'!$AK$2:$AK$301,$A25,'NBA Engine'!$AL$2:$AL$301,"Automated")</f>
        <v>1</v>
      </c>
      <c r="R25" s="2" t="n">
        <f aca="false">COUNTIFS('NBA Engine'!$AK$2:$AK$301,$A25,'NBA Engine'!$AL$2:$AL$301,"Human")</f>
        <v>3</v>
      </c>
      <c r="S25" s="2" t="n">
        <f aca="false">COUNTIFS('NBA Engine'!$AK$2:$AK$301,$A25,'NBA Engine'!$AL$2:$AL$301,"Hybrid")</f>
        <v>0</v>
      </c>
    </row>
    <row r="26" customFormat="false" ht="15" hidden="false" customHeight="false" outlineLevel="0" collapsed="false">
      <c r="A26" s="2" t="s">
        <v>542</v>
      </c>
      <c r="B26" s="2" t="n">
        <f aca="false">COUNTIF('NBA Engine'!$AK$2:$AK$301,A26)</f>
        <v>4</v>
      </c>
      <c r="C26" s="9" t="n">
        <f aca="false">SUMIF('NBA Engine'!$AK$2:$AK$301,A26,'NBA Engine'!$H$2:$H$301)</f>
        <v>2270</v>
      </c>
      <c r="D26" s="13" t="n">
        <f aca="false">C26/SUM('NBA Engine'!$H$2:$H$301)</f>
        <v>0.00268511629392442</v>
      </c>
      <c r="E26" s="2" t="n">
        <f aca="false">COUNTIFS('NBA Engine'!$AK$2:$AK$301,$A26,'NBA Engine'!$E$2:$E$301,"Key")</f>
        <v>0</v>
      </c>
      <c r="F26" s="2" t="n">
        <f aca="false">COUNTIFS('NBA Engine'!$AK$2:$AK$301,$A26,'NBA Engine'!$E$2:$E$301,"Core")</f>
        <v>0</v>
      </c>
      <c r="G26" s="2" t="n">
        <f aca="false">COUNTIFS('NBA Engine'!$AK$2:$AK$301,$A26,'NBA Engine'!$E$2:$E$301,"Tail")</f>
        <v>4</v>
      </c>
      <c r="H26" s="2" t="n">
        <f aca="false">COUNTIFS('NBA Engine'!$AK$2:$AK$301,$A26,'NBA Engine'!$D$2:$D$301,"1*")</f>
        <v>0</v>
      </c>
      <c r="I26" s="2" t="n">
        <f aca="false">COUNTIFS('NBA Engine'!$AK$2:$AK$301,$A26,'NBA Engine'!$D$2:$D$301,"2*")</f>
        <v>0</v>
      </c>
      <c r="J26" s="2" t="n">
        <f aca="false">COUNTIFS('NBA Engine'!$AK$2:$AK$301,$A26,'NBA Engine'!$D$2:$D$301,"3*")</f>
        <v>0</v>
      </c>
      <c r="K26" s="2" t="n">
        <f aca="false">COUNTIFS('NBA Engine'!$AK$2:$AK$301,$A26,'NBA Engine'!$D$2:$D$301,"4*")</f>
        <v>0</v>
      </c>
      <c r="L26" s="2" t="n">
        <f aca="false">COUNTIFS('NBA Engine'!$AK$2:$AK$301,$A26,'NBA Engine'!$D$2:$D$301,"5*")</f>
        <v>0</v>
      </c>
      <c r="M26" s="2" t="n">
        <f aca="false">COUNTIFS('NBA Engine'!$AK$2:$AK$301,$A26,'NBA Engine'!$D$2:$D$301,"6*")</f>
        <v>0</v>
      </c>
      <c r="N26" s="2" t="n">
        <f aca="false">COUNTIFS('NBA Engine'!$AK$2:$AK$301,$A26,'NBA Engine'!$D$2:$D$301,"7*")</f>
        <v>0</v>
      </c>
      <c r="O26" s="2" t="n">
        <f aca="false">COUNTIFS('NBA Engine'!$AK$2:$AK$301,$A26,'NBA Engine'!$D$2:$D$301,"8*")</f>
        <v>0</v>
      </c>
      <c r="P26" s="2" t="n">
        <f aca="false">COUNTIFS('NBA Engine'!$AK$2:$AK$301,$A26,'NBA Engine'!$D$2:$D$301,"9*")</f>
        <v>4</v>
      </c>
      <c r="Q26" s="2" t="n">
        <f aca="false">COUNTIFS('NBA Engine'!$AK$2:$AK$301,$A26,'NBA Engine'!$AL$2:$AL$301,"Automated")</f>
        <v>4</v>
      </c>
      <c r="R26" s="2" t="n">
        <f aca="false">COUNTIFS('NBA Engine'!$AK$2:$AK$301,$A26,'NBA Engine'!$AL$2:$AL$301,"Human")</f>
        <v>0</v>
      </c>
      <c r="S26" s="2" t="n">
        <f aca="false">COUNTIFS('NBA Engine'!$AK$2:$AK$301,$A26,'NBA Engine'!$AL$2:$AL$301,"Hybrid")</f>
        <v>0</v>
      </c>
    </row>
    <row r="27" customFormat="false" ht="15" hidden="false" customHeight="false" outlineLevel="0" collapsed="false">
      <c r="A27" s="2" t="s">
        <v>366</v>
      </c>
      <c r="B27" s="2" t="n">
        <f aca="false">COUNTIF('NBA Engine'!$AK$2:$AK$301,A27)</f>
        <v>6</v>
      </c>
      <c r="C27" s="9" t="n">
        <f aca="false">SUMIF('NBA Engine'!$AK$2:$AK$301,A27,'NBA Engine'!$H$2:$H$301)</f>
        <v>22583</v>
      </c>
      <c r="D27" s="13" t="n">
        <f aca="false">C27/SUM('NBA Engine'!$H$2:$H$301)</f>
        <v>0.0267127670773988</v>
      </c>
      <c r="E27" s="2" t="n">
        <f aca="false">COUNTIFS('NBA Engine'!$AK$2:$AK$301,$A27,'NBA Engine'!$E$2:$E$301,"Key")</f>
        <v>0</v>
      </c>
      <c r="F27" s="2" t="n">
        <f aca="false">COUNTIFS('NBA Engine'!$AK$2:$AK$301,$A27,'NBA Engine'!$E$2:$E$301,"Core")</f>
        <v>3</v>
      </c>
      <c r="G27" s="2" t="n">
        <f aca="false">COUNTIFS('NBA Engine'!$AK$2:$AK$301,$A27,'NBA Engine'!$E$2:$E$301,"Tail")</f>
        <v>3</v>
      </c>
      <c r="H27" s="2" t="n">
        <f aca="false">COUNTIFS('NBA Engine'!$AK$2:$AK$301,$A27,'NBA Engine'!$D$2:$D$301,"1*")</f>
        <v>0</v>
      </c>
      <c r="I27" s="2" t="n">
        <f aca="false">COUNTIFS('NBA Engine'!$AK$2:$AK$301,$A27,'NBA Engine'!$D$2:$D$301,"2*")</f>
        <v>0</v>
      </c>
      <c r="J27" s="2" t="n">
        <f aca="false">COUNTIFS('NBA Engine'!$AK$2:$AK$301,$A27,'NBA Engine'!$D$2:$D$301,"3*")</f>
        <v>0</v>
      </c>
      <c r="K27" s="2" t="n">
        <f aca="false">COUNTIFS('NBA Engine'!$AK$2:$AK$301,$A27,'NBA Engine'!$D$2:$D$301,"4*")</f>
        <v>0</v>
      </c>
      <c r="L27" s="2" t="n">
        <f aca="false">COUNTIFS('NBA Engine'!$AK$2:$AK$301,$A27,'NBA Engine'!$D$2:$D$301,"5*")</f>
        <v>0</v>
      </c>
      <c r="M27" s="2" t="n">
        <f aca="false">COUNTIFS('NBA Engine'!$AK$2:$AK$301,$A27,'NBA Engine'!$D$2:$D$301,"6*")</f>
        <v>3</v>
      </c>
      <c r="N27" s="2" t="n">
        <f aca="false">COUNTIFS('NBA Engine'!$AK$2:$AK$301,$A27,'NBA Engine'!$D$2:$D$301,"7*")</f>
        <v>0</v>
      </c>
      <c r="O27" s="2" t="n">
        <f aca="false">COUNTIFS('NBA Engine'!$AK$2:$AK$301,$A27,'NBA Engine'!$D$2:$D$301,"8*")</f>
        <v>0</v>
      </c>
      <c r="P27" s="2" t="n">
        <f aca="false">COUNTIFS('NBA Engine'!$AK$2:$AK$301,$A27,'NBA Engine'!$D$2:$D$301,"9*")</f>
        <v>3</v>
      </c>
      <c r="Q27" s="2" t="n">
        <f aca="false">COUNTIFS('NBA Engine'!$AK$2:$AK$301,$A27,'NBA Engine'!$AL$2:$AL$301,"Automated")</f>
        <v>6</v>
      </c>
      <c r="R27" s="2" t="n">
        <f aca="false">COUNTIFS('NBA Engine'!$AK$2:$AK$301,$A27,'NBA Engine'!$AL$2:$AL$301,"Human")</f>
        <v>0</v>
      </c>
      <c r="S27" s="2" t="n">
        <f aca="false">COUNTIFS('NBA Engine'!$AK$2:$AK$301,$A27,'NBA Engine'!$AL$2:$AL$301,"Hybrid")</f>
        <v>0</v>
      </c>
    </row>
    <row r="28" customFormat="false" ht="15" hidden="false" customHeight="false" outlineLevel="0" collapsed="false">
      <c r="A28" s="2" t="s">
        <v>476</v>
      </c>
      <c r="B28" s="2" t="n">
        <f aca="false">COUNTIF('NBA Engine'!$AK$2:$AK$301,A28)</f>
        <v>8</v>
      </c>
      <c r="C28" s="9" t="n">
        <f aca="false">SUMIF('NBA Engine'!$AK$2:$AK$301,A28,'NBA Engine'!$H$2:$H$301)</f>
        <v>11615</v>
      </c>
      <c r="D28" s="13" t="n">
        <f aca="false">C28/SUM('NBA Engine'!$H$2:$H$301)</f>
        <v>0.013739042182349</v>
      </c>
      <c r="E28" s="2" t="n">
        <f aca="false">COUNTIFS('NBA Engine'!$AK$2:$AK$301,$A28,'NBA Engine'!$E$2:$E$301,"Key")</f>
        <v>0</v>
      </c>
      <c r="F28" s="2" t="n">
        <f aca="false">COUNTIFS('NBA Engine'!$AK$2:$AK$301,$A28,'NBA Engine'!$E$2:$E$301,"Core")</f>
        <v>0</v>
      </c>
      <c r="G28" s="2" t="n">
        <f aca="false">COUNTIFS('NBA Engine'!$AK$2:$AK$301,$A28,'NBA Engine'!$E$2:$E$301,"Tail")</f>
        <v>8</v>
      </c>
      <c r="H28" s="2" t="n">
        <f aca="false">COUNTIFS('NBA Engine'!$AK$2:$AK$301,$A28,'NBA Engine'!$D$2:$D$301,"1*")</f>
        <v>0</v>
      </c>
      <c r="I28" s="2" t="n">
        <f aca="false">COUNTIFS('NBA Engine'!$AK$2:$AK$301,$A28,'NBA Engine'!$D$2:$D$301,"2*")</f>
        <v>0</v>
      </c>
      <c r="J28" s="2" t="n">
        <f aca="false">COUNTIFS('NBA Engine'!$AK$2:$AK$301,$A28,'NBA Engine'!$D$2:$D$301,"3*")</f>
        <v>0</v>
      </c>
      <c r="K28" s="2" t="n">
        <f aca="false">COUNTIFS('NBA Engine'!$AK$2:$AK$301,$A28,'NBA Engine'!$D$2:$D$301,"4*")</f>
        <v>0</v>
      </c>
      <c r="L28" s="2" t="n">
        <f aca="false">COUNTIFS('NBA Engine'!$AK$2:$AK$301,$A28,'NBA Engine'!$D$2:$D$301,"5*")</f>
        <v>8</v>
      </c>
      <c r="M28" s="2" t="n">
        <f aca="false">COUNTIFS('NBA Engine'!$AK$2:$AK$301,$A28,'NBA Engine'!$D$2:$D$301,"6*")</f>
        <v>0</v>
      </c>
      <c r="N28" s="2" t="n">
        <f aca="false">COUNTIFS('NBA Engine'!$AK$2:$AK$301,$A28,'NBA Engine'!$D$2:$D$301,"7*")</f>
        <v>0</v>
      </c>
      <c r="O28" s="2" t="n">
        <f aca="false">COUNTIFS('NBA Engine'!$AK$2:$AK$301,$A28,'NBA Engine'!$D$2:$D$301,"8*")</f>
        <v>0</v>
      </c>
      <c r="P28" s="2" t="n">
        <f aca="false">COUNTIFS('NBA Engine'!$AK$2:$AK$301,$A28,'NBA Engine'!$D$2:$D$301,"9*")</f>
        <v>0</v>
      </c>
      <c r="Q28" s="2" t="n">
        <f aca="false">COUNTIFS('NBA Engine'!$AK$2:$AK$301,$A28,'NBA Engine'!$AL$2:$AL$301,"Automated")</f>
        <v>0</v>
      </c>
      <c r="R28" s="2" t="n">
        <f aca="false">COUNTIFS('NBA Engine'!$AK$2:$AK$301,$A28,'NBA Engine'!$AL$2:$AL$301,"Human")</f>
        <v>8</v>
      </c>
      <c r="S28" s="2" t="n">
        <f aca="false">COUNTIFS('NBA Engine'!$AK$2:$AK$301,$A28,'NBA Engine'!$AL$2:$AL$301,"Hybrid")</f>
        <v>0</v>
      </c>
    </row>
    <row r="29" customFormat="false" ht="15" hidden="false" customHeight="false" outlineLevel="0" collapsed="false">
      <c r="A29" s="2" t="s">
        <v>492</v>
      </c>
      <c r="B29" s="2" t="n">
        <f aca="false">COUNTIF('NBA Engine'!$AK$2:$AK$301,A29)</f>
        <v>216</v>
      </c>
      <c r="C29" s="9" t="n">
        <f aca="false">SUMIF('NBA Engine'!$AK$2:$AK$301,A29,'NBA Engine'!$H$2:$H$301)</f>
        <v>87292</v>
      </c>
      <c r="D29" s="13" t="n">
        <f aca="false">C29/SUM('NBA Engine'!$H$2:$H$301)</f>
        <v>0.103255141642842</v>
      </c>
      <c r="E29" s="2" t="n">
        <f aca="false">COUNTIFS('NBA Engine'!$AK$2:$AK$301,$A29,'NBA Engine'!$E$2:$E$301,"Key")</f>
        <v>0</v>
      </c>
      <c r="F29" s="2" t="n">
        <f aca="false">COUNTIFS('NBA Engine'!$AK$2:$AK$301,$A29,'NBA Engine'!$E$2:$E$301,"Core")</f>
        <v>0</v>
      </c>
      <c r="G29" s="2" t="n">
        <f aca="false">COUNTIFS('NBA Engine'!$AK$2:$AK$301,$A29,'NBA Engine'!$E$2:$E$301,"Tail")</f>
        <v>216</v>
      </c>
      <c r="H29" s="2" t="n">
        <f aca="false">COUNTIFS('NBA Engine'!$AK$2:$AK$301,$A29,'NBA Engine'!$D$2:$D$301,"1*")</f>
        <v>0</v>
      </c>
      <c r="I29" s="2" t="n">
        <f aca="false">COUNTIFS('NBA Engine'!$AK$2:$AK$301,$A29,'NBA Engine'!$D$2:$D$301,"2*")</f>
        <v>0</v>
      </c>
      <c r="J29" s="2" t="n">
        <f aca="false">COUNTIFS('NBA Engine'!$AK$2:$AK$301,$A29,'NBA Engine'!$D$2:$D$301,"3*")</f>
        <v>0</v>
      </c>
      <c r="K29" s="2" t="n">
        <f aca="false">COUNTIFS('NBA Engine'!$AK$2:$AK$301,$A29,'NBA Engine'!$D$2:$D$301,"4*")</f>
        <v>0</v>
      </c>
      <c r="L29" s="2" t="n">
        <f aca="false">COUNTIFS('NBA Engine'!$AK$2:$AK$301,$A29,'NBA Engine'!$D$2:$D$301,"5*")</f>
        <v>13</v>
      </c>
      <c r="M29" s="2" t="n">
        <f aca="false">COUNTIFS('NBA Engine'!$AK$2:$AK$301,$A29,'NBA Engine'!$D$2:$D$301,"6*")</f>
        <v>0</v>
      </c>
      <c r="N29" s="2" t="n">
        <f aca="false">COUNTIFS('NBA Engine'!$AK$2:$AK$301,$A29,'NBA Engine'!$D$2:$D$301,"7*")</f>
        <v>0</v>
      </c>
      <c r="O29" s="2" t="n">
        <f aca="false">COUNTIFS('NBA Engine'!$AK$2:$AK$301,$A29,'NBA Engine'!$D$2:$D$301,"8*")</f>
        <v>0</v>
      </c>
      <c r="P29" s="2" t="n">
        <f aca="false">COUNTIFS('NBA Engine'!$AK$2:$AK$301,$A29,'NBA Engine'!$D$2:$D$301,"9*")</f>
        <v>203</v>
      </c>
      <c r="Q29" s="2" t="n">
        <f aca="false">COUNTIFS('NBA Engine'!$AK$2:$AK$301,$A29,'NBA Engine'!$AL$2:$AL$301,"Automated")</f>
        <v>216</v>
      </c>
      <c r="R29" s="2" t="n">
        <f aca="false">COUNTIFS('NBA Engine'!$AK$2:$AK$301,$A29,'NBA Engine'!$AL$2:$AL$301,"Human")</f>
        <v>0</v>
      </c>
      <c r="S29" s="2" t="n">
        <f aca="false">COUNTIFS('NBA Engine'!$AK$2:$AK$301,$A29,'NBA Engine'!$AL$2:$AL$301,"Hybrid")</f>
        <v>0</v>
      </c>
    </row>
    <row r="30" customFormat="false" ht="15" hidden="false" customHeight="false" outlineLevel="0" collapsed="false">
      <c r="A30" s="3" t="s">
        <v>1331</v>
      </c>
      <c r="B30" s="2" t="n">
        <f aca="false">SUM(B22:B29)</f>
        <v>300</v>
      </c>
      <c r="C30" s="9" t="n">
        <f aca="false">SUM(C22:C29)</f>
        <v>845401</v>
      </c>
      <c r="D30" s="13" t="n">
        <f aca="false">SUM(D22:D29)</f>
        <v>1</v>
      </c>
      <c r="E30" s="2" t="n">
        <f aca="false">SUM(E22:E29)</f>
        <v>18</v>
      </c>
      <c r="F30" s="2" t="n">
        <f aca="false">SUM(F22:F29)</f>
        <v>51</v>
      </c>
      <c r="G30" s="2" t="n">
        <f aca="false">SUM(G22:G29)</f>
        <v>231</v>
      </c>
      <c r="H30" s="2" t="n">
        <f aca="false">SUM(H22:H29)</f>
        <v>22</v>
      </c>
      <c r="I30" s="2" t="n">
        <f aca="false">SUM(I22:I29)</f>
        <v>25</v>
      </c>
      <c r="J30" s="2" t="n">
        <f aca="false">SUM(J22:J29)</f>
        <v>8</v>
      </c>
      <c r="K30" s="2" t="n">
        <f aca="false">SUM(K22:K29)</f>
        <v>2</v>
      </c>
      <c r="L30" s="2" t="n">
        <f aca="false">SUM(L22:L29)</f>
        <v>21</v>
      </c>
      <c r="M30" s="2" t="n">
        <f aca="false">SUM(M22:M29)</f>
        <v>4</v>
      </c>
      <c r="N30" s="2" t="n">
        <f aca="false">SUM(N22:N29)</f>
        <v>2</v>
      </c>
      <c r="O30" s="2" t="n">
        <f aca="false">SUM(O22:O29)</f>
        <v>6</v>
      </c>
      <c r="P30" s="2" t="n">
        <f aca="false">SUM(P22:P29)</f>
        <v>210</v>
      </c>
      <c r="Q30" s="2" t="n">
        <f aca="false">SUM(Q22:Q29)</f>
        <v>227</v>
      </c>
      <c r="R30" s="2" t="n">
        <f aca="false">SUM(R22:R29)</f>
        <v>56</v>
      </c>
      <c r="S30" s="2" t="n">
        <f aca="false">SUM(S22:S29)</f>
        <v>17</v>
      </c>
    </row>
    <row r="31" customFormat="false" ht="15" hidden="false" customHeight="false" outlineLevel="0" collapsed="false">
      <c r="A31" s="2"/>
      <c r="B31" s="2"/>
      <c r="C31" s="2"/>
      <c r="D31" s="2"/>
      <c r="E31" s="2"/>
      <c r="F31" s="2"/>
      <c r="G31" s="2"/>
      <c r="H31" s="2"/>
      <c r="I31" s="2"/>
      <c r="J31" s="2"/>
      <c r="K31" s="2"/>
      <c r="L31" s="2"/>
      <c r="M31" s="2"/>
      <c r="N31" s="2"/>
      <c r="O31" s="2"/>
      <c r="P31" s="2"/>
      <c r="Q31" s="2"/>
      <c r="R31" s="2"/>
      <c r="S31" s="2"/>
    </row>
    <row r="32" customFormat="false" ht="15" hidden="false" customHeight="false" outlineLevel="0" collapsed="false">
      <c r="A32" s="3" t="s">
        <v>1332</v>
      </c>
      <c r="B32" s="2"/>
      <c r="C32" s="2"/>
      <c r="D32" s="2"/>
      <c r="E32" s="2"/>
      <c r="F32" s="2"/>
      <c r="G32" s="2"/>
      <c r="H32" s="2"/>
      <c r="I32" s="2"/>
      <c r="J32" s="2"/>
      <c r="K32" s="2"/>
      <c r="L32" s="2"/>
      <c r="M32" s="2"/>
      <c r="N32" s="2"/>
      <c r="O32" s="2"/>
      <c r="P32" s="2"/>
      <c r="Q32" s="2"/>
      <c r="R32" s="2"/>
      <c r="S32" s="2"/>
    </row>
    <row r="33" customFormat="false" ht="15" hidden="false" customHeight="false" outlineLevel="0" collapsed="false">
      <c r="A33" s="12" t="s">
        <v>1333</v>
      </c>
      <c r="B33" s="12" t="s">
        <v>1319</v>
      </c>
      <c r="C33" s="12" t="s">
        <v>1320</v>
      </c>
      <c r="D33" s="12" t="s">
        <v>1321</v>
      </c>
      <c r="E33" s="12" t="s">
        <v>115</v>
      </c>
      <c r="F33" s="12" t="s">
        <v>203</v>
      </c>
      <c r="G33" s="12" t="s">
        <v>474</v>
      </c>
      <c r="H33" s="12" t="s">
        <v>1334</v>
      </c>
      <c r="I33" s="12" t="s">
        <v>1058</v>
      </c>
      <c r="J33" s="12" t="s">
        <v>1044</v>
      </c>
      <c r="K33" s="3"/>
      <c r="L33" s="3"/>
      <c r="M33" s="3"/>
      <c r="N33" s="3"/>
      <c r="O33" s="3"/>
      <c r="P33" s="3"/>
      <c r="Q33" s="3"/>
      <c r="R33" s="3"/>
      <c r="S33" s="3"/>
    </row>
    <row r="34" customFormat="false" ht="15" hidden="false" customHeight="false" outlineLevel="0" collapsed="false">
      <c r="A34" s="2" t="s">
        <v>114</v>
      </c>
      <c r="B34" s="2" t="n">
        <f aca="false">COUNTIF('NBA Engine'!$AN$2:$AN$301,A34)</f>
        <v>1</v>
      </c>
      <c r="C34" s="9" t="n">
        <f aca="false">SUMIF('NBA Engine'!$AN$2:$AN$301,A34,'NBA Engine'!$H$2:$H$301)</f>
        <v>24555</v>
      </c>
      <c r="D34" s="13" t="n">
        <f aca="false">C34/SUM('NBA Engine'!$H$2:$H$301)</f>
        <v>0.0290453879283322</v>
      </c>
      <c r="E34" s="2" t="n">
        <f aca="false">COUNTIFS('NBA Engine'!$AN$2:$AN$301,$A34,'NBA Engine'!$E$2:$E$301,"Key")</f>
        <v>1</v>
      </c>
      <c r="F34" s="2" t="n">
        <f aca="false">COUNTIFS('NBA Engine'!$AN$2:$AN$301,$A34,'NBA Engine'!$E$2:$E$301,"Core")</f>
        <v>0</v>
      </c>
      <c r="G34" s="2" t="n">
        <f aca="false">COUNTIFS('NBA Engine'!$AN$2:$AN$301,$A34,'NBA Engine'!$E$2:$E$301,"Tail")</f>
        <v>0</v>
      </c>
      <c r="H34" s="2" t="n">
        <f aca="false">COUNTIFS('NBA Engine'!$AN$2:$AN$301,$A34,'NBA Engine'!$AL$2:$AL$301,"Human")</f>
        <v>1</v>
      </c>
      <c r="I34" s="2" t="n">
        <f aca="false">COUNTIFS('NBA Engine'!$AN$2:$AN$301,$A34,'NBA Engine'!$AL$2:$AL$301,"Automated")</f>
        <v>0</v>
      </c>
      <c r="J34" s="2" t="n">
        <f aca="false">COUNTIFS('NBA Engine'!$AN$2:$AN$301,$A34,'NBA Engine'!$AL$2:$AL$301,"Hybrid")</f>
        <v>0</v>
      </c>
      <c r="K34" s="2"/>
      <c r="L34" s="2"/>
      <c r="M34" s="2"/>
      <c r="N34" s="2"/>
      <c r="O34" s="2"/>
      <c r="P34" s="2"/>
      <c r="Q34" s="2"/>
      <c r="R34" s="2"/>
      <c r="S34" s="2"/>
    </row>
    <row r="35" customFormat="false" ht="15" hidden="false" customHeight="false" outlineLevel="0" collapsed="false">
      <c r="A35" s="2" t="s">
        <v>140</v>
      </c>
      <c r="B35" s="2" t="n">
        <f aca="false">COUNTIF('NBA Engine'!$AN$2:$AN$301,A35)</f>
        <v>39</v>
      </c>
      <c r="C35" s="9" t="n">
        <f aca="false">SUMIF('NBA Engine'!$AN$2:$AN$301,A35,'NBA Engine'!$H$2:$H$301)</f>
        <v>300507</v>
      </c>
      <c r="D35" s="13" t="n">
        <f aca="false">C35/SUM('NBA Engine'!$H$2:$H$301)</f>
        <v>0.355460899620417</v>
      </c>
      <c r="E35" s="2" t="n">
        <f aca="false">COUNTIFS('NBA Engine'!$AN$2:$AN$301,$A35,'NBA Engine'!$E$2:$E$301,"Key")</f>
        <v>9</v>
      </c>
      <c r="F35" s="2" t="n">
        <f aca="false">COUNTIFS('NBA Engine'!$AN$2:$AN$301,$A35,'NBA Engine'!$E$2:$E$301,"Core")</f>
        <v>30</v>
      </c>
      <c r="G35" s="2" t="n">
        <f aca="false">COUNTIFS('NBA Engine'!$AN$2:$AN$301,$A35,'NBA Engine'!$E$2:$E$301,"Tail")</f>
        <v>0</v>
      </c>
      <c r="H35" s="2" t="n">
        <f aca="false">COUNTIFS('NBA Engine'!$AN$2:$AN$301,$A35,'NBA Engine'!$AL$2:$AL$301,"Human")</f>
        <v>39</v>
      </c>
      <c r="I35" s="2" t="n">
        <f aca="false">COUNTIFS('NBA Engine'!$AN$2:$AN$301,$A35,'NBA Engine'!$AL$2:$AL$301,"Automated")</f>
        <v>0</v>
      </c>
      <c r="J35" s="2" t="n">
        <f aca="false">COUNTIFS('NBA Engine'!$AN$2:$AN$301,$A35,'NBA Engine'!$AL$2:$AL$301,"Hybrid")</f>
        <v>0</v>
      </c>
      <c r="K35" s="2"/>
      <c r="L35" s="2"/>
      <c r="M35" s="2"/>
      <c r="N35" s="2"/>
      <c r="O35" s="2"/>
      <c r="P35" s="2"/>
      <c r="Q35" s="2"/>
      <c r="R35" s="2"/>
      <c r="S35" s="2"/>
    </row>
    <row r="36" customFormat="false" ht="15" hidden="false" customHeight="false" outlineLevel="0" collapsed="false">
      <c r="A36" s="2" t="s">
        <v>309</v>
      </c>
      <c r="B36" s="2" t="n">
        <f aca="false">COUNTIF('NBA Engine'!$AN$2:$AN$301,A36)</f>
        <v>24</v>
      </c>
      <c r="C36" s="9" t="n">
        <f aca="false">SUMIF('NBA Engine'!$AN$2:$AN$301,A36,'NBA Engine'!$H$2:$H$301)</f>
        <v>397544</v>
      </c>
      <c r="D36" s="13" t="n">
        <f aca="false">C36/SUM('NBA Engine'!$H$2:$H$301)</f>
        <v>0.470243115397309</v>
      </c>
      <c r="E36" s="2" t="n">
        <f aca="false">COUNTIFS('NBA Engine'!$AN$2:$AN$301,$A36,'NBA Engine'!$E$2:$E$301,"Key")</f>
        <v>8</v>
      </c>
      <c r="F36" s="2" t="n">
        <f aca="false">COUNTIFS('NBA Engine'!$AN$2:$AN$301,$A36,'NBA Engine'!$E$2:$E$301,"Core")</f>
        <v>16</v>
      </c>
      <c r="G36" s="2" t="n">
        <f aca="false">COUNTIFS('NBA Engine'!$AN$2:$AN$301,$A36,'NBA Engine'!$E$2:$E$301,"Tail")</f>
        <v>0</v>
      </c>
      <c r="H36" s="2" t="n">
        <f aca="false">COUNTIFS('NBA Engine'!$AN$2:$AN$301,$A36,'NBA Engine'!$AL$2:$AL$301,"Human")</f>
        <v>3</v>
      </c>
      <c r="I36" s="2" t="n">
        <f aca="false">COUNTIFS('NBA Engine'!$AN$2:$AN$301,$A36,'NBA Engine'!$AL$2:$AL$301,"Automated")</f>
        <v>4</v>
      </c>
      <c r="J36" s="2" t="n">
        <f aca="false">COUNTIFS('NBA Engine'!$AN$2:$AN$301,$A36,'NBA Engine'!$AL$2:$AL$301,"Hybrid")</f>
        <v>17</v>
      </c>
      <c r="K36" s="2"/>
      <c r="L36" s="2"/>
      <c r="M36" s="2"/>
      <c r="N36" s="2"/>
      <c r="O36" s="2"/>
      <c r="P36" s="2"/>
      <c r="Q36" s="2"/>
      <c r="R36" s="2"/>
      <c r="S36" s="2"/>
    </row>
    <row r="37" customFormat="false" ht="15" hidden="false" customHeight="false" outlineLevel="0" collapsed="false">
      <c r="A37" s="2" t="s">
        <v>451</v>
      </c>
      <c r="B37" s="2" t="n">
        <f aca="false">COUNTIF('NBA Engine'!$AN$2:$AN$301,A37)</f>
        <v>23</v>
      </c>
      <c r="C37" s="9" t="n">
        <f aca="false">SUMIF('NBA Engine'!$AN$2:$AN$301,A37,'NBA Engine'!$H$2:$H$301)</f>
        <v>39834</v>
      </c>
      <c r="D37" s="13" t="n">
        <f aca="false">C37/SUM('NBA Engine'!$H$2:$H$301)</f>
        <v>0.0471184680406103</v>
      </c>
      <c r="E37" s="2" t="n">
        <f aca="false">COUNTIFS('NBA Engine'!$AN$2:$AN$301,$A37,'NBA Engine'!$E$2:$E$301,"Key")</f>
        <v>0</v>
      </c>
      <c r="F37" s="2" t="n">
        <f aca="false">COUNTIFS('NBA Engine'!$AN$2:$AN$301,$A37,'NBA Engine'!$E$2:$E$301,"Core")</f>
        <v>5</v>
      </c>
      <c r="G37" s="2" t="n">
        <f aca="false">COUNTIFS('NBA Engine'!$AN$2:$AN$301,$A37,'NBA Engine'!$E$2:$E$301,"Tail")</f>
        <v>18</v>
      </c>
      <c r="H37" s="2" t="n">
        <f aca="false">COUNTIFS('NBA Engine'!$AN$2:$AN$301,$A37,'NBA Engine'!$AL$2:$AL$301,"Human")</f>
        <v>13</v>
      </c>
      <c r="I37" s="2" t="n">
        <f aca="false">COUNTIFS('NBA Engine'!$AN$2:$AN$301,$A37,'NBA Engine'!$AL$2:$AL$301,"Automated")</f>
        <v>10</v>
      </c>
      <c r="J37" s="2" t="n">
        <f aca="false">COUNTIFS('NBA Engine'!$AN$2:$AN$301,$A37,'NBA Engine'!$AL$2:$AL$301,"Hybrid")</f>
        <v>0</v>
      </c>
      <c r="K37" s="2"/>
      <c r="L37" s="2"/>
      <c r="M37" s="2"/>
      <c r="N37" s="2"/>
      <c r="O37" s="2"/>
      <c r="P37" s="2"/>
      <c r="Q37" s="2"/>
      <c r="R37" s="2"/>
      <c r="S37" s="2"/>
    </row>
    <row r="38" customFormat="false" ht="15" hidden="false" customHeight="false" outlineLevel="0" collapsed="false">
      <c r="A38" s="2" t="s">
        <v>569</v>
      </c>
      <c r="B38" s="2" t="n">
        <f aca="false">COUNTIF('NBA Engine'!$AN$2:$AN$301,A38)</f>
        <v>213</v>
      </c>
      <c r="C38" s="9" t="n">
        <f aca="false">SUMIF('NBA Engine'!$AN$2:$AN$301,A38,'NBA Engine'!$H$2:$H$301)</f>
        <v>82961</v>
      </c>
      <c r="D38" s="13" t="n">
        <f aca="false">C38/SUM('NBA Engine'!$H$2:$H$301)</f>
        <v>0.0981321290133321</v>
      </c>
      <c r="E38" s="2" t="n">
        <f aca="false">COUNTIFS('NBA Engine'!$AN$2:$AN$301,$A38,'NBA Engine'!$E$2:$E$301,"Key")</f>
        <v>0</v>
      </c>
      <c r="F38" s="2" t="n">
        <f aca="false">COUNTIFS('NBA Engine'!$AN$2:$AN$301,$A38,'NBA Engine'!$E$2:$E$301,"Core")</f>
        <v>0</v>
      </c>
      <c r="G38" s="2" t="n">
        <f aca="false">COUNTIFS('NBA Engine'!$AN$2:$AN$301,$A38,'NBA Engine'!$E$2:$E$301,"Tail")</f>
        <v>213</v>
      </c>
      <c r="H38" s="2" t="n">
        <f aca="false">COUNTIFS('NBA Engine'!$AN$2:$AN$301,$A38,'NBA Engine'!$AL$2:$AL$301,"Human")</f>
        <v>0</v>
      </c>
      <c r="I38" s="2" t="n">
        <f aca="false">COUNTIFS('NBA Engine'!$AN$2:$AN$301,$A38,'NBA Engine'!$AL$2:$AL$301,"Automated")</f>
        <v>213</v>
      </c>
      <c r="J38" s="2" t="n">
        <f aca="false">COUNTIFS('NBA Engine'!$AN$2:$AN$301,$A38,'NBA Engine'!$AL$2:$AL$301,"Hybrid")</f>
        <v>0</v>
      </c>
      <c r="K38" s="2"/>
      <c r="L38" s="2"/>
      <c r="M38" s="2"/>
      <c r="N38" s="2"/>
      <c r="O38" s="2"/>
      <c r="P38" s="2"/>
      <c r="Q38" s="2"/>
      <c r="R38" s="2"/>
      <c r="S38" s="2"/>
    </row>
    <row r="39" customFormat="false" ht="15" hidden="false" customHeight="false" outlineLevel="0" collapsed="false">
      <c r="A39" s="2"/>
      <c r="B39" s="2"/>
      <c r="C39" s="2"/>
      <c r="D39" s="2"/>
      <c r="E39" s="2"/>
      <c r="F39" s="2"/>
      <c r="G39" s="2"/>
      <c r="H39" s="2"/>
      <c r="I39" s="2"/>
      <c r="J39" s="2"/>
      <c r="K39" s="2"/>
      <c r="L39" s="2"/>
      <c r="M39" s="2"/>
      <c r="N39" s="2"/>
      <c r="O39" s="2"/>
      <c r="P39" s="2"/>
      <c r="Q39" s="2"/>
      <c r="R39" s="2"/>
      <c r="S39" s="2"/>
    </row>
    <row r="40" customFormat="false" ht="15" hidden="false" customHeight="false" outlineLevel="0" collapsed="false">
      <c r="A40" s="3" t="s">
        <v>1335</v>
      </c>
      <c r="B40" s="2"/>
      <c r="C40" s="2"/>
      <c r="D40" s="2"/>
      <c r="E40" s="2"/>
      <c r="F40" s="2"/>
      <c r="G40" s="2"/>
      <c r="H40" s="2"/>
      <c r="I40" s="2"/>
      <c r="J40" s="2"/>
      <c r="K40" s="2"/>
      <c r="L40" s="2"/>
      <c r="M40" s="2"/>
      <c r="N40" s="2"/>
      <c r="O40" s="2"/>
      <c r="P40" s="2"/>
      <c r="Q40" s="2"/>
      <c r="R40" s="2"/>
      <c r="S40" s="2"/>
    </row>
    <row r="41" customFormat="false" ht="15" hidden="false" customHeight="false" outlineLevel="0" collapsed="false">
      <c r="A41" s="12" t="s">
        <v>1336</v>
      </c>
      <c r="B41" s="12" t="s">
        <v>1319</v>
      </c>
      <c r="C41" s="12" t="s">
        <v>1320</v>
      </c>
      <c r="D41" s="12" t="s">
        <v>1321</v>
      </c>
      <c r="E41" s="3"/>
      <c r="F41" s="3"/>
      <c r="G41" s="3"/>
      <c r="H41" s="3"/>
      <c r="I41" s="3"/>
      <c r="J41" s="3"/>
      <c r="K41" s="3"/>
      <c r="L41" s="3"/>
      <c r="M41" s="3"/>
      <c r="N41" s="3"/>
      <c r="O41" s="3"/>
      <c r="P41" s="3"/>
      <c r="Q41" s="3"/>
      <c r="R41" s="3"/>
      <c r="S41" s="3"/>
    </row>
    <row r="42" customFormat="false" ht="15" hidden="false" customHeight="false" outlineLevel="0" collapsed="false">
      <c r="A42" s="2" t="s">
        <v>368</v>
      </c>
      <c r="B42" s="2" t="n">
        <f aca="false">COUNTIF('NBA Engine'!$AM$2:$AM$301,A42)</f>
        <v>225</v>
      </c>
      <c r="C42" s="9" t="n">
        <f aca="false">SUMIF('NBA Engine'!$AM$2:$AM$301,A42,'NBA Engine'!$H$2:$H$301)</f>
        <v>112589</v>
      </c>
      <c r="D42" s="13" t="n">
        <f aca="false">C42/SUM('NBA Engine'!$H$2:$H$301)</f>
        <v>0.133178219566809</v>
      </c>
      <c r="E42" s="2"/>
      <c r="F42" s="2"/>
      <c r="G42" s="2"/>
      <c r="H42" s="2"/>
      <c r="I42" s="2"/>
      <c r="J42" s="2"/>
      <c r="K42" s="2"/>
      <c r="L42" s="2"/>
      <c r="M42" s="2"/>
      <c r="N42" s="2"/>
      <c r="O42" s="2"/>
      <c r="P42" s="2"/>
      <c r="Q42" s="2"/>
      <c r="R42" s="2"/>
      <c r="S42" s="2"/>
    </row>
    <row r="43" customFormat="false" ht="15" hidden="false" customHeight="false" outlineLevel="0" collapsed="false">
      <c r="A43" s="2" t="s">
        <v>144</v>
      </c>
      <c r="B43" s="2" t="n">
        <f aca="false">COUNTIF('NBA Engine'!$AM$2:$AM$301,A43)</f>
        <v>55</v>
      </c>
      <c r="C43" s="9" t="n">
        <f aca="false">SUMIF('NBA Engine'!$AM$2:$AM$301,A43,'NBA Engine'!$H$2:$H$301)</f>
        <v>351564</v>
      </c>
      <c r="D43" s="13" t="n">
        <f aca="false">C43/SUM('NBA Engine'!$H$2:$H$301)</f>
        <v>0.415854724562663</v>
      </c>
      <c r="E43" s="2"/>
      <c r="F43" s="2"/>
      <c r="G43" s="2"/>
      <c r="H43" s="2"/>
      <c r="I43" s="2"/>
      <c r="J43" s="2"/>
      <c r="K43" s="2"/>
      <c r="L43" s="2"/>
      <c r="M43" s="2"/>
      <c r="N43" s="2"/>
      <c r="O43" s="2"/>
      <c r="P43" s="2"/>
      <c r="Q43" s="2"/>
      <c r="R43" s="2"/>
      <c r="S43" s="2"/>
    </row>
    <row r="44" customFormat="false" ht="15" hidden="false" customHeight="false" outlineLevel="0" collapsed="false">
      <c r="A44" s="2" t="s">
        <v>382</v>
      </c>
      <c r="B44" s="2" t="n">
        <f aca="false">COUNTIF('NBA Engine'!$AM$2:$AM$301,A44)</f>
        <v>4</v>
      </c>
      <c r="C44" s="9" t="n">
        <f aca="false">SUMIF('NBA Engine'!$AM$2:$AM$301,A44,'NBA Engine'!$H$2:$H$301)</f>
        <v>21181</v>
      </c>
      <c r="D44" s="13" t="n">
        <f aca="false">C44/SUM('NBA Engine'!$H$2:$H$301)</f>
        <v>0.0250543824764816</v>
      </c>
      <c r="E44" s="2"/>
      <c r="F44" s="2"/>
      <c r="G44" s="2"/>
      <c r="H44" s="2"/>
      <c r="I44" s="2"/>
      <c r="J44" s="2"/>
      <c r="K44" s="2"/>
      <c r="L44" s="2"/>
      <c r="M44" s="2"/>
      <c r="N44" s="2"/>
      <c r="O44" s="2"/>
      <c r="P44" s="2"/>
      <c r="Q44" s="2"/>
      <c r="R44" s="2"/>
      <c r="S44" s="2"/>
    </row>
    <row r="45" customFormat="false" ht="15" hidden="false" customHeight="false" outlineLevel="0" collapsed="false">
      <c r="A45" s="2" t="s">
        <v>391</v>
      </c>
      <c r="B45" s="2" t="n">
        <f aca="false">COUNTIF('NBA Engine'!$AM$2:$AM$301,A45)</f>
        <v>8</v>
      </c>
      <c r="C45" s="9" t="n">
        <f aca="false">SUMIF('NBA Engine'!$AM$2:$AM$301,A45,'NBA Engine'!$H$2:$H$301)</f>
        <v>26085</v>
      </c>
      <c r="D45" s="13" t="n">
        <f aca="false">C45/SUM('NBA Engine'!$H$2:$H$301)</f>
        <v>0.0308551799678496</v>
      </c>
      <c r="E45" s="2"/>
      <c r="F45" s="2"/>
      <c r="G45" s="2"/>
      <c r="H45" s="2"/>
      <c r="I45" s="2"/>
      <c r="J45" s="2"/>
      <c r="K45" s="2"/>
      <c r="L45" s="2"/>
      <c r="M45" s="2"/>
      <c r="N45" s="2"/>
      <c r="O45" s="2"/>
      <c r="P45" s="2"/>
      <c r="Q45" s="2"/>
      <c r="R45" s="2"/>
      <c r="S45" s="2"/>
    </row>
    <row r="46" customFormat="false" ht="15" hidden="false" customHeight="false" outlineLevel="0" collapsed="false">
      <c r="A46" s="2" t="s">
        <v>313</v>
      </c>
      <c r="B46" s="2" t="n">
        <f aca="false">COUNTIF('NBA Engine'!$AM$2:$AM$301,A46)</f>
        <v>7</v>
      </c>
      <c r="C46" s="9" t="n">
        <f aca="false">SUMIF('NBA Engine'!$AM$2:$AM$301,A46,'NBA Engine'!$H$2:$H$301)</f>
        <v>309427</v>
      </c>
      <c r="D46" s="13" t="n">
        <f aca="false">C46/SUM('NBA Engine'!$H$2:$H$301)</f>
        <v>0.366012105497864</v>
      </c>
      <c r="E46" s="2"/>
      <c r="F46" s="2"/>
      <c r="G46" s="2"/>
      <c r="H46" s="2"/>
      <c r="I46" s="2"/>
      <c r="J46" s="2"/>
      <c r="K46" s="2"/>
      <c r="L46" s="2"/>
      <c r="M46" s="2"/>
      <c r="N46" s="2"/>
      <c r="O46" s="2"/>
      <c r="P46" s="2"/>
      <c r="Q46" s="2"/>
      <c r="R46" s="2"/>
      <c r="S46" s="2"/>
    </row>
    <row r="47" customFormat="false" ht="15" hidden="false" customHeight="false" outlineLevel="0" collapsed="false">
      <c r="A47" s="2" t="s">
        <v>119</v>
      </c>
      <c r="B47" s="2" t="n">
        <f aca="false">COUNTIF('NBA Engine'!$AM$2:$AM$301,A47)</f>
        <v>1</v>
      </c>
      <c r="C47" s="9" t="n">
        <f aca="false">SUMIF('NBA Engine'!$AM$2:$AM$301,A47,'NBA Engine'!$H$2:$H$301)</f>
        <v>24555</v>
      </c>
      <c r="D47" s="13" t="n">
        <f aca="false">C47/SUM('NBA Engine'!$H$2:$H$301)</f>
        <v>0.0290453879283322</v>
      </c>
      <c r="E47" s="2"/>
      <c r="F47" s="2"/>
      <c r="G47" s="2"/>
      <c r="H47" s="2"/>
      <c r="I47" s="2"/>
      <c r="J47" s="2"/>
      <c r="K47" s="2"/>
      <c r="L47" s="2"/>
      <c r="M47" s="2"/>
      <c r="N47" s="2"/>
      <c r="O47" s="2"/>
      <c r="P47" s="2"/>
      <c r="Q47" s="2"/>
      <c r="R47" s="2"/>
      <c r="S47" s="2"/>
    </row>
    <row r="48" customFormat="false" ht="15" hidden="false" customHeight="false" outlineLevel="0" collapsed="false">
      <c r="A48" s="2"/>
      <c r="B48" s="2"/>
      <c r="C48" s="2"/>
      <c r="D48" s="2"/>
      <c r="E48" s="2"/>
      <c r="F48" s="2"/>
      <c r="G48" s="2"/>
      <c r="H48" s="2"/>
      <c r="I48" s="2"/>
      <c r="J48" s="2"/>
      <c r="K48" s="2"/>
      <c r="L48" s="2"/>
      <c r="M48" s="2"/>
      <c r="N48" s="2"/>
      <c r="O48" s="2"/>
      <c r="P48" s="2"/>
      <c r="Q48" s="2"/>
      <c r="R48" s="2"/>
      <c r="S48" s="2"/>
    </row>
    <row r="49" customFormat="false" ht="15" hidden="false" customHeight="false" outlineLevel="0" collapsed="false">
      <c r="A49" s="3" t="s">
        <v>1337</v>
      </c>
      <c r="B49" s="2"/>
      <c r="C49" s="2"/>
      <c r="D49" s="2"/>
      <c r="E49" s="2"/>
      <c r="F49" s="2"/>
      <c r="G49" s="2"/>
      <c r="H49" s="2"/>
      <c r="I49" s="2"/>
      <c r="J49" s="2"/>
      <c r="K49" s="2"/>
      <c r="L49" s="2"/>
      <c r="M49" s="2"/>
      <c r="N49" s="2"/>
      <c r="O49" s="2"/>
      <c r="P49" s="2"/>
      <c r="Q49" s="2"/>
      <c r="R49" s="2"/>
      <c r="S49" s="2"/>
    </row>
    <row r="50" customFormat="false" ht="15" hidden="false" customHeight="false" outlineLevel="0" collapsed="false">
      <c r="A50" s="12" t="s">
        <v>81</v>
      </c>
      <c r="B50" s="12" t="s">
        <v>1319</v>
      </c>
      <c r="C50" s="12" t="s">
        <v>1320</v>
      </c>
      <c r="D50" s="3"/>
      <c r="E50" s="3"/>
      <c r="F50" s="3"/>
      <c r="G50" s="3"/>
      <c r="H50" s="3"/>
      <c r="I50" s="3"/>
      <c r="J50" s="3"/>
      <c r="K50" s="3"/>
      <c r="L50" s="3"/>
      <c r="M50" s="3"/>
      <c r="N50" s="3"/>
      <c r="O50" s="3"/>
      <c r="P50" s="3"/>
      <c r="Q50" s="3"/>
      <c r="R50" s="3"/>
      <c r="S50" s="3"/>
    </row>
    <row r="51" customFormat="false" ht="15" hidden="false" customHeight="false" outlineLevel="0" collapsed="false">
      <c r="A51" s="2" t="s">
        <v>118</v>
      </c>
      <c r="B51" s="2" t="n">
        <f aca="false">COUNTIF('NBA Engine'!$AJ$2:$AJ$301,A51)</f>
        <v>25</v>
      </c>
      <c r="C51" s="9" t="n">
        <f aca="false">SUMIF('NBA Engine'!$AJ$2:$AJ$301,A51,'NBA Engine'!$H$2:$H$301)</f>
        <v>187688</v>
      </c>
      <c r="D51" s="2"/>
      <c r="E51" s="2"/>
      <c r="F51" s="2"/>
      <c r="G51" s="2"/>
      <c r="H51" s="2"/>
      <c r="I51" s="2"/>
      <c r="J51" s="2"/>
      <c r="K51" s="2"/>
      <c r="L51" s="2"/>
      <c r="M51" s="2"/>
      <c r="N51" s="2"/>
      <c r="O51" s="2"/>
      <c r="P51" s="2"/>
      <c r="Q51" s="2"/>
      <c r="R51" s="2"/>
      <c r="S51" s="2"/>
    </row>
    <row r="52" customFormat="false" ht="15" hidden="false" customHeight="false" outlineLevel="0" collapsed="false">
      <c r="A52" s="2" t="s">
        <v>180</v>
      </c>
      <c r="B52" s="2" t="n">
        <f aca="false">COUNTIF('NBA Engine'!$AJ$2:$AJ$301,A52)</f>
        <v>3</v>
      </c>
      <c r="C52" s="9" t="n">
        <f aca="false">SUMIF('NBA Engine'!$AJ$2:$AJ$301,A52,'NBA Engine'!$H$2:$H$301)</f>
        <v>21036</v>
      </c>
      <c r="D52" s="2"/>
      <c r="E52" s="2"/>
      <c r="F52" s="2"/>
      <c r="G52" s="2"/>
      <c r="H52" s="2"/>
      <c r="I52" s="2"/>
      <c r="J52" s="2"/>
      <c r="K52" s="2"/>
      <c r="L52" s="2"/>
      <c r="M52" s="2"/>
      <c r="N52" s="2"/>
      <c r="O52" s="2"/>
      <c r="P52" s="2"/>
      <c r="Q52" s="2"/>
      <c r="R52" s="2"/>
      <c r="S52" s="2"/>
    </row>
    <row r="53" customFormat="false" ht="15" hidden="false" customHeight="false" outlineLevel="0" collapsed="false">
      <c r="A53" s="2" t="s">
        <v>193</v>
      </c>
      <c r="B53" s="2" t="n">
        <f aca="false">COUNTIF('NBA Engine'!$AJ$2:$AJ$301,A53)</f>
        <v>2</v>
      </c>
      <c r="C53" s="9" t="n">
        <f aca="false">SUMIF('NBA Engine'!$AJ$2:$AJ$301,A53,'NBA Engine'!$H$2:$H$301)</f>
        <v>13512</v>
      </c>
      <c r="D53" s="2"/>
      <c r="E53" s="2"/>
      <c r="F53" s="2"/>
      <c r="G53" s="2"/>
      <c r="H53" s="2"/>
      <c r="I53" s="2"/>
      <c r="J53" s="2"/>
      <c r="K53" s="2"/>
      <c r="L53" s="2"/>
      <c r="M53" s="2"/>
      <c r="N53" s="2"/>
      <c r="O53" s="2"/>
      <c r="P53" s="2"/>
      <c r="Q53" s="2"/>
      <c r="R53" s="2"/>
      <c r="S53" s="2"/>
    </row>
    <row r="54" customFormat="false" ht="15" hidden="false" customHeight="false" outlineLevel="0" collapsed="false">
      <c r="A54" s="2" t="s">
        <v>143</v>
      </c>
      <c r="B54" s="2" t="n">
        <f aca="false">COUNTIF('NBA Engine'!$AJ$2:$AJ$301,A54)</f>
        <v>9</v>
      </c>
      <c r="C54" s="9" t="n">
        <f aca="false">SUMIF('NBA Engine'!$AJ$2:$AJ$301,A54,'NBA Engine'!$H$2:$H$301)</f>
        <v>99329</v>
      </c>
      <c r="D54" s="2"/>
      <c r="E54" s="2"/>
      <c r="F54" s="2"/>
      <c r="G54" s="2"/>
      <c r="H54" s="2"/>
      <c r="I54" s="2"/>
      <c r="J54" s="2"/>
      <c r="K54" s="2"/>
      <c r="L54" s="2"/>
      <c r="M54" s="2"/>
      <c r="N54" s="2"/>
      <c r="O54" s="2"/>
      <c r="P54" s="2"/>
      <c r="Q54" s="2"/>
      <c r="R54" s="2"/>
      <c r="S54" s="2"/>
    </row>
    <row r="55" customFormat="false" ht="15" hidden="false" customHeight="false" outlineLevel="0" collapsed="false">
      <c r="A55" s="2" t="s">
        <v>254</v>
      </c>
      <c r="B55" s="2" t="n">
        <f aca="false">COUNTIF('NBA Engine'!$AJ$2:$AJ$301,A55)</f>
        <v>1</v>
      </c>
      <c r="C55" s="9" t="n">
        <f aca="false">SUMIF('NBA Engine'!$AJ$2:$AJ$301,A55,'NBA Engine'!$H$2:$H$301)</f>
        <v>3497</v>
      </c>
      <c r="D55" s="2"/>
      <c r="E55" s="2"/>
      <c r="F55" s="2"/>
      <c r="G55" s="2"/>
      <c r="H55" s="2"/>
      <c r="I55" s="2"/>
      <c r="J55" s="2"/>
      <c r="K55" s="2"/>
      <c r="L55" s="2"/>
      <c r="M55" s="2"/>
      <c r="N55" s="2"/>
      <c r="O55" s="2"/>
      <c r="P55" s="2"/>
      <c r="Q55" s="2"/>
      <c r="R55" s="2"/>
      <c r="S55" s="2"/>
    </row>
    <row r="56" customFormat="false" ht="15" hidden="false" customHeight="false" outlineLevel="0" collapsed="false">
      <c r="A56" s="2" t="s">
        <v>381</v>
      </c>
      <c r="B56" s="2" t="n">
        <f aca="false">COUNTIF('NBA Engine'!$AJ$2:$AJ$301,A56)</f>
        <v>4</v>
      </c>
      <c r="C56" s="9" t="n">
        <f aca="false">SUMIF('NBA Engine'!$AJ$2:$AJ$301,A56,'NBA Engine'!$H$2:$H$301)</f>
        <v>21181</v>
      </c>
      <c r="D56" s="2"/>
      <c r="E56" s="2"/>
      <c r="F56" s="2"/>
      <c r="G56" s="2"/>
      <c r="H56" s="2"/>
      <c r="I56" s="2"/>
      <c r="J56" s="2"/>
      <c r="K56" s="2"/>
      <c r="L56" s="2"/>
      <c r="M56" s="2"/>
      <c r="N56" s="2"/>
      <c r="O56" s="2"/>
      <c r="P56" s="2"/>
      <c r="Q56" s="2"/>
      <c r="R56" s="2"/>
      <c r="S56" s="2"/>
    </row>
    <row r="57" customFormat="false" ht="15" hidden="false" customHeight="false" outlineLevel="0" collapsed="false">
      <c r="A57" s="2" t="s">
        <v>390</v>
      </c>
      <c r="B57" s="2" t="n">
        <f aca="false">COUNTIF('NBA Engine'!$AJ$2:$AJ$301,A57)</f>
        <v>6</v>
      </c>
      <c r="C57" s="9" t="n">
        <f aca="false">SUMIF('NBA Engine'!$AJ$2:$AJ$301,A57,'NBA Engine'!$H$2:$H$301)</f>
        <v>24127</v>
      </c>
      <c r="D57" s="2"/>
      <c r="E57" s="2"/>
      <c r="F57" s="2"/>
      <c r="G57" s="2"/>
      <c r="H57" s="2"/>
      <c r="I57" s="2"/>
      <c r="J57" s="2"/>
      <c r="K57" s="2"/>
      <c r="L57" s="2"/>
      <c r="M57" s="2"/>
      <c r="N57" s="2"/>
      <c r="O57" s="2"/>
      <c r="P57" s="2"/>
      <c r="Q57" s="2"/>
      <c r="R57" s="2"/>
      <c r="S57" s="2"/>
    </row>
    <row r="58" customFormat="false" ht="15" hidden="false" customHeight="false" outlineLevel="0" collapsed="false">
      <c r="A58" s="2" t="s">
        <v>312</v>
      </c>
      <c r="B58" s="2" t="n">
        <f aca="false">COUNTIF('NBA Engine'!$AJ$2:$AJ$301,A58)</f>
        <v>7</v>
      </c>
      <c r="C58" s="9" t="n">
        <f aca="false">SUMIF('NBA Engine'!$AJ$2:$AJ$301,A58,'NBA Engine'!$H$2:$H$301)</f>
        <v>309427</v>
      </c>
      <c r="D58" s="2"/>
      <c r="E58" s="2"/>
      <c r="F58" s="2"/>
      <c r="G58" s="2"/>
      <c r="H58" s="2"/>
      <c r="I58" s="2"/>
      <c r="J58" s="2"/>
      <c r="K58" s="2"/>
      <c r="L58" s="2"/>
      <c r="M58" s="2"/>
      <c r="N58" s="2"/>
      <c r="O58" s="2"/>
      <c r="P58" s="2"/>
      <c r="Q58" s="2"/>
      <c r="R58" s="2"/>
      <c r="S58" s="2"/>
    </row>
    <row r="59" customFormat="false" ht="15" hidden="false" customHeight="false" outlineLevel="0" collapsed="false">
      <c r="A59" s="2" t="s">
        <v>452</v>
      </c>
      <c r="B59" s="2" t="n">
        <f aca="false">COUNTIF('NBA Engine'!$AJ$2:$AJ$301,A59)</f>
        <v>5</v>
      </c>
      <c r="C59" s="9" t="n">
        <f aca="false">SUMIF('NBA Engine'!$AJ$2:$AJ$301,A59,'NBA Engine'!$H$2:$H$301)</f>
        <v>17529</v>
      </c>
      <c r="D59" s="2"/>
      <c r="E59" s="2"/>
      <c r="F59" s="2"/>
      <c r="G59" s="2"/>
      <c r="H59" s="2"/>
      <c r="I59" s="2"/>
      <c r="J59" s="2"/>
      <c r="K59" s="2"/>
      <c r="L59" s="2"/>
      <c r="M59" s="2"/>
      <c r="N59" s="2"/>
      <c r="O59" s="2"/>
      <c r="P59" s="2"/>
      <c r="Q59" s="2"/>
      <c r="R59" s="2"/>
      <c r="S59" s="2"/>
    </row>
    <row r="60" customFormat="false" ht="15" hidden="false" customHeight="false" outlineLevel="0" collapsed="false">
      <c r="A60" s="2" t="s">
        <v>345</v>
      </c>
      <c r="B60" s="2" t="n">
        <f aca="false">COUNTIF('NBA Engine'!$AJ$2:$AJ$301,A60)</f>
        <v>3</v>
      </c>
      <c r="C60" s="9" t="n">
        <f aca="false">SUMIF('NBA Engine'!$AJ$2:$AJ$301,A60,'NBA Engine'!$H$2:$H$301)</f>
        <v>21913</v>
      </c>
      <c r="D60" s="2"/>
      <c r="E60" s="2"/>
      <c r="F60" s="2"/>
      <c r="G60" s="2"/>
      <c r="H60" s="2"/>
      <c r="I60" s="2"/>
      <c r="J60" s="2"/>
      <c r="K60" s="2"/>
      <c r="L60" s="2"/>
      <c r="M60" s="2"/>
      <c r="N60" s="2"/>
      <c r="O60" s="2"/>
      <c r="P60" s="2"/>
      <c r="Q60" s="2"/>
      <c r="R60" s="2"/>
      <c r="S60" s="2"/>
    </row>
    <row r="61" customFormat="false" ht="15" hidden="false" customHeight="false" outlineLevel="0" collapsed="false">
      <c r="A61" s="2" t="s">
        <v>436</v>
      </c>
      <c r="B61" s="2" t="n">
        <f aca="false">COUNTIF('NBA Engine'!$AJ$2:$AJ$301,A61)</f>
        <v>1</v>
      </c>
      <c r="C61" s="9" t="n">
        <f aca="false">SUMIF('NBA Engine'!$AJ$2:$AJ$301,A61,'NBA Engine'!$H$2:$H$301)</f>
        <v>2402</v>
      </c>
      <c r="D61" s="2"/>
      <c r="E61" s="2"/>
      <c r="F61" s="2"/>
      <c r="G61" s="2"/>
      <c r="H61" s="2"/>
      <c r="I61" s="2"/>
      <c r="J61" s="2"/>
      <c r="K61" s="2"/>
      <c r="L61" s="2"/>
      <c r="M61" s="2"/>
      <c r="N61" s="2"/>
      <c r="O61" s="2"/>
      <c r="P61" s="2"/>
      <c r="Q61" s="2"/>
      <c r="R61" s="2"/>
      <c r="S61" s="2"/>
    </row>
    <row r="62" customFormat="false" ht="15" hidden="false" customHeight="false" outlineLevel="0" collapsed="false">
      <c r="A62" s="2" t="s">
        <v>367</v>
      </c>
      <c r="B62" s="2" t="n">
        <f aca="false">COUNTIF('NBA Engine'!$AJ$2:$AJ$301,A62)</f>
        <v>3</v>
      </c>
      <c r="C62" s="9" t="n">
        <f aca="false">SUMIF('NBA Engine'!$AJ$2:$AJ$301,A62,'NBA Engine'!$H$2:$H$301)</f>
        <v>18494</v>
      </c>
      <c r="D62" s="2"/>
      <c r="E62" s="2"/>
      <c r="F62" s="2"/>
      <c r="G62" s="2"/>
      <c r="H62" s="2"/>
      <c r="I62" s="2"/>
      <c r="J62" s="2"/>
      <c r="K62" s="2"/>
      <c r="L62" s="2"/>
      <c r="M62" s="2"/>
      <c r="N62" s="2"/>
      <c r="O62" s="2"/>
      <c r="P62" s="2"/>
      <c r="Q62" s="2"/>
      <c r="R62" s="2"/>
      <c r="S62" s="2"/>
    </row>
    <row r="63" customFormat="false" ht="15" hidden="false" customHeight="false" outlineLevel="0" collapsed="false">
      <c r="A63" s="2" t="s">
        <v>543</v>
      </c>
      <c r="B63" s="2" t="n">
        <f aca="false">COUNTIF('NBA Engine'!$AJ$2:$AJ$301,A63)</f>
        <v>4</v>
      </c>
      <c r="C63" s="9" t="n">
        <f aca="false">SUMIF('NBA Engine'!$AJ$2:$AJ$301,A63,'NBA Engine'!$H$2:$H$301)</f>
        <v>2270</v>
      </c>
      <c r="D63" s="2"/>
      <c r="E63" s="2"/>
      <c r="F63" s="2"/>
      <c r="G63" s="2"/>
      <c r="H63" s="2"/>
      <c r="I63" s="2"/>
      <c r="J63" s="2"/>
      <c r="K63" s="2"/>
      <c r="L63" s="2"/>
      <c r="M63" s="2"/>
      <c r="N63" s="2"/>
      <c r="O63" s="2"/>
      <c r="P63" s="2"/>
      <c r="Q63" s="2"/>
      <c r="R63" s="2"/>
      <c r="S63" s="2"/>
    </row>
    <row r="64" customFormat="false" ht="15" hidden="false" customHeight="false" outlineLevel="0" collapsed="false">
      <c r="A64" s="2" t="s">
        <v>508</v>
      </c>
      <c r="B64" s="2" t="n">
        <f aca="false">COUNTIF('NBA Engine'!$AJ$2:$AJ$301,A64)</f>
        <v>3</v>
      </c>
      <c r="C64" s="9" t="n">
        <f aca="false">SUMIF('NBA Engine'!$AJ$2:$AJ$301,A64,'NBA Engine'!$H$2:$H$301)</f>
        <v>4089</v>
      </c>
      <c r="D64" s="2"/>
      <c r="E64" s="2"/>
      <c r="F64" s="2"/>
      <c r="G64" s="2"/>
      <c r="H64" s="2"/>
      <c r="I64" s="2"/>
      <c r="J64" s="2"/>
      <c r="K64" s="2"/>
      <c r="L64" s="2"/>
      <c r="M64" s="2"/>
      <c r="N64" s="2"/>
      <c r="O64" s="2"/>
      <c r="P64" s="2"/>
      <c r="Q64" s="2"/>
      <c r="R64" s="2"/>
      <c r="S64" s="2"/>
    </row>
    <row r="65" customFormat="false" ht="15" hidden="false" customHeight="false" outlineLevel="0" collapsed="false">
      <c r="A65" s="2" t="s">
        <v>493</v>
      </c>
      <c r="B65" s="2" t="n">
        <f aca="false">COUNTIF('NBA Engine'!$AJ$2:$AJ$301,A65)</f>
        <v>2</v>
      </c>
      <c r="C65" s="9" t="n">
        <f aca="false">SUMIF('NBA Engine'!$AJ$2:$AJ$301,A65,'NBA Engine'!$H$2:$H$301)</f>
        <v>2965</v>
      </c>
      <c r="D65" s="2"/>
      <c r="E65" s="2"/>
      <c r="F65" s="2"/>
      <c r="G65" s="2"/>
      <c r="H65" s="2"/>
      <c r="I65" s="2"/>
      <c r="J65" s="2"/>
      <c r="K65" s="2"/>
      <c r="L65" s="2"/>
      <c r="M65" s="2"/>
      <c r="N65" s="2"/>
      <c r="O65" s="2"/>
      <c r="P65" s="2"/>
      <c r="Q65" s="2"/>
      <c r="R65" s="2"/>
      <c r="S65" s="2"/>
    </row>
    <row r="66" customFormat="false" ht="15" hidden="false" customHeight="false" outlineLevel="0" collapsed="false">
      <c r="A66" s="2" t="s">
        <v>477</v>
      </c>
      <c r="B66" s="2" t="n">
        <f aca="false">COUNTIF('NBA Engine'!$AJ$2:$AJ$301,A66)</f>
        <v>8</v>
      </c>
      <c r="C66" s="9" t="n">
        <f aca="false">SUMIF('NBA Engine'!$AJ$2:$AJ$301,A66,'NBA Engine'!$H$2:$H$301)</f>
        <v>11615</v>
      </c>
      <c r="D66" s="2"/>
      <c r="E66" s="2"/>
      <c r="F66" s="2"/>
      <c r="G66" s="2"/>
      <c r="H66" s="2"/>
      <c r="I66" s="2"/>
      <c r="J66" s="2"/>
      <c r="K66" s="2"/>
      <c r="L66" s="2"/>
      <c r="M66" s="2"/>
      <c r="N66" s="2"/>
      <c r="O66" s="2"/>
      <c r="P66" s="2"/>
      <c r="Q66" s="2"/>
      <c r="R66" s="2"/>
      <c r="S66" s="2"/>
    </row>
    <row r="67" customFormat="false" ht="15" hidden="false" customHeight="false" outlineLevel="0" collapsed="false">
      <c r="A67" s="2" t="s">
        <v>595</v>
      </c>
      <c r="B67" s="2" t="n">
        <f aca="false">COUNTIF('NBA Engine'!$AJ$2:$AJ$301,A67)</f>
        <v>13</v>
      </c>
      <c r="C67" s="9" t="n">
        <f aca="false">SUMIF('NBA Engine'!$AJ$2:$AJ$301,A67,'NBA Engine'!$H$2:$H$301)</f>
        <v>9760</v>
      </c>
      <c r="D67" s="2"/>
      <c r="E67" s="2"/>
      <c r="F67" s="2"/>
      <c r="G67" s="2"/>
      <c r="H67" s="2"/>
      <c r="I67" s="2"/>
      <c r="J67" s="2"/>
      <c r="K67" s="2"/>
      <c r="L67" s="2"/>
      <c r="M67" s="2"/>
      <c r="N67" s="2"/>
      <c r="O67" s="2"/>
      <c r="P67" s="2"/>
      <c r="Q67" s="2"/>
      <c r="R67" s="2"/>
      <c r="S67" s="2"/>
    </row>
    <row r="68" customFormat="false" ht="15" hidden="false" customHeight="false" outlineLevel="0" collapsed="false">
      <c r="A68" s="2" t="s">
        <v>524</v>
      </c>
      <c r="B68" s="2" t="n">
        <f aca="false">COUNTIF('NBA Engine'!$AJ$2:$AJ$301,A68)</f>
        <v>201</v>
      </c>
      <c r="C68" s="9" t="n">
        <f aca="false">SUMIF('NBA Engine'!$AJ$2:$AJ$301,A68,'NBA Engine'!$H$2:$H$301)</f>
        <v>74567</v>
      </c>
      <c r="D68" s="2"/>
      <c r="E68" s="2"/>
      <c r="F68" s="2"/>
      <c r="G68" s="2"/>
      <c r="H68" s="2"/>
      <c r="I68" s="2"/>
      <c r="J68" s="2"/>
      <c r="K68" s="2"/>
      <c r="L68" s="2"/>
      <c r="M68" s="2"/>
      <c r="N68" s="2"/>
      <c r="O68" s="2"/>
      <c r="P68" s="2"/>
      <c r="Q68" s="2"/>
      <c r="R68" s="2"/>
      <c r="S68" s="2"/>
    </row>
    <row r="69" customFormat="false" ht="15" hidden="false" customHeight="false" outlineLevel="0" collapsed="false">
      <c r="A69" s="2"/>
      <c r="B69" s="2"/>
      <c r="C69" s="2"/>
      <c r="D69" s="2"/>
      <c r="E69" s="2"/>
      <c r="F69" s="2"/>
      <c r="G69" s="2"/>
      <c r="H69" s="2"/>
      <c r="I69" s="2"/>
      <c r="J69" s="2"/>
      <c r="K69" s="2"/>
      <c r="L69" s="2"/>
      <c r="M69" s="2"/>
      <c r="N69" s="2"/>
      <c r="O69" s="2"/>
      <c r="P69" s="2"/>
      <c r="Q69" s="2"/>
      <c r="R69" s="2"/>
      <c r="S69" s="2"/>
    </row>
    <row r="70" customFormat="false" ht="15" hidden="false" customHeight="false" outlineLevel="0" collapsed="false">
      <c r="A70" s="3" t="s">
        <v>1338</v>
      </c>
      <c r="B70" s="2"/>
      <c r="C70" s="2"/>
      <c r="D70" s="2"/>
      <c r="E70" s="2"/>
      <c r="F70" s="2"/>
      <c r="G70" s="2"/>
      <c r="H70" s="2"/>
      <c r="I70" s="2"/>
      <c r="J70" s="2"/>
      <c r="K70" s="2"/>
      <c r="L70" s="2"/>
      <c r="M70" s="2"/>
      <c r="N70" s="2"/>
      <c r="O70" s="2"/>
      <c r="P70" s="2"/>
      <c r="Q70" s="2"/>
      <c r="R70" s="2"/>
      <c r="S70" s="2"/>
    </row>
    <row r="71" customFormat="false" ht="15" hidden="false" customHeight="false" outlineLevel="0" collapsed="false">
      <c r="A71" s="12" t="s">
        <v>1339</v>
      </c>
      <c r="B71" s="12" t="s">
        <v>1319</v>
      </c>
      <c r="C71" s="12" t="s">
        <v>1320</v>
      </c>
      <c r="D71" s="12" t="s">
        <v>1340</v>
      </c>
      <c r="E71" s="12" t="s">
        <v>1341</v>
      </c>
      <c r="F71" s="12" t="s">
        <v>1342</v>
      </c>
      <c r="G71" s="12" t="s">
        <v>1343</v>
      </c>
      <c r="H71" s="3"/>
      <c r="I71" s="3"/>
      <c r="J71" s="3"/>
      <c r="K71" s="3"/>
      <c r="L71" s="3"/>
      <c r="M71" s="3"/>
      <c r="N71" s="3"/>
      <c r="O71" s="3"/>
      <c r="P71" s="3"/>
      <c r="Q71" s="3"/>
      <c r="R71" s="3"/>
      <c r="S71" s="3"/>
    </row>
    <row r="72" customFormat="false" ht="15" hidden="false" customHeight="false" outlineLevel="0" collapsed="false">
      <c r="A72" s="2" t="s">
        <v>1344</v>
      </c>
      <c r="B72" s="2" t="n">
        <f aca="false">COUNTIF('NBA Engine'!$AJ$2:$AJ$301,"MIGRATION_PHASE1_READY")</f>
        <v>4</v>
      </c>
      <c r="C72" s="9" t="n">
        <f aca="false">SUMIF('NBA Engine'!$AJ$2:$AJ$301,"MIGRATION_PHASE1_READY",'NBA Engine'!$H$2:$H$301)</f>
        <v>21181</v>
      </c>
      <c r="D72" s="2" t="n">
        <f aca="false">COUNTIFS('NBA Engine'!$AJ$2:$AJ$301,"MIGRATION_PHASE1_READY",'NBA Engine'!$V$2:$V$301,"&gt;="&amp;Assumptions!$B$58)</f>
        <v>0</v>
      </c>
      <c r="E72" s="2" t="n">
        <f aca="false">COUNTIFS('NBA Engine'!$AJ$2:$AJ$301,"MIGRATION_PHASE1_READY",'NBA Engine'!$W$2:$W$301,"&gt;="&amp;Assumptions!$B$57)</f>
        <v>0</v>
      </c>
      <c r="F72" s="2" t="n">
        <f aca="false">COUNTIFS('NBA Engine'!$AJ$2:$AJ$301,"MIGRATION_PHASE1_READY",'NBA Engine'!$X$2:$X$301,"&gt;="&amp;Assumptions!$B$59)</f>
        <v>0</v>
      </c>
      <c r="G72" s="2" t="n">
        <f aca="false">COUNTIFS('NBA Engine'!$AJ$2:$AJ$301,"MIGRATION_PHASE1_READY",'NBA Engine'!$BK$2:$BK$301,"Baseline")</f>
        <v>4</v>
      </c>
      <c r="H72" s="2"/>
      <c r="I72" s="2"/>
      <c r="J72" s="2"/>
      <c r="K72" s="2"/>
      <c r="L72" s="2"/>
      <c r="M72" s="2"/>
      <c r="N72" s="2"/>
      <c r="O72" s="2"/>
      <c r="P72" s="2"/>
      <c r="Q72" s="2"/>
      <c r="R72" s="2"/>
      <c r="S72" s="2"/>
    </row>
    <row r="73" customFormat="false" ht="15" hidden="false" customHeight="false" outlineLevel="0" collapsed="false">
      <c r="A73" s="2" t="s">
        <v>1345</v>
      </c>
      <c r="B73" s="2" t="n">
        <f aca="false">COUNTIF('NBA Engine'!$AJ$2:$AJ$301,"MIGRATION_PHASE1_REVIEW")</f>
        <v>6</v>
      </c>
      <c r="C73" s="9" t="n">
        <f aca="false">SUMIF('NBA Engine'!$AJ$2:$AJ$301,"MIGRATION_PHASE1_REVIEW",'NBA Engine'!$H$2:$H$301)</f>
        <v>24127</v>
      </c>
      <c r="D73" s="2" t="n">
        <f aca="false">COUNTIFS('NBA Engine'!$AJ$2:$AJ$301,"MIGRATION_PHASE1_REVIEW",'NBA Engine'!$V$2:$V$301,"&gt;="&amp;Assumptions!$B$58)</f>
        <v>0</v>
      </c>
      <c r="E73" s="2" t="n">
        <f aca="false">COUNTIFS('NBA Engine'!$AJ$2:$AJ$301,"MIGRATION_PHASE1_REVIEW",'NBA Engine'!$W$2:$W$301,"&gt;="&amp;Assumptions!$B$57)</f>
        <v>0</v>
      </c>
      <c r="F73" s="2" t="n">
        <f aca="false">COUNTIFS('NBA Engine'!$AJ$2:$AJ$301,"MIGRATION_PHASE1_REVIEW",'NBA Engine'!$X$2:$X$301,"&gt;="&amp;Assumptions!$B$59)</f>
        <v>0</v>
      </c>
      <c r="G73" s="2" t="n">
        <f aca="false">COUNTIFS('NBA Engine'!$AJ$2:$AJ$301,"MIGRATION_PHASE1_REVIEW",'NBA Engine'!$BK$2:$BK$301,"Baseline")</f>
        <v>6</v>
      </c>
      <c r="H73" s="2"/>
      <c r="I73" s="2"/>
      <c r="J73" s="2"/>
      <c r="K73" s="2"/>
      <c r="L73" s="2"/>
      <c r="M73" s="2"/>
      <c r="N73" s="2"/>
      <c r="O73" s="2"/>
      <c r="P73" s="2"/>
      <c r="Q73" s="2"/>
      <c r="R73" s="2"/>
      <c r="S73" s="2"/>
    </row>
    <row r="74" customFormat="false" ht="15" hidden="false" customHeight="false" outlineLevel="0" collapsed="false">
      <c r="A74" s="2" t="s">
        <v>1346</v>
      </c>
      <c r="B74" s="2" t="n">
        <f aca="false">COUNTIF('NBA Engine'!$AJ$2:$AJ$301,"MIGRATION_KEY_SIGNOFF")</f>
        <v>7</v>
      </c>
      <c r="C74" s="9" t="n">
        <f aca="false">SUMIF('NBA Engine'!$AJ$2:$AJ$301,"MIGRATION_KEY_SIGNOFF",'NBA Engine'!$H$2:$H$301)</f>
        <v>309427</v>
      </c>
      <c r="D74" s="2" t="n">
        <f aca="false">COUNTIFS('NBA Engine'!$AJ$2:$AJ$301,"MIGRATION_KEY_SIGNOFF",'NBA Engine'!$V$2:$V$301,"&gt;="&amp;Assumptions!$B$58)</f>
        <v>0</v>
      </c>
      <c r="E74" s="2" t="n">
        <f aca="false">COUNTIFS('NBA Engine'!$AJ$2:$AJ$301,"MIGRATION_KEY_SIGNOFF",'NBA Engine'!$W$2:$W$301,"&gt;="&amp;Assumptions!$B$57)</f>
        <v>0</v>
      </c>
      <c r="F74" s="2" t="n">
        <f aca="false">COUNTIFS('NBA Engine'!$AJ$2:$AJ$301,"MIGRATION_KEY_SIGNOFF",'NBA Engine'!$X$2:$X$301,"&gt;="&amp;Assumptions!$B$59)</f>
        <v>0</v>
      </c>
      <c r="G74" s="2" t="n">
        <f aca="false">COUNTIFS('NBA Engine'!$AJ$2:$AJ$301,"MIGRATION_KEY_SIGNOFF",'NBA Engine'!$BK$2:$BK$301,"Baseline")</f>
        <v>7</v>
      </c>
      <c r="H74" s="2"/>
      <c r="I74" s="2"/>
      <c r="J74" s="2"/>
      <c r="K74" s="2"/>
      <c r="L74" s="2"/>
      <c r="M74" s="2"/>
      <c r="N74" s="2"/>
      <c r="O74" s="2"/>
      <c r="P74" s="2"/>
      <c r="Q74" s="2"/>
      <c r="R74" s="2"/>
      <c r="S74" s="2"/>
    </row>
    <row r="75" customFormat="false" ht="15" hidden="false" customHeight="false" outlineLevel="0" collapsed="false">
      <c r="A75" s="2" t="s">
        <v>1347</v>
      </c>
      <c r="B75" s="2" t="n">
        <f aca="false">COUNTIF('NBA Engine'!$AJ$2:$AJ$301,"MIGRATION_PRE_ENTRY")</f>
        <v>5</v>
      </c>
      <c r="C75" s="9" t="n">
        <f aca="false">SUMIF('NBA Engine'!$AJ$2:$AJ$301,"MIGRATION_PRE_ENTRY",'NBA Engine'!$H$2:$H$301)</f>
        <v>17529</v>
      </c>
      <c r="D75" s="2" t="n">
        <f aca="false">COUNTIFS('NBA Engine'!$AJ$2:$AJ$301,"MIGRATION_PRE_ENTRY",'NBA Engine'!$V$2:$V$301,"&gt;="&amp;Assumptions!$B$58)</f>
        <v>0</v>
      </c>
      <c r="E75" s="2" t="n">
        <f aca="false">COUNTIFS('NBA Engine'!$AJ$2:$AJ$301,"MIGRATION_PRE_ENTRY",'NBA Engine'!$W$2:$W$301,"&gt;="&amp;Assumptions!$B$57)</f>
        <v>0</v>
      </c>
      <c r="F75" s="2" t="n">
        <f aca="false">COUNTIFS('NBA Engine'!$AJ$2:$AJ$301,"MIGRATION_PRE_ENTRY",'NBA Engine'!$X$2:$X$301,"&gt;="&amp;Assumptions!$B$59)</f>
        <v>0</v>
      </c>
      <c r="G75" s="2" t="n">
        <f aca="false">COUNTIFS('NBA Engine'!$AJ$2:$AJ$301,"MIGRATION_PRE_ENTRY",'NBA Engine'!$BK$2:$BK$301,"Baseline")</f>
        <v>5</v>
      </c>
      <c r="H75" s="2"/>
      <c r="I75" s="2"/>
      <c r="J75" s="2"/>
      <c r="K75" s="2"/>
      <c r="L75" s="2"/>
      <c r="M75" s="2"/>
      <c r="N75" s="2"/>
      <c r="O75" s="2"/>
      <c r="P75" s="2"/>
      <c r="Q75" s="2"/>
      <c r="R75" s="2"/>
      <c r="S75" s="2"/>
    </row>
    <row r="76" customFormat="false" ht="15" hidden="false" customHeight="false" outlineLevel="0" collapsed="false">
      <c r="A76" s="2"/>
      <c r="B76" s="2"/>
      <c r="C76" s="2"/>
      <c r="D76" s="2"/>
      <c r="E76" s="2"/>
      <c r="F76" s="2"/>
      <c r="G76" s="2"/>
      <c r="H76" s="2"/>
      <c r="I76" s="2"/>
      <c r="J76" s="2"/>
      <c r="K76" s="2"/>
      <c r="L76" s="2"/>
      <c r="M76" s="2"/>
      <c r="N76" s="2"/>
      <c r="O76" s="2"/>
      <c r="P76" s="2"/>
      <c r="Q76" s="2"/>
      <c r="R76" s="2"/>
      <c r="S76" s="2"/>
    </row>
    <row r="77" customFormat="false" ht="15" hidden="false" customHeight="false" outlineLevel="0" collapsed="false">
      <c r="A77" s="2"/>
      <c r="B77" s="2"/>
      <c r="C77" s="2"/>
      <c r="D77" s="2"/>
      <c r="E77" s="2"/>
      <c r="F77" s="2"/>
      <c r="G77" s="2"/>
      <c r="H77" s="2"/>
      <c r="I77" s="2"/>
      <c r="J77" s="2"/>
      <c r="K77" s="2"/>
      <c r="L77" s="2"/>
      <c r="M77" s="2"/>
      <c r="N77" s="2"/>
      <c r="O77" s="2"/>
      <c r="P77" s="2"/>
      <c r="Q77" s="2"/>
      <c r="R77" s="2"/>
      <c r="S77" s="2"/>
    </row>
    <row r="78" customFormat="false" ht="15" hidden="false" customHeight="false" outlineLevel="0" collapsed="false">
      <c r="A78" s="3" t="s">
        <v>1348</v>
      </c>
      <c r="B78" s="2"/>
      <c r="C78" s="2"/>
      <c r="D78" s="2"/>
      <c r="E78" s="2"/>
      <c r="F78" s="2"/>
      <c r="G78" s="2"/>
      <c r="H78" s="2"/>
      <c r="I78" s="2"/>
      <c r="J78" s="2"/>
      <c r="K78" s="2"/>
      <c r="L78" s="2"/>
      <c r="M78" s="2"/>
      <c r="N78" s="2"/>
      <c r="O78" s="2"/>
      <c r="P78" s="2"/>
      <c r="Q78" s="2"/>
      <c r="R78" s="2"/>
      <c r="S78" s="2"/>
    </row>
    <row r="79" customFormat="false" ht="15" hidden="false" customHeight="false" outlineLevel="0" collapsed="false">
      <c r="A79" s="12" t="s">
        <v>75</v>
      </c>
      <c r="B79" s="12" t="s">
        <v>1339</v>
      </c>
      <c r="C79" s="12" t="s">
        <v>80</v>
      </c>
      <c r="D79" s="12" t="s">
        <v>81</v>
      </c>
      <c r="E79" s="12" t="s">
        <v>82</v>
      </c>
      <c r="F79" s="12" t="s">
        <v>76</v>
      </c>
      <c r="G79" s="12" t="s">
        <v>99</v>
      </c>
      <c r="H79" s="12" t="s">
        <v>103</v>
      </c>
      <c r="I79" s="12" t="s">
        <v>94</v>
      </c>
      <c r="J79" s="3"/>
      <c r="K79" s="3"/>
      <c r="L79" s="3"/>
      <c r="M79" s="3"/>
      <c r="N79" s="3"/>
      <c r="O79" s="3"/>
      <c r="P79" s="3"/>
      <c r="Q79" s="3"/>
      <c r="R79" s="3"/>
      <c r="S79" s="3"/>
    </row>
    <row r="80" customFormat="false" ht="15" hidden="false" customHeight="false" outlineLevel="0" collapsed="false">
      <c r="A80" s="2" t="s">
        <v>403</v>
      </c>
      <c r="B80" s="2" t="s">
        <v>1349</v>
      </c>
      <c r="C80" s="2" t="str">
        <f aca="false">INDEX('NBA Engine'!$AK$2:$AK$301,MATCH($A80,'NBA Engine'!$A$2:$A$301,0))</f>
        <v>Reinforce Successful Behaviour</v>
      </c>
      <c r="D80" s="2" t="str">
        <f aca="false">INDEX('NBA Engine'!$AJ$2:$AJ$301,MATCH($A80,'NBA Engine'!$A$2:$A$301,0))</f>
        <v>HEALTHY_STRONG_SELF_SERVE</v>
      </c>
      <c r="E80" s="2" t="str">
        <f aca="false">INDEX('NBA Engine'!$AM$2:$AM$301,MATCH($A80,'NBA Engine'!$A$2:$A$301,0))</f>
        <v>Ready — Automated</v>
      </c>
      <c r="F80" s="2" t="str">
        <f aca="false">INDEX('NBA Engine'!$AN$2:$AN$301,MATCH($A80,'NBA Engine'!$A$2:$A$301,0))</f>
        <v>P2</v>
      </c>
      <c r="G80" s="2" t="str">
        <f aca="false">INDEX('NBA Engine'!$AR$2:$AR$301,MATCH($A80,'NBA Engine'!$A$2:$A$301,0))</f>
        <v/>
      </c>
      <c r="H80" s="2" t="str">
        <f aca="false">INDEX('NBA Engine'!$P$2:$P$301,MATCH($A80,'NBA Engine'!$A$2:$A$301,0))</f>
        <v>Recently Active</v>
      </c>
      <c r="I80" s="2" t="str">
        <f aca="false">INDEX('NBA Engine'!$AT$2:$AT$301,MATCH($A80,'NBA Engine'!$A$2:$A$301,0))</f>
        <v>H2_SINGLE_MONTH_SPIKE; </v>
      </c>
      <c r="J80" s="2"/>
      <c r="K80" s="2"/>
      <c r="L80" s="2"/>
      <c r="M80" s="2"/>
      <c r="N80" s="2"/>
      <c r="O80" s="2"/>
      <c r="P80" s="2"/>
      <c r="Q80" s="2"/>
      <c r="R80" s="2"/>
      <c r="S80" s="2"/>
    </row>
    <row r="81" customFormat="false" ht="15" hidden="false" customHeight="false" outlineLevel="0" collapsed="false">
      <c r="A81" s="2" t="s">
        <v>365</v>
      </c>
      <c r="B81" s="2" t="s">
        <v>1349</v>
      </c>
      <c r="C81" s="2" t="str">
        <f aca="false">INDEX('NBA Engine'!$AK$2:$AK$301,MATCH($A81,'NBA Engine'!$A$2:$A$301,0))</f>
        <v>Reinforce Successful Behaviour</v>
      </c>
      <c r="D81" s="2" t="str">
        <f aca="false">INDEX('NBA Engine'!$AJ$2:$AJ$301,MATCH($A81,'NBA Engine'!$A$2:$A$301,0))</f>
        <v>HEALTHY_STRONG_SELF_SERVE</v>
      </c>
      <c r="E81" s="2" t="str">
        <f aca="false">INDEX('NBA Engine'!$AM$2:$AM$301,MATCH($A81,'NBA Engine'!$A$2:$A$301,0))</f>
        <v>Ready — Automated</v>
      </c>
      <c r="F81" s="2" t="str">
        <f aca="false">INDEX('NBA Engine'!$AN$2:$AN$301,MATCH($A81,'NBA Engine'!$A$2:$A$301,0))</f>
        <v>P2</v>
      </c>
      <c r="G81" s="2" t="str">
        <f aca="false">INDEX('NBA Engine'!$AR$2:$AR$301,MATCH($A81,'NBA Engine'!$A$2:$A$301,0))</f>
        <v/>
      </c>
      <c r="H81" s="2" t="str">
        <f aca="false">INDEX('NBA Engine'!$P$2:$P$301,MATCH($A81,'NBA Engine'!$A$2:$A$301,0))</f>
        <v>Recently Active</v>
      </c>
      <c r="I81" s="2" t="str">
        <f aca="false">INDEX('NBA Engine'!$AT$2:$AT$301,MATCH($A81,'NBA Engine'!$A$2:$A$301,0))</f>
        <v/>
      </c>
      <c r="J81" s="2"/>
      <c r="K81" s="2"/>
      <c r="L81" s="2"/>
      <c r="M81" s="2"/>
      <c r="N81" s="2"/>
      <c r="O81" s="2"/>
      <c r="P81" s="2"/>
      <c r="Q81" s="2"/>
      <c r="R81" s="2"/>
      <c r="S81" s="2"/>
    </row>
    <row r="82" customFormat="false" ht="15" hidden="false" customHeight="false" outlineLevel="0" collapsed="false">
      <c r="A82" s="2" t="s">
        <v>405</v>
      </c>
      <c r="B82" s="2" t="s">
        <v>1349</v>
      </c>
      <c r="C82" s="2" t="str">
        <f aca="false">INDEX('NBA Engine'!$AK$2:$AK$301,MATCH($A82,'NBA Engine'!$A$2:$A$301,0))</f>
        <v>Reinforce Successful Behaviour</v>
      </c>
      <c r="D82" s="2" t="str">
        <f aca="false">INDEX('NBA Engine'!$AJ$2:$AJ$301,MATCH($A82,'NBA Engine'!$A$2:$A$301,0))</f>
        <v>HEALTHY_STRONG_SELF_SERVE</v>
      </c>
      <c r="E82" s="2" t="str">
        <f aca="false">INDEX('NBA Engine'!$AM$2:$AM$301,MATCH($A82,'NBA Engine'!$A$2:$A$301,0))</f>
        <v>Ready — Automated</v>
      </c>
      <c r="F82" s="2" t="str">
        <f aca="false">INDEX('NBA Engine'!$AN$2:$AN$301,MATCH($A82,'NBA Engine'!$A$2:$A$301,0))</f>
        <v>P2</v>
      </c>
      <c r="G82" s="2" t="str">
        <f aca="false">INDEX('NBA Engine'!$AR$2:$AR$301,MATCH($A82,'NBA Engine'!$A$2:$A$301,0))</f>
        <v/>
      </c>
      <c r="H82" s="2" t="str">
        <f aca="false">INDEX('NBA Engine'!$P$2:$P$301,MATCH($A82,'NBA Engine'!$A$2:$A$301,0))</f>
        <v>Recently Active</v>
      </c>
      <c r="I82" s="2" t="str">
        <f aca="false">INDEX('NBA Engine'!$AT$2:$AT$301,MATCH($A82,'NBA Engine'!$A$2:$A$301,0))</f>
        <v>NO_FEB_GMV (Feb unconfirmed); </v>
      </c>
      <c r="J82" s="2"/>
      <c r="K82" s="2"/>
      <c r="L82" s="2"/>
      <c r="M82" s="2"/>
      <c r="N82" s="2"/>
      <c r="O82" s="2"/>
      <c r="P82" s="2"/>
      <c r="Q82" s="2"/>
      <c r="R82" s="2"/>
      <c r="S82" s="2"/>
    </row>
    <row r="83" customFormat="false" ht="15" hidden="false" customHeight="false" outlineLevel="0" collapsed="false">
      <c r="A83" s="2" t="s">
        <v>252</v>
      </c>
      <c r="B83" s="2" t="s">
        <v>1349</v>
      </c>
      <c r="C83" s="2" t="str">
        <f aca="false">INDEX('NBA Engine'!$AK$2:$AK$301,MATCH($A83,'NBA Engine'!$A$2:$A$301,0))</f>
        <v>Verify Demand / Win-Back</v>
      </c>
      <c r="D83" s="2" t="str">
        <f aca="false">INDEX('NBA Engine'!$AJ$2:$AJ$301,MATCH($A83,'NBA Engine'!$A$2:$A$301,0))</f>
        <v>RECENT_INACTIVITY</v>
      </c>
      <c r="E83" s="2" t="str">
        <f aca="false">INDEX('NBA Engine'!$AM$2:$AM$301,MATCH($A83,'NBA Engine'!$A$2:$A$301,0))</f>
        <v>Ready — Human</v>
      </c>
      <c r="F83" s="2" t="str">
        <f aca="false">INDEX('NBA Engine'!$AN$2:$AN$301,MATCH($A83,'NBA Engine'!$A$2:$A$301,0))</f>
        <v>P1</v>
      </c>
      <c r="G83" s="2" t="str">
        <f aca="false">INDEX('NBA Engine'!$AR$2:$AR$301,MATCH($A83,'NBA Engine'!$A$2:$A$301,0))</f>
        <v/>
      </c>
      <c r="H83" s="2" t="str">
        <f aca="false">INDEX('NBA Engine'!$P$2:$P$301,MATCH($A83,'NBA Engine'!$A$2:$A$301,0))</f>
        <v>Recent Inactivity</v>
      </c>
      <c r="I83" s="2" t="str">
        <f aca="false">INDEX('NBA Engine'!$AT$2:$AT$301,MATCH($A83,'NBA Engine'!$A$2:$A$301,0))</f>
        <v>H2_SINGLE_MONTH_SPIKE; </v>
      </c>
      <c r="J83" s="2"/>
      <c r="K83" s="2"/>
      <c r="L83" s="2"/>
      <c r="M83" s="2"/>
      <c r="N83" s="2"/>
      <c r="O83" s="2"/>
      <c r="P83" s="2"/>
      <c r="Q83" s="2"/>
      <c r="R83" s="2"/>
      <c r="S83" s="2"/>
    </row>
    <row r="84" customFormat="false" ht="15" hidden="false" customHeight="false" outlineLevel="0" collapsed="false">
      <c r="A84" s="2" t="s">
        <v>490</v>
      </c>
      <c r="B84" s="2" t="s">
        <v>1350</v>
      </c>
      <c r="C84" s="2" t="str">
        <f aca="false">INDEX('NBA Engine'!$AK$2:$AK$301,MATCH($A84,'NBA Engine'!$A$2:$A$301,0))</f>
        <v>Automated Nurture</v>
      </c>
      <c r="D84" s="2" t="str">
        <f aca="false">INDEX('NBA Engine'!$AJ$2:$AJ$301,MATCH($A84,'NBA Engine'!$A$2:$A$301,0))</f>
        <v>RISING_TAIL_EARLY</v>
      </c>
      <c r="E84" s="2" t="str">
        <f aca="false">INDEX('NBA Engine'!$AM$2:$AM$301,MATCH($A84,'NBA Engine'!$A$2:$A$301,0))</f>
        <v>Ready — Automated</v>
      </c>
      <c r="F84" s="2" t="str">
        <f aca="false">INDEX('NBA Engine'!$AN$2:$AN$301,MATCH($A84,'NBA Engine'!$A$2:$A$301,0))</f>
        <v>P3</v>
      </c>
      <c r="G84" s="2" t="str">
        <f aca="false">INDEX('NBA Engine'!$AR$2:$AR$301,MATCH($A84,'NBA Engine'!$A$2:$A$301,0))</f>
        <v/>
      </c>
      <c r="H84" s="2" t="str">
        <f aca="false">INDEX('NBA Engine'!$P$2:$P$301,MATCH($A84,'NBA Engine'!$A$2:$A$301,0))</f>
        <v>Recently Active</v>
      </c>
      <c r="I84" s="2" t="str">
        <f aca="false">INDEX('NBA Engine'!$AT$2:$AT$301,MATCH($A84,'NBA Engine'!$A$2:$A$301,0))</f>
        <v>NO_FEB_GMV (Feb unconfirmed); </v>
      </c>
      <c r="J84" s="2"/>
      <c r="K84" s="2"/>
      <c r="L84" s="2"/>
      <c r="M84" s="2"/>
      <c r="N84" s="2"/>
      <c r="O84" s="2"/>
      <c r="P84" s="2"/>
      <c r="Q84" s="2"/>
      <c r="R84" s="2"/>
      <c r="S84" s="2"/>
    </row>
    <row r="85" customFormat="false" ht="15" hidden="false" customHeight="false" outlineLevel="0" collapsed="false">
      <c r="A85" s="2" t="s">
        <v>507</v>
      </c>
      <c r="B85" s="2" t="s">
        <v>1350</v>
      </c>
      <c r="C85" s="2" t="str">
        <f aca="false">INDEX('NBA Engine'!$AK$2:$AK$301,MATCH($A85,'NBA Engine'!$A$2:$A$301,0))</f>
        <v>Reinforce Successful Behaviour</v>
      </c>
      <c r="D85" s="2" t="str">
        <f aca="false">INDEX('NBA Engine'!$AJ$2:$AJ$301,MATCH($A85,'NBA Engine'!$A$2:$A$301,0))</f>
        <v>RISING_TAIL</v>
      </c>
      <c r="E85" s="2" t="str">
        <f aca="false">INDEX('NBA Engine'!$AM$2:$AM$301,MATCH($A85,'NBA Engine'!$A$2:$A$301,0))</f>
        <v>Ready — Automated</v>
      </c>
      <c r="F85" s="2" t="str">
        <f aca="false">INDEX('NBA Engine'!$AN$2:$AN$301,MATCH($A85,'NBA Engine'!$A$2:$A$301,0))</f>
        <v>P3</v>
      </c>
      <c r="G85" s="2" t="str">
        <f aca="false">INDEX('NBA Engine'!$AR$2:$AR$301,MATCH($A85,'NBA Engine'!$A$2:$A$301,0))</f>
        <v/>
      </c>
      <c r="H85" s="2" t="str">
        <f aca="false">INDEX('NBA Engine'!$P$2:$P$301,MATCH($A85,'NBA Engine'!$A$2:$A$301,0))</f>
        <v>Recently Active</v>
      </c>
      <c r="I85" s="2" t="str">
        <f aca="false">INDEX('NBA Engine'!$AT$2:$AT$301,MATCH($A85,'NBA Engine'!$A$2:$A$301,0))</f>
        <v/>
      </c>
      <c r="J85" s="2"/>
      <c r="K85" s="2"/>
      <c r="L85" s="2"/>
      <c r="M85" s="2"/>
      <c r="N85" s="2"/>
      <c r="O85" s="2"/>
      <c r="P85" s="2"/>
      <c r="Q85" s="2"/>
      <c r="R85" s="2"/>
      <c r="S85" s="2"/>
    </row>
    <row r="86" customFormat="false" ht="15" hidden="false" customHeight="false" outlineLevel="0" collapsed="false">
      <c r="A86" s="2" t="s">
        <v>533</v>
      </c>
      <c r="B86" s="2" t="s">
        <v>1350</v>
      </c>
      <c r="C86" s="2" t="str">
        <f aca="false">INDEX('NBA Engine'!$AK$2:$AK$301,MATCH($A86,'NBA Engine'!$A$2:$A$301,0))</f>
        <v>Reinforce Successful Behaviour</v>
      </c>
      <c r="D86" s="2" t="str">
        <f aca="false">INDEX('NBA Engine'!$AJ$2:$AJ$301,MATCH($A86,'NBA Engine'!$A$2:$A$301,0))</f>
        <v>RISING_TAIL</v>
      </c>
      <c r="E86" s="2" t="str">
        <f aca="false">INDEX('NBA Engine'!$AM$2:$AM$301,MATCH($A86,'NBA Engine'!$A$2:$A$301,0))</f>
        <v>Ready — Automated</v>
      </c>
      <c r="F86" s="2" t="str">
        <f aca="false">INDEX('NBA Engine'!$AN$2:$AN$301,MATCH($A86,'NBA Engine'!$A$2:$A$301,0))</f>
        <v>P3</v>
      </c>
      <c r="G86" s="2" t="str">
        <f aca="false">INDEX('NBA Engine'!$AR$2:$AR$301,MATCH($A86,'NBA Engine'!$A$2:$A$301,0))</f>
        <v>Range Expansion Test — trial handpick (experimental; not proven to lift GMV)</v>
      </c>
      <c r="H86" s="2" t="str">
        <f aca="false">INDEX('NBA Engine'!$P$2:$P$301,MATCH($A86,'NBA Engine'!$A$2:$A$301,0))</f>
        <v>Recently Active</v>
      </c>
      <c r="I86" s="2" t="str">
        <f aca="false">INDEX('NBA Engine'!$AT$2:$AT$301,MATCH($A86,'NBA Engine'!$A$2:$A$301,0))</f>
        <v/>
      </c>
      <c r="J86" s="2"/>
      <c r="K86" s="2"/>
      <c r="L86" s="2"/>
      <c r="M86" s="2"/>
      <c r="N86" s="2"/>
      <c r="O86" s="2"/>
      <c r="P86" s="2"/>
      <c r="Q86" s="2"/>
      <c r="R86" s="2"/>
      <c r="S86" s="2"/>
    </row>
    <row r="87" customFormat="false" ht="15" hidden="false" customHeight="false" outlineLevel="0" collapsed="false">
      <c r="A87" s="2" t="s">
        <v>539</v>
      </c>
      <c r="B87" s="2" t="s">
        <v>1350</v>
      </c>
      <c r="C87" s="2" t="str">
        <f aca="false">INDEX('NBA Engine'!$AK$2:$AK$301,MATCH($A87,'NBA Engine'!$A$2:$A$301,0))</f>
        <v>Reinforce Successful Behaviour</v>
      </c>
      <c r="D87" s="2" t="str">
        <f aca="false">INDEX('NBA Engine'!$AJ$2:$AJ$301,MATCH($A87,'NBA Engine'!$A$2:$A$301,0))</f>
        <v>RISING_TAIL</v>
      </c>
      <c r="E87" s="2" t="str">
        <f aca="false">INDEX('NBA Engine'!$AM$2:$AM$301,MATCH($A87,'NBA Engine'!$A$2:$A$301,0))</f>
        <v>Ready — Automated</v>
      </c>
      <c r="F87" s="2" t="str">
        <f aca="false">INDEX('NBA Engine'!$AN$2:$AN$301,MATCH($A87,'NBA Engine'!$A$2:$A$301,0))</f>
        <v>P3</v>
      </c>
      <c r="G87" s="2" t="str">
        <f aca="false">INDEX('NBA Engine'!$AR$2:$AR$301,MATCH($A87,'NBA Engine'!$A$2:$A$301,0))</f>
        <v>Range Expansion Test — trial handpick (experimental; not proven to lift GMV)</v>
      </c>
      <c r="H87" s="2" t="str">
        <f aca="false">INDEX('NBA Engine'!$P$2:$P$301,MATCH($A87,'NBA Engine'!$A$2:$A$301,0))</f>
        <v>Recently Active</v>
      </c>
      <c r="I87" s="2" t="str">
        <f aca="false">INDEX('NBA Engine'!$AT$2:$AT$301,MATCH($A87,'NBA Engine'!$A$2:$A$301,0))</f>
        <v/>
      </c>
      <c r="J87" s="2"/>
      <c r="K87" s="2"/>
      <c r="L87" s="2"/>
      <c r="M87" s="2"/>
      <c r="N87" s="2"/>
      <c r="O87" s="2"/>
      <c r="P87" s="2"/>
      <c r="Q87" s="2"/>
      <c r="R87" s="2"/>
      <c r="S87" s="2"/>
    </row>
    <row r="88" customFormat="false" ht="15" hidden="false" customHeight="false" outlineLevel="0" collapsed="false">
      <c r="A88" s="2" t="s">
        <v>553</v>
      </c>
      <c r="B88" s="2" t="s">
        <v>1350</v>
      </c>
      <c r="C88" s="2" t="str">
        <f aca="false">INDEX('NBA Engine'!$AK$2:$AK$301,MATCH($A88,'NBA Engine'!$A$2:$A$301,0))</f>
        <v>Automated Nurture</v>
      </c>
      <c r="D88" s="2" t="str">
        <f aca="false">INDEX('NBA Engine'!$AJ$2:$AJ$301,MATCH($A88,'NBA Engine'!$A$2:$A$301,0))</f>
        <v>RISING_TAIL_EARLY</v>
      </c>
      <c r="E88" s="2" t="str">
        <f aca="false">INDEX('NBA Engine'!$AM$2:$AM$301,MATCH($A88,'NBA Engine'!$A$2:$A$301,0))</f>
        <v>Ready — Automated</v>
      </c>
      <c r="F88" s="2" t="str">
        <f aca="false">INDEX('NBA Engine'!$AN$2:$AN$301,MATCH($A88,'NBA Engine'!$A$2:$A$301,0))</f>
        <v>P3</v>
      </c>
      <c r="G88" s="2" t="str">
        <f aca="false">INDEX('NBA Engine'!$AR$2:$AR$301,MATCH($A88,'NBA Engine'!$A$2:$A$301,0))</f>
        <v/>
      </c>
      <c r="H88" s="2" t="str">
        <f aca="false">INDEX('NBA Engine'!$P$2:$P$301,MATCH($A88,'NBA Engine'!$A$2:$A$301,0))</f>
        <v>Recently Active</v>
      </c>
      <c r="I88" s="2" t="str">
        <f aca="false">INDEX('NBA Engine'!$AT$2:$AT$301,MATCH($A88,'NBA Engine'!$A$2:$A$301,0))</f>
        <v>FEB_SENSITIVE; H2_SINGLE_MONTH_SPIKE; </v>
      </c>
      <c r="J88" s="2"/>
      <c r="K88" s="2"/>
      <c r="L88" s="2"/>
      <c r="M88" s="2"/>
      <c r="N88" s="2"/>
      <c r="O88" s="2"/>
      <c r="P88" s="2"/>
      <c r="Q88" s="2"/>
      <c r="R88" s="2"/>
      <c r="S88" s="2"/>
    </row>
    <row r="89" customFormat="false" ht="15" hidden="false" customHeight="false" outlineLevel="0" collapsed="false">
      <c r="A89" s="2" t="s">
        <v>541</v>
      </c>
      <c r="B89" s="2" t="s">
        <v>1350</v>
      </c>
      <c r="C89" s="2" t="str">
        <f aca="false">INDEX('NBA Engine'!$AK$2:$AK$301,MATCH($A89,'NBA Engine'!$A$2:$A$301,0))</f>
        <v>Discovery-to-Offer Enablement</v>
      </c>
      <c r="D89" s="2" t="str">
        <f aca="false">INDEX('NBA Engine'!$AJ$2:$AJ$301,MATCH($A89,'NBA Engine'!$A$2:$A$301,0))</f>
        <v>BROWSING_LOW_OFFERS</v>
      </c>
      <c r="E89" s="2" t="str">
        <f aca="false">INDEX('NBA Engine'!$AM$2:$AM$301,MATCH($A89,'NBA Engine'!$A$2:$A$301,0))</f>
        <v>Ready — Automated</v>
      </c>
      <c r="F89" s="2" t="str">
        <f aca="false">INDEX('NBA Engine'!$AN$2:$AN$301,MATCH($A89,'NBA Engine'!$A$2:$A$301,0))</f>
        <v>P3</v>
      </c>
      <c r="G89" s="2" t="str">
        <f aca="false">INDEX('NBA Engine'!$AR$2:$AR$301,MATCH($A89,'NBA Engine'!$A$2:$A$301,0))</f>
        <v/>
      </c>
      <c r="H89" s="2" t="str">
        <f aca="false">INDEX('NBA Engine'!$P$2:$P$301,MATCH($A89,'NBA Engine'!$A$2:$A$301,0))</f>
        <v>Recently Active</v>
      </c>
      <c r="I89" s="2" t="str">
        <f aca="false">INDEX('NBA Engine'!$AT$2:$AT$301,MATCH($A89,'NBA Engine'!$A$2:$A$301,0))</f>
        <v/>
      </c>
      <c r="J89" s="2"/>
      <c r="K89" s="2"/>
      <c r="L89" s="2"/>
      <c r="M89" s="2"/>
      <c r="N89" s="2"/>
      <c r="O89" s="2"/>
      <c r="P89" s="2"/>
      <c r="Q89" s="2"/>
      <c r="R89" s="2"/>
      <c r="S89" s="2"/>
    </row>
    <row r="90" customFormat="false" ht="15" hidden="false" customHeight="false" outlineLevel="0" collapsed="false">
      <c r="A90" s="2"/>
      <c r="B90" s="2"/>
      <c r="C90" s="2"/>
      <c r="D90" s="2"/>
      <c r="E90" s="2"/>
      <c r="F90" s="2"/>
      <c r="G90" s="2"/>
      <c r="H90" s="2"/>
      <c r="I90" s="2"/>
      <c r="J90" s="2"/>
      <c r="K90" s="2"/>
      <c r="L90" s="2"/>
      <c r="M90" s="2"/>
      <c r="N90" s="2"/>
      <c r="O90" s="2"/>
      <c r="P90" s="2"/>
      <c r="Q90" s="2"/>
      <c r="R90" s="2"/>
      <c r="S90" s="2"/>
    </row>
    <row r="91" customFormat="false" ht="15" hidden="false" customHeight="false" outlineLevel="0" collapsed="false">
      <c r="A91" s="3" t="s">
        <v>1351</v>
      </c>
      <c r="B91" s="2"/>
      <c r="C91" s="2"/>
      <c r="D91" s="2"/>
      <c r="E91" s="2"/>
      <c r="F91" s="2"/>
      <c r="G91" s="2"/>
      <c r="H91" s="2"/>
      <c r="I91" s="2"/>
      <c r="J91" s="2"/>
      <c r="K91" s="2"/>
      <c r="L91" s="2"/>
      <c r="M91" s="2"/>
      <c r="N91" s="2"/>
      <c r="O91" s="2"/>
      <c r="P91" s="2"/>
      <c r="Q91" s="2"/>
      <c r="R91" s="2"/>
      <c r="S91" s="2"/>
    </row>
    <row r="92" customFormat="false" ht="15" hidden="false" customHeight="false" outlineLevel="0" collapsed="false">
      <c r="A92" s="12" t="s">
        <v>75</v>
      </c>
      <c r="B92" s="12" t="s">
        <v>76</v>
      </c>
      <c r="C92" s="12" t="s">
        <v>1352</v>
      </c>
      <c r="D92" s="12" t="s">
        <v>78</v>
      </c>
      <c r="E92" s="12" t="s">
        <v>80</v>
      </c>
      <c r="F92" s="12" t="s">
        <v>82</v>
      </c>
      <c r="G92" s="12" t="s">
        <v>81</v>
      </c>
      <c r="H92" s="12" t="s">
        <v>94</v>
      </c>
      <c r="I92" s="3"/>
      <c r="J92" s="3"/>
      <c r="K92" s="3"/>
      <c r="L92" s="3"/>
      <c r="M92" s="3"/>
      <c r="N92" s="3"/>
      <c r="O92" s="3"/>
      <c r="P92" s="3"/>
      <c r="Q92" s="3"/>
      <c r="R92" s="3"/>
      <c r="S92" s="3"/>
    </row>
    <row r="93" customFormat="false" ht="15" hidden="false" customHeight="false" outlineLevel="0" collapsed="false">
      <c r="A93" s="2" t="s">
        <v>113</v>
      </c>
      <c r="B93" s="2" t="str">
        <f aca="false">INDEX('NBA Engine'!$AN$2:$AN$301,MATCH($A93,'NBA Engine'!$A$2:$A$301,0))</f>
        <v>P0</v>
      </c>
      <c r="C93" s="2" t="str">
        <f aca="false">INDEX('NBA Engine'!$E$2:$E$301,MATCH($A93,'NBA Engine'!$A$2:$A$301,0))</f>
        <v>Key</v>
      </c>
      <c r="D93" s="9" t="n">
        <f aca="false">INDEX('NBA Engine'!$H$2:$H$301,MATCH($A93,'NBA Engine'!$A$2:$A$301,0))</f>
        <v>24555</v>
      </c>
      <c r="E93" s="2" t="str">
        <f aca="false">INDEX('NBA Engine'!$AK$2:$AK$301,MATCH($A93,'NBA Engine'!$A$2:$A$301,0))</f>
        <v>Retention Conversation</v>
      </c>
      <c r="F93" s="2" t="str">
        <f aca="false">INDEX('NBA Engine'!$AM$2:$AM$301,MATCH($A93,'NBA Engine'!$A$2:$A$301,0))</f>
        <v>HOLD — Critical Data Issue</v>
      </c>
      <c r="G93" s="2" t="str">
        <f aca="false">INDEX('NBA Engine'!$AJ$2:$AJ$301,MATCH($A93,'NBA Engine'!$A$2:$A$301,0))</f>
        <v>DECLINING_KEY_CORE</v>
      </c>
      <c r="H93" s="2" t="str">
        <f aca="false">INDEX('NBA Engine'!$AT$2:$AT$301,MATCH($A93,'NBA Engine'!$A$2:$A$301,0))</f>
        <v>CRITICAL_DATA_BLOCKER; </v>
      </c>
      <c r="I93" s="2"/>
      <c r="J93" s="2"/>
      <c r="K93" s="2"/>
      <c r="L93" s="2"/>
      <c r="M93" s="2"/>
      <c r="N93" s="2"/>
      <c r="O93" s="2"/>
      <c r="P93" s="2"/>
      <c r="Q93" s="2"/>
      <c r="R93" s="2"/>
      <c r="S93" s="2"/>
    </row>
    <row r="94" customFormat="false" ht="15" hidden="false" customHeight="false" outlineLevel="0" collapsed="false">
      <c r="A94" s="2" t="s">
        <v>139</v>
      </c>
      <c r="B94" s="2" t="str">
        <f aca="false">INDEX('NBA Engine'!$AN$2:$AN$301,MATCH($A94,'NBA Engine'!$A$2:$A$301,0))</f>
        <v>P1</v>
      </c>
      <c r="C94" s="2" t="str">
        <f aca="false">INDEX('NBA Engine'!$E$2:$E$301,MATCH($A94,'NBA Engine'!$A$2:$A$301,0))</f>
        <v>Key</v>
      </c>
      <c r="D94" s="9" t="n">
        <f aca="false">INDEX('NBA Engine'!$H$2:$H$301,MATCH($A94,'NBA Engine'!$A$2:$A$301,0))</f>
        <v>70650</v>
      </c>
      <c r="E94" s="2" t="str">
        <f aca="false">INDEX('NBA Engine'!$AK$2:$AK$301,MATCH($A94,'NBA Engine'!$A$2:$A$301,0))</f>
        <v>Verify Demand / Win-Back</v>
      </c>
      <c r="F94" s="2" t="str">
        <f aca="false">INDEX('NBA Engine'!$AM$2:$AM$301,MATCH($A94,'NBA Engine'!$A$2:$A$301,0))</f>
        <v>Ready — Human</v>
      </c>
      <c r="G94" s="2" t="str">
        <f aca="false">INDEX('NBA Engine'!$AJ$2:$AJ$301,MATCH($A94,'NBA Engine'!$A$2:$A$301,0))</f>
        <v>LAPSED_THIN_HISTORY</v>
      </c>
      <c r="H94" s="2" t="str">
        <f aca="false">INDEX('NBA Engine'!$AT$2:$AT$301,MATCH($A94,'NBA Engine'!$A$2:$A$301,0))</f>
        <v>MATERIAL_BROKER_INCONSISTENCY; LOW_CONFIDENCE; </v>
      </c>
      <c r="I94" s="2"/>
      <c r="J94" s="2"/>
      <c r="K94" s="2"/>
      <c r="L94" s="2"/>
      <c r="M94" s="2"/>
      <c r="N94" s="2"/>
      <c r="O94" s="2"/>
      <c r="P94" s="2"/>
      <c r="Q94" s="2"/>
      <c r="R94" s="2"/>
      <c r="S94" s="2"/>
    </row>
    <row r="95" customFormat="false" ht="15" hidden="false" customHeight="false" outlineLevel="0" collapsed="false">
      <c r="A95" s="2" t="s">
        <v>161</v>
      </c>
      <c r="B95" s="2" t="str">
        <f aca="false">INDEX('NBA Engine'!$AN$2:$AN$301,MATCH($A95,'NBA Engine'!$A$2:$A$301,0))</f>
        <v>P1</v>
      </c>
      <c r="C95" s="2" t="str">
        <f aca="false">INDEX('NBA Engine'!$E$2:$E$301,MATCH($A95,'NBA Engine'!$A$2:$A$301,0))</f>
        <v>Key</v>
      </c>
      <c r="D95" s="9" t="n">
        <f aca="false">INDEX('NBA Engine'!$H$2:$H$301,MATCH($A95,'NBA Engine'!$A$2:$A$301,0))</f>
        <v>19265</v>
      </c>
      <c r="E95" s="2" t="str">
        <f aca="false">INDEX('NBA Engine'!$AK$2:$AK$301,MATCH($A95,'NBA Engine'!$A$2:$A$301,0))</f>
        <v>Retention Conversation</v>
      </c>
      <c r="F95" s="2" t="str">
        <f aca="false">INDEX('NBA Engine'!$AM$2:$AM$301,MATCH($A95,'NBA Engine'!$A$2:$A$301,0))</f>
        <v>Ready — Human</v>
      </c>
      <c r="G95" s="2" t="str">
        <f aca="false">INDEX('NBA Engine'!$AJ$2:$AJ$301,MATCH($A95,'NBA Engine'!$A$2:$A$301,0))</f>
        <v>DECLINING_KEY_CORE</v>
      </c>
      <c r="H95" s="2" t="str">
        <f aca="false">INDEX('NBA Engine'!$AT$2:$AT$301,MATCH($A95,'NBA Engine'!$A$2:$A$301,0))</f>
        <v>H2_SINGLE_MONTH_SPIKE; </v>
      </c>
      <c r="I95" s="2"/>
      <c r="J95" s="2"/>
      <c r="K95" s="2"/>
      <c r="L95" s="2"/>
      <c r="M95" s="2"/>
      <c r="N95" s="2"/>
      <c r="O95" s="2"/>
      <c r="P95" s="2"/>
      <c r="Q95" s="2"/>
      <c r="R95" s="2"/>
      <c r="S95" s="2"/>
    </row>
    <row r="96" customFormat="false" ht="15" hidden="false" customHeight="false" outlineLevel="0" collapsed="false">
      <c r="A96" s="2" t="s">
        <v>168</v>
      </c>
      <c r="B96" s="2" t="str">
        <f aca="false">INDEX('NBA Engine'!$AN$2:$AN$301,MATCH($A96,'NBA Engine'!$A$2:$A$301,0))</f>
        <v>P1</v>
      </c>
      <c r="C96" s="2" t="str">
        <f aca="false">INDEX('NBA Engine'!$E$2:$E$301,MATCH($A96,'NBA Engine'!$A$2:$A$301,0))</f>
        <v>Key</v>
      </c>
      <c r="D96" s="9" t="n">
        <f aca="false">INDEX('NBA Engine'!$H$2:$H$301,MATCH($A96,'NBA Engine'!$A$2:$A$301,0))</f>
        <v>18652</v>
      </c>
      <c r="E96" s="2" t="str">
        <f aca="false">INDEX('NBA Engine'!$AK$2:$AK$301,MATCH($A96,'NBA Engine'!$A$2:$A$301,0))</f>
        <v>Retention Conversation</v>
      </c>
      <c r="F96" s="2" t="str">
        <f aca="false">INDEX('NBA Engine'!$AM$2:$AM$301,MATCH($A96,'NBA Engine'!$A$2:$A$301,0))</f>
        <v>Ready — Human</v>
      </c>
      <c r="G96" s="2" t="str">
        <f aca="false">INDEX('NBA Engine'!$AJ$2:$AJ$301,MATCH($A96,'NBA Engine'!$A$2:$A$301,0))</f>
        <v>DECLINING_KEY_CORE</v>
      </c>
      <c r="H96" s="2" t="str">
        <f aca="false">INDEX('NBA Engine'!$AT$2:$AT$301,MATCH($A96,'NBA Engine'!$A$2:$A$301,0))</f>
        <v/>
      </c>
      <c r="I96" s="2"/>
      <c r="J96" s="2"/>
      <c r="K96" s="2"/>
      <c r="L96" s="2"/>
      <c r="M96" s="2"/>
      <c r="N96" s="2"/>
      <c r="O96" s="2"/>
      <c r="P96" s="2"/>
      <c r="Q96" s="2"/>
      <c r="R96" s="2"/>
      <c r="S96" s="2"/>
    </row>
    <row r="97" customFormat="false" ht="15" hidden="false" customHeight="false" outlineLevel="0" collapsed="false">
      <c r="A97" s="2" t="s">
        <v>171</v>
      </c>
      <c r="B97" s="2" t="str">
        <f aca="false">INDEX('NBA Engine'!$AN$2:$AN$301,MATCH($A97,'NBA Engine'!$A$2:$A$301,0))</f>
        <v>P1</v>
      </c>
      <c r="C97" s="2" t="str">
        <f aca="false">INDEX('NBA Engine'!$E$2:$E$301,MATCH($A97,'NBA Engine'!$A$2:$A$301,0))</f>
        <v>Key</v>
      </c>
      <c r="D97" s="9" t="n">
        <f aca="false">INDEX('NBA Engine'!$H$2:$H$301,MATCH($A97,'NBA Engine'!$A$2:$A$301,0))</f>
        <v>17026</v>
      </c>
      <c r="E97" s="2" t="str">
        <f aca="false">INDEX('NBA Engine'!$AK$2:$AK$301,MATCH($A97,'NBA Engine'!$A$2:$A$301,0))</f>
        <v>Retention Conversation</v>
      </c>
      <c r="F97" s="2" t="str">
        <f aca="false">INDEX('NBA Engine'!$AM$2:$AM$301,MATCH($A97,'NBA Engine'!$A$2:$A$301,0))</f>
        <v>Ready — Human</v>
      </c>
      <c r="G97" s="2" t="str">
        <f aca="false">INDEX('NBA Engine'!$AJ$2:$AJ$301,MATCH($A97,'NBA Engine'!$A$2:$A$301,0))</f>
        <v>DECLINING_KEY_CORE</v>
      </c>
      <c r="H97" s="2" t="str">
        <f aca="false">INDEX('NBA Engine'!$AT$2:$AT$301,MATCH($A97,'NBA Engine'!$A$2:$A$301,0))</f>
        <v/>
      </c>
      <c r="I97" s="2"/>
      <c r="J97" s="2"/>
      <c r="K97" s="2"/>
      <c r="L97" s="2"/>
      <c r="M97" s="2"/>
      <c r="N97" s="2"/>
      <c r="O97" s="2"/>
      <c r="P97" s="2"/>
      <c r="Q97" s="2"/>
      <c r="R97" s="2"/>
      <c r="S97" s="2"/>
    </row>
    <row r="98" customFormat="false" ht="15" hidden="false" customHeight="false" outlineLevel="0" collapsed="false">
      <c r="A98" s="2" t="s">
        <v>175</v>
      </c>
      <c r="B98" s="2" t="str">
        <f aca="false">INDEX('NBA Engine'!$AN$2:$AN$301,MATCH($A98,'NBA Engine'!$A$2:$A$301,0))</f>
        <v>P1</v>
      </c>
      <c r="C98" s="2" t="str">
        <f aca="false">INDEX('NBA Engine'!$E$2:$E$301,MATCH($A98,'NBA Engine'!$A$2:$A$301,0))</f>
        <v>Key</v>
      </c>
      <c r="D98" s="9" t="n">
        <f aca="false">INDEX('NBA Engine'!$H$2:$H$301,MATCH($A98,'NBA Engine'!$A$2:$A$301,0))</f>
        <v>14315</v>
      </c>
      <c r="E98" s="2" t="str">
        <f aca="false">INDEX('NBA Engine'!$AK$2:$AK$301,MATCH($A98,'NBA Engine'!$A$2:$A$301,0))</f>
        <v>Retention Conversation</v>
      </c>
      <c r="F98" s="2" t="str">
        <f aca="false">INDEX('NBA Engine'!$AM$2:$AM$301,MATCH($A98,'NBA Engine'!$A$2:$A$301,0))</f>
        <v>Ready — Human</v>
      </c>
      <c r="G98" s="2" t="str">
        <f aca="false">INDEX('NBA Engine'!$AJ$2:$AJ$301,MATCH($A98,'NBA Engine'!$A$2:$A$301,0))</f>
        <v>DECLINING_KEY_CORE</v>
      </c>
      <c r="H98" s="2" t="str">
        <f aca="false">INDEX('NBA Engine'!$AT$2:$AT$301,MATCH($A98,'NBA Engine'!$A$2:$A$301,0))</f>
        <v/>
      </c>
      <c r="I98" s="2"/>
      <c r="J98" s="2"/>
      <c r="K98" s="2"/>
      <c r="L98" s="2"/>
      <c r="M98" s="2"/>
      <c r="N98" s="2"/>
      <c r="O98" s="2"/>
      <c r="P98" s="2"/>
      <c r="Q98" s="2"/>
      <c r="R98" s="2"/>
      <c r="S98" s="2"/>
    </row>
    <row r="99" customFormat="false" ht="15" hidden="false" customHeight="false" outlineLevel="0" collapsed="false">
      <c r="A99" s="2" t="s">
        <v>178</v>
      </c>
      <c r="B99" s="2" t="str">
        <f aca="false">INDEX('NBA Engine'!$AN$2:$AN$301,MATCH($A99,'NBA Engine'!$A$2:$A$301,0))</f>
        <v>P1</v>
      </c>
      <c r="C99" s="2" t="str">
        <f aca="false">INDEX('NBA Engine'!$E$2:$E$301,MATCH($A99,'NBA Engine'!$A$2:$A$301,0))</f>
        <v>Key</v>
      </c>
      <c r="D99" s="9" t="n">
        <f aca="false">INDEX('NBA Engine'!$H$2:$H$301,MATCH($A99,'NBA Engine'!$A$2:$A$301,0))</f>
        <v>13412</v>
      </c>
      <c r="E99" s="2" t="str">
        <f aca="false">INDEX('NBA Engine'!$AK$2:$AK$301,MATCH($A99,'NBA Engine'!$A$2:$A$301,0))</f>
        <v>Retention Conversation</v>
      </c>
      <c r="F99" s="2" t="str">
        <f aca="false">INDEX('NBA Engine'!$AM$2:$AM$301,MATCH($A99,'NBA Engine'!$A$2:$A$301,0))</f>
        <v>Ready — Human</v>
      </c>
      <c r="G99" s="2" t="str">
        <f aca="false">INDEX('NBA Engine'!$AJ$2:$AJ$301,MATCH($A99,'NBA Engine'!$A$2:$A$301,0))</f>
        <v>ENGAGED_BUT_SHRINKING</v>
      </c>
      <c r="H99" s="2" t="str">
        <f aca="false">INDEX('NBA Engine'!$AT$2:$AT$301,MATCH($A99,'NBA Engine'!$A$2:$A$301,0))</f>
        <v>H2_SINGLE_MONTH_SPIKE; </v>
      </c>
      <c r="I99" s="2"/>
      <c r="J99" s="2"/>
      <c r="K99" s="2"/>
      <c r="L99" s="2"/>
      <c r="M99" s="2"/>
      <c r="N99" s="2"/>
      <c r="O99" s="2"/>
      <c r="P99" s="2"/>
      <c r="Q99" s="2"/>
      <c r="R99" s="2"/>
      <c r="S99" s="2"/>
    </row>
    <row r="100" customFormat="false" ht="15" hidden="false" customHeight="false" outlineLevel="0" collapsed="false">
      <c r="A100" s="2" t="s">
        <v>189</v>
      </c>
      <c r="B100" s="2" t="str">
        <f aca="false">INDEX('NBA Engine'!$AN$2:$AN$301,MATCH($A100,'NBA Engine'!$A$2:$A$301,0))</f>
        <v>P1</v>
      </c>
      <c r="C100" s="2" t="str">
        <f aca="false">INDEX('NBA Engine'!$E$2:$E$301,MATCH($A100,'NBA Engine'!$A$2:$A$301,0))</f>
        <v>Key</v>
      </c>
      <c r="D100" s="9" t="n">
        <f aca="false">INDEX('NBA Engine'!$H$2:$H$301,MATCH($A100,'NBA Engine'!$A$2:$A$301,0))</f>
        <v>11721</v>
      </c>
      <c r="E100" s="2" t="str">
        <f aca="false">INDEX('NBA Engine'!$AK$2:$AK$301,MATCH($A100,'NBA Engine'!$A$2:$A$301,0))</f>
        <v>Retention Conversation</v>
      </c>
      <c r="F100" s="2" t="str">
        <f aca="false">INDEX('NBA Engine'!$AM$2:$AM$301,MATCH($A100,'NBA Engine'!$A$2:$A$301,0))</f>
        <v>Ready — Human</v>
      </c>
      <c r="G100" s="2" t="str">
        <f aca="false">INDEX('NBA Engine'!$AJ$2:$AJ$301,MATCH($A100,'NBA Engine'!$A$2:$A$301,0))</f>
        <v>DECLINING_KEY_CORE</v>
      </c>
      <c r="H100" s="2" t="str">
        <f aca="false">INDEX('NBA Engine'!$AT$2:$AT$301,MATCH($A100,'NBA Engine'!$A$2:$A$301,0))</f>
        <v/>
      </c>
      <c r="I100" s="2"/>
      <c r="J100" s="2"/>
      <c r="K100" s="2"/>
      <c r="L100" s="2"/>
      <c r="M100" s="2"/>
      <c r="N100" s="2"/>
      <c r="O100" s="2"/>
      <c r="P100" s="2"/>
      <c r="Q100" s="2"/>
      <c r="R100" s="2"/>
      <c r="S100" s="2"/>
    </row>
    <row r="101" customFormat="false" ht="15" hidden="false" customHeight="false" outlineLevel="0" collapsed="false">
      <c r="A101" s="2" t="s">
        <v>192</v>
      </c>
      <c r="B101" s="2" t="str">
        <f aca="false">INDEX('NBA Engine'!$AN$2:$AN$301,MATCH($A101,'NBA Engine'!$A$2:$A$301,0))</f>
        <v>P1</v>
      </c>
      <c r="C101" s="2" t="str">
        <f aca="false">INDEX('NBA Engine'!$E$2:$E$301,MATCH($A101,'NBA Engine'!$A$2:$A$301,0))</f>
        <v>Key</v>
      </c>
      <c r="D101" s="9" t="n">
        <f aca="false">INDEX('NBA Engine'!$H$2:$H$301,MATCH($A101,'NBA Engine'!$A$2:$A$301,0))</f>
        <v>11481</v>
      </c>
      <c r="E101" s="2" t="str">
        <f aca="false">INDEX('NBA Engine'!$AK$2:$AK$301,MATCH($A101,'NBA Engine'!$A$2:$A$301,0))</f>
        <v>Verify Demand / Win-Back</v>
      </c>
      <c r="F101" s="2" t="str">
        <f aca="false">INDEX('NBA Engine'!$AM$2:$AM$301,MATCH($A101,'NBA Engine'!$A$2:$A$301,0))</f>
        <v>Ready — Human</v>
      </c>
      <c r="G101" s="2" t="str">
        <f aca="false">INDEX('NBA Engine'!$AJ$2:$AJ$301,MATCH($A101,'NBA Engine'!$A$2:$A$301,0))</f>
        <v>LAPSED_ESTABLISHED</v>
      </c>
      <c r="H101" s="2" t="str">
        <f aca="false">INDEX('NBA Engine'!$AT$2:$AT$301,MATCH($A101,'NBA Engine'!$A$2:$A$301,0))</f>
        <v/>
      </c>
      <c r="I101" s="2"/>
      <c r="J101" s="2"/>
      <c r="K101" s="2"/>
      <c r="L101" s="2"/>
      <c r="M101" s="2"/>
      <c r="N101" s="2"/>
      <c r="O101" s="2"/>
      <c r="P101" s="2"/>
      <c r="Q101" s="2"/>
      <c r="R101" s="2"/>
      <c r="S101" s="2"/>
    </row>
    <row r="102" customFormat="false" ht="15" hidden="false" customHeight="false" outlineLevel="0" collapsed="false">
      <c r="A102" s="2" t="s">
        <v>199</v>
      </c>
      <c r="B102" s="2" t="str">
        <f aca="false">INDEX('NBA Engine'!$AN$2:$AN$301,MATCH($A102,'NBA Engine'!$A$2:$A$301,0))</f>
        <v>P1</v>
      </c>
      <c r="C102" s="2" t="str">
        <f aca="false">INDEX('NBA Engine'!$E$2:$E$301,MATCH($A102,'NBA Engine'!$A$2:$A$301,0))</f>
        <v>Key</v>
      </c>
      <c r="D102" s="9" t="n">
        <f aca="false">INDEX('NBA Engine'!$H$2:$H$301,MATCH($A102,'NBA Engine'!$A$2:$A$301,0))</f>
        <v>10950</v>
      </c>
      <c r="E102" s="2" t="str">
        <f aca="false">INDEX('NBA Engine'!$AK$2:$AK$301,MATCH($A102,'NBA Engine'!$A$2:$A$301,0))</f>
        <v>Retention Conversation</v>
      </c>
      <c r="F102" s="2" t="str">
        <f aca="false">INDEX('NBA Engine'!$AM$2:$AM$301,MATCH($A102,'NBA Engine'!$A$2:$A$301,0))</f>
        <v>Ready — Human</v>
      </c>
      <c r="G102" s="2" t="str">
        <f aca="false">INDEX('NBA Engine'!$AJ$2:$AJ$301,MATCH($A102,'NBA Engine'!$A$2:$A$301,0))</f>
        <v>DECLINING_KEY_CORE</v>
      </c>
      <c r="H102" s="2" t="str">
        <f aca="false">INDEX('NBA Engine'!$AT$2:$AT$301,MATCH($A102,'NBA Engine'!$A$2:$A$301,0))</f>
        <v>H2_SINGLE_MONTH_SPIKE; </v>
      </c>
      <c r="I102" s="2"/>
      <c r="J102" s="2"/>
      <c r="K102" s="2"/>
      <c r="L102" s="2"/>
      <c r="M102" s="2"/>
      <c r="N102" s="2"/>
      <c r="O102" s="2"/>
      <c r="P102" s="2"/>
      <c r="Q102" s="2"/>
      <c r="R102" s="2"/>
      <c r="S102" s="2"/>
    </row>
    <row r="103" customFormat="false" ht="15" hidden="false" customHeight="false" outlineLevel="0" collapsed="false">
      <c r="A103" s="2" t="s">
        <v>202</v>
      </c>
      <c r="B103" s="2" t="str">
        <f aca="false">INDEX('NBA Engine'!$AN$2:$AN$301,MATCH($A103,'NBA Engine'!$A$2:$A$301,0))</f>
        <v>P1</v>
      </c>
      <c r="C103" s="2" t="str">
        <f aca="false">INDEX('NBA Engine'!$E$2:$E$301,MATCH($A103,'NBA Engine'!$A$2:$A$301,0))</f>
        <v>Core</v>
      </c>
      <c r="D103" s="9" t="n">
        <f aca="false">INDEX('NBA Engine'!$H$2:$H$301,MATCH($A103,'NBA Engine'!$A$2:$A$301,0))</f>
        <v>8613</v>
      </c>
      <c r="E103" s="2" t="str">
        <f aca="false">INDEX('NBA Engine'!$AK$2:$AK$301,MATCH($A103,'NBA Engine'!$A$2:$A$301,0))</f>
        <v>Retention Conversation</v>
      </c>
      <c r="F103" s="2" t="str">
        <f aca="false">INDEX('NBA Engine'!$AM$2:$AM$301,MATCH($A103,'NBA Engine'!$A$2:$A$301,0))</f>
        <v>Ready — Human</v>
      </c>
      <c r="G103" s="2" t="str">
        <f aca="false">INDEX('NBA Engine'!$AJ$2:$AJ$301,MATCH($A103,'NBA Engine'!$A$2:$A$301,0))</f>
        <v>DECLINING_KEY_CORE</v>
      </c>
      <c r="H103" s="2" t="str">
        <f aca="false">INDEX('NBA Engine'!$AT$2:$AT$301,MATCH($A103,'NBA Engine'!$A$2:$A$301,0))</f>
        <v>FEB_SENSITIVE; NO_FEB_GMV (Feb unconfirmed); </v>
      </c>
      <c r="I103" s="2"/>
      <c r="J103" s="2"/>
      <c r="K103" s="2"/>
      <c r="L103" s="2"/>
      <c r="M103" s="2"/>
      <c r="N103" s="2"/>
      <c r="O103" s="2"/>
      <c r="P103" s="2"/>
      <c r="Q103" s="2"/>
      <c r="R103" s="2"/>
      <c r="S103" s="2"/>
    </row>
    <row r="104" customFormat="false" ht="15" hidden="false" customHeight="false" outlineLevel="0" collapsed="false">
      <c r="A104" s="2" t="s">
        <v>208</v>
      </c>
      <c r="B104" s="2" t="str">
        <f aca="false">INDEX('NBA Engine'!$AN$2:$AN$301,MATCH($A104,'NBA Engine'!$A$2:$A$301,0))</f>
        <v>P1</v>
      </c>
      <c r="C104" s="2" t="str">
        <f aca="false">INDEX('NBA Engine'!$E$2:$E$301,MATCH($A104,'NBA Engine'!$A$2:$A$301,0))</f>
        <v>Core</v>
      </c>
      <c r="D104" s="9" t="n">
        <f aca="false">INDEX('NBA Engine'!$H$2:$H$301,MATCH($A104,'NBA Engine'!$A$2:$A$301,0))</f>
        <v>6199</v>
      </c>
      <c r="E104" s="2" t="str">
        <f aca="false">INDEX('NBA Engine'!$AK$2:$AK$301,MATCH($A104,'NBA Engine'!$A$2:$A$301,0))</f>
        <v>Retention Conversation</v>
      </c>
      <c r="F104" s="2" t="str">
        <f aca="false">INDEX('NBA Engine'!$AM$2:$AM$301,MATCH($A104,'NBA Engine'!$A$2:$A$301,0))</f>
        <v>Ready — Human</v>
      </c>
      <c r="G104" s="2" t="str">
        <f aca="false">INDEX('NBA Engine'!$AJ$2:$AJ$301,MATCH($A104,'NBA Engine'!$A$2:$A$301,0))</f>
        <v>DECLINING_KEY_CORE</v>
      </c>
      <c r="H104" s="2" t="str">
        <f aca="false">INDEX('NBA Engine'!$AT$2:$AT$301,MATCH($A104,'NBA Engine'!$A$2:$A$301,0))</f>
        <v/>
      </c>
      <c r="I104" s="2"/>
      <c r="J104" s="2"/>
      <c r="K104" s="2"/>
      <c r="L104" s="2"/>
      <c r="M104" s="2"/>
      <c r="N104" s="2"/>
      <c r="O104" s="2"/>
      <c r="P104" s="2"/>
      <c r="Q104" s="2"/>
      <c r="R104" s="2"/>
      <c r="S104" s="2"/>
    </row>
    <row r="105" customFormat="false" ht="15" hidden="false" customHeight="false" outlineLevel="0" collapsed="false">
      <c r="A105" s="2" t="s">
        <v>211</v>
      </c>
      <c r="B105" s="2" t="str">
        <f aca="false">INDEX('NBA Engine'!$AN$2:$AN$301,MATCH($A105,'NBA Engine'!$A$2:$A$301,0))</f>
        <v>P1</v>
      </c>
      <c r="C105" s="2" t="str">
        <f aca="false">INDEX('NBA Engine'!$E$2:$E$301,MATCH($A105,'NBA Engine'!$A$2:$A$301,0))</f>
        <v>Core</v>
      </c>
      <c r="D105" s="9" t="n">
        <f aca="false">INDEX('NBA Engine'!$H$2:$H$301,MATCH($A105,'NBA Engine'!$A$2:$A$301,0))</f>
        <v>6140</v>
      </c>
      <c r="E105" s="2" t="str">
        <f aca="false">INDEX('NBA Engine'!$AK$2:$AK$301,MATCH($A105,'NBA Engine'!$A$2:$A$301,0))</f>
        <v>Retention Conversation</v>
      </c>
      <c r="F105" s="2" t="str">
        <f aca="false">INDEX('NBA Engine'!$AM$2:$AM$301,MATCH($A105,'NBA Engine'!$A$2:$A$301,0))</f>
        <v>Ready — Human</v>
      </c>
      <c r="G105" s="2" t="str">
        <f aca="false">INDEX('NBA Engine'!$AJ$2:$AJ$301,MATCH($A105,'NBA Engine'!$A$2:$A$301,0))</f>
        <v>DECLINING_KEY_CORE</v>
      </c>
      <c r="H105" s="2" t="str">
        <f aca="false">INDEX('NBA Engine'!$AT$2:$AT$301,MATCH($A105,'NBA Engine'!$A$2:$A$301,0))</f>
        <v>H2_SINGLE_MONTH_SPIKE; </v>
      </c>
      <c r="I105" s="2"/>
      <c r="J105" s="2"/>
      <c r="K105" s="2"/>
      <c r="L105" s="2"/>
      <c r="M105" s="2"/>
      <c r="N105" s="2"/>
      <c r="O105" s="2"/>
      <c r="P105" s="2"/>
      <c r="Q105" s="2"/>
      <c r="R105" s="2"/>
      <c r="S105" s="2"/>
    </row>
    <row r="106" customFormat="false" ht="15" hidden="false" customHeight="false" outlineLevel="0" collapsed="false">
      <c r="A106" s="2" t="s">
        <v>214</v>
      </c>
      <c r="B106" s="2" t="str">
        <f aca="false">INDEX('NBA Engine'!$AN$2:$AN$301,MATCH($A106,'NBA Engine'!$A$2:$A$301,0))</f>
        <v>P1</v>
      </c>
      <c r="C106" s="2" t="str">
        <f aca="false">INDEX('NBA Engine'!$E$2:$E$301,MATCH($A106,'NBA Engine'!$A$2:$A$301,0))</f>
        <v>Core</v>
      </c>
      <c r="D106" s="9" t="n">
        <f aca="false">INDEX('NBA Engine'!$H$2:$H$301,MATCH($A106,'NBA Engine'!$A$2:$A$301,0))</f>
        <v>5727</v>
      </c>
      <c r="E106" s="2" t="str">
        <f aca="false">INDEX('NBA Engine'!$AK$2:$AK$301,MATCH($A106,'NBA Engine'!$A$2:$A$301,0))</f>
        <v>Retention Conversation</v>
      </c>
      <c r="F106" s="2" t="str">
        <f aca="false">INDEX('NBA Engine'!$AM$2:$AM$301,MATCH($A106,'NBA Engine'!$A$2:$A$301,0))</f>
        <v>Ready — Human</v>
      </c>
      <c r="G106" s="2" t="str">
        <f aca="false">INDEX('NBA Engine'!$AJ$2:$AJ$301,MATCH($A106,'NBA Engine'!$A$2:$A$301,0))</f>
        <v>DECLINING_KEY_CORE</v>
      </c>
      <c r="H106" s="2" t="str">
        <f aca="false">INDEX('NBA Engine'!$AT$2:$AT$301,MATCH($A106,'NBA Engine'!$A$2:$A$301,0))</f>
        <v>FEB_SENSITIVE; H2_SINGLE_MONTH_SPIKE; </v>
      </c>
      <c r="I106" s="2"/>
      <c r="J106" s="2"/>
      <c r="K106" s="2"/>
      <c r="L106" s="2"/>
      <c r="M106" s="2"/>
      <c r="N106" s="2"/>
      <c r="O106" s="2"/>
      <c r="P106" s="2"/>
      <c r="Q106" s="2"/>
      <c r="R106" s="2"/>
      <c r="S106" s="2"/>
    </row>
    <row r="107" customFormat="false" ht="15" hidden="false" customHeight="false" outlineLevel="0" collapsed="false">
      <c r="A107" s="2" t="s">
        <v>218</v>
      </c>
      <c r="B107" s="2" t="str">
        <f aca="false">INDEX('NBA Engine'!$AN$2:$AN$301,MATCH($A107,'NBA Engine'!$A$2:$A$301,0))</f>
        <v>P1</v>
      </c>
      <c r="C107" s="2" t="str">
        <f aca="false">INDEX('NBA Engine'!$E$2:$E$301,MATCH($A107,'NBA Engine'!$A$2:$A$301,0))</f>
        <v>Core</v>
      </c>
      <c r="D107" s="9" t="n">
        <f aca="false">INDEX('NBA Engine'!$H$2:$H$301,MATCH($A107,'NBA Engine'!$A$2:$A$301,0))</f>
        <v>4772</v>
      </c>
      <c r="E107" s="2" t="str">
        <f aca="false">INDEX('NBA Engine'!$AK$2:$AK$301,MATCH($A107,'NBA Engine'!$A$2:$A$301,0))</f>
        <v>Verify Demand / Win-Back</v>
      </c>
      <c r="F107" s="2" t="str">
        <f aca="false">INDEX('NBA Engine'!$AM$2:$AM$301,MATCH($A107,'NBA Engine'!$A$2:$A$301,0))</f>
        <v>Ready — Human</v>
      </c>
      <c r="G107" s="2" t="str">
        <f aca="false">INDEX('NBA Engine'!$AJ$2:$AJ$301,MATCH($A107,'NBA Engine'!$A$2:$A$301,0))</f>
        <v>LAPSED_THIN_HISTORY</v>
      </c>
      <c r="H107" s="2" t="str">
        <f aca="false">INDEX('NBA Engine'!$AT$2:$AT$301,MATCH($A107,'NBA Engine'!$A$2:$A$301,0))</f>
        <v>LOW_CONFIDENCE; </v>
      </c>
      <c r="I107" s="2"/>
      <c r="J107" s="2"/>
      <c r="K107" s="2"/>
      <c r="L107" s="2"/>
      <c r="M107" s="2"/>
      <c r="N107" s="2"/>
      <c r="O107" s="2"/>
      <c r="P107" s="2"/>
      <c r="Q107" s="2"/>
      <c r="R107" s="2"/>
      <c r="S107" s="2"/>
    </row>
    <row r="108" customFormat="false" ht="15" hidden="false" customHeight="false" outlineLevel="0" collapsed="false">
      <c r="A108" s="2" t="s">
        <v>222</v>
      </c>
      <c r="B108" s="2" t="str">
        <f aca="false">INDEX('NBA Engine'!$AN$2:$AN$301,MATCH($A108,'NBA Engine'!$A$2:$A$301,0))</f>
        <v>P1</v>
      </c>
      <c r="C108" s="2" t="str">
        <f aca="false">INDEX('NBA Engine'!$E$2:$E$301,MATCH($A108,'NBA Engine'!$A$2:$A$301,0))</f>
        <v>Core</v>
      </c>
      <c r="D108" s="9" t="n">
        <f aca="false">INDEX('NBA Engine'!$H$2:$H$301,MATCH($A108,'NBA Engine'!$A$2:$A$301,0))</f>
        <v>4639</v>
      </c>
      <c r="E108" s="2" t="str">
        <f aca="false">INDEX('NBA Engine'!$AK$2:$AK$301,MATCH($A108,'NBA Engine'!$A$2:$A$301,0))</f>
        <v>Retention Conversation</v>
      </c>
      <c r="F108" s="2" t="str">
        <f aca="false">INDEX('NBA Engine'!$AM$2:$AM$301,MATCH($A108,'NBA Engine'!$A$2:$A$301,0))</f>
        <v>Ready — Human</v>
      </c>
      <c r="G108" s="2" t="str">
        <f aca="false">INDEX('NBA Engine'!$AJ$2:$AJ$301,MATCH($A108,'NBA Engine'!$A$2:$A$301,0))</f>
        <v>DECLINING_KEY_CORE</v>
      </c>
      <c r="H108" s="2" t="str">
        <f aca="false">INDEX('NBA Engine'!$AT$2:$AT$301,MATCH($A108,'NBA Engine'!$A$2:$A$301,0))</f>
        <v>H2_SINGLE_MONTH_SPIKE; NO_FEB_GMV (Feb unconfirmed); </v>
      </c>
      <c r="I108" s="2"/>
      <c r="J108" s="2"/>
      <c r="K108" s="2"/>
      <c r="L108" s="2"/>
      <c r="M108" s="2"/>
      <c r="N108" s="2"/>
      <c r="O108" s="2"/>
      <c r="P108" s="2"/>
      <c r="Q108" s="2"/>
      <c r="R108" s="2"/>
      <c r="S108" s="2"/>
    </row>
    <row r="109" customFormat="false" ht="15" hidden="false" customHeight="false" outlineLevel="0" collapsed="false">
      <c r="A109" s="2" t="s">
        <v>226</v>
      </c>
      <c r="B109" s="2" t="str">
        <f aca="false">INDEX('NBA Engine'!$AN$2:$AN$301,MATCH($A109,'NBA Engine'!$A$2:$A$301,0))</f>
        <v>P1</v>
      </c>
      <c r="C109" s="2" t="str">
        <f aca="false">INDEX('NBA Engine'!$E$2:$E$301,MATCH($A109,'NBA Engine'!$A$2:$A$301,0))</f>
        <v>Core</v>
      </c>
      <c r="D109" s="9" t="n">
        <f aca="false">INDEX('NBA Engine'!$H$2:$H$301,MATCH($A109,'NBA Engine'!$A$2:$A$301,0))</f>
        <v>4632</v>
      </c>
      <c r="E109" s="2" t="str">
        <f aca="false">INDEX('NBA Engine'!$AK$2:$AK$301,MATCH($A109,'NBA Engine'!$A$2:$A$301,0))</f>
        <v>Retention Conversation</v>
      </c>
      <c r="F109" s="2" t="str">
        <f aca="false">INDEX('NBA Engine'!$AM$2:$AM$301,MATCH($A109,'NBA Engine'!$A$2:$A$301,0))</f>
        <v>Ready — Human</v>
      </c>
      <c r="G109" s="2" t="str">
        <f aca="false">INDEX('NBA Engine'!$AJ$2:$AJ$301,MATCH($A109,'NBA Engine'!$A$2:$A$301,0))</f>
        <v>ENGAGED_BUT_SHRINKING</v>
      </c>
      <c r="H109" s="2" t="str">
        <f aca="false">INDEX('NBA Engine'!$AT$2:$AT$301,MATCH($A109,'NBA Engine'!$A$2:$A$301,0))</f>
        <v>H2_SINGLE_MONTH_SPIKE; NO_FEB_GMV (Feb unconfirmed); </v>
      </c>
      <c r="I109" s="2"/>
      <c r="J109" s="2"/>
      <c r="K109" s="2"/>
      <c r="L109" s="2"/>
      <c r="M109" s="2"/>
      <c r="N109" s="2"/>
      <c r="O109" s="2"/>
      <c r="P109" s="2"/>
      <c r="Q109" s="2"/>
      <c r="R109" s="2"/>
      <c r="S109" s="2"/>
    </row>
    <row r="110" customFormat="false" ht="15" hidden="false" customHeight="false" outlineLevel="0" collapsed="false">
      <c r="A110" s="2" t="s">
        <v>229</v>
      </c>
      <c r="B110" s="2" t="str">
        <f aca="false">INDEX('NBA Engine'!$AN$2:$AN$301,MATCH($A110,'NBA Engine'!$A$2:$A$301,0))</f>
        <v>P1</v>
      </c>
      <c r="C110" s="2" t="str">
        <f aca="false">INDEX('NBA Engine'!$E$2:$E$301,MATCH($A110,'NBA Engine'!$A$2:$A$301,0))</f>
        <v>Core</v>
      </c>
      <c r="D110" s="9" t="n">
        <f aca="false">INDEX('NBA Engine'!$H$2:$H$301,MATCH($A110,'NBA Engine'!$A$2:$A$301,0))</f>
        <v>4179</v>
      </c>
      <c r="E110" s="2" t="str">
        <f aca="false">INDEX('NBA Engine'!$AK$2:$AK$301,MATCH($A110,'NBA Engine'!$A$2:$A$301,0))</f>
        <v>Verify Demand / Win-Back</v>
      </c>
      <c r="F110" s="2" t="str">
        <f aca="false">INDEX('NBA Engine'!$AM$2:$AM$301,MATCH($A110,'NBA Engine'!$A$2:$A$301,0))</f>
        <v>Ready — Human</v>
      </c>
      <c r="G110" s="2" t="str">
        <f aca="false">INDEX('NBA Engine'!$AJ$2:$AJ$301,MATCH($A110,'NBA Engine'!$A$2:$A$301,0))</f>
        <v>LAPSED_THIN_HISTORY</v>
      </c>
      <c r="H110" s="2" t="str">
        <f aca="false">INDEX('NBA Engine'!$AT$2:$AT$301,MATCH($A110,'NBA Engine'!$A$2:$A$301,0))</f>
        <v>LOW_CONFIDENCE; </v>
      </c>
      <c r="I110" s="2"/>
      <c r="J110" s="2"/>
      <c r="K110" s="2"/>
      <c r="L110" s="2"/>
      <c r="M110" s="2"/>
      <c r="N110" s="2"/>
      <c r="O110" s="2"/>
      <c r="P110" s="2"/>
      <c r="Q110" s="2"/>
      <c r="R110" s="2"/>
      <c r="S110" s="2"/>
    </row>
    <row r="111" customFormat="false" ht="15" hidden="false" customHeight="false" outlineLevel="0" collapsed="false">
      <c r="A111" s="2" t="s">
        <v>232</v>
      </c>
      <c r="B111" s="2" t="str">
        <f aca="false">INDEX('NBA Engine'!$AN$2:$AN$301,MATCH($A111,'NBA Engine'!$A$2:$A$301,0))</f>
        <v>P1</v>
      </c>
      <c r="C111" s="2" t="str">
        <f aca="false">INDEX('NBA Engine'!$E$2:$E$301,MATCH($A111,'NBA Engine'!$A$2:$A$301,0))</f>
        <v>Core</v>
      </c>
      <c r="D111" s="9" t="n">
        <f aca="false">INDEX('NBA Engine'!$H$2:$H$301,MATCH($A111,'NBA Engine'!$A$2:$A$301,0))</f>
        <v>3907</v>
      </c>
      <c r="E111" s="2" t="str">
        <f aca="false">INDEX('NBA Engine'!$AK$2:$AK$301,MATCH($A111,'NBA Engine'!$A$2:$A$301,0))</f>
        <v>Verify Demand / Win-Back</v>
      </c>
      <c r="F111" s="2" t="str">
        <f aca="false">INDEX('NBA Engine'!$AM$2:$AM$301,MATCH($A111,'NBA Engine'!$A$2:$A$301,0))</f>
        <v>Ready — Human</v>
      </c>
      <c r="G111" s="2" t="str">
        <f aca="false">INDEX('NBA Engine'!$AJ$2:$AJ$301,MATCH($A111,'NBA Engine'!$A$2:$A$301,0))</f>
        <v>LAPSED_THIN_HISTORY</v>
      </c>
      <c r="H111" s="2" t="str">
        <f aca="false">INDEX('NBA Engine'!$AT$2:$AT$301,MATCH($A111,'NBA Engine'!$A$2:$A$301,0))</f>
        <v>LOW_CONFIDENCE; </v>
      </c>
      <c r="I111" s="2"/>
      <c r="J111" s="2"/>
      <c r="K111" s="2"/>
      <c r="L111" s="2"/>
      <c r="M111" s="2"/>
      <c r="N111" s="2"/>
      <c r="O111" s="2"/>
      <c r="P111" s="2"/>
      <c r="Q111" s="2"/>
      <c r="R111" s="2"/>
      <c r="S111" s="2"/>
    </row>
    <row r="112" customFormat="false" ht="15" hidden="false" customHeight="false" outlineLevel="0" collapsed="false">
      <c r="A112" s="2" t="s">
        <v>235</v>
      </c>
      <c r="B112" s="2" t="str">
        <f aca="false">INDEX('NBA Engine'!$AN$2:$AN$301,MATCH($A112,'NBA Engine'!$A$2:$A$301,0))</f>
        <v>P1</v>
      </c>
      <c r="C112" s="2" t="str">
        <f aca="false">INDEX('NBA Engine'!$E$2:$E$301,MATCH($A112,'NBA Engine'!$A$2:$A$301,0))</f>
        <v>Core</v>
      </c>
      <c r="D112" s="9" t="n">
        <f aca="false">INDEX('NBA Engine'!$H$2:$H$301,MATCH($A112,'NBA Engine'!$A$2:$A$301,0))</f>
        <v>3906</v>
      </c>
      <c r="E112" s="2" t="str">
        <f aca="false">INDEX('NBA Engine'!$AK$2:$AK$301,MATCH($A112,'NBA Engine'!$A$2:$A$301,0))</f>
        <v>Retention Conversation</v>
      </c>
      <c r="F112" s="2" t="str">
        <f aca="false">INDEX('NBA Engine'!$AM$2:$AM$301,MATCH($A112,'NBA Engine'!$A$2:$A$301,0))</f>
        <v>Ready — Human</v>
      </c>
      <c r="G112" s="2" t="str">
        <f aca="false">INDEX('NBA Engine'!$AJ$2:$AJ$301,MATCH($A112,'NBA Engine'!$A$2:$A$301,0))</f>
        <v>DECLINING_KEY_CORE</v>
      </c>
      <c r="H112" s="2" t="str">
        <f aca="false">INDEX('NBA Engine'!$AT$2:$AT$301,MATCH($A112,'NBA Engine'!$A$2:$A$301,0))</f>
        <v>MATERIAL_BROKER_INCONSISTENCY; H2_SINGLE_MONTH_SPIKE; NO_FEB_GMV (Feb unconfirmed); </v>
      </c>
      <c r="I112" s="2"/>
      <c r="J112" s="2"/>
      <c r="K112" s="2"/>
      <c r="L112" s="2"/>
      <c r="M112" s="2"/>
      <c r="N112" s="2"/>
      <c r="O112" s="2"/>
      <c r="P112" s="2"/>
      <c r="Q112" s="2"/>
      <c r="R112" s="2"/>
      <c r="S112" s="2"/>
    </row>
    <row r="113" customFormat="false" ht="15" hidden="false" customHeight="false" outlineLevel="0" collapsed="false">
      <c r="A113" s="2" t="s">
        <v>239</v>
      </c>
      <c r="B113" s="2" t="str">
        <f aca="false">INDEX('NBA Engine'!$AN$2:$AN$301,MATCH($A113,'NBA Engine'!$A$2:$A$301,0))</f>
        <v>P1</v>
      </c>
      <c r="C113" s="2" t="str">
        <f aca="false">INDEX('NBA Engine'!$E$2:$E$301,MATCH($A113,'NBA Engine'!$A$2:$A$301,0))</f>
        <v>Core</v>
      </c>
      <c r="D113" s="9" t="n">
        <f aca="false">INDEX('NBA Engine'!$H$2:$H$301,MATCH($A113,'NBA Engine'!$A$2:$A$301,0))</f>
        <v>3863</v>
      </c>
      <c r="E113" s="2" t="str">
        <f aca="false">INDEX('NBA Engine'!$AK$2:$AK$301,MATCH($A113,'NBA Engine'!$A$2:$A$301,0))</f>
        <v>Retention Conversation</v>
      </c>
      <c r="F113" s="2" t="str">
        <f aca="false">INDEX('NBA Engine'!$AM$2:$AM$301,MATCH($A113,'NBA Engine'!$A$2:$A$301,0))</f>
        <v>Ready — Human</v>
      </c>
      <c r="G113" s="2" t="str">
        <f aca="false">INDEX('NBA Engine'!$AJ$2:$AJ$301,MATCH($A113,'NBA Engine'!$A$2:$A$301,0))</f>
        <v>DECLINING_KEY_CORE</v>
      </c>
      <c r="H113" s="2" t="str">
        <f aca="false">INDEX('NBA Engine'!$AT$2:$AT$301,MATCH($A113,'NBA Engine'!$A$2:$A$301,0))</f>
        <v/>
      </c>
      <c r="I113" s="2"/>
      <c r="J113" s="2"/>
      <c r="K113" s="2"/>
      <c r="L113" s="2"/>
      <c r="M113" s="2"/>
      <c r="N113" s="2"/>
      <c r="O113" s="2"/>
      <c r="P113" s="2"/>
      <c r="Q113" s="2"/>
      <c r="R113" s="2"/>
      <c r="S113" s="2"/>
    </row>
    <row r="114" customFormat="false" ht="15" hidden="false" customHeight="false" outlineLevel="0" collapsed="false">
      <c r="A114" s="2" t="s">
        <v>242</v>
      </c>
      <c r="B114" s="2" t="str">
        <f aca="false">INDEX('NBA Engine'!$AN$2:$AN$301,MATCH($A114,'NBA Engine'!$A$2:$A$301,0))</f>
        <v>P1</v>
      </c>
      <c r="C114" s="2" t="str">
        <f aca="false">INDEX('NBA Engine'!$E$2:$E$301,MATCH($A114,'NBA Engine'!$A$2:$A$301,0))</f>
        <v>Core</v>
      </c>
      <c r="D114" s="9" t="n">
        <f aca="false">INDEX('NBA Engine'!$H$2:$H$301,MATCH($A114,'NBA Engine'!$A$2:$A$301,0))</f>
        <v>3702</v>
      </c>
      <c r="E114" s="2" t="str">
        <f aca="false">INDEX('NBA Engine'!$AK$2:$AK$301,MATCH($A114,'NBA Engine'!$A$2:$A$301,0))</f>
        <v>Verify Demand / Win-Back</v>
      </c>
      <c r="F114" s="2" t="str">
        <f aca="false">INDEX('NBA Engine'!$AM$2:$AM$301,MATCH($A114,'NBA Engine'!$A$2:$A$301,0))</f>
        <v>Ready — Human</v>
      </c>
      <c r="G114" s="2" t="str">
        <f aca="false">INDEX('NBA Engine'!$AJ$2:$AJ$301,MATCH($A114,'NBA Engine'!$A$2:$A$301,0))</f>
        <v>LAPSED_THIN_HISTORY</v>
      </c>
      <c r="H114" s="2" t="str">
        <f aca="false">INDEX('NBA Engine'!$AT$2:$AT$301,MATCH($A114,'NBA Engine'!$A$2:$A$301,0))</f>
        <v>LOW_CONFIDENCE; </v>
      </c>
      <c r="I114" s="2"/>
      <c r="J114" s="2"/>
      <c r="K114" s="2"/>
      <c r="L114" s="2"/>
      <c r="M114" s="2"/>
      <c r="N114" s="2"/>
      <c r="O114" s="2"/>
      <c r="P114" s="2"/>
      <c r="Q114" s="2"/>
      <c r="R114" s="2"/>
      <c r="S114" s="2"/>
    </row>
    <row r="115" customFormat="false" ht="15" hidden="false" customHeight="false" outlineLevel="0" collapsed="false">
      <c r="A115" s="2" t="s">
        <v>245</v>
      </c>
      <c r="B115" s="2" t="str">
        <f aca="false">INDEX('NBA Engine'!$AN$2:$AN$301,MATCH($A115,'NBA Engine'!$A$2:$A$301,0))</f>
        <v>P1</v>
      </c>
      <c r="C115" s="2" t="str">
        <f aca="false">INDEX('NBA Engine'!$E$2:$E$301,MATCH($A115,'NBA Engine'!$A$2:$A$301,0))</f>
        <v>Core</v>
      </c>
      <c r="D115" s="9" t="n">
        <f aca="false">INDEX('NBA Engine'!$H$2:$H$301,MATCH($A115,'NBA Engine'!$A$2:$A$301,0))</f>
        <v>3579</v>
      </c>
      <c r="E115" s="2" t="str">
        <f aca="false">INDEX('NBA Engine'!$AK$2:$AK$301,MATCH($A115,'NBA Engine'!$A$2:$A$301,0))</f>
        <v>Retention Conversation</v>
      </c>
      <c r="F115" s="2" t="str">
        <f aca="false">INDEX('NBA Engine'!$AM$2:$AM$301,MATCH($A115,'NBA Engine'!$A$2:$A$301,0))</f>
        <v>Ready — Human</v>
      </c>
      <c r="G115" s="2" t="str">
        <f aca="false">INDEX('NBA Engine'!$AJ$2:$AJ$301,MATCH($A115,'NBA Engine'!$A$2:$A$301,0))</f>
        <v>DECLINING_KEY_CORE</v>
      </c>
      <c r="H115" s="2" t="str">
        <f aca="false">INDEX('NBA Engine'!$AT$2:$AT$301,MATCH($A115,'NBA Engine'!$A$2:$A$301,0))</f>
        <v>FEB_SENSITIVE; H2_SINGLE_MONTH_SPIKE; </v>
      </c>
      <c r="I115" s="2"/>
      <c r="J115" s="2"/>
      <c r="K115" s="2"/>
      <c r="L115" s="2"/>
      <c r="M115" s="2"/>
      <c r="N115" s="2"/>
      <c r="O115" s="2"/>
      <c r="P115" s="2"/>
      <c r="Q115" s="2"/>
      <c r="R115" s="2"/>
      <c r="S115" s="2"/>
    </row>
    <row r="116" customFormat="false" ht="15" hidden="false" customHeight="false" outlineLevel="0" collapsed="false">
      <c r="A116" s="2" t="s">
        <v>248</v>
      </c>
      <c r="B116" s="2" t="str">
        <f aca="false">INDEX('NBA Engine'!$AN$2:$AN$301,MATCH($A116,'NBA Engine'!$A$2:$A$301,0))</f>
        <v>P1</v>
      </c>
      <c r="C116" s="2" t="str">
        <f aca="false">INDEX('NBA Engine'!$E$2:$E$301,MATCH($A116,'NBA Engine'!$A$2:$A$301,0))</f>
        <v>Core</v>
      </c>
      <c r="D116" s="9" t="n">
        <f aca="false">INDEX('NBA Engine'!$H$2:$H$301,MATCH($A116,'NBA Engine'!$A$2:$A$301,0))</f>
        <v>3549</v>
      </c>
      <c r="E116" s="2" t="str">
        <f aca="false">INDEX('NBA Engine'!$AK$2:$AK$301,MATCH($A116,'NBA Engine'!$A$2:$A$301,0))</f>
        <v>Retention Conversation</v>
      </c>
      <c r="F116" s="2" t="str">
        <f aca="false">INDEX('NBA Engine'!$AM$2:$AM$301,MATCH($A116,'NBA Engine'!$A$2:$A$301,0))</f>
        <v>Ready — Human</v>
      </c>
      <c r="G116" s="2" t="str">
        <f aca="false">INDEX('NBA Engine'!$AJ$2:$AJ$301,MATCH($A116,'NBA Engine'!$A$2:$A$301,0))</f>
        <v>DECLINING_KEY_CORE</v>
      </c>
      <c r="H116" s="2" t="str">
        <f aca="false">INDEX('NBA Engine'!$AT$2:$AT$301,MATCH($A116,'NBA Engine'!$A$2:$A$301,0))</f>
        <v>MATERIAL_BROKER_INCONSISTENCY; NO_FEB_GMV (Feb unconfirmed); </v>
      </c>
      <c r="I116" s="2"/>
      <c r="J116" s="2"/>
      <c r="K116" s="2"/>
      <c r="L116" s="2"/>
      <c r="M116" s="2"/>
      <c r="N116" s="2"/>
      <c r="O116" s="2"/>
      <c r="P116" s="2"/>
      <c r="Q116" s="2"/>
      <c r="R116" s="2"/>
      <c r="S116" s="2"/>
    </row>
    <row r="117" customFormat="false" ht="15" hidden="false" customHeight="false" outlineLevel="0" collapsed="false">
      <c r="A117" s="2" t="s">
        <v>252</v>
      </c>
      <c r="B117" s="2" t="str">
        <f aca="false">INDEX('NBA Engine'!$AN$2:$AN$301,MATCH($A117,'NBA Engine'!$A$2:$A$301,0))</f>
        <v>P1</v>
      </c>
      <c r="C117" s="2" t="str">
        <f aca="false">INDEX('NBA Engine'!$E$2:$E$301,MATCH($A117,'NBA Engine'!$A$2:$A$301,0))</f>
        <v>Core</v>
      </c>
      <c r="D117" s="9" t="n">
        <f aca="false">INDEX('NBA Engine'!$H$2:$H$301,MATCH($A117,'NBA Engine'!$A$2:$A$301,0))</f>
        <v>3497</v>
      </c>
      <c r="E117" s="2" t="str">
        <f aca="false">INDEX('NBA Engine'!$AK$2:$AK$301,MATCH($A117,'NBA Engine'!$A$2:$A$301,0))</f>
        <v>Verify Demand / Win-Back</v>
      </c>
      <c r="F117" s="2" t="str">
        <f aca="false">INDEX('NBA Engine'!$AM$2:$AM$301,MATCH($A117,'NBA Engine'!$A$2:$A$301,0))</f>
        <v>Ready — Human</v>
      </c>
      <c r="G117" s="2" t="str">
        <f aca="false">INDEX('NBA Engine'!$AJ$2:$AJ$301,MATCH($A117,'NBA Engine'!$A$2:$A$301,0))</f>
        <v>RECENT_INACTIVITY</v>
      </c>
      <c r="H117" s="2" t="str">
        <f aca="false">INDEX('NBA Engine'!$AT$2:$AT$301,MATCH($A117,'NBA Engine'!$A$2:$A$301,0))</f>
        <v>H2_SINGLE_MONTH_SPIKE; </v>
      </c>
      <c r="I117" s="2"/>
      <c r="J117" s="2"/>
      <c r="K117" s="2"/>
      <c r="L117" s="2"/>
      <c r="M117" s="2"/>
      <c r="N117" s="2"/>
      <c r="O117" s="2"/>
      <c r="P117" s="2"/>
      <c r="Q117" s="2"/>
      <c r="R117" s="2"/>
      <c r="S117" s="2"/>
    </row>
    <row r="118" customFormat="false" ht="15" hidden="false" customHeight="false" outlineLevel="0" collapsed="false">
      <c r="A118" s="2" t="s">
        <v>260</v>
      </c>
      <c r="B118" s="2" t="str">
        <f aca="false">INDEX('NBA Engine'!$AN$2:$AN$301,MATCH($A118,'NBA Engine'!$A$2:$A$301,0))</f>
        <v>P1</v>
      </c>
      <c r="C118" s="2" t="str">
        <f aca="false">INDEX('NBA Engine'!$E$2:$E$301,MATCH($A118,'NBA Engine'!$A$2:$A$301,0))</f>
        <v>Core</v>
      </c>
      <c r="D118" s="9" t="n">
        <f aca="false">INDEX('NBA Engine'!$H$2:$H$301,MATCH($A118,'NBA Engine'!$A$2:$A$301,0))</f>
        <v>3478</v>
      </c>
      <c r="E118" s="2" t="str">
        <f aca="false">INDEX('NBA Engine'!$AK$2:$AK$301,MATCH($A118,'NBA Engine'!$A$2:$A$301,0))</f>
        <v>Verify Demand / Win-Back</v>
      </c>
      <c r="F118" s="2" t="str">
        <f aca="false">INDEX('NBA Engine'!$AM$2:$AM$301,MATCH($A118,'NBA Engine'!$A$2:$A$301,0))</f>
        <v>Ready — Human</v>
      </c>
      <c r="G118" s="2" t="str">
        <f aca="false">INDEX('NBA Engine'!$AJ$2:$AJ$301,MATCH($A118,'NBA Engine'!$A$2:$A$301,0))</f>
        <v>LAPSED_THIN_HISTORY</v>
      </c>
      <c r="H118" s="2" t="str">
        <f aca="false">INDEX('NBA Engine'!$AT$2:$AT$301,MATCH($A118,'NBA Engine'!$A$2:$A$301,0))</f>
        <v>LOW_CONFIDENCE; </v>
      </c>
      <c r="I118" s="2"/>
      <c r="J118" s="2"/>
      <c r="K118" s="2"/>
      <c r="L118" s="2"/>
      <c r="M118" s="2"/>
      <c r="N118" s="2"/>
      <c r="O118" s="2"/>
      <c r="P118" s="2"/>
      <c r="Q118" s="2"/>
      <c r="R118" s="2"/>
      <c r="S118" s="2"/>
    </row>
    <row r="119" customFormat="false" ht="15" hidden="false" customHeight="false" outlineLevel="0" collapsed="false">
      <c r="A119" s="2" t="s">
        <v>263</v>
      </c>
      <c r="B119" s="2" t="str">
        <f aca="false">INDEX('NBA Engine'!$AN$2:$AN$301,MATCH($A119,'NBA Engine'!$A$2:$A$301,0))</f>
        <v>P1</v>
      </c>
      <c r="C119" s="2" t="str">
        <f aca="false">INDEX('NBA Engine'!$E$2:$E$301,MATCH($A119,'NBA Engine'!$A$2:$A$301,0))</f>
        <v>Core</v>
      </c>
      <c r="D119" s="9" t="n">
        <f aca="false">INDEX('NBA Engine'!$H$2:$H$301,MATCH($A119,'NBA Engine'!$A$2:$A$301,0))</f>
        <v>3434</v>
      </c>
      <c r="E119" s="2" t="str">
        <f aca="false">INDEX('NBA Engine'!$AK$2:$AK$301,MATCH($A119,'NBA Engine'!$A$2:$A$301,0))</f>
        <v>Retention Conversation</v>
      </c>
      <c r="F119" s="2" t="str">
        <f aca="false">INDEX('NBA Engine'!$AM$2:$AM$301,MATCH($A119,'NBA Engine'!$A$2:$A$301,0))</f>
        <v>Ready — Human</v>
      </c>
      <c r="G119" s="2" t="str">
        <f aca="false">INDEX('NBA Engine'!$AJ$2:$AJ$301,MATCH($A119,'NBA Engine'!$A$2:$A$301,0))</f>
        <v>DECLINING_KEY_CORE</v>
      </c>
      <c r="H119" s="2" t="str">
        <f aca="false">INDEX('NBA Engine'!$AT$2:$AT$301,MATCH($A119,'NBA Engine'!$A$2:$A$301,0))</f>
        <v>H2_SINGLE_MONTH_SPIKE; NO_FEB_GMV (Feb unconfirmed); </v>
      </c>
      <c r="I119" s="2"/>
      <c r="J119" s="2"/>
      <c r="K119" s="2"/>
      <c r="L119" s="2"/>
      <c r="M119" s="2"/>
      <c r="N119" s="2"/>
      <c r="O119" s="2"/>
      <c r="P119" s="2"/>
      <c r="Q119" s="2"/>
      <c r="R119" s="2"/>
      <c r="S119" s="2"/>
    </row>
    <row r="120" customFormat="false" ht="15" hidden="false" customHeight="false" outlineLevel="0" collapsed="false">
      <c r="A120" s="2" t="s">
        <v>266</v>
      </c>
      <c r="B120" s="2" t="str">
        <f aca="false">INDEX('NBA Engine'!$AN$2:$AN$301,MATCH($A120,'NBA Engine'!$A$2:$A$301,0))</f>
        <v>P1</v>
      </c>
      <c r="C120" s="2" t="str">
        <f aca="false">INDEX('NBA Engine'!$E$2:$E$301,MATCH($A120,'NBA Engine'!$A$2:$A$301,0))</f>
        <v>Core</v>
      </c>
      <c r="D120" s="9" t="n">
        <f aca="false">INDEX('NBA Engine'!$H$2:$H$301,MATCH($A120,'NBA Engine'!$A$2:$A$301,0))</f>
        <v>3383</v>
      </c>
      <c r="E120" s="2" t="str">
        <f aca="false">INDEX('NBA Engine'!$AK$2:$AK$301,MATCH($A120,'NBA Engine'!$A$2:$A$301,0))</f>
        <v>Verify Demand / Win-Back</v>
      </c>
      <c r="F120" s="2" t="str">
        <f aca="false">INDEX('NBA Engine'!$AM$2:$AM$301,MATCH($A120,'NBA Engine'!$A$2:$A$301,0))</f>
        <v>Ready — Human</v>
      </c>
      <c r="G120" s="2" t="str">
        <f aca="false">INDEX('NBA Engine'!$AJ$2:$AJ$301,MATCH($A120,'NBA Engine'!$A$2:$A$301,0))</f>
        <v>LAPSED_THIN_HISTORY</v>
      </c>
      <c r="H120" s="2" t="str">
        <f aca="false">INDEX('NBA Engine'!$AT$2:$AT$301,MATCH($A120,'NBA Engine'!$A$2:$A$301,0))</f>
        <v/>
      </c>
      <c r="I120" s="2"/>
      <c r="J120" s="2"/>
      <c r="K120" s="2"/>
      <c r="L120" s="2"/>
      <c r="M120" s="2"/>
      <c r="N120" s="2"/>
      <c r="O120" s="2"/>
      <c r="P120" s="2"/>
      <c r="Q120" s="2"/>
      <c r="R120" s="2"/>
      <c r="S120" s="2"/>
    </row>
    <row r="121" customFormat="false" ht="15" hidden="false" customHeight="false" outlineLevel="0" collapsed="false">
      <c r="A121" s="2" t="s">
        <v>269</v>
      </c>
      <c r="B121" s="2" t="str">
        <f aca="false">INDEX('NBA Engine'!$AN$2:$AN$301,MATCH($A121,'NBA Engine'!$A$2:$A$301,0))</f>
        <v>P1</v>
      </c>
      <c r="C121" s="2" t="str">
        <f aca="false">INDEX('NBA Engine'!$E$2:$E$301,MATCH($A121,'NBA Engine'!$A$2:$A$301,0))</f>
        <v>Core</v>
      </c>
      <c r="D121" s="9" t="n">
        <f aca="false">INDEX('NBA Engine'!$H$2:$H$301,MATCH($A121,'NBA Engine'!$A$2:$A$301,0))</f>
        <v>3331</v>
      </c>
      <c r="E121" s="2" t="str">
        <f aca="false">INDEX('NBA Engine'!$AK$2:$AK$301,MATCH($A121,'NBA Engine'!$A$2:$A$301,0))</f>
        <v>Retention Conversation</v>
      </c>
      <c r="F121" s="2" t="str">
        <f aca="false">INDEX('NBA Engine'!$AM$2:$AM$301,MATCH($A121,'NBA Engine'!$A$2:$A$301,0))</f>
        <v>Ready — Human</v>
      </c>
      <c r="G121" s="2" t="str">
        <f aca="false">INDEX('NBA Engine'!$AJ$2:$AJ$301,MATCH($A121,'NBA Engine'!$A$2:$A$301,0))</f>
        <v>DECLINING_KEY_CORE</v>
      </c>
      <c r="H121" s="2" t="str">
        <f aca="false">INDEX('NBA Engine'!$AT$2:$AT$301,MATCH($A121,'NBA Engine'!$A$2:$A$301,0))</f>
        <v/>
      </c>
      <c r="I121" s="2"/>
      <c r="J121" s="2"/>
      <c r="K121" s="2"/>
      <c r="L121" s="2"/>
      <c r="M121" s="2"/>
      <c r="N121" s="2"/>
      <c r="O121" s="2"/>
      <c r="P121" s="2"/>
      <c r="Q121" s="2"/>
      <c r="R121" s="2"/>
      <c r="S121" s="2"/>
    </row>
    <row r="122" customFormat="false" ht="15" hidden="false" customHeight="false" outlineLevel="0" collapsed="false">
      <c r="A122" s="2" t="s">
        <v>272</v>
      </c>
      <c r="B122" s="2" t="str">
        <f aca="false">INDEX('NBA Engine'!$AN$2:$AN$301,MATCH($A122,'NBA Engine'!$A$2:$A$301,0))</f>
        <v>P1</v>
      </c>
      <c r="C122" s="2" t="str">
        <f aca="false">INDEX('NBA Engine'!$E$2:$E$301,MATCH($A122,'NBA Engine'!$A$2:$A$301,0))</f>
        <v>Core</v>
      </c>
      <c r="D122" s="9" t="n">
        <f aca="false">INDEX('NBA Engine'!$H$2:$H$301,MATCH($A122,'NBA Engine'!$A$2:$A$301,0))</f>
        <v>3283</v>
      </c>
      <c r="E122" s="2" t="str">
        <f aca="false">INDEX('NBA Engine'!$AK$2:$AK$301,MATCH($A122,'NBA Engine'!$A$2:$A$301,0))</f>
        <v>Retention Conversation</v>
      </c>
      <c r="F122" s="2" t="str">
        <f aca="false">INDEX('NBA Engine'!$AM$2:$AM$301,MATCH($A122,'NBA Engine'!$A$2:$A$301,0))</f>
        <v>Ready — Human</v>
      </c>
      <c r="G122" s="2" t="str">
        <f aca="false">INDEX('NBA Engine'!$AJ$2:$AJ$301,MATCH($A122,'NBA Engine'!$A$2:$A$301,0))</f>
        <v>DECLINING_KEY_CORE</v>
      </c>
      <c r="H122" s="2" t="str">
        <f aca="false">INDEX('NBA Engine'!$AT$2:$AT$301,MATCH($A122,'NBA Engine'!$A$2:$A$301,0))</f>
        <v>FEB_SENSITIVE; H2_SINGLE_MONTH_SPIKE; </v>
      </c>
      <c r="I122" s="2"/>
      <c r="J122" s="2"/>
      <c r="K122" s="2"/>
      <c r="L122" s="2"/>
      <c r="M122" s="2"/>
      <c r="N122" s="2"/>
      <c r="O122" s="2"/>
      <c r="P122" s="2"/>
      <c r="Q122" s="2"/>
      <c r="R122" s="2"/>
      <c r="S122" s="2"/>
    </row>
    <row r="123" customFormat="false" ht="15" hidden="false" customHeight="false" outlineLevel="0" collapsed="false">
      <c r="A123" s="2" t="s">
        <v>275</v>
      </c>
      <c r="B123" s="2" t="str">
        <f aca="false">INDEX('NBA Engine'!$AN$2:$AN$301,MATCH($A123,'NBA Engine'!$A$2:$A$301,0))</f>
        <v>P1</v>
      </c>
      <c r="C123" s="2" t="str">
        <f aca="false">INDEX('NBA Engine'!$E$2:$E$301,MATCH($A123,'NBA Engine'!$A$2:$A$301,0))</f>
        <v>Core</v>
      </c>
      <c r="D123" s="9" t="n">
        <f aca="false">INDEX('NBA Engine'!$H$2:$H$301,MATCH($A123,'NBA Engine'!$A$2:$A$301,0))</f>
        <v>3044</v>
      </c>
      <c r="E123" s="2" t="str">
        <f aca="false">INDEX('NBA Engine'!$AK$2:$AK$301,MATCH($A123,'NBA Engine'!$A$2:$A$301,0))</f>
        <v>Verify Demand / Win-Back</v>
      </c>
      <c r="F123" s="2" t="str">
        <f aca="false">INDEX('NBA Engine'!$AM$2:$AM$301,MATCH($A123,'NBA Engine'!$A$2:$A$301,0))</f>
        <v>Ready — Human</v>
      </c>
      <c r="G123" s="2" t="str">
        <f aca="false">INDEX('NBA Engine'!$AJ$2:$AJ$301,MATCH($A123,'NBA Engine'!$A$2:$A$301,0))</f>
        <v>LAPSED_THIN_HISTORY</v>
      </c>
      <c r="H123" s="2" t="str">
        <f aca="false">INDEX('NBA Engine'!$AT$2:$AT$301,MATCH($A123,'NBA Engine'!$A$2:$A$301,0))</f>
        <v/>
      </c>
      <c r="I123" s="2"/>
      <c r="J123" s="2"/>
      <c r="K123" s="2"/>
      <c r="L123" s="2"/>
      <c r="M123" s="2"/>
      <c r="N123" s="2"/>
      <c r="O123" s="2"/>
      <c r="P123" s="2"/>
      <c r="Q123" s="2"/>
      <c r="R123" s="2"/>
      <c r="S123" s="2"/>
    </row>
    <row r="124" customFormat="false" ht="15" hidden="false" customHeight="false" outlineLevel="0" collapsed="false">
      <c r="A124" s="2" t="s">
        <v>278</v>
      </c>
      <c r="B124" s="2" t="str">
        <f aca="false">INDEX('NBA Engine'!$AN$2:$AN$301,MATCH($A124,'NBA Engine'!$A$2:$A$301,0))</f>
        <v>P1</v>
      </c>
      <c r="C124" s="2" t="str">
        <f aca="false">INDEX('NBA Engine'!$E$2:$E$301,MATCH($A124,'NBA Engine'!$A$2:$A$301,0))</f>
        <v>Core</v>
      </c>
      <c r="D124" s="9" t="n">
        <f aca="false">INDEX('NBA Engine'!$H$2:$H$301,MATCH($A124,'NBA Engine'!$A$2:$A$301,0))</f>
        <v>2992</v>
      </c>
      <c r="E124" s="2" t="str">
        <f aca="false">INDEX('NBA Engine'!$AK$2:$AK$301,MATCH($A124,'NBA Engine'!$A$2:$A$301,0))</f>
        <v>Retention Conversation</v>
      </c>
      <c r="F124" s="2" t="str">
        <f aca="false">INDEX('NBA Engine'!$AM$2:$AM$301,MATCH($A124,'NBA Engine'!$A$2:$A$301,0))</f>
        <v>Ready — Human</v>
      </c>
      <c r="G124" s="2" t="str">
        <f aca="false">INDEX('NBA Engine'!$AJ$2:$AJ$301,MATCH($A124,'NBA Engine'!$A$2:$A$301,0))</f>
        <v>ENGAGED_BUT_SHRINKING</v>
      </c>
      <c r="H124" s="2" t="str">
        <f aca="false">INDEX('NBA Engine'!$AT$2:$AT$301,MATCH($A124,'NBA Engine'!$A$2:$A$301,0))</f>
        <v/>
      </c>
      <c r="I124" s="2"/>
      <c r="J124" s="2"/>
      <c r="K124" s="2"/>
      <c r="L124" s="2"/>
      <c r="M124" s="2"/>
      <c r="N124" s="2"/>
      <c r="O124" s="2"/>
      <c r="P124" s="2"/>
      <c r="Q124" s="2"/>
      <c r="R124" s="2"/>
      <c r="S124" s="2"/>
    </row>
    <row r="125" customFormat="false" ht="15" hidden="false" customHeight="false" outlineLevel="0" collapsed="false">
      <c r="A125" s="2" t="s">
        <v>281</v>
      </c>
      <c r="B125" s="2" t="str">
        <f aca="false">INDEX('NBA Engine'!$AN$2:$AN$301,MATCH($A125,'NBA Engine'!$A$2:$A$301,0))</f>
        <v>P1</v>
      </c>
      <c r="C125" s="2" t="str">
        <f aca="false">INDEX('NBA Engine'!$E$2:$E$301,MATCH($A125,'NBA Engine'!$A$2:$A$301,0))</f>
        <v>Core</v>
      </c>
      <c r="D125" s="9" t="n">
        <f aca="false">INDEX('NBA Engine'!$H$2:$H$301,MATCH($A125,'NBA Engine'!$A$2:$A$301,0))</f>
        <v>2952</v>
      </c>
      <c r="E125" s="2" t="str">
        <f aca="false">INDEX('NBA Engine'!$AK$2:$AK$301,MATCH($A125,'NBA Engine'!$A$2:$A$301,0))</f>
        <v>Retention Conversation</v>
      </c>
      <c r="F125" s="2" t="str">
        <f aca="false">INDEX('NBA Engine'!$AM$2:$AM$301,MATCH($A125,'NBA Engine'!$A$2:$A$301,0))</f>
        <v>Ready — Human</v>
      </c>
      <c r="G125" s="2" t="str">
        <f aca="false">INDEX('NBA Engine'!$AJ$2:$AJ$301,MATCH($A125,'NBA Engine'!$A$2:$A$301,0))</f>
        <v>DECLINING_KEY_CORE</v>
      </c>
      <c r="H125" s="2" t="str">
        <f aca="false">INDEX('NBA Engine'!$AT$2:$AT$301,MATCH($A125,'NBA Engine'!$A$2:$A$301,0))</f>
        <v>H2_SINGLE_MONTH_SPIKE; </v>
      </c>
      <c r="I125" s="2"/>
      <c r="J125" s="2"/>
      <c r="K125" s="2"/>
      <c r="L125" s="2"/>
      <c r="M125" s="2"/>
      <c r="N125" s="2"/>
      <c r="O125" s="2"/>
      <c r="P125" s="2"/>
      <c r="Q125" s="2"/>
      <c r="R125" s="2"/>
      <c r="S125" s="2"/>
    </row>
    <row r="126" customFormat="false" ht="15" hidden="false" customHeight="false" outlineLevel="0" collapsed="false">
      <c r="A126" s="2" t="s">
        <v>284</v>
      </c>
      <c r="B126" s="2" t="str">
        <f aca="false">INDEX('NBA Engine'!$AN$2:$AN$301,MATCH($A126,'NBA Engine'!$A$2:$A$301,0))</f>
        <v>P1</v>
      </c>
      <c r="C126" s="2" t="str">
        <f aca="false">INDEX('NBA Engine'!$E$2:$E$301,MATCH($A126,'NBA Engine'!$A$2:$A$301,0))</f>
        <v>Core</v>
      </c>
      <c r="D126" s="9" t="n">
        <f aca="false">INDEX('NBA Engine'!$H$2:$H$301,MATCH($A126,'NBA Engine'!$A$2:$A$301,0))</f>
        <v>2581</v>
      </c>
      <c r="E126" s="2" t="str">
        <f aca="false">INDEX('NBA Engine'!$AK$2:$AK$301,MATCH($A126,'NBA Engine'!$A$2:$A$301,0))</f>
        <v>Retention Conversation</v>
      </c>
      <c r="F126" s="2" t="str">
        <f aca="false">INDEX('NBA Engine'!$AM$2:$AM$301,MATCH($A126,'NBA Engine'!$A$2:$A$301,0))</f>
        <v>Ready — Human</v>
      </c>
      <c r="G126" s="2" t="str">
        <f aca="false">INDEX('NBA Engine'!$AJ$2:$AJ$301,MATCH($A126,'NBA Engine'!$A$2:$A$301,0))</f>
        <v>DECLINING_KEY_CORE</v>
      </c>
      <c r="H126" s="2" t="str">
        <f aca="false">INDEX('NBA Engine'!$AT$2:$AT$301,MATCH($A126,'NBA Engine'!$A$2:$A$301,0))</f>
        <v>FEB_SENSITIVE; H2_SINGLE_MONTH_SPIKE; </v>
      </c>
      <c r="I126" s="2"/>
      <c r="J126" s="2"/>
      <c r="K126" s="2"/>
      <c r="L126" s="2"/>
      <c r="M126" s="2"/>
      <c r="N126" s="2"/>
      <c r="O126" s="2"/>
      <c r="P126" s="2"/>
      <c r="Q126" s="2"/>
      <c r="R126" s="2"/>
      <c r="S126" s="2"/>
    </row>
    <row r="127" customFormat="false" ht="15" hidden="false" customHeight="false" outlineLevel="0" collapsed="false">
      <c r="A127" s="2" t="s">
        <v>287</v>
      </c>
      <c r="B127" s="2" t="str">
        <f aca="false">INDEX('NBA Engine'!$AN$2:$AN$301,MATCH($A127,'NBA Engine'!$A$2:$A$301,0))</f>
        <v>P1</v>
      </c>
      <c r="C127" s="2" t="str">
        <f aca="false">INDEX('NBA Engine'!$E$2:$E$301,MATCH($A127,'NBA Engine'!$A$2:$A$301,0))</f>
        <v>Core</v>
      </c>
      <c r="D127" s="9" t="n">
        <f aca="false">INDEX('NBA Engine'!$H$2:$H$301,MATCH($A127,'NBA Engine'!$A$2:$A$301,0))</f>
        <v>2516</v>
      </c>
      <c r="E127" s="2" t="str">
        <f aca="false">INDEX('NBA Engine'!$AK$2:$AK$301,MATCH($A127,'NBA Engine'!$A$2:$A$301,0))</f>
        <v>Retention Conversation</v>
      </c>
      <c r="F127" s="2" t="str">
        <f aca="false">INDEX('NBA Engine'!$AM$2:$AM$301,MATCH($A127,'NBA Engine'!$A$2:$A$301,0))</f>
        <v>Ready — Human</v>
      </c>
      <c r="G127" s="2" t="str">
        <f aca="false">INDEX('NBA Engine'!$AJ$2:$AJ$301,MATCH($A127,'NBA Engine'!$A$2:$A$301,0))</f>
        <v>DECLINING_KEY_CORE</v>
      </c>
      <c r="H127" s="2" t="str">
        <f aca="false">INDEX('NBA Engine'!$AT$2:$AT$301,MATCH($A127,'NBA Engine'!$A$2:$A$301,0))</f>
        <v/>
      </c>
      <c r="I127" s="2"/>
      <c r="J127" s="2"/>
      <c r="K127" s="2"/>
      <c r="L127" s="2"/>
      <c r="M127" s="2"/>
      <c r="N127" s="2"/>
      <c r="O127" s="2"/>
      <c r="P127" s="2"/>
      <c r="Q127" s="2"/>
      <c r="R127" s="2"/>
      <c r="S127" s="2"/>
    </row>
    <row r="128" customFormat="false" ht="15" hidden="false" customHeight="false" outlineLevel="0" collapsed="false">
      <c r="A128" s="2" t="s">
        <v>290</v>
      </c>
      <c r="B128" s="2" t="str">
        <f aca="false">INDEX('NBA Engine'!$AN$2:$AN$301,MATCH($A128,'NBA Engine'!$A$2:$A$301,0))</f>
        <v>P1</v>
      </c>
      <c r="C128" s="2" t="str">
        <f aca="false">INDEX('NBA Engine'!$E$2:$E$301,MATCH($A128,'NBA Engine'!$A$2:$A$301,0))</f>
        <v>Core</v>
      </c>
      <c r="D128" s="9" t="n">
        <f aca="false">INDEX('NBA Engine'!$H$2:$H$301,MATCH($A128,'NBA Engine'!$A$2:$A$301,0))</f>
        <v>2514</v>
      </c>
      <c r="E128" s="2" t="str">
        <f aca="false">INDEX('NBA Engine'!$AK$2:$AK$301,MATCH($A128,'NBA Engine'!$A$2:$A$301,0))</f>
        <v>Retention Conversation</v>
      </c>
      <c r="F128" s="2" t="str">
        <f aca="false">INDEX('NBA Engine'!$AM$2:$AM$301,MATCH($A128,'NBA Engine'!$A$2:$A$301,0))</f>
        <v>Ready — Human</v>
      </c>
      <c r="G128" s="2" t="str">
        <f aca="false">INDEX('NBA Engine'!$AJ$2:$AJ$301,MATCH($A128,'NBA Engine'!$A$2:$A$301,0))</f>
        <v>DECLINING_KEY_CORE</v>
      </c>
      <c r="H128" s="2" t="str">
        <f aca="false">INDEX('NBA Engine'!$AT$2:$AT$301,MATCH($A128,'NBA Engine'!$A$2:$A$301,0))</f>
        <v/>
      </c>
      <c r="I128" s="2"/>
      <c r="J128" s="2"/>
      <c r="K128" s="2"/>
      <c r="L128" s="2"/>
      <c r="M128" s="2"/>
      <c r="N128" s="2"/>
      <c r="O128" s="2"/>
      <c r="P128" s="2"/>
      <c r="Q128" s="2"/>
      <c r="R128" s="2"/>
      <c r="S128" s="2"/>
    </row>
    <row r="129" customFormat="false" ht="15" hidden="false" customHeight="false" outlineLevel="0" collapsed="false">
      <c r="A129" s="2" t="s">
        <v>293</v>
      </c>
      <c r="B129" s="2" t="str">
        <f aca="false">INDEX('NBA Engine'!$AN$2:$AN$301,MATCH($A129,'NBA Engine'!$A$2:$A$301,0))</f>
        <v>P1</v>
      </c>
      <c r="C129" s="2" t="str">
        <f aca="false">INDEX('NBA Engine'!$E$2:$E$301,MATCH($A129,'NBA Engine'!$A$2:$A$301,0))</f>
        <v>Core</v>
      </c>
      <c r="D129" s="9" t="n">
        <f aca="false">INDEX('NBA Engine'!$H$2:$H$301,MATCH($A129,'NBA Engine'!$A$2:$A$301,0))</f>
        <v>2262</v>
      </c>
      <c r="E129" s="2" t="str">
        <f aca="false">INDEX('NBA Engine'!$AK$2:$AK$301,MATCH($A129,'NBA Engine'!$A$2:$A$301,0))</f>
        <v>Retention Conversation</v>
      </c>
      <c r="F129" s="2" t="str">
        <f aca="false">INDEX('NBA Engine'!$AM$2:$AM$301,MATCH($A129,'NBA Engine'!$A$2:$A$301,0))</f>
        <v>Ready — Human</v>
      </c>
      <c r="G129" s="2" t="str">
        <f aca="false">INDEX('NBA Engine'!$AJ$2:$AJ$301,MATCH($A129,'NBA Engine'!$A$2:$A$301,0))</f>
        <v>DECLINING_KEY_CORE</v>
      </c>
      <c r="H129" s="2" t="str">
        <f aca="false">INDEX('NBA Engine'!$AT$2:$AT$301,MATCH($A129,'NBA Engine'!$A$2:$A$301,0))</f>
        <v>BORDERLINE_MOMENTUM; FEB_SENSITIVE; H2_SINGLE_MONTH_SPIKE; </v>
      </c>
      <c r="I129" s="2"/>
      <c r="J129" s="2"/>
      <c r="K129" s="2"/>
      <c r="L129" s="2"/>
      <c r="M129" s="2"/>
      <c r="N129" s="2"/>
      <c r="O129" s="2"/>
      <c r="P129" s="2"/>
      <c r="Q129" s="2"/>
      <c r="R129" s="2"/>
      <c r="S129" s="2"/>
    </row>
    <row r="130" customFormat="false" ht="15" hidden="false" customHeight="false" outlineLevel="0" collapsed="false">
      <c r="A130" s="2" t="s">
        <v>297</v>
      </c>
      <c r="B130" s="2" t="str">
        <f aca="false">INDEX('NBA Engine'!$AN$2:$AN$301,MATCH($A130,'NBA Engine'!$A$2:$A$301,0))</f>
        <v>P1</v>
      </c>
      <c r="C130" s="2" t="str">
        <f aca="false">INDEX('NBA Engine'!$E$2:$E$301,MATCH($A130,'NBA Engine'!$A$2:$A$301,0))</f>
        <v>Core</v>
      </c>
      <c r="D130" s="9" t="n">
        <f aca="false">INDEX('NBA Engine'!$H$2:$H$301,MATCH($A130,'NBA Engine'!$A$2:$A$301,0))</f>
        <v>2214</v>
      </c>
      <c r="E130" s="2" t="str">
        <f aca="false">INDEX('NBA Engine'!$AK$2:$AK$301,MATCH($A130,'NBA Engine'!$A$2:$A$301,0))</f>
        <v>Verify Demand / Win-Back</v>
      </c>
      <c r="F130" s="2" t="str">
        <f aca="false">INDEX('NBA Engine'!$AM$2:$AM$301,MATCH($A130,'NBA Engine'!$A$2:$A$301,0))</f>
        <v>Ready — Human</v>
      </c>
      <c r="G130" s="2" t="str">
        <f aca="false">INDEX('NBA Engine'!$AJ$2:$AJ$301,MATCH($A130,'NBA Engine'!$A$2:$A$301,0))</f>
        <v>LAPSED_THIN_HISTORY</v>
      </c>
      <c r="H130" s="2" t="str">
        <f aca="false">INDEX('NBA Engine'!$AT$2:$AT$301,MATCH($A130,'NBA Engine'!$A$2:$A$301,0))</f>
        <v>MATERIAL_BROKER_INCONSISTENCY; </v>
      </c>
      <c r="I130" s="2"/>
      <c r="J130" s="2"/>
      <c r="K130" s="2"/>
      <c r="L130" s="2"/>
      <c r="M130" s="2"/>
      <c r="N130" s="2"/>
      <c r="O130" s="2"/>
      <c r="P130" s="2"/>
      <c r="Q130" s="2"/>
      <c r="R130" s="2"/>
      <c r="S130" s="2"/>
    </row>
    <row r="131" customFormat="false" ht="15" hidden="false" customHeight="false" outlineLevel="0" collapsed="false">
      <c r="A131" s="2" t="s">
        <v>301</v>
      </c>
      <c r="B131" s="2" t="str">
        <f aca="false">INDEX('NBA Engine'!$AN$2:$AN$301,MATCH($A131,'NBA Engine'!$A$2:$A$301,0))</f>
        <v>P1</v>
      </c>
      <c r="C131" s="2" t="str">
        <f aca="false">INDEX('NBA Engine'!$E$2:$E$301,MATCH($A131,'NBA Engine'!$A$2:$A$301,0))</f>
        <v>Core</v>
      </c>
      <c r="D131" s="9" t="n">
        <f aca="false">INDEX('NBA Engine'!$H$2:$H$301,MATCH($A131,'NBA Engine'!$A$2:$A$301,0))</f>
        <v>2116</v>
      </c>
      <c r="E131" s="2" t="str">
        <f aca="false">INDEX('NBA Engine'!$AK$2:$AK$301,MATCH($A131,'NBA Engine'!$A$2:$A$301,0))</f>
        <v>Retention Conversation</v>
      </c>
      <c r="F131" s="2" t="str">
        <f aca="false">INDEX('NBA Engine'!$AM$2:$AM$301,MATCH($A131,'NBA Engine'!$A$2:$A$301,0))</f>
        <v>Ready — Human</v>
      </c>
      <c r="G131" s="2" t="str">
        <f aca="false">INDEX('NBA Engine'!$AJ$2:$AJ$301,MATCH($A131,'NBA Engine'!$A$2:$A$301,0))</f>
        <v>DECLINING_KEY_CORE</v>
      </c>
      <c r="H131" s="2" t="str">
        <f aca="false">INDEX('NBA Engine'!$AT$2:$AT$301,MATCH($A131,'NBA Engine'!$A$2:$A$301,0))</f>
        <v>H2_SINGLE_MONTH_SPIKE; </v>
      </c>
      <c r="I131" s="2"/>
      <c r="J131" s="2"/>
      <c r="K131" s="2"/>
      <c r="L131" s="2"/>
      <c r="M131" s="2"/>
      <c r="N131" s="2"/>
      <c r="O131" s="2"/>
      <c r="P131" s="2"/>
      <c r="Q131" s="2"/>
      <c r="R131" s="2"/>
      <c r="S131" s="2"/>
    </row>
    <row r="132" customFormat="false" ht="15" hidden="false" customHeight="false" outlineLevel="0" collapsed="false">
      <c r="A132" s="2" t="s">
        <v>304</v>
      </c>
      <c r="B132" s="2" t="str">
        <f aca="false">INDEX('NBA Engine'!$AN$2:$AN$301,MATCH($A132,'NBA Engine'!$A$2:$A$301,0))</f>
        <v>P1</v>
      </c>
      <c r="C132" s="2" t="str">
        <f aca="false">INDEX('NBA Engine'!$E$2:$E$301,MATCH($A132,'NBA Engine'!$A$2:$A$301,0))</f>
        <v>Core</v>
      </c>
      <c r="D132" s="9" t="n">
        <f aca="false">INDEX('NBA Engine'!$H$2:$H$301,MATCH($A132,'NBA Engine'!$A$2:$A$301,0))</f>
        <v>2031</v>
      </c>
      <c r="E132" s="2" t="str">
        <f aca="false">INDEX('NBA Engine'!$AK$2:$AK$301,MATCH($A132,'NBA Engine'!$A$2:$A$301,0))</f>
        <v>Verify Demand / Win-Back</v>
      </c>
      <c r="F132" s="2" t="str">
        <f aca="false">INDEX('NBA Engine'!$AM$2:$AM$301,MATCH($A132,'NBA Engine'!$A$2:$A$301,0))</f>
        <v>Ready — Human</v>
      </c>
      <c r="G132" s="2" t="str">
        <f aca="false">INDEX('NBA Engine'!$AJ$2:$AJ$301,MATCH($A132,'NBA Engine'!$A$2:$A$301,0))</f>
        <v>LAPSED_ESTABLISHED</v>
      </c>
      <c r="H132" s="2" t="str">
        <f aca="false">INDEX('NBA Engine'!$AT$2:$AT$301,MATCH($A132,'NBA Engine'!$A$2:$A$301,0))</f>
        <v/>
      </c>
      <c r="I132" s="2"/>
      <c r="J132" s="2"/>
      <c r="K132" s="2"/>
      <c r="L132" s="2"/>
      <c r="M132" s="2"/>
      <c r="N132" s="2"/>
      <c r="O132" s="2"/>
      <c r="P132" s="2"/>
      <c r="Q132" s="2"/>
      <c r="R132" s="2"/>
      <c r="S132" s="2"/>
    </row>
    <row r="133" customFormat="false" ht="15" hidden="false" customHeight="false" outlineLevel="0" collapsed="false">
      <c r="A133" s="2" t="s">
        <v>308</v>
      </c>
      <c r="B133" s="2" t="str">
        <f aca="false">INDEX('NBA Engine'!$AN$2:$AN$301,MATCH($A133,'NBA Engine'!$A$2:$A$301,0))</f>
        <v>P2</v>
      </c>
      <c r="C133" s="2" t="str">
        <f aca="false">INDEX('NBA Engine'!$E$2:$E$301,MATCH($A133,'NBA Engine'!$A$2:$A$301,0))</f>
        <v>Key</v>
      </c>
      <c r="D133" s="9" t="n">
        <f aca="false">INDEX('NBA Engine'!$H$2:$H$301,MATCH($A133,'NBA Engine'!$A$2:$A$301,0))</f>
        <v>170132</v>
      </c>
      <c r="E133" s="2" t="str">
        <f aca="false">INDEX('NBA Engine'!$AK$2:$AK$301,MATCH($A133,'NBA Engine'!$A$2:$A$301,0))</f>
        <v>Guided Self-Serve Migration</v>
      </c>
      <c r="F133" s="2" t="str">
        <f aca="false">INDEX('NBA Engine'!$AM$2:$AM$301,MATCH($A133,'NBA Engine'!$A$2:$A$301,0))</f>
        <v>Human Sign-Off Required</v>
      </c>
      <c r="G133" s="2" t="str">
        <f aca="false">INDEX('NBA Engine'!$AJ$2:$AJ$301,MATCH($A133,'NBA Engine'!$A$2:$A$301,0))</f>
        <v>MIGRATION_KEY_SIGNOFF</v>
      </c>
      <c r="H133" s="2" t="str">
        <f aca="false">INDEX('NBA Engine'!$AT$2:$AT$301,MATCH($A133,'NBA Engine'!$A$2:$A$301,0))</f>
        <v>KEY_SIGNOFF; BORDERLINE_MOMENTUM; FEB_SENSITIVE; </v>
      </c>
      <c r="I133" s="2"/>
      <c r="J133" s="2"/>
      <c r="K133" s="2"/>
      <c r="L133" s="2"/>
      <c r="M133" s="2"/>
      <c r="N133" s="2"/>
      <c r="O133" s="2"/>
      <c r="P133" s="2"/>
      <c r="Q133" s="2"/>
      <c r="R133" s="2"/>
      <c r="S133" s="2"/>
    </row>
    <row r="134" customFormat="false" ht="15" hidden="false" customHeight="false" outlineLevel="0" collapsed="false">
      <c r="A134" s="2" t="s">
        <v>328</v>
      </c>
      <c r="B134" s="2" t="str">
        <f aca="false">INDEX('NBA Engine'!$AN$2:$AN$301,MATCH($A134,'NBA Engine'!$A$2:$A$301,0))</f>
        <v>P2</v>
      </c>
      <c r="C134" s="2" t="str">
        <f aca="false">INDEX('NBA Engine'!$E$2:$E$301,MATCH($A134,'NBA Engine'!$A$2:$A$301,0))</f>
        <v>Key</v>
      </c>
      <c r="D134" s="9" t="n">
        <f aca="false">INDEX('NBA Engine'!$H$2:$H$301,MATCH($A134,'NBA Engine'!$A$2:$A$301,0))</f>
        <v>41039</v>
      </c>
      <c r="E134" s="2" t="str">
        <f aca="false">INDEX('NBA Engine'!$AK$2:$AK$301,MATCH($A134,'NBA Engine'!$A$2:$A$301,0))</f>
        <v>Guided Self-Serve Migration</v>
      </c>
      <c r="F134" s="2" t="str">
        <f aca="false">INDEX('NBA Engine'!$AM$2:$AM$301,MATCH($A134,'NBA Engine'!$A$2:$A$301,0))</f>
        <v>Human Sign-Off Required</v>
      </c>
      <c r="G134" s="2" t="str">
        <f aca="false">INDEX('NBA Engine'!$AJ$2:$AJ$301,MATCH($A134,'NBA Engine'!$A$2:$A$301,0))</f>
        <v>MIGRATION_KEY_SIGNOFF</v>
      </c>
      <c r="H134" s="2" t="str">
        <f aca="false">INDEX('NBA Engine'!$AT$2:$AT$301,MATCH($A134,'NBA Engine'!$A$2:$A$301,0))</f>
        <v>KEY_SIGNOFF; BORDERLINE_MOMENTUM; FEB_SENSITIVE; </v>
      </c>
      <c r="I134" s="2"/>
      <c r="J134" s="2"/>
      <c r="K134" s="2"/>
      <c r="L134" s="2"/>
      <c r="M134" s="2"/>
      <c r="N134" s="2"/>
      <c r="O134" s="2"/>
      <c r="P134" s="2"/>
      <c r="Q134" s="2"/>
      <c r="R134" s="2"/>
      <c r="S134" s="2"/>
    </row>
    <row r="135" customFormat="false" ht="15" hidden="false" customHeight="false" outlineLevel="0" collapsed="false">
      <c r="A135" s="2" t="s">
        <v>331</v>
      </c>
      <c r="B135" s="2" t="str">
        <f aca="false">INDEX('NBA Engine'!$AN$2:$AN$301,MATCH($A135,'NBA Engine'!$A$2:$A$301,0))</f>
        <v>P2</v>
      </c>
      <c r="C135" s="2" t="str">
        <f aca="false">INDEX('NBA Engine'!$E$2:$E$301,MATCH($A135,'NBA Engine'!$A$2:$A$301,0))</f>
        <v>Key</v>
      </c>
      <c r="D135" s="9" t="n">
        <f aca="false">INDEX('NBA Engine'!$H$2:$H$301,MATCH($A135,'NBA Engine'!$A$2:$A$301,0))</f>
        <v>27099</v>
      </c>
      <c r="E135" s="2" t="str">
        <f aca="false">INDEX('NBA Engine'!$AK$2:$AK$301,MATCH($A135,'NBA Engine'!$A$2:$A$301,0))</f>
        <v>Guided Self-Serve Migration</v>
      </c>
      <c r="F135" s="2" t="str">
        <f aca="false">INDEX('NBA Engine'!$AM$2:$AM$301,MATCH($A135,'NBA Engine'!$A$2:$A$301,0))</f>
        <v>Human Sign-Off Required</v>
      </c>
      <c r="G135" s="2" t="str">
        <f aca="false">INDEX('NBA Engine'!$AJ$2:$AJ$301,MATCH($A135,'NBA Engine'!$A$2:$A$301,0))</f>
        <v>MIGRATION_KEY_SIGNOFF</v>
      </c>
      <c r="H135" s="2" t="str">
        <f aca="false">INDEX('NBA Engine'!$AT$2:$AT$301,MATCH($A135,'NBA Engine'!$A$2:$A$301,0))</f>
        <v>KEY_SIGNOFF; BORDERLINE_MOMENTUM; </v>
      </c>
      <c r="I135" s="2"/>
      <c r="J135" s="2"/>
      <c r="K135" s="2"/>
      <c r="L135" s="2"/>
      <c r="M135" s="2"/>
      <c r="N135" s="2"/>
      <c r="O135" s="2"/>
      <c r="P135" s="2"/>
      <c r="Q135" s="2"/>
      <c r="R135" s="2"/>
      <c r="S135" s="2"/>
    </row>
    <row r="136" customFormat="false" ht="15" hidden="false" customHeight="false" outlineLevel="0" collapsed="false">
      <c r="A136" s="2" t="s">
        <v>335</v>
      </c>
      <c r="B136" s="2" t="str">
        <f aca="false">INDEX('NBA Engine'!$AN$2:$AN$301,MATCH($A136,'NBA Engine'!$A$2:$A$301,0))</f>
        <v>P2</v>
      </c>
      <c r="C136" s="2" t="str">
        <f aca="false">INDEX('NBA Engine'!$E$2:$E$301,MATCH($A136,'NBA Engine'!$A$2:$A$301,0))</f>
        <v>Key</v>
      </c>
      <c r="D136" s="9" t="n">
        <f aca="false">INDEX('NBA Engine'!$H$2:$H$301,MATCH($A136,'NBA Engine'!$A$2:$A$301,0))</f>
        <v>23205</v>
      </c>
      <c r="E136" s="2" t="str">
        <f aca="false">INDEX('NBA Engine'!$AK$2:$AK$301,MATCH($A136,'NBA Engine'!$A$2:$A$301,0))</f>
        <v>Guided Self-Serve Migration</v>
      </c>
      <c r="F136" s="2" t="str">
        <f aca="false">INDEX('NBA Engine'!$AM$2:$AM$301,MATCH($A136,'NBA Engine'!$A$2:$A$301,0))</f>
        <v>Human Sign-Off Required</v>
      </c>
      <c r="G136" s="2" t="str">
        <f aca="false">INDEX('NBA Engine'!$AJ$2:$AJ$301,MATCH($A136,'NBA Engine'!$A$2:$A$301,0))</f>
        <v>MIGRATION_KEY_SIGNOFF</v>
      </c>
      <c r="H136" s="2" t="str">
        <f aca="false">INDEX('NBA Engine'!$AT$2:$AT$301,MATCH($A136,'NBA Engine'!$A$2:$A$301,0))</f>
        <v>KEY_SIGNOFF; </v>
      </c>
      <c r="I136" s="2"/>
      <c r="J136" s="2"/>
      <c r="K136" s="2"/>
      <c r="L136" s="2"/>
      <c r="M136" s="2"/>
      <c r="N136" s="2"/>
      <c r="O136" s="2"/>
      <c r="P136" s="2"/>
      <c r="Q136" s="2"/>
      <c r="R136" s="2"/>
      <c r="S136" s="2"/>
    </row>
    <row r="137" customFormat="false" ht="15" hidden="false" customHeight="false" outlineLevel="0" collapsed="false">
      <c r="A137" s="2" t="s">
        <v>339</v>
      </c>
      <c r="B137" s="2" t="str">
        <f aca="false">INDEX('NBA Engine'!$AN$2:$AN$301,MATCH($A137,'NBA Engine'!$A$2:$A$301,0))</f>
        <v>P2</v>
      </c>
      <c r="C137" s="2" t="str">
        <f aca="false">INDEX('NBA Engine'!$E$2:$E$301,MATCH($A137,'NBA Engine'!$A$2:$A$301,0))</f>
        <v>Key</v>
      </c>
      <c r="D137" s="9" t="n">
        <f aca="false">INDEX('NBA Engine'!$H$2:$H$301,MATCH($A137,'NBA Engine'!$A$2:$A$301,0))</f>
        <v>22089</v>
      </c>
      <c r="E137" s="2" t="str">
        <f aca="false">INDEX('NBA Engine'!$AK$2:$AK$301,MATCH($A137,'NBA Engine'!$A$2:$A$301,0))</f>
        <v>Guided Self-Serve Migration</v>
      </c>
      <c r="F137" s="2" t="str">
        <f aca="false">INDEX('NBA Engine'!$AM$2:$AM$301,MATCH($A137,'NBA Engine'!$A$2:$A$301,0))</f>
        <v>Human Sign-Off Required</v>
      </c>
      <c r="G137" s="2" t="str">
        <f aca="false">INDEX('NBA Engine'!$AJ$2:$AJ$301,MATCH($A137,'NBA Engine'!$A$2:$A$301,0))</f>
        <v>MIGRATION_KEY_SIGNOFF</v>
      </c>
      <c r="H137" s="2" t="str">
        <f aca="false">INDEX('NBA Engine'!$AT$2:$AT$301,MATCH($A137,'NBA Engine'!$A$2:$A$301,0))</f>
        <v>KEY_SIGNOFF; </v>
      </c>
      <c r="I137" s="2"/>
      <c r="J137" s="2"/>
      <c r="K137" s="2"/>
      <c r="L137" s="2"/>
      <c r="M137" s="2"/>
      <c r="N137" s="2"/>
      <c r="O137" s="2"/>
      <c r="P137" s="2"/>
      <c r="Q137" s="2"/>
      <c r="R137" s="2"/>
      <c r="S137" s="2"/>
    </row>
    <row r="138" customFormat="false" ht="15" hidden="false" customHeight="false" outlineLevel="0" collapsed="false">
      <c r="A138" s="2" t="s">
        <v>342</v>
      </c>
      <c r="B138" s="2" t="str">
        <f aca="false">INDEX('NBA Engine'!$AN$2:$AN$301,MATCH($A138,'NBA Engine'!$A$2:$A$301,0))</f>
        <v>P2</v>
      </c>
      <c r="C138" s="2" t="str">
        <f aca="false">INDEX('NBA Engine'!$E$2:$E$301,MATCH($A138,'NBA Engine'!$A$2:$A$301,0))</f>
        <v>Key</v>
      </c>
      <c r="D138" s="9" t="n">
        <f aca="false">INDEX('NBA Engine'!$H$2:$H$301,MATCH($A138,'NBA Engine'!$A$2:$A$301,0))</f>
        <v>15600</v>
      </c>
      <c r="E138" s="2" t="str">
        <f aca="false">INDEX('NBA Engine'!$AK$2:$AK$301,MATCH($A138,'NBA Engine'!$A$2:$A$301,0))</f>
        <v>Establish / Re-establish</v>
      </c>
      <c r="F138" s="2" t="str">
        <f aca="false">INDEX('NBA Engine'!$AM$2:$AM$301,MATCH($A138,'NBA Engine'!$A$2:$A$301,0))</f>
        <v>Ready — Human</v>
      </c>
      <c r="G138" s="2" t="str">
        <f aca="false">INDEX('NBA Engine'!$AJ$2:$AJ$301,MATCH($A138,'NBA Engine'!$A$2:$A$301,0))</f>
        <v>RETURNED_CUSTOMER</v>
      </c>
      <c r="H138" s="2" t="str">
        <f aca="false">INDEX('NBA Engine'!$AT$2:$AT$301,MATCH($A138,'NBA Engine'!$A$2:$A$301,0))</f>
        <v>MATERIAL_BROKER_INCONSISTENCY; LOW_CONFIDENCE; </v>
      </c>
      <c r="I138" s="2"/>
      <c r="J138" s="2"/>
      <c r="K138" s="2"/>
      <c r="L138" s="2"/>
      <c r="M138" s="2"/>
      <c r="N138" s="2"/>
      <c r="O138" s="2"/>
      <c r="P138" s="2"/>
      <c r="Q138" s="2"/>
      <c r="R138" s="2"/>
      <c r="S138" s="2"/>
    </row>
    <row r="139" customFormat="false" ht="15" hidden="false" customHeight="false" outlineLevel="0" collapsed="false">
      <c r="A139" s="2" t="s">
        <v>357</v>
      </c>
      <c r="B139" s="2" t="str">
        <f aca="false">INDEX('NBA Engine'!$AN$2:$AN$301,MATCH($A139,'NBA Engine'!$A$2:$A$301,0))</f>
        <v>P2</v>
      </c>
      <c r="C139" s="2" t="str">
        <f aca="false">INDEX('NBA Engine'!$E$2:$E$301,MATCH($A139,'NBA Engine'!$A$2:$A$301,0))</f>
        <v>Key</v>
      </c>
      <c r="D139" s="9" t="n">
        <f aca="false">INDEX('NBA Engine'!$H$2:$H$301,MATCH($A139,'NBA Engine'!$A$2:$A$301,0))</f>
        <v>14611</v>
      </c>
      <c r="E139" s="2" t="str">
        <f aca="false">INDEX('NBA Engine'!$AK$2:$AK$301,MATCH($A139,'NBA Engine'!$A$2:$A$301,0))</f>
        <v>Guided Self-Serve Migration</v>
      </c>
      <c r="F139" s="2" t="str">
        <f aca="false">INDEX('NBA Engine'!$AM$2:$AM$301,MATCH($A139,'NBA Engine'!$A$2:$A$301,0))</f>
        <v>Human Sign-Off Required</v>
      </c>
      <c r="G139" s="2" t="str">
        <f aca="false">INDEX('NBA Engine'!$AJ$2:$AJ$301,MATCH($A139,'NBA Engine'!$A$2:$A$301,0))</f>
        <v>MIGRATION_KEY_SIGNOFF</v>
      </c>
      <c r="H139" s="2" t="str">
        <f aca="false">INDEX('NBA Engine'!$AT$2:$AT$301,MATCH($A139,'NBA Engine'!$A$2:$A$301,0))</f>
        <v>KEY_SIGNOFF; MATERIAL_BROKER_INCONSISTENCY; </v>
      </c>
      <c r="I139" s="2"/>
      <c r="J139" s="2"/>
      <c r="K139" s="2"/>
      <c r="L139" s="2"/>
      <c r="M139" s="2"/>
      <c r="N139" s="2"/>
      <c r="O139" s="2"/>
      <c r="P139" s="2"/>
      <c r="Q139" s="2"/>
      <c r="R139" s="2"/>
      <c r="S139" s="2"/>
    </row>
    <row r="140" customFormat="false" ht="15" hidden="false" customHeight="false" outlineLevel="0" collapsed="false">
      <c r="A140" s="2" t="s">
        <v>361</v>
      </c>
      <c r="B140" s="2" t="str">
        <f aca="false">INDEX('NBA Engine'!$AN$2:$AN$301,MATCH($A140,'NBA Engine'!$A$2:$A$301,0))</f>
        <v>P2</v>
      </c>
      <c r="C140" s="2" t="str">
        <f aca="false">INDEX('NBA Engine'!$E$2:$E$301,MATCH($A140,'NBA Engine'!$A$2:$A$301,0))</f>
        <v>Key</v>
      </c>
      <c r="D140" s="9" t="n">
        <f aca="false">INDEX('NBA Engine'!$H$2:$H$301,MATCH($A140,'NBA Engine'!$A$2:$A$301,0))</f>
        <v>11252</v>
      </c>
      <c r="E140" s="2" t="str">
        <f aca="false">INDEX('NBA Engine'!$AK$2:$AK$301,MATCH($A140,'NBA Engine'!$A$2:$A$301,0))</f>
        <v>Guided Self-Serve Migration</v>
      </c>
      <c r="F140" s="2" t="str">
        <f aca="false">INDEX('NBA Engine'!$AM$2:$AM$301,MATCH($A140,'NBA Engine'!$A$2:$A$301,0))</f>
        <v>Human Sign-Off Required</v>
      </c>
      <c r="G140" s="2" t="str">
        <f aca="false">INDEX('NBA Engine'!$AJ$2:$AJ$301,MATCH($A140,'NBA Engine'!$A$2:$A$301,0))</f>
        <v>MIGRATION_KEY_SIGNOFF</v>
      </c>
      <c r="H140" s="2" t="str">
        <f aca="false">INDEX('NBA Engine'!$AT$2:$AT$301,MATCH($A140,'NBA Engine'!$A$2:$A$301,0))</f>
        <v>KEY_SIGNOFF; NO_FEB_GMV (Feb unconfirmed); </v>
      </c>
      <c r="I140" s="2"/>
      <c r="J140" s="2"/>
      <c r="K140" s="2"/>
      <c r="L140" s="2"/>
      <c r="M140" s="2"/>
      <c r="N140" s="2"/>
      <c r="O140" s="2"/>
      <c r="P140" s="2"/>
      <c r="Q140" s="2"/>
      <c r="R140" s="2"/>
      <c r="S140" s="2"/>
    </row>
    <row r="141" customFormat="false" ht="15" hidden="false" customHeight="false" outlineLevel="0" collapsed="false">
      <c r="A141" s="2" t="s">
        <v>365</v>
      </c>
      <c r="B141" s="2" t="str">
        <f aca="false">INDEX('NBA Engine'!$AN$2:$AN$301,MATCH($A141,'NBA Engine'!$A$2:$A$301,0))</f>
        <v>P2</v>
      </c>
      <c r="C141" s="2" t="str">
        <f aca="false">INDEX('NBA Engine'!$E$2:$E$301,MATCH($A141,'NBA Engine'!$A$2:$A$301,0))</f>
        <v>Core</v>
      </c>
      <c r="D141" s="9" t="n">
        <f aca="false">INDEX('NBA Engine'!$H$2:$H$301,MATCH($A141,'NBA Engine'!$A$2:$A$301,0))</f>
        <v>8581</v>
      </c>
      <c r="E141" s="2" t="str">
        <f aca="false">INDEX('NBA Engine'!$AK$2:$AK$301,MATCH($A141,'NBA Engine'!$A$2:$A$301,0))</f>
        <v>Reinforce Successful Behaviour</v>
      </c>
      <c r="F141" s="2" t="str">
        <f aca="false">INDEX('NBA Engine'!$AM$2:$AM$301,MATCH($A141,'NBA Engine'!$A$2:$A$301,0))</f>
        <v>Ready — Automated</v>
      </c>
      <c r="G141" s="2" t="str">
        <f aca="false">INDEX('NBA Engine'!$AJ$2:$AJ$301,MATCH($A141,'NBA Engine'!$A$2:$A$301,0))</f>
        <v>HEALTHY_STRONG_SELF_SERVE</v>
      </c>
      <c r="H141" s="2" t="str">
        <f aca="false">INDEX('NBA Engine'!$AT$2:$AT$301,MATCH($A141,'NBA Engine'!$A$2:$A$301,0))</f>
        <v/>
      </c>
      <c r="I141" s="2"/>
      <c r="J141" s="2"/>
      <c r="K141" s="2"/>
      <c r="L141" s="2"/>
      <c r="M141" s="2"/>
      <c r="N141" s="2"/>
      <c r="O141" s="2"/>
      <c r="P141" s="2"/>
      <c r="Q141" s="2"/>
      <c r="R141" s="2"/>
      <c r="S141" s="2"/>
    </row>
    <row r="142" customFormat="false" ht="15" hidden="false" customHeight="false" outlineLevel="0" collapsed="false">
      <c r="A142" s="2" t="s">
        <v>380</v>
      </c>
      <c r="B142" s="2" t="str">
        <f aca="false">INDEX('NBA Engine'!$AN$2:$AN$301,MATCH($A142,'NBA Engine'!$A$2:$A$301,0))</f>
        <v>P2</v>
      </c>
      <c r="C142" s="2" t="str">
        <f aca="false">INDEX('NBA Engine'!$E$2:$E$301,MATCH($A142,'NBA Engine'!$A$2:$A$301,0))</f>
        <v>Core</v>
      </c>
      <c r="D142" s="9" t="n">
        <f aca="false">INDEX('NBA Engine'!$H$2:$H$301,MATCH($A142,'NBA Engine'!$A$2:$A$301,0))</f>
        <v>7716</v>
      </c>
      <c r="E142" s="2" t="str">
        <f aca="false">INDEX('NBA Engine'!$AK$2:$AK$301,MATCH($A142,'NBA Engine'!$A$2:$A$301,0))</f>
        <v>Guided Self-Serve Migration</v>
      </c>
      <c r="F142" s="2" t="str">
        <f aca="false">INDEX('NBA Engine'!$AM$2:$AM$301,MATCH($A142,'NBA Engine'!$A$2:$A$301,0))</f>
        <v>Ready — Hybrid</v>
      </c>
      <c r="G142" s="2" t="str">
        <f aca="false">INDEX('NBA Engine'!$AJ$2:$AJ$301,MATCH($A142,'NBA Engine'!$A$2:$A$301,0))</f>
        <v>MIGRATION_PHASE1_READY</v>
      </c>
      <c r="H142" s="2" t="str">
        <f aca="false">INDEX('NBA Engine'!$AT$2:$AT$301,MATCH($A142,'NBA Engine'!$A$2:$A$301,0))</f>
        <v/>
      </c>
      <c r="I142" s="2"/>
      <c r="J142" s="2"/>
      <c r="K142" s="2"/>
      <c r="L142" s="2"/>
      <c r="M142" s="2"/>
      <c r="N142" s="2"/>
      <c r="O142" s="2"/>
      <c r="P142" s="2"/>
      <c r="Q142" s="2"/>
      <c r="R142" s="2"/>
      <c r="S142" s="2"/>
    </row>
    <row r="143" customFormat="false" ht="15" hidden="false" customHeight="false" outlineLevel="0" collapsed="false">
      <c r="A143" s="2" t="s">
        <v>389</v>
      </c>
      <c r="B143" s="2" t="str">
        <f aca="false">INDEX('NBA Engine'!$AN$2:$AN$301,MATCH($A143,'NBA Engine'!$A$2:$A$301,0))</f>
        <v>P2</v>
      </c>
      <c r="C143" s="2" t="str">
        <f aca="false">INDEX('NBA Engine'!$E$2:$E$301,MATCH($A143,'NBA Engine'!$A$2:$A$301,0))</f>
        <v>Core</v>
      </c>
      <c r="D143" s="9" t="n">
        <f aca="false">INDEX('NBA Engine'!$H$2:$H$301,MATCH($A143,'NBA Engine'!$A$2:$A$301,0))</f>
        <v>6452</v>
      </c>
      <c r="E143" s="2" t="str">
        <f aca="false">INDEX('NBA Engine'!$AK$2:$AK$301,MATCH($A143,'NBA Engine'!$A$2:$A$301,0))</f>
        <v>Guided Self-Serve Migration</v>
      </c>
      <c r="F143" s="2" t="str">
        <f aca="false">INDEX('NBA Engine'!$AM$2:$AM$301,MATCH($A143,'NBA Engine'!$A$2:$A$301,0))</f>
        <v>Human Review Required</v>
      </c>
      <c r="G143" s="2" t="str">
        <f aca="false">INDEX('NBA Engine'!$AJ$2:$AJ$301,MATCH($A143,'NBA Engine'!$A$2:$A$301,0))</f>
        <v>MIGRATION_PHASE1_REVIEW</v>
      </c>
      <c r="H143" s="2" t="str">
        <f aca="false">INDEX('NBA Engine'!$AT$2:$AT$301,MATCH($A143,'NBA Engine'!$A$2:$A$301,0))</f>
        <v>PHASE1_MANUAL_REVIEW; LUMPY_CADENCE; MATERIAL_BROKER_INCONSISTENCY; H2_SINGLE_MONTH_SPIKE; </v>
      </c>
      <c r="I143" s="2"/>
      <c r="J143" s="2"/>
      <c r="K143" s="2"/>
      <c r="L143" s="2"/>
      <c r="M143" s="2"/>
      <c r="N143" s="2"/>
      <c r="O143" s="2"/>
      <c r="P143" s="2"/>
      <c r="Q143" s="2"/>
      <c r="R143" s="2"/>
      <c r="S143" s="2"/>
    </row>
    <row r="144" customFormat="false" ht="15" hidden="false" customHeight="false" outlineLevel="0" collapsed="false">
      <c r="A144" s="2" t="s">
        <v>399</v>
      </c>
      <c r="B144" s="2" t="str">
        <f aca="false">INDEX('NBA Engine'!$AN$2:$AN$301,MATCH($A144,'NBA Engine'!$A$2:$A$301,0))</f>
        <v>P2</v>
      </c>
      <c r="C144" s="2" t="str">
        <f aca="false">INDEX('NBA Engine'!$E$2:$E$301,MATCH($A144,'NBA Engine'!$A$2:$A$301,0))</f>
        <v>Core</v>
      </c>
      <c r="D144" s="9" t="n">
        <f aca="false">INDEX('NBA Engine'!$H$2:$H$301,MATCH($A144,'NBA Engine'!$A$2:$A$301,0))</f>
        <v>5214</v>
      </c>
      <c r="E144" s="2" t="str">
        <f aca="false">INDEX('NBA Engine'!$AK$2:$AK$301,MATCH($A144,'NBA Engine'!$A$2:$A$301,0))</f>
        <v>Guided Self-Serve Migration</v>
      </c>
      <c r="F144" s="2" t="str">
        <f aca="false">INDEX('NBA Engine'!$AM$2:$AM$301,MATCH($A144,'NBA Engine'!$A$2:$A$301,0))</f>
        <v>Human Review Required</v>
      </c>
      <c r="G144" s="2" t="str">
        <f aca="false">INDEX('NBA Engine'!$AJ$2:$AJ$301,MATCH($A144,'NBA Engine'!$A$2:$A$301,0))</f>
        <v>MIGRATION_PHASE1_REVIEW</v>
      </c>
      <c r="H144" s="2" t="str">
        <f aca="false">INDEX('NBA Engine'!$AT$2:$AT$301,MATCH($A144,'NBA Engine'!$A$2:$A$301,0))</f>
        <v>PHASE1_MANUAL_REVIEW; BORDERLINE_MOMENTUM; </v>
      </c>
      <c r="I144" s="2"/>
      <c r="J144" s="2"/>
      <c r="K144" s="2"/>
      <c r="L144" s="2"/>
      <c r="M144" s="2"/>
      <c r="N144" s="2"/>
      <c r="O144" s="2"/>
      <c r="P144" s="2"/>
      <c r="Q144" s="2"/>
      <c r="R144" s="2"/>
      <c r="S144" s="2"/>
    </row>
    <row r="145" customFormat="false" ht="15" hidden="false" customHeight="false" outlineLevel="0" collapsed="false">
      <c r="A145" s="2" t="s">
        <v>403</v>
      </c>
      <c r="B145" s="2" t="str">
        <f aca="false">INDEX('NBA Engine'!$AN$2:$AN$301,MATCH($A145,'NBA Engine'!$A$2:$A$301,0))</f>
        <v>P2</v>
      </c>
      <c r="C145" s="2" t="str">
        <f aca="false">INDEX('NBA Engine'!$E$2:$E$301,MATCH($A145,'NBA Engine'!$A$2:$A$301,0))</f>
        <v>Core</v>
      </c>
      <c r="D145" s="9" t="n">
        <f aca="false">INDEX('NBA Engine'!$H$2:$H$301,MATCH($A145,'NBA Engine'!$A$2:$A$301,0))</f>
        <v>5014</v>
      </c>
      <c r="E145" s="2" t="str">
        <f aca="false">INDEX('NBA Engine'!$AK$2:$AK$301,MATCH($A145,'NBA Engine'!$A$2:$A$301,0))</f>
        <v>Reinforce Successful Behaviour</v>
      </c>
      <c r="F145" s="2" t="str">
        <f aca="false">INDEX('NBA Engine'!$AM$2:$AM$301,MATCH($A145,'NBA Engine'!$A$2:$A$301,0))</f>
        <v>Ready — Automated</v>
      </c>
      <c r="G145" s="2" t="str">
        <f aca="false">INDEX('NBA Engine'!$AJ$2:$AJ$301,MATCH($A145,'NBA Engine'!$A$2:$A$301,0))</f>
        <v>HEALTHY_STRONG_SELF_SERVE</v>
      </c>
      <c r="H145" s="2" t="str">
        <f aca="false">INDEX('NBA Engine'!$AT$2:$AT$301,MATCH($A145,'NBA Engine'!$A$2:$A$301,0))</f>
        <v>H2_SINGLE_MONTH_SPIKE; </v>
      </c>
      <c r="I145" s="2"/>
      <c r="J145" s="2"/>
      <c r="K145" s="2"/>
      <c r="L145" s="2"/>
      <c r="M145" s="2"/>
      <c r="N145" s="2"/>
      <c r="O145" s="2"/>
      <c r="P145" s="2"/>
      <c r="Q145" s="2"/>
      <c r="R145" s="2"/>
      <c r="S145" s="2"/>
    </row>
    <row r="146" customFormat="false" ht="15" hidden="false" customHeight="false" outlineLevel="0" collapsed="false">
      <c r="A146" s="2" t="s">
        <v>405</v>
      </c>
      <c r="B146" s="2" t="str">
        <f aca="false">INDEX('NBA Engine'!$AN$2:$AN$301,MATCH($A146,'NBA Engine'!$A$2:$A$301,0))</f>
        <v>P2</v>
      </c>
      <c r="C146" s="2" t="str">
        <f aca="false">INDEX('NBA Engine'!$E$2:$E$301,MATCH($A146,'NBA Engine'!$A$2:$A$301,0))</f>
        <v>Core</v>
      </c>
      <c r="D146" s="9" t="n">
        <f aca="false">INDEX('NBA Engine'!$H$2:$H$301,MATCH($A146,'NBA Engine'!$A$2:$A$301,0))</f>
        <v>4899</v>
      </c>
      <c r="E146" s="2" t="str">
        <f aca="false">INDEX('NBA Engine'!$AK$2:$AK$301,MATCH($A146,'NBA Engine'!$A$2:$A$301,0))</f>
        <v>Reinforce Successful Behaviour</v>
      </c>
      <c r="F146" s="2" t="str">
        <f aca="false">INDEX('NBA Engine'!$AM$2:$AM$301,MATCH($A146,'NBA Engine'!$A$2:$A$301,0))</f>
        <v>Ready — Automated</v>
      </c>
      <c r="G146" s="2" t="str">
        <f aca="false">INDEX('NBA Engine'!$AJ$2:$AJ$301,MATCH($A146,'NBA Engine'!$A$2:$A$301,0))</f>
        <v>HEALTHY_STRONG_SELF_SERVE</v>
      </c>
      <c r="H146" s="2" t="str">
        <f aca="false">INDEX('NBA Engine'!$AT$2:$AT$301,MATCH($A146,'NBA Engine'!$A$2:$A$301,0))</f>
        <v>NO_FEB_GMV (Feb unconfirmed); </v>
      </c>
      <c r="I146" s="2"/>
      <c r="J146" s="2"/>
      <c r="K146" s="2"/>
      <c r="L146" s="2"/>
      <c r="M146" s="2"/>
      <c r="N146" s="2"/>
      <c r="O146" s="2"/>
      <c r="P146" s="2"/>
      <c r="Q146" s="2"/>
      <c r="R146" s="2"/>
      <c r="S146" s="2"/>
    </row>
    <row r="147" customFormat="false" ht="15" hidden="false" customHeight="false" outlineLevel="0" collapsed="false">
      <c r="A147" s="2" t="s">
        <v>408</v>
      </c>
      <c r="B147" s="2" t="str">
        <f aca="false">INDEX('NBA Engine'!$AN$2:$AN$301,MATCH($A147,'NBA Engine'!$A$2:$A$301,0))</f>
        <v>P2</v>
      </c>
      <c r="C147" s="2" t="str">
        <f aca="false">INDEX('NBA Engine'!$E$2:$E$301,MATCH($A147,'NBA Engine'!$A$2:$A$301,0))</f>
        <v>Core</v>
      </c>
      <c r="D147" s="9" t="n">
        <f aca="false">INDEX('NBA Engine'!$H$2:$H$301,MATCH($A147,'NBA Engine'!$A$2:$A$301,0))</f>
        <v>4678</v>
      </c>
      <c r="E147" s="2" t="str">
        <f aca="false">INDEX('NBA Engine'!$AK$2:$AK$301,MATCH($A147,'NBA Engine'!$A$2:$A$301,0))</f>
        <v>Guided Self-Serve Migration</v>
      </c>
      <c r="F147" s="2" t="str">
        <f aca="false">INDEX('NBA Engine'!$AM$2:$AM$301,MATCH($A147,'NBA Engine'!$A$2:$A$301,0))</f>
        <v>Ready — Hybrid</v>
      </c>
      <c r="G147" s="2" t="str">
        <f aca="false">INDEX('NBA Engine'!$AJ$2:$AJ$301,MATCH($A147,'NBA Engine'!$A$2:$A$301,0))</f>
        <v>MIGRATION_PHASE1_READY</v>
      </c>
      <c r="H147" s="2" t="str">
        <f aca="false">INDEX('NBA Engine'!$AT$2:$AT$301,MATCH($A147,'NBA Engine'!$A$2:$A$301,0))</f>
        <v>NO_FEB_GMV (Feb unconfirmed); </v>
      </c>
      <c r="I147" s="2"/>
      <c r="J147" s="2"/>
      <c r="K147" s="2"/>
      <c r="L147" s="2"/>
      <c r="M147" s="2"/>
      <c r="N147" s="2"/>
      <c r="O147" s="2"/>
      <c r="P147" s="2"/>
      <c r="Q147" s="2"/>
      <c r="R147" s="2"/>
      <c r="S147" s="2"/>
    </row>
    <row r="148" customFormat="false" ht="15" hidden="false" customHeight="false" outlineLevel="0" collapsed="false">
      <c r="A148" s="2" t="s">
        <v>412</v>
      </c>
      <c r="B148" s="2" t="str">
        <f aca="false">INDEX('NBA Engine'!$AN$2:$AN$301,MATCH($A148,'NBA Engine'!$A$2:$A$301,0))</f>
        <v>P2</v>
      </c>
      <c r="C148" s="2" t="str">
        <f aca="false">INDEX('NBA Engine'!$E$2:$E$301,MATCH($A148,'NBA Engine'!$A$2:$A$301,0))</f>
        <v>Core</v>
      </c>
      <c r="D148" s="9" t="n">
        <f aca="false">INDEX('NBA Engine'!$H$2:$H$301,MATCH($A148,'NBA Engine'!$A$2:$A$301,0))</f>
        <v>4415</v>
      </c>
      <c r="E148" s="2" t="str">
        <f aca="false">INDEX('NBA Engine'!$AK$2:$AK$301,MATCH($A148,'NBA Engine'!$A$2:$A$301,0))</f>
        <v>Guided Self-Serve Migration</v>
      </c>
      <c r="F148" s="2" t="str">
        <f aca="false">INDEX('NBA Engine'!$AM$2:$AM$301,MATCH($A148,'NBA Engine'!$A$2:$A$301,0))</f>
        <v>Ready — Hybrid</v>
      </c>
      <c r="G148" s="2" t="str">
        <f aca="false">INDEX('NBA Engine'!$AJ$2:$AJ$301,MATCH($A148,'NBA Engine'!$A$2:$A$301,0))</f>
        <v>MIGRATION_PHASE1_READY</v>
      </c>
      <c r="H148" s="2" t="str">
        <f aca="false">INDEX('NBA Engine'!$AT$2:$AT$301,MATCH($A148,'NBA Engine'!$A$2:$A$301,0))</f>
        <v>H2_SINGLE_MONTH_SPIKE; NO_FEB_GMV (Feb unconfirmed); </v>
      </c>
      <c r="I148" s="2"/>
      <c r="J148" s="2"/>
      <c r="K148" s="2"/>
      <c r="L148" s="2"/>
      <c r="M148" s="2"/>
      <c r="N148" s="2"/>
      <c r="O148" s="2"/>
      <c r="P148" s="2"/>
      <c r="Q148" s="2"/>
      <c r="R148" s="2"/>
      <c r="S148" s="2"/>
    </row>
    <row r="149" customFormat="false" ht="15" hidden="false" customHeight="false" outlineLevel="0" collapsed="false">
      <c r="A149" s="2" t="s">
        <v>416</v>
      </c>
      <c r="B149" s="2" t="str">
        <f aca="false">INDEX('NBA Engine'!$AN$2:$AN$301,MATCH($A149,'NBA Engine'!$A$2:$A$301,0))</f>
        <v>P2</v>
      </c>
      <c r="C149" s="2" t="str">
        <f aca="false">INDEX('NBA Engine'!$E$2:$E$301,MATCH($A149,'NBA Engine'!$A$2:$A$301,0))</f>
        <v>Core</v>
      </c>
      <c r="D149" s="9" t="n">
        <f aca="false">INDEX('NBA Engine'!$H$2:$H$301,MATCH($A149,'NBA Engine'!$A$2:$A$301,0))</f>
        <v>4372</v>
      </c>
      <c r="E149" s="2" t="str">
        <f aca="false">INDEX('NBA Engine'!$AK$2:$AK$301,MATCH($A149,'NBA Engine'!$A$2:$A$301,0))</f>
        <v>Guided Self-Serve Migration</v>
      </c>
      <c r="F149" s="2" t="str">
        <f aca="false">INDEX('NBA Engine'!$AM$2:$AM$301,MATCH($A149,'NBA Engine'!$A$2:$A$301,0))</f>
        <v>Ready — Hybrid</v>
      </c>
      <c r="G149" s="2" t="str">
        <f aca="false">INDEX('NBA Engine'!$AJ$2:$AJ$301,MATCH($A149,'NBA Engine'!$A$2:$A$301,0))</f>
        <v>MIGRATION_PHASE1_READY</v>
      </c>
      <c r="H149" s="2" t="str">
        <f aca="false">INDEX('NBA Engine'!$AT$2:$AT$301,MATCH($A149,'NBA Engine'!$A$2:$A$301,0))</f>
        <v/>
      </c>
      <c r="I149" s="2"/>
      <c r="J149" s="2"/>
      <c r="K149" s="2"/>
      <c r="L149" s="2"/>
      <c r="M149" s="2"/>
      <c r="N149" s="2"/>
      <c r="O149" s="2"/>
      <c r="P149" s="2"/>
      <c r="Q149" s="2"/>
      <c r="R149" s="2"/>
      <c r="S149" s="2"/>
    </row>
    <row r="150" customFormat="false" ht="15" hidden="false" customHeight="false" outlineLevel="0" collapsed="false">
      <c r="A150" s="2" t="s">
        <v>419</v>
      </c>
      <c r="B150" s="2" t="str">
        <f aca="false">INDEX('NBA Engine'!$AN$2:$AN$301,MATCH($A150,'NBA Engine'!$A$2:$A$301,0))</f>
        <v>P2</v>
      </c>
      <c r="C150" s="2" t="str">
        <f aca="false">INDEX('NBA Engine'!$E$2:$E$301,MATCH($A150,'NBA Engine'!$A$2:$A$301,0))</f>
        <v>Core</v>
      </c>
      <c r="D150" s="9" t="n">
        <f aca="false">INDEX('NBA Engine'!$H$2:$H$301,MATCH($A150,'NBA Engine'!$A$2:$A$301,0))</f>
        <v>3925</v>
      </c>
      <c r="E150" s="2" t="str">
        <f aca="false">INDEX('NBA Engine'!$AK$2:$AK$301,MATCH($A150,'NBA Engine'!$A$2:$A$301,0))</f>
        <v>Guided Self-Serve Migration</v>
      </c>
      <c r="F150" s="2" t="str">
        <f aca="false">INDEX('NBA Engine'!$AM$2:$AM$301,MATCH($A150,'NBA Engine'!$A$2:$A$301,0))</f>
        <v>Human Review Required</v>
      </c>
      <c r="G150" s="2" t="str">
        <f aca="false">INDEX('NBA Engine'!$AJ$2:$AJ$301,MATCH($A150,'NBA Engine'!$A$2:$A$301,0))</f>
        <v>MIGRATION_PHASE1_REVIEW</v>
      </c>
      <c r="H150" s="2" t="str">
        <f aca="false">INDEX('NBA Engine'!$AT$2:$AT$301,MATCH($A150,'NBA Engine'!$A$2:$A$301,0))</f>
        <v>PHASE1_MANUAL_REVIEW; BORDERLINE_MOMENTUM; </v>
      </c>
      <c r="I150" s="2"/>
      <c r="J150" s="2"/>
      <c r="K150" s="2"/>
      <c r="L150" s="2"/>
      <c r="M150" s="2"/>
      <c r="N150" s="2"/>
      <c r="O150" s="2"/>
      <c r="P150" s="2"/>
      <c r="Q150" s="2"/>
      <c r="R150" s="2"/>
      <c r="S150" s="2"/>
    </row>
    <row r="151" customFormat="false" ht="15" hidden="false" customHeight="false" outlineLevel="0" collapsed="false">
      <c r="A151" s="2" t="s">
        <v>422</v>
      </c>
      <c r="B151" s="2" t="str">
        <f aca="false">INDEX('NBA Engine'!$AN$2:$AN$301,MATCH($A151,'NBA Engine'!$A$2:$A$301,0))</f>
        <v>P2</v>
      </c>
      <c r="C151" s="2" t="str">
        <f aca="false">INDEX('NBA Engine'!$E$2:$E$301,MATCH($A151,'NBA Engine'!$A$2:$A$301,0))</f>
        <v>Core</v>
      </c>
      <c r="D151" s="9" t="n">
        <f aca="false">INDEX('NBA Engine'!$H$2:$H$301,MATCH($A151,'NBA Engine'!$A$2:$A$301,0))</f>
        <v>3879</v>
      </c>
      <c r="E151" s="2" t="str">
        <f aca="false">INDEX('NBA Engine'!$AK$2:$AK$301,MATCH($A151,'NBA Engine'!$A$2:$A$301,0))</f>
        <v>Guided Self-Serve Migration</v>
      </c>
      <c r="F151" s="2" t="str">
        <f aca="false">INDEX('NBA Engine'!$AM$2:$AM$301,MATCH($A151,'NBA Engine'!$A$2:$A$301,0))</f>
        <v>Human Review Required</v>
      </c>
      <c r="G151" s="2" t="str">
        <f aca="false">INDEX('NBA Engine'!$AJ$2:$AJ$301,MATCH($A151,'NBA Engine'!$A$2:$A$301,0))</f>
        <v>MIGRATION_PHASE1_REVIEW</v>
      </c>
      <c r="H151" s="2" t="str">
        <f aca="false">INDEX('NBA Engine'!$AT$2:$AT$301,MATCH($A151,'NBA Engine'!$A$2:$A$301,0))</f>
        <v>PHASE1_MANUAL_REVIEW; LUMPY_CADENCE; H2_SINGLE_MONTH_SPIKE; NO_FEB_GMV (Feb unconfirmed); </v>
      </c>
      <c r="I151" s="2"/>
      <c r="J151" s="2"/>
      <c r="K151" s="2"/>
      <c r="L151" s="2"/>
      <c r="M151" s="2"/>
      <c r="N151" s="2"/>
      <c r="O151" s="2"/>
      <c r="P151" s="2"/>
      <c r="Q151" s="2"/>
      <c r="R151" s="2"/>
      <c r="S151" s="2"/>
    </row>
    <row r="152" customFormat="false" ht="15" hidden="false" customHeight="false" outlineLevel="0" collapsed="false">
      <c r="A152" s="2" t="s">
        <v>426</v>
      </c>
      <c r="B152" s="2" t="str">
        <f aca="false">INDEX('NBA Engine'!$AN$2:$AN$301,MATCH($A152,'NBA Engine'!$A$2:$A$301,0))</f>
        <v>P2</v>
      </c>
      <c r="C152" s="2" t="str">
        <f aca="false">INDEX('NBA Engine'!$E$2:$E$301,MATCH($A152,'NBA Engine'!$A$2:$A$301,0))</f>
        <v>Core</v>
      </c>
      <c r="D152" s="9" t="n">
        <f aca="false">INDEX('NBA Engine'!$H$2:$H$301,MATCH($A152,'NBA Engine'!$A$2:$A$301,0))</f>
        <v>3200</v>
      </c>
      <c r="E152" s="2" t="str">
        <f aca="false">INDEX('NBA Engine'!$AK$2:$AK$301,MATCH($A152,'NBA Engine'!$A$2:$A$301,0))</f>
        <v>Establish / Re-establish</v>
      </c>
      <c r="F152" s="2" t="str">
        <f aca="false">INDEX('NBA Engine'!$AM$2:$AM$301,MATCH($A152,'NBA Engine'!$A$2:$A$301,0))</f>
        <v>Ready — Human</v>
      </c>
      <c r="G152" s="2" t="str">
        <f aca="false">INDEX('NBA Engine'!$AJ$2:$AJ$301,MATCH($A152,'NBA Engine'!$A$2:$A$301,0))</f>
        <v>RETURNED_CUSTOMER</v>
      </c>
      <c r="H152" s="2" t="str">
        <f aca="false">INDEX('NBA Engine'!$AT$2:$AT$301,MATCH($A152,'NBA Engine'!$A$2:$A$301,0))</f>
        <v/>
      </c>
      <c r="I152" s="2"/>
      <c r="J152" s="2"/>
      <c r="K152" s="2"/>
      <c r="L152" s="2"/>
      <c r="M152" s="2"/>
      <c r="N152" s="2"/>
      <c r="O152" s="2"/>
      <c r="P152" s="2"/>
      <c r="Q152" s="2"/>
      <c r="R152" s="2"/>
      <c r="S152" s="2"/>
    </row>
    <row r="153" customFormat="false" ht="15" hidden="false" customHeight="false" outlineLevel="0" collapsed="false">
      <c r="A153" s="2" t="s">
        <v>430</v>
      </c>
      <c r="B153" s="2" t="str">
        <f aca="false">INDEX('NBA Engine'!$AN$2:$AN$301,MATCH($A153,'NBA Engine'!$A$2:$A$301,0))</f>
        <v>P2</v>
      </c>
      <c r="C153" s="2" t="str">
        <f aca="false">INDEX('NBA Engine'!$E$2:$E$301,MATCH($A153,'NBA Engine'!$A$2:$A$301,0))</f>
        <v>Core</v>
      </c>
      <c r="D153" s="9" t="n">
        <f aca="false">INDEX('NBA Engine'!$H$2:$H$301,MATCH($A153,'NBA Engine'!$A$2:$A$301,0))</f>
        <v>3113</v>
      </c>
      <c r="E153" s="2" t="str">
        <f aca="false">INDEX('NBA Engine'!$AK$2:$AK$301,MATCH($A153,'NBA Engine'!$A$2:$A$301,0))</f>
        <v>Establish / Re-establish</v>
      </c>
      <c r="F153" s="2" t="str">
        <f aca="false">INDEX('NBA Engine'!$AM$2:$AM$301,MATCH($A153,'NBA Engine'!$A$2:$A$301,0))</f>
        <v>Ready — Human</v>
      </c>
      <c r="G153" s="2" t="str">
        <f aca="false">INDEX('NBA Engine'!$AJ$2:$AJ$301,MATCH($A153,'NBA Engine'!$A$2:$A$301,0))</f>
        <v>RETURNED_CUSTOMER</v>
      </c>
      <c r="H153" s="2" t="str">
        <f aca="false">INDEX('NBA Engine'!$AT$2:$AT$301,MATCH($A153,'NBA Engine'!$A$2:$A$301,0))</f>
        <v>MATERIAL_BROKER_INCONSISTENCY; H2_SINGLE_MONTH_SPIKE; </v>
      </c>
      <c r="I153" s="2"/>
      <c r="J153" s="2"/>
      <c r="K153" s="2"/>
      <c r="L153" s="2"/>
      <c r="M153" s="2"/>
      <c r="N153" s="2"/>
      <c r="O153" s="2"/>
      <c r="P153" s="2"/>
      <c r="Q153" s="2"/>
      <c r="R153" s="2"/>
      <c r="S153" s="2"/>
    </row>
    <row r="154" customFormat="false" ht="15" hidden="false" customHeight="false" outlineLevel="0" collapsed="false">
      <c r="A154" s="2" t="s">
        <v>435</v>
      </c>
      <c r="B154" s="2" t="str">
        <f aca="false">INDEX('NBA Engine'!$AN$2:$AN$301,MATCH($A154,'NBA Engine'!$A$2:$A$301,0))</f>
        <v>P2</v>
      </c>
      <c r="C154" s="2" t="str">
        <f aca="false">INDEX('NBA Engine'!$E$2:$E$301,MATCH($A154,'NBA Engine'!$A$2:$A$301,0))</f>
        <v>Core</v>
      </c>
      <c r="D154" s="9" t="n">
        <f aca="false">INDEX('NBA Engine'!$H$2:$H$301,MATCH($A154,'NBA Engine'!$A$2:$A$301,0))</f>
        <v>2402</v>
      </c>
      <c r="E154" s="2" t="str">
        <f aca="false">INDEX('NBA Engine'!$AK$2:$AK$301,MATCH($A154,'NBA Engine'!$A$2:$A$301,0))</f>
        <v>Establish / Re-establish</v>
      </c>
      <c r="F154" s="2" t="str">
        <f aca="false">INDEX('NBA Engine'!$AM$2:$AM$301,MATCH($A154,'NBA Engine'!$A$2:$A$301,0))</f>
        <v>Ready — Automated</v>
      </c>
      <c r="G154" s="2" t="str">
        <f aca="false">INDEX('NBA Engine'!$AJ$2:$AJ$301,MATCH($A154,'NBA Engine'!$A$2:$A$301,0))</f>
        <v>NEW_CUSTOMER</v>
      </c>
      <c r="H154" s="2" t="str">
        <f aca="false">INDEX('NBA Engine'!$AT$2:$AT$301,MATCH($A154,'NBA Engine'!$A$2:$A$301,0))</f>
        <v/>
      </c>
      <c r="I154" s="2"/>
      <c r="J154" s="2"/>
      <c r="K154" s="2"/>
      <c r="L154" s="2"/>
      <c r="M154" s="2"/>
      <c r="N154" s="2"/>
      <c r="O154" s="2"/>
      <c r="P154" s="2"/>
      <c r="Q154" s="2"/>
      <c r="R154" s="2"/>
      <c r="S154" s="2"/>
    </row>
    <row r="155" customFormat="false" ht="15" hidden="false" customHeight="false" outlineLevel="0" collapsed="false">
      <c r="A155" s="2" t="s">
        <v>442</v>
      </c>
      <c r="B155" s="2" t="str">
        <f aca="false">INDEX('NBA Engine'!$AN$2:$AN$301,MATCH($A155,'NBA Engine'!$A$2:$A$301,0))</f>
        <v>P2</v>
      </c>
      <c r="C155" s="2" t="str">
        <f aca="false">INDEX('NBA Engine'!$E$2:$E$301,MATCH($A155,'NBA Engine'!$A$2:$A$301,0))</f>
        <v>Core</v>
      </c>
      <c r="D155" s="9" t="n">
        <f aca="false">INDEX('NBA Engine'!$H$2:$H$301,MATCH($A155,'NBA Engine'!$A$2:$A$301,0))</f>
        <v>2380</v>
      </c>
      <c r="E155" s="2" t="str">
        <f aca="false">INDEX('NBA Engine'!$AK$2:$AK$301,MATCH($A155,'NBA Engine'!$A$2:$A$301,0))</f>
        <v>Guided Self-Serve Migration</v>
      </c>
      <c r="F155" s="2" t="str">
        <f aca="false">INDEX('NBA Engine'!$AM$2:$AM$301,MATCH($A155,'NBA Engine'!$A$2:$A$301,0))</f>
        <v>Human Review Required</v>
      </c>
      <c r="G155" s="2" t="str">
        <f aca="false">INDEX('NBA Engine'!$AJ$2:$AJ$301,MATCH($A155,'NBA Engine'!$A$2:$A$301,0))</f>
        <v>MIGRATION_PHASE1_REVIEW</v>
      </c>
      <c r="H155" s="2" t="str">
        <f aca="false">INDEX('NBA Engine'!$AT$2:$AT$301,MATCH($A155,'NBA Engine'!$A$2:$A$301,0))</f>
        <v>PHASE1_MANUAL_REVIEW; BORDERLINE_MOMENTUM; MATERIAL_BROKER_INCONSISTENCY; NO_FEB_GMV (Feb unconfirmed); </v>
      </c>
      <c r="I155" s="2"/>
      <c r="J155" s="2"/>
      <c r="K155" s="2"/>
      <c r="L155" s="2"/>
      <c r="M155" s="2"/>
      <c r="N155" s="2"/>
      <c r="O155" s="2"/>
      <c r="P155" s="2"/>
      <c r="Q155" s="2"/>
      <c r="R155" s="2"/>
      <c r="S155" s="2"/>
    </row>
    <row r="156" customFormat="false" ht="15" hidden="false" customHeight="false" outlineLevel="0" collapsed="false">
      <c r="A156" s="2" t="s">
        <v>446</v>
      </c>
      <c r="B156" s="2" t="str">
        <f aca="false">INDEX('NBA Engine'!$AN$2:$AN$301,MATCH($A156,'NBA Engine'!$A$2:$A$301,0))</f>
        <v>P2</v>
      </c>
      <c r="C156" s="2" t="str">
        <f aca="false">INDEX('NBA Engine'!$E$2:$E$301,MATCH($A156,'NBA Engine'!$A$2:$A$301,0))</f>
        <v>Core</v>
      </c>
      <c r="D156" s="9" t="n">
        <f aca="false">INDEX('NBA Engine'!$H$2:$H$301,MATCH($A156,'NBA Engine'!$A$2:$A$301,0))</f>
        <v>2277</v>
      </c>
      <c r="E156" s="2" t="str">
        <f aca="false">INDEX('NBA Engine'!$AK$2:$AK$301,MATCH($A156,'NBA Engine'!$A$2:$A$301,0))</f>
        <v>Guided Self-Serve Migration</v>
      </c>
      <c r="F156" s="2" t="str">
        <f aca="false">INDEX('NBA Engine'!$AM$2:$AM$301,MATCH($A156,'NBA Engine'!$A$2:$A$301,0))</f>
        <v>Human Review Required</v>
      </c>
      <c r="G156" s="2" t="str">
        <f aca="false">INDEX('NBA Engine'!$AJ$2:$AJ$301,MATCH($A156,'NBA Engine'!$A$2:$A$301,0))</f>
        <v>MIGRATION_PHASE1_REVIEW</v>
      </c>
      <c r="H156" s="2" t="str">
        <f aca="false">INDEX('NBA Engine'!$AT$2:$AT$301,MATCH($A156,'NBA Engine'!$A$2:$A$301,0))</f>
        <v>PHASE1_MANUAL_REVIEW; LUMPY_CADENCE; FEB_SENSITIVE; H2_SINGLE_MONTH_SPIKE; </v>
      </c>
      <c r="I156" s="2"/>
      <c r="J156" s="2"/>
      <c r="K156" s="2"/>
      <c r="L156" s="2"/>
      <c r="M156" s="2"/>
      <c r="N156" s="2"/>
      <c r="O156" s="2"/>
      <c r="P156" s="2"/>
      <c r="Q156" s="2"/>
      <c r="R156" s="2"/>
      <c r="S156" s="2"/>
    </row>
    <row r="157" customFormat="false" ht="15" hidden="false" customHeight="false" outlineLevel="0" collapsed="false">
      <c r="A157" s="2" t="s">
        <v>450</v>
      </c>
      <c r="B157" s="2" t="str">
        <f aca="false">INDEX('NBA Engine'!$AN$2:$AN$301,MATCH($A157,'NBA Engine'!$A$2:$A$301,0))</f>
        <v>P3</v>
      </c>
      <c r="C157" s="2" t="str">
        <f aca="false">INDEX('NBA Engine'!$E$2:$E$301,MATCH($A157,'NBA Engine'!$A$2:$A$301,0))</f>
        <v>Core</v>
      </c>
      <c r="D157" s="9" t="n">
        <f aca="false">INDEX('NBA Engine'!$H$2:$H$301,MATCH($A157,'NBA Engine'!$A$2:$A$301,0))</f>
        <v>4513</v>
      </c>
      <c r="E157" s="2" t="str">
        <f aca="false">INDEX('NBA Engine'!$AK$2:$AK$301,MATCH($A157,'NBA Engine'!$A$2:$A$301,0))</f>
        <v>Guided Self-Serve Migration</v>
      </c>
      <c r="F157" s="2" t="str">
        <f aca="false">INDEX('NBA Engine'!$AM$2:$AM$301,MATCH($A157,'NBA Engine'!$A$2:$A$301,0))</f>
        <v>Ready — Human</v>
      </c>
      <c r="G157" s="2" t="str">
        <f aca="false">INDEX('NBA Engine'!$AJ$2:$AJ$301,MATCH($A157,'NBA Engine'!$A$2:$A$301,0))</f>
        <v>MIGRATION_PRE_ENTRY</v>
      </c>
      <c r="H157" s="2" t="str">
        <f aca="false">INDEX('NBA Engine'!$AT$2:$AT$301,MATCH($A157,'NBA Engine'!$A$2:$A$301,0))</f>
        <v>MATERIAL_BROKER_INCONSISTENCY; </v>
      </c>
      <c r="I157" s="2"/>
      <c r="J157" s="2"/>
      <c r="K157" s="2"/>
      <c r="L157" s="2"/>
      <c r="M157" s="2"/>
      <c r="N157" s="2"/>
      <c r="O157" s="2"/>
      <c r="P157" s="2"/>
      <c r="Q157" s="2"/>
      <c r="R157" s="2"/>
      <c r="S157" s="2"/>
    </row>
    <row r="158" customFormat="false" ht="15" hidden="false" customHeight="false" outlineLevel="0" collapsed="false">
      <c r="A158" s="2" t="s">
        <v>458</v>
      </c>
      <c r="B158" s="2" t="str">
        <f aca="false">INDEX('NBA Engine'!$AN$2:$AN$301,MATCH($A158,'NBA Engine'!$A$2:$A$301,0))</f>
        <v>P3</v>
      </c>
      <c r="C158" s="2" t="str">
        <f aca="false">INDEX('NBA Engine'!$E$2:$E$301,MATCH($A158,'NBA Engine'!$A$2:$A$301,0))</f>
        <v>Core</v>
      </c>
      <c r="D158" s="9" t="n">
        <f aca="false">INDEX('NBA Engine'!$H$2:$H$301,MATCH($A158,'NBA Engine'!$A$2:$A$301,0))</f>
        <v>3913</v>
      </c>
      <c r="E158" s="2" t="str">
        <f aca="false">INDEX('NBA Engine'!$AK$2:$AK$301,MATCH($A158,'NBA Engine'!$A$2:$A$301,0))</f>
        <v>Guided Self-Serve Migration</v>
      </c>
      <c r="F158" s="2" t="str">
        <f aca="false">INDEX('NBA Engine'!$AM$2:$AM$301,MATCH($A158,'NBA Engine'!$A$2:$A$301,0))</f>
        <v>Ready — Human</v>
      </c>
      <c r="G158" s="2" t="str">
        <f aca="false">INDEX('NBA Engine'!$AJ$2:$AJ$301,MATCH($A158,'NBA Engine'!$A$2:$A$301,0))</f>
        <v>MIGRATION_PRE_ENTRY</v>
      </c>
      <c r="H158" s="2" t="str">
        <f aca="false">INDEX('NBA Engine'!$AT$2:$AT$301,MATCH($A158,'NBA Engine'!$A$2:$A$301,0))</f>
        <v>LUMPY_CADENCE; MATERIAL_BROKER_INCONSISTENCY; H2_SINGLE_MONTH_SPIKE; NO_FEB_GMV (Feb unconfirmed); </v>
      </c>
      <c r="I158" s="2"/>
      <c r="J158" s="2"/>
      <c r="K158" s="2"/>
      <c r="L158" s="2"/>
      <c r="M158" s="2"/>
      <c r="N158" s="2"/>
      <c r="O158" s="2"/>
      <c r="P158" s="2"/>
      <c r="Q158" s="2"/>
      <c r="R158" s="2"/>
      <c r="S158" s="2"/>
    </row>
    <row r="159" customFormat="false" ht="15" hidden="false" customHeight="false" outlineLevel="0" collapsed="false">
      <c r="A159" s="2" t="s">
        <v>462</v>
      </c>
      <c r="B159" s="2" t="str">
        <f aca="false">INDEX('NBA Engine'!$AN$2:$AN$301,MATCH($A159,'NBA Engine'!$A$2:$A$301,0))</f>
        <v>P3</v>
      </c>
      <c r="C159" s="2" t="str">
        <f aca="false">INDEX('NBA Engine'!$E$2:$E$301,MATCH($A159,'NBA Engine'!$A$2:$A$301,0))</f>
        <v>Core</v>
      </c>
      <c r="D159" s="9" t="n">
        <f aca="false">INDEX('NBA Engine'!$H$2:$H$301,MATCH($A159,'NBA Engine'!$A$2:$A$301,0))</f>
        <v>3626</v>
      </c>
      <c r="E159" s="2" t="str">
        <f aca="false">INDEX('NBA Engine'!$AK$2:$AK$301,MATCH($A159,'NBA Engine'!$A$2:$A$301,0))</f>
        <v>Guided Self-Serve Migration</v>
      </c>
      <c r="F159" s="2" t="str">
        <f aca="false">INDEX('NBA Engine'!$AM$2:$AM$301,MATCH($A159,'NBA Engine'!$A$2:$A$301,0))</f>
        <v>Ready — Human</v>
      </c>
      <c r="G159" s="2" t="str">
        <f aca="false">INDEX('NBA Engine'!$AJ$2:$AJ$301,MATCH($A159,'NBA Engine'!$A$2:$A$301,0))</f>
        <v>MIGRATION_PRE_ENTRY</v>
      </c>
      <c r="H159" s="2" t="str">
        <f aca="false">INDEX('NBA Engine'!$AT$2:$AT$301,MATCH($A159,'NBA Engine'!$A$2:$A$301,0))</f>
        <v>LUMPY_CADENCE; FEB_SENSITIVE; H2_SINGLE_MONTH_SPIKE; </v>
      </c>
      <c r="I159" s="2"/>
      <c r="J159" s="2"/>
      <c r="K159" s="2"/>
      <c r="L159" s="2"/>
      <c r="M159" s="2"/>
      <c r="N159" s="2"/>
      <c r="O159" s="2"/>
      <c r="P159" s="2"/>
      <c r="Q159" s="2"/>
      <c r="R159" s="2"/>
      <c r="S159" s="2"/>
    </row>
    <row r="160" customFormat="false" ht="15" hidden="false" customHeight="false" outlineLevel="0" collapsed="false">
      <c r="A160" s="2" t="s">
        <v>466</v>
      </c>
      <c r="B160" s="2" t="str">
        <f aca="false">INDEX('NBA Engine'!$AN$2:$AN$301,MATCH($A160,'NBA Engine'!$A$2:$A$301,0))</f>
        <v>P3</v>
      </c>
      <c r="C160" s="2" t="str">
        <f aca="false">INDEX('NBA Engine'!$E$2:$E$301,MATCH($A160,'NBA Engine'!$A$2:$A$301,0))</f>
        <v>Core</v>
      </c>
      <c r="D160" s="9" t="n">
        <f aca="false">INDEX('NBA Engine'!$H$2:$H$301,MATCH($A160,'NBA Engine'!$A$2:$A$301,0))</f>
        <v>3111</v>
      </c>
      <c r="E160" s="2" t="str">
        <f aca="false">INDEX('NBA Engine'!$AK$2:$AK$301,MATCH($A160,'NBA Engine'!$A$2:$A$301,0))</f>
        <v>Guided Self-Serve Migration</v>
      </c>
      <c r="F160" s="2" t="str">
        <f aca="false">INDEX('NBA Engine'!$AM$2:$AM$301,MATCH($A160,'NBA Engine'!$A$2:$A$301,0))</f>
        <v>Ready — Human</v>
      </c>
      <c r="G160" s="2" t="str">
        <f aca="false">INDEX('NBA Engine'!$AJ$2:$AJ$301,MATCH($A160,'NBA Engine'!$A$2:$A$301,0))</f>
        <v>MIGRATION_PRE_ENTRY</v>
      </c>
      <c r="H160" s="2" t="str">
        <f aca="false">INDEX('NBA Engine'!$AT$2:$AT$301,MATCH($A160,'NBA Engine'!$A$2:$A$301,0))</f>
        <v/>
      </c>
      <c r="I160" s="2"/>
      <c r="J160" s="2"/>
      <c r="K160" s="2"/>
      <c r="L160" s="2"/>
      <c r="M160" s="2"/>
      <c r="N160" s="2"/>
      <c r="O160" s="2"/>
      <c r="P160" s="2"/>
      <c r="Q160" s="2"/>
      <c r="R160" s="2"/>
      <c r="S160" s="2"/>
    </row>
    <row r="161" customFormat="false" ht="15" hidden="false" customHeight="false" outlineLevel="0" collapsed="false">
      <c r="A161" s="2" t="s">
        <v>469</v>
      </c>
      <c r="B161" s="2" t="str">
        <f aca="false">INDEX('NBA Engine'!$AN$2:$AN$301,MATCH($A161,'NBA Engine'!$A$2:$A$301,0))</f>
        <v>P3</v>
      </c>
      <c r="C161" s="2" t="str">
        <f aca="false">INDEX('NBA Engine'!$E$2:$E$301,MATCH($A161,'NBA Engine'!$A$2:$A$301,0))</f>
        <v>Core</v>
      </c>
      <c r="D161" s="9" t="n">
        <f aca="false">INDEX('NBA Engine'!$H$2:$H$301,MATCH($A161,'NBA Engine'!$A$2:$A$301,0))</f>
        <v>2366</v>
      </c>
      <c r="E161" s="2" t="str">
        <f aca="false">INDEX('NBA Engine'!$AK$2:$AK$301,MATCH($A161,'NBA Engine'!$A$2:$A$301,0))</f>
        <v>Guided Self-Serve Migration</v>
      </c>
      <c r="F161" s="2" t="str">
        <f aca="false">INDEX('NBA Engine'!$AM$2:$AM$301,MATCH($A161,'NBA Engine'!$A$2:$A$301,0))</f>
        <v>Ready — Human</v>
      </c>
      <c r="G161" s="2" t="str">
        <f aca="false">INDEX('NBA Engine'!$AJ$2:$AJ$301,MATCH($A161,'NBA Engine'!$A$2:$A$301,0))</f>
        <v>MIGRATION_PRE_ENTRY</v>
      </c>
      <c r="H161" s="2" t="str">
        <f aca="false">INDEX('NBA Engine'!$AT$2:$AT$301,MATCH($A161,'NBA Engine'!$A$2:$A$301,0))</f>
        <v>LUMPY_CADENCE; H2_SINGLE_MONTH_SPIKE; </v>
      </c>
      <c r="I161" s="2"/>
      <c r="J161" s="2"/>
      <c r="K161" s="2"/>
      <c r="L161" s="2"/>
      <c r="M161" s="2"/>
      <c r="N161" s="2"/>
      <c r="O161" s="2"/>
      <c r="P161" s="2"/>
      <c r="Q161" s="2"/>
      <c r="R161" s="2"/>
      <c r="S161" s="2"/>
    </row>
    <row r="162" customFormat="false" ht="15" hidden="false" customHeight="false" outlineLevel="0" collapsed="false">
      <c r="A162" s="2" t="s">
        <v>473</v>
      </c>
      <c r="B162" s="2" t="str">
        <f aca="false">INDEX('NBA Engine'!$AN$2:$AN$301,MATCH($A162,'NBA Engine'!$A$2:$A$301,0))</f>
        <v>P3</v>
      </c>
      <c r="C162" s="2" t="str">
        <f aca="false">INDEX('NBA Engine'!$E$2:$E$301,MATCH($A162,'NBA Engine'!$A$2:$A$301,0))</f>
        <v>Tail</v>
      </c>
      <c r="D162" s="9" t="n">
        <f aca="false">INDEX('NBA Engine'!$H$2:$H$301,MATCH($A162,'NBA Engine'!$A$2:$A$301,0))</f>
        <v>1911</v>
      </c>
      <c r="E162" s="2" t="str">
        <f aca="false">INDEX('NBA Engine'!$AK$2:$AK$301,MATCH($A162,'NBA Engine'!$A$2:$A$301,0))</f>
        <v>Service Model Review</v>
      </c>
      <c r="F162" s="2" t="str">
        <f aca="false">INDEX('NBA Engine'!$AM$2:$AM$301,MATCH($A162,'NBA Engine'!$A$2:$A$301,0))</f>
        <v>Ready — Human</v>
      </c>
      <c r="G162" s="2" t="str">
        <f aca="false">INDEX('NBA Engine'!$AJ$2:$AJ$301,MATCH($A162,'NBA Engine'!$A$2:$A$301,0))</f>
        <v>COST_TO_SERVE_ACTIVE</v>
      </c>
      <c r="H162" s="2" t="str">
        <f aca="false">INDEX('NBA Engine'!$AT$2:$AT$301,MATCH($A162,'NBA Engine'!$A$2:$A$301,0))</f>
        <v>BORDERLINE_MOMENTUM; FEB_SENSITIVE; </v>
      </c>
      <c r="I162" s="2"/>
      <c r="J162" s="2"/>
      <c r="K162" s="2"/>
      <c r="L162" s="2"/>
      <c r="M162" s="2"/>
      <c r="N162" s="2"/>
      <c r="O162" s="2"/>
      <c r="P162" s="2"/>
      <c r="Q162" s="2"/>
      <c r="R162" s="2"/>
      <c r="S162" s="2"/>
    </row>
    <row r="163" customFormat="false" ht="15" hidden="false" customHeight="false" outlineLevel="0" collapsed="false">
      <c r="A163" s="2" t="s">
        <v>490</v>
      </c>
      <c r="B163" s="2" t="str">
        <f aca="false">INDEX('NBA Engine'!$AN$2:$AN$301,MATCH($A163,'NBA Engine'!$A$2:$A$301,0))</f>
        <v>P3</v>
      </c>
      <c r="C163" s="2" t="str">
        <f aca="false">INDEX('NBA Engine'!$E$2:$E$301,MATCH($A163,'NBA Engine'!$A$2:$A$301,0))</f>
        <v>Tail</v>
      </c>
      <c r="D163" s="9" t="n">
        <f aca="false">INDEX('NBA Engine'!$H$2:$H$301,MATCH($A163,'NBA Engine'!$A$2:$A$301,0))</f>
        <v>1812</v>
      </c>
      <c r="E163" s="2" t="str">
        <f aca="false">INDEX('NBA Engine'!$AK$2:$AK$301,MATCH($A163,'NBA Engine'!$A$2:$A$301,0))</f>
        <v>Automated Nurture</v>
      </c>
      <c r="F163" s="2" t="str">
        <f aca="false">INDEX('NBA Engine'!$AM$2:$AM$301,MATCH($A163,'NBA Engine'!$A$2:$A$301,0))</f>
        <v>Ready — Automated</v>
      </c>
      <c r="G163" s="2" t="str">
        <f aca="false">INDEX('NBA Engine'!$AJ$2:$AJ$301,MATCH($A163,'NBA Engine'!$A$2:$A$301,0))</f>
        <v>RISING_TAIL_EARLY</v>
      </c>
      <c r="H163" s="2" t="str">
        <f aca="false">INDEX('NBA Engine'!$AT$2:$AT$301,MATCH($A163,'NBA Engine'!$A$2:$A$301,0))</f>
        <v>NO_FEB_GMV (Feb unconfirmed); </v>
      </c>
      <c r="I163" s="2"/>
      <c r="J163" s="2"/>
      <c r="K163" s="2"/>
      <c r="L163" s="2"/>
      <c r="M163" s="2"/>
      <c r="N163" s="2"/>
      <c r="O163" s="2"/>
      <c r="P163" s="2"/>
      <c r="Q163" s="2"/>
      <c r="R163" s="2"/>
      <c r="S163" s="2"/>
    </row>
    <row r="164" customFormat="false" ht="15" hidden="false" customHeight="false" outlineLevel="0" collapsed="false">
      <c r="A164" s="2" t="s">
        <v>504</v>
      </c>
      <c r="B164" s="2" t="str">
        <f aca="false">INDEX('NBA Engine'!$AN$2:$AN$301,MATCH($A164,'NBA Engine'!$A$2:$A$301,0))</f>
        <v>P3</v>
      </c>
      <c r="C164" s="2" t="str">
        <f aca="false">INDEX('NBA Engine'!$E$2:$E$301,MATCH($A164,'NBA Engine'!$A$2:$A$301,0))</f>
        <v>Tail</v>
      </c>
      <c r="D164" s="9" t="n">
        <f aca="false">INDEX('NBA Engine'!$H$2:$H$301,MATCH($A164,'NBA Engine'!$A$2:$A$301,0))</f>
        <v>1759</v>
      </c>
      <c r="E164" s="2" t="str">
        <f aca="false">INDEX('NBA Engine'!$AK$2:$AK$301,MATCH($A164,'NBA Engine'!$A$2:$A$301,0))</f>
        <v>Service Model Review</v>
      </c>
      <c r="F164" s="2" t="str">
        <f aca="false">INDEX('NBA Engine'!$AM$2:$AM$301,MATCH($A164,'NBA Engine'!$A$2:$A$301,0))</f>
        <v>Ready — Human</v>
      </c>
      <c r="G164" s="2" t="str">
        <f aca="false">INDEX('NBA Engine'!$AJ$2:$AJ$301,MATCH($A164,'NBA Engine'!$A$2:$A$301,0))</f>
        <v>COST_TO_SERVE_ACTIVE</v>
      </c>
      <c r="H164" s="2" t="str">
        <f aca="false">INDEX('NBA Engine'!$AT$2:$AT$301,MATCH($A164,'NBA Engine'!$A$2:$A$301,0))</f>
        <v/>
      </c>
      <c r="I164" s="2"/>
      <c r="J164" s="2"/>
      <c r="K164" s="2"/>
      <c r="L164" s="2"/>
      <c r="M164" s="2"/>
      <c r="N164" s="2"/>
      <c r="O164" s="2"/>
      <c r="P164" s="2"/>
      <c r="Q164" s="2"/>
      <c r="R164" s="2"/>
      <c r="S164" s="2"/>
    </row>
    <row r="165" customFormat="false" ht="15" hidden="false" customHeight="false" outlineLevel="0" collapsed="false">
      <c r="A165" s="2" t="s">
        <v>507</v>
      </c>
      <c r="B165" s="2" t="str">
        <f aca="false">INDEX('NBA Engine'!$AN$2:$AN$301,MATCH($A165,'NBA Engine'!$A$2:$A$301,0))</f>
        <v>P3</v>
      </c>
      <c r="C165" s="2" t="str">
        <f aca="false">INDEX('NBA Engine'!$E$2:$E$301,MATCH($A165,'NBA Engine'!$A$2:$A$301,0))</f>
        <v>Tail</v>
      </c>
      <c r="D165" s="9" t="n">
        <f aca="false">INDEX('NBA Engine'!$H$2:$H$301,MATCH($A165,'NBA Engine'!$A$2:$A$301,0))</f>
        <v>1706</v>
      </c>
      <c r="E165" s="2" t="str">
        <f aca="false">INDEX('NBA Engine'!$AK$2:$AK$301,MATCH($A165,'NBA Engine'!$A$2:$A$301,0))</f>
        <v>Reinforce Successful Behaviour</v>
      </c>
      <c r="F165" s="2" t="str">
        <f aca="false">INDEX('NBA Engine'!$AM$2:$AM$301,MATCH($A165,'NBA Engine'!$A$2:$A$301,0))</f>
        <v>Ready — Automated</v>
      </c>
      <c r="G165" s="2" t="str">
        <f aca="false">INDEX('NBA Engine'!$AJ$2:$AJ$301,MATCH($A165,'NBA Engine'!$A$2:$A$301,0))</f>
        <v>RISING_TAIL</v>
      </c>
      <c r="H165" s="2" t="str">
        <f aca="false">INDEX('NBA Engine'!$AT$2:$AT$301,MATCH($A165,'NBA Engine'!$A$2:$A$301,0))</f>
        <v/>
      </c>
      <c r="I165" s="2"/>
      <c r="J165" s="2"/>
      <c r="K165" s="2"/>
      <c r="L165" s="2"/>
      <c r="M165" s="2"/>
      <c r="N165" s="2"/>
      <c r="O165" s="2"/>
      <c r="P165" s="2"/>
      <c r="Q165" s="2"/>
      <c r="R165" s="2"/>
      <c r="S165" s="2"/>
    </row>
    <row r="166" customFormat="false" ht="15" hidden="false" customHeight="false" outlineLevel="0" collapsed="false">
      <c r="A166" s="2" t="s">
        <v>510</v>
      </c>
      <c r="B166" s="2" t="str">
        <f aca="false">INDEX('NBA Engine'!$AN$2:$AN$301,MATCH($A166,'NBA Engine'!$A$2:$A$301,0))</f>
        <v>P3</v>
      </c>
      <c r="C166" s="2" t="str">
        <f aca="false">INDEX('NBA Engine'!$E$2:$E$301,MATCH($A166,'NBA Engine'!$A$2:$A$301,0))</f>
        <v>Tail</v>
      </c>
      <c r="D166" s="9" t="n">
        <f aca="false">INDEX('NBA Engine'!$H$2:$H$301,MATCH($A166,'NBA Engine'!$A$2:$A$301,0))</f>
        <v>1614</v>
      </c>
      <c r="E166" s="2" t="str">
        <f aca="false">INDEX('NBA Engine'!$AK$2:$AK$301,MATCH($A166,'NBA Engine'!$A$2:$A$301,0))</f>
        <v>Service Model Review</v>
      </c>
      <c r="F166" s="2" t="str">
        <f aca="false">INDEX('NBA Engine'!$AM$2:$AM$301,MATCH($A166,'NBA Engine'!$A$2:$A$301,0))</f>
        <v>Ready — Human</v>
      </c>
      <c r="G166" s="2" t="str">
        <f aca="false">INDEX('NBA Engine'!$AJ$2:$AJ$301,MATCH($A166,'NBA Engine'!$A$2:$A$301,0))</f>
        <v>COST_TO_SERVE_ACTIVE</v>
      </c>
      <c r="H166" s="2" t="str">
        <f aca="false">INDEX('NBA Engine'!$AT$2:$AT$301,MATCH($A166,'NBA Engine'!$A$2:$A$301,0))</f>
        <v>H2_SINGLE_MONTH_SPIKE; </v>
      </c>
      <c r="I166" s="2"/>
      <c r="J166" s="2"/>
      <c r="K166" s="2"/>
      <c r="L166" s="2"/>
      <c r="M166" s="2"/>
      <c r="N166" s="2"/>
      <c r="O166" s="2"/>
      <c r="P166" s="2"/>
      <c r="Q166" s="2"/>
      <c r="R166" s="2"/>
      <c r="S166" s="2"/>
    </row>
    <row r="167" customFormat="false" ht="15" hidden="false" customHeight="false" outlineLevel="0" collapsed="false">
      <c r="A167" s="2" t="s">
        <v>513</v>
      </c>
      <c r="B167" s="2" t="str">
        <f aca="false">INDEX('NBA Engine'!$AN$2:$AN$301,MATCH($A167,'NBA Engine'!$A$2:$A$301,0))</f>
        <v>P3</v>
      </c>
      <c r="C167" s="2" t="str">
        <f aca="false">INDEX('NBA Engine'!$E$2:$E$301,MATCH($A167,'NBA Engine'!$A$2:$A$301,0))</f>
        <v>Tail</v>
      </c>
      <c r="D167" s="9" t="n">
        <f aca="false">INDEX('NBA Engine'!$H$2:$H$301,MATCH($A167,'NBA Engine'!$A$2:$A$301,0))</f>
        <v>1448</v>
      </c>
      <c r="E167" s="2" t="str">
        <f aca="false">INDEX('NBA Engine'!$AK$2:$AK$301,MATCH($A167,'NBA Engine'!$A$2:$A$301,0))</f>
        <v>Service Model Review</v>
      </c>
      <c r="F167" s="2" t="str">
        <f aca="false">INDEX('NBA Engine'!$AM$2:$AM$301,MATCH($A167,'NBA Engine'!$A$2:$A$301,0))</f>
        <v>Ready — Human</v>
      </c>
      <c r="G167" s="2" t="str">
        <f aca="false">INDEX('NBA Engine'!$AJ$2:$AJ$301,MATCH($A167,'NBA Engine'!$A$2:$A$301,0))</f>
        <v>COST_TO_SERVE_ACTIVE</v>
      </c>
      <c r="H167" s="2" t="str">
        <f aca="false">INDEX('NBA Engine'!$AT$2:$AT$301,MATCH($A167,'NBA Engine'!$A$2:$A$301,0))</f>
        <v>MATERIAL_BROKER_INCONSISTENCY; NO_FEB_GMV (Feb unconfirmed); LOW_CONFIDENCE; </v>
      </c>
      <c r="I167" s="2"/>
      <c r="J167" s="2"/>
      <c r="K167" s="2"/>
      <c r="L167" s="2"/>
      <c r="M167" s="2"/>
      <c r="N167" s="2"/>
      <c r="O167" s="2"/>
      <c r="P167" s="2"/>
      <c r="Q167" s="2"/>
      <c r="R167" s="2"/>
      <c r="S167" s="2"/>
    </row>
    <row r="168" customFormat="false" ht="15" hidden="false" customHeight="false" outlineLevel="0" collapsed="false">
      <c r="A168" s="2" t="s">
        <v>517</v>
      </c>
      <c r="B168" s="2" t="str">
        <f aca="false">INDEX('NBA Engine'!$AN$2:$AN$301,MATCH($A168,'NBA Engine'!$A$2:$A$301,0))</f>
        <v>P3</v>
      </c>
      <c r="C168" s="2" t="str">
        <f aca="false">INDEX('NBA Engine'!$E$2:$E$301,MATCH($A168,'NBA Engine'!$A$2:$A$301,0))</f>
        <v>Tail</v>
      </c>
      <c r="D168" s="9" t="n">
        <f aca="false">INDEX('NBA Engine'!$H$2:$H$301,MATCH($A168,'NBA Engine'!$A$2:$A$301,0))</f>
        <v>1422</v>
      </c>
      <c r="E168" s="2" t="str">
        <f aca="false">INDEX('NBA Engine'!$AK$2:$AK$301,MATCH($A168,'NBA Engine'!$A$2:$A$301,0))</f>
        <v>Service Model Review</v>
      </c>
      <c r="F168" s="2" t="str">
        <f aca="false">INDEX('NBA Engine'!$AM$2:$AM$301,MATCH($A168,'NBA Engine'!$A$2:$A$301,0))</f>
        <v>Ready — Human</v>
      </c>
      <c r="G168" s="2" t="str">
        <f aca="false">INDEX('NBA Engine'!$AJ$2:$AJ$301,MATCH($A168,'NBA Engine'!$A$2:$A$301,0))</f>
        <v>COST_TO_SERVE_ACTIVE</v>
      </c>
      <c r="H168" s="2" t="str">
        <f aca="false">INDEX('NBA Engine'!$AT$2:$AT$301,MATCH($A168,'NBA Engine'!$A$2:$A$301,0))</f>
        <v>H2_SINGLE_MONTH_SPIKE; NO_FEB_GMV (Feb unconfirmed); </v>
      </c>
      <c r="I168" s="2"/>
      <c r="J168" s="2"/>
      <c r="K168" s="2"/>
      <c r="L168" s="2"/>
      <c r="M168" s="2"/>
      <c r="N168" s="2"/>
      <c r="O168" s="2"/>
      <c r="P168" s="2"/>
      <c r="Q168" s="2"/>
      <c r="R168" s="2"/>
      <c r="S168" s="2"/>
    </row>
    <row r="169" customFormat="false" ht="15" hidden="false" customHeight="false" outlineLevel="0" collapsed="false">
      <c r="A169" s="2" t="s">
        <v>520</v>
      </c>
      <c r="B169" s="2" t="str">
        <f aca="false">INDEX('NBA Engine'!$AN$2:$AN$301,MATCH($A169,'NBA Engine'!$A$2:$A$301,0))</f>
        <v>P3</v>
      </c>
      <c r="C169" s="2" t="str">
        <f aca="false">INDEX('NBA Engine'!$E$2:$E$301,MATCH($A169,'NBA Engine'!$A$2:$A$301,0))</f>
        <v>Tail</v>
      </c>
      <c r="D169" s="9" t="n">
        <f aca="false">INDEX('NBA Engine'!$H$2:$H$301,MATCH($A169,'NBA Engine'!$A$2:$A$301,0))</f>
        <v>1401</v>
      </c>
      <c r="E169" s="2" t="str">
        <f aca="false">INDEX('NBA Engine'!$AK$2:$AK$301,MATCH($A169,'NBA Engine'!$A$2:$A$301,0))</f>
        <v>Service Model Review</v>
      </c>
      <c r="F169" s="2" t="str">
        <f aca="false">INDEX('NBA Engine'!$AM$2:$AM$301,MATCH($A169,'NBA Engine'!$A$2:$A$301,0))</f>
        <v>Ready — Human</v>
      </c>
      <c r="G169" s="2" t="str">
        <f aca="false">INDEX('NBA Engine'!$AJ$2:$AJ$301,MATCH($A169,'NBA Engine'!$A$2:$A$301,0))</f>
        <v>COST_TO_SERVE_ACTIVE</v>
      </c>
      <c r="H169" s="2" t="str">
        <f aca="false">INDEX('NBA Engine'!$AT$2:$AT$301,MATCH($A169,'NBA Engine'!$A$2:$A$301,0))</f>
        <v>FEB_SENSITIVE; H2_SINGLE_MONTH_SPIKE; </v>
      </c>
      <c r="I169" s="2"/>
      <c r="J169" s="2"/>
      <c r="K169" s="2"/>
      <c r="L169" s="2"/>
      <c r="M169" s="2"/>
      <c r="N169" s="2"/>
      <c r="O169" s="2"/>
      <c r="P169" s="2"/>
      <c r="Q169" s="2"/>
      <c r="R169" s="2"/>
      <c r="S169" s="2"/>
    </row>
    <row r="170" customFormat="false" ht="15" hidden="false" customHeight="false" outlineLevel="0" collapsed="false">
      <c r="A170" s="2" t="s">
        <v>523</v>
      </c>
      <c r="B170" s="2" t="str">
        <f aca="false">INDEX('NBA Engine'!$AN$2:$AN$301,MATCH($A170,'NBA Engine'!$A$2:$A$301,0))</f>
        <v>P3</v>
      </c>
      <c r="C170" s="2" t="str">
        <f aca="false">INDEX('NBA Engine'!$E$2:$E$301,MATCH($A170,'NBA Engine'!$A$2:$A$301,0))</f>
        <v>Tail</v>
      </c>
      <c r="D170" s="9" t="n">
        <f aca="false">INDEX('NBA Engine'!$H$2:$H$301,MATCH($A170,'NBA Engine'!$A$2:$A$301,0))</f>
        <v>1366</v>
      </c>
      <c r="E170" s="2" t="str">
        <f aca="false">INDEX('NBA Engine'!$AK$2:$AK$301,MATCH($A170,'NBA Engine'!$A$2:$A$301,0))</f>
        <v>Automated Nurture</v>
      </c>
      <c r="F170" s="2" t="str">
        <f aca="false">INDEX('NBA Engine'!$AM$2:$AM$301,MATCH($A170,'NBA Engine'!$A$2:$A$301,0))</f>
        <v>Human Review Required</v>
      </c>
      <c r="G170" s="2" t="str">
        <f aca="false">INDEX('NBA Engine'!$AJ$2:$AJ$301,MATCH($A170,'NBA Engine'!$A$2:$A$301,0))</f>
        <v>LONG_TAIL_STANDARD</v>
      </c>
      <c r="H170" s="2" t="str">
        <f aca="false">INDEX('NBA Engine'!$AT$2:$AT$301,MATCH($A170,'NBA Engine'!$A$2:$A$301,0))</f>
        <v>MATERIAL_BROKER_INCONSISTENCY (segment would change); H2_SINGLE_MONTH_SPIKE; </v>
      </c>
      <c r="I170" s="2"/>
      <c r="J170" s="2"/>
      <c r="K170" s="2"/>
      <c r="L170" s="2"/>
      <c r="M170" s="2"/>
      <c r="N170" s="2"/>
      <c r="O170" s="2"/>
      <c r="P170" s="2"/>
      <c r="Q170" s="2"/>
      <c r="R170" s="2"/>
      <c r="S170" s="2"/>
    </row>
    <row r="171" customFormat="false" ht="15" hidden="false" customHeight="false" outlineLevel="0" collapsed="false">
      <c r="A171" s="2" t="s">
        <v>530</v>
      </c>
      <c r="B171" s="2" t="str">
        <f aca="false">INDEX('NBA Engine'!$AN$2:$AN$301,MATCH($A171,'NBA Engine'!$A$2:$A$301,0))</f>
        <v>P3</v>
      </c>
      <c r="C171" s="2" t="str">
        <f aca="false">INDEX('NBA Engine'!$E$2:$E$301,MATCH($A171,'NBA Engine'!$A$2:$A$301,0))</f>
        <v>Tail</v>
      </c>
      <c r="D171" s="9" t="n">
        <f aca="false">INDEX('NBA Engine'!$H$2:$H$301,MATCH($A171,'NBA Engine'!$A$2:$A$301,0))</f>
        <v>1342</v>
      </c>
      <c r="E171" s="2" t="str">
        <f aca="false">INDEX('NBA Engine'!$AK$2:$AK$301,MATCH($A171,'NBA Engine'!$A$2:$A$301,0))</f>
        <v>Service Model Review</v>
      </c>
      <c r="F171" s="2" t="str">
        <f aca="false">INDEX('NBA Engine'!$AM$2:$AM$301,MATCH($A171,'NBA Engine'!$A$2:$A$301,0))</f>
        <v>Ready — Human</v>
      </c>
      <c r="G171" s="2" t="str">
        <f aca="false">INDEX('NBA Engine'!$AJ$2:$AJ$301,MATCH($A171,'NBA Engine'!$A$2:$A$301,0))</f>
        <v>COST_TO_SERVE_ACTIVE</v>
      </c>
      <c r="H171" s="2" t="str">
        <f aca="false">INDEX('NBA Engine'!$AT$2:$AT$301,MATCH($A171,'NBA Engine'!$A$2:$A$301,0))</f>
        <v/>
      </c>
      <c r="I171" s="2"/>
      <c r="J171" s="2"/>
      <c r="K171" s="2"/>
      <c r="L171" s="2"/>
      <c r="M171" s="2"/>
      <c r="N171" s="2"/>
      <c r="O171" s="2"/>
      <c r="P171" s="2"/>
      <c r="Q171" s="2"/>
      <c r="R171" s="2"/>
      <c r="S171" s="2"/>
    </row>
    <row r="172" customFormat="false" ht="15" hidden="false" customHeight="false" outlineLevel="0" collapsed="false">
      <c r="A172" s="2" t="s">
        <v>533</v>
      </c>
      <c r="B172" s="2" t="str">
        <f aca="false">INDEX('NBA Engine'!$AN$2:$AN$301,MATCH($A172,'NBA Engine'!$A$2:$A$301,0))</f>
        <v>P3</v>
      </c>
      <c r="C172" s="2" t="str">
        <f aca="false">INDEX('NBA Engine'!$E$2:$E$301,MATCH($A172,'NBA Engine'!$A$2:$A$301,0))</f>
        <v>Tail</v>
      </c>
      <c r="D172" s="9" t="n">
        <f aca="false">INDEX('NBA Engine'!$H$2:$H$301,MATCH($A172,'NBA Engine'!$A$2:$A$301,0))</f>
        <v>1217</v>
      </c>
      <c r="E172" s="2" t="str">
        <f aca="false">INDEX('NBA Engine'!$AK$2:$AK$301,MATCH($A172,'NBA Engine'!$A$2:$A$301,0))</f>
        <v>Reinforce Successful Behaviour</v>
      </c>
      <c r="F172" s="2" t="str">
        <f aca="false">INDEX('NBA Engine'!$AM$2:$AM$301,MATCH($A172,'NBA Engine'!$A$2:$A$301,0))</f>
        <v>Ready — Automated</v>
      </c>
      <c r="G172" s="2" t="str">
        <f aca="false">INDEX('NBA Engine'!$AJ$2:$AJ$301,MATCH($A172,'NBA Engine'!$A$2:$A$301,0))</f>
        <v>RISING_TAIL</v>
      </c>
      <c r="H172" s="2" t="str">
        <f aca="false">INDEX('NBA Engine'!$AT$2:$AT$301,MATCH($A172,'NBA Engine'!$A$2:$A$301,0))</f>
        <v/>
      </c>
      <c r="I172" s="2"/>
      <c r="J172" s="2"/>
      <c r="K172" s="2"/>
      <c r="L172" s="2"/>
      <c r="M172" s="2"/>
      <c r="N172" s="2"/>
      <c r="O172" s="2"/>
      <c r="P172" s="2"/>
      <c r="Q172" s="2"/>
      <c r="R172" s="2"/>
      <c r="S172" s="2"/>
    </row>
    <row r="173" customFormat="false" ht="15" hidden="false" customHeight="false" outlineLevel="0" collapsed="false">
      <c r="A173" s="2" t="s">
        <v>539</v>
      </c>
      <c r="B173" s="2" t="str">
        <f aca="false">INDEX('NBA Engine'!$AN$2:$AN$301,MATCH($A173,'NBA Engine'!$A$2:$A$301,0))</f>
        <v>P3</v>
      </c>
      <c r="C173" s="2" t="str">
        <f aca="false">INDEX('NBA Engine'!$E$2:$E$301,MATCH($A173,'NBA Engine'!$A$2:$A$301,0))</f>
        <v>Tail</v>
      </c>
      <c r="D173" s="9" t="n">
        <f aca="false">INDEX('NBA Engine'!$H$2:$H$301,MATCH($A173,'NBA Engine'!$A$2:$A$301,0))</f>
        <v>1166</v>
      </c>
      <c r="E173" s="2" t="str">
        <f aca="false">INDEX('NBA Engine'!$AK$2:$AK$301,MATCH($A173,'NBA Engine'!$A$2:$A$301,0))</f>
        <v>Reinforce Successful Behaviour</v>
      </c>
      <c r="F173" s="2" t="str">
        <f aca="false">INDEX('NBA Engine'!$AM$2:$AM$301,MATCH($A173,'NBA Engine'!$A$2:$A$301,0))</f>
        <v>Ready — Automated</v>
      </c>
      <c r="G173" s="2" t="str">
        <f aca="false">INDEX('NBA Engine'!$AJ$2:$AJ$301,MATCH($A173,'NBA Engine'!$A$2:$A$301,0))</f>
        <v>RISING_TAIL</v>
      </c>
      <c r="H173" s="2" t="str">
        <f aca="false">INDEX('NBA Engine'!$AT$2:$AT$301,MATCH($A173,'NBA Engine'!$A$2:$A$301,0))</f>
        <v/>
      </c>
      <c r="I173" s="2"/>
      <c r="J173" s="2"/>
      <c r="K173" s="2"/>
      <c r="L173" s="2"/>
      <c r="M173" s="2"/>
      <c r="N173" s="2"/>
      <c r="O173" s="2"/>
      <c r="P173" s="2"/>
      <c r="Q173" s="2"/>
      <c r="R173" s="2"/>
      <c r="S173" s="2"/>
    </row>
    <row r="174" customFormat="false" ht="15" hidden="false" customHeight="false" outlineLevel="0" collapsed="false">
      <c r="A174" s="2" t="s">
        <v>541</v>
      </c>
      <c r="B174" s="2" t="str">
        <f aca="false">INDEX('NBA Engine'!$AN$2:$AN$301,MATCH($A174,'NBA Engine'!$A$2:$A$301,0))</f>
        <v>P3</v>
      </c>
      <c r="C174" s="2" t="str">
        <f aca="false">INDEX('NBA Engine'!$E$2:$E$301,MATCH($A174,'NBA Engine'!$A$2:$A$301,0))</f>
        <v>Tail</v>
      </c>
      <c r="D174" s="9" t="n">
        <f aca="false">INDEX('NBA Engine'!$H$2:$H$301,MATCH($A174,'NBA Engine'!$A$2:$A$301,0))</f>
        <v>1166</v>
      </c>
      <c r="E174" s="2" t="str">
        <f aca="false">INDEX('NBA Engine'!$AK$2:$AK$301,MATCH($A174,'NBA Engine'!$A$2:$A$301,0))</f>
        <v>Discovery-to-Offer Enablement</v>
      </c>
      <c r="F174" s="2" t="str">
        <f aca="false">INDEX('NBA Engine'!$AM$2:$AM$301,MATCH($A174,'NBA Engine'!$A$2:$A$301,0))</f>
        <v>Ready — Automated</v>
      </c>
      <c r="G174" s="2" t="str">
        <f aca="false">INDEX('NBA Engine'!$AJ$2:$AJ$301,MATCH($A174,'NBA Engine'!$A$2:$A$301,0))</f>
        <v>BROWSING_LOW_OFFERS</v>
      </c>
      <c r="H174" s="2" t="str">
        <f aca="false">INDEX('NBA Engine'!$AT$2:$AT$301,MATCH($A174,'NBA Engine'!$A$2:$A$301,0))</f>
        <v/>
      </c>
      <c r="I174" s="2"/>
      <c r="J174" s="2"/>
      <c r="K174" s="2"/>
      <c r="L174" s="2"/>
      <c r="M174" s="2"/>
      <c r="N174" s="2"/>
      <c r="O174" s="2"/>
      <c r="P174" s="2"/>
      <c r="Q174" s="2"/>
      <c r="R174" s="2"/>
      <c r="S174" s="2"/>
    </row>
    <row r="175" customFormat="false" ht="15" hidden="false" customHeight="false" outlineLevel="0" collapsed="false">
      <c r="A175" s="2" t="s">
        <v>553</v>
      </c>
      <c r="B175" s="2" t="str">
        <f aca="false">INDEX('NBA Engine'!$AN$2:$AN$301,MATCH($A175,'NBA Engine'!$A$2:$A$301,0))</f>
        <v>P3</v>
      </c>
      <c r="C175" s="2" t="str">
        <f aca="false">INDEX('NBA Engine'!$E$2:$E$301,MATCH($A175,'NBA Engine'!$A$2:$A$301,0))</f>
        <v>Tail</v>
      </c>
      <c r="D175" s="9" t="n">
        <f aca="false">INDEX('NBA Engine'!$H$2:$H$301,MATCH($A175,'NBA Engine'!$A$2:$A$301,0))</f>
        <v>1153</v>
      </c>
      <c r="E175" s="2" t="str">
        <f aca="false">INDEX('NBA Engine'!$AK$2:$AK$301,MATCH($A175,'NBA Engine'!$A$2:$A$301,0))</f>
        <v>Automated Nurture</v>
      </c>
      <c r="F175" s="2" t="str">
        <f aca="false">INDEX('NBA Engine'!$AM$2:$AM$301,MATCH($A175,'NBA Engine'!$A$2:$A$301,0))</f>
        <v>Ready — Automated</v>
      </c>
      <c r="G175" s="2" t="str">
        <f aca="false">INDEX('NBA Engine'!$AJ$2:$AJ$301,MATCH($A175,'NBA Engine'!$A$2:$A$301,0))</f>
        <v>RISING_TAIL_EARLY</v>
      </c>
      <c r="H175" s="2" t="str">
        <f aca="false">INDEX('NBA Engine'!$AT$2:$AT$301,MATCH($A175,'NBA Engine'!$A$2:$A$301,0))</f>
        <v>FEB_SENSITIVE; H2_SINGLE_MONTH_SPIKE; </v>
      </c>
      <c r="I175" s="2"/>
      <c r="J175" s="2"/>
      <c r="K175" s="2"/>
      <c r="L175" s="2"/>
      <c r="M175" s="2"/>
      <c r="N175" s="2"/>
      <c r="O175" s="2"/>
      <c r="P175" s="2"/>
      <c r="Q175" s="2"/>
      <c r="R175" s="2"/>
      <c r="S175" s="2"/>
    </row>
    <row r="176" customFormat="false" ht="15" hidden="false" customHeight="false" outlineLevel="0" collapsed="false">
      <c r="A176" s="2" t="s">
        <v>556</v>
      </c>
      <c r="B176" s="2" t="str">
        <f aca="false">INDEX('NBA Engine'!$AN$2:$AN$301,MATCH($A176,'NBA Engine'!$A$2:$A$301,0))</f>
        <v>P3</v>
      </c>
      <c r="C176" s="2" t="str">
        <f aca="false">INDEX('NBA Engine'!$E$2:$E$301,MATCH($A176,'NBA Engine'!$A$2:$A$301,0))</f>
        <v>Tail</v>
      </c>
      <c r="D176" s="9" t="n">
        <f aca="false">INDEX('NBA Engine'!$H$2:$H$301,MATCH($A176,'NBA Engine'!$A$2:$A$301,0))</f>
        <v>718</v>
      </c>
      <c r="E176" s="2" t="str">
        <f aca="false">INDEX('NBA Engine'!$AK$2:$AK$301,MATCH($A176,'NBA Engine'!$A$2:$A$301,0))</f>
        <v>Service Model Review</v>
      </c>
      <c r="F176" s="2" t="str">
        <f aca="false">INDEX('NBA Engine'!$AM$2:$AM$301,MATCH($A176,'NBA Engine'!$A$2:$A$301,0))</f>
        <v>Ready — Human</v>
      </c>
      <c r="G176" s="2" t="str">
        <f aca="false">INDEX('NBA Engine'!$AJ$2:$AJ$301,MATCH($A176,'NBA Engine'!$A$2:$A$301,0))</f>
        <v>COST_TO_SERVE_ACTIVE</v>
      </c>
      <c r="H176" s="2" t="str">
        <f aca="false">INDEX('NBA Engine'!$AT$2:$AT$301,MATCH($A176,'NBA Engine'!$A$2:$A$301,0))</f>
        <v>NO_FEB_GMV (Feb unconfirmed); LOW_CONFIDENCE; </v>
      </c>
      <c r="I176" s="2"/>
      <c r="J176" s="2"/>
      <c r="K176" s="2"/>
      <c r="L176" s="2"/>
      <c r="M176" s="2"/>
      <c r="N176" s="2"/>
      <c r="O176" s="2"/>
      <c r="P176" s="2"/>
      <c r="Q176" s="2"/>
      <c r="R176" s="2"/>
      <c r="S176" s="2"/>
    </row>
    <row r="177" customFormat="false" ht="15" hidden="false" customHeight="false" outlineLevel="0" collapsed="false">
      <c r="A177" s="2" t="s">
        <v>560</v>
      </c>
      <c r="B177" s="2" t="str">
        <f aca="false">INDEX('NBA Engine'!$AN$2:$AN$301,MATCH($A177,'NBA Engine'!$A$2:$A$301,0))</f>
        <v>P3</v>
      </c>
      <c r="C177" s="2" t="str">
        <f aca="false">INDEX('NBA Engine'!$E$2:$E$301,MATCH($A177,'NBA Engine'!$A$2:$A$301,0))</f>
        <v>Tail</v>
      </c>
      <c r="D177" s="9" t="n">
        <f aca="false">INDEX('NBA Engine'!$H$2:$H$301,MATCH($A177,'NBA Engine'!$A$2:$A$301,0))</f>
        <v>592</v>
      </c>
      <c r="E177" s="2" t="str">
        <f aca="false">INDEX('NBA Engine'!$AK$2:$AK$301,MATCH($A177,'NBA Engine'!$A$2:$A$301,0))</f>
        <v>Discovery-to-Offer Enablement</v>
      </c>
      <c r="F177" s="2" t="str">
        <f aca="false">INDEX('NBA Engine'!$AM$2:$AM$301,MATCH($A177,'NBA Engine'!$A$2:$A$301,0))</f>
        <v>Human Review Required</v>
      </c>
      <c r="G177" s="2" t="str">
        <f aca="false">INDEX('NBA Engine'!$AJ$2:$AJ$301,MATCH($A177,'NBA Engine'!$A$2:$A$301,0))</f>
        <v>BROWSING_LOW_OFFERS</v>
      </c>
      <c r="H177" s="2" t="str">
        <f aca="false">INDEX('NBA Engine'!$AT$2:$AT$301,MATCH($A177,'NBA Engine'!$A$2:$A$301,0))</f>
        <v>MATERIAL_BROKER_INCONSISTENCY (segment would change); NO_FEB_GMV (Feb unconfirmed); </v>
      </c>
      <c r="I177" s="2"/>
      <c r="J177" s="2"/>
      <c r="K177" s="2"/>
      <c r="L177" s="2"/>
      <c r="M177" s="2"/>
      <c r="N177" s="2"/>
      <c r="O177" s="2"/>
      <c r="P177" s="2"/>
      <c r="Q177" s="2"/>
      <c r="R177" s="2"/>
      <c r="S177" s="2"/>
    </row>
    <row r="178" customFormat="false" ht="15" hidden="false" customHeight="false" outlineLevel="0" collapsed="false">
      <c r="A178" s="2" t="s">
        <v>564</v>
      </c>
      <c r="B178" s="2" t="str">
        <f aca="false">INDEX('NBA Engine'!$AN$2:$AN$301,MATCH($A178,'NBA Engine'!$A$2:$A$301,0))</f>
        <v>P3</v>
      </c>
      <c r="C178" s="2" t="str">
        <f aca="false">INDEX('NBA Engine'!$E$2:$E$301,MATCH($A178,'NBA Engine'!$A$2:$A$301,0))</f>
        <v>Tail</v>
      </c>
      <c r="D178" s="9" t="n">
        <f aca="false">INDEX('NBA Engine'!$H$2:$H$301,MATCH($A178,'NBA Engine'!$A$2:$A$301,0))</f>
        <v>263</v>
      </c>
      <c r="E178" s="2" t="str">
        <f aca="false">INDEX('NBA Engine'!$AK$2:$AK$301,MATCH($A178,'NBA Engine'!$A$2:$A$301,0))</f>
        <v>Discovery-to-Offer Enablement</v>
      </c>
      <c r="F178" s="2" t="str">
        <f aca="false">INDEX('NBA Engine'!$AM$2:$AM$301,MATCH($A178,'NBA Engine'!$A$2:$A$301,0))</f>
        <v>Ready — Automated</v>
      </c>
      <c r="G178" s="2" t="str">
        <f aca="false">INDEX('NBA Engine'!$AJ$2:$AJ$301,MATCH($A178,'NBA Engine'!$A$2:$A$301,0))</f>
        <v>BROWSING_LOW_OFFERS</v>
      </c>
      <c r="H178" s="2" t="str">
        <f aca="false">INDEX('NBA Engine'!$AT$2:$AT$301,MATCH($A178,'NBA Engine'!$A$2:$A$301,0))</f>
        <v>LOW_CONFIDENCE; </v>
      </c>
      <c r="I178" s="2"/>
      <c r="J178" s="2"/>
      <c r="K178" s="2"/>
      <c r="L178" s="2"/>
      <c r="M178" s="2"/>
      <c r="N178" s="2"/>
      <c r="O178" s="2"/>
      <c r="P178" s="2"/>
      <c r="Q178" s="2"/>
      <c r="R178" s="2"/>
      <c r="S178" s="2"/>
    </row>
    <row r="179" customFormat="false" ht="15" hidden="false" customHeight="false" outlineLevel="0" collapsed="false">
      <c r="A179" s="2" t="s">
        <v>566</v>
      </c>
      <c r="B179" s="2" t="str">
        <f aca="false">INDEX('NBA Engine'!$AN$2:$AN$301,MATCH($A179,'NBA Engine'!$A$2:$A$301,0))</f>
        <v>P3</v>
      </c>
      <c r="C179" s="2" t="str">
        <f aca="false">INDEX('NBA Engine'!$E$2:$E$301,MATCH($A179,'NBA Engine'!$A$2:$A$301,0))</f>
        <v>Tail</v>
      </c>
      <c r="D179" s="9" t="n">
        <f aca="false">INDEX('NBA Engine'!$H$2:$H$301,MATCH($A179,'NBA Engine'!$A$2:$A$301,0))</f>
        <v>249</v>
      </c>
      <c r="E179" s="2" t="str">
        <f aca="false">INDEX('NBA Engine'!$AK$2:$AK$301,MATCH($A179,'NBA Engine'!$A$2:$A$301,0))</f>
        <v>Discovery-to-Offer Enablement</v>
      </c>
      <c r="F179" s="2" t="str">
        <f aca="false">INDEX('NBA Engine'!$AM$2:$AM$301,MATCH($A179,'NBA Engine'!$A$2:$A$301,0))</f>
        <v>Ready — Automated</v>
      </c>
      <c r="G179" s="2" t="str">
        <f aca="false">INDEX('NBA Engine'!$AJ$2:$AJ$301,MATCH($A179,'NBA Engine'!$A$2:$A$301,0))</f>
        <v>BROWSING_LOW_OFFERS</v>
      </c>
      <c r="H179" s="2" t="str">
        <f aca="false">INDEX('NBA Engine'!$AT$2:$AT$301,MATCH($A179,'NBA Engine'!$A$2:$A$301,0))</f>
        <v>NO_FEB_GMV (Feb unconfirmed); LOW_CONFIDENCE; </v>
      </c>
      <c r="I179" s="2"/>
      <c r="J179" s="2"/>
      <c r="K179" s="2"/>
      <c r="L179" s="2"/>
      <c r="M179" s="2"/>
      <c r="N179" s="2"/>
      <c r="O179" s="2"/>
      <c r="P179" s="2"/>
      <c r="Q179" s="2"/>
      <c r="R179" s="2"/>
      <c r="S179"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L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3"/>
    <col collapsed="false" customWidth="true" hidden="false" outlineLevel="0" max="3" min="3" style="0" width="20"/>
    <col collapsed="false" customWidth="true" hidden="false" outlineLevel="0" max="4" min="4" style="0" width="26"/>
    <col collapsed="false" customWidth="true" hidden="false" outlineLevel="0" max="35" min="5" style="0" width="13"/>
    <col collapsed="false" customWidth="true" hidden="false" outlineLevel="0" max="37" min="36" style="0" width="26"/>
    <col collapsed="false" customWidth="true" hidden="false" outlineLevel="0" max="38" min="38" style="0" width="13"/>
    <col collapsed="false" customWidth="true" hidden="false" outlineLevel="0" max="39" min="39" style="0" width="22"/>
    <col collapsed="false" customWidth="true" hidden="false" outlineLevel="0" max="40" min="40" style="0" width="13"/>
    <col collapsed="false" customWidth="true" hidden="false" outlineLevel="0" max="41" min="41" style="0" width="70"/>
    <col collapsed="false" customWidth="true" hidden="false" outlineLevel="0" max="42" min="42" style="0" width="45"/>
    <col collapsed="false" customWidth="true" hidden="false" outlineLevel="0" max="43" min="43" style="0" width="40"/>
    <col collapsed="false" customWidth="true" hidden="false" outlineLevel="0" max="44" min="44" style="0" width="30"/>
    <col collapsed="false" customWidth="true" hidden="false" outlineLevel="0" max="45" min="45" style="0" width="13"/>
    <col collapsed="false" customWidth="true" hidden="false" outlineLevel="0" max="46" min="46" style="0" width="40"/>
    <col collapsed="false" customWidth="true" hidden="false" outlineLevel="0" max="53" min="47" style="0" width="13"/>
    <col collapsed="false" customWidth="true" hidden="false" outlineLevel="0" max="54" min="54" style="0" width="55"/>
    <col collapsed="false" customWidth="true" hidden="false" outlineLevel="0" max="62" min="55" style="0" width="13"/>
    <col collapsed="false" customWidth="true" hidden="false" outlineLevel="0" max="63" min="63" style="0" width="22"/>
    <col collapsed="false" customWidth="true" hidden="false" outlineLevel="0" max="64" min="64" style="0" width="13"/>
  </cols>
  <sheetData>
    <row r="1" customFormat="false" ht="60" hidden="false" customHeight="true" outlineLevel="0" collapsed="false">
      <c r="A1" s="14" t="s">
        <v>75</v>
      </c>
      <c r="B1" s="14" t="s">
        <v>1353</v>
      </c>
      <c r="C1" s="14" t="s">
        <v>1354</v>
      </c>
      <c r="D1" s="14" t="s">
        <v>79</v>
      </c>
      <c r="E1" s="14" t="s">
        <v>1352</v>
      </c>
      <c r="F1" s="14" t="s">
        <v>1355</v>
      </c>
      <c r="G1" s="14" t="s">
        <v>1356</v>
      </c>
      <c r="H1" s="14" t="s">
        <v>78</v>
      </c>
      <c r="I1" s="14" t="s">
        <v>1357</v>
      </c>
      <c r="J1" s="14" t="s">
        <v>1358</v>
      </c>
      <c r="K1" s="14" t="s">
        <v>1359</v>
      </c>
      <c r="L1" s="14" t="s">
        <v>1360</v>
      </c>
      <c r="M1" s="14" t="s">
        <v>1361</v>
      </c>
      <c r="N1" s="14" t="s">
        <v>1362</v>
      </c>
      <c r="O1" s="14" t="s">
        <v>1363</v>
      </c>
      <c r="P1" s="14" t="s">
        <v>103</v>
      </c>
      <c r="Q1" s="14" t="s">
        <v>104</v>
      </c>
      <c r="R1" s="14" t="s">
        <v>1364</v>
      </c>
      <c r="S1" s="14" t="s">
        <v>105</v>
      </c>
      <c r="T1" s="14" t="s">
        <v>1365</v>
      </c>
      <c r="U1" s="14" t="s">
        <v>1366</v>
      </c>
      <c r="V1" s="14" t="s">
        <v>1367</v>
      </c>
      <c r="W1" s="14" t="s">
        <v>1368</v>
      </c>
      <c r="X1" s="14" t="s">
        <v>1369</v>
      </c>
      <c r="Y1" s="14" t="s">
        <v>1370</v>
      </c>
      <c r="Z1" s="14" t="s">
        <v>106</v>
      </c>
      <c r="AA1" s="14" t="s">
        <v>1371</v>
      </c>
      <c r="AB1" s="14" t="s">
        <v>1372</v>
      </c>
      <c r="AC1" s="14" t="s">
        <v>1373</v>
      </c>
      <c r="AD1" s="14" t="s">
        <v>1374</v>
      </c>
      <c r="AE1" s="14" t="s">
        <v>1375</v>
      </c>
      <c r="AF1" s="14" t="s">
        <v>1376</v>
      </c>
      <c r="AG1" s="14" t="s">
        <v>1377</v>
      </c>
      <c r="AH1" s="14" t="s">
        <v>1378</v>
      </c>
      <c r="AI1" s="14" t="s">
        <v>1379</v>
      </c>
      <c r="AJ1" s="15" t="s">
        <v>81</v>
      </c>
      <c r="AK1" s="15" t="s">
        <v>80</v>
      </c>
      <c r="AL1" s="15" t="s">
        <v>1022</v>
      </c>
      <c r="AM1" s="15" t="s">
        <v>82</v>
      </c>
      <c r="AN1" s="15" t="s">
        <v>76</v>
      </c>
      <c r="AO1" s="15" t="s">
        <v>1380</v>
      </c>
      <c r="AP1" s="15" t="s">
        <v>1381</v>
      </c>
      <c r="AQ1" s="15" t="s">
        <v>1382</v>
      </c>
      <c r="AR1" s="15" t="s">
        <v>99</v>
      </c>
      <c r="AS1" s="15" t="s">
        <v>102</v>
      </c>
      <c r="AT1" s="15" t="s">
        <v>94</v>
      </c>
      <c r="AU1" s="14" t="s">
        <v>1383</v>
      </c>
      <c r="AV1" s="14" t="s">
        <v>1384</v>
      </c>
      <c r="AW1" s="14" t="s">
        <v>1385</v>
      </c>
      <c r="AX1" s="14" t="s">
        <v>1386</v>
      </c>
      <c r="AY1" s="14" t="s">
        <v>1387</v>
      </c>
      <c r="AZ1" s="14" t="s">
        <v>1388</v>
      </c>
      <c r="BA1" s="14" t="s">
        <v>1389</v>
      </c>
      <c r="BB1" s="14" t="s">
        <v>1390</v>
      </c>
      <c r="BC1" s="16" t="s">
        <v>1391</v>
      </c>
      <c r="BD1" s="16" t="s">
        <v>1392</v>
      </c>
      <c r="BE1" s="16" t="s">
        <v>1393</v>
      </c>
      <c r="BF1" s="16" t="s">
        <v>1394</v>
      </c>
      <c r="BG1" s="16" t="s">
        <v>1395</v>
      </c>
      <c r="BH1" s="16" t="s">
        <v>1396</v>
      </c>
      <c r="BI1" s="16" t="s">
        <v>1397</v>
      </c>
      <c r="BJ1" s="14" t="s">
        <v>1398</v>
      </c>
      <c r="BK1" s="14" t="s">
        <v>108</v>
      </c>
      <c r="BL1" s="14" t="s">
        <v>1399</v>
      </c>
    </row>
    <row r="2" customFormat="false" ht="15" hidden="false" customHeight="false" outlineLevel="0" collapsed="false">
      <c r="A2" s="2" t="s">
        <v>308</v>
      </c>
      <c r="B2" s="2" t="str">
        <f aca="false">INDEX(Segmentation!$B$2:$B$301,MATCH($A2,Segmentation!$A$2:$A$301,0))</f>
        <v>Account Managed</v>
      </c>
      <c r="C2" s="2" t="str">
        <f aca="false">INDEX(Segmentation!$H$2:$H$301,MATCH($A2,Segmentation!$A$2:$A$301,0))</f>
        <v>Broker-Reliant</v>
      </c>
      <c r="D2" s="2" t="str">
        <f aca="false">INDEX(Segmentation!$T$2:$T$301,MATCH($A2,Segmentation!$A$2:$A$301,0))</f>
        <v>1. Migration Candidate</v>
      </c>
      <c r="E2" s="2" t="str">
        <f aca="false">INDEX(Segmentation!$J$2:$J$301,MATCH($A2,Segmentation!$A$2:$A$301,0))</f>
        <v>Key</v>
      </c>
      <c r="F2" s="2" t="str">
        <f aca="false">INDEX(Segmentation!$G$2:$G$301,MATCH($A2,Segmentation!$A$2:$A$301,0))</f>
        <v>High</v>
      </c>
      <c r="G2" s="2" t="str">
        <f aca="false">INDEX(Segmentation!$N$2:$N$301,MATCH($A2,Segmentation!$A$2:$A$301,0))</f>
        <v>Stable</v>
      </c>
      <c r="H2" s="9" t="n">
        <f aca="false">INDEX(Segmentation!$I$2:$I$301,MATCH($A2,Segmentation!$A$2:$A$301,0))</f>
        <v>170132</v>
      </c>
      <c r="I2" s="2" t="n">
        <f aca="false">INDEX(Segmentation!$O$2:$O$301,MATCH($A2,Segmentation!$A$2:$A$301,0))</f>
        <v>46</v>
      </c>
      <c r="J2" s="2" t="n">
        <f aca="false">INDEX(Segmentation!$Q$2:$Q$301,MATCH($A2,Segmentation!$A$2:$A$301,0))</f>
        <v>14</v>
      </c>
      <c r="K2" s="2" t="n">
        <f aca="false">INDEX(Segmentation!$W$2:$W$301,MATCH($A2,Segmentation!$A$2:$A$301,0))</f>
        <v>6</v>
      </c>
      <c r="L2" s="9" t="n">
        <f aca="false">INDEX('Commercial View'!$L$2:$L$301,MATCH($A2,'Commercial View'!$A$2:$A$301,0))</f>
        <v>20463</v>
      </c>
      <c r="M2" s="9" t="n">
        <f aca="false">INDEX('Commercial View'!$M$2:$M$301,MATCH($A2,'Commercial View'!$A$2:$A$301,0))</f>
        <v>10300</v>
      </c>
      <c r="N2" s="9" t="n">
        <f aca="false">INDEX('Commercial View'!$N$2:$N$301,MATCH($A2,'Commercial View'!$A$2:$A$301,0))</f>
        <v>45824</v>
      </c>
      <c r="O2" s="9" t="n">
        <f aca="false">INDEX(Segmentation!$L$2:$L$301,MATCH($A2,Segmentation!$A$2:$A$301,0))</f>
        <v>76587</v>
      </c>
      <c r="P2" s="2" t="str">
        <f aca="false">IF(OR(M2&gt;0,N2&gt;0),"Recently Active",IF(OR(I2&lt;=Assumptions!$B$48,K2&lt;=Assumptions!$B$49),"No Meaningful History","Recent Inactivity"))</f>
        <v>Recently Active</v>
      </c>
      <c r="Q2" s="2" t="str">
        <f aca="false">INDEX(Segmentation!$AF$2:$AF$301,MATCH($A2,Segmentation!$A$2:$A$301,0))</f>
        <v>Existing Customer</v>
      </c>
      <c r="R2" s="2" t="str">
        <f aca="false">INDEX(Segmentation!$AL$2:$AL$301,MATCH($A2,Segmentation!$A$2:$A$301,0))</f>
        <v>N/A</v>
      </c>
      <c r="S2" s="10" t="b">
        <f aca="false">INDEX(Segmentation!$AW$2:$AW$301,MATCH($A2,Segmentation!$A$2:$A$301,0))</f>
        <v>0</v>
      </c>
      <c r="T2" s="2" t="str">
        <f aca="false">INDEX('Feature Data'!$AD$2:$AD$301,MATCH($A2,'Feature Data'!$A$2:$A$301,0))</f>
        <v>Broker-led, product-blind</v>
      </c>
      <c r="U2" s="2" t="str">
        <f aca="false">INDEX('Feature Data'!$W$2:$W$301,MATCH($A2,'Feature Data'!$A$2:$A$301,0))</f>
        <v>Mixed</v>
      </c>
      <c r="V2" s="2" t="n">
        <f aca="false">INDEX('Feature Data'!$P$2:$P$301,MATCH($A2,'Feature Data'!$A$2:$A$301,0))</f>
        <v>2</v>
      </c>
      <c r="W2" s="2" t="n">
        <f aca="false">INDEX(Segmentation!$R$2:$R$301,MATCH($A2,Segmentation!$A$2:$A$301,0))</f>
        <v>3</v>
      </c>
      <c r="X2" s="2" t="n">
        <f aca="false">INDEX(Segmentation!$S$2:$S$301,MATCH($A2,Segmentation!$A$2:$A$301,0))</f>
        <v>0</v>
      </c>
      <c r="Y2" s="10" t="b">
        <f aca="false">INDEX(Segmentation!$AG$2:$AG$301,MATCH($A2,Segmentation!$A$2:$A$301,0))</f>
        <v>1</v>
      </c>
      <c r="Z2" s="2" t="str">
        <f aca="false">INDEX(Segmentation!$AU$2:$AU$301,MATCH($A2,Segmentation!$A$2:$A$301,0))</f>
        <v>Not Eligible</v>
      </c>
      <c r="AA2" s="10" t="b">
        <f aca="false">INDEX(Segmentation!$Z$2:$Z$301,MATCH($A2,Segmentation!$A$2:$A$301,0))</f>
        <v>0</v>
      </c>
      <c r="AB2" s="10" t="b">
        <f aca="false">INDEX(Segmentation!$AH$2:$AH$301,MATCH($A2,Segmentation!$A$2:$A$301,0))</f>
        <v>1</v>
      </c>
      <c r="AC2" s="10" t="b">
        <f aca="false">INDEX(Segmentation!$AK$2:$AK$301,MATCH($A2,Segmentation!$A$2:$A$301,0))</f>
        <v>1</v>
      </c>
      <c r="AD2" s="10" t="b">
        <f aca="false">INDEX(Segmentation!$AQ$2:$AQ$301,MATCH($A2,Segmentation!$A$2:$A$301,0))</f>
        <v>0</v>
      </c>
      <c r="AE2" s="10" t="b">
        <f aca="false">INDEX(Segmentation!$AT$2:$AT$301,MATCH($A2,Segmentation!$A$2:$A$301,0))</f>
        <v>0</v>
      </c>
      <c r="AF2" s="10" t="b">
        <f aca="false">INDEX(Segmentation!$X$2:$X$301,MATCH($A2,Segmentation!$A$2:$A$301,0))</f>
        <v>0</v>
      </c>
      <c r="AG2" s="10" t="b">
        <f aca="false">AND(F2="Low",V2&gt;=Assumptions!$B$71,X2&lt;Assumptions!$B$72)</f>
        <v>0</v>
      </c>
      <c r="AH2" s="10" t="b">
        <f aca="false">AND(F2="Low",OR(G2="Growing",G2="Stable"),P2="Recently Active",V2&gt;=Assumptions!$B$58,K2&gt;=Assumptions!$B$73)</f>
        <v>0</v>
      </c>
      <c r="AI2" s="17" t="n">
        <f aca="false">IF(O2&gt;0,MAX(L2:N2)/O2,"")</f>
        <v>0.598326086672673</v>
      </c>
      <c r="AJ2" s="2" t="str">
        <f aca="false">IF(LEFT(D2,1)="1",IF(E2="Key","MIGRATION_KEY_SIGNOFF",IF(Z2="Ready","MIGRATION_PHASE1_READY",IF(Z2="Manual Review","MIGRATION_PHASE1_REVIEW","MIGRATION_PRE_ENTRY"))),IF(LEFT(D2,1)="2","DECLINING_KEY_CORE",IF(LEFT(D2,1)="3",IF(R2="Established Buyer Lapsed","LAPSED_ESTABLISHED","LAPSED_THIN_HISTORY"),IF(LEFT(D2,1)="4",IF(Q2="New Customer","NEW_CUSTOMER","RETURNED_CUSTOMER"),IF(LEFT(D2,1)="5",IF(P2="Recently Active","COST_TO_SERVE_ACTIVE","DORMANT_LOW_VALUE"),IF(LEFT(D2,1)="6",IF(P2="Recent Inactivity","RECENT_INACTIVITY",IF(AG2,"BROWSING_LOW_OFFERS","HEALTHY_STRONG_SELF_SERVE")),IF(LEFT(D2,1)="7",IF(P2="Recent Inactivity","RECENT_INACTIVITY",IF(Q2="New Customer","NEW_CUSTOMER","RETURNED_CUSTOMER")),IF(LEFT(D2,1)="8",IF(G2="Declining",IF(T2="Engaged but shrinking (Key/Core)","ENGAGED_BUT_SHRINKING","DECLINING_KEY_CORE"),IF(R2="Established Buyer Lapsed","LAPSED_ESTABLISHED","LAPSED_THIN_HISTORY")),IF(S2,IF(P2&lt;&gt;"Recently Active","DORMANT_LOW_VALUE",IF(AG2,"BROWSING_LOW_OFFERS",IF(AH2,"RISING_TAIL","RISING_TAIL_EARLY"))),IF(AND(AG2,P2="Recently Active",OR(G2="Growing",G2="Stable",G2="H2 Active / No H1 GMV"),I2&gt;=Assumptions!$B$74),"BROWSING_LOW_OFFERS","LONG_TAIL_STANDARD"))))))))))</f>
        <v>MIGRATION_KEY_SIGNOFF</v>
      </c>
      <c r="AK2" s="2" t="str">
        <f aca="false">INDEX('NBA Library'!$B$4:$B$21,MATCH(AJ2,'NBA Library'!$A$4:$A$21,0))</f>
        <v>Guided Self-Serve Migration</v>
      </c>
      <c r="AL2" s="2" t="str">
        <f aca="false">INDEX('NBA Library'!$C$4:$C$21,MATCH(AJ2,'NBA Library'!$A$4:$A$21,0))</f>
        <v>Hybrid</v>
      </c>
      <c r="AM2" s="2" t="str">
        <f aca="false">IF(AA2,"HOLD — Critical Data Issue",IF(Y2,"Human Sign-Off Required",IF(Z2="Manual Review","Human Review Required",IF(AND(AL2="Automated",OR(AE2,AND(OR(AK2="Discovery-to-Offer Enablement",AK2="Reinforce Successful Behaviour"),OR(AC2,AB2)))),"Human Review Required",IF(AL2="Human","Ready — Human",IF(AL2="Hybrid","Ready — Hybrid","Ready — Automated"))))))</f>
        <v>Human Sign-Off Required</v>
      </c>
      <c r="AN2" s="2" t="str">
        <f aca="false">IF(AA2,"P0",IF(AND(AJ2="BROWSING_LOW_OFFERS",E2="Tail"),"P3",IF(AND(AM2="Human Review Required",INDEX('NBA Library'!$D$4:$D$21,MATCH(AJ2,'NBA Library'!$A$4:$A$21,0))="P4"),"P3",INDEX('NBA Library'!$D$4:$D$21,MATCH(AJ2,'NBA Library'!$A$4:$A$21,0)))))</f>
        <v>P2</v>
      </c>
      <c r="AO2" s="2" t="str">
        <f aca="false">E2&amp;" "&amp;C2&amp;" account ("&amp;B2&amp;"); "&amp;G2&amp;" momentum; "&amp;P2&amp;"; £"&amp;TEXT(H2,"#,##0")&amp;" 6m GMV. "&amp;INDEX('NBA Library'!$G$4:$G$21,MATCH(AJ2,'NBA Library'!$A$4:$A$21,0))&amp;IF(LEFT(D2,1)="1"," Baseline: "&amp;V2&amp;" PDP views, "&amp;W2&amp;" app days, "&amp;X2&amp;" offers, "&amp;TEXT(J2/I2,"0%")&amp;" of orders self-serve.","")&amp;IF(AA2," Execution on HOLD until the Duplicate status is resolved.","")&amp;IF(Y2," Key account: explicit AM/leadership sign-off required before any migration activity.","")&amp;IF(AE2," Implied broker % from order counts would move this account to a different segment; review before automating.","")</f>
        <v>Key Broker-Reliant account (Account Managed); Stable momentum; Recently Active; £170,132 6m GMV. Key broker-reliant account with healthy spend. Technically a migration candidate, but downside risk is too large for automated initiation. Baseline: 2 PDP views, 3 app days, 0 offers, 30% of orders self-serve. Key account: explicit AM/leadership sign-off required before any migration activity.</v>
      </c>
      <c r="AP2" s="2" t="str">
        <f aca="false">INDEX('NBA Library'!$E$4:$E$21,MATCH(AJ2,'NBA Library'!$A$4:$A$21,0))&amp;IF(AND(AJ2="NEW_CUSTOMER",AG2),"; introduce Make-an-Offer on items already browsed","")</f>
        <v>If approved: gradual shift to independent discovery with AM retained; otherwise keep current service model</v>
      </c>
      <c r="AQ2" s="2" t="str">
        <f aca="false">INDEX('NBA Library'!$F$4:$F$21,MATCH(AJ2,'NBA Library'!$A$4:$A$21,0))</f>
        <v>Sign-off decision logged; if approved, as Phase 1 with a stricter GMV guardrail</v>
      </c>
      <c r="AR2" s="2" t="str">
        <f aca="false">IF(AND(F2="Low",OR(G2="Growing",G2="Stable"),P2="Recently Active",U2&lt;&gt;"Mixed",OR(AK2="Discovery-to-Offer Enablement",AK2="Reinforce Successful Behaviour"),AM2="Ready — Automated",OR(E2&lt;&gt;"Tail",S2)),"Range Expansion Test — trial "&amp;IF(U2="Bundle-only","handpick","bundles")&amp;" (experimental; not proven to lift GMV)","")</f>
        <v/>
      </c>
      <c r="AS2" s="2" t="str">
        <f aca="false">IF(AK2&lt;&gt;"Automated Nurture","",IF(AJ2="DORMANT_LOW_VALUE","Dormant",IF(AJ2="RISING_TAIL_EARLY","Rising tail – early pattern",IF(Q2="New Customer","New customer onboarding",IF(Q2="Returned Customer","Returned customer",IF(G2="Lapsed","Dormant",IF(T2="Engaged, not converting","Engaged, not converting",IF(T2="One-off low-touch buyer","One-off purchaser",IF(T2="Light-touch repeat buyer","Light-touch repeat buyer","Standard long tail")))))))))</f>
        <v/>
      </c>
      <c r="AT2" s="2" t="str">
        <f aca="false">IF(AA2,"CRITICAL_DATA_BLOCKER; ","")&amp;IF(Y2,"KEY_SIGNOFF; ","")&amp;IF(Z2="Manual Review","PHASE1_MANUAL_REVIEW; ","")&amp;IF(AND(LEFT(D2,1)="1",AZ2="Lumpy"),"LUMPY_CADENCE; ","")&amp;IF(AB2,"BORDERLINE_MOMENTUM; ","")&amp;IF(AC2,"FEB_SENSITIVE; ","")&amp;IF(AD2,"MATERIAL_BROKER_INCONSISTENCY"&amp;IF(AE2," (segment would change)","")&amp;"; ","")&amp;IF(AND(I2&gt;=3,O2&gt;0),IF(AI2&gt;=Assumptions!$B$75,"H2_SINGLE_MONTH_SPIKE; ",""),"")&amp;IF(AND(M2&gt;0,N2=0),"NO_FEB_GMV (Feb unconfirmed); ","")&amp;IF(AF2,"LOW_CONFIDENCE; ","")</f>
        <v>KEY_SIGNOFF; BORDERLINE_MOMENTUM; FEB_SENSITIVE; </v>
      </c>
      <c r="AU2" s="2" t="n">
        <f aca="false">IF(LEFT(D2,1)="1",V2,"")</f>
        <v>2</v>
      </c>
      <c r="AV2" s="10" t="b">
        <f aca="false">IF(LEFT(D2,1)="1",V2&gt;=Assumptions!$B$58,"")</f>
        <v>0</v>
      </c>
      <c r="AW2" s="2" t="n">
        <f aca="false">IF(LEFT(D2,1)="1",W2,"")</f>
        <v>3</v>
      </c>
      <c r="AX2" s="2" t="n">
        <f aca="false">IF(LEFT(D2,1)="1",X2,"")</f>
        <v>0</v>
      </c>
      <c r="AY2" s="17" t="n">
        <f aca="false">IF(LEFT(D2,1)="1",J2/I2,"")</f>
        <v>0.304347826086957</v>
      </c>
      <c r="AZ2" s="2" t="str">
        <f aca="false">IF(LEFT(D2,1)="1",IF(AND(K2&gt;=Assumptions!$B$83,I2&gt;=Assumptions!$B$84),"Regular","Lumpy"),"")</f>
        <v>Regular</v>
      </c>
      <c r="BA2" s="2" t="n">
        <f aca="false">IF(LEFT(D2,1)="1",ROUND(6/K2,0),"")</f>
        <v>1</v>
      </c>
      <c r="BB2" s="2" t="str">
        <f aca="false">IF(LEFT(D2,1)="1",IF(AZ2="Regular","Regular buyer: expected ~£"&amp;TEXT(H2/2,"#,##0")&amp;" per 90 days. At Risk if GMV to date &lt; "&amp;TEXT(Assumptions!$B$81,"0%")&amp;" of pro-rated expectation, checked from day "&amp;Assumptions!$B$82&amp;". Human-reviewed.","Irregular buyer ("&amp;I2&amp;" orders across "&amp;K2&amp;" months): no numeric GMV threshold. At Risk if no order within ~"&amp;BA2&amp;" month(s); AM reviews at day "&amp;Assumptions!$B$82&amp;" and "&amp;Assumptions!$B$85&amp;"."),"")</f>
        <v>Regular buyer: expected ~£85,066 per 90 days. At Risk if GMV to date &lt; 70% of pro-rated expectation, checked from day 45. Human-reviewed.</v>
      </c>
      <c r="BC2" s="18"/>
      <c r="BD2" s="18"/>
      <c r="BE2" s="18"/>
      <c r="BF2" s="18"/>
      <c r="BG2" s="18"/>
      <c r="BH2" s="18"/>
      <c r="BI2" s="18"/>
      <c r="BJ2" s="2" t="str">
        <f aca="false">IF(OR(NOT(LEFT(D2,1)="1"),BC2=""),"",IF(AZ2="Regular",AND(BC2&gt;=Assumptions!$B$82,N(BI2)&lt;Assumptions!$B$81*H2/180*BC2),AND(BC2&gt;=BA2*30,N(BG2)=0)))</f>
        <v/>
      </c>
      <c r="BK2" s="2" t="str">
        <f aca="false">IF(NOT(LEFT(D2,1)="1"),"N/A",IF(BC2="","Baseline",IF(BJ2,"At Risk",IF(AND(N(BD2)&gt;=Assumptions!$B$78,N(BE2)&gt;=Assumptions!$B$79,N(BH2)&gt;=1,N(BH2)/MAX(N(BG2),1)&gt;AY2),"Self-Serve Capability Demonstrated",IF(OR(N(BD2)&gt;=Assumptions!$B$76,N(BE2)&gt;=Assumptions!$B$77),"Progressing",IF(BC2&gt;=Assumptions!$B$85,"At Risk","Baseline"))))))</f>
        <v>Baseline</v>
      </c>
      <c r="BL2" s="2" t="n">
        <f aca="false">(AND(C2="Broker-Reliant",OR(AK2="Discovery-to-Offer Enablement",AK2="Reinforce Successful Behaviour")))*1+(AND(G2="Declining",E2&lt;&gt;"Tail",AL2="Automated"))*1+(AND(Y2,AM2&lt;&gt;"Human Sign-Off Required"))*1+(AND(AA2,AM2&lt;&gt;"HOLD — Critical Data Issue"))*1+(AND(P2="Recent Inactivity",OR(AK2="Discovery-to-Offer Enablement",AK2="Reinforce Successful Behaviour")))*1+(AND(OR(LEFT(D2,1)="2",LEFT(D2,1)="3",LEFT(D2,1)="8"),AL2="Automated"))*1+((LEFT(D2,1)="1")&lt;&gt;(AK2="Guided Self-Serve Migration"))*1+(AND(AR2&lt;&gt;"",OR(F2&lt;&gt;"Low",U2="Mixed",AND(G2&lt;&gt;"Growing",G2&lt;&gt;"Stable"))))*1+ISNUMBER(SEARCH("chat",AP2))*1+ISNUMBER(SEARCH("video",AP2))*1+(AND(AA2,AL2="Automated",AM2&lt;&gt;"HOLD — Critical Data Issue"))*1</f>
        <v>0</v>
      </c>
    </row>
    <row r="3" customFormat="false" ht="15" hidden="false" customHeight="false" outlineLevel="0" collapsed="false">
      <c r="A3" s="2" t="s">
        <v>139</v>
      </c>
      <c r="B3" s="2" t="str">
        <f aca="false">INDEX(Segmentation!$B$2:$B$301,MATCH($A3,Segmentation!$A$2:$A$301,0))</f>
        <v>Account Managed</v>
      </c>
      <c r="C3" s="2" t="str">
        <f aca="false">INDEX(Segmentation!$H$2:$H$301,MATCH($A3,Segmentation!$A$2:$A$301,0))</f>
        <v>Broker-Reliant</v>
      </c>
      <c r="D3" s="2" t="str">
        <f aca="false">INDEX(Segmentation!$T$2:$T$301,MATCH($A3,Segmentation!$A$2:$A$301,0))</f>
        <v>3. Win-Back / Verify</v>
      </c>
      <c r="E3" s="2" t="str">
        <f aca="false">INDEX(Segmentation!$J$2:$J$301,MATCH($A3,Segmentation!$A$2:$A$301,0))</f>
        <v>Key</v>
      </c>
      <c r="F3" s="2" t="str">
        <f aca="false">INDEX(Segmentation!$G$2:$G$301,MATCH($A3,Segmentation!$A$2:$A$301,0))</f>
        <v>High</v>
      </c>
      <c r="G3" s="2" t="str">
        <f aca="false">INDEX(Segmentation!$N$2:$N$301,MATCH($A3,Segmentation!$A$2:$A$301,0))</f>
        <v>Lapsed</v>
      </c>
      <c r="H3" s="9" t="n">
        <f aca="false">INDEX(Segmentation!$I$2:$I$301,MATCH($A3,Segmentation!$A$2:$A$301,0))</f>
        <v>70650</v>
      </c>
      <c r="I3" s="2" t="n">
        <f aca="false">INDEX(Segmentation!$O$2:$O$301,MATCH($A3,Segmentation!$A$2:$A$301,0))</f>
        <v>2</v>
      </c>
      <c r="J3" s="2" t="n">
        <f aca="false">INDEX(Segmentation!$Q$2:$Q$301,MATCH($A3,Segmentation!$A$2:$A$301,0))</f>
        <v>1</v>
      </c>
      <c r="K3" s="2" t="n">
        <f aca="false">INDEX(Segmentation!$W$2:$W$301,MATCH($A3,Segmentation!$A$2:$A$301,0))</f>
        <v>2</v>
      </c>
      <c r="L3" s="9" t="n">
        <f aca="false">INDEX('Commercial View'!$L$2:$L$301,MATCH($A3,'Commercial View'!$A$2:$A$301,0))</f>
        <v>0</v>
      </c>
      <c r="M3" s="9" t="n">
        <f aca="false">INDEX('Commercial View'!$M$2:$M$301,MATCH($A3,'Commercial View'!$A$2:$A$301,0))</f>
        <v>0</v>
      </c>
      <c r="N3" s="9" t="n">
        <f aca="false">INDEX('Commercial View'!$N$2:$N$301,MATCH($A3,'Commercial View'!$A$2:$A$301,0))</f>
        <v>0</v>
      </c>
      <c r="O3" s="9" t="n">
        <f aca="false">INDEX(Segmentation!$L$2:$L$301,MATCH($A3,Segmentation!$A$2:$A$301,0))</f>
        <v>0</v>
      </c>
      <c r="P3" s="2" t="str">
        <f aca="false">IF(OR(M3&gt;0,N3&gt;0),"Recently Active",IF(OR(I3&lt;=Assumptions!$B$48,K3&lt;=Assumptions!$B$49),"No Meaningful History","Recent Inactivity"))</f>
        <v>No Meaningful History</v>
      </c>
      <c r="Q3" s="2" t="str">
        <f aca="false">INDEX(Segmentation!$AF$2:$AF$301,MATCH($A3,Segmentation!$A$2:$A$301,0))</f>
        <v>Existing Customer</v>
      </c>
      <c r="R3" s="2" t="str">
        <f aca="false">INDEX(Segmentation!$AL$2:$AL$301,MATCH($A3,Segmentation!$A$2:$A$301,0))</f>
        <v>One-Off / Insufficient History — Verify</v>
      </c>
      <c r="S3" s="10" t="b">
        <f aca="false">INDEX(Segmentation!$AW$2:$AW$301,MATCH($A3,Segmentation!$A$2:$A$301,0))</f>
        <v>0</v>
      </c>
      <c r="T3" s="2" t="str">
        <f aca="false">INDEX('Feature Data'!$AD$2:$AD$301,MATCH($A3,'Feature Data'!$A$2:$A$301,0))</f>
        <v>Broker-led, product-blind</v>
      </c>
      <c r="U3" s="2" t="str">
        <f aca="false">INDEX('Feature Data'!$W$2:$W$301,MATCH($A3,'Feature Data'!$A$2:$A$301,0))</f>
        <v>Handpick-only</v>
      </c>
      <c r="V3" s="2" t="n">
        <f aca="false">INDEX('Feature Data'!$P$2:$P$301,MATCH($A3,'Feature Data'!$A$2:$A$301,0))</f>
        <v>6</v>
      </c>
      <c r="W3" s="2" t="n">
        <f aca="false">INDEX(Segmentation!$R$2:$R$301,MATCH($A3,Segmentation!$A$2:$A$301,0))</f>
        <v>2</v>
      </c>
      <c r="X3" s="2" t="n">
        <f aca="false">INDEX(Segmentation!$S$2:$S$301,MATCH($A3,Segmentation!$A$2:$A$301,0))</f>
        <v>2</v>
      </c>
      <c r="Y3" s="10" t="b">
        <f aca="false">INDEX(Segmentation!$AG$2:$AG$301,MATCH($A3,Segmentation!$A$2:$A$301,0))</f>
        <v>0</v>
      </c>
      <c r="Z3" s="2" t="str">
        <f aca="false">INDEX(Segmentation!$AU$2:$AU$301,MATCH($A3,Segmentation!$A$2:$A$301,0))</f>
        <v>Not Eligible</v>
      </c>
      <c r="AA3" s="10" t="b">
        <f aca="false">INDEX(Segmentation!$Z$2:$Z$301,MATCH($A3,Segmentation!$A$2:$A$301,0))</f>
        <v>0</v>
      </c>
      <c r="AB3" s="10" t="b">
        <f aca="false">INDEX(Segmentation!$AH$2:$AH$301,MATCH($A3,Segmentation!$A$2:$A$301,0))</f>
        <v>0</v>
      </c>
      <c r="AC3" s="10" t="b">
        <f aca="false">INDEX(Segmentation!$AK$2:$AK$301,MATCH($A3,Segmentation!$A$2:$A$301,0))</f>
        <v>0</v>
      </c>
      <c r="AD3" s="10" t="b">
        <f aca="false">INDEX(Segmentation!$AQ$2:$AQ$301,MATCH($A3,Segmentation!$A$2:$A$301,0))</f>
        <v>1</v>
      </c>
      <c r="AE3" s="10" t="b">
        <f aca="false">INDEX(Segmentation!$AT$2:$AT$301,MATCH($A3,Segmentation!$A$2:$A$301,0))</f>
        <v>0</v>
      </c>
      <c r="AF3" s="10" t="b">
        <f aca="false">INDEX(Segmentation!$X$2:$X$301,MATCH($A3,Segmentation!$A$2:$A$301,0))</f>
        <v>1</v>
      </c>
      <c r="AG3" s="10" t="b">
        <f aca="false">AND(F3="Low",V3&gt;=Assumptions!$B$71,X3&lt;Assumptions!$B$72)</f>
        <v>0</v>
      </c>
      <c r="AH3" s="10" t="b">
        <f aca="false">AND(F3="Low",OR(G3="Growing",G3="Stable"),P3="Recently Active",V3&gt;=Assumptions!$B$58,K3&gt;=Assumptions!$B$73)</f>
        <v>0</v>
      </c>
      <c r="AI3" s="17" t="str">
        <f aca="false">IF(O3&gt;0,MAX(L3:N3)/O3,"")</f>
        <v/>
      </c>
      <c r="AJ3" s="2" t="str">
        <f aca="false">IF(LEFT(D3,1)="1",IF(E3="Key","MIGRATION_KEY_SIGNOFF",IF(Z3="Ready","MIGRATION_PHASE1_READY",IF(Z3="Manual Review","MIGRATION_PHASE1_REVIEW","MIGRATION_PRE_ENTRY"))),IF(LEFT(D3,1)="2","DECLINING_KEY_CORE",IF(LEFT(D3,1)="3",IF(R3="Established Buyer Lapsed","LAPSED_ESTABLISHED","LAPSED_THIN_HISTORY"),IF(LEFT(D3,1)="4",IF(Q3="New Customer","NEW_CUSTOMER","RETURNED_CUSTOMER"),IF(LEFT(D3,1)="5",IF(P3="Recently Active","COST_TO_SERVE_ACTIVE","DORMANT_LOW_VALUE"),IF(LEFT(D3,1)="6",IF(P3="Recent Inactivity","RECENT_INACTIVITY",IF(AG3,"BROWSING_LOW_OFFERS","HEALTHY_STRONG_SELF_SERVE")),IF(LEFT(D3,1)="7",IF(P3="Recent Inactivity","RECENT_INACTIVITY",IF(Q3="New Customer","NEW_CUSTOMER","RETURNED_CUSTOMER")),IF(LEFT(D3,1)="8",IF(G3="Declining",IF(T3="Engaged but shrinking (Key/Core)","ENGAGED_BUT_SHRINKING","DECLINING_KEY_CORE"),IF(R3="Established Buyer Lapsed","LAPSED_ESTABLISHED","LAPSED_THIN_HISTORY")),IF(S3,IF(P3&lt;&gt;"Recently Active","DORMANT_LOW_VALUE",IF(AG3,"BROWSING_LOW_OFFERS",IF(AH3,"RISING_TAIL","RISING_TAIL_EARLY"))),IF(AND(AG3,P3="Recently Active",OR(G3="Growing",G3="Stable",G3="H2 Active / No H1 GMV"),I3&gt;=Assumptions!$B$74),"BROWSING_LOW_OFFERS","LONG_TAIL_STANDARD"))))))))))</f>
        <v>LAPSED_THIN_HISTORY</v>
      </c>
      <c r="AK3" s="2" t="str">
        <f aca="false">INDEX('NBA Library'!$B$4:$B$21,MATCH(AJ3,'NBA Library'!$A$4:$A$21,0))</f>
        <v>Verify Demand / Win-Back</v>
      </c>
      <c r="AL3" s="2" t="str">
        <f aca="false">INDEX('NBA Library'!$C$4:$C$21,MATCH(AJ3,'NBA Library'!$A$4:$A$21,0))</f>
        <v>Human</v>
      </c>
      <c r="AM3" s="2" t="str">
        <f aca="false">IF(AA3,"HOLD — Critical Data Issue",IF(Y3,"Human Sign-Off Required",IF(Z3="Manual Review","Human Review Required",IF(AND(AL3="Automated",OR(AE3,AND(OR(AK3="Discovery-to-Offer Enablement",AK3="Reinforce Successful Behaviour"),OR(AC3,AB3)))),"Human Review Required",IF(AL3="Human","Ready — Human",IF(AL3="Hybrid","Ready — Hybrid","Ready — Automated"))))))</f>
        <v>Ready — Human</v>
      </c>
      <c r="AN3" s="2" t="str">
        <f aca="false">IF(AA3,"P0",IF(AND(AJ3="BROWSING_LOW_OFFERS",E3="Tail"),"P3",IF(AND(AM3="Human Review Required",INDEX('NBA Library'!$D$4:$D$21,MATCH(AJ3,'NBA Library'!$A$4:$A$21,0))="P4"),"P3",INDEX('NBA Library'!$D$4:$D$21,MATCH(AJ3,'NBA Library'!$A$4:$A$21,0)))))</f>
        <v>P1</v>
      </c>
      <c r="AO3" s="2" t="str">
        <f aca="false">E3&amp;" "&amp;C3&amp;" account ("&amp;B3&amp;"); "&amp;G3&amp;" momentum; "&amp;P3&amp;"; £"&amp;TEXT(H3,"#,##0")&amp;" 6m GMV. "&amp;INDEX('NBA Library'!$G$4:$G$21,MATCH(AJ3,'NBA Library'!$A$4:$A$21,0))&amp;IF(LEFT(D3,1)="1"," Baseline: "&amp;V3&amp;" PDP views, "&amp;W3&amp;" app days, "&amp;X3&amp;" offers, "&amp;TEXT(J3/I3,"0%")&amp;" of orders self-serve.","")&amp;IF(AA3," Execution on HOLD until the Duplicate status is resolved.","")&amp;IF(Y3," Key account: explicit AM/leadership sign-off required before any migration activity.","")&amp;IF(AE3," Implied broker % from order counts would move this account to a different segment; review before automating.","")</f>
        <v>Key Broker-Reliant account (Account Managed); Lapsed momentum; No Meaningful History; £70,650 6m GMV. Apparent lapse rests on 1-2 orders or a single buying month. Verify cadence rather than treating as churn.</v>
      </c>
      <c r="AP3" s="2" t="str">
        <f aca="false">INDEX('NBA Library'!$E$4:$E$21,MATCH(AJ3,'NBA Library'!$A$4:$A$21,0))&amp;IF(AND(AJ3="NEW_CUSTOMER",AG3),"; introduce Make-an-Offer on items already browsed","")</f>
        <v>Confirm expected purchase cadence (one-off, seasonal, project buyer) before calling it churn</v>
      </c>
      <c r="AQ3" s="2" t="str">
        <f aca="false">INDEX('NBA Library'!$F$4:$F$21,MATCH(AJ3,'NBA Library'!$A$4:$A$21,0))</f>
        <v>Cadence recorded and account reclassified; order within the stated cadence window</v>
      </c>
      <c r="AR3" s="2" t="str">
        <f aca="false">IF(AND(F3="Low",OR(G3="Growing",G3="Stable"),P3="Recently Active",U3&lt;&gt;"Mixed",OR(AK3="Discovery-to-Offer Enablement",AK3="Reinforce Successful Behaviour"),AM3="Ready — Automated",OR(E3&lt;&gt;"Tail",S3)),"Range Expansion Test — trial "&amp;IF(U3="Bundle-only","handpick","bundles")&amp;" (experimental; not proven to lift GMV)","")</f>
        <v/>
      </c>
      <c r="AS3" s="2" t="str">
        <f aca="false">IF(AK3&lt;&gt;"Automated Nurture","",IF(AJ3="DORMANT_LOW_VALUE","Dormant",IF(AJ3="RISING_TAIL_EARLY","Rising tail – early pattern",IF(Q3="New Customer","New customer onboarding",IF(Q3="Returned Customer","Returned customer",IF(G3="Lapsed","Dormant",IF(T3="Engaged, not converting","Engaged, not converting",IF(T3="One-off low-touch buyer","One-off purchaser",IF(T3="Light-touch repeat buyer","Light-touch repeat buyer","Standard long tail")))))))))</f>
        <v/>
      </c>
      <c r="AT3" s="2" t="str">
        <f aca="false">IF(AA3,"CRITICAL_DATA_BLOCKER; ","")&amp;IF(Y3,"KEY_SIGNOFF; ","")&amp;IF(Z3="Manual Review","PHASE1_MANUAL_REVIEW; ","")&amp;IF(AND(LEFT(D3,1)="1",AZ3="Lumpy"),"LUMPY_CADENCE; ","")&amp;IF(AB3,"BORDERLINE_MOMENTUM; ","")&amp;IF(AC3,"FEB_SENSITIVE; ","")&amp;IF(AD3,"MATERIAL_BROKER_INCONSISTENCY"&amp;IF(AE3," (segment would change)","")&amp;"; ","")&amp;IF(AND(I3&gt;=3,O3&gt;0),IF(AI3&gt;=Assumptions!$B$75,"H2_SINGLE_MONTH_SPIKE; ",""),"")&amp;IF(AND(M3&gt;0,N3=0),"NO_FEB_GMV (Feb unconfirmed); ","")&amp;IF(AF3,"LOW_CONFIDENCE; ","")</f>
        <v>MATERIAL_BROKER_INCONSISTENCY; LOW_CONFIDENCE; </v>
      </c>
      <c r="AU3" s="2" t="str">
        <f aca="false">IF(LEFT(D3,1)="1",V3,"")</f>
        <v/>
      </c>
      <c r="AV3" s="2" t="str">
        <f aca="false">IF(LEFT(D3,1)="1",V3&gt;=Assumptions!$B$58,"")</f>
        <v/>
      </c>
      <c r="AW3" s="2" t="str">
        <f aca="false">IF(LEFT(D3,1)="1",W3,"")</f>
        <v/>
      </c>
      <c r="AX3" s="2" t="str">
        <f aca="false">IF(LEFT(D3,1)="1",X3,"")</f>
        <v/>
      </c>
      <c r="AY3" s="17" t="str">
        <f aca="false">IF(LEFT(D3,1)="1",J3/I3,"")</f>
        <v/>
      </c>
      <c r="AZ3" s="2" t="str">
        <f aca="false">IF(LEFT(D3,1)="1",IF(AND(K3&gt;=Assumptions!$B$83,I3&gt;=Assumptions!$B$84),"Regular","Lumpy"),"")</f>
        <v/>
      </c>
      <c r="BA3" s="2" t="str">
        <f aca="false">IF(LEFT(D3,1)="1",ROUND(6/K3,0),"")</f>
        <v/>
      </c>
      <c r="BB3" s="2" t="str">
        <f aca="false">IF(LEFT(D3,1)="1",IF(AZ3="Regular","Regular buyer: expected ~£"&amp;TEXT(H3/2,"#,##0")&amp;" per 90 days. At Risk if GMV to date &lt; "&amp;TEXT(Assumptions!$B$81,"0%")&amp;" of pro-rated expectation, checked from day "&amp;Assumptions!$B$82&amp;". Human-reviewed.","Irregular buyer ("&amp;I3&amp;" orders across "&amp;K3&amp;" months): no numeric GMV threshold. At Risk if no order within ~"&amp;BA3&amp;" month(s); AM reviews at day "&amp;Assumptions!$B$82&amp;" and "&amp;Assumptions!$B$85&amp;"."),"")</f>
        <v/>
      </c>
      <c r="BC3" s="2"/>
      <c r="BD3" s="2"/>
      <c r="BE3" s="2"/>
      <c r="BF3" s="2"/>
      <c r="BG3" s="2"/>
      <c r="BH3" s="2"/>
      <c r="BI3" s="2"/>
      <c r="BJ3" s="2" t="str">
        <f aca="false">IF(OR(NOT(LEFT(D3,1)="1"),BC3=""),"",IF(AZ3="Regular",AND(BC3&gt;=Assumptions!$B$82,N(BI3)&lt;Assumptions!$B$81*H3/180*BC3),AND(BC3&gt;=BA3*30,N(BG3)=0)))</f>
        <v/>
      </c>
      <c r="BK3" s="2" t="str">
        <f aca="false">IF(NOT(LEFT(D3,1)="1"),"N/A",IF(BC3="","Baseline",IF(BJ3,"At Risk",IF(AND(N(BD3)&gt;=Assumptions!$B$78,N(BE3)&gt;=Assumptions!$B$79,N(BH3)&gt;=1,N(BH3)/MAX(N(BG3),1)&gt;AY3),"Self-Serve Capability Demonstrated",IF(OR(N(BD3)&gt;=Assumptions!$B$76,N(BE3)&gt;=Assumptions!$B$77),"Progressing",IF(BC3&gt;=Assumptions!$B$85,"At Risk","Baseline"))))))</f>
        <v>N/A</v>
      </c>
      <c r="BL3" s="2" t="n">
        <f aca="false">(AND(C3="Broker-Reliant",OR(AK3="Discovery-to-Offer Enablement",AK3="Reinforce Successful Behaviour")))*1+(AND(G3="Declining",E3&lt;&gt;"Tail",AL3="Automated"))*1+(AND(Y3,AM3&lt;&gt;"Human Sign-Off Required"))*1+(AND(AA3,AM3&lt;&gt;"HOLD — Critical Data Issue"))*1+(AND(P3="Recent Inactivity",OR(AK3="Discovery-to-Offer Enablement",AK3="Reinforce Successful Behaviour")))*1+(AND(OR(LEFT(D3,1)="2",LEFT(D3,1)="3",LEFT(D3,1)="8"),AL3="Automated"))*1+((LEFT(D3,1)="1")&lt;&gt;(AK3="Guided Self-Serve Migration"))*1+(AND(AR3&lt;&gt;"",OR(F3&lt;&gt;"Low",U3="Mixed",AND(G3&lt;&gt;"Growing",G3&lt;&gt;"Stable"))))*1+ISNUMBER(SEARCH("chat",AP3))*1+ISNUMBER(SEARCH("video",AP3))*1+(AND(AA3,AL3="Automated",AM3&lt;&gt;"HOLD — Critical Data Issue"))*1</f>
        <v>0</v>
      </c>
    </row>
    <row r="4" customFormat="false" ht="15" hidden="false" customHeight="false" outlineLevel="0" collapsed="false">
      <c r="A4" s="2" t="s">
        <v>328</v>
      </c>
      <c r="B4" s="2" t="str">
        <f aca="false">INDEX(Segmentation!$B$2:$B$301,MATCH($A4,Segmentation!$A$2:$A$301,0))</f>
        <v>Account Managed</v>
      </c>
      <c r="C4" s="2" t="str">
        <f aca="false">INDEX(Segmentation!$H$2:$H$301,MATCH($A4,Segmentation!$A$2:$A$301,0))</f>
        <v>Broker-Reliant</v>
      </c>
      <c r="D4" s="2" t="str">
        <f aca="false">INDEX(Segmentation!$T$2:$T$301,MATCH($A4,Segmentation!$A$2:$A$301,0))</f>
        <v>1. Migration Candidate</v>
      </c>
      <c r="E4" s="2" t="str">
        <f aca="false">INDEX(Segmentation!$J$2:$J$301,MATCH($A4,Segmentation!$A$2:$A$301,0))</f>
        <v>Key</v>
      </c>
      <c r="F4" s="2" t="str">
        <f aca="false">INDEX(Segmentation!$G$2:$G$301,MATCH($A4,Segmentation!$A$2:$A$301,0))</f>
        <v>High</v>
      </c>
      <c r="G4" s="2" t="str">
        <f aca="false">INDEX(Segmentation!$N$2:$N$301,MATCH($A4,Segmentation!$A$2:$A$301,0))</f>
        <v>Stable</v>
      </c>
      <c r="H4" s="9" t="n">
        <f aca="false">INDEX(Segmentation!$I$2:$I$301,MATCH($A4,Segmentation!$A$2:$A$301,0))</f>
        <v>41039</v>
      </c>
      <c r="I4" s="2" t="n">
        <f aca="false">INDEX(Segmentation!$O$2:$O$301,MATCH($A4,Segmentation!$A$2:$A$301,0))</f>
        <v>36</v>
      </c>
      <c r="J4" s="2" t="n">
        <f aca="false">INDEX(Segmentation!$Q$2:$Q$301,MATCH($A4,Segmentation!$A$2:$A$301,0))</f>
        <v>9</v>
      </c>
      <c r="K4" s="2" t="n">
        <f aca="false">INDEX(Segmentation!$W$2:$W$301,MATCH($A4,Segmentation!$A$2:$A$301,0))</f>
        <v>6</v>
      </c>
      <c r="L4" s="9" t="n">
        <f aca="false">INDEX('Commercial View'!$L$2:$L$301,MATCH($A4,'Commercial View'!$A$2:$A$301,0))</f>
        <v>7191</v>
      </c>
      <c r="M4" s="9" t="n">
        <f aca="false">INDEX('Commercial View'!$M$2:$M$301,MATCH($A4,'Commercial View'!$A$2:$A$301,0))</f>
        <v>3988</v>
      </c>
      <c r="N4" s="9" t="n">
        <f aca="false">INDEX('Commercial View'!$N$2:$N$301,MATCH($A4,'Commercial View'!$A$2:$A$301,0))</f>
        <v>7070</v>
      </c>
      <c r="O4" s="9" t="n">
        <f aca="false">INDEX(Segmentation!$L$2:$L$301,MATCH($A4,Segmentation!$A$2:$A$301,0))</f>
        <v>18249</v>
      </c>
      <c r="P4" s="2" t="str">
        <f aca="false">IF(OR(M4&gt;0,N4&gt;0),"Recently Active",IF(OR(I4&lt;=Assumptions!$B$48,K4&lt;=Assumptions!$B$49),"No Meaningful History","Recent Inactivity"))</f>
        <v>Recently Active</v>
      </c>
      <c r="Q4" s="2" t="str">
        <f aca="false">INDEX(Segmentation!$AF$2:$AF$301,MATCH($A4,Segmentation!$A$2:$A$301,0))</f>
        <v>Existing Customer</v>
      </c>
      <c r="R4" s="2" t="str">
        <f aca="false">INDEX(Segmentation!$AL$2:$AL$301,MATCH($A4,Segmentation!$A$2:$A$301,0))</f>
        <v>N/A</v>
      </c>
      <c r="S4" s="10" t="b">
        <f aca="false">INDEX(Segmentation!$AW$2:$AW$301,MATCH($A4,Segmentation!$A$2:$A$301,0))</f>
        <v>0</v>
      </c>
      <c r="T4" s="2" t="str">
        <f aca="false">INDEX('Feature Data'!$AD$2:$AD$301,MATCH($A4,'Feature Data'!$A$2:$A$301,0))</f>
        <v>Broker-led, product-blind</v>
      </c>
      <c r="U4" s="2" t="str">
        <f aca="false">INDEX('Feature Data'!$W$2:$W$301,MATCH($A4,'Feature Data'!$A$2:$A$301,0))</f>
        <v>Mixed</v>
      </c>
      <c r="V4" s="2" t="n">
        <f aca="false">INDEX('Feature Data'!$P$2:$P$301,MATCH($A4,'Feature Data'!$A$2:$A$301,0))</f>
        <v>5</v>
      </c>
      <c r="W4" s="2" t="n">
        <f aca="false">INDEX(Segmentation!$R$2:$R$301,MATCH($A4,Segmentation!$A$2:$A$301,0))</f>
        <v>1</v>
      </c>
      <c r="X4" s="2" t="n">
        <f aca="false">INDEX(Segmentation!$S$2:$S$301,MATCH($A4,Segmentation!$A$2:$A$301,0))</f>
        <v>2</v>
      </c>
      <c r="Y4" s="10" t="b">
        <f aca="false">INDEX(Segmentation!$AG$2:$AG$301,MATCH($A4,Segmentation!$A$2:$A$301,0))</f>
        <v>1</v>
      </c>
      <c r="Z4" s="2" t="str">
        <f aca="false">INDEX(Segmentation!$AU$2:$AU$301,MATCH($A4,Segmentation!$A$2:$A$301,0))</f>
        <v>Not Eligible</v>
      </c>
      <c r="AA4" s="10" t="b">
        <f aca="false">INDEX(Segmentation!$Z$2:$Z$301,MATCH($A4,Segmentation!$A$2:$A$301,0))</f>
        <v>0</v>
      </c>
      <c r="AB4" s="10" t="b">
        <f aca="false">INDEX(Segmentation!$AH$2:$AH$301,MATCH($A4,Segmentation!$A$2:$A$301,0))</f>
        <v>1</v>
      </c>
      <c r="AC4" s="10" t="b">
        <f aca="false">INDEX(Segmentation!$AK$2:$AK$301,MATCH($A4,Segmentation!$A$2:$A$301,0))</f>
        <v>1</v>
      </c>
      <c r="AD4" s="10" t="b">
        <f aca="false">INDEX(Segmentation!$AQ$2:$AQ$301,MATCH($A4,Segmentation!$A$2:$A$301,0))</f>
        <v>0</v>
      </c>
      <c r="AE4" s="10" t="b">
        <f aca="false">INDEX(Segmentation!$AT$2:$AT$301,MATCH($A4,Segmentation!$A$2:$A$301,0))</f>
        <v>0</v>
      </c>
      <c r="AF4" s="10" t="b">
        <f aca="false">INDEX(Segmentation!$X$2:$X$301,MATCH($A4,Segmentation!$A$2:$A$301,0))</f>
        <v>0</v>
      </c>
      <c r="AG4" s="10" t="b">
        <f aca="false">AND(F4="Low",V4&gt;=Assumptions!$B$71,X4&lt;Assumptions!$B$72)</f>
        <v>0</v>
      </c>
      <c r="AH4" s="10" t="b">
        <f aca="false">AND(F4="Low",OR(G4="Growing",G4="Stable"),P4="Recently Active",V4&gt;=Assumptions!$B$58,K4&gt;=Assumptions!$B$73)</f>
        <v>0</v>
      </c>
      <c r="AI4" s="17" t="n">
        <f aca="false">IF(O4&gt;0,MAX(L4:N4)/O4,"")</f>
        <v>0.394048988985698</v>
      </c>
      <c r="AJ4" s="2" t="str">
        <f aca="false">IF(LEFT(D4,1)="1",IF(E4="Key","MIGRATION_KEY_SIGNOFF",IF(Z4="Ready","MIGRATION_PHASE1_READY",IF(Z4="Manual Review","MIGRATION_PHASE1_REVIEW","MIGRATION_PRE_ENTRY"))),IF(LEFT(D4,1)="2","DECLINING_KEY_CORE",IF(LEFT(D4,1)="3",IF(R4="Established Buyer Lapsed","LAPSED_ESTABLISHED","LAPSED_THIN_HISTORY"),IF(LEFT(D4,1)="4",IF(Q4="New Customer","NEW_CUSTOMER","RETURNED_CUSTOMER"),IF(LEFT(D4,1)="5",IF(P4="Recently Active","COST_TO_SERVE_ACTIVE","DORMANT_LOW_VALUE"),IF(LEFT(D4,1)="6",IF(P4="Recent Inactivity","RECENT_INACTIVITY",IF(AG4,"BROWSING_LOW_OFFERS","HEALTHY_STRONG_SELF_SERVE")),IF(LEFT(D4,1)="7",IF(P4="Recent Inactivity","RECENT_INACTIVITY",IF(Q4="New Customer","NEW_CUSTOMER","RETURNED_CUSTOMER")),IF(LEFT(D4,1)="8",IF(G4="Declining",IF(T4="Engaged but shrinking (Key/Core)","ENGAGED_BUT_SHRINKING","DECLINING_KEY_CORE"),IF(R4="Established Buyer Lapsed","LAPSED_ESTABLISHED","LAPSED_THIN_HISTORY")),IF(S4,IF(P4&lt;&gt;"Recently Active","DORMANT_LOW_VALUE",IF(AG4,"BROWSING_LOW_OFFERS",IF(AH4,"RISING_TAIL","RISING_TAIL_EARLY"))),IF(AND(AG4,P4="Recently Active",OR(G4="Growing",G4="Stable",G4="H2 Active / No H1 GMV"),I4&gt;=Assumptions!$B$74),"BROWSING_LOW_OFFERS","LONG_TAIL_STANDARD"))))))))))</f>
        <v>MIGRATION_KEY_SIGNOFF</v>
      </c>
      <c r="AK4" s="2" t="str">
        <f aca="false">INDEX('NBA Library'!$B$4:$B$21,MATCH(AJ4,'NBA Library'!$A$4:$A$21,0))</f>
        <v>Guided Self-Serve Migration</v>
      </c>
      <c r="AL4" s="2" t="str">
        <f aca="false">INDEX('NBA Library'!$C$4:$C$21,MATCH(AJ4,'NBA Library'!$A$4:$A$21,0))</f>
        <v>Hybrid</v>
      </c>
      <c r="AM4" s="2" t="str">
        <f aca="false">IF(AA4,"HOLD — Critical Data Issue",IF(Y4,"Human Sign-Off Required",IF(Z4="Manual Review","Human Review Required",IF(AND(AL4="Automated",OR(AE4,AND(OR(AK4="Discovery-to-Offer Enablement",AK4="Reinforce Successful Behaviour"),OR(AC4,AB4)))),"Human Review Required",IF(AL4="Human","Ready — Human",IF(AL4="Hybrid","Ready — Hybrid","Ready — Automated"))))))</f>
        <v>Human Sign-Off Required</v>
      </c>
      <c r="AN4" s="2" t="str">
        <f aca="false">IF(AA4,"P0",IF(AND(AJ4="BROWSING_LOW_OFFERS",E4="Tail"),"P3",IF(AND(AM4="Human Review Required",INDEX('NBA Library'!$D$4:$D$21,MATCH(AJ4,'NBA Library'!$A$4:$A$21,0))="P4"),"P3",INDEX('NBA Library'!$D$4:$D$21,MATCH(AJ4,'NBA Library'!$A$4:$A$21,0)))))</f>
        <v>P2</v>
      </c>
      <c r="AO4" s="2" t="str">
        <f aca="false">E4&amp;" "&amp;C4&amp;" account ("&amp;B4&amp;"); "&amp;G4&amp;" momentum; "&amp;P4&amp;"; £"&amp;TEXT(H4,"#,##0")&amp;" 6m GMV. "&amp;INDEX('NBA Library'!$G$4:$G$21,MATCH(AJ4,'NBA Library'!$A$4:$A$21,0))&amp;IF(LEFT(D4,1)="1"," Baseline: "&amp;V4&amp;" PDP views, "&amp;W4&amp;" app days, "&amp;X4&amp;" offers, "&amp;TEXT(J4/I4,"0%")&amp;" of orders self-serve.","")&amp;IF(AA4," Execution on HOLD until the Duplicate status is resolved.","")&amp;IF(Y4," Key account: explicit AM/leadership sign-off required before any migration activity.","")&amp;IF(AE4," Implied broker % from order counts would move this account to a different segment; review before automating.","")</f>
        <v>Key Broker-Reliant account (Account Managed); Stable momentum; Recently Active; £41,039 6m GMV. Key broker-reliant account with healthy spend. Technically a migration candidate, but downside risk is too large for automated initiation. Baseline: 5 PDP views, 1 app days, 2 offers, 25% of orders self-serve. Key account: explicit AM/leadership sign-off required before any migration activity.</v>
      </c>
      <c r="AP4" s="2" t="str">
        <f aca="false">INDEX('NBA Library'!$E$4:$E$21,MATCH(AJ4,'NBA Library'!$A$4:$A$21,0))&amp;IF(AND(AJ4="NEW_CUSTOMER",AG4),"; introduce Make-an-Offer on items already browsed","")</f>
        <v>If approved: gradual shift to independent discovery with AM retained; otherwise keep current service model</v>
      </c>
      <c r="AQ4" s="2" t="str">
        <f aca="false">INDEX('NBA Library'!$F$4:$F$21,MATCH(AJ4,'NBA Library'!$A$4:$A$21,0))</f>
        <v>Sign-off decision logged; if approved, as Phase 1 with a stricter GMV guardrail</v>
      </c>
      <c r="AR4" s="2" t="str">
        <f aca="false">IF(AND(F4="Low",OR(G4="Growing",G4="Stable"),P4="Recently Active",U4&lt;&gt;"Mixed",OR(AK4="Discovery-to-Offer Enablement",AK4="Reinforce Successful Behaviour"),AM4="Ready — Automated",OR(E4&lt;&gt;"Tail",S4)),"Range Expansion Test — trial "&amp;IF(U4="Bundle-only","handpick","bundles")&amp;" (experimental; not proven to lift GMV)","")</f>
        <v/>
      </c>
      <c r="AS4" s="2" t="str">
        <f aca="false">IF(AK4&lt;&gt;"Automated Nurture","",IF(AJ4="DORMANT_LOW_VALUE","Dormant",IF(AJ4="RISING_TAIL_EARLY","Rising tail – early pattern",IF(Q4="New Customer","New customer onboarding",IF(Q4="Returned Customer","Returned customer",IF(G4="Lapsed","Dormant",IF(T4="Engaged, not converting","Engaged, not converting",IF(T4="One-off low-touch buyer","One-off purchaser",IF(T4="Light-touch repeat buyer","Light-touch repeat buyer","Standard long tail")))))))))</f>
        <v/>
      </c>
      <c r="AT4" s="2" t="str">
        <f aca="false">IF(AA4,"CRITICAL_DATA_BLOCKER; ","")&amp;IF(Y4,"KEY_SIGNOFF; ","")&amp;IF(Z4="Manual Review","PHASE1_MANUAL_REVIEW; ","")&amp;IF(AND(LEFT(D4,1)="1",AZ4="Lumpy"),"LUMPY_CADENCE; ","")&amp;IF(AB4,"BORDERLINE_MOMENTUM; ","")&amp;IF(AC4,"FEB_SENSITIVE; ","")&amp;IF(AD4,"MATERIAL_BROKER_INCONSISTENCY"&amp;IF(AE4," (segment would change)","")&amp;"; ","")&amp;IF(AND(I4&gt;=3,O4&gt;0),IF(AI4&gt;=Assumptions!$B$75,"H2_SINGLE_MONTH_SPIKE; ",""),"")&amp;IF(AND(M4&gt;0,N4=0),"NO_FEB_GMV (Feb unconfirmed); ","")&amp;IF(AF4,"LOW_CONFIDENCE; ","")</f>
        <v>KEY_SIGNOFF; BORDERLINE_MOMENTUM; FEB_SENSITIVE; </v>
      </c>
      <c r="AU4" s="2" t="n">
        <f aca="false">IF(LEFT(D4,1)="1",V4,"")</f>
        <v>5</v>
      </c>
      <c r="AV4" s="10" t="b">
        <f aca="false">IF(LEFT(D4,1)="1",V4&gt;=Assumptions!$B$58,"")</f>
        <v>0</v>
      </c>
      <c r="AW4" s="2" t="n">
        <f aca="false">IF(LEFT(D4,1)="1",W4,"")</f>
        <v>1</v>
      </c>
      <c r="AX4" s="2" t="n">
        <f aca="false">IF(LEFT(D4,1)="1",X4,"")</f>
        <v>2</v>
      </c>
      <c r="AY4" s="17" t="n">
        <f aca="false">IF(LEFT(D4,1)="1",J4/I4,"")</f>
        <v>0.25</v>
      </c>
      <c r="AZ4" s="2" t="str">
        <f aca="false">IF(LEFT(D4,1)="1",IF(AND(K4&gt;=Assumptions!$B$83,I4&gt;=Assumptions!$B$84),"Regular","Lumpy"),"")</f>
        <v>Regular</v>
      </c>
      <c r="BA4" s="2" t="n">
        <f aca="false">IF(LEFT(D4,1)="1",ROUND(6/K4,0),"")</f>
        <v>1</v>
      </c>
      <c r="BB4" s="2" t="str">
        <f aca="false">IF(LEFT(D4,1)="1",IF(AZ4="Regular","Regular buyer: expected ~£"&amp;TEXT(H4/2,"#,##0")&amp;" per 90 days. At Risk if GMV to date &lt; "&amp;TEXT(Assumptions!$B$81,"0%")&amp;" of pro-rated expectation, checked from day "&amp;Assumptions!$B$82&amp;". Human-reviewed.","Irregular buyer ("&amp;I4&amp;" orders across "&amp;K4&amp;" months): no numeric GMV threshold. At Risk if no order within ~"&amp;BA4&amp;" month(s); AM reviews at day "&amp;Assumptions!$B$82&amp;" and "&amp;Assumptions!$B$85&amp;"."),"")</f>
        <v>Regular buyer: expected ~£20,520 per 90 days. At Risk if GMV to date &lt; 70% of pro-rated expectation, checked from day 45. Human-reviewed.</v>
      </c>
      <c r="BC4" s="18"/>
      <c r="BD4" s="18"/>
      <c r="BE4" s="18"/>
      <c r="BF4" s="18"/>
      <c r="BG4" s="18"/>
      <c r="BH4" s="18"/>
      <c r="BI4" s="18"/>
      <c r="BJ4" s="2" t="str">
        <f aca="false">IF(OR(NOT(LEFT(D4,1)="1"),BC4=""),"",IF(AZ4="Regular",AND(BC4&gt;=Assumptions!$B$82,N(BI4)&lt;Assumptions!$B$81*H4/180*BC4),AND(BC4&gt;=BA4*30,N(BG4)=0)))</f>
        <v/>
      </c>
      <c r="BK4" s="2" t="str">
        <f aca="false">IF(NOT(LEFT(D4,1)="1"),"N/A",IF(BC4="","Baseline",IF(BJ4,"At Risk",IF(AND(N(BD4)&gt;=Assumptions!$B$78,N(BE4)&gt;=Assumptions!$B$79,N(BH4)&gt;=1,N(BH4)/MAX(N(BG4),1)&gt;AY4),"Self-Serve Capability Demonstrated",IF(OR(N(BD4)&gt;=Assumptions!$B$76,N(BE4)&gt;=Assumptions!$B$77),"Progressing",IF(BC4&gt;=Assumptions!$B$85,"At Risk","Baseline"))))))</f>
        <v>Baseline</v>
      </c>
      <c r="BL4" s="2" t="n">
        <f aca="false">(AND(C4="Broker-Reliant",OR(AK4="Discovery-to-Offer Enablement",AK4="Reinforce Successful Behaviour")))*1+(AND(G4="Declining",E4&lt;&gt;"Tail",AL4="Automated"))*1+(AND(Y4,AM4&lt;&gt;"Human Sign-Off Required"))*1+(AND(AA4,AM4&lt;&gt;"HOLD — Critical Data Issue"))*1+(AND(P4="Recent Inactivity",OR(AK4="Discovery-to-Offer Enablement",AK4="Reinforce Successful Behaviour")))*1+(AND(OR(LEFT(D4,1)="2",LEFT(D4,1)="3",LEFT(D4,1)="8"),AL4="Automated"))*1+((LEFT(D4,1)="1")&lt;&gt;(AK4="Guided Self-Serve Migration"))*1+(AND(AR4&lt;&gt;"",OR(F4&lt;&gt;"Low",U4="Mixed",AND(G4&lt;&gt;"Growing",G4&lt;&gt;"Stable"))))*1+ISNUMBER(SEARCH("chat",AP4))*1+ISNUMBER(SEARCH("video",AP4))*1+(AND(AA4,AL4="Automated",AM4&lt;&gt;"HOLD — Critical Data Issue"))*1</f>
        <v>0</v>
      </c>
    </row>
    <row r="5" customFormat="false" ht="15" hidden="false" customHeight="false" outlineLevel="0" collapsed="false">
      <c r="A5" s="2" t="s">
        <v>331</v>
      </c>
      <c r="B5" s="2" t="str">
        <f aca="false">INDEX(Segmentation!$B$2:$B$301,MATCH($A5,Segmentation!$A$2:$A$301,0))</f>
        <v>Account Managed</v>
      </c>
      <c r="C5" s="2" t="str">
        <f aca="false">INDEX(Segmentation!$H$2:$H$301,MATCH($A5,Segmentation!$A$2:$A$301,0))</f>
        <v>Broker-Reliant</v>
      </c>
      <c r="D5" s="2" t="str">
        <f aca="false">INDEX(Segmentation!$T$2:$T$301,MATCH($A5,Segmentation!$A$2:$A$301,0))</f>
        <v>1. Migration Candidate</v>
      </c>
      <c r="E5" s="2" t="str">
        <f aca="false">INDEX(Segmentation!$J$2:$J$301,MATCH($A5,Segmentation!$A$2:$A$301,0))</f>
        <v>Key</v>
      </c>
      <c r="F5" s="2" t="str">
        <f aca="false">INDEX(Segmentation!$G$2:$G$301,MATCH($A5,Segmentation!$A$2:$A$301,0))</f>
        <v>High</v>
      </c>
      <c r="G5" s="2" t="str">
        <f aca="false">INDEX(Segmentation!$N$2:$N$301,MATCH($A5,Segmentation!$A$2:$A$301,0))</f>
        <v>Stable</v>
      </c>
      <c r="H5" s="9" t="n">
        <f aca="false">INDEX(Segmentation!$I$2:$I$301,MATCH($A5,Segmentation!$A$2:$A$301,0))</f>
        <v>27099</v>
      </c>
      <c r="I5" s="2" t="n">
        <f aca="false">INDEX(Segmentation!$O$2:$O$301,MATCH($A5,Segmentation!$A$2:$A$301,0))</f>
        <v>19</v>
      </c>
      <c r="J5" s="2" t="n">
        <f aca="false">INDEX(Segmentation!$Q$2:$Q$301,MATCH($A5,Segmentation!$A$2:$A$301,0))</f>
        <v>7</v>
      </c>
      <c r="K5" s="2" t="n">
        <f aca="false">INDEX(Segmentation!$W$2:$W$301,MATCH($A5,Segmentation!$A$2:$A$301,0))</f>
        <v>6</v>
      </c>
      <c r="L5" s="9" t="n">
        <f aca="false">INDEX('Commercial View'!$L$2:$L$301,MATCH($A5,'Commercial View'!$A$2:$A$301,0))</f>
        <v>5067</v>
      </c>
      <c r="M5" s="9" t="n">
        <f aca="false">INDEX('Commercial View'!$M$2:$M$301,MATCH($A5,'Commercial View'!$A$2:$A$301,0))</f>
        <v>3844</v>
      </c>
      <c r="N5" s="9" t="n">
        <f aca="false">INDEX('Commercial View'!$N$2:$N$301,MATCH($A5,'Commercial View'!$A$2:$A$301,0))</f>
        <v>3484</v>
      </c>
      <c r="O5" s="9" t="n">
        <f aca="false">INDEX(Segmentation!$L$2:$L$301,MATCH($A5,Segmentation!$A$2:$A$301,0))</f>
        <v>12395</v>
      </c>
      <c r="P5" s="2" t="str">
        <f aca="false">IF(OR(M5&gt;0,N5&gt;0),"Recently Active",IF(OR(I5&lt;=Assumptions!$B$48,K5&lt;=Assumptions!$B$49),"No Meaningful History","Recent Inactivity"))</f>
        <v>Recently Active</v>
      </c>
      <c r="Q5" s="2" t="str">
        <f aca="false">INDEX(Segmentation!$AF$2:$AF$301,MATCH($A5,Segmentation!$A$2:$A$301,0))</f>
        <v>Existing Customer</v>
      </c>
      <c r="R5" s="2" t="str">
        <f aca="false">INDEX(Segmentation!$AL$2:$AL$301,MATCH($A5,Segmentation!$A$2:$A$301,0))</f>
        <v>N/A</v>
      </c>
      <c r="S5" s="10" t="b">
        <f aca="false">INDEX(Segmentation!$AW$2:$AW$301,MATCH($A5,Segmentation!$A$2:$A$301,0))</f>
        <v>0</v>
      </c>
      <c r="T5" s="2" t="str">
        <f aca="false">INDEX('Feature Data'!$AD$2:$AD$301,MATCH($A5,'Feature Data'!$A$2:$A$301,0))</f>
        <v>Broker-led, product-blind</v>
      </c>
      <c r="U5" s="2" t="str">
        <f aca="false">INDEX('Feature Data'!$W$2:$W$301,MATCH($A5,'Feature Data'!$A$2:$A$301,0))</f>
        <v>Handpick-only</v>
      </c>
      <c r="V5" s="2" t="n">
        <f aca="false">INDEX('Feature Data'!$P$2:$P$301,MATCH($A5,'Feature Data'!$A$2:$A$301,0))</f>
        <v>3</v>
      </c>
      <c r="W5" s="2" t="n">
        <f aca="false">INDEX(Segmentation!$R$2:$R$301,MATCH($A5,Segmentation!$A$2:$A$301,0))</f>
        <v>8</v>
      </c>
      <c r="X5" s="2" t="n">
        <f aca="false">INDEX(Segmentation!$S$2:$S$301,MATCH($A5,Segmentation!$A$2:$A$301,0))</f>
        <v>2</v>
      </c>
      <c r="Y5" s="10" t="b">
        <f aca="false">INDEX(Segmentation!$AG$2:$AG$301,MATCH($A5,Segmentation!$A$2:$A$301,0))</f>
        <v>1</v>
      </c>
      <c r="Z5" s="2" t="str">
        <f aca="false">INDEX(Segmentation!$AU$2:$AU$301,MATCH($A5,Segmentation!$A$2:$A$301,0))</f>
        <v>Not Eligible</v>
      </c>
      <c r="AA5" s="10" t="b">
        <f aca="false">INDEX(Segmentation!$Z$2:$Z$301,MATCH($A5,Segmentation!$A$2:$A$301,0))</f>
        <v>0</v>
      </c>
      <c r="AB5" s="10" t="b">
        <f aca="false">INDEX(Segmentation!$AH$2:$AH$301,MATCH($A5,Segmentation!$A$2:$A$301,0))</f>
        <v>1</v>
      </c>
      <c r="AC5" s="10" t="b">
        <f aca="false">INDEX(Segmentation!$AK$2:$AK$301,MATCH($A5,Segmentation!$A$2:$A$301,0))</f>
        <v>0</v>
      </c>
      <c r="AD5" s="10" t="b">
        <f aca="false">INDEX(Segmentation!$AQ$2:$AQ$301,MATCH($A5,Segmentation!$A$2:$A$301,0))</f>
        <v>0</v>
      </c>
      <c r="AE5" s="10" t="b">
        <f aca="false">INDEX(Segmentation!$AT$2:$AT$301,MATCH($A5,Segmentation!$A$2:$A$301,0))</f>
        <v>0</v>
      </c>
      <c r="AF5" s="10" t="b">
        <f aca="false">INDEX(Segmentation!$X$2:$X$301,MATCH($A5,Segmentation!$A$2:$A$301,0))</f>
        <v>0</v>
      </c>
      <c r="AG5" s="10" t="b">
        <f aca="false">AND(F5="Low",V5&gt;=Assumptions!$B$71,X5&lt;Assumptions!$B$72)</f>
        <v>0</v>
      </c>
      <c r="AH5" s="10" t="b">
        <f aca="false">AND(F5="Low",OR(G5="Growing",G5="Stable"),P5="Recently Active",V5&gt;=Assumptions!$B$58,K5&gt;=Assumptions!$B$73)</f>
        <v>0</v>
      </c>
      <c r="AI5" s="17" t="n">
        <f aca="false">IF(O5&gt;0,MAX(L5:N5)/O5,"")</f>
        <v>0.408793868495361</v>
      </c>
      <c r="AJ5" s="2" t="str">
        <f aca="false">IF(LEFT(D5,1)="1",IF(E5="Key","MIGRATION_KEY_SIGNOFF",IF(Z5="Ready","MIGRATION_PHASE1_READY",IF(Z5="Manual Review","MIGRATION_PHASE1_REVIEW","MIGRATION_PRE_ENTRY"))),IF(LEFT(D5,1)="2","DECLINING_KEY_CORE",IF(LEFT(D5,1)="3",IF(R5="Established Buyer Lapsed","LAPSED_ESTABLISHED","LAPSED_THIN_HISTORY"),IF(LEFT(D5,1)="4",IF(Q5="New Customer","NEW_CUSTOMER","RETURNED_CUSTOMER"),IF(LEFT(D5,1)="5",IF(P5="Recently Active","COST_TO_SERVE_ACTIVE","DORMANT_LOW_VALUE"),IF(LEFT(D5,1)="6",IF(P5="Recent Inactivity","RECENT_INACTIVITY",IF(AG5,"BROWSING_LOW_OFFERS","HEALTHY_STRONG_SELF_SERVE")),IF(LEFT(D5,1)="7",IF(P5="Recent Inactivity","RECENT_INACTIVITY",IF(Q5="New Customer","NEW_CUSTOMER","RETURNED_CUSTOMER")),IF(LEFT(D5,1)="8",IF(G5="Declining",IF(T5="Engaged but shrinking (Key/Core)","ENGAGED_BUT_SHRINKING","DECLINING_KEY_CORE"),IF(R5="Established Buyer Lapsed","LAPSED_ESTABLISHED","LAPSED_THIN_HISTORY")),IF(S5,IF(P5&lt;&gt;"Recently Active","DORMANT_LOW_VALUE",IF(AG5,"BROWSING_LOW_OFFERS",IF(AH5,"RISING_TAIL","RISING_TAIL_EARLY"))),IF(AND(AG5,P5="Recently Active",OR(G5="Growing",G5="Stable",G5="H2 Active / No H1 GMV"),I5&gt;=Assumptions!$B$74),"BROWSING_LOW_OFFERS","LONG_TAIL_STANDARD"))))))))))</f>
        <v>MIGRATION_KEY_SIGNOFF</v>
      </c>
      <c r="AK5" s="2" t="str">
        <f aca="false">INDEX('NBA Library'!$B$4:$B$21,MATCH(AJ5,'NBA Library'!$A$4:$A$21,0))</f>
        <v>Guided Self-Serve Migration</v>
      </c>
      <c r="AL5" s="2" t="str">
        <f aca="false">INDEX('NBA Library'!$C$4:$C$21,MATCH(AJ5,'NBA Library'!$A$4:$A$21,0))</f>
        <v>Hybrid</v>
      </c>
      <c r="AM5" s="2" t="str">
        <f aca="false">IF(AA5,"HOLD — Critical Data Issue",IF(Y5,"Human Sign-Off Required",IF(Z5="Manual Review","Human Review Required",IF(AND(AL5="Automated",OR(AE5,AND(OR(AK5="Discovery-to-Offer Enablement",AK5="Reinforce Successful Behaviour"),OR(AC5,AB5)))),"Human Review Required",IF(AL5="Human","Ready — Human",IF(AL5="Hybrid","Ready — Hybrid","Ready — Automated"))))))</f>
        <v>Human Sign-Off Required</v>
      </c>
      <c r="AN5" s="2" t="str">
        <f aca="false">IF(AA5,"P0",IF(AND(AJ5="BROWSING_LOW_OFFERS",E5="Tail"),"P3",IF(AND(AM5="Human Review Required",INDEX('NBA Library'!$D$4:$D$21,MATCH(AJ5,'NBA Library'!$A$4:$A$21,0))="P4"),"P3",INDEX('NBA Library'!$D$4:$D$21,MATCH(AJ5,'NBA Library'!$A$4:$A$21,0)))))</f>
        <v>P2</v>
      </c>
      <c r="AO5" s="2" t="str">
        <f aca="false">E5&amp;" "&amp;C5&amp;" account ("&amp;B5&amp;"); "&amp;G5&amp;" momentum; "&amp;P5&amp;"; £"&amp;TEXT(H5,"#,##0")&amp;" 6m GMV. "&amp;INDEX('NBA Library'!$G$4:$G$21,MATCH(AJ5,'NBA Library'!$A$4:$A$21,0))&amp;IF(LEFT(D5,1)="1"," Baseline: "&amp;V5&amp;" PDP views, "&amp;W5&amp;" app days, "&amp;X5&amp;" offers, "&amp;TEXT(J5/I5,"0%")&amp;" of orders self-serve.","")&amp;IF(AA5," Execution on HOLD until the Duplicate status is resolved.","")&amp;IF(Y5," Key account: explicit AM/leadership sign-off required before any migration activity.","")&amp;IF(AE5," Implied broker % from order counts would move this account to a different segment; review before automating.","")</f>
        <v>Key Broker-Reliant account (Account Managed); Stable momentum; Recently Active; £27,099 6m GMV. Key broker-reliant account with healthy spend. Technically a migration candidate, but downside risk is too large for automated initiation. Baseline: 3 PDP views, 8 app days, 2 offers, 37% of orders self-serve. Key account: explicit AM/leadership sign-off required before any migration activity.</v>
      </c>
      <c r="AP5" s="2" t="str">
        <f aca="false">INDEX('NBA Library'!$E$4:$E$21,MATCH(AJ5,'NBA Library'!$A$4:$A$21,0))&amp;IF(AND(AJ5="NEW_CUSTOMER",AG5),"; introduce Make-an-Offer on items already browsed","")</f>
        <v>If approved: gradual shift to independent discovery with AM retained; otherwise keep current service model</v>
      </c>
      <c r="AQ5" s="2" t="str">
        <f aca="false">INDEX('NBA Library'!$F$4:$F$21,MATCH(AJ5,'NBA Library'!$A$4:$A$21,0))</f>
        <v>Sign-off decision logged; if approved, as Phase 1 with a stricter GMV guardrail</v>
      </c>
      <c r="AR5" s="2" t="str">
        <f aca="false">IF(AND(F5="Low",OR(G5="Growing",G5="Stable"),P5="Recently Active",U5&lt;&gt;"Mixed",OR(AK5="Discovery-to-Offer Enablement",AK5="Reinforce Successful Behaviour"),AM5="Ready — Automated",OR(E5&lt;&gt;"Tail",S5)),"Range Expansion Test — trial "&amp;IF(U5="Bundle-only","handpick","bundles")&amp;" (experimental; not proven to lift GMV)","")</f>
        <v/>
      </c>
      <c r="AS5" s="2" t="str">
        <f aca="false">IF(AK5&lt;&gt;"Automated Nurture","",IF(AJ5="DORMANT_LOW_VALUE","Dormant",IF(AJ5="RISING_TAIL_EARLY","Rising tail – early pattern",IF(Q5="New Customer","New customer onboarding",IF(Q5="Returned Customer","Returned customer",IF(G5="Lapsed","Dormant",IF(T5="Engaged, not converting","Engaged, not converting",IF(T5="One-off low-touch buyer","One-off purchaser",IF(T5="Light-touch repeat buyer","Light-touch repeat buyer","Standard long tail")))))))))</f>
        <v/>
      </c>
      <c r="AT5" s="2" t="str">
        <f aca="false">IF(AA5,"CRITICAL_DATA_BLOCKER; ","")&amp;IF(Y5,"KEY_SIGNOFF; ","")&amp;IF(Z5="Manual Review","PHASE1_MANUAL_REVIEW; ","")&amp;IF(AND(LEFT(D5,1)="1",AZ5="Lumpy"),"LUMPY_CADENCE; ","")&amp;IF(AB5,"BORDERLINE_MOMENTUM; ","")&amp;IF(AC5,"FEB_SENSITIVE; ","")&amp;IF(AD5,"MATERIAL_BROKER_INCONSISTENCY"&amp;IF(AE5," (segment would change)","")&amp;"; ","")&amp;IF(AND(I5&gt;=3,O5&gt;0),IF(AI5&gt;=Assumptions!$B$75,"H2_SINGLE_MONTH_SPIKE; ",""),"")&amp;IF(AND(M5&gt;0,N5=0),"NO_FEB_GMV (Feb unconfirmed); ","")&amp;IF(AF5,"LOW_CONFIDENCE; ","")</f>
        <v>KEY_SIGNOFF; BORDERLINE_MOMENTUM; </v>
      </c>
      <c r="AU5" s="2" t="n">
        <f aca="false">IF(LEFT(D5,1)="1",V5,"")</f>
        <v>3</v>
      </c>
      <c r="AV5" s="10" t="b">
        <f aca="false">IF(LEFT(D5,1)="1",V5&gt;=Assumptions!$B$58,"")</f>
        <v>0</v>
      </c>
      <c r="AW5" s="2" t="n">
        <f aca="false">IF(LEFT(D5,1)="1",W5,"")</f>
        <v>8</v>
      </c>
      <c r="AX5" s="2" t="n">
        <f aca="false">IF(LEFT(D5,1)="1",X5,"")</f>
        <v>2</v>
      </c>
      <c r="AY5" s="17" t="n">
        <f aca="false">IF(LEFT(D5,1)="1",J5/I5,"")</f>
        <v>0.368421052631579</v>
      </c>
      <c r="AZ5" s="2" t="str">
        <f aca="false">IF(LEFT(D5,1)="1",IF(AND(K5&gt;=Assumptions!$B$83,I5&gt;=Assumptions!$B$84),"Regular","Lumpy"),"")</f>
        <v>Regular</v>
      </c>
      <c r="BA5" s="2" t="n">
        <f aca="false">IF(LEFT(D5,1)="1",ROUND(6/K5,0),"")</f>
        <v>1</v>
      </c>
      <c r="BB5" s="2" t="str">
        <f aca="false">IF(LEFT(D5,1)="1",IF(AZ5="Regular","Regular buyer: expected ~£"&amp;TEXT(H5/2,"#,##0")&amp;" per 90 days. At Risk if GMV to date &lt; "&amp;TEXT(Assumptions!$B$81,"0%")&amp;" of pro-rated expectation, checked from day "&amp;Assumptions!$B$82&amp;". Human-reviewed.","Irregular buyer ("&amp;I5&amp;" orders across "&amp;K5&amp;" months): no numeric GMV threshold. At Risk if no order within ~"&amp;BA5&amp;" month(s); AM reviews at day "&amp;Assumptions!$B$82&amp;" and "&amp;Assumptions!$B$85&amp;"."),"")</f>
        <v>Regular buyer: expected ~£13,550 per 90 days. At Risk if GMV to date &lt; 70% of pro-rated expectation, checked from day 45. Human-reviewed.</v>
      </c>
      <c r="BC5" s="18"/>
      <c r="BD5" s="18"/>
      <c r="BE5" s="18"/>
      <c r="BF5" s="18"/>
      <c r="BG5" s="18"/>
      <c r="BH5" s="18"/>
      <c r="BI5" s="18"/>
      <c r="BJ5" s="2" t="str">
        <f aca="false">IF(OR(NOT(LEFT(D5,1)="1"),BC5=""),"",IF(AZ5="Regular",AND(BC5&gt;=Assumptions!$B$82,N(BI5)&lt;Assumptions!$B$81*H5/180*BC5),AND(BC5&gt;=BA5*30,N(BG5)=0)))</f>
        <v/>
      </c>
      <c r="BK5" s="2" t="str">
        <f aca="false">IF(NOT(LEFT(D5,1)="1"),"N/A",IF(BC5="","Baseline",IF(BJ5,"At Risk",IF(AND(N(BD5)&gt;=Assumptions!$B$78,N(BE5)&gt;=Assumptions!$B$79,N(BH5)&gt;=1,N(BH5)/MAX(N(BG5),1)&gt;AY5),"Self-Serve Capability Demonstrated",IF(OR(N(BD5)&gt;=Assumptions!$B$76,N(BE5)&gt;=Assumptions!$B$77),"Progressing",IF(BC5&gt;=Assumptions!$B$85,"At Risk","Baseline"))))))</f>
        <v>Baseline</v>
      </c>
      <c r="BL5" s="2" t="n">
        <f aca="false">(AND(C5="Broker-Reliant",OR(AK5="Discovery-to-Offer Enablement",AK5="Reinforce Successful Behaviour")))*1+(AND(G5="Declining",E5&lt;&gt;"Tail",AL5="Automated"))*1+(AND(Y5,AM5&lt;&gt;"Human Sign-Off Required"))*1+(AND(AA5,AM5&lt;&gt;"HOLD — Critical Data Issue"))*1+(AND(P5="Recent Inactivity",OR(AK5="Discovery-to-Offer Enablement",AK5="Reinforce Successful Behaviour")))*1+(AND(OR(LEFT(D5,1)="2",LEFT(D5,1)="3",LEFT(D5,1)="8"),AL5="Automated"))*1+((LEFT(D5,1)="1")&lt;&gt;(AK5="Guided Self-Serve Migration"))*1+(AND(AR5&lt;&gt;"",OR(F5&lt;&gt;"Low",U5="Mixed",AND(G5&lt;&gt;"Growing",G5&lt;&gt;"Stable"))))*1+ISNUMBER(SEARCH("chat",AP5))*1+ISNUMBER(SEARCH("video",AP5))*1+(AND(AA5,AL5="Automated",AM5&lt;&gt;"HOLD — Critical Data Issue"))*1</f>
        <v>0</v>
      </c>
    </row>
    <row r="6" customFormat="false" ht="15" hidden="false" customHeight="false" outlineLevel="0" collapsed="false">
      <c r="A6" s="2" t="s">
        <v>113</v>
      </c>
      <c r="B6" s="2" t="str">
        <f aca="false">INDEX(Segmentation!$B$2:$B$301,MATCH($A6,Segmentation!$A$2:$A$301,0))</f>
        <v>Account Managed</v>
      </c>
      <c r="C6" s="2" t="str">
        <f aca="false">INDEX(Segmentation!$H$2:$H$301,MATCH($A6,Segmentation!$A$2:$A$301,0))</f>
        <v>Broker-Reliant</v>
      </c>
      <c r="D6" s="2" t="str">
        <f aca="false">INDEX(Segmentation!$T$2:$T$301,MATCH($A6,Segmentation!$A$2:$A$301,0))</f>
        <v>2. Protect / Retain First</v>
      </c>
      <c r="E6" s="2" t="str">
        <f aca="false">INDEX(Segmentation!$J$2:$J$301,MATCH($A6,Segmentation!$A$2:$A$301,0))</f>
        <v>Key</v>
      </c>
      <c r="F6" s="2" t="str">
        <f aca="false">INDEX(Segmentation!$G$2:$G$301,MATCH($A6,Segmentation!$A$2:$A$301,0))</f>
        <v>Medium</v>
      </c>
      <c r="G6" s="2" t="str">
        <f aca="false">INDEX(Segmentation!$N$2:$N$301,MATCH($A6,Segmentation!$A$2:$A$301,0))</f>
        <v>Declining</v>
      </c>
      <c r="H6" s="9" t="n">
        <f aca="false">INDEX(Segmentation!$I$2:$I$301,MATCH($A6,Segmentation!$A$2:$A$301,0))</f>
        <v>24555</v>
      </c>
      <c r="I6" s="2" t="n">
        <f aca="false">INDEX(Segmentation!$O$2:$O$301,MATCH($A6,Segmentation!$A$2:$A$301,0))</f>
        <v>14</v>
      </c>
      <c r="J6" s="2" t="n">
        <f aca="false">INDEX(Segmentation!$Q$2:$Q$301,MATCH($A6,Segmentation!$A$2:$A$301,0))</f>
        <v>7</v>
      </c>
      <c r="K6" s="2" t="n">
        <f aca="false">INDEX(Segmentation!$W$2:$W$301,MATCH($A6,Segmentation!$A$2:$A$301,0))</f>
        <v>5</v>
      </c>
      <c r="L6" s="9" t="n">
        <f aca="false">INDEX('Commercial View'!$L$2:$L$301,MATCH($A6,'Commercial View'!$A$2:$A$301,0))</f>
        <v>2886</v>
      </c>
      <c r="M6" s="9" t="n">
        <f aca="false">INDEX('Commercial View'!$M$2:$M$301,MATCH($A6,'Commercial View'!$A$2:$A$301,0))</f>
        <v>0</v>
      </c>
      <c r="N6" s="9" t="n">
        <f aca="false">INDEX('Commercial View'!$N$2:$N$301,MATCH($A6,'Commercial View'!$A$2:$A$301,0))</f>
        <v>4139</v>
      </c>
      <c r="O6" s="9" t="n">
        <f aca="false">INDEX(Segmentation!$L$2:$L$301,MATCH($A6,Segmentation!$A$2:$A$301,0))</f>
        <v>7025</v>
      </c>
      <c r="P6" s="2" t="str">
        <f aca="false">IF(OR(M6&gt;0,N6&gt;0),"Recently Active",IF(OR(I6&lt;=Assumptions!$B$48,K6&lt;=Assumptions!$B$49),"No Meaningful History","Recent Inactivity"))</f>
        <v>Recently Active</v>
      </c>
      <c r="Q6" s="2" t="str">
        <f aca="false">INDEX(Segmentation!$AF$2:$AF$301,MATCH($A6,Segmentation!$A$2:$A$301,0))</f>
        <v>Existing Customer</v>
      </c>
      <c r="R6" s="2" t="str">
        <f aca="false">INDEX(Segmentation!$AL$2:$AL$301,MATCH($A6,Segmentation!$A$2:$A$301,0))</f>
        <v>N/A</v>
      </c>
      <c r="S6" s="10" t="b">
        <f aca="false">INDEX(Segmentation!$AW$2:$AW$301,MATCH($A6,Segmentation!$A$2:$A$301,0))</f>
        <v>0</v>
      </c>
      <c r="T6" s="2" t="str">
        <f aca="false">INDEX('Feature Data'!$AD$2:$AD$301,MATCH($A6,'Feature Data'!$A$2:$A$301,0))</f>
        <v>Broker-led, product-blind</v>
      </c>
      <c r="U6" s="2" t="str">
        <f aca="false">INDEX('Feature Data'!$W$2:$W$301,MATCH($A6,'Feature Data'!$A$2:$A$301,0))</f>
        <v>Mixed</v>
      </c>
      <c r="V6" s="2" t="n">
        <f aca="false">INDEX('Feature Data'!$P$2:$P$301,MATCH($A6,'Feature Data'!$A$2:$A$301,0))</f>
        <v>10</v>
      </c>
      <c r="W6" s="2" t="n">
        <f aca="false">INDEX(Segmentation!$R$2:$R$301,MATCH($A6,Segmentation!$A$2:$A$301,0))</f>
        <v>8</v>
      </c>
      <c r="X6" s="2" t="n">
        <f aca="false">INDEX(Segmentation!$S$2:$S$301,MATCH($A6,Segmentation!$A$2:$A$301,0))</f>
        <v>1</v>
      </c>
      <c r="Y6" s="10" t="b">
        <f aca="false">INDEX(Segmentation!$AG$2:$AG$301,MATCH($A6,Segmentation!$A$2:$A$301,0))</f>
        <v>0</v>
      </c>
      <c r="Z6" s="2" t="str">
        <f aca="false">INDEX(Segmentation!$AU$2:$AU$301,MATCH($A6,Segmentation!$A$2:$A$301,0))</f>
        <v>Not Eligible</v>
      </c>
      <c r="AA6" s="10" t="b">
        <f aca="false">INDEX(Segmentation!$Z$2:$Z$301,MATCH($A6,Segmentation!$A$2:$A$301,0))</f>
        <v>1</v>
      </c>
      <c r="AB6" s="10" t="b">
        <f aca="false">INDEX(Segmentation!$AH$2:$AH$301,MATCH($A6,Segmentation!$A$2:$A$301,0))</f>
        <v>0</v>
      </c>
      <c r="AC6" s="10" t="b">
        <f aca="false">INDEX(Segmentation!$AK$2:$AK$301,MATCH($A6,Segmentation!$A$2:$A$301,0))</f>
        <v>0</v>
      </c>
      <c r="AD6" s="10" t="b">
        <f aca="false">INDEX(Segmentation!$AQ$2:$AQ$301,MATCH($A6,Segmentation!$A$2:$A$301,0))</f>
        <v>0</v>
      </c>
      <c r="AE6" s="10" t="b">
        <f aca="false">INDEX(Segmentation!$AT$2:$AT$301,MATCH($A6,Segmentation!$A$2:$A$301,0))</f>
        <v>0</v>
      </c>
      <c r="AF6" s="10" t="b">
        <f aca="false">INDEX(Segmentation!$X$2:$X$301,MATCH($A6,Segmentation!$A$2:$A$301,0))</f>
        <v>0</v>
      </c>
      <c r="AG6" s="10" t="b">
        <f aca="false">AND(F6="Low",V6&gt;=Assumptions!$B$71,X6&lt;Assumptions!$B$72)</f>
        <v>0</v>
      </c>
      <c r="AH6" s="10" t="b">
        <f aca="false">AND(F6="Low",OR(G6="Growing",G6="Stable"),P6="Recently Active",V6&gt;=Assumptions!$B$58,K6&gt;=Assumptions!$B$73)</f>
        <v>0</v>
      </c>
      <c r="AI6" s="17" t="n">
        <f aca="false">IF(O6&gt;0,MAX(L6:N6)/O6,"")</f>
        <v>0.589181494661922</v>
      </c>
      <c r="AJ6" s="2" t="str">
        <f aca="false">IF(LEFT(D6,1)="1",IF(E6="Key","MIGRATION_KEY_SIGNOFF",IF(Z6="Ready","MIGRATION_PHASE1_READY",IF(Z6="Manual Review","MIGRATION_PHASE1_REVIEW","MIGRATION_PRE_ENTRY"))),IF(LEFT(D6,1)="2","DECLINING_KEY_CORE",IF(LEFT(D6,1)="3",IF(R6="Established Buyer Lapsed","LAPSED_ESTABLISHED","LAPSED_THIN_HISTORY"),IF(LEFT(D6,1)="4",IF(Q6="New Customer","NEW_CUSTOMER","RETURNED_CUSTOMER"),IF(LEFT(D6,1)="5",IF(P6="Recently Active","COST_TO_SERVE_ACTIVE","DORMANT_LOW_VALUE"),IF(LEFT(D6,1)="6",IF(P6="Recent Inactivity","RECENT_INACTIVITY",IF(AG6,"BROWSING_LOW_OFFERS","HEALTHY_STRONG_SELF_SERVE")),IF(LEFT(D6,1)="7",IF(P6="Recent Inactivity","RECENT_INACTIVITY",IF(Q6="New Customer","NEW_CUSTOMER","RETURNED_CUSTOMER")),IF(LEFT(D6,1)="8",IF(G6="Declining",IF(T6="Engaged but shrinking (Key/Core)","ENGAGED_BUT_SHRINKING","DECLINING_KEY_CORE"),IF(R6="Established Buyer Lapsed","LAPSED_ESTABLISHED","LAPSED_THIN_HISTORY")),IF(S6,IF(P6&lt;&gt;"Recently Active","DORMANT_LOW_VALUE",IF(AG6,"BROWSING_LOW_OFFERS",IF(AH6,"RISING_TAIL","RISING_TAIL_EARLY"))),IF(AND(AG6,P6="Recently Active",OR(G6="Growing",G6="Stable",G6="H2 Active / No H1 GMV"),I6&gt;=Assumptions!$B$74),"BROWSING_LOW_OFFERS","LONG_TAIL_STANDARD"))))))))))</f>
        <v>DECLINING_KEY_CORE</v>
      </c>
      <c r="AK6" s="2" t="str">
        <f aca="false">INDEX('NBA Library'!$B$4:$B$21,MATCH(AJ6,'NBA Library'!$A$4:$A$21,0))</f>
        <v>Retention Conversation</v>
      </c>
      <c r="AL6" s="2" t="str">
        <f aca="false">INDEX('NBA Library'!$C$4:$C$21,MATCH(AJ6,'NBA Library'!$A$4:$A$21,0))</f>
        <v>Human</v>
      </c>
      <c r="AM6" s="2" t="str">
        <f aca="false">IF(AA6,"HOLD — Critical Data Issue",IF(Y6,"Human Sign-Off Required",IF(Z6="Manual Review","Human Review Required",IF(AND(AL6="Automated",OR(AE6,AND(OR(AK6="Discovery-to-Offer Enablement",AK6="Reinforce Successful Behaviour"),OR(AC6,AB6)))),"Human Review Required",IF(AL6="Human","Ready — Human",IF(AL6="Hybrid","Ready — Hybrid","Ready — Automated"))))))</f>
        <v>HOLD — Critical Data Issue</v>
      </c>
      <c r="AN6" s="2" t="str">
        <f aca="false">IF(AA6,"P0",IF(AND(AJ6="BROWSING_LOW_OFFERS",E6="Tail"),"P3",IF(AND(AM6="Human Review Required",INDEX('NBA Library'!$D$4:$D$21,MATCH(AJ6,'NBA Library'!$A$4:$A$21,0))="P4"),"P3",INDEX('NBA Library'!$D$4:$D$21,MATCH(AJ6,'NBA Library'!$A$4:$A$21,0)))))</f>
        <v>P0</v>
      </c>
      <c r="AO6" s="2" t="str">
        <f aca="false">E6&amp;" "&amp;C6&amp;" account ("&amp;B6&amp;"); "&amp;G6&amp;" momentum; "&amp;P6&amp;"; £"&amp;TEXT(H6,"#,##0")&amp;" 6m GMV. "&amp;INDEX('NBA Library'!$G$4:$G$21,MATCH(AJ6,'NBA Library'!$A$4:$A$21,0))&amp;IF(LEFT(D6,1)="1"," Baseline: "&amp;V6&amp;" PDP views, "&amp;W6&amp;" app days, "&amp;X6&amp;" offers, "&amp;TEXT(J6/I6,"0%")&amp;" of orders self-serve.","")&amp;IF(AA6," Execution on HOLD until the Duplicate status is resolved.","")&amp;IF(Y6," Key account: explicit AM/leadership sign-off required before any migration activity.","")&amp;IF(AE6," Implied broker % from order counts would move this account to a different segment; review before automating.","")</f>
        <v>Key Broker-Reliant account (Account Managed); Declining momentum; Recently Active; £24,555 6m GMV. Broker-led spend is falling. Keep human support in place; AM to diagnose the cause before any migration or product nudge. Execution on HOLD until the Duplicate status is resolved.</v>
      </c>
      <c r="AP6" s="2" t="str">
        <f aca="false">INDEX('NBA Library'!$E$4:$E$21,MATCH(AJ6,'NBA Library'!$A$4:$A$21,0))&amp;IF(AND(AJ6="NEW_CUSTOMER",AG6),"; introduce Make-an-Offer on items already browsed","")</f>
        <v>AM diagnoses the cause of falling spend (supply, price, service, competitor) and agrees a recovery plan; keep human support in place</v>
      </c>
      <c r="AQ6" s="2" t="str">
        <f aca="false">INDEX('NBA Library'!$F$4:$F$21,MATCH(AJ6,'NBA Library'!$A$4:$A$21,0))</f>
        <v>Next 90-day GMV back to at least the Sep-Nov (H1) level, or decline arrested; root cause logged</v>
      </c>
      <c r="AR6" s="2" t="str">
        <f aca="false">IF(AND(F6="Low",OR(G6="Growing",G6="Stable"),P6="Recently Active",U6&lt;&gt;"Mixed",OR(AK6="Discovery-to-Offer Enablement",AK6="Reinforce Successful Behaviour"),AM6="Ready — Automated",OR(E6&lt;&gt;"Tail",S6)),"Range Expansion Test — trial "&amp;IF(U6="Bundle-only","handpick","bundles")&amp;" (experimental; not proven to lift GMV)","")</f>
        <v/>
      </c>
      <c r="AS6" s="2" t="str">
        <f aca="false">IF(AK6&lt;&gt;"Automated Nurture","",IF(AJ6="DORMANT_LOW_VALUE","Dormant",IF(AJ6="RISING_TAIL_EARLY","Rising tail – early pattern",IF(Q6="New Customer","New customer onboarding",IF(Q6="Returned Customer","Returned customer",IF(G6="Lapsed","Dormant",IF(T6="Engaged, not converting","Engaged, not converting",IF(T6="One-off low-touch buyer","One-off purchaser",IF(T6="Light-touch repeat buyer","Light-touch repeat buyer","Standard long tail")))))))))</f>
        <v/>
      </c>
      <c r="AT6" s="2" t="str">
        <f aca="false">IF(AA6,"CRITICAL_DATA_BLOCKER; ","")&amp;IF(Y6,"KEY_SIGNOFF; ","")&amp;IF(Z6="Manual Review","PHASE1_MANUAL_REVIEW; ","")&amp;IF(AND(LEFT(D6,1)="1",AZ6="Lumpy"),"LUMPY_CADENCE; ","")&amp;IF(AB6,"BORDERLINE_MOMENTUM; ","")&amp;IF(AC6,"FEB_SENSITIVE; ","")&amp;IF(AD6,"MATERIAL_BROKER_INCONSISTENCY"&amp;IF(AE6," (segment would change)","")&amp;"; ","")&amp;IF(AND(I6&gt;=3,O6&gt;0),IF(AI6&gt;=Assumptions!$B$75,"H2_SINGLE_MONTH_SPIKE; ",""),"")&amp;IF(AND(M6&gt;0,N6=0),"NO_FEB_GMV (Feb unconfirmed); ","")&amp;IF(AF6,"LOW_CONFIDENCE; ","")</f>
        <v>CRITICAL_DATA_BLOCKER; </v>
      </c>
      <c r="AU6" s="2" t="str">
        <f aca="false">IF(LEFT(D6,1)="1",V6,"")</f>
        <v/>
      </c>
      <c r="AV6" s="2" t="str">
        <f aca="false">IF(LEFT(D6,1)="1",V6&gt;=Assumptions!$B$58,"")</f>
        <v/>
      </c>
      <c r="AW6" s="2" t="str">
        <f aca="false">IF(LEFT(D6,1)="1",W6,"")</f>
        <v/>
      </c>
      <c r="AX6" s="2" t="str">
        <f aca="false">IF(LEFT(D6,1)="1",X6,"")</f>
        <v/>
      </c>
      <c r="AY6" s="17" t="str">
        <f aca="false">IF(LEFT(D6,1)="1",J6/I6,"")</f>
        <v/>
      </c>
      <c r="AZ6" s="2" t="str">
        <f aca="false">IF(LEFT(D6,1)="1",IF(AND(K6&gt;=Assumptions!$B$83,I6&gt;=Assumptions!$B$84),"Regular","Lumpy"),"")</f>
        <v/>
      </c>
      <c r="BA6" s="2" t="str">
        <f aca="false">IF(LEFT(D6,1)="1",ROUND(6/K6,0),"")</f>
        <v/>
      </c>
      <c r="BB6" s="2" t="str">
        <f aca="false">IF(LEFT(D6,1)="1",IF(AZ6="Regular","Regular buyer: expected ~£"&amp;TEXT(H6/2,"#,##0")&amp;" per 90 days. At Risk if GMV to date &lt; "&amp;TEXT(Assumptions!$B$81,"0%")&amp;" of pro-rated expectation, checked from day "&amp;Assumptions!$B$82&amp;". Human-reviewed.","Irregular buyer ("&amp;I6&amp;" orders across "&amp;K6&amp;" months): no numeric GMV threshold. At Risk if no order within ~"&amp;BA6&amp;" month(s); AM reviews at day "&amp;Assumptions!$B$82&amp;" and "&amp;Assumptions!$B$85&amp;"."),"")</f>
        <v/>
      </c>
      <c r="BC6" s="2"/>
      <c r="BD6" s="2"/>
      <c r="BE6" s="2"/>
      <c r="BF6" s="2"/>
      <c r="BG6" s="2"/>
      <c r="BH6" s="2"/>
      <c r="BI6" s="2"/>
      <c r="BJ6" s="2" t="str">
        <f aca="false">IF(OR(NOT(LEFT(D6,1)="1"),BC6=""),"",IF(AZ6="Regular",AND(BC6&gt;=Assumptions!$B$82,N(BI6)&lt;Assumptions!$B$81*H6/180*BC6),AND(BC6&gt;=BA6*30,N(BG6)=0)))</f>
        <v/>
      </c>
      <c r="BK6" s="2" t="str">
        <f aca="false">IF(NOT(LEFT(D6,1)="1"),"N/A",IF(BC6="","Baseline",IF(BJ6,"At Risk",IF(AND(N(BD6)&gt;=Assumptions!$B$78,N(BE6)&gt;=Assumptions!$B$79,N(BH6)&gt;=1,N(BH6)/MAX(N(BG6),1)&gt;AY6),"Self-Serve Capability Demonstrated",IF(OR(N(BD6)&gt;=Assumptions!$B$76,N(BE6)&gt;=Assumptions!$B$77),"Progressing",IF(BC6&gt;=Assumptions!$B$85,"At Risk","Baseline"))))))</f>
        <v>N/A</v>
      </c>
      <c r="BL6" s="2" t="n">
        <f aca="false">(AND(C6="Broker-Reliant",OR(AK6="Discovery-to-Offer Enablement",AK6="Reinforce Successful Behaviour")))*1+(AND(G6="Declining",E6&lt;&gt;"Tail",AL6="Automated"))*1+(AND(Y6,AM6&lt;&gt;"Human Sign-Off Required"))*1+(AND(AA6,AM6&lt;&gt;"HOLD — Critical Data Issue"))*1+(AND(P6="Recent Inactivity",OR(AK6="Discovery-to-Offer Enablement",AK6="Reinforce Successful Behaviour")))*1+(AND(OR(LEFT(D6,1)="2",LEFT(D6,1)="3",LEFT(D6,1)="8"),AL6="Automated"))*1+((LEFT(D6,1)="1")&lt;&gt;(AK6="Guided Self-Serve Migration"))*1+(AND(AR6&lt;&gt;"",OR(F6&lt;&gt;"Low",U6="Mixed",AND(G6&lt;&gt;"Growing",G6&lt;&gt;"Stable"))))*1+ISNUMBER(SEARCH("chat",AP6))*1+ISNUMBER(SEARCH("video",AP6))*1+(AND(AA6,AL6="Automated",AM6&lt;&gt;"HOLD — Critical Data Issue"))*1</f>
        <v>0</v>
      </c>
    </row>
    <row r="7" customFormat="false" ht="15" hidden="false" customHeight="false" outlineLevel="0" collapsed="false">
      <c r="A7" s="2" t="s">
        <v>335</v>
      </c>
      <c r="B7" s="2" t="str">
        <f aca="false">INDEX(Segmentation!$B$2:$B$301,MATCH($A7,Segmentation!$A$2:$A$301,0))</f>
        <v>Account Managed</v>
      </c>
      <c r="C7" s="2" t="str">
        <f aca="false">INDEX(Segmentation!$H$2:$H$301,MATCH($A7,Segmentation!$A$2:$A$301,0))</f>
        <v>Broker-Reliant</v>
      </c>
      <c r="D7" s="2" t="str">
        <f aca="false">INDEX(Segmentation!$T$2:$T$301,MATCH($A7,Segmentation!$A$2:$A$301,0))</f>
        <v>1. Migration Candidate</v>
      </c>
      <c r="E7" s="2" t="str">
        <f aca="false">INDEX(Segmentation!$J$2:$J$301,MATCH($A7,Segmentation!$A$2:$A$301,0))</f>
        <v>Key</v>
      </c>
      <c r="F7" s="2" t="str">
        <f aca="false">INDEX(Segmentation!$G$2:$G$301,MATCH($A7,Segmentation!$A$2:$A$301,0))</f>
        <v>High</v>
      </c>
      <c r="G7" s="2" t="str">
        <f aca="false">INDEX(Segmentation!$N$2:$N$301,MATCH($A7,Segmentation!$A$2:$A$301,0))</f>
        <v>Growing</v>
      </c>
      <c r="H7" s="9" t="n">
        <f aca="false">INDEX(Segmentation!$I$2:$I$301,MATCH($A7,Segmentation!$A$2:$A$301,0))</f>
        <v>23205</v>
      </c>
      <c r="I7" s="2" t="n">
        <f aca="false">INDEX(Segmentation!$O$2:$O$301,MATCH($A7,Segmentation!$A$2:$A$301,0))</f>
        <v>14</v>
      </c>
      <c r="J7" s="2" t="n">
        <f aca="false">INDEX(Segmentation!$Q$2:$Q$301,MATCH($A7,Segmentation!$A$2:$A$301,0))</f>
        <v>2</v>
      </c>
      <c r="K7" s="2" t="n">
        <f aca="false">INDEX(Segmentation!$W$2:$W$301,MATCH($A7,Segmentation!$A$2:$A$301,0))</f>
        <v>5</v>
      </c>
      <c r="L7" s="9" t="n">
        <f aca="false">INDEX('Commercial View'!$L$2:$L$301,MATCH($A7,'Commercial View'!$A$2:$A$301,0))</f>
        <v>3680</v>
      </c>
      <c r="M7" s="9" t="n">
        <f aca="false">INDEX('Commercial View'!$M$2:$M$301,MATCH($A7,'Commercial View'!$A$2:$A$301,0))</f>
        <v>5374</v>
      </c>
      <c r="N7" s="9" t="n">
        <f aca="false">INDEX('Commercial View'!$N$2:$N$301,MATCH($A7,'Commercial View'!$A$2:$A$301,0))</f>
        <v>5902</v>
      </c>
      <c r="O7" s="9" t="n">
        <f aca="false">INDEX(Segmentation!$L$2:$L$301,MATCH($A7,Segmentation!$A$2:$A$301,0))</f>
        <v>14956</v>
      </c>
      <c r="P7" s="2" t="str">
        <f aca="false">IF(OR(M7&gt;0,N7&gt;0),"Recently Active",IF(OR(I7&lt;=Assumptions!$B$48,K7&lt;=Assumptions!$B$49),"No Meaningful History","Recent Inactivity"))</f>
        <v>Recently Active</v>
      </c>
      <c r="Q7" s="2" t="str">
        <f aca="false">INDEX(Segmentation!$AF$2:$AF$301,MATCH($A7,Segmentation!$A$2:$A$301,0))</f>
        <v>Existing Customer</v>
      </c>
      <c r="R7" s="2" t="str">
        <f aca="false">INDEX(Segmentation!$AL$2:$AL$301,MATCH($A7,Segmentation!$A$2:$A$301,0))</f>
        <v>N/A</v>
      </c>
      <c r="S7" s="10" t="b">
        <f aca="false">INDEX(Segmentation!$AW$2:$AW$301,MATCH($A7,Segmentation!$A$2:$A$301,0))</f>
        <v>0</v>
      </c>
      <c r="T7" s="2" t="str">
        <f aca="false">INDEX('Feature Data'!$AD$2:$AD$301,MATCH($A7,'Feature Data'!$A$2:$A$301,0))</f>
        <v>Broker-led, product-blind</v>
      </c>
      <c r="U7" s="2" t="str">
        <f aca="false">INDEX('Feature Data'!$W$2:$W$301,MATCH($A7,'Feature Data'!$A$2:$A$301,0))</f>
        <v>Handpick-only</v>
      </c>
      <c r="V7" s="2" t="n">
        <f aca="false">INDEX('Feature Data'!$P$2:$P$301,MATCH($A7,'Feature Data'!$A$2:$A$301,0))</f>
        <v>8</v>
      </c>
      <c r="W7" s="2" t="n">
        <f aca="false">INDEX(Segmentation!$R$2:$R$301,MATCH($A7,Segmentation!$A$2:$A$301,0))</f>
        <v>3</v>
      </c>
      <c r="X7" s="2" t="n">
        <f aca="false">INDEX(Segmentation!$S$2:$S$301,MATCH($A7,Segmentation!$A$2:$A$301,0))</f>
        <v>1</v>
      </c>
      <c r="Y7" s="10" t="b">
        <f aca="false">INDEX(Segmentation!$AG$2:$AG$301,MATCH($A7,Segmentation!$A$2:$A$301,0))</f>
        <v>1</v>
      </c>
      <c r="Z7" s="2" t="str">
        <f aca="false">INDEX(Segmentation!$AU$2:$AU$301,MATCH($A7,Segmentation!$A$2:$A$301,0))</f>
        <v>Not Eligible</v>
      </c>
      <c r="AA7" s="10" t="b">
        <f aca="false">INDEX(Segmentation!$Z$2:$Z$301,MATCH($A7,Segmentation!$A$2:$A$301,0))</f>
        <v>0</v>
      </c>
      <c r="AB7" s="10" t="b">
        <f aca="false">INDEX(Segmentation!$AH$2:$AH$301,MATCH($A7,Segmentation!$A$2:$A$301,0))</f>
        <v>0</v>
      </c>
      <c r="AC7" s="10" t="b">
        <f aca="false">INDEX(Segmentation!$AK$2:$AK$301,MATCH($A7,Segmentation!$A$2:$A$301,0))</f>
        <v>0</v>
      </c>
      <c r="AD7" s="10" t="b">
        <f aca="false">INDEX(Segmentation!$AQ$2:$AQ$301,MATCH($A7,Segmentation!$A$2:$A$301,0))</f>
        <v>0</v>
      </c>
      <c r="AE7" s="10" t="b">
        <f aca="false">INDEX(Segmentation!$AT$2:$AT$301,MATCH($A7,Segmentation!$A$2:$A$301,0))</f>
        <v>0</v>
      </c>
      <c r="AF7" s="10" t="b">
        <f aca="false">INDEX(Segmentation!$X$2:$X$301,MATCH($A7,Segmentation!$A$2:$A$301,0))</f>
        <v>0</v>
      </c>
      <c r="AG7" s="10" t="b">
        <f aca="false">AND(F7="Low",V7&gt;=Assumptions!$B$71,X7&lt;Assumptions!$B$72)</f>
        <v>0</v>
      </c>
      <c r="AH7" s="10" t="b">
        <f aca="false">AND(F7="Low",OR(G7="Growing",G7="Stable"),P7="Recently Active",V7&gt;=Assumptions!$B$58,K7&gt;=Assumptions!$B$73)</f>
        <v>0</v>
      </c>
      <c r="AI7" s="17" t="n">
        <f aca="false">IF(O7&gt;0,MAX(L7:N7)/O7,"")</f>
        <v>0.394624231077828</v>
      </c>
      <c r="AJ7" s="2" t="str">
        <f aca="false">IF(LEFT(D7,1)="1",IF(E7="Key","MIGRATION_KEY_SIGNOFF",IF(Z7="Ready","MIGRATION_PHASE1_READY",IF(Z7="Manual Review","MIGRATION_PHASE1_REVIEW","MIGRATION_PRE_ENTRY"))),IF(LEFT(D7,1)="2","DECLINING_KEY_CORE",IF(LEFT(D7,1)="3",IF(R7="Established Buyer Lapsed","LAPSED_ESTABLISHED","LAPSED_THIN_HISTORY"),IF(LEFT(D7,1)="4",IF(Q7="New Customer","NEW_CUSTOMER","RETURNED_CUSTOMER"),IF(LEFT(D7,1)="5",IF(P7="Recently Active","COST_TO_SERVE_ACTIVE","DORMANT_LOW_VALUE"),IF(LEFT(D7,1)="6",IF(P7="Recent Inactivity","RECENT_INACTIVITY",IF(AG7,"BROWSING_LOW_OFFERS","HEALTHY_STRONG_SELF_SERVE")),IF(LEFT(D7,1)="7",IF(P7="Recent Inactivity","RECENT_INACTIVITY",IF(Q7="New Customer","NEW_CUSTOMER","RETURNED_CUSTOMER")),IF(LEFT(D7,1)="8",IF(G7="Declining",IF(T7="Engaged but shrinking (Key/Core)","ENGAGED_BUT_SHRINKING","DECLINING_KEY_CORE"),IF(R7="Established Buyer Lapsed","LAPSED_ESTABLISHED","LAPSED_THIN_HISTORY")),IF(S7,IF(P7&lt;&gt;"Recently Active","DORMANT_LOW_VALUE",IF(AG7,"BROWSING_LOW_OFFERS",IF(AH7,"RISING_TAIL","RISING_TAIL_EARLY"))),IF(AND(AG7,P7="Recently Active",OR(G7="Growing",G7="Stable",G7="H2 Active / No H1 GMV"),I7&gt;=Assumptions!$B$74),"BROWSING_LOW_OFFERS","LONG_TAIL_STANDARD"))))))))))</f>
        <v>MIGRATION_KEY_SIGNOFF</v>
      </c>
      <c r="AK7" s="2" t="str">
        <f aca="false">INDEX('NBA Library'!$B$4:$B$21,MATCH(AJ7,'NBA Library'!$A$4:$A$21,0))</f>
        <v>Guided Self-Serve Migration</v>
      </c>
      <c r="AL7" s="2" t="str">
        <f aca="false">INDEX('NBA Library'!$C$4:$C$21,MATCH(AJ7,'NBA Library'!$A$4:$A$21,0))</f>
        <v>Hybrid</v>
      </c>
      <c r="AM7" s="2" t="str">
        <f aca="false">IF(AA7,"HOLD — Critical Data Issue",IF(Y7,"Human Sign-Off Required",IF(Z7="Manual Review","Human Review Required",IF(AND(AL7="Automated",OR(AE7,AND(OR(AK7="Discovery-to-Offer Enablement",AK7="Reinforce Successful Behaviour"),OR(AC7,AB7)))),"Human Review Required",IF(AL7="Human","Ready — Human",IF(AL7="Hybrid","Ready — Hybrid","Ready — Automated"))))))</f>
        <v>Human Sign-Off Required</v>
      </c>
      <c r="AN7" s="2" t="str">
        <f aca="false">IF(AA7,"P0",IF(AND(AJ7="BROWSING_LOW_OFFERS",E7="Tail"),"P3",IF(AND(AM7="Human Review Required",INDEX('NBA Library'!$D$4:$D$21,MATCH(AJ7,'NBA Library'!$A$4:$A$21,0))="P4"),"P3",INDEX('NBA Library'!$D$4:$D$21,MATCH(AJ7,'NBA Library'!$A$4:$A$21,0)))))</f>
        <v>P2</v>
      </c>
      <c r="AO7" s="2" t="str">
        <f aca="false">E7&amp;" "&amp;C7&amp;" account ("&amp;B7&amp;"); "&amp;G7&amp;" momentum; "&amp;P7&amp;"; £"&amp;TEXT(H7,"#,##0")&amp;" 6m GMV. "&amp;INDEX('NBA Library'!$G$4:$G$21,MATCH(AJ7,'NBA Library'!$A$4:$A$21,0))&amp;IF(LEFT(D7,1)="1"," Baseline: "&amp;V7&amp;" PDP views, "&amp;W7&amp;" app days, "&amp;X7&amp;" offers, "&amp;TEXT(J7/I7,"0%")&amp;" of orders self-serve.","")&amp;IF(AA7," Execution on HOLD until the Duplicate status is resolved.","")&amp;IF(Y7," Key account: explicit AM/leadership sign-off required before any migration activity.","")&amp;IF(AE7," Implied broker % from order counts would move this account to a different segment; review before automating.","")</f>
        <v>Key Broker-Reliant account (Account Managed); Growing momentum; Recently Active; £23,205 6m GMV. Key broker-reliant account with healthy spend. Technically a migration candidate, but downside risk is too large for automated initiation. Baseline: 8 PDP views, 3 app days, 1 offers, 14% of orders self-serve. Key account: explicit AM/leadership sign-off required before any migration activity.</v>
      </c>
      <c r="AP7" s="2" t="str">
        <f aca="false">INDEX('NBA Library'!$E$4:$E$21,MATCH(AJ7,'NBA Library'!$A$4:$A$21,0))&amp;IF(AND(AJ7="NEW_CUSTOMER",AG7),"; introduce Make-an-Offer on items already browsed","")</f>
        <v>If approved: gradual shift to independent discovery with AM retained; otherwise keep current service model</v>
      </c>
      <c r="AQ7" s="2" t="str">
        <f aca="false">INDEX('NBA Library'!$F$4:$F$21,MATCH(AJ7,'NBA Library'!$A$4:$A$21,0))</f>
        <v>Sign-off decision logged; if approved, as Phase 1 with a stricter GMV guardrail</v>
      </c>
      <c r="AR7" s="2" t="str">
        <f aca="false">IF(AND(F7="Low",OR(G7="Growing",G7="Stable"),P7="Recently Active",U7&lt;&gt;"Mixed",OR(AK7="Discovery-to-Offer Enablement",AK7="Reinforce Successful Behaviour"),AM7="Ready — Automated",OR(E7&lt;&gt;"Tail",S7)),"Range Expansion Test — trial "&amp;IF(U7="Bundle-only","handpick","bundles")&amp;" (experimental; not proven to lift GMV)","")</f>
        <v/>
      </c>
      <c r="AS7" s="2" t="str">
        <f aca="false">IF(AK7&lt;&gt;"Automated Nurture","",IF(AJ7="DORMANT_LOW_VALUE","Dormant",IF(AJ7="RISING_TAIL_EARLY","Rising tail – early pattern",IF(Q7="New Customer","New customer onboarding",IF(Q7="Returned Customer","Returned customer",IF(G7="Lapsed","Dormant",IF(T7="Engaged, not converting","Engaged, not converting",IF(T7="One-off low-touch buyer","One-off purchaser",IF(T7="Light-touch repeat buyer","Light-touch repeat buyer","Standard long tail")))))))))</f>
        <v/>
      </c>
      <c r="AT7" s="2" t="str">
        <f aca="false">IF(AA7,"CRITICAL_DATA_BLOCKER; ","")&amp;IF(Y7,"KEY_SIGNOFF; ","")&amp;IF(Z7="Manual Review","PHASE1_MANUAL_REVIEW; ","")&amp;IF(AND(LEFT(D7,1)="1",AZ7="Lumpy"),"LUMPY_CADENCE; ","")&amp;IF(AB7,"BORDERLINE_MOMENTUM; ","")&amp;IF(AC7,"FEB_SENSITIVE; ","")&amp;IF(AD7,"MATERIAL_BROKER_INCONSISTENCY"&amp;IF(AE7," (segment would change)","")&amp;"; ","")&amp;IF(AND(I7&gt;=3,O7&gt;0),IF(AI7&gt;=Assumptions!$B$75,"H2_SINGLE_MONTH_SPIKE; ",""),"")&amp;IF(AND(M7&gt;0,N7=0),"NO_FEB_GMV (Feb unconfirmed); ","")&amp;IF(AF7,"LOW_CONFIDENCE; ","")</f>
        <v>KEY_SIGNOFF; </v>
      </c>
      <c r="AU7" s="2" t="n">
        <f aca="false">IF(LEFT(D7,1)="1",V7,"")</f>
        <v>8</v>
      </c>
      <c r="AV7" s="10" t="b">
        <f aca="false">IF(LEFT(D7,1)="1",V7&gt;=Assumptions!$B$58,"")</f>
        <v>0</v>
      </c>
      <c r="AW7" s="2" t="n">
        <f aca="false">IF(LEFT(D7,1)="1",W7,"")</f>
        <v>3</v>
      </c>
      <c r="AX7" s="2" t="n">
        <f aca="false">IF(LEFT(D7,1)="1",X7,"")</f>
        <v>1</v>
      </c>
      <c r="AY7" s="17" t="n">
        <f aca="false">IF(LEFT(D7,1)="1",J7/I7,"")</f>
        <v>0.142857142857143</v>
      </c>
      <c r="AZ7" s="2" t="str">
        <f aca="false">IF(LEFT(D7,1)="1",IF(AND(K7&gt;=Assumptions!$B$83,I7&gt;=Assumptions!$B$84),"Regular","Lumpy"),"")</f>
        <v>Regular</v>
      </c>
      <c r="BA7" s="2" t="n">
        <f aca="false">IF(LEFT(D7,1)="1",ROUND(6/K7,0),"")</f>
        <v>1</v>
      </c>
      <c r="BB7" s="2" t="str">
        <f aca="false">IF(LEFT(D7,1)="1",IF(AZ7="Regular","Regular buyer: expected ~£"&amp;TEXT(H7/2,"#,##0")&amp;" per 90 days. At Risk if GMV to date &lt; "&amp;TEXT(Assumptions!$B$81,"0%")&amp;" of pro-rated expectation, checked from day "&amp;Assumptions!$B$82&amp;". Human-reviewed.","Irregular buyer ("&amp;I7&amp;" orders across "&amp;K7&amp;" months): no numeric GMV threshold. At Risk if no order within ~"&amp;BA7&amp;" month(s); AM reviews at day "&amp;Assumptions!$B$82&amp;" and "&amp;Assumptions!$B$85&amp;"."),"")</f>
        <v>Regular buyer: expected ~£11,603 per 90 days. At Risk if GMV to date &lt; 70% of pro-rated expectation, checked from day 45. Human-reviewed.</v>
      </c>
      <c r="BC7" s="18"/>
      <c r="BD7" s="18"/>
      <c r="BE7" s="18"/>
      <c r="BF7" s="18"/>
      <c r="BG7" s="18"/>
      <c r="BH7" s="18"/>
      <c r="BI7" s="18"/>
      <c r="BJ7" s="2" t="str">
        <f aca="false">IF(OR(NOT(LEFT(D7,1)="1"),BC7=""),"",IF(AZ7="Regular",AND(BC7&gt;=Assumptions!$B$82,N(BI7)&lt;Assumptions!$B$81*H7/180*BC7),AND(BC7&gt;=BA7*30,N(BG7)=0)))</f>
        <v/>
      </c>
      <c r="BK7" s="2" t="str">
        <f aca="false">IF(NOT(LEFT(D7,1)="1"),"N/A",IF(BC7="","Baseline",IF(BJ7,"At Risk",IF(AND(N(BD7)&gt;=Assumptions!$B$78,N(BE7)&gt;=Assumptions!$B$79,N(BH7)&gt;=1,N(BH7)/MAX(N(BG7),1)&gt;AY7),"Self-Serve Capability Demonstrated",IF(OR(N(BD7)&gt;=Assumptions!$B$76,N(BE7)&gt;=Assumptions!$B$77),"Progressing",IF(BC7&gt;=Assumptions!$B$85,"At Risk","Baseline"))))))</f>
        <v>Baseline</v>
      </c>
      <c r="BL7" s="2" t="n">
        <f aca="false">(AND(C7="Broker-Reliant",OR(AK7="Discovery-to-Offer Enablement",AK7="Reinforce Successful Behaviour")))*1+(AND(G7="Declining",E7&lt;&gt;"Tail",AL7="Automated"))*1+(AND(Y7,AM7&lt;&gt;"Human Sign-Off Required"))*1+(AND(AA7,AM7&lt;&gt;"HOLD — Critical Data Issue"))*1+(AND(P7="Recent Inactivity",OR(AK7="Discovery-to-Offer Enablement",AK7="Reinforce Successful Behaviour")))*1+(AND(OR(LEFT(D7,1)="2",LEFT(D7,1)="3",LEFT(D7,1)="8"),AL7="Automated"))*1+((LEFT(D7,1)="1")&lt;&gt;(AK7="Guided Self-Serve Migration"))*1+(AND(AR7&lt;&gt;"",OR(F7&lt;&gt;"Low",U7="Mixed",AND(G7&lt;&gt;"Growing",G7&lt;&gt;"Stable"))))*1+ISNUMBER(SEARCH("chat",AP7))*1+ISNUMBER(SEARCH("video",AP7))*1+(AND(AA7,AL7="Automated",AM7&lt;&gt;"HOLD — Critical Data Issue"))*1</f>
        <v>0</v>
      </c>
    </row>
    <row r="8" customFormat="false" ht="15" hidden="false" customHeight="false" outlineLevel="0" collapsed="false">
      <c r="A8" s="2" t="s">
        <v>339</v>
      </c>
      <c r="B8" s="2" t="str">
        <f aca="false">INDEX(Segmentation!$B$2:$B$301,MATCH($A8,Segmentation!$A$2:$A$301,0))</f>
        <v>Account Managed</v>
      </c>
      <c r="C8" s="2" t="str">
        <f aca="false">INDEX(Segmentation!$H$2:$H$301,MATCH($A8,Segmentation!$A$2:$A$301,0))</f>
        <v>Broker-Reliant</v>
      </c>
      <c r="D8" s="2" t="str">
        <f aca="false">INDEX(Segmentation!$T$2:$T$301,MATCH($A8,Segmentation!$A$2:$A$301,0))</f>
        <v>1. Migration Candidate</v>
      </c>
      <c r="E8" s="2" t="str">
        <f aca="false">INDEX(Segmentation!$J$2:$J$301,MATCH($A8,Segmentation!$A$2:$A$301,0))</f>
        <v>Key</v>
      </c>
      <c r="F8" s="2" t="str">
        <f aca="false">INDEX(Segmentation!$G$2:$G$301,MATCH($A8,Segmentation!$A$2:$A$301,0))</f>
        <v>High</v>
      </c>
      <c r="G8" s="2" t="str">
        <f aca="false">INDEX(Segmentation!$N$2:$N$301,MATCH($A8,Segmentation!$A$2:$A$301,0))</f>
        <v>Growing</v>
      </c>
      <c r="H8" s="9" t="n">
        <f aca="false">INDEX(Segmentation!$I$2:$I$301,MATCH($A8,Segmentation!$A$2:$A$301,0))</f>
        <v>22089</v>
      </c>
      <c r="I8" s="2" t="n">
        <f aca="false">INDEX(Segmentation!$O$2:$O$301,MATCH($A8,Segmentation!$A$2:$A$301,0))</f>
        <v>23</v>
      </c>
      <c r="J8" s="2" t="n">
        <f aca="false">INDEX(Segmentation!$Q$2:$Q$301,MATCH($A8,Segmentation!$A$2:$A$301,0))</f>
        <v>6</v>
      </c>
      <c r="K8" s="2" t="n">
        <f aca="false">INDEX(Segmentation!$W$2:$W$301,MATCH($A8,Segmentation!$A$2:$A$301,0))</f>
        <v>5</v>
      </c>
      <c r="L8" s="9" t="n">
        <f aca="false">INDEX('Commercial View'!$L$2:$L$301,MATCH($A8,'Commercial View'!$A$2:$A$301,0))</f>
        <v>7891</v>
      </c>
      <c r="M8" s="9" t="n">
        <f aca="false">INDEX('Commercial View'!$M$2:$M$301,MATCH($A8,'Commercial View'!$A$2:$A$301,0))</f>
        <v>3259</v>
      </c>
      <c r="N8" s="9" t="n">
        <f aca="false">INDEX('Commercial View'!$N$2:$N$301,MATCH($A8,'Commercial View'!$A$2:$A$301,0))</f>
        <v>5415</v>
      </c>
      <c r="O8" s="9" t="n">
        <f aca="false">INDEX(Segmentation!$L$2:$L$301,MATCH($A8,Segmentation!$A$2:$A$301,0))</f>
        <v>16565</v>
      </c>
      <c r="P8" s="2" t="str">
        <f aca="false">IF(OR(M8&gt;0,N8&gt;0),"Recently Active",IF(OR(I8&lt;=Assumptions!$B$48,K8&lt;=Assumptions!$B$49),"No Meaningful History","Recent Inactivity"))</f>
        <v>Recently Active</v>
      </c>
      <c r="Q8" s="2" t="str">
        <f aca="false">INDEX(Segmentation!$AF$2:$AF$301,MATCH($A8,Segmentation!$A$2:$A$301,0))</f>
        <v>Existing Customer</v>
      </c>
      <c r="R8" s="2" t="str">
        <f aca="false">INDEX(Segmentation!$AL$2:$AL$301,MATCH($A8,Segmentation!$A$2:$A$301,0))</f>
        <v>N/A</v>
      </c>
      <c r="S8" s="10" t="b">
        <f aca="false">INDEX(Segmentation!$AW$2:$AW$301,MATCH($A8,Segmentation!$A$2:$A$301,0))</f>
        <v>0</v>
      </c>
      <c r="T8" s="2" t="str">
        <f aca="false">INDEX('Feature Data'!$AD$2:$AD$301,MATCH($A8,'Feature Data'!$A$2:$A$301,0))</f>
        <v>Broker-led, product-blind</v>
      </c>
      <c r="U8" s="2" t="str">
        <f aca="false">INDEX('Feature Data'!$W$2:$W$301,MATCH($A8,'Feature Data'!$A$2:$A$301,0))</f>
        <v>Mixed</v>
      </c>
      <c r="V8" s="2" t="n">
        <f aca="false">INDEX('Feature Data'!$P$2:$P$301,MATCH($A8,'Feature Data'!$A$2:$A$301,0))</f>
        <v>1</v>
      </c>
      <c r="W8" s="2" t="n">
        <f aca="false">INDEX(Segmentation!$R$2:$R$301,MATCH($A8,Segmentation!$A$2:$A$301,0))</f>
        <v>1</v>
      </c>
      <c r="X8" s="2" t="n">
        <f aca="false">INDEX(Segmentation!$S$2:$S$301,MATCH($A8,Segmentation!$A$2:$A$301,0))</f>
        <v>0</v>
      </c>
      <c r="Y8" s="10" t="b">
        <f aca="false">INDEX(Segmentation!$AG$2:$AG$301,MATCH($A8,Segmentation!$A$2:$A$301,0))</f>
        <v>1</v>
      </c>
      <c r="Z8" s="2" t="str">
        <f aca="false">INDEX(Segmentation!$AU$2:$AU$301,MATCH($A8,Segmentation!$A$2:$A$301,0))</f>
        <v>Not Eligible</v>
      </c>
      <c r="AA8" s="10" t="b">
        <f aca="false">INDEX(Segmentation!$Z$2:$Z$301,MATCH($A8,Segmentation!$A$2:$A$301,0))</f>
        <v>0</v>
      </c>
      <c r="AB8" s="10" t="b">
        <f aca="false">INDEX(Segmentation!$AH$2:$AH$301,MATCH($A8,Segmentation!$A$2:$A$301,0))</f>
        <v>0</v>
      </c>
      <c r="AC8" s="10" t="b">
        <f aca="false">INDEX(Segmentation!$AK$2:$AK$301,MATCH($A8,Segmentation!$A$2:$A$301,0))</f>
        <v>0</v>
      </c>
      <c r="AD8" s="10" t="b">
        <f aca="false">INDEX(Segmentation!$AQ$2:$AQ$301,MATCH($A8,Segmentation!$A$2:$A$301,0))</f>
        <v>0</v>
      </c>
      <c r="AE8" s="10" t="b">
        <f aca="false">INDEX(Segmentation!$AT$2:$AT$301,MATCH($A8,Segmentation!$A$2:$A$301,0))</f>
        <v>0</v>
      </c>
      <c r="AF8" s="10" t="b">
        <f aca="false">INDEX(Segmentation!$X$2:$X$301,MATCH($A8,Segmentation!$A$2:$A$301,0))</f>
        <v>0</v>
      </c>
      <c r="AG8" s="10" t="b">
        <f aca="false">AND(F8="Low",V8&gt;=Assumptions!$B$71,X8&lt;Assumptions!$B$72)</f>
        <v>0</v>
      </c>
      <c r="AH8" s="10" t="b">
        <f aca="false">AND(F8="Low",OR(G8="Growing",G8="Stable"),P8="Recently Active",V8&gt;=Assumptions!$B$58,K8&gt;=Assumptions!$B$73)</f>
        <v>0</v>
      </c>
      <c r="AI8" s="17" t="n">
        <f aca="false">IF(O8&gt;0,MAX(L8:N8)/O8,"")</f>
        <v>0.476365831572593</v>
      </c>
      <c r="AJ8" s="2" t="str">
        <f aca="false">IF(LEFT(D8,1)="1",IF(E8="Key","MIGRATION_KEY_SIGNOFF",IF(Z8="Ready","MIGRATION_PHASE1_READY",IF(Z8="Manual Review","MIGRATION_PHASE1_REVIEW","MIGRATION_PRE_ENTRY"))),IF(LEFT(D8,1)="2","DECLINING_KEY_CORE",IF(LEFT(D8,1)="3",IF(R8="Established Buyer Lapsed","LAPSED_ESTABLISHED","LAPSED_THIN_HISTORY"),IF(LEFT(D8,1)="4",IF(Q8="New Customer","NEW_CUSTOMER","RETURNED_CUSTOMER"),IF(LEFT(D8,1)="5",IF(P8="Recently Active","COST_TO_SERVE_ACTIVE","DORMANT_LOW_VALUE"),IF(LEFT(D8,1)="6",IF(P8="Recent Inactivity","RECENT_INACTIVITY",IF(AG8,"BROWSING_LOW_OFFERS","HEALTHY_STRONG_SELF_SERVE")),IF(LEFT(D8,1)="7",IF(P8="Recent Inactivity","RECENT_INACTIVITY",IF(Q8="New Customer","NEW_CUSTOMER","RETURNED_CUSTOMER")),IF(LEFT(D8,1)="8",IF(G8="Declining",IF(T8="Engaged but shrinking (Key/Core)","ENGAGED_BUT_SHRINKING","DECLINING_KEY_CORE"),IF(R8="Established Buyer Lapsed","LAPSED_ESTABLISHED","LAPSED_THIN_HISTORY")),IF(S8,IF(P8&lt;&gt;"Recently Active","DORMANT_LOW_VALUE",IF(AG8,"BROWSING_LOW_OFFERS",IF(AH8,"RISING_TAIL","RISING_TAIL_EARLY"))),IF(AND(AG8,P8="Recently Active",OR(G8="Growing",G8="Stable",G8="H2 Active / No H1 GMV"),I8&gt;=Assumptions!$B$74),"BROWSING_LOW_OFFERS","LONG_TAIL_STANDARD"))))))))))</f>
        <v>MIGRATION_KEY_SIGNOFF</v>
      </c>
      <c r="AK8" s="2" t="str">
        <f aca="false">INDEX('NBA Library'!$B$4:$B$21,MATCH(AJ8,'NBA Library'!$A$4:$A$21,0))</f>
        <v>Guided Self-Serve Migration</v>
      </c>
      <c r="AL8" s="2" t="str">
        <f aca="false">INDEX('NBA Library'!$C$4:$C$21,MATCH(AJ8,'NBA Library'!$A$4:$A$21,0))</f>
        <v>Hybrid</v>
      </c>
      <c r="AM8" s="2" t="str">
        <f aca="false">IF(AA8,"HOLD — Critical Data Issue",IF(Y8,"Human Sign-Off Required",IF(Z8="Manual Review","Human Review Required",IF(AND(AL8="Automated",OR(AE8,AND(OR(AK8="Discovery-to-Offer Enablement",AK8="Reinforce Successful Behaviour"),OR(AC8,AB8)))),"Human Review Required",IF(AL8="Human","Ready — Human",IF(AL8="Hybrid","Ready — Hybrid","Ready — Automated"))))))</f>
        <v>Human Sign-Off Required</v>
      </c>
      <c r="AN8" s="2" t="str">
        <f aca="false">IF(AA8,"P0",IF(AND(AJ8="BROWSING_LOW_OFFERS",E8="Tail"),"P3",IF(AND(AM8="Human Review Required",INDEX('NBA Library'!$D$4:$D$21,MATCH(AJ8,'NBA Library'!$A$4:$A$21,0))="P4"),"P3",INDEX('NBA Library'!$D$4:$D$21,MATCH(AJ8,'NBA Library'!$A$4:$A$21,0)))))</f>
        <v>P2</v>
      </c>
      <c r="AO8" s="2" t="str">
        <f aca="false">E8&amp;" "&amp;C8&amp;" account ("&amp;B8&amp;"); "&amp;G8&amp;" momentum; "&amp;P8&amp;"; £"&amp;TEXT(H8,"#,##0")&amp;" 6m GMV. "&amp;INDEX('NBA Library'!$G$4:$G$21,MATCH(AJ8,'NBA Library'!$A$4:$A$21,0))&amp;IF(LEFT(D8,1)="1"," Baseline: "&amp;V8&amp;" PDP views, "&amp;W8&amp;" app days, "&amp;X8&amp;" offers, "&amp;TEXT(J8/I8,"0%")&amp;" of orders self-serve.","")&amp;IF(AA8," Execution on HOLD until the Duplicate status is resolved.","")&amp;IF(Y8," Key account: explicit AM/leadership sign-off required before any migration activity.","")&amp;IF(AE8," Implied broker % from order counts would move this account to a different segment; review before automating.","")</f>
        <v>Key Broker-Reliant account (Account Managed); Growing momentum; Recently Active; £22,089 6m GMV. Key broker-reliant account with healthy spend. Technically a migration candidate, but downside risk is too large for automated initiation. Baseline: 1 PDP views, 1 app days, 0 offers, 26% of orders self-serve. Key account: explicit AM/leadership sign-off required before any migration activity.</v>
      </c>
      <c r="AP8" s="2" t="str">
        <f aca="false">INDEX('NBA Library'!$E$4:$E$21,MATCH(AJ8,'NBA Library'!$A$4:$A$21,0))&amp;IF(AND(AJ8="NEW_CUSTOMER",AG8),"; introduce Make-an-Offer on items already browsed","")</f>
        <v>If approved: gradual shift to independent discovery with AM retained; otherwise keep current service model</v>
      </c>
      <c r="AQ8" s="2" t="str">
        <f aca="false">INDEX('NBA Library'!$F$4:$F$21,MATCH(AJ8,'NBA Library'!$A$4:$A$21,0))</f>
        <v>Sign-off decision logged; if approved, as Phase 1 with a stricter GMV guardrail</v>
      </c>
      <c r="AR8" s="2" t="str">
        <f aca="false">IF(AND(F8="Low",OR(G8="Growing",G8="Stable"),P8="Recently Active",U8&lt;&gt;"Mixed",OR(AK8="Discovery-to-Offer Enablement",AK8="Reinforce Successful Behaviour"),AM8="Ready — Automated",OR(E8&lt;&gt;"Tail",S8)),"Range Expansion Test — trial "&amp;IF(U8="Bundle-only","handpick","bundles")&amp;" (experimental; not proven to lift GMV)","")</f>
        <v/>
      </c>
      <c r="AS8" s="2" t="str">
        <f aca="false">IF(AK8&lt;&gt;"Automated Nurture","",IF(AJ8="DORMANT_LOW_VALUE","Dormant",IF(AJ8="RISING_TAIL_EARLY","Rising tail – early pattern",IF(Q8="New Customer","New customer onboarding",IF(Q8="Returned Customer","Returned customer",IF(G8="Lapsed","Dormant",IF(T8="Engaged, not converting","Engaged, not converting",IF(T8="One-off low-touch buyer","One-off purchaser",IF(T8="Light-touch repeat buyer","Light-touch repeat buyer","Standard long tail")))))))))</f>
        <v/>
      </c>
      <c r="AT8" s="2" t="str">
        <f aca="false">IF(AA8,"CRITICAL_DATA_BLOCKER; ","")&amp;IF(Y8,"KEY_SIGNOFF; ","")&amp;IF(Z8="Manual Review","PHASE1_MANUAL_REVIEW; ","")&amp;IF(AND(LEFT(D8,1)="1",AZ8="Lumpy"),"LUMPY_CADENCE; ","")&amp;IF(AB8,"BORDERLINE_MOMENTUM; ","")&amp;IF(AC8,"FEB_SENSITIVE; ","")&amp;IF(AD8,"MATERIAL_BROKER_INCONSISTENCY"&amp;IF(AE8," (segment would change)","")&amp;"; ","")&amp;IF(AND(I8&gt;=3,O8&gt;0),IF(AI8&gt;=Assumptions!$B$75,"H2_SINGLE_MONTH_SPIKE; ",""),"")&amp;IF(AND(M8&gt;0,N8=0),"NO_FEB_GMV (Feb unconfirmed); ","")&amp;IF(AF8,"LOW_CONFIDENCE; ","")</f>
        <v>KEY_SIGNOFF; </v>
      </c>
      <c r="AU8" s="2" t="n">
        <f aca="false">IF(LEFT(D8,1)="1",V8,"")</f>
        <v>1</v>
      </c>
      <c r="AV8" s="10" t="b">
        <f aca="false">IF(LEFT(D8,1)="1",V8&gt;=Assumptions!$B$58,"")</f>
        <v>0</v>
      </c>
      <c r="AW8" s="2" t="n">
        <f aca="false">IF(LEFT(D8,1)="1",W8,"")</f>
        <v>1</v>
      </c>
      <c r="AX8" s="2" t="n">
        <f aca="false">IF(LEFT(D8,1)="1",X8,"")</f>
        <v>0</v>
      </c>
      <c r="AY8" s="17" t="n">
        <f aca="false">IF(LEFT(D8,1)="1",J8/I8,"")</f>
        <v>0.260869565217391</v>
      </c>
      <c r="AZ8" s="2" t="str">
        <f aca="false">IF(LEFT(D8,1)="1",IF(AND(K8&gt;=Assumptions!$B$83,I8&gt;=Assumptions!$B$84),"Regular","Lumpy"),"")</f>
        <v>Regular</v>
      </c>
      <c r="BA8" s="2" t="n">
        <f aca="false">IF(LEFT(D8,1)="1",ROUND(6/K8,0),"")</f>
        <v>1</v>
      </c>
      <c r="BB8" s="2" t="str">
        <f aca="false">IF(LEFT(D8,1)="1",IF(AZ8="Regular","Regular buyer: expected ~£"&amp;TEXT(H8/2,"#,##0")&amp;" per 90 days. At Risk if GMV to date &lt; "&amp;TEXT(Assumptions!$B$81,"0%")&amp;" of pro-rated expectation, checked from day "&amp;Assumptions!$B$82&amp;". Human-reviewed.","Irregular buyer ("&amp;I8&amp;" orders across "&amp;K8&amp;" months): no numeric GMV threshold. At Risk if no order within ~"&amp;BA8&amp;" month(s); AM reviews at day "&amp;Assumptions!$B$82&amp;" and "&amp;Assumptions!$B$85&amp;"."),"")</f>
        <v>Regular buyer: expected ~£11,045 per 90 days. At Risk if GMV to date &lt; 70% of pro-rated expectation, checked from day 45. Human-reviewed.</v>
      </c>
      <c r="BC8" s="18"/>
      <c r="BD8" s="18"/>
      <c r="BE8" s="18"/>
      <c r="BF8" s="18"/>
      <c r="BG8" s="18"/>
      <c r="BH8" s="18"/>
      <c r="BI8" s="18"/>
      <c r="BJ8" s="2" t="str">
        <f aca="false">IF(OR(NOT(LEFT(D8,1)="1"),BC8=""),"",IF(AZ8="Regular",AND(BC8&gt;=Assumptions!$B$82,N(BI8)&lt;Assumptions!$B$81*H8/180*BC8),AND(BC8&gt;=BA8*30,N(BG8)=0)))</f>
        <v/>
      </c>
      <c r="BK8" s="2" t="str">
        <f aca="false">IF(NOT(LEFT(D8,1)="1"),"N/A",IF(BC8="","Baseline",IF(BJ8,"At Risk",IF(AND(N(BD8)&gt;=Assumptions!$B$78,N(BE8)&gt;=Assumptions!$B$79,N(BH8)&gt;=1,N(BH8)/MAX(N(BG8),1)&gt;AY8),"Self-Serve Capability Demonstrated",IF(OR(N(BD8)&gt;=Assumptions!$B$76,N(BE8)&gt;=Assumptions!$B$77),"Progressing",IF(BC8&gt;=Assumptions!$B$85,"At Risk","Baseline"))))))</f>
        <v>Baseline</v>
      </c>
      <c r="BL8" s="2" t="n">
        <f aca="false">(AND(C8="Broker-Reliant",OR(AK8="Discovery-to-Offer Enablement",AK8="Reinforce Successful Behaviour")))*1+(AND(G8="Declining",E8&lt;&gt;"Tail",AL8="Automated"))*1+(AND(Y8,AM8&lt;&gt;"Human Sign-Off Required"))*1+(AND(AA8,AM8&lt;&gt;"HOLD — Critical Data Issue"))*1+(AND(P8="Recent Inactivity",OR(AK8="Discovery-to-Offer Enablement",AK8="Reinforce Successful Behaviour")))*1+(AND(OR(LEFT(D8,1)="2",LEFT(D8,1)="3",LEFT(D8,1)="8"),AL8="Automated"))*1+((LEFT(D8,1)="1")&lt;&gt;(AK8="Guided Self-Serve Migration"))*1+(AND(AR8&lt;&gt;"",OR(F8&lt;&gt;"Low",U8="Mixed",AND(G8&lt;&gt;"Growing",G8&lt;&gt;"Stable"))))*1+ISNUMBER(SEARCH("chat",AP8))*1+ISNUMBER(SEARCH("video",AP8))*1+(AND(AA8,AL8="Automated",AM8&lt;&gt;"HOLD — Critical Data Issue"))*1</f>
        <v>0</v>
      </c>
    </row>
    <row r="9" customFormat="false" ht="15" hidden="false" customHeight="false" outlineLevel="0" collapsed="false">
      <c r="A9" s="2" t="s">
        <v>161</v>
      </c>
      <c r="B9" s="2" t="str">
        <f aca="false">INDEX(Segmentation!$B$2:$B$301,MATCH($A9,Segmentation!$A$2:$A$301,0))</f>
        <v>Account Managed</v>
      </c>
      <c r="C9" s="2" t="str">
        <f aca="false">INDEX(Segmentation!$H$2:$H$301,MATCH($A9,Segmentation!$A$2:$A$301,0))</f>
        <v>Broker-Reliant</v>
      </c>
      <c r="D9" s="2" t="str">
        <f aca="false">INDEX(Segmentation!$T$2:$T$301,MATCH($A9,Segmentation!$A$2:$A$301,0))</f>
        <v>2. Protect / Retain First</v>
      </c>
      <c r="E9" s="2" t="str">
        <f aca="false">INDEX(Segmentation!$J$2:$J$301,MATCH($A9,Segmentation!$A$2:$A$301,0))</f>
        <v>Key</v>
      </c>
      <c r="F9" s="2" t="str">
        <f aca="false">INDEX(Segmentation!$G$2:$G$301,MATCH($A9,Segmentation!$A$2:$A$301,0))</f>
        <v>High</v>
      </c>
      <c r="G9" s="2" t="str">
        <f aca="false">INDEX(Segmentation!$N$2:$N$301,MATCH($A9,Segmentation!$A$2:$A$301,0))</f>
        <v>Declining</v>
      </c>
      <c r="H9" s="9" t="n">
        <f aca="false">INDEX(Segmentation!$I$2:$I$301,MATCH($A9,Segmentation!$A$2:$A$301,0))</f>
        <v>19265</v>
      </c>
      <c r="I9" s="2" t="n">
        <f aca="false">INDEX(Segmentation!$O$2:$O$301,MATCH($A9,Segmentation!$A$2:$A$301,0))</f>
        <v>16</v>
      </c>
      <c r="J9" s="2" t="n">
        <f aca="false">INDEX(Segmentation!$Q$2:$Q$301,MATCH($A9,Segmentation!$A$2:$A$301,0))</f>
        <v>3</v>
      </c>
      <c r="K9" s="2" t="n">
        <f aca="false">INDEX(Segmentation!$W$2:$W$301,MATCH($A9,Segmentation!$A$2:$A$301,0))</f>
        <v>5</v>
      </c>
      <c r="L9" s="9" t="n">
        <f aca="false">INDEX('Commercial View'!$L$2:$L$301,MATCH($A9,'Commercial View'!$A$2:$A$301,0))</f>
        <v>6095</v>
      </c>
      <c r="M9" s="9" t="n">
        <f aca="false">INDEX('Commercial View'!$M$2:$M$301,MATCH($A9,'Commercial View'!$A$2:$A$301,0))</f>
        <v>0</v>
      </c>
      <c r="N9" s="9" t="n">
        <f aca="false">INDEX('Commercial View'!$N$2:$N$301,MATCH($A9,'Commercial View'!$A$2:$A$301,0))</f>
        <v>713</v>
      </c>
      <c r="O9" s="9" t="n">
        <f aca="false">INDEX(Segmentation!$L$2:$L$301,MATCH($A9,Segmentation!$A$2:$A$301,0))</f>
        <v>6808</v>
      </c>
      <c r="P9" s="2" t="str">
        <f aca="false">IF(OR(M9&gt;0,N9&gt;0),"Recently Active",IF(OR(I9&lt;=Assumptions!$B$48,K9&lt;=Assumptions!$B$49),"No Meaningful History","Recent Inactivity"))</f>
        <v>Recently Active</v>
      </c>
      <c r="Q9" s="2" t="str">
        <f aca="false">INDEX(Segmentation!$AF$2:$AF$301,MATCH($A9,Segmentation!$A$2:$A$301,0))</f>
        <v>Existing Customer</v>
      </c>
      <c r="R9" s="2" t="str">
        <f aca="false">INDEX(Segmentation!$AL$2:$AL$301,MATCH($A9,Segmentation!$A$2:$A$301,0))</f>
        <v>N/A</v>
      </c>
      <c r="S9" s="10" t="b">
        <f aca="false">INDEX(Segmentation!$AW$2:$AW$301,MATCH($A9,Segmentation!$A$2:$A$301,0))</f>
        <v>0</v>
      </c>
      <c r="T9" s="2" t="str">
        <f aca="false">INDEX('Feature Data'!$AD$2:$AD$301,MATCH($A9,'Feature Data'!$A$2:$A$301,0))</f>
        <v>Broker-led, product-blind</v>
      </c>
      <c r="U9" s="2" t="str">
        <f aca="false">INDEX('Feature Data'!$W$2:$W$301,MATCH($A9,'Feature Data'!$A$2:$A$301,0))</f>
        <v>Mixed</v>
      </c>
      <c r="V9" s="2" t="n">
        <f aca="false">INDEX('Feature Data'!$P$2:$P$301,MATCH($A9,'Feature Data'!$A$2:$A$301,0))</f>
        <v>13</v>
      </c>
      <c r="W9" s="2" t="n">
        <f aca="false">INDEX(Segmentation!$R$2:$R$301,MATCH($A9,Segmentation!$A$2:$A$301,0))</f>
        <v>4</v>
      </c>
      <c r="X9" s="2" t="n">
        <f aca="false">INDEX(Segmentation!$S$2:$S$301,MATCH($A9,Segmentation!$A$2:$A$301,0))</f>
        <v>0</v>
      </c>
      <c r="Y9" s="10" t="b">
        <f aca="false">INDEX(Segmentation!$AG$2:$AG$301,MATCH($A9,Segmentation!$A$2:$A$301,0))</f>
        <v>0</v>
      </c>
      <c r="Z9" s="2" t="str">
        <f aca="false">INDEX(Segmentation!$AU$2:$AU$301,MATCH($A9,Segmentation!$A$2:$A$301,0))</f>
        <v>Not Eligible</v>
      </c>
      <c r="AA9" s="10" t="b">
        <f aca="false">INDEX(Segmentation!$Z$2:$Z$301,MATCH($A9,Segmentation!$A$2:$A$301,0))</f>
        <v>0</v>
      </c>
      <c r="AB9" s="10" t="b">
        <f aca="false">INDEX(Segmentation!$AH$2:$AH$301,MATCH($A9,Segmentation!$A$2:$A$301,0))</f>
        <v>0</v>
      </c>
      <c r="AC9" s="10" t="b">
        <f aca="false">INDEX(Segmentation!$AK$2:$AK$301,MATCH($A9,Segmentation!$A$2:$A$301,0))</f>
        <v>0</v>
      </c>
      <c r="AD9" s="10" t="b">
        <f aca="false">INDEX(Segmentation!$AQ$2:$AQ$301,MATCH($A9,Segmentation!$A$2:$A$301,0))</f>
        <v>0</v>
      </c>
      <c r="AE9" s="10" t="b">
        <f aca="false">INDEX(Segmentation!$AT$2:$AT$301,MATCH($A9,Segmentation!$A$2:$A$301,0))</f>
        <v>0</v>
      </c>
      <c r="AF9" s="10" t="b">
        <f aca="false">INDEX(Segmentation!$X$2:$X$301,MATCH($A9,Segmentation!$A$2:$A$301,0))</f>
        <v>0</v>
      </c>
      <c r="AG9" s="10" t="b">
        <f aca="false">AND(F9="Low",V9&gt;=Assumptions!$B$71,X9&lt;Assumptions!$B$72)</f>
        <v>0</v>
      </c>
      <c r="AH9" s="10" t="b">
        <f aca="false">AND(F9="Low",OR(G9="Growing",G9="Stable"),P9="Recently Active",V9&gt;=Assumptions!$B$58,K9&gt;=Assumptions!$B$73)</f>
        <v>0</v>
      </c>
      <c r="AI9" s="17" t="n">
        <f aca="false">IF(O9&gt;0,MAX(L9:N9)/O9,"")</f>
        <v>0.89527027027027</v>
      </c>
      <c r="AJ9" s="2" t="str">
        <f aca="false">IF(LEFT(D9,1)="1",IF(E9="Key","MIGRATION_KEY_SIGNOFF",IF(Z9="Ready","MIGRATION_PHASE1_READY",IF(Z9="Manual Review","MIGRATION_PHASE1_REVIEW","MIGRATION_PRE_ENTRY"))),IF(LEFT(D9,1)="2","DECLINING_KEY_CORE",IF(LEFT(D9,1)="3",IF(R9="Established Buyer Lapsed","LAPSED_ESTABLISHED","LAPSED_THIN_HISTORY"),IF(LEFT(D9,1)="4",IF(Q9="New Customer","NEW_CUSTOMER","RETURNED_CUSTOMER"),IF(LEFT(D9,1)="5",IF(P9="Recently Active","COST_TO_SERVE_ACTIVE","DORMANT_LOW_VALUE"),IF(LEFT(D9,1)="6",IF(P9="Recent Inactivity","RECENT_INACTIVITY",IF(AG9,"BROWSING_LOW_OFFERS","HEALTHY_STRONG_SELF_SERVE")),IF(LEFT(D9,1)="7",IF(P9="Recent Inactivity","RECENT_INACTIVITY",IF(Q9="New Customer","NEW_CUSTOMER","RETURNED_CUSTOMER")),IF(LEFT(D9,1)="8",IF(G9="Declining",IF(T9="Engaged but shrinking (Key/Core)","ENGAGED_BUT_SHRINKING","DECLINING_KEY_CORE"),IF(R9="Established Buyer Lapsed","LAPSED_ESTABLISHED","LAPSED_THIN_HISTORY")),IF(S9,IF(P9&lt;&gt;"Recently Active","DORMANT_LOW_VALUE",IF(AG9,"BROWSING_LOW_OFFERS",IF(AH9,"RISING_TAIL","RISING_TAIL_EARLY"))),IF(AND(AG9,P9="Recently Active",OR(G9="Growing",G9="Stable",G9="H2 Active / No H1 GMV"),I9&gt;=Assumptions!$B$74),"BROWSING_LOW_OFFERS","LONG_TAIL_STANDARD"))))))))))</f>
        <v>DECLINING_KEY_CORE</v>
      </c>
      <c r="AK9" s="2" t="str">
        <f aca="false">INDEX('NBA Library'!$B$4:$B$21,MATCH(AJ9,'NBA Library'!$A$4:$A$21,0))</f>
        <v>Retention Conversation</v>
      </c>
      <c r="AL9" s="2" t="str">
        <f aca="false">INDEX('NBA Library'!$C$4:$C$21,MATCH(AJ9,'NBA Library'!$A$4:$A$21,0))</f>
        <v>Human</v>
      </c>
      <c r="AM9" s="2" t="str">
        <f aca="false">IF(AA9,"HOLD — Critical Data Issue",IF(Y9,"Human Sign-Off Required",IF(Z9="Manual Review","Human Review Required",IF(AND(AL9="Automated",OR(AE9,AND(OR(AK9="Discovery-to-Offer Enablement",AK9="Reinforce Successful Behaviour"),OR(AC9,AB9)))),"Human Review Required",IF(AL9="Human","Ready — Human",IF(AL9="Hybrid","Ready — Hybrid","Ready — Automated"))))))</f>
        <v>Ready — Human</v>
      </c>
      <c r="AN9" s="2" t="str">
        <f aca="false">IF(AA9,"P0",IF(AND(AJ9="BROWSING_LOW_OFFERS",E9="Tail"),"P3",IF(AND(AM9="Human Review Required",INDEX('NBA Library'!$D$4:$D$21,MATCH(AJ9,'NBA Library'!$A$4:$A$21,0))="P4"),"P3",INDEX('NBA Library'!$D$4:$D$21,MATCH(AJ9,'NBA Library'!$A$4:$A$21,0)))))</f>
        <v>P1</v>
      </c>
      <c r="AO9" s="2" t="str">
        <f aca="false">E9&amp;" "&amp;C9&amp;" account ("&amp;B9&amp;"); "&amp;G9&amp;" momentum; "&amp;P9&amp;"; £"&amp;TEXT(H9,"#,##0")&amp;" 6m GMV. "&amp;INDEX('NBA Library'!$G$4:$G$21,MATCH(AJ9,'NBA Library'!$A$4:$A$21,0))&amp;IF(LEFT(D9,1)="1"," Baseline: "&amp;V9&amp;" PDP views, "&amp;W9&amp;" app days, "&amp;X9&amp;" offers, "&amp;TEXT(J9/I9,"0%")&amp;" of orders self-serve.","")&amp;IF(AA9," Execution on HOLD until the Duplicate status is resolved.","")&amp;IF(Y9," Key account: explicit AM/leadership sign-off required before any migration activity.","")&amp;IF(AE9," Implied broker % from order counts would move this account to a different segment; review before automating.","")</f>
        <v>Key Broker-Reliant account (Account Managed); Declining momentum; Recently Active; £19,265 6m GMV. Broker-led spend is falling. Keep human support in place; AM to diagnose the cause before any migration or product nudge.</v>
      </c>
      <c r="AP9" s="2" t="str">
        <f aca="false">INDEX('NBA Library'!$E$4:$E$21,MATCH(AJ9,'NBA Library'!$A$4:$A$21,0))&amp;IF(AND(AJ9="NEW_CUSTOMER",AG9),"; introduce Make-an-Offer on items already browsed","")</f>
        <v>AM diagnoses the cause of falling spend (supply, price, service, competitor) and agrees a recovery plan; keep human support in place</v>
      </c>
      <c r="AQ9" s="2" t="str">
        <f aca="false">INDEX('NBA Library'!$F$4:$F$21,MATCH(AJ9,'NBA Library'!$A$4:$A$21,0))</f>
        <v>Next 90-day GMV back to at least the Sep-Nov (H1) level, or decline arrested; root cause logged</v>
      </c>
      <c r="AR9" s="2" t="str">
        <f aca="false">IF(AND(F9="Low",OR(G9="Growing",G9="Stable"),P9="Recently Active",U9&lt;&gt;"Mixed",OR(AK9="Discovery-to-Offer Enablement",AK9="Reinforce Successful Behaviour"),AM9="Ready — Automated",OR(E9&lt;&gt;"Tail",S9)),"Range Expansion Test — trial "&amp;IF(U9="Bundle-only","handpick","bundles")&amp;" (experimental; not proven to lift GMV)","")</f>
        <v/>
      </c>
      <c r="AS9" s="2" t="str">
        <f aca="false">IF(AK9&lt;&gt;"Automated Nurture","",IF(AJ9="DORMANT_LOW_VALUE","Dormant",IF(AJ9="RISING_TAIL_EARLY","Rising tail – early pattern",IF(Q9="New Customer","New customer onboarding",IF(Q9="Returned Customer","Returned customer",IF(G9="Lapsed","Dormant",IF(T9="Engaged, not converting","Engaged, not converting",IF(T9="One-off low-touch buyer","One-off purchaser",IF(T9="Light-touch repeat buyer","Light-touch repeat buyer","Standard long tail")))))))))</f>
        <v/>
      </c>
      <c r="AT9" s="2" t="str">
        <f aca="false">IF(AA9,"CRITICAL_DATA_BLOCKER; ","")&amp;IF(Y9,"KEY_SIGNOFF; ","")&amp;IF(Z9="Manual Review","PHASE1_MANUAL_REVIEW; ","")&amp;IF(AND(LEFT(D9,1)="1",AZ9="Lumpy"),"LUMPY_CADENCE; ","")&amp;IF(AB9,"BORDERLINE_MOMENTUM; ","")&amp;IF(AC9,"FEB_SENSITIVE; ","")&amp;IF(AD9,"MATERIAL_BROKER_INCONSISTENCY"&amp;IF(AE9," (segment would change)","")&amp;"; ","")&amp;IF(AND(I9&gt;=3,O9&gt;0),IF(AI9&gt;=Assumptions!$B$75,"H2_SINGLE_MONTH_SPIKE; ",""),"")&amp;IF(AND(M9&gt;0,N9=0),"NO_FEB_GMV (Feb unconfirmed); ","")&amp;IF(AF9,"LOW_CONFIDENCE; ","")</f>
        <v>H2_SINGLE_MONTH_SPIKE; </v>
      </c>
      <c r="AU9" s="2" t="str">
        <f aca="false">IF(LEFT(D9,1)="1",V9,"")</f>
        <v/>
      </c>
      <c r="AV9" s="2" t="str">
        <f aca="false">IF(LEFT(D9,1)="1",V9&gt;=Assumptions!$B$58,"")</f>
        <v/>
      </c>
      <c r="AW9" s="2" t="str">
        <f aca="false">IF(LEFT(D9,1)="1",W9,"")</f>
        <v/>
      </c>
      <c r="AX9" s="2" t="str">
        <f aca="false">IF(LEFT(D9,1)="1",X9,"")</f>
        <v/>
      </c>
      <c r="AY9" s="17" t="str">
        <f aca="false">IF(LEFT(D9,1)="1",J9/I9,"")</f>
        <v/>
      </c>
      <c r="AZ9" s="2" t="str">
        <f aca="false">IF(LEFT(D9,1)="1",IF(AND(K9&gt;=Assumptions!$B$83,I9&gt;=Assumptions!$B$84),"Regular","Lumpy"),"")</f>
        <v/>
      </c>
      <c r="BA9" s="2" t="str">
        <f aca="false">IF(LEFT(D9,1)="1",ROUND(6/K9,0),"")</f>
        <v/>
      </c>
      <c r="BB9" s="2" t="str">
        <f aca="false">IF(LEFT(D9,1)="1",IF(AZ9="Regular","Regular buyer: expected ~£"&amp;TEXT(H9/2,"#,##0")&amp;" per 90 days. At Risk if GMV to date &lt; "&amp;TEXT(Assumptions!$B$81,"0%")&amp;" of pro-rated expectation, checked from day "&amp;Assumptions!$B$82&amp;". Human-reviewed.","Irregular buyer ("&amp;I9&amp;" orders across "&amp;K9&amp;" months): no numeric GMV threshold. At Risk if no order within ~"&amp;BA9&amp;" month(s); AM reviews at day "&amp;Assumptions!$B$82&amp;" and "&amp;Assumptions!$B$85&amp;"."),"")</f>
        <v/>
      </c>
      <c r="BC9" s="2"/>
      <c r="BD9" s="2"/>
      <c r="BE9" s="2"/>
      <c r="BF9" s="2"/>
      <c r="BG9" s="2"/>
      <c r="BH9" s="2"/>
      <c r="BI9" s="2"/>
      <c r="BJ9" s="2" t="str">
        <f aca="false">IF(OR(NOT(LEFT(D9,1)="1"),BC9=""),"",IF(AZ9="Regular",AND(BC9&gt;=Assumptions!$B$82,N(BI9)&lt;Assumptions!$B$81*H9/180*BC9),AND(BC9&gt;=BA9*30,N(BG9)=0)))</f>
        <v/>
      </c>
      <c r="BK9" s="2" t="str">
        <f aca="false">IF(NOT(LEFT(D9,1)="1"),"N/A",IF(BC9="","Baseline",IF(BJ9,"At Risk",IF(AND(N(BD9)&gt;=Assumptions!$B$78,N(BE9)&gt;=Assumptions!$B$79,N(BH9)&gt;=1,N(BH9)/MAX(N(BG9),1)&gt;AY9),"Self-Serve Capability Demonstrated",IF(OR(N(BD9)&gt;=Assumptions!$B$76,N(BE9)&gt;=Assumptions!$B$77),"Progressing",IF(BC9&gt;=Assumptions!$B$85,"At Risk","Baseline"))))))</f>
        <v>N/A</v>
      </c>
      <c r="BL9" s="2" t="n">
        <f aca="false">(AND(C9="Broker-Reliant",OR(AK9="Discovery-to-Offer Enablement",AK9="Reinforce Successful Behaviour")))*1+(AND(G9="Declining",E9&lt;&gt;"Tail",AL9="Automated"))*1+(AND(Y9,AM9&lt;&gt;"Human Sign-Off Required"))*1+(AND(AA9,AM9&lt;&gt;"HOLD — Critical Data Issue"))*1+(AND(P9="Recent Inactivity",OR(AK9="Discovery-to-Offer Enablement",AK9="Reinforce Successful Behaviour")))*1+(AND(OR(LEFT(D9,1)="2",LEFT(D9,1)="3",LEFT(D9,1)="8"),AL9="Automated"))*1+((LEFT(D9,1)="1")&lt;&gt;(AK9="Guided Self-Serve Migration"))*1+(AND(AR9&lt;&gt;"",OR(F9&lt;&gt;"Low",U9="Mixed",AND(G9&lt;&gt;"Growing",G9&lt;&gt;"Stable"))))*1+ISNUMBER(SEARCH("chat",AP9))*1+ISNUMBER(SEARCH("video",AP9))*1+(AND(AA9,AL9="Automated",AM9&lt;&gt;"HOLD — Critical Data Issue"))*1</f>
        <v>0</v>
      </c>
    </row>
    <row r="10" customFormat="false" ht="15" hidden="false" customHeight="false" outlineLevel="0" collapsed="false">
      <c r="A10" s="2" t="s">
        <v>168</v>
      </c>
      <c r="B10" s="2" t="str">
        <f aca="false">INDEX(Segmentation!$B$2:$B$301,MATCH($A10,Segmentation!$A$2:$A$301,0))</f>
        <v>Account Managed</v>
      </c>
      <c r="C10" s="2" t="str">
        <f aca="false">INDEX(Segmentation!$H$2:$H$301,MATCH($A10,Segmentation!$A$2:$A$301,0))</f>
        <v>Broker-Reliant</v>
      </c>
      <c r="D10" s="2" t="str">
        <f aca="false">INDEX(Segmentation!$T$2:$T$301,MATCH($A10,Segmentation!$A$2:$A$301,0))</f>
        <v>2. Protect / Retain First</v>
      </c>
      <c r="E10" s="2" t="str">
        <f aca="false">INDEX(Segmentation!$J$2:$J$301,MATCH($A10,Segmentation!$A$2:$A$301,0))</f>
        <v>Key</v>
      </c>
      <c r="F10" s="2" t="str">
        <f aca="false">INDEX(Segmentation!$G$2:$G$301,MATCH($A10,Segmentation!$A$2:$A$301,0))</f>
        <v>High</v>
      </c>
      <c r="G10" s="2" t="str">
        <f aca="false">INDEX(Segmentation!$N$2:$N$301,MATCH($A10,Segmentation!$A$2:$A$301,0))</f>
        <v>Declining</v>
      </c>
      <c r="H10" s="9" t="n">
        <f aca="false">INDEX(Segmentation!$I$2:$I$301,MATCH($A10,Segmentation!$A$2:$A$301,0))</f>
        <v>18652</v>
      </c>
      <c r="I10" s="2" t="n">
        <f aca="false">INDEX(Segmentation!$O$2:$O$301,MATCH($A10,Segmentation!$A$2:$A$301,0))</f>
        <v>35</v>
      </c>
      <c r="J10" s="2" t="n">
        <f aca="false">INDEX(Segmentation!$Q$2:$Q$301,MATCH($A10,Segmentation!$A$2:$A$301,0))</f>
        <v>11</v>
      </c>
      <c r="K10" s="2" t="n">
        <f aca="false">INDEX(Segmentation!$W$2:$W$301,MATCH($A10,Segmentation!$A$2:$A$301,0))</f>
        <v>6</v>
      </c>
      <c r="L10" s="9" t="n">
        <f aca="false">INDEX('Commercial View'!$L$2:$L$301,MATCH($A10,'Commercial View'!$A$2:$A$301,0))</f>
        <v>2017</v>
      </c>
      <c r="M10" s="9" t="n">
        <f aca="false">INDEX('Commercial View'!$M$2:$M$301,MATCH($A10,'Commercial View'!$A$2:$A$301,0))</f>
        <v>2048</v>
      </c>
      <c r="N10" s="9" t="n">
        <f aca="false">INDEX('Commercial View'!$N$2:$N$301,MATCH($A10,'Commercial View'!$A$2:$A$301,0))</f>
        <v>1780</v>
      </c>
      <c r="O10" s="9" t="n">
        <f aca="false">INDEX(Segmentation!$L$2:$L$301,MATCH($A10,Segmentation!$A$2:$A$301,0))</f>
        <v>5845</v>
      </c>
      <c r="P10" s="2" t="str">
        <f aca="false">IF(OR(M10&gt;0,N10&gt;0),"Recently Active",IF(OR(I10&lt;=Assumptions!$B$48,K10&lt;=Assumptions!$B$49),"No Meaningful History","Recent Inactivity"))</f>
        <v>Recently Active</v>
      </c>
      <c r="Q10" s="2" t="str">
        <f aca="false">INDEX(Segmentation!$AF$2:$AF$301,MATCH($A10,Segmentation!$A$2:$A$301,0))</f>
        <v>Existing Customer</v>
      </c>
      <c r="R10" s="2" t="str">
        <f aca="false">INDEX(Segmentation!$AL$2:$AL$301,MATCH($A10,Segmentation!$A$2:$A$301,0))</f>
        <v>N/A</v>
      </c>
      <c r="S10" s="10" t="b">
        <f aca="false">INDEX(Segmentation!$AW$2:$AW$301,MATCH($A10,Segmentation!$A$2:$A$301,0))</f>
        <v>0</v>
      </c>
      <c r="T10" s="2" t="str">
        <f aca="false">INDEX('Feature Data'!$AD$2:$AD$301,MATCH($A10,'Feature Data'!$A$2:$A$301,0))</f>
        <v>Broker-led, product-blind</v>
      </c>
      <c r="U10" s="2" t="str">
        <f aca="false">INDEX('Feature Data'!$W$2:$W$301,MATCH($A10,'Feature Data'!$A$2:$A$301,0))</f>
        <v>Mixed</v>
      </c>
      <c r="V10" s="2" t="n">
        <f aca="false">INDEX('Feature Data'!$P$2:$P$301,MATCH($A10,'Feature Data'!$A$2:$A$301,0))</f>
        <v>2</v>
      </c>
      <c r="W10" s="2" t="n">
        <f aca="false">INDEX(Segmentation!$R$2:$R$301,MATCH($A10,Segmentation!$A$2:$A$301,0))</f>
        <v>1</v>
      </c>
      <c r="X10" s="2" t="n">
        <f aca="false">INDEX(Segmentation!$S$2:$S$301,MATCH($A10,Segmentation!$A$2:$A$301,0))</f>
        <v>1</v>
      </c>
      <c r="Y10" s="10" t="b">
        <f aca="false">INDEX(Segmentation!$AG$2:$AG$301,MATCH($A10,Segmentation!$A$2:$A$301,0))</f>
        <v>0</v>
      </c>
      <c r="Z10" s="2" t="str">
        <f aca="false">INDEX(Segmentation!$AU$2:$AU$301,MATCH($A10,Segmentation!$A$2:$A$301,0))</f>
        <v>Not Eligible</v>
      </c>
      <c r="AA10" s="10" t="b">
        <f aca="false">INDEX(Segmentation!$Z$2:$Z$301,MATCH($A10,Segmentation!$A$2:$A$301,0))</f>
        <v>0</v>
      </c>
      <c r="AB10" s="10" t="b">
        <f aca="false">INDEX(Segmentation!$AH$2:$AH$301,MATCH($A10,Segmentation!$A$2:$A$301,0))</f>
        <v>0</v>
      </c>
      <c r="AC10" s="10" t="b">
        <f aca="false">INDEX(Segmentation!$AK$2:$AK$301,MATCH($A10,Segmentation!$A$2:$A$301,0))</f>
        <v>0</v>
      </c>
      <c r="AD10" s="10" t="b">
        <f aca="false">INDEX(Segmentation!$AQ$2:$AQ$301,MATCH($A10,Segmentation!$A$2:$A$301,0))</f>
        <v>0</v>
      </c>
      <c r="AE10" s="10" t="b">
        <f aca="false">INDEX(Segmentation!$AT$2:$AT$301,MATCH($A10,Segmentation!$A$2:$A$301,0))</f>
        <v>0</v>
      </c>
      <c r="AF10" s="10" t="b">
        <f aca="false">INDEX(Segmentation!$X$2:$X$301,MATCH($A10,Segmentation!$A$2:$A$301,0))</f>
        <v>0</v>
      </c>
      <c r="AG10" s="10" t="b">
        <f aca="false">AND(F10="Low",V10&gt;=Assumptions!$B$71,X10&lt;Assumptions!$B$72)</f>
        <v>0</v>
      </c>
      <c r="AH10" s="10" t="b">
        <f aca="false">AND(F10="Low",OR(G10="Growing",G10="Stable"),P10="Recently Active",V10&gt;=Assumptions!$B$58,K10&gt;=Assumptions!$B$73)</f>
        <v>0</v>
      </c>
      <c r="AI10" s="17" t="n">
        <f aca="false">IF(O10&gt;0,MAX(L10:N10)/O10,"")</f>
        <v>0.350384944396921</v>
      </c>
      <c r="AJ10" s="2" t="str">
        <f aca="false">IF(LEFT(D10,1)="1",IF(E10="Key","MIGRATION_KEY_SIGNOFF",IF(Z10="Ready","MIGRATION_PHASE1_READY",IF(Z10="Manual Review","MIGRATION_PHASE1_REVIEW","MIGRATION_PRE_ENTRY"))),IF(LEFT(D10,1)="2","DECLINING_KEY_CORE",IF(LEFT(D10,1)="3",IF(R10="Established Buyer Lapsed","LAPSED_ESTABLISHED","LAPSED_THIN_HISTORY"),IF(LEFT(D10,1)="4",IF(Q10="New Customer","NEW_CUSTOMER","RETURNED_CUSTOMER"),IF(LEFT(D10,1)="5",IF(P10="Recently Active","COST_TO_SERVE_ACTIVE","DORMANT_LOW_VALUE"),IF(LEFT(D10,1)="6",IF(P10="Recent Inactivity","RECENT_INACTIVITY",IF(AG10,"BROWSING_LOW_OFFERS","HEALTHY_STRONG_SELF_SERVE")),IF(LEFT(D10,1)="7",IF(P10="Recent Inactivity","RECENT_INACTIVITY",IF(Q10="New Customer","NEW_CUSTOMER","RETURNED_CUSTOMER")),IF(LEFT(D10,1)="8",IF(G10="Declining",IF(T10="Engaged but shrinking (Key/Core)","ENGAGED_BUT_SHRINKING","DECLINING_KEY_CORE"),IF(R10="Established Buyer Lapsed","LAPSED_ESTABLISHED","LAPSED_THIN_HISTORY")),IF(S10,IF(P10&lt;&gt;"Recently Active","DORMANT_LOW_VALUE",IF(AG10,"BROWSING_LOW_OFFERS",IF(AH10,"RISING_TAIL","RISING_TAIL_EARLY"))),IF(AND(AG10,P10="Recently Active",OR(G10="Growing",G10="Stable",G10="H2 Active / No H1 GMV"),I10&gt;=Assumptions!$B$74),"BROWSING_LOW_OFFERS","LONG_TAIL_STANDARD"))))))))))</f>
        <v>DECLINING_KEY_CORE</v>
      </c>
      <c r="AK10" s="2" t="str">
        <f aca="false">INDEX('NBA Library'!$B$4:$B$21,MATCH(AJ10,'NBA Library'!$A$4:$A$21,0))</f>
        <v>Retention Conversation</v>
      </c>
      <c r="AL10" s="2" t="str">
        <f aca="false">INDEX('NBA Library'!$C$4:$C$21,MATCH(AJ10,'NBA Library'!$A$4:$A$21,0))</f>
        <v>Human</v>
      </c>
      <c r="AM10" s="2" t="str">
        <f aca="false">IF(AA10,"HOLD — Critical Data Issue",IF(Y10,"Human Sign-Off Required",IF(Z10="Manual Review","Human Review Required",IF(AND(AL10="Automated",OR(AE10,AND(OR(AK10="Discovery-to-Offer Enablement",AK10="Reinforce Successful Behaviour"),OR(AC10,AB10)))),"Human Review Required",IF(AL10="Human","Ready — Human",IF(AL10="Hybrid","Ready — Hybrid","Ready — Automated"))))))</f>
        <v>Ready — Human</v>
      </c>
      <c r="AN10" s="2" t="str">
        <f aca="false">IF(AA10,"P0",IF(AND(AJ10="BROWSING_LOW_OFFERS",E10="Tail"),"P3",IF(AND(AM10="Human Review Required",INDEX('NBA Library'!$D$4:$D$21,MATCH(AJ10,'NBA Library'!$A$4:$A$21,0))="P4"),"P3",INDEX('NBA Library'!$D$4:$D$21,MATCH(AJ10,'NBA Library'!$A$4:$A$21,0)))))</f>
        <v>P1</v>
      </c>
      <c r="AO10" s="2" t="str">
        <f aca="false">E10&amp;" "&amp;C10&amp;" account ("&amp;B10&amp;"); "&amp;G10&amp;" momentum; "&amp;P10&amp;"; £"&amp;TEXT(H10,"#,##0")&amp;" 6m GMV. "&amp;INDEX('NBA Library'!$G$4:$G$21,MATCH(AJ10,'NBA Library'!$A$4:$A$21,0))&amp;IF(LEFT(D10,1)="1"," Baseline: "&amp;V10&amp;" PDP views, "&amp;W10&amp;" app days, "&amp;X10&amp;" offers, "&amp;TEXT(J10/I10,"0%")&amp;" of orders self-serve.","")&amp;IF(AA10," Execution on HOLD until the Duplicate status is resolved.","")&amp;IF(Y10," Key account: explicit AM/leadership sign-off required before any migration activity.","")&amp;IF(AE10," Implied broker % from order counts would move this account to a different segment; review before automating.","")</f>
        <v>Key Broker-Reliant account (Account Managed); Declining momentum; Recently Active; £18,652 6m GMV. Broker-led spend is falling. Keep human support in place; AM to diagnose the cause before any migration or product nudge.</v>
      </c>
      <c r="AP10" s="2" t="str">
        <f aca="false">INDEX('NBA Library'!$E$4:$E$21,MATCH(AJ10,'NBA Library'!$A$4:$A$21,0))&amp;IF(AND(AJ10="NEW_CUSTOMER",AG10),"; introduce Make-an-Offer on items already browsed","")</f>
        <v>AM diagnoses the cause of falling spend (supply, price, service, competitor) and agrees a recovery plan; keep human support in place</v>
      </c>
      <c r="AQ10" s="2" t="str">
        <f aca="false">INDEX('NBA Library'!$F$4:$F$21,MATCH(AJ10,'NBA Library'!$A$4:$A$21,0))</f>
        <v>Next 90-day GMV back to at least the Sep-Nov (H1) level, or decline arrested; root cause logged</v>
      </c>
      <c r="AR10" s="2" t="str">
        <f aca="false">IF(AND(F10="Low",OR(G10="Growing",G10="Stable"),P10="Recently Active",U10&lt;&gt;"Mixed",OR(AK10="Discovery-to-Offer Enablement",AK10="Reinforce Successful Behaviour"),AM10="Ready — Automated",OR(E10&lt;&gt;"Tail",S10)),"Range Expansion Test — trial "&amp;IF(U10="Bundle-only","handpick","bundles")&amp;" (experimental; not proven to lift GMV)","")</f>
        <v/>
      </c>
      <c r="AS10" s="2" t="str">
        <f aca="false">IF(AK10&lt;&gt;"Automated Nurture","",IF(AJ10="DORMANT_LOW_VALUE","Dormant",IF(AJ10="RISING_TAIL_EARLY","Rising tail – early pattern",IF(Q10="New Customer","New customer onboarding",IF(Q10="Returned Customer","Returned customer",IF(G10="Lapsed","Dormant",IF(T10="Engaged, not converting","Engaged, not converting",IF(T10="One-off low-touch buyer","One-off purchaser",IF(T10="Light-touch repeat buyer","Light-touch repeat buyer","Standard long tail")))))))))</f>
        <v/>
      </c>
      <c r="AT10" s="2" t="str">
        <f aca="false">IF(AA10,"CRITICAL_DATA_BLOCKER; ","")&amp;IF(Y10,"KEY_SIGNOFF; ","")&amp;IF(Z10="Manual Review","PHASE1_MANUAL_REVIEW; ","")&amp;IF(AND(LEFT(D10,1)="1",AZ10="Lumpy"),"LUMPY_CADENCE; ","")&amp;IF(AB10,"BORDERLINE_MOMENTUM; ","")&amp;IF(AC10,"FEB_SENSITIVE; ","")&amp;IF(AD10,"MATERIAL_BROKER_INCONSISTENCY"&amp;IF(AE10," (segment would change)","")&amp;"; ","")&amp;IF(AND(I10&gt;=3,O10&gt;0),IF(AI10&gt;=Assumptions!$B$75,"H2_SINGLE_MONTH_SPIKE; ",""),"")&amp;IF(AND(M10&gt;0,N10=0),"NO_FEB_GMV (Feb unconfirmed); ","")&amp;IF(AF10,"LOW_CONFIDENCE; ","")</f>
        <v/>
      </c>
      <c r="AU10" s="2" t="str">
        <f aca="false">IF(LEFT(D10,1)="1",V10,"")</f>
        <v/>
      </c>
      <c r="AV10" s="2" t="str">
        <f aca="false">IF(LEFT(D10,1)="1",V10&gt;=Assumptions!$B$58,"")</f>
        <v/>
      </c>
      <c r="AW10" s="2" t="str">
        <f aca="false">IF(LEFT(D10,1)="1",W10,"")</f>
        <v/>
      </c>
      <c r="AX10" s="2" t="str">
        <f aca="false">IF(LEFT(D10,1)="1",X10,"")</f>
        <v/>
      </c>
      <c r="AY10" s="17" t="str">
        <f aca="false">IF(LEFT(D10,1)="1",J10/I10,"")</f>
        <v/>
      </c>
      <c r="AZ10" s="2" t="str">
        <f aca="false">IF(LEFT(D10,1)="1",IF(AND(K10&gt;=Assumptions!$B$83,I10&gt;=Assumptions!$B$84),"Regular","Lumpy"),"")</f>
        <v/>
      </c>
      <c r="BA10" s="2" t="str">
        <f aca="false">IF(LEFT(D10,1)="1",ROUND(6/K10,0),"")</f>
        <v/>
      </c>
      <c r="BB10" s="2" t="str">
        <f aca="false">IF(LEFT(D10,1)="1",IF(AZ10="Regular","Regular buyer: expected ~£"&amp;TEXT(H10/2,"#,##0")&amp;" per 90 days. At Risk if GMV to date &lt; "&amp;TEXT(Assumptions!$B$81,"0%")&amp;" of pro-rated expectation, checked from day "&amp;Assumptions!$B$82&amp;". Human-reviewed.","Irregular buyer ("&amp;I10&amp;" orders across "&amp;K10&amp;" months): no numeric GMV threshold. At Risk if no order within ~"&amp;BA10&amp;" month(s); AM reviews at day "&amp;Assumptions!$B$82&amp;" and "&amp;Assumptions!$B$85&amp;"."),"")</f>
        <v/>
      </c>
      <c r="BC10" s="2"/>
      <c r="BD10" s="2"/>
      <c r="BE10" s="2"/>
      <c r="BF10" s="2"/>
      <c r="BG10" s="2"/>
      <c r="BH10" s="2"/>
      <c r="BI10" s="2"/>
      <c r="BJ10" s="2" t="str">
        <f aca="false">IF(OR(NOT(LEFT(D10,1)="1"),BC10=""),"",IF(AZ10="Regular",AND(BC10&gt;=Assumptions!$B$82,N(BI10)&lt;Assumptions!$B$81*H10/180*BC10),AND(BC10&gt;=BA10*30,N(BG10)=0)))</f>
        <v/>
      </c>
      <c r="BK10" s="2" t="str">
        <f aca="false">IF(NOT(LEFT(D10,1)="1"),"N/A",IF(BC10="","Baseline",IF(BJ10,"At Risk",IF(AND(N(BD10)&gt;=Assumptions!$B$78,N(BE10)&gt;=Assumptions!$B$79,N(BH10)&gt;=1,N(BH10)/MAX(N(BG10),1)&gt;AY10),"Self-Serve Capability Demonstrated",IF(OR(N(BD10)&gt;=Assumptions!$B$76,N(BE10)&gt;=Assumptions!$B$77),"Progressing",IF(BC10&gt;=Assumptions!$B$85,"At Risk","Baseline"))))))</f>
        <v>N/A</v>
      </c>
      <c r="BL10" s="2" t="n">
        <f aca="false">(AND(C10="Broker-Reliant",OR(AK10="Discovery-to-Offer Enablement",AK10="Reinforce Successful Behaviour")))*1+(AND(G10="Declining",E10&lt;&gt;"Tail",AL10="Automated"))*1+(AND(Y10,AM10&lt;&gt;"Human Sign-Off Required"))*1+(AND(AA10,AM10&lt;&gt;"HOLD — Critical Data Issue"))*1+(AND(P10="Recent Inactivity",OR(AK10="Discovery-to-Offer Enablement",AK10="Reinforce Successful Behaviour")))*1+(AND(OR(LEFT(D10,1)="2",LEFT(D10,1)="3",LEFT(D10,1)="8"),AL10="Automated"))*1+((LEFT(D10,1)="1")&lt;&gt;(AK10="Guided Self-Serve Migration"))*1+(AND(AR10&lt;&gt;"",OR(F10&lt;&gt;"Low",U10="Mixed",AND(G10&lt;&gt;"Growing",G10&lt;&gt;"Stable"))))*1+ISNUMBER(SEARCH("chat",AP10))*1+ISNUMBER(SEARCH("video",AP10))*1+(AND(AA10,AL10="Automated",AM10&lt;&gt;"HOLD — Critical Data Issue"))*1</f>
        <v>0</v>
      </c>
    </row>
    <row r="11" customFormat="false" ht="15" hidden="false" customHeight="false" outlineLevel="0" collapsed="false">
      <c r="A11" s="2" t="s">
        <v>171</v>
      </c>
      <c r="B11" s="2" t="str">
        <f aca="false">INDEX(Segmentation!$B$2:$B$301,MATCH($A11,Segmentation!$A$2:$A$301,0))</f>
        <v>Account Managed</v>
      </c>
      <c r="C11" s="2" t="str">
        <f aca="false">INDEX(Segmentation!$H$2:$H$301,MATCH($A11,Segmentation!$A$2:$A$301,0))</f>
        <v>Broker-Reliant</v>
      </c>
      <c r="D11" s="2" t="str">
        <f aca="false">INDEX(Segmentation!$T$2:$T$301,MATCH($A11,Segmentation!$A$2:$A$301,0))</f>
        <v>2. Protect / Retain First</v>
      </c>
      <c r="E11" s="2" t="str">
        <f aca="false">INDEX(Segmentation!$J$2:$J$301,MATCH($A11,Segmentation!$A$2:$A$301,0))</f>
        <v>Key</v>
      </c>
      <c r="F11" s="2" t="str">
        <f aca="false">INDEX(Segmentation!$G$2:$G$301,MATCH($A11,Segmentation!$A$2:$A$301,0))</f>
        <v>High</v>
      </c>
      <c r="G11" s="2" t="str">
        <f aca="false">INDEX(Segmentation!$N$2:$N$301,MATCH($A11,Segmentation!$A$2:$A$301,0))</f>
        <v>Declining</v>
      </c>
      <c r="H11" s="9" t="n">
        <f aca="false">INDEX(Segmentation!$I$2:$I$301,MATCH($A11,Segmentation!$A$2:$A$301,0))</f>
        <v>17026</v>
      </c>
      <c r="I11" s="2" t="n">
        <f aca="false">INDEX(Segmentation!$O$2:$O$301,MATCH($A11,Segmentation!$A$2:$A$301,0))</f>
        <v>13</v>
      </c>
      <c r="J11" s="2" t="n">
        <f aca="false">INDEX(Segmentation!$Q$2:$Q$301,MATCH($A11,Segmentation!$A$2:$A$301,0))</f>
        <v>4</v>
      </c>
      <c r="K11" s="2" t="n">
        <f aca="false">INDEX(Segmentation!$W$2:$W$301,MATCH($A11,Segmentation!$A$2:$A$301,0))</f>
        <v>6</v>
      </c>
      <c r="L11" s="9" t="n">
        <f aca="false">INDEX('Commercial View'!$L$2:$L$301,MATCH($A11,'Commercial View'!$A$2:$A$301,0))</f>
        <v>1914</v>
      </c>
      <c r="M11" s="9" t="n">
        <f aca="false">INDEX('Commercial View'!$M$2:$M$301,MATCH($A11,'Commercial View'!$A$2:$A$301,0))</f>
        <v>2364</v>
      </c>
      <c r="N11" s="9" t="n">
        <f aca="false">INDEX('Commercial View'!$N$2:$N$301,MATCH($A11,'Commercial View'!$A$2:$A$301,0))</f>
        <v>1598</v>
      </c>
      <c r="O11" s="9" t="n">
        <f aca="false">INDEX(Segmentation!$L$2:$L$301,MATCH($A11,Segmentation!$A$2:$A$301,0))</f>
        <v>5876</v>
      </c>
      <c r="P11" s="2" t="str">
        <f aca="false">IF(OR(M11&gt;0,N11&gt;0),"Recently Active",IF(OR(I11&lt;=Assumptions!$B$48,K11&lt;=Assumptions!$B$49),"No Meaningful History","Recent Inactivity"))</f>
        <v>Recently Active</v>
      </c>
      <c r="Q11" s="2" t="str">
        <f aca="false">INDEX(Segmentation!$AF$2:$AF$301,MATCH($A11,Segmentation!$A$2:$A$301,0))</f>
        <v>Existing Customer</v>
      </c>
      <c r="R11" s="2" t="str">
        <f aca="false">INDEX(Segmentation!$AL$2:$AL$301,MATCH($A11,Segmentation!$A$2:$A$301,0))</f>
        <v>N/A</v>
      </c>
      <c r="S11" s="10" t="b">
        <f aca="false">INDEX(Segmentation!$AW$2:$AW$301,MATCH($A11,Segmentation!$A$2:$A$301,0))</f>
        <v>0</v>
      </c>
      <c r="T11" s="2" t="str">
        <f aca="false">INDEX('Feature Data'!$AD$2:$AD$301,MATCH($A11,'Feature Data'!$A$2:$A$301,0))</f>
        <v>Broker-led, product-blind</v>
      </c>
      <c r="U11" s="2" t="str">
        <f aca="false">INDEX('Feature Data'!$W$2:$W$301,MATCH($A11,'Feature Data'!$A$2:$A$301,0))</f>
        <v>Handpick-only</v>
      </c>
      <c r="V11" s="2" t="n">
        <f aca="false">INDEX('Feature Data'!$P$2:$P$301,MATCH($A11,'Feature Data'!$A$2:$A$301,0))</f>
        <v>1</v>
      </c>
      <c r="W11" s="2" t="n">
        <f aca="false">INDEX(Segmentation!$R$2:$R$301,MATCH($A11,Segmentation!$A$2:$A$301,0))</f>
        <v>1</v>
      </c>
      <c r="X11" s="2" t="n">
        <f aca="false">INDEX(Segmentation!$S$2:$S$301,MATCH($A11,Segmentation!$A$2:$A$301,0))</f>
        <v>0</v>
      </c>
      <c r="Y11" s="10" t="b">
        <f aca="false">INDEX(Segmentation!$AG$2:$AG$301,MATCH($A11,Segmentation!$A$2:$A$301,0))</f>
        <v>0</v>
      </c>
      <c r="Z11" s="2" t="str">
        <f aca="false">INDEX(Segmentation!$AU$2:$AU$301,MATCH($A11,Segmentation!$A$2:$A$301,0))</f>
        <v>Not Eligible</v>
      </c>
      <c r="AA11" s="10" t="b">
        <f aca="false">INDEX(Segmentation!$Z$2:$Z$301,MATCH($A11,Segmentation!$A$2:$A$301,0))</f>
        <v>0</v>
      </c>
      <c r="AB11" s="10" t="b">
        <f aca="false">INDEX(Segmentation!$AH$2:$AH$301,MATCH($A11,Segmentation!$A$2:$A$301,0))</f>
        <v>0</v>
      </c>
      <c r="AC11" s="10" t="b">
        <f aca="false">INDEX(Segmentation!$AK$2:$AK$301,MATCH($A11,Segmentation!$A$2:$A$301,0))</f>
        <v>0</v>
      </c>
      <c r="AD11" s="10" t="b">
        <f aca="false">INDEX(Segmentation!$AQ$2:$AQ$301,MATCH($A11,Segmentation!$A$2:$A$301,0))</f>
        <v>0</v>
      </c>
      <c r="AE11" s="10" t="b">
        <f aca="false">INDEX(Segmentation!$AT$2:$AT$301,MATCH($A11,Segmentation!$A$2:$A$301,0))</f>
        <v>0</v>
      </c>
      <c r="AF11" s="10" t="b">
        <f aca="false">INDEX(Segmentation!$X$2:$X$301,MATCH($A11,Segmentation!$A$2:$A$301,0))</f>
        <v>0</v>
      </c>
      <c r="AG11" s="10" t="b">
        <f aca="false">AND(F11="Low",V11&gt;=Assumptions!$B$71,X11&lt;Assumptions!$B$72)</f>
        <v>0</v>
      </c>
      <c r="AH11" s="10" t="b">
        <f aca="false">AND(F11="Low",OR(G11="Growing",G11="Stable"),P11="Recently Active",V11&gt;=Assumptions!$B$58,K11&gt;=Assumptions!$B$73)</f>
        <v>0</v>
      </c>
      <c r="AI11" s="17" t="n">
        <f aca="false">IF(O11&gt;0,MAX(L11:N11)/O11,"")</f>
        <v>0.402314499659632</v>
      </c>
      <c r="AJ11" s="2" t="str">
        <f aca="false">IF(LEFT(D11,1)="1",IF(E11="Key","MIGRATION_KEY_SIGNOFF",IF(Z11="Ready","MIGRATION_PHASE1_READY",IF(Z11="Manual Review","MIGRATION_PHASE1_REVIEW","MIGRATION_PRE_ENTRY"))),IF(LEFT(D11,1)="2","DECLINING_KEY_CORE",IF(LEFT(D11,1)="3",IF(R11="Established Buyer Lapsed","LAPSED_ESTABLISHED","LAPSED_THIN_HISTORY"),IF(LEFT(D11,1)="4",IF(Q11="New Customer","NEW_CUSTOMER","RETURNED_CUSTOMER"),IF(LEFT(D11,1)="5",IF(P11="Recently Active","COST_TO_SERVE_ACTIVE","DORMANT_LOW_VALUE"),IF(LEFT(D11,1)="6",IF(P11="Recent Inactivity","RECENT_INACTIVITY",IF(AG11,"BROWSING_LOW_OFFERS","HEALTHY_STRONG_SELF_SERVE")),IF(LEFT(D11,1)="7",IF(P11="Recent Inactivity","RECENT_INACTIVITY",IF(Q11="New Customer","NEW_CUSTOMER","RETURNED_CUSTOMER")),IF(LEFT(D11,1)="8",IF(G11="Declining",IF(T11="Engaged but shrinking (Key/Core)","ENGAGED_BUT_SHRINKING","DECLINING_KEY_CORE"),IF(R11="Established Buyer Lapsed","LAPSED_ESTABLISHED","LAPSED_THIN_HISTORY")),IF(S11,IF(P11&lt;&gt;"Recently Active","DORMANT_LOW_VALUE",IF(AG11,"BROWSING_LOW_OFFERS",IF(AH11,"RISING_TAIL","RISING_TAIL_EARLY"))),IF(AND(AG11,P11="Recently Active",OR(G11="Growing",G11="Stable",G11="H2 Active / No H1 GMV"),I11&gt;=Assumptions!$B$74),"BROWSING_LOW_OFFERS","LONG_TAIL_STANDARD"))))))))))</f>
        <v>DECLINING_KEY_CORE</v>
      </c>
      <c r="AK11" s="2" t="str">
        <f aca="false">INDEX('NBA Library'!$B$4:$B$21,MATCH(AJ11,'NBA Library'!$A$4:$A$21,0))</f>
        <v>Retention Conversation</v>
      </c>
      <c r="AL11" s="2" t="str">
        <f aca="false">INDEX('NBA Library'!$C$4:$C$21,MATCH(AJ11,'NBA Library'!$A$4:$A$21,0))</f>
        <v>Human</v>
      </c>
      <c r="AM11" s="2" t="str">
        <f aca="false">IF(AA11,"HOLD — Critical Data Issue",IF(Y11,"Human Sign-Off Required",IF(Z11="Manual Review","Human Review Required",IF(AND(AL11="Automated",OR(AE11,AND(OR(AK11="Discovery-to-Offer Enablement",AK11="Reinforce Successful Behaviour"),OR(AC11,AB11)))),"Human Review Required",IF(AL11="Human","Ready — Human",IF(AL11="Hybrid","Ready — Hybrid","Ready — Automated"))))))</f>
        <v>Ready — Human</v>
      </c>
      <c r="AN11" s="2" t="str">
        <f aca="false">IF(AA11,"P0",IF(AND(AJ11="BROWSING_LOW_OFFERS",E11="Tail"),"P3",IF(AND(AM11="Human Review Required",INDEX('NBA Library'!$D$4:$D$21,MATCH(AJ11,'NBA Library'!$A$4:$A$21,0))="P4"),"P3",INDEX('NBA Library'!$D$4:$D$21,MATCH(AJ11,'NBA Library'!$A$4:$A$21,0)))))</f>
        <v>P1</v>
      </c>
      <c r="AO11" s="2" t="str">
        <f aca="false">E11&amp;" "&amp;C11&amp;" account ("&amp;B11&amp;"); "&amp;G11&amp;" momentum; "&amp;P11&amp;"; £"&amp;TEXT(H11,"#,##0")&amp;" 6m GMV. "&amp;INDEX('NBA Library'!$G$4:$G$21,MATCH(AJ11,'NBA Library'!$A$4:$A$21,0))&amp;IF(LEFT(D11,1)="1"," Baseline: "&amp;V11&amp;" PDP views, "&amp;W11&amp;" app days, "&amp;X11&amp;" offers, "&amp;TEXT(J11/I11,"0%")&amp;" of orders self-serve.","")&amp;IF(AA11," Execution on HOLD until the Duplicate status is resolved.","")&amp;IF(Y11," Key account: explicit AM/leadership sign-off required before any migration activity.","")&amp;IF(AE11," Implied broker % from order counts would move this account to a different segment; review before automating.","")</f>
        <v>Key Broker-Reliant account (Account Managed); Declining momentum; Recently Active; £17,026 6m GMV. Broker-led spend is falling. Keep human support in place; AM to diagnose the cause before any migration or product nudge.</v>
      </c>
      <c r="AP11" s="2" t="str">
        <f aca="false">INDEX('NBA Library'!$E$4:$E$21,MATCH(AJ11,'NBA Library'!$A$4:$A$21,0))&amp;IF(AND(AJ11="NEW_CUSTOMER",AG11),"; introduce Make-an-Offer on items already browsed","")</f>
        <v>AM diagnoses the cause of falling spend (supply, price, service, competitor) and agrees a recovery plan; keep human support in place</v>
      </c>
      <c r="AQ11" s="2" t="str">
        <f aca="false">INDEX('NBA Library'!$F$4:$F$21,MATCH(AJ11,'NBA Library'!$A$4:$A$21,0))</f>
        <v>Next 90-day GMV back to at least the Sep-Nov (H1) level, or decline arrested; root cause logged</v>
      </c>
      <c r="AR11" s="2" t="str">
        <f aca="false">IF(AND(F11="Low",OR(G11="Growing",G11="Stable"),P11="Recently Active",U11&lt;&gt;"Mixed",OR(AK11="Discovery-to-Offer Enablement",AK11="Reinforce Successful Behaviour"),AM11="Ready — Automated",OR(E11&lt;&gt;"Tail",S11)),"Range Expansion Test — trial "&amp;IF(U11="Bundle-only","handpick","bundles")&amp;" (experimental; not proven to lift GMV)","")</f>
        <v/>
      </c>
      <c r="AS11" s="2" t="str">
        <f aca="false">IF(AK11&lt;&gt;"Automated Nurture","",IF(AJ11="DORMANT_LOW_VALUE","Dormant",IF(AJ11="RISING_TAIL_EARLY","Rising tail – early pattern",IF(Q11="New Customer","New customer onboarding",IF(Q11="Returned Customer","Returned customer",IF(G11="Lapsed","Dormant",IF(T11="Engaged, not converting","Engaged, not converting",IF(T11="One-off low-touch buyer","One-off purchaser",IF(T11="Light-touch repeat buyer","Light-touch repeat buyer","Standard long tail")))))))))</f>
        <v/>
      </c>
      <c r="AT11" s="2" t="str">
        <f aca="false">IF(AA11,"CRITICAL_DATA_BLOCKER; ","")&amp;IF(Y11,"KEY_SIGNOFF; ","")&amp;IF(Z11="Manual Review","PHASE1_MANUAL_REVIEW; ","")&amp;IF(AND(LEFT(D11,1)="1",AZ11="Lumpy"),"LUMPY_CADENCE; ","")&amp;IF(AB11,"BORDERLINE_MOMENTUM; ","")&amp;IF(AC11,"FEB_SENSITIVE; ","")&amp;IF(AD11,"MATERIAL_BROKER_INCONSISTENCY"&amp;IF(AE11," (segment would change)","")&amp;"; ","")&amp;IF(AND(I11&gt;=3,O11&gt;0),IF(AI11&gt;=Assumptions!$B$75,"H2_SINGLE_MONTH_SPIKE; ",""),"")&amp;IF(AND(M11&gt;0,N11=0),"NO_FEB_GMV (Feb unconfirmed); ","")&amp;IF(AF11,"LOW_CONFIDENCE; ","")</f>
        <v/>
      </c>
      <c r="AU11" s="2" t="str">
        <f aca="false">IF(LEFT(D11,1)="1",V11,"")</f>
        <v/>
      </c>
      <c r="AV11" s="2" t="str">
        <f aca="false">IF(LEFT(D11,1)="1",V11&gt;=Assumptions!$B$58,"")</f>
        <v/>
      </c>
      <c r="AW11" s="2" t="str">
        <f aca="false">IF(LEFT(D11,1)="1",W11,"")</f>
        <v/>
      </c>
      <c r="AX11" s="2" t="str">
        <f aca="false">IF(LEFT(D11,1)="1",X11,"")</f>
        <v/>
      </c>
      <c r="AY11" s="17" t="str">
        <f aca="false">IF(LEFT(D11,1)="1",J11/I11,"")</f>
        <v/>
      </c>
      <c r="AZ11" s="2" t="str">
        <f aca="false">IF(LEFT(D11,1)="1",IF(AND(K11&gt;=Assumptions!$B$83,I11&gt;=Assumptions!$B$84),"Regular","Lumpy"),"")</f>
        <v/>
      </c>
      <c r="BA11" s="2" t="str">
        <f aca="false">IF(LEFT(D11,1)="1",ROUND(6/K11,0),"")</f>
        <v/>
      </c>
      <c r="BB11" s="2" t="str">
        <f aca="false">IF(LEFT(D11,1)="1",IF(AZ11="Regular","Regular buyer: expected ~£"&amp;TEXT(H11/2,"#,##0")&amp;" per 90 days. At Risk if GMV to date &lt; "&amp;TEXT(Assumptions!$B$81,"0%")&amp;" of pro-rated expectation, checked from day "&amp;Assumptions!$B$82&amp;". Human-reviewed.","Irregular buyer ("&amp;I11&amp;" orders across "&amp;K11&amp;" months): no numeric GMV threshold. At Risk if no order within ~"&amp;BA11&amp;" month(s); AM reviews at day "&amp;Assumptions!$B$82&amp;" and "&amp;Assumptions!$B$85&amp;"."),"")</f>
        <v/>
      </c>
      <c r="BC11" s="2"/>
      <c r="BD11" s="2"/>
      <c r="BE11" s="2"/>
      <c r="BF11" s="2"/>
      <c r="BG11" s="2"/>
      <c r="BH11" s="2"/>
      <c r="BI11" s="2"/>
      <c r="BJ11" s="2" t="str">
        <f aca="false">IF(OR(NOT(LEFT(D11,1)="1"),BC11=""),"",IF(AZ11="Regular",AND(BC11&gt;=Assumptions!$B$82,N(BI11)&lt;Assumptions!$B$81*H11/180*BC11),AND(BC11&gt;=BA11*30,N(BG11)=0)))</f>
        <v/>
      </c>
      <c r="BK11" s="2" t="str">
        <f aca="false">IF(NOT(LEFT(D11,1)="1"),"N/A",IF(BC11="","Baseline",IF(BJ11,"At Risk",IF(AND(N(BD11)&gt;=Assumptions!$B$78,N(BE11)&gt;=Assumptions!$B$79,N(BH11)&gt;=1,N(BH11)/MAX(N(BG11),1)&gt;AY11),"Self-Serve Capability Demonstrated",IF(OR(N(BD11)&gt;=Assumptions!$B$76,N(BE11)&gt;=Assumptions!$B$77),"Progressing",IF(BC11&gt;=Assumptions!$B$85,"At Risk","Baseline"))))))</f>
        <v>N/A</v>
      </c>
      <c r="BL11" s="2" t="n">
        <f aca="false">(AND(C11="Broker-Reliant",OR(AK11="Discovery-to-Offer Enablement",AK11="Reinforce Successful Behaviour")))*1+(AND(G11="Declining",E11&lt;&gt;"Tail",AL11="Automated"))*1+(AND(Y11,AM11&lt;&gt;"Human Sign-Off Required"))*1+(AND(AA11,AM11&lt;&gt;"HOLD — Critical Data Issue"))*1+(AND(P11="Recent Inactivity",OR(AK11="Discovery-to-Offer Enablement",AK11="Reinforce Successful Behaviour")))*1+(AND(OR(LEFT(D11,1)="2",LEFT(D11,1)="3",LEFT(D11,1)="8"),AL11="Automated"))*1+((LEFT(D11,1)="1")&lt;&gt;(AK11="Guided Self-Serve Migration"))*1+(AND(AR11&lt;&gt;"",OR(F11&lt;&gt;"Low",U11="Mixed",AND(G11&lt;&gt;"Growing",G11&lt;&gt;"Stable"))))*1+ISNUMBER(SEARCH("chat",AP11))*1+ISNUMBER(SEARCH("video",AP11))*1+(AND(AA11,AL11="Automated",AM11&lt;&gt;"HOLD — Critical Data Issue"))*1</f>
        <v>0</v>
      </c>
    </row>
    <row r="12" customFormat="false" ht="15" hidden="false" customHeight="false" outlineLevel="0" collapsed="false">
      <c r="A12" s="2" t="s">
        <v>342</v>
      </c>
      <c r="B12" s="2" t="str">
        <f aca="false">INDEX(Segmentation!$B$2:$B$301,MATCH($A12,Segmentation!$A$2:$A$301,0))</f>
        <v>Account Managed</v>
      </c>
      <c r="C12" s="2" t="str">
        <f aca="false">INDEX(Segmentation!$H$2:$H$301,MATCH($A12,Segmentation!$A$2:$A$301,0))</f>
        <v>Broker-Reliant</v>
      </c>
      <c r="D12" s="2" t="str">
        <f aca="false">INDEX(Segmentation!$T$2:$T$301,MATCH($A12,Segmentation!$A$2:$A$301,0))</f>
        <v>4. Establish / Re-establish / Observe</v>
      </c>
      <c r="E12" s="2" t="str">
        <f aca="false">INDEX(Segmentation!$J$2:$J$301,MATCH($A12,Segmentation!$A$2:$A$301,0))</f>
        <v>Key</v>
      </c>
      <c r="F12" s="2" t="str">
        <f aca="false">INDEX(Segmentation!$G$2:$G$301,MATCH($A12,Segmentation!$A$2:$A$301,0))</f>
        <v>Medium</v>
      </c>
      <c r="G12" s="2" t="str">
        <f aca="false">INDEX(Segmentation!$N$2:$N$301,MATCH($A12,Segmentation!$A$2:$A$301,0))</f>
        <v>H2 Active / No H1 GMV</v>
      </c>
      <c r="H12" s="9" t="n">
        <f aca="false">INDEX(Segmentation!$I$2:$I$301,MATCH($A12,Segmentation!$A$2:$A$301,0))</f>
        <v>15600</v>
      </c>
      <c r="I12" s="2" t="n">
        <f aca="false">INDEX(Segmentation!$O$2:$O$301,MATCH($A12,Segmentation!$A$2:$A$301,0))</f>
        <v>1</v>
      </c>
      <c r="J12" s="2" t="n">
        <f aca="false">INDEX(Segmentation!$Q$2:$Q$301,MATCH($A12,Segmentation!$A$2:$A$301,0))</f>
        <v>0</v>
      </c>
      <c r="K12" s="2" t="n">
        <f aca="false">INDEX(Segmentation!$W$2:$W$301,MATCH($A12,Segmentation!$A$2:$A$301,0))</f>
        <v>1</v>
      </c>
      <c r="L12" s="9" t="n">
        <f aca="false">INDEX('Commercial View'!$L$2:$L$301,MATCH($A12,'Commercial View'!$A$2:$A$301,0))</f>
        <v>15600</v>
      </c>
      <c r="M12" s="9" t="n">
        <f aca="false">INDEX('Commercial View'!$M$2:$M$301,MATCH($A12,'Commercial View'!$A$2:$A$301,0))</f>
        <v>0</v>
      </c>
      <c r="N12" s="9" t="n">
        <f aca="false">INDEX('Commercial View'!$N$2:$N$301,MATCH($A12,'Commercial View'!$A$2:$A$301,0))</f>
        <v>0</v>
      </c>
      <c r="O12" s="9" t="n">
        <f aca="false">INDEX(Segmentation!$L$2:$L$301,MATCH($A12,Segmentation!$A$2:$A$301,0))</f>
        <v>15600</v>
      </c>
      <c r="P12" s="2" t="str">
        <f aca="false">IF(OR(M12&gt;0,N12&gt;0),"Recently Active",IF(OR(I12&lt;=Assumptions!$B$48,K12&lt;=Assumptions!$B$49),"No Meaningful History","Recent Inactivity"))</f>
        <v>No Meaningful History</v>
      </c>
      <c r="Q12" s="2" t="str">
        <f aca="false">INDEX(Segmentation!$AF$2:$AF$301,MATCH($A12,Segmentation!$A$2:$A$301,0))</f>
        <v>Returned Customer</v>
      </c>
      <c r="R12" s="2" t="str">
        <f aca="false">INDEX(Segmentation!$AL$2:$AL$301,MATCH($A12,Segmentation!$A$2:$A$301,0))</f>
        <v>N/A</v>
      </c>
      <c r="S12" s="10" t="b">
        <f aca="false">INDEX(Segmentation!$AW$2:$AW$301,MATCH($A12,Segmentation!$A$2:$A$301,0))</f>
        <v>0</v>
      </c>
      <c r="T12" s="2" t="str">
        <f aca="false">INDEX('Feature Data'!$AD$2:$AD$301,MATCH($A12,'Feature Data'!$A$2:$A$301,0))</f>
        <v>Broker-led, product-blind</v>
      </c>
      <c r="U12" s="2" t="str">
        <f aca="false">INDEX('Feature Data'!$W$2:$W$301,MATCH($A12,'Feature Data'!$A$2:$A$301,0))</f>
        <v>Handpick-only</v>
      </c>
      <c r="V12" s="2" t="n">
        <f aca="false">INDEX('Feature Data'!$P$2:$P$301,MATCH($A12,'Feature Data'!$A$2:$A$301,0))</f>
        <v>14</v>
      </c>
      <c r="W12" s="2" t="n">
        <f aca="false">INDEX(Segmentation!$R$2:$R$301,MATCH($A12,Segmentation!$A$2:$A$301,0))</f>
        <v>6</v>
      </c>
      <c r="X12" s="2" t="n">
        <f aca="false">INDEX(Segmentation!$S$2:$S$301,MATCH($A12,Segmentation!$A$2:$A$301,0))</f>
        <v>1</v>
      </c>
      <c r="Y12" s="10" t="b">
        <f aca="false">INDEX(Segmentation!$AG$2:$AG$301,MATCH($A12,Segmentation!$A$2:$A$301,0))</f>
        <v>0</v>
      </c>
      <c r="Z12" s="2" t="str">
        <f aca="false">INDEX(Segmentation!$AU$2:$AU$301,MATCH($A12,Segmentation!$A$2:$A$301,0))</f>
        <v>Not Eligible</v>
      </c>
      <c r="AA12" s="10" t="b">
        <f aca="false">INDEX(Segmentation!$Z$2:$Z$301,MATCH($A12,Segmentation!$A$2:$A$301,0))</f>
        <v>0</v>
      </c>
      <c r="AB12" s="10" t="b">
        <f aca="false">INDEX(Segmentation!$AH$2:$AH$301,MATCH($A12,Segmentation!$A$2:$A$301,0))</f>
        <v>0</v>
      </c>
      <c r="AC12" s="10" t="b">
        <f aca="false">INDEX(Segmentation!$AK$2:$AK$301,MATCH($A12,Segmentation!$A$2:$A$301,0))</f>
        <v>0</v>
      </c>
      <c r="AD12" s="10" t="b">
        <f aca="false">INDEX(Segmentation!$AQ$2:$AQ$301,MATCH($A12,Segmentation!$A$2:$A$301,0))</f>
        <v>1</v>
      </c>
      <c r="AE12" s="10" t="b">
        <f aca="false">INDEX(Segmentation!$AT$2:$AT$301,MATCH($A12,Segmentation!$A$2:$A$301,0))</f>
        <v>0</v>
      </c>
      <c r="AF12" s="10" t="b">
        <f aca="false">INDEX(Segmentation!$X$2:$X$301,MATCH($A12,Segmentation!$A$2:$A$301,0))</f>
        <v>1</v>
      </c>
      <c r="AG12" s="10" t="b">
        <f aca="false">AND(F12="Low",V12&gt;=Assumptions!$B$71,X12&lt;Assumptions!$B$72)</f>
        <v>0</v>
      </c>
      <c r="AH12" s="10" t="b">
        <f aca="false">AND(F12="Low",OR(G12="Growing",G12="Stable"),P12="Recently Active",V12&gt;=Assumptions!$B$58,K12&gt;=Assumptions!$B$73)</f>
        <v>0</v>
      </c>
      <c r="AI12" s="17" t="n">
        <f aca="false">IF(O12&gt;0,MAX(L12:N12)/O12,"")</f>
        <v>1</v>
      </c>
      <c r="AJ12" s="2" t="str">
        <f aca="false">IF(LEFT(D12,1)="1",IF(E12="Key","MIGRATION_KEY_SIGNOFF",IF(Z12="Ready","MIGRATION_PHASE1_READY",IF(Z12="Manual Review","MIGRATION_PHASE1_REVIEW","MIGRATION_PRE_ENTRY"))),IF(LEFT(D12,1)="2","DECLINING_KEY_CORE",IF(LEFT(D12,1)="3",IF(R12="Established Buyer Lapsed","LAPSED_ESTABLISHED","LAPSED_THIN_HISTORY"),IF(LEFT(D12,1)="4",IF(Q12="New Customer","NEW_CUSTOMER","RETURNED_CUSTOMER"),IF(LEFT(D12,1)="5",IF(P12="Recently Active","COST_TO_SERVE_ACTIVE","DORMANT_LOW_VALUE"),IF(LEFT(D12,1)="6",IF(P12="Recent Inactivity","RECENT_INACTIVITY",IF(AG12,"BROWSING_LOW_OFFERS","HEALTHY_STRONG_SELF_SERVE")),IF(LEFT(D12,1)="7",IF(P12="Recent Inactivity","RECENT_INACTIVITY",IF(Q12="New Customer","NEW_CUSTOMER","RETURNED_CUSTOMER")),IF(LEFT(D12,1)="8",IF(G12="Declining",IF(T12="Engaged but shrinking (Key/Core)","ENGAGED_BUT_SHRINKING","DECLINING_KEY_CORE"),IF(R12="Established Buyer Lapsed","LAPSED_ESTABLISHED","LAPSED_THIN_HISTORY")),IF(S12,IF(P12&lt;&gt;"Recently Active","DORMANT_LOW_VALUE",IF(AG12,"BROWSING_LOW_OFFERS",IF(AH12,"RISING_TAIL","RISING_TAIL_EARLY"))),IF(AND(AG12,P12="Recently Active",OR(G12="Growing",G12="Stable",G12="H2 Active / No H1 GMV"),I12&gt;=Assumptions!$B$74),"BROWSING_LOW_OFFERS","LONG_TAIL_STANDARD"))))))))))</f>
        <v>RETURNED_CUSTOMER</v>
      </c>
      <c r="AK12" s="2" t="str">
        <f aca="false">INDEX('NBA Library'!$B$4:$B$21,MATCH(AJ12,'NBA Library'!$A$4:$A$21,0))</f>
        <v>Establish / Re-establish</v>
      </c>
      <c r="AL12" s="2" t="str">
        <f aca="false">INDEX('NBA Library'!$C$4:$C$21,MATCH(AJ12,'NBA Library'!$A$4:$A$21,0))</f>
        <v>Human</v>
      </c>
      <c r="AM12" s="2" t="str">
        <f aca="false">IF(AA12,"HOLD — Critical Data Issue",IF(Y12,"Human Sign-Off Required",IF(Z12="Manual Review","Human Review Required",IF(AND(AL12="Automated",OR(AE12,AND(OR(AK12="Discovery-to-Offer Enablement",AK12="Reinforce Successful Behaviour"),OR(AC12,AB12)))),"Human Review Required",IF(AL12="Human","Ready — Human",IF(AL12="Hybrid","Ready — Hybrid","Ready — Automated"))))))</f>
        <v>Ready — Human</v>
      </c>
      <c r="AN12" s="2" t="str">
        <f aca="false">IF(AA12,"P0",IF(AND(AJ12="BROWSING_LOW_OFFERS",E12="Tail"),"P3",IF(AND(AM12="Human Review Required",INDEX('NBA Library'!$D$4:$D$21,MATCH(AJ12,'NBA Library'!$A$4:$A$21,0))="P4"),"P3",INDEX('NBA Library'!$D$4:$D$21,MATCH(AJ12,'NBA Library'!$A$4:$A$21,0)))))</f>
        <v>P2</v>
      </c>
      <c r="AO12" s="2" t="str">
        <f aca="false">E12&amp;" "&amp;C12&amp;" account ("&amp;B12&amp;"); "&amp;G12&amp;" momentum; "&amp;P12&amp;"; £"&amp;TEXT(H12,"#,##0")&amp;" 6m GMV. "&amp;INDEX('NBA Library'!$G$4:$G$21,MATCH(AJ12,'NBA Library'!$A$4:$A$21,0))&amp;IF(LEFT(D12,1)="1"," Baseline: "&amp;V12&amp;" PDP views, "&amp;W12&amp;" app days, "&amp;X12&amp;" offers, "&amp;TEXT(J12/I12,"0%")&amp;" of orders self-serve.","")&amp;IF(AA12," Execution on HOLD until the Duplicate status is resolved.","")&amp;IF(Y12," Key account: explicit AM/leadership sign-off required before any migration activity.","")&amp;IF(AE12," Implied broker % from order counts would move this account to a different segment; review before automating.","")</f>
        <v>Key Broker-Reliant account (Account Managed); H2 Active / No H1 GMV momentum; No Meaningful History; £15,600 6m GMV. Long-tenured customer that returned in H2 after no H1 spend. Re-establish relationship and cadence.</v>
      </c>
      <c r="AP12" s="2" t="str">
        <f aca="false">INDEX('NBA Library'!$E$4:$E$21,MATCH(AJ12,'NBA Library'!$A$4:$A$21,0))&amp;IF(AND(AJ12="NEW_CUSTOMER",AG12),"; introduce Make-an-Offer on items already browsed","")</f>
        <v>Re-establish the relationship and a regular buying cadence</v>
      </c>
      <c r="AQ12" s="2" t="str">
        <f aca="false">INDEX('NBA Library'!$F$4:$F$21,MATCH(AJ12,'NBA Library'!$A$4:$A$21,0))</f>
        <v>Orders in at least 2 of the next 3 months</v>
      </c>
      <c r="AR12" s="2" t="str">
        <f aca="false">IF(AND(F12="Low",OR(G12="Growing",G12="Stable"),P12="Recently Active",U12&lt;&gt;"Mixed",OR(AK12="Discovery-to-Offer Enablement",AK12="Reinforce Successful Behaviour"),AM12="Ready — Automated",OR(E12&lt;&gt;"Tail",S12)),"Range Expansion Test — trial "&amp;IF(U12="Bundle-only","handpick","bundles")&amp;" (experimental; not proven to lift GMV)","")</f>
        <v/>
      </c>
      <c r="AS12" s="2" t="str">
        <f aca="false">IF(AK12&lt;&gt;"Automated Nurture","",IF(AJ12="DORMANT_LOW_VALUE","Dormant",IF(AJ12="RISING_TAIL_EARLY","Rising tail – early pattern",IF(Q12="New Customer","New customer onboarding",IF(Q12="Returned Customer","Returned customer",IF(G12="Lapsed","Dormant",IF(T12="Engaged, not converting","Engaged, not converting",IF(T12="One-off low-touch buyer","One-off purchaser",IF(T12="Light-touch repeat buyer","Light-touch repeat buyer","Standard long tail")))))))))</f>
        <v/>
      </c>
      <c r="AT12" s="2" t="str">
        <f aca="false">IF(AA12,"CRITICAL_DATA_BLOCKER; ","")&amp;IF(Y12,"KEY_SIGNOFF; ","")&amp;IF(Z12="Manual Review","PHASE1_MANUAL_REVIEW; ","")&amp;IF(AND(LEFT(D12,1)="1",AZ12="Lumpy"),"LUMPY_CADENCE; ","")&amp;IF(AB12,"BORDERLINE_MOMENTUM; ","")&amp;IF(AC12,"FEB_SENSITIVE; ","")&amp;IF(AD12,"MATERIAL_BROKER_INCONSISTENCY"&amp;IF(AE12," (segment would change)","")&amp;"; ","")&amp;IF(AND(I12&gt;=3,O12&gt;0),IF(AI12&gt;=Assumptions!$B$75,"H2_SINGLE_MONTH_SPIKE; ",""),"")&amp;IF(AND(M12&gt;0,N12=0),"NO_FEB_GMV (Feb unconfirmed); ","")&amp;IF(AF12,"LOW_CONFIDENCE; ","")</f>
        <v>MATERIAL_BROKER_INCONSISTENCY; LOW_CONFIDENCE; </v>
      </c>
      <c r="AU12" s="2" t="str">
        <f aca="false">IF(LEFT(D12,1)="1",V12,"")</f>
        <v/>
      </c>
      <c r="AV12" s="2" t="str">
        <f aca="false">IF(LEFT(D12,1)="1",V12&gt;=Assumptions!$B$58,"")</f>
        <v/>
      </c>
      <c r="AW12" s="2" t="str">
        <f aca="false">IF(LEFT(D12,1)="1",W12,"")</f>
        <v/>
      </c>
      <c r="AX12" s="2" t="str">
        <f aca="false">IF(LEFT(D12,1)="1",X12,"")</f>
        <v/>
      </c>
      <c r="AY12" s="17" t="str">
        <f aca="false">IF(LEFT(D12,1)="1",J12/I12,"")</f>
        <v/>
      </c>
      <c r="AZ12" s="2" t="str">
        <f aca="false">IF(LEFT(D12,1)="1",IF(AND(K12&gt;=Assumptions!$B$83,I12&gt;=Assumptions!$B$84),"Regular","Lumpy"),"")</f>
        <v/>
      </c>
      <c r="BA12" s="2" t="str">
        <f aca="false">IF(LEFT(D12,1)="1",ROUND(6/K12,0),"")</f>
        <v/>
      </c>
      <c r="BB12" s="2" t="str">
        <f aca="false">IF(LEFT(D12,1)="1",IF(AZ12="Regular","Regular buyer: expected ~£"&amp;TEXT(H12/2,"#,##0")&amp;" per 90 days. At Risk if GMV to date &lt; "&amp;TEXT(Assumptions!$B$81,"0%")&amp;" of pro-rated expectation, checked from day "&amp;Assumptions!$B$82&amp;". Human-reviewed.","Irregular buyer ("&amp;I12&amp;" orders across "&amp;K12&amp;" months): no numeric GMV threshold. At Risk if no order within ~"&amp;BA12&amp;" month(s); AM reviews at day "&amp;Assumptions!$B$82&amp;" and "&amp;Assumptions!$B$85&amp;"."),"")</f>
        <v/>
      </c>
      <c r="BC12" s="2"/>
      <c r="BD12" s="2"/>
      <c r="BE12" s="2"/>
      <c r="BF12" s="2"/>
      <c r="BG12" s="2"/>
      <c r="BH12" s="2"/>
      <c r="BI12" s="2"/>
      <c r="BJ12" s="2" t="str">
        <f aca="false">IF(OR(NOT(LEFT(D12,1)="1"),BC12=""),"",IF(AZ12="Regular",AND(BC12&gt;=Assumptions!$B$82,N(BI12)&lt;Assumptions!$B$81*H12/180*BC12),AND(BC12&gt;=BA12*30,N(BG12)=0)))</f>
        <v/>
      </c>
      <c r="BK12" s="2" t="str">
        <f aca="false">IF(NOT(LEFT(D12,1)="1"),"N/A",IF(BC12="","Baseline",IF(BJ12,"At Risk",IF(AND(N(BD12)&gt;=Assumptions!$B$78,N(BE12)&gt;=Assumptions!$B$79,N(BH12)&gt;=1,N(BH12)/MAX(N(BG12),1)&gt;AY12),"Self-Serve Capability Demonstrated",IF(OR(N(BD12)&gt;=Assumptions!$B$76,N(BE12)&gt;=Assumptions!$B$77),"Progressing",IF(BC12&gt;=Assumptions!$B$85,"At Risk","Baseline"))))))</f>
        <v>N/A</v>
      </c>
      <c r="BL12" s="2" t="n">
        <f aca="false">(AND(C12="Broker-Reliant",OR(AK12="Discovery-to-Offer Enablement",AK12="Reinforce Successful Behaviour")))*1+(AND(G12="Declining",E12&lt;&gt;"Tail",AL12="Automated"))*1+(AND(Y12,AM12&lt;&gt;"Human Sign-Off Required"))*1+(AND(AA12,AM12&lt;&gt;"HOLD — Critical Data Issue"))*1+(AND(P12="Recent Inactivity",OR(AK12="Discovery-to-Offer Enablement",AK12="Reinforce Successful Behaviour")))*1+(AND(OR(LEFT(D12,1)="2",LEFT(D12,1)="3",LEFT(D12,1)="8"),AL12="Automated"))*1+((LEFT(D12,1)="1")&lt;&gt;(AK12="Guided Self-Serve Migration"))*1+(AND(AR12&lt;&gt;"",OR(F12&lt;&gt;"Low",U12="Mixed",AND(G12&lt;&gt;"Growing",G12&lt;&gt;"Stable"))))*1+ISNUMBER(SEARCH("chat",AP12))*1+ISNUMBER(SEARCH("video",AP12))*1+(AND(AA12,AL12="Automated",AM12&lt;&gt;"HOLD — Critical Data Issue"))*1</f>
        <v>0</v>
      </c>
    </row>
    <row r="13" customFormat="false" ht="15" hidden="false" customHeight="false" outlineLevel="0" collapsed="false">
      <c r="A13" s="2" t="s">
        <v>357</v>
      </c>
      <c r="B13" s="2" t="str">
        <f aca="false">INDEX(Segmentation!$B$2:$B$301,MATCH($A13,Segmentation!$A$2:$A$301,0))</f>
        <v>Account Managed</v>
      </c>
      <c r="C13" s="2" t="str">
        <f aca="false">INDEX(Segmentation!$H$2:$H$301,MATCH($A13,Segmentation!$A$2:$A$301,0))</f>
        <v>Broker-Reliant</v>
      </c>
      <c r="D13" s="2" t="str">
        <f aca="false">INDEX(Segmentation!$T$2:$T$301,MATCH($A13,Segmentation!$A$2:$A$301,0))</f>
        <v>1. Migration Candidate</v>
      </c>
      <c r="E13" s="2" t="str">
        <f aca="false">INDEX(Segmentation!$J$2:$J$301,MATCH($A13,Segmentation!$A$2:$A$301,0))</f>
        <v>Key</v>
      </c>
      <c r="F13" s="2" t="str">
        <f aca="false">INDEX(Segmentation!$G$2:$G$301,MATCH($A13,Segmentation!$A$2:$A$301,0))</f>
        <v>High</v>
      </c>
      <c r="G13" s="2" t="str">
        <f aca="false">INDEX(Segmentation!$N$2:$N$301,MATCH($A13,Segmentation!$A$2:$A$301,0))</f>
        <v>Growing</v>
      </c>
      <c r="H13" s="9" t="n">
        <f aca="false">INDEX(Segmentation!$I$2:$I$301,MATCH($A13,Segmentation!$A$2:$A$301,0))</f>
        <v>14611</v>
      </c>
      <c r="I13" s="2" t="n">
        <f aca="false">INDEX(Segmentation!$O$2:$O$301,MATCH($A13,Segmentation!$A$2:$A$301,0))</f>
        <v>28</v>
      </c>
      <c r="J13" s="2" t="n">
        <f aca="false">INDEX(Segmentation!$Q$2:$Q$301,MATCH($A13,Segmentation!$A$2:$A$301,0))</f>
        <v>11</v>
      </c>
      <c r="K13" s="2" t="n">
        <f aca="false">INDEX(Segmentation!$W$2:$W$301,MATCH($A13,Segmentation!$A$2:$A$301,0))</f>
        <v>6</v>
      </c>
      <c r="L13" s="9" t="n">
        <f aca="false">INDEX('Commercial View'!$L$2:$L$301,MATCH($A13,'Commercial View'!$A$2:$A$301,0))</f>
        <v>3680</v>
      </c>
      <c r="M13" s="9" t="n">
        <f aca="false">INDEX('Commercial View'!$M$2:$M$301,MATCH($A13,'Commercial View'!$A$2:$A$301,0))</f>
        <v>2432</v>
      </c>
      <c r="N13" s="9" t="n">
        <f aca="false">INDEX('Commercial View'!$N$2:$N$301,MATCH($A13,'Commercial View'!$A$2:$A$301,0))</f>
        <v>2373</v>
      </c>
      <c r="O13" s="9" t="n">
        <f aca="false">INDEX(Segmentation!$L$2:$L$301,MATCH($A13,Segmentation!$A$2:$A$301,0))</f>
        <v>8485</v>
      </c>
      <c r="P13" s="2" t="str">
        <f aca="false">IF(OR(M13&gt;0,N13&gt;0),"Recently Active",IF(OR(I13&lt;=Assumptions!$B$48,K13&lt;=Assumptions!$B$49),"No Meaningful History","Recent Inactivity"))</f>
        <v>Recently Active</v>
      </c>
      <c r="Q13" s="2" t="str">
        <f aca="false">INDEX(Segmentation!$AF$2:$AF$301,MATCH($A13,Segmentation!$A$2:$A$301,0))</f>
        <v>Existing Customer</v>
      </c>
      <c r="R13" s="2" t="str">
        <f aca="false">INDEX(Segmentation!$AL$2:$AL$301,MATCH($A13,Segmentation!$A$2:$A$301,0))</f>
        <v>N/A</v>
      </c>
      <c r="S13" s="10" t="b">
        <f aca="false">INDEX(Segmentation!$AW$2:$AW$301,MATCH($A13,Segmentation!$A$2:$A$301,0))</f>
        <v>0</v>
      </c>
      <c r="T13" s="2" t="str">
        <f aca="false">INDEX('Feature Data'!$AD$2:$AD$301,MATCH($A13,'Feature Data'!$A$2:$A$301,0))</f>
        <v>Broker-led, product-blind</v>
      </c>
      <c r="U13" s="2" t="str">
        <f aca="false">INDEX('Feature Data'!$W$2:$W$301,MATCH($A13,'Feature Data'!$A$2:$A$301,0))</f>
        <v>Mixed</v>
      </c>
      <c r="V13" s="2" t="n">
        <f aca="false">INDEX('Feature Data'!$P$2:$P$301,MATCH($A13,'Feature Data'!$A$2:$A$301,0))</f>
        <v>3</v>
      </c>
      <c r="W13" s="2" t="n">
        <f aca="false">INDEX(Segmentation!$R$2:$R$301,MATCH($A13,Segmentation!$A$2:$A$301,0))</f>
        <v>2</v>
      </c>
      <c r="X13" s="2" t="n">
        <f aca="false">INDEX(Segmentation!$S$2:$S$301,MATCH($A13,Segmentation!$A$2:$A$301,0))</f>
        <v>0</v>
      </c>
      <c r="Y13" s="10" t="b">
        <f aca="false">INDEX(Segmentation!$AG$2:$AG$301,MATCH($A13,Segmentation!$A$2:$A$301,0))</f>
        <v>1</v>
      </c>
      <c r="Z13" s="2" t="str">
        <f aca="false">INDEX(Segmentation!$AU$2:$AU$301,MATCH($A13,Segmentation!$A$2:$A$301,0))</f>
        <v>Not Eligible</v>
      </c>
      <c r="AA13" s="10" t="b">
        <f aca="false">INDEX(Segmentation!$Z$2:$Z$301,MATCH($A13,Segmentation!$A$2:$A$301,0))</f>
        <v>0</v>
      </c>
      <c r="AB13" s="10" t="b">
        <f aca="false">INDEX(Segmentation!$AH$2:$AH$301,MATCH($A13,Segmentation!$A$2:$A$301,0))</f>
        <v>0</v>
      </c>
      <c r="AC13" s="10" t="b">
        <f aca="false">INDEX(Segmentation!$AK$2:$AK$301,MATCH($A13,Segmentation!$A$2:$A$301,0))</f>
        <v>0</v>
      </c>
      <c r="AD13" s="10" t="b">
        <f aca="false">INDEX(Segmentation!$AQ$2:$AQ$301,MATCH($A13,Segmentation!$A$2:$A$301,0))</f>
        <v>1</v>
      </c>
      <c r="AE13" s="10" t="b">
        <f aca="false">INDEX(Segmentation!$AT$2:$AT$301,MATCH($A13,Segmentation!$A$2:$A$301,0))</f>
        <v>0</v>
      </c>
      <c r="AF13" s="10" t="b">
        <f aca="false">INDEX(Segmentation!$X$2:$X$301,MATCH($A13,Segmentation!$A$2:$A$301,0))</f>
        <v>0</v>
      </c>
      <c r="AG13" s="10" t="b">
        <f aca="false">AND(F13="Low",V13&gt;=Assumptions!$B$71,X13&lt;Assumptions!$B$72)</f>
        <v>0</v>
      </c>
      <c r="AH13" s="10" t="b">
        <f aca="false">AND(F13="Low",OR(G13="Growing",G13="Stable"),P13="Recently Active",V13&gt;=Assumptions!$B$58,K13&gt;=Assumptions!$B$73)</f>
        <v>0</v>
      </c>
      <c r="AI13" s="17" t="n">
        <f aca="false">IF(O13&gt;0,MAX(L13:N13)/O13,"")</f>
        <v>0.433706540954626</v>
      </c>
      <c r="AJ13" s="2" t="str">
        <f aca="false">IF(LEFT(D13,1)="1",IF(E13="Key","MIGRATION_KEY_SIGNOFF",IF(Z13="Ready","MIGRATION_PHASE1_READY",IF(Z13="Manual Review","MIGRATION_PHASE1_REVIEW","MIGRATION_PRE_ENTRY"))),IF(LEFT(D13,1)="2","DECLINING_KEY_CORE",IF(LEFT(D13,1)="3",IF(R13="Established Buyer Lapsed","LAPSED_ESTABLISHED","LAPSED_THIN_HISTORY"),IF(LEFT(D13,1)="4",IF(Q13="New Customer","NEW_CUSTOMER","RETURNED_CUSTOMER"),IF(LEFT(D13,1)="5",IF(P13="Recently Active","COST_TO_SERVE_ACTIVE","DORMANT_LOW_VALUE"),IF(LEFT(D13,1)="6",IF(P13="Recent Inactivity","RECENT_INACTIVITY",IF(AG13,"BROWSING_LOW_OFFERS","HEALTHY_STRONG_SELF_SERVE")),IF(LEFT(D13,1)="7",IF(P13="Recent Inactivity","RECENT_INACTIVITY",IF(Q13="New Customer","NEW_CUSTOMER","RETURNED_CUSTOMER")),IF(LEFT(D13,1)="8",IF(G13="Declining",IF(T13="Engaged but shrinking (Key/Core)","ENGAGED_BUT_SHRINKING","DECLINING_KEY_CORE"),IF(R13="Established Buyer Lapsed","LAPSED_ESTABLISHED","LAPSED_THIN_HISTORY")),IF(S13,IF(P13&lt;&gt;"Recently Active","DORMANT_LOW_VALUE",IF(AG13,"BROWSING_LOW_OFFERS",IF(AH13,"RISING_TAIL","RISING_TAIL_EARLY"))),IF(AND(AG13,P13="Recently Active",OR(G13="Growing",G13="Stable",G13="H2 Active / No H1 GMV"),I13&gt;=Assumptions!$B$74),"BROWSING_LOW_OFFERS","LONG_TAIL_STANDARD"))))))))))</f>
        <v>MIGRATION_KEY_SIGNOFF</v>
      </c>
      <c r="AK13" s="2" t="str">
        <f aca="false">INDEX('NBA Library'!$B$4:$B$21,MATCH(AJ13,'NBA Library'!$A$4:$A$21,0))</f>
        <v>Guided Self-Serve Migration</v>
      </c>
      <c r="AL13" s="2" t="str">
        <f aca="false">INDEX('NBA Library'!$C$4:$C$21,MATCH(AJ13,'NBA Library'!$A$4:$A$21,0))</f>
        <v>Hybrid</v>
      </c>
      <c r="AM13" s="2" t="str">
        <f aca="false">IF(AA13,"HOLD — Critical Data Issue",IF(Y13,"Human Sign-Off Required",IF(Z13="Manual Review","Human Review Required",IF(AND(AL13="Automated",OR(AE13,AND(OR(AK13="Discovery-to-Offer Enablement",AK13="Reinforce Successful Behaviour"),OR(AC13,AB13)))),"Human Review Required",IF(AL13="Human","Ready — Human",IF(AL13="Hybrid","Ready — Hybrid","Ready — Automated"))))))</f>
        <v>Human Sign-Off Required</v>
      </c>
      <c r="AN13" s="2" t="str">
        <f aca="false">IF(AA13,"P0",IF(AND(AJ13="BROWSING_LOW_OFFERS",E13="Tail"),"P3",IF(AND(AM13="Human Review Required",INDEX('NBA Library'!$D$4:$D$21,MATCH(AJ13,'NBA Library'!$A$4:$A$21,0))="P4"),"P3",INDEX('NBA Library'!$D$4:$D$21,MATCH(AJ13,'NBA Library'!$A$4:$A$21,0)))))</f>
        <v>P2</v>
      </c>
      <c r="AO13" s="2" t="str">
        <f aca="false">E13&amp;" "&amp;C13&amp;" account ("&amp;B13&amp;"); "&amp;G13&amp;" momentum; "&amp;P13&amp;"; £"&amp;TEXT(H13,"#,##0")&amp;" 6m GMV. "&amp;INDEX('NBA Library'!$G$4:$G$21,MATCH(AJ13,'NBA Library'!$A$4:$A$21,0))&amp;IF(LEFT(D13,1)="1"," Baseline: "&amp;V13&amp;" PDP views, "&amp;W13&amp;" app days, "&amp;X13&amp;" offers, "&amp;TEXT(J13/I13,"0%")&amp;" of orders self-serve.","")&amp;IF(AA13," Execution on HOLD until the Duplicate status is resolved.","")&amp;IF(Y13," Key account: explicit AM/leadership sign-off required before any migration activity.","")&amp;IF(AE13," Implied broker % from order counts would move this account to a different segment; review before automating.","")</f>
        <v>Key Broker-Reliant account (Account Managed); Growing momentum; Recently Active; £14,611 6m GMV. Key broker-reliant account with healthy spend. Technically a migration candidate, but downside risk is too large for automated initiation. Baseline: 3 PDP views, 2 app days, 0 offers, 39% of orders self-serve. Key account: explicit AM/leadership sign-off required before any migration activity.</v>
      </c>
      <c r="AP13" s="2" t="str">
        <f aca="false">INDEX('NBA Library'!$E$4:$E$21,MATCH(AJ13,'NBA Library'!$A$4:$A$21,0))&amp;IF(AND(AJ13="NEW_CUSTOMER",AG13),"; introduce Make-an-Offer on items already browsed","")</f>
        <v>If approved: gradual shift to independent discovery with AM retained; otherwise keep current service model</v>
      </c>
      <c r="AQ13" s="2" t="str">
        <f aca="false">INDEX('NBA Library'!$F$4:$F$21,MATCH(AJ13,'NBA Library'!$A$4:$A$21,0))</f>
        <v>Sign-off decision logged; if approved, as Phase 1 with a stricter GMV guardrail</v>
      </c>
      <c r="AR13" s="2" t="str">
        <f aca="false">IF(AND(F13="Low",OR(G13="Growing",G13="Stable"),P13="Recently Active",U13&lt;&gt;"Mixed",OR(AK13="Discovery-to-Offer Enablement",AK13="Reinforce Successful Behaviour"),AM13="Ready — Automated",OR(E13&lt;&gt;"Tail",S13)),"Range Expansion Test — trial "&amp;IF(U13="Bundle-only","handpick","bundles")&amp;" (experimental; not proven to lift GMV)","")</f>
        <v/>
      </c>
      <c r="AS13" s="2" t="str">
        <f aca="false">IF(AK13&lt;&gt;"Automated Nurture","",IF(AJ13="DORMANT_LOW_VALUE","Dormant",IF(AJ13="RISING_TAIL_EARLY","Rising tail – early pattern",IF(Q13="New Customer","New customer onboarding",IF(Q13="Returned Customer","Returned customer",IF(G13="Lapsed","Dormant",IF(T13="Engaged, not converting","Engaged, not converting",IF(T13="One-off low-touch buyer","One-off purchaser",IF(T13="Light-touch repeat buyer","Light-touch repeat buyer","Standard long tail")))))))))</f>
        <v/>
      </c>
      <c r="AT13" s="2" t="str">
        <f aca="false">IF(AA13,"CRITICAL_DATA_BLOCKER; ","")&amp;IF(Y13,"KEY_SIGNOFF; ","")&amp;IF(Z13="Manual Review","PHASE1_MANUAL_REVIEW; ","")&amp;IF(AND(LEFT(D13,1)="1",AZ13="Lumpy"),"LUMPY_CADENCE; ","")&amp;IF(AB13,"BORDERLINE_MOMENTUM; ","")&amp;IF(AC13,"FEB_SENSITIVE; ","")&amp;IF(AD13,"MATERIAL_BROKER_INCONSISTENCY"&amp;IF(AE13," (segment would change)","")&amp;"; ","")&amp;IF(AND(I13&gt;=3,O13&gt;0),IF(AI13&gt;=Assumptions!$B$75,"H2_SINGLE_MONTH_SPIKE; ",""),"")&amp;IF(AND(M13&gt;0,N13=0),"NO_FEB_GMV (Feb unconfirmed); ","")&amp;IF(AF13,"LOW_CONFIDENCE; ","")</f>
        <v>KEY_SIGNOFF; MATERIAL_BROKER_INCONSISTENCY; </v>
      </c>
      <c r="AU13" s="2" t="n">
        <f aca="false">IF(LEFT(D13,1)="1",V13,"")</f>
        <v>3</v>
      </c>
      <c r="AV13" s="10" t="b">
        <f aca="false">IF(LEFT(D13,1)="1",V13&gt;=Assumptions!$B$58,"")</f>
        <v>0</v>
      </c>
      <c r="AW13" s="2" t="n">
        <f aca="false">IF(LEFT(D13,1)="1",W13,"")</f>
        <v>2</v>
      </c>
      <c r="AX13" s="2" t="n">
        <f aca="false">IF(LEFT(D13,1)="1",X13,"")</f>
        <v>0</v>
      </c>
      <c r="AY13" s="17" t="n">
        <f aca="false">IF(LEFT(D13,1)="1",J13/I13,"")</f>
        <v>0.392857142857143</v>
      </c>
      <c r="AZ13" s="2" t="str">
        <f aca="false">IF(LEFT(D13,1)="1",IF(AND(K13&gt;=Assumptions!$B$83,I13&gt;=Assumptions!$B$84),"Regular","Lumpy"),"")</f>
        <v>Regular</v>
      </c>
      <c r="BA13" s="2" t="n">
        <f aca="false">IF(LEFT(D13,1)="1",ROUND(6/K13,0),"")</f>
        <v>1</v>
      </c>
      <c r="BB13" s="2" t="str">
        <f aca="false">IF(LEFT(D13,1)="1",IF(AZ13="Regular","Regular buyer: expected ~£"&amp;TEXT(H13/2,"#,##0")&amp;" per 90 days. At Risk if GMV to date &lt; "&amp;TEXT(Assumptions!$B$81,"0%")&amp;" of pro-rated expectation, checked from day "&amp;Assumptions!$B$82&amp;". Human-reviewed.","Irregular buyer ("&amp;I13&amp;" orders across "&amp;K13&amp;" months): no numeric GMV threshold. At Risk if no order within ~"&amp;BA13&amp;" month(s); AM reviews at day "&amp;Assumptions!$B$82&amp;" and "&amp;Assumptions!$B$85&amp;"."),"")</f>
        <v>Regular buyer: expected ~£7,306 per 90 days. At Risk if GMV to date &lt; 70% of pro-rated expectation, checked from day 45. Human-reviewed.</v>
      </c>
      <c r="BC13" s="18"/>
      <c r="BD13" s="18"/>
      <c r="BE13" s="18"/>
      <c r="BF13" s="18"/>
      <c r="BG13" s="18"/>
      <c r="BH13" s="18"/>
      <c r="BI13" s="18"/>
      <c r="BJ13" s="2" t="str">
        <f aca="false">IF(OR(NOT(LEFT(D13,1)="1"),BC13=""),"",IF(AZ13="Regular",AND(BC13&gt;=Assumptions!$B$82,N(BI13)&lt;Assumptions!$B$81*H13/180*BC13),AND(BC13&gt;=BA13*30,N(BG13)=0)))</f>
        <v/>
      </c>
      <c r="BK13" s="2" t="str">
        <f aca="false">IF(NOT(LEFT(D13,1)="1"),"N/A",IF(BC13="","Baseline",IF(BJ13,"At Risk",IF(AND(N(BD13)&gt;=Assumptions!$B$78,N(BE13)&gt;=Assumptions!$B$79,N(BH13)&gt;=1,N(BH13)/MAX(N(BG13),1)&gt;AY13),"Self-Serve Capability Demonstrated",IF(OR(N(BD13)&gt;=Assumptions!$B$76,N(BE13)&gt;=Assumptions!$B$77),"Progressing",IF(BC13&gt;=Assumptions!$B$85,"At Risk","Baseline"))))))</f>
        <v>Baseline</v>
      </c>
      <c r="BL13" s="2" t="n">
        <f aca="false">(AND(C13="Broker-Reliant",OR(AK13="Discovery-to-Offer Enablement",AK13="Reinforce Successful Behaviour")))*1+(AND(G13="Declining",E13&lt;&gt;"Tail",AL13="Automated"))*1+(AND(Y13,AM13&lt;&gt;"Human Sign-Off Required"))*1+(AND(AA13,AM13&lt;&gt;"HOLD — Critical Data Issue"))*1+(AND(P13="Recent Inactivity",OR(AK13="Discovery-to-Offer Enablement",AK13="Reinforce Successful Behaviour")))*1+(AND(OR(LEFT(D13,1)="2",LEFT(D13,1)="3",LEFT(D13,1)="8"),AL13="Automated"))*1+((LEFT(D13,1)="1")&lt;&gt;(AK13="Guided Self-Serve Migration"))*1+(AND(AR13&lt;&gt;"",OR(F13&lt;&gt;"Low",U13="Mixed",AND(G13&lt;&gt;"Growing",G13&lt;&gt;"Stable"))))*1+ISNUMBER(SEARCH("chat",AP13))*1+ISNUMBER(SEARCH("video",AP13))*1+(AND(AA13,AL13="Automated",AM13&lt;&gt;"HOLD — Critical Data Issue"))*1</f>
        <v>0</v>
      </c>
    </row>
    <row r="14" customFormat="false" ht="15" hidden="false" customHeight="false" outlineLevel="0" collapsed="false">
      <c r="A14" s="2" t="s">
        <v>175</v>
      </c>
      <c r="B14" s="2" t="str">
        <f aca="false">INDEX(Segmentation!$B$2:$B$301,MATCH($A14,Segmentation!$A$2:$A$301,0))</f>
        <v>Account Managed</v>
      </c>
      <c r="C14" s="2" t="str">
        <f aca="false">INDEX(Segmentation!$H$2:$H$301,MATCH($A14,Segmentation!$A$2:$A$301,0))</f>
        <v>Broker-Reliant</v>
      </c>
      <c r="D14" s="2" t="str">
        <f aca="false">INDEX(Segmentation!$T$2:$T$301,MATCH($A14,Segmentation!$A$2:$A$301,0))</f>
        <v>2. Protect / Retain First</v>
      </c>
      <c r="E14" s="2" t="str">
        <f aca="false">INDEX(Segmentation!$J$2:$J$301,MATCH($A14,Segmentation!$A$2:$A$301,0))</f>
        <v>Key</v>
      </c>
      <c r="F14" s="2" t="str">
        <f aca="false">INDEX(Segmentation!$G$2:$G$301,MATCH($A14,Segmentation!$A$2:$A$301,0))</f>
        <v>Medium</v>
      </c>
      <c r="G14" s="2" t="str">
        <f aca="false">INDEX(Segmentation!$N$2:$N$301,MATCH($A14,Segmentation!$A$2:$A$301,0))</f>
        <v>Declining</v>
      </c>
      <c r="H14" s="9" t="n">
        <f aca="false">INDEX(Segmentation!$I$2:$I$301,MATCH($A14,Segmentation!$A$2:$A$301,0))</f>
        <v>14315</v>
      </c>
      <c r="I14" s="2" t="n">
        <f aca="false">INDEX(Segmentation!$O$2:$O$301,MATCH($A14,Segmentation!$A$2:$A$301,0))</f>
        <v>21</v>
      </c>
      <c r="J14" s="2" t="n">
        <f aca="false">INDEX(Segmentation!$Q$2:$Q$301,MATCH($A14,Segmentation!$A$2:$A$301,0))</f>
        <v>9</v>
      </c>
      <c r="K14" s="2" t="n">
        <f aca="false">INDEX(Segmentation!$W$2:$W$301,MATCH($A14,Segmentation!$A$2:$A$301,0))</f>
        <v>5</v>
      </c>
      <c r="L14" s="9" t="n">
        <f aca="false">INDEX('Commercial View'!$L$2:$L$301,MATCH($A14,'Commercial View'!$A$2:$A$301,0))</f>
        <v>1703</v>
      </c>
      <c r="M14" s="9" t="n">
        <f aca="false">INDEX('Commercial View'!$M$2:$M$301,MATCH($A14,'Commercial View'!$A$2:$A$301,0))</f>
        <v>0</v>
      </c>
      <c r="N14" s="9" t="n">
        <f aca="false">INDEX('Commercial View'!$N$2:$N$301,MATCH($A14,'Commercial View'!$A$2:$A$301,0))</f>
        <v>2647</v>
      </c>
      <c r="O14" s="9" t="n">
        <f aca="false">INDEX(Segmentation!$L$2:$L$301,MATCH($A14,Segmentation!$A$2:$A$301,0))</f>
        <v>4350</v>
      </c>
      <c r="P14" s="2" t="str">
        <f aca="false">IF(OR(M14&gt;0,N14&gt;0),"Recently Active",IF(OR(I14&lt;=Assumptions!$B$48,K14&lt;=Assumptions!$B$49),"No Meaningful History","Recent Inactivity"))</f>
        <v>Recently Active</v>
      </c>
      <c r="Q14" s="2" t="str">
        <f aca="false">INDEX(Segmentation!$AF$2:$AF$301,MATCH($A14,Segmentation!$A$2:$A$301,0))</f>
        <v>Existing Customer</v>
      </c>
      <c r="R14" s="2" t="str">
        <f aca="false">INDEX(Segmentation!$AL$2:$AL$301,MATCH($A14,Segmentation!$A$2:$A$301,0))</f>
        <v>N/A</v>
      </c>
      <c r="S14" s="10" t="b">
        <f aca="false">INDEX(Segmentation!$AW$2:$AW$301,MATCH($A14,Segmentation!$A$2:$A$301,0))</f>
        <v>0</v>
      </c>
      <c r="T14" s="2" t="str">
        <f aca="false">INDEX('Feature Data'!$AD$2:$AD$301,MATCH($A14,'Feature Data'!$A$2:$A$301,0))</f>
        <v>Broker-led, product-blind</v>
      </c>
      <c r="U14" s="2" t="str">
        <f aca="false">INDEX('Feature Data'!$W$2:$W$301,MATCH($A14,'Feature Data'!$A$2:$A$301,0))</f>
        <v>Mixed</v>
      </c>
      <c r="V14" s="2" t="n">
        <f aca="false">INDEX('Feature Data'!$P$2:$P$301,MATCH($A14,'Feature Data'!$A$2:$A$301,0))</f>
        <v>5</v>
      </c>
      <c r="W14" s="2" t="n">
        <f aca="false">INDEX(Segmentation!$R$2:$R$301,MATCH($A14,Segmentation!$A$2:$A$301,0))</f>
        <v>8</v>
      </c>
      <c r="X14" s="2" t="n">
        <f aca="false">INDEX(Segmentation!$S$2:$S$301,MATCH($A14,Segmentation!$A$2:$A$301,0))</f>
        <v>1</v>
      </c>
      <c r="Y14" s="10" t="b">
        <f aca="false">INDEX(Segmentation!$AG$2:$AG$301,MATCH($A14,Segmentation!$A$2:$A$301,0))</f>
        <v>0</v>
      </c>
      <c r="Z14" s="2" t="str">
        <f aca="false">INDEX(Segmentation!$AU$2:$AU$301,MATCH($A14,Segmentation!$A$2:$A$301,0))</f>
        <v>Not Eligible</v>
      </c>
      <c r="AA14" s="10" t="b">
        <f aca="false">INDEX(Segmentation!$Z$2:$Z$301,MATCH($A14,Segmentation!$A$2:$A$301,0))</f>
        <v>0</v>
      </c>
      <c r="AB14" s="10" t="b">
        <f aca="false">INDEX(Segmentation!$AH$2:$AH$301,MATCH($A14,Segmentation!$A$2:$A$301,0))</f>
        <v>0</v>
      </c>
      <c r="AC14" s="10" t="b">
        <f aca="false">INDEX(Segmentation!$AK$2:$AK$301,MATCH($A14,Segmentation!$A$2:$A$301,0))</f>
        <v>0</v>
      </c>
      <c r="AD14" s="10" t="b">
        <f aca="false">INDEX(Segmentation!$AQ$2:$AQ$301,MATCH($A14,Segmentation!$A$2:$A$301,0))</f>
        <v>0</v>
      </c>
      <c r="AE14" s="10" t="b">
        <f aca="false">INDEX(Segmentation!$AT$2:$AT$301,MATCH($A14,Segmentation!$A$2:$A$301,0))</f>
        <v>0</v>
      </c>
      <c r="AF14" s="10" t="b">
        <f aca="false">INDEX(Segmentation!$X$2:$X$301,MATCH($A14,Segmentation!$A$2:$A$301,0))</f>
        <v>0</v>
      </c>
      <c r="AG14" s="10" t="b">
        <f aca="false">AND(F14="Low",V14&gt;=Assumptions!$B$71,X14&lt;Assumptions!$B$72)</f>
        <v>0</v>
      </c>
      <c r="AH14" s="10" t="b">
        <f aca="false">AND(F14="Low",OR(G14="Growing",G14="Stable"),P14="Recently Active",V14&gt;=Assumptions!$B$58,K14&gt;=Assumptions!$B$73)</f>
        <v>0</v>
      </c>
      <c r="AI14" s="17" t="n">
        <f aca="false">IF(O14&gt;0,MAX(L14:N14)/O14,"")</f>
        <v>0.608505747126437</v>
      </c>
      <c r="AJ14" s="2" t="str">
        <f aca="false">IF(LEFT(D14,1)="1",IF(E14="Key","MIGRATION_KEY_SIGNOFF",IF(Z14="Ready","MIGRATION_PHASE1_READY",IF(Z14="Manual Review","MIGRATION_PHASE1_REVIEW","MIGRATION_PRE_ENTRY"))),IF(LEFT(D14,1)="2","DECLINING_KEY_CORE",IF(LEFT(D14,1)="3",IF(R14="Established Buyer Lapsed","LAPSED_ESTABLISHED","LAPSED_THIN_HISTORY"),IF(LEFT(D14,1)="4",IF(Q14="New Customer","NEW_CUSTOMER","RETURNED_CUSTOMER"),IF(LEFT(D14,1)="5",IF(P14="Recently Active","COST_TO_SERVE_ACTIVE","DORMANT_LOW_VALUE"),IF(LEFT(D14,1)="6",IF(P14="Recent Inactivity","RECENT_INACTIVITY",IF(AG14,"BROWSING_LOW_OFFERS","HEALTHY_STRONG_SELF_SERVE")),IF(LEFT(D14,1)="7",IF(P14="Recent Inactivity","RECENT_INACTIVITY",IF(Q14="New Customer","NEW_CUSTOMER","RETURNED_CUSTOMER")),IF(LEFT(D14,1)="8",IF(G14="Declining",IF(T14="Engaged but shrinking (Key/Core)","ENGAGED_BUT_SHRINKING","DECLINING_KEY_CORE"),IF(R14="Established Buyer Lapsed","LAPSED_ESTABLISHED","LAPSED_THIN_HISTORY")),IF(S14,IF(P14&lt;&gt;"Recently Active","DORMANT_LOW_VALUE",IF(AG14,"BROWSING_LOW_OFFERS",IF(AH14,"RISING_TAIL","RISING_TAIL_EARLY"))),IF(AND(AG14,P14="Recently Active",OR(G14="Growing",G14="Stable",G14="H2 Active / No H1 GMV"),I14&gt;=Assumptions!$B$74),"BROWSING_LOW_OFFERS","LONG_TAIL_STANDARD"))))))))))</f>
        <v>DECLINING_KEY_CORE</v>
      </c>
      <c r="AK14" s="2" t="str">
        <f aca="false">INDEX('NBA Library'!$B$4:$B$21,MATCH(AJ14,'NBA Library'!$A$4:$A$21,0))</f>
        <v>Retention Conversation</v>
      </c>
      <c r="AL14" s="2" t="str">
        <f aca="false">INDEX('NBA Library'!$C$4:$C$21,MATCH(AJ14,'NBA Library'!$A$4:$A$21,0))</f>
        <v>Human</v>
      </c>
      <c r="AM14" s="2" t="str">
        <f aca="false">IF(AA14,"HOLD — Critical Data Issue",IF(Y14,"Human Sign-Off Required",IF(Z14="Manual Review","Human Review Required",IF(AND(AL14="Automated",OR(AE14,AND(OR(AK14="Discovery-to-Offer Enablement",AK14="Reinforce Successful Behaviour"),OR(AC14,AB14)))),"Human Review Required",IF(AL14="Human","Ready — Human",IF(AL14="Hybrid","Ready — Hybrid","Ready — Automated"))))))</f>
        <v>Ready — Human</v>
      </c>
      <c r="AN14" s="2" t="str">
        <f aca="false">IF(AA14,"P0",IF(AND(AJ14="BROWSING_LOW_OFFERS",E14="Tail"),"P3",IF(AND(AM14="Human Review Required",INDEX('NBA Library'!$D$4:$D$21,MATCH(AJ14,'NBA Library'!$A$4:$A$21,0))="P4"),"P3",INDEX('NBA Library'!$D$4:$D$21,MATCH(AJ14,'NBA Library'!$A$4:$A$21,0)))))</f>
        <v>P1</v>
      </c>
      <c r="AO14" s="2" t="str">
        <f aca="false">E14&amp;" "&amp;C14&amp;" account ("&amp;B14&amp;"); "&amp;G14&amp;" momentum; "&amp;P14&amp;"; £"&amp;TEXT(H14,"#,##0")&amp;" 6m GMV. "&amp;INDEX('NBA Library'!$G$4:$G$21,MATCH(AJ14,'NBA Library'!$A$4:$A$21,0))&amp;IF(LEFT(D14,1)="1"," Baseline: "&amp;V14&amp;" PDP views, "&amp;W14&amp;" app days, "&amp;X14&amp;" offers, "&amp;TEXT(J14/I14,"0%")&amp;" of orders self-serve.","")&amp;IF(AA14," Execution on HOLD until the Duplicate status is resolved.","")&amp;IF(Y14," Key account: explicit AM/leadership sign-off required before any migration activity.","")&amp;IF(AE14," Implied broker % from order counts would move this account to a different segment; review before automating.","")</f>
        <v>Key Broker-Reliant account (Account Managed); Declining momentum; Recently Active; £14,315 6m GMV. Broker-led spend is falling. Keep human support in place; AM to diagnose the cause before any migration or product nudge.</v>
      </c>
      <c r="AP14" s="2" t="str">
        <f aca="false">INDEX('NBA Library'!$E$4:$E$21,MATCH(AJ14,'NBA Library'!$A$4:$A$21,0))&amp;IF(AND(AJ14="NEW_CUSTOMER",AG14),"; introduce Make-an-Offer on items already browsed","")</f>
        <v>AM diagnoses the cause of falling spend (supply, price, service, competitor) and agrees a recovery plan; keep human support in place</v>
      </c>
      <c r="AQ14" s="2" t="str">
        <f aca="false">INDEX('NBA Library'!$F$4:$F$21,MATCH(AJ14,'NBA Library'!$A$4:$A$21,0))</f>
        <v>Next 90-day GMV back to at least the Sep-Nov (H1) level, or decline arrested; root cause logged</v>
      </c>
      <c r="AR14" s="2" t="str">
        <f aca="false">IF(AND(F14="Low",OR(G14="Growing",G14="Stable"),P14="Recently Active",U14&lt;&gt;"Mixed",OR(AK14="Discovery-to-Offer Enablement",AK14="Reinforce Successful Behaviour"),AM14="Ready — Automated",OR(E14&lt;&gt;"Tail",S14)),"Range Expansion Test — trial "&amp;IF(U14="Bundle-only","handpick","bundles")&amp;" (experimental; not proven to lift GMV)","")</f>
        <v/>
      </c>
      <c r="AS14" s="2" t="str">
        <f aca="false">IF(AK14&lt;&gt;"Automated Nurture","",IF(AJ14="DORMANT_LOW_VALUE","Dormant",IF(AJ14="RISING_TAIL_EARLY","Rising tail – early pattern",IF(Q14="New Customer","New customer onboarding",IF(Q14="Returned Customer","Returned customer",IF(G14="Lapsed","Dormant",IF(T14="Engaged, not converting","Engaged, not converting",IF(T14="One-off low-touch buyer","One-off purchaser",IF(T14="Light-touch repeat buyer","Light-touch repeat buyer","Standard long tail")))))))))</f>
        <v/>
      </c>
      <c r="AT14" s="2" t="str">
        <f aca="false">IF(AA14,"CRITICAL_DATA_BLOCKER; ","")&amp;IF(Y14,"KEY_SIGNOFF; ","")&amp;IF(Z14="Manual Review","PHASE1_MANUAL_REVIEW; ","")&amp;IF(AND(LEFT(D14,1)="1",AZ14="Lumpy"),"LUMPY_CADENCE; ","")&amp;IF(AB14,"BORDERLINE_MOMENTUM; ","")&amp;IF(AC14,"FEB_SENSITIVE; ","")&amp;IF(AD14,"MATERIAL_BROKER_INCONSISTENCY"&amp;IF(AE14," (segment would change)","")&amp;"; ","")&amp;IF(AND(I14&gt;=3,O14&gt;0),IF(AI14&gt;=Assumptions!$B$75,"H2_SINGLE_MONTH_SPIKE; ",""),"")&amp;IF(AND(M14&gt;0,N14=0),"NO_FEB_GMV (Feb unconfirmed); ","")&amp;IF(AF14,"LOW_CONFIDENCE; ","")</f>
        <v/>
      </c>
      <c r="AU14" s="2" t="str">
        <f aca="false">IF(LEFT(D14,1)="1",V14,"")</f>
        <v/>
      </c>
      <c r="AV14" s="2" t="str">
        <f aca="false">IF(LEFT(D14,1)="1",V14&gt;=Assumptions!$B$58,"")</f>
        <v/>
      </c>
      <c r="AW14" s="2" t="str">
        <f aca="false">IF(LEFT(D14,1)="1",W14,"")</f>
        <v/>
      </c>
      <c r="AX14" s="2" t="str">
        <f aca="false">IF(LEFT(D14,1)="1",X14,"")</f>
        <v/>
      </c>
      <c r="AY14" s="17" t="str">
        <f aca="false">IF(LEFT(D14,1)="1",J14/I14,"")</f>
        <v/>
      </c>
      <c r="AZ14" s="2" t="str">
        <f aca="false">IF(LEFT(D14,1)="1",IF(AND(K14&gt;=Assumptions!$B$83,I14&gt;=Assumptions!$B$84),"Regular","Lumpy"),"")</f>
        <v/>
      </c>
      <c r="BA14" s="2" t="str">
        <f aca="false">IF(LEFT(D14,1)="1",ROUND(6/K14,0),"")</f>
        <v/>
      </c>
      <c r="BB14" s="2" t="str">
        <f aca="false">IF(LEFT(D14,1)="1",IF(AZ14="Regular","Regular buyer: expected ~£"&amp;TEXT(H14/2,"#,##0")&amp;" per 90 days. At Risk if GMV to date &lt; "&amp;TEXT(Assumptions!$B$81,"0%")&amp;" of pro-rated expectation, checked from day "&amp;Assumptions!$B$82&amp;". Human-reviewed.","Irregular buyer ("&amp;I14&amp;" orders across "&amp;K14&amp;" months): no numeric GMV threshold. At Risk if no order within ~"&amp;BA14&amp;" month(s); AM reviews at day "&amp;Assumptions!$B$82&amp;" and "&amp;Assumptions!$B$85&amp;"."),"")</f>
        <v/>
      </c>
      <c r="BC14" s="2"/>
      <c r="BD14" s="2"/>
      <c r="BE14" s="2"/>
      <c r="BF14" s="2"/>
      <c r="BG14" s="2"/>
      <c r="BH14" s="2"/>
      <c r="BI14" s="2"/>
      <c r="BJ14" s="2" t="str">
        <f aca="false">IF(OR(NOT(LEFT(D14,1)="1"),BC14=""),"",IF(AZ14="Regular",AND(BC14&gt;=Assumptions!$B$82,N(BI14)&lt;Assumptions!$B$81*H14/180*BC14),AND(BC14&gt;=BA14*30,N(BG14)=0)))</f>
        <v/>
      </c>
      <c r="BK14" s="2" t="str">
        <f aca="false">IF(NOT(LEFT(D14,1)="1"),"N/A",IF(BC14="","Baseline",IF(BJ14,"At Risk",IF(AND(N(BD14)&gt;=Assumptions!$B$78,N(BE14)&gt;=Assumptions!$B$79,N(BH14)&gt;=1,N(BH14)/MAX(N(BG14),1)&gt;AY14),"Self-Serve Capability Demonstrated",IF(OR(N(BD14)&gt;=Assumptions!$B$76,N(BE14)&gt;=Assumptions!$B$77),"Progressing",IF(BC14&gt;=Assumptions!$B$85,"At Risk","Baseline"))))))</f>
        <v>N/A</v>
      </c>
      <c r="BL14" s="2" t="n">
        <f aca="false">(AND(C14="Broker-Reliant",OR(AK14="Discovery-to-Offer Enablement",AK14="Reinforce Successful Behaviour")))*1+(AND(G14="Declining",E14&lt;&gt;"Tail",AL14="Automated"))*1+(AND(Y14,AM14&lt;&gt;"Human Sign-Off Required"))*1+(AND(AA14,AM14&lt;&gt;"HOLD — Critical Data Issue"))*1+(AND(P14="Recent Inactivity",OR(AK14="Discovery-to-Offer Enablement",AK14="Reinforce Successful Behaviour")))*1+(AND(OR(LEFT(D14,1)="2",LEFT(D14,1)="3",LEFT(D14,1)="8"),AL14="Automated"))*1+((LEFT(D14,1)="1")&lt;&gt;(AK14="Guided Self-Serve Migration"))*1+(AND(AR14&lt;&gt;"",OR(F14&lt;&gt;"Low",U14="Mixed",AND(G14&lt;&gt;"Growing",G14&lt;&gt;"Stable"))))*1+ISNUMBER(SEARCH("chat",AP14))*1+ISNUMBER(SEARCH("video",AP14))*1+(AND(AA14,AL14="Automated",AM14&lt;&gt;"HOLD — Critical Data Issue"))*1</f>
        <v>0</v>
      </c>
    </row>
    <row r="15" customFormat="false" ht="15" hidden="false" customHeight="false" outlineLevel="0" collapsed="false">
      <c r="A15" s="2" t="s">
        <v>189</v>
      </c>
      <c r="B15" s="2" t="str">
        <f aca="false">INDEX(Segmentation!$B$2:$B$301,MATCH($A15,Segmentation!$A$2:$A$301,0))</f>
        <v>Account Managed</v>
      </c>
      <c r="C15" s="2" t="str">
        <f aca="false">INDEX(Segmentation!$H$2:$H$301,MATCH($A15,Segmentation!$A$2:$A$301,0))</f>
        <v>Broker-Reliant</v>
      </c>
      <c r="D15" s="2" t="str">
        <f aca="false">INDEX(Segmentation!$T$2:$T$301,MATCH($A15,Segmentation!$A$2:$A$301,0))</f>
        <v>2. Protect / Retain First</v>
      </c>
      <c r="E15" s="2" t="str">
        <f aca="false">INDEX(Segmentation!$J$2:$J$301,MATCH($A15,Segmentation!$A$2:$A$301,0))</f>
        <v>Key</v>
      </c>
      <c r="F15" s="2" t="str">
        <f aca="false">INDEX(Segmentation!$G$2:$G$301,MATCH($A15,Segmentation!$A$2:$A$301,0))</f>
        <v>High</v>
      </c>
      <c r="G15" s="2" t="str">
        <f aca="false">INDEX(Segmentation!$N$2:$N$301,MATCH($A15,Segmentation!$A$2:$A$301,0))</f>
        <v>Declining</v>
      </c>
      <c r="H15" s="9" t="n">
        <f aca="false">INDEX(Segmentation!$I$2:$I$301,MATCH($A15,Segmentation!$A$2:$A$301,0))</f>
        <v>11721</v>
      </c>
      <c r="I15" s="2" t="n">
        <f aca="false">INDEX(Segmentation!$O$2:$O$301,MATCH($A15,Segmentation!$A$2:$A$301,0))</f>
        <v>27</v>
      </c>
      <c r="J15" s="2" t="n">
        <f aca="false">INDEX(Segmentation!$Q$2:$Q$301,MATCH($A15,Segmentation!$A$2:$A$301,0))</f>
        <v>5</v>
      </c>
      <c r="K15" s="2" t="n">
        <f aca="false">INDEX(Segmentation!$W$2:$W$301,MATCH($A15,Segmentation!$A$2:$A$301,0))</f>
        <v>6</v>
      </c>
      <c r="L15" s="9" t="n">
        <f aca="false">INDEX('Commercial View'!$L$2:$L$301,MATCH($A15,'Commercial View'!$A$2:$A$301,0))</f>
        <v>1470</v>
      </c>
      <c r="M15" s="9" t="n">
        <f aca="false">INDEX('Commercial View'!$M$2:$M$301,MATCH($A15,'Commercial View'!$A$2:$A$301,0))</f>
        <v>1789</v>
      </c>
      <c r="N15" s="9" t="n">
        <f aca="false">INDEX('Commercial View'!$N$2:$N$301,MATCH($A15,'Commercial View'!$A$2:$A$301,0))</f>
        <v>1402</v>
      </c>
      <c r="O15" s="9" t="n">
        <f aca="false">INDEX(Segmentation!$L$2:$L$301,MATCH($A15,Segmentation!$A$2:$A$301,0))</f>
        <v>4661</v>
      </c>
      <c r="P15" s="2" t="str">
        <f aca="false">IF(OR(M15&gt;0,N15&gt;0),"Recently Active",IF(OR(I15&lt;=Assumptions!$B$48,K15&lt;=Assumptions!$B$49),"No Meaningful History","Recent Inactivity"))</f>
        <v>Recently Active</v>
      </c>
      <c r="Q15" s="2" t="str">
        <f aca="false">INDEX(Segmentation!$AF$2:$AF$301,MATCH($A15,Segmentation!$A$2:$A$301,0))</f>
        <v>Existing Customer</v>
      </c>
      <c r="R15" s="2" t="str">
        <f aca="false">INDEX(Segmentation!$AL$2:$AL$301,MATCH($A15,Segmentation!$A$2:$A$301,0))</f>
        <v>N/A</v>
      </c>
      <c r="S15" s="10" t="b">
        <f aca="false">INDEX(Segmentation!$AW$2:$AW$301,MATCH($A15,Segmentation!$A$2:$A$301,0))</f>
        <v>0</v>
      </c>
      <c r="T15" s="2" t="str">
        <f aca="false">INDEX('Feature Data'!$AD$2:$AD$301,MATCH($A15,'Feature Data'!$A$2:$A$301,0))</f>
        <v>Broker-led, product-blind</v>
      </c>
      <c r="U15" s="2" t="str">
        <f aca="false">INDEX('Feature Data'!$W$2:$W$301,MATCH($A15,'Feature Data'!$A$2:$A$301,0))</f>
        <v>Mixed</v>
      </c>
      <c r="V15" s="2" t="n">
        <f aca="false">INDEX('Feature Data'!$P$2:$P$301,MATCH($A15,'Feature Data'!$A$2:$A$301,0))</f>
        <v>1</v>
      </c>
      <c r="W15" s="2" t="n">
        <f aca="false">INDEX(Segmentation!$R$2:$R$301,MATCH($A15,Segmentation!$A$2:$A$301,0))</f>
        <v>5</v>
      </c>
      <c r="X15" s="2" t="n">
        <f aca="false">INDEX(Segmentation!$S$2:$S$301,MATCH($A15,Segmentation!$A$2:$A$301,0))</f>
        <v>0</v>
      </c>
      <c r="Y15" s="10" t="b">
        <f aca="false">INDEX(Segmentation!$AG$2:$AG$301,MATCH($A15,Segmentation!$A$2:$A$301,0))</f>
        <v>0</v>
      </c>
      <c r="Z15" s="2" t="str">
        <f aca="false">INDEX(Segmentation!$AU$2:$AU$301,MATCH($A15,Segmentation!$A$2:$A$301,0))</f>
        <v>Not Eligible</v>
      </c>
      <c r="AA15" s="10" t="b">
        <f aca="false">INDEX(Segmentation!$Z$2:$Z$301,MATCH($A15,Segmentation!$A$2:$A$301,0))</f>
        <v>0</v>
      </c>
      <c r="AB15" s="10" t="b">
        <f aca="false">INDEX(Segmentation!$AH$2:$AH$301,MATCH($A15,Segmentation!$A$2:$A$301,0))</f>
        <v>0</v>
      </c>
      <c r="AC15" s="10" t="b">
        <f aca="false">INDEX(Segmentation!$AK$2:$AK$301,MATCH($A15,Segmentation!$A$2:$A$301,0))</f>
        <v>0</v>
      </c>
      <c r="AD15" s="10" t="b">
        <f aca="false">INDEX(Segmentation!$AQ$2:$AQ$301,MATCH($A15,Segmentation!$A$2:$A$301,0))</f>
        <v>0</v>
      </c>
      <c r="AE15" s="10" t="b">
        <f aca="false">INDEX(Segmentation!$AT$2:$AT$301,MATCH($A15,Segmentation!$A$2:$A$301,0))</f>
        <v>0</v>
      </c>
      <c r="AF15" s="10" t="b">
        <f aca="false">INDEX(Segmentation!$X$2:$X$301,MATCH($A15,Segmentation!$A$2:$A$301,0))</f>
        <v>0</v>
      </c>
      <c r="AG15" s="10" t="b">
        <f aca="false">AND(F15="Low",V15&gt;=Assumptions!$B$71,X15&lt;Assumptions!$B$72)</f>
        <v>0</v>
      </c>
      <c r="AH15" s="10" t="b">
        <f aca="false">AND(F15="Low",OR(G15="Growing",G15="Stable"),P15="Recently Active",V15&gt;=Assumptions!$B$58,K15&gt;=Assumptions!$B$73)</f>
        <v>0</v>
      </c>
      <c r="AI15" s="17" t="n">
        <f aca="false">IF(O15&gt;0,MAX(L15:N15)/O15,"")</f>
        <v>0.383823213902596</v>
      </c>
      <c r="AJ15" s="2" t="str">
        <f aca="false">IF(LEFT(D15,1)="1",IF(E15="Key","MIGRATION_KEY_SIGNOFF",IF(Z15="Ready","MIGRATION_PHASE1_READY",IF(Z15="Manual Review","MIGRATION_PHASE1_REVIEW","MIGRATION_PRE_ENTRY"))),IF(LEFT(D15,1)="2","DECLINING_KEY_CORE",IF(LEFT(D15,1)="3",IF(R15="Established Buyer Lapsed","LAPSED_ESTABLISHED","LAPSED_THIN_HISTORY"),IF(LEFT(D15,1)="4",IF(Q15="New Customer","NEW_CUSTOMER","RETURNED_CUSTOMER"),IF(LEFT(D15,1)="5",IF(P15="Recently Active","COST_TO_SERVE_ACTIVE","DORMANT_LOW_VALUE"),IF(LEFT(D15,1)="6",IF(P15="Recent Inactivity","RECENT_INACTIVITY",IF(AG15,"BROWSING_LOW_OFFERS","HEALTHY_STRONG_SELF_SERVE")),IF(LEFT(D15,1)="7",IF(P15="Recent Inactivity","RECENT_INACTIVITY",IF(Q15="New Customer","NEW_CUSTOMER","RETURNED_CUSTOMER")),IF(LEFT(D15,1)="8",IF(G15="Declining",IF(T15="Engaged but shrinking (Key/Core)","ENGAGED_BUT_SHRINKING","DECLINING_KEY_CORE"),IF(R15="Established Buyer Lapsed","LAPSED_ESTABLISHED","LAPSED_THIN_HISTORY")),IF(S15,IF(P15&lt;&gt;"Recently Active","DORMANT_LOW_VALUE",IF(AG15,"BROWSING_LOW_OFFERS",IF(AH15,"RISING_TAIL","RISING_TAIL_EARLY"))),IF(AND(AG15,P15="Recently Active",OR(G15="Growing",G15="Stable",G15="H2 Active / No H1 GMV"),I15&gt;=Assumptions!$B$74),"BROWSING_LOW_OFFERS","LONG_TAIL_STANDARD"))))))))))</f>
        <v>DECLINING_KEY_CORE</v>
      </c>
      <c r="AK15" s="2" t="str">
        <f aca="false">INDEX('NBA Library'!$B$4:$B$21,MATCH(AJ15,'NBA Library'!$A$4:$A$21,0))</f>
        <v>Retention Conversation</v>
      </c>
      <c r="AL15" s="2" t="str">
        <f aca="false">INDEX('NBA Library'!$C$4:$C$21,MATCH(AJ15,'NBA Library'!$A$4:$A$21,0))</f>
        <v>Human</v>
      </c>
      <c r="AM15" s="2" t="str">
        <f aca="false">IF(AA15,"HOLD — Critical Data Issue",IF(Y15,"Human Sign-Off Required",IF(Z15="Manual Review","Human Review Required",IF(AND(AL15="Automated",OR(AE15,AND(OR(AK15="Discovery-to-Offer Enablement",AK15="Reinforce Successful Behaviour"),OR(AC15,AB15)))),"Human Review Required",IF(AL15="Human","Ready — Human",IF(AL15="Hybrid","Ready — Hybrid","Ready — Automated"))))))</f>
        <v>Ready — Human</v>
      </c>
      <c r="AN15" s="2" t="str">
        <f aca="false">IF(AA15,"P0",IF(AND(AJ15="BROWSING_LOW_OFFERS",E15="Tail"),"P3",IF(AND(AM15="Human Review Required",INDEX('NBA Library'!$D$4:$D$21,MATCH(AJ15,'NBA Library'!$A$4:$A$21,0))="P4"),"P3",INDEX('NBA Library'!$D$4:$D$21,MATCH(AJ15,'NBA Library'!$A$4:$A$21,0)))))</f>
        <v>P1</v>
      </c>
      <c r="AO15" s="2" t="str">
        <f aca="false">E15&amp;" "&amp;C15&amp;" account ("&amp;B15&amp;"); "&amp;G15&amp;" momentum; "&amp;P15&amp;"; £"&amp;TEXT(H15,"#,##0")&amp;" 6m GMV. "&amp;INDEX('NBA Library'!$G$4:$G$21,MATCH(AJ15,'NBA Library'!$A$4:$A$21,0))&amp;IF(LEFT(D15,1)="1"," Baseline: "&amp;V15&amp;" PDP views, "&amp;W15&amp;" app days, "&amp;X15&amp;" offers, "&amp;TEXT(J15/I15,"0%")&amp;" of orders self-serve.","")&amp;IF(AA15," Execution on HOLD until the Duplicate status is resolved.","")&amp;IF(Y15," Key account: explicit AM/leadership sign-off required before any migration activity.","")&amp;IF(AE15," Implied broker % from order counts would move this account to a different segment; review before automating.","")</f>
        <v>Key Broker-Reliant account (Account Managed); Declining momentum; Recently Active; £11,721 6m GMV. Broker-led spend is falling. Keep human support in place; AM to diagnose the cause before any migration or product nudge.</v>
      </c>
      <c r="AP15" s="2" t="str">
        <f aca="false">INDEX('NBA Library'!$E$4:$E$21,MATCH(AJ15,'NBA Library'!$A$4:$A$21,0))&amp;IF(AND(AJ15="NEW_CUSTOMER",AG15),"; introduce Make-an-Offer on items already browsed","")</f>
        <v>AM diagnoses the cause of falling spend (supply, price, service, competitor) and agrees a recovery plan; keep human support in place</v>
      </c>
      <c r="AQ15" s="2" t="str">
        <f aca="false">INDEX('NBA Library'!$F$4:$F$21,MATCH(AJ15,'NBA Library'!$A$4:$A$21,0))</f>
        <v>Next 90-day GMV back to at least the Sep-Nov (H1) level, or decline arrested; root cause logged</v>
      </c>
      <c r="AR15" s="2" t="str">
        <f aca="false">IF(AND(F15="Low",OR(G15="Growing",G15="Stable"),P15="Recently Active",U15&lt;&gt;"Mixed",OR(AK15="Discovery-to-Offer Enablement",AK15="Reinforce Successful Behaviour"),AM15="Ready — Automated",OR(E15&lt;&gt;"Tail",S15)),"Range Expansion Test — trial "&amp;IF(U15="Bundle-only","handpick","bundles")&amp;" (experimental; not proven to lift GMV)","")</f>
        <v/>
      </c>
      <c r="AS15" s="2" t="str">
        <f aca="false">IF(AK15&lt;&gt;"Automated Nurture","",IF(AJ15="DORMANT_LOW_VALUE","Dormant",IF(AJ15="RISING_TAIL_EARLY","Rising tail – early pattern",IF(Q15="New Customer","New customer onboarding",IF(Q15="Returned Customer","Returned customer",IF(G15="Lapsed","Dormant",IF(T15="Engaged, not converting","Engaged, not converting",IF(T15="One-off low-touch buyer","One-off purchaser",IF(T15="Light-touch repeat buyer","Light-touch repeat buyer","Standard long tail")))))))))</f>
        <v/>
      </c>
      <c r="AT15" s="2" t="str">
        <f aca="false">IF(AA15,"CRITICAL_DATA_BLOCKER; ","")&amp;IF(Y15,"KEY_SIGNOFF; ","")&amp;IF(Z15="Manual Review","PHASE1_MANUAL_REVIEW; ","")&amp;IF(AND(LEFT(D15,1)="1",AZ15="Lumpy"),"LUMPY_CADENCE; ","")&amp;IF(AB15,"BORDERLINE_MOMENTUM; ","")&amp;IF(AC15,"FEB_SENSITIVE; ","")&amp;IF(AD15,"MATERIAL_BROKER_INCONSISTENCY"&amp;IF(AE15," (segment would change)","")&amp;"; ","")&amp;IF(AND(I15&gt;=3,O15&gt;0),IF(AI15&gt;=Assumptions!$B$75,"H2_SINGLE_MONTH_SPIKE; ",""),"")&amp;IF(AND(M15&gt;0,N15=0),"NO_FEB_GMV (Feb unconfirmed); ","")&amp;IF(AF15,"LOW_CONFIDENCE; ","")</f>
        <v/>
      </c>
      <c r="AU15" s="2" t="str">
        <f aca="false">IF(LEFT(D15,1)="1",V15,"")</f>
        <v/>
      </c>
      <c r="AV15" s="2" t="str">
        <f aca="false">IF(LEFT(D15,1)="1",V15&gt;=Assumptions!$B$58,"")</f>
        <v/>
      </c>
      <c r="AW15" s="2" t="str">
        <f aca="false">IF(LEFT(D15,1)="1",W15,"")</f>
        <v/>
      </c>
      <c r="AX15" s="2" t="str">
        <f aca="false">IF(LEFT(D15,1)="1",X15,"")</f>
        <v/>
      </c>
      <c r="AY15" s="17" t="str">
        <f aca="false">IF(LEFT(D15,1)="1",J15/I15,"")</f>
        <v/>
      </c>
      <c r="AZ15" s="2" t="str">
        <f aca="false">IF(LEFT(D15,1)="1",IF(AND(K15&gt;=Assumptions!$B$83,I15&gt;=Assumptions!$B$84),"Regular","Lumpy"),"")</f>
        <v/>
      </c>
      <c r="BA15" s="2" t="str">
        <f aca="false">IF(LEFT(D15,1)="1",ROUND(6/K15,0),"")</f>
        <v/>
      </c>
      <c r="BB15" s="2" t="str">
        <f aca="false">IF(LEFT(D15,1)="1",IF(AZ15="Regular","Regular buyer: expected ~£"&amp;TEXT(H15/2,"#,##0")&amp;" per 90 days. At Risk if GMV to date &lt; "&amp;TEXT(Assumptions!$B$81,"0%")&amp;" of pro-rated expectation, checked from day "&amp;Assumptions!$B$82&amp;". Human-reviewed.","Irregular buyer ("&amp;I15&amp;" orders across "&amp;K15&amp;" months): no numeric GMV threshold. At Risk if no order within ~"&amp;BA15&amp;" month(s); AM reviews at day "&amp;Assumptions!$B$82&amp;" and "&amp;Assumptions!$B$85&amp;"."),"")</f>
        <v/>
      </c>
      <c r="BC15" s="2"/>
      <c r="BD15" s="2"/>
      <c r="BE15" s="2"/>
      <c r="BF15" s="2"/>
      <c r="BG15" s="2"/>
      <c r="BH15" s="2"/>
      <c r="BI15" s="2"/>
      <c r="BJ15" s="2" t="str">
        <f aca="false">IF(OR(NOT(LEFT(D15,1)="1"),BC15=""),"",IF(AZ15="Regular",AND(BC15&gt;=Assumptions!$B$82,N(BI15)&lt;Assumptions!$B$81*H15/180*BC15),AND(BC15&gt;=BA15*30,N(BG15)=0)))</f>
        <v/>
      </c>
      <c r="BK15" s="2" t="str">
        <f aca="false">IF(NOT(LEFT(D15,1)="1"),"N/A",IF(BC15="","Baseline",IF(BJ15,"At Risk",IF(AND(N(BD15)&gt;=Assumptions!$B$78,N(BE15)&gt;=Assumptions!$B$79,N(BH15)&gt;=1,N(BH15)/MAX(N(BG15),1)&gt;AY15),"Self-Serve Capability Demonstrated",IF(OR(N(BD15)&gt;=Assumptions!$B$76,N(BE15)&gt;=Assumptions!$B$77),"Progressing",IF(BC15&gt;=Assumptions!$B$85,"At Risk","Baseline"))))))</f>
        <v>N/A</v>
      </c>
      <c r="BL15" s="2" t="n">
        <f aca="false">(AND(C15="Broker-Reliant",OR(AK15="Discovery-to-Offer Enablement",AK15="Reinforce Successful Behaviour")))*1+(AND(G15="Declining",E15&lt;&gt;"Tail",AL15="Automated"))*1+(AND(Y15,AM15&lt;&gt;"Human Sign-Off Required"))*1+(AND(AA15,AM15&lt;&gt;"HOLD — Critical Data Issue"))*1+(AND(P15="Recent Inactivity",OR(AK15="Discovery-to-Offer Enablement",AK15="Reinforce Successful Behaviour")))*1+(AND(OR(LEFT(D15,1)="2",LEFT(D15,1)="3",LEFT(D15,1)="8"),AL15="Automated"))*1+((LEFT(D15,1)="1")&lt;&gt;(AK15="Guided Self-Serve Migration"))*1+(AND(AR15&lt;&gt;"",OR(F15&lt;&gt;"Low",U15="Mixed",AND(G15&lt;&gt;"Growing",G15&lt;&gt;"Stable"))))*1+ISNUMBER(SEARCH("chat",AP15))*1+ISNUMBER(SEARCH("video",AP15))*1+(AND(AA15,AL15="Automated",AM15&lt;&gt;"HOLD — Critical Data Issue"))*1</f>
        <v>0</v>
      </c>
    </row>
    <row r="16" customFormat="false" ht="15" hidden="false" customHeight="false" outlineLevel="0" collapsed="false">
      <c r="A16" s="2" t="s">
        <v>192</v>
      </c>
      <c r="B16" s="2" t="str">
        <f aca="false">INDEX(Segmentation!$B$2:$B$301,MATCH($A16,Segmentation!$A$2:$A$301,0))</f>
        <v>Account Managed</v>
      </c>
      <c r="C16" s="2" t="str">
        <f aca="false">INDEX(Segmentation!$H$2:$H$301,MATCH($A16,Segmentation!$A$2:$A$301,0))</f>
        <v>Broker-Reliant</v>
      </c>
      <c r="D16" s="2" t="str">
        <f aca="false">INDEX(Segmentation!$T$2:$T$301,MATCH($A16,Segmentation!$A$2:$A$301,0))</f>
        <v>3. Win-Back / Verify</v>
      </c>
      <c r="E16" s="2" t="str">
        <f aca="false">INDEX(Segmentation!$J$2:$J$301,MATCH($A16,Segmentation!$A$2:$A$301,0))</f>
        <v>Key</v>
      </c>
      <c r="F16" s="2" t="str">
        <f aca="false">INDEX(Segmentation!$G$2:$G$301,MATCH($A16,Segmentation!$A$2:$A$301,0))</f>
        <v>High</v>
      </c>
      <c r="G16" s="2" t="str">
        <f aca="false">INDEX(Segmentation!$N$2:$N$301,MATCH($A16,Segmentation!$A$2:$A$301,0))</f>
        <v>Lapsed</v>
      </c>
      <c r="H16" s="9" t="n">
        <f aca="false">INDEX(Segmentation!$I$2:$I$301,MATCH($A16,Segmentation!$A$2:$A$301,0))</f>
        <v>11481</v>
      </c>
      <c r="I16" s="2" t="n">
        <f aca="false">INDEX(Segmentation!$O$2:$O$301,MATCH($A16,Segmentation!$A$2:$A$301,0))</f>
        <v>8</v>
      </c>
      <c r="J16" s="2" t="n">
        <f aca="false">INDEX(Segmentation!$Q$2:$Q$301,MATCH($A16,Segmentation!$A$2:$A$301,0))</f>
        <v>3</v>
      </c>
      <c r="K16" s="2" t="n">
        <f aca="false">INDEX(Segmentation!$W$2:$W$301,MATCH($A16,Segmentation!$A$2:$A$301,0))</f>
        <v>3</v>
      </c>
      <c r="L16" s="9" t="n">
        <f aca="false">INDEX('Commercial View'!$L$2:$L$301,MATCH($A16,'Commercial View'!$A$2:$A$301,0))</f>
        <v>0</v>
      </c>
      <c r="M16" s="9" t="n">
        <f aca="false">INDEX('Commercial View'!$M$2:$M$301,MATCH($A16,'Commercial View'!$A$2:$A$301,0))</f>
        <v>0</v>
      </c>
      <c r="N16" s="9" t="n">
        <f aca="false">INDEX('Commercial View'!$N$2:$N$301,MATCH($A16,'Commercial View'!$A$2:$A$301,0))</f>
        <v>0</v>
      </c>
      <c r="O16" s="9" t="n">
        <f aca="false">INDEX(Segmentation!$L$2:$L$301,MATCH($A16,Segmentation!$A$2:$A$301,0))</f>
        <v>0</v>
      </c>
      <c r="P16" s="2" t="str">
        <f aca="false">IF(OR(M16&gt;0,N16&gt;0),"Recently Active",IF(OR(I16&lt;=Assumptions!$B$48,K16&lt;=Assumptions!$B$49),"No Meaningful History","Recent Inactivity"))</f>
        <v>Recent Inactivity</v>
      </c>
      <c r="Q16" s="2" t="str">
        <f aca="false">INDEX(Segmentation!$AF$2:$AF$301,MATCH($A16,Segmentation!$A$2:$A$301,0))</f>
        <v>Existing Customer</v>
      </c>
      <c r="R16" s="2" t="str">
        <f aca="false">INDEX(Segmentation!$AL$2:$AL$301,MATCH($A16,Segmentation!$A$2:$A$301,0))</f>
        <v>Established Buyer Lapsed</v>
      </c>
      <c r="S16" s="10" t="b">
        <f aca="false">INDEX(Segmentation!$AW$2:$AW$301,MATCH($A16,Segmentation!$A$2:$A$301,0))</f>
        <v>0</v>
      </c>
      <c r="T16" s="2" t="str">
        <f aca="false">INDEX('Feature Data'!$AD$2:$AD$301,MATCH($A16,'Feature Data'!$A$2:$A$301,0))</f>
        <v>Broker-led, product-blind</v>
      </c>
      <c r="U16" s="2" t="str">
        <f aca="false">INDEX('Feature Data'!$W$2:$W$301,MATCH($A16,'Feature Data'!$A$2:$A$301,0))</f>
        <v>Mixed</v>
      </c>
      <c r="V16" s="2" t="n">
        <f aca="false">INDEX('Feature Data'!$P$2:$P$301,MATCH($A16,'Feature Data'!$A$2:$A$301,0))</f>
        <v>5</v>
      </c>
      <c r="W16" s="2" t="n">
        <f aca="false">INDEX(Segmentation!$R$2:$R$301,MATCH($A16,Segmentation!$A$2:$A$301,0))</f>
        <v>6</v>
      </c>
      <c r="X16" s="2" t="n">
        <f aca="false">INDEX(Segmentation!$S$2:$S$301,MATCH($A16,Segmentation!$A$2:$A$301,0))</f>
        <v>1</v>
      </c>
      <c r="Y16" s="10" t="b">
        <f aca="false">INDEX(Segmentation!$AG$2:$AG$301,MATCH($A16,Segmentation!$A$2:$A$301,0))</f>
        <v>0</v>
      </c>
      <c r="Z16" s="2" t="str">
        <f aca="false">INDEX(Segmentation!$AU$2:$AU$301,MATCH($A16,Segmentation!$A$2:$A$301,0))</f>
        <v>Not Eligible</v>
      </c>
      <c r="AA16" s="10" t="b">
        <f aca="false">INDEX(Segmentation!$Z$2:$Z$301,MATCH($A16,Segmentation!$A$2:$A$301,0))</f>
        <v>0</v>
      </c>
      <c r="AB16" s="10" t="b">
        <f aca="false">INDEX(Segmentation!$AH$2:$AH$301,MATCH($A16,Segmentation!$A$2:$A$301,0))</f>
        <v>0</v>
      </c>
      <c r="AC16" s="10" t="b">
        <f aca="false">INDEX(Segmentation!$AK$2:$AK$301,MATCH($A16,Segmentation!$A$2:$A$301,0))</f>
        <v>0</v>
      </c>
      <c r="AD16" s="10" t="b">
        <f aca="false">INDEX(Segmentation!$AQ$2:$AQ$301,MATCH($A16,Segmentation!$A$2:$A$301,0))</f>
        <v>0</v>
      </c>
      <c r="AE16" s="10" t="b">
        <f aca="false">INDEX(Segmentation!$AT$2:$AT$301,MATCH($A16,Segmentation!$A$2:$A$301,0))</f>
        <v>0</v>
      </c>
      <c r="AF16" s="10" t="b">
        <f aca="false">INDEX(Segmentation!$X$2:$X$301,MATCH($A16,Segmentation!$A$2:$A$301,0))</f>
        <v>0</v>
      </c>
      <c r="AG16" s="10" t="b">
        <f aca="false">AND(F16="Low",V16&gt;=Assumptions!$B$71,X16&lt;Assumptions!$B$72)</f>
        <v>0</v>
      </c>
      <c r="AH16" s="10" t="b">
        <f aca="false">AND(F16="Low",OR(G16="Growing",G16="Stable"),P16="Recently Active",V16&gt;=Assumptions!$B$58,K16&gt;=Assumptions!$B$73)</f>
        <v>0</v>
      </c>
      <c r="AI16" s="17" t="str">
        <f aca="false">IF(O16&gt;0,MAX(L16:N16)/O16,"")</f>
        <v/>
      </c>
      <c r="AJ16" s="2" t="str">
        <f aca="false">IF(LEFT(D16,1)="1",IF(E16="Key","MIGRATION_KEY_SIGNOFF",IF(Z16="Ready","MIGRATION_PHASE1_READY",IF(Z16="Manual Review","MIGRATION_PHASE1_REVIEW","MIGRATION_PRE_ENTRY"))),IF(LEFT(D16,1)="2","DECLINING_KEY_CORE",IF(LEFT(D16,1)="3",IF(R16="Established Buyer Lapsed","LAPSED_ESTABLISHED","LAPSED_THIN_HISTORY"),IF(LEFT(D16,1)="4",IF(Q16="New Customer","NEW_CUSTOMER","RETURNED_CUSTOMER"),IF(LEFT(D16,1)="5",IF(P16="Recently Active","COST_TO_SERVE_ACTIVE","DORMANT_LOW_VALUE"),IF(LEFT(D16,1)="6",IF(P16="Recent Inactivity","RECENT_INACTIVITY",IF(AG16,"BROWSING_LOW_OFFERS","HEALTHY_STRONG_SELF_SERVE")),IF(LEFT(D16,1)="7",IF(P16="Recent Inactivity","RECENT_INACTIVITY",IF(Q16="New Customer","NEW_CUSTOMER","RETURNED_CUSTOMER")),IF(LEFT(D16,1)="8",IF(G16="Declining",IF(T16="Engaged but shrinking (Key/Core)","ENGAGED_BUT_SHRINKING","DECLINING_KEY_CORE"),IF(R16="Established Buyer Lapsed","LAPSED_ESTABLISHED","LAPSED_THIN_HISTORY")),IF(S16,IF(P16&lt;&gt;"Recently Active","DORMANT_LOW_VALUE",IF(AG16,"BROWSING_LOW_OFFERS",IF(AH16,"RISING_TAIL","RISING_TAIL_EARLY"))),IF(AND(AG16,P16="Recently Active",OR(G16="Growing",G16="Stable",G16="H2 Active / No H1 GMV"),I16&gt;=Assumptions!$B$74),"BROWSING_LOW_OFFERS","LONG_TAIL_STANDARD"))))))))))</f>
        <v>LAPSED_ESTABLISHED</v>
      </c>
      <c r="AK16" s="2" t="str">
        <f aca="false">INDEX('NBA Library'!$B$4:$B$21,MATCH(AJ16,'NBA Library'!$A$4:$A$21,0))</f>
        <v>Verify Demand / Win-Back</v>
      </c>
      <c r="AL16" s="2" t="str">
        <f aca="false">INDEX('NBA Library'!$C$4:$C$21,MATCH(AJ16,'NBA Library'!$A$4:$A$21,0))</f>
        <v>Human</v>
      </c>
      <c r="AM16" s="2" t="str">
        <f aca="false">IF(AA16,"HOLD — Critical Data Issue",IF(Y16,"Human Sign-Off Required",IF(Z16="Manual Review","Human Review Required",IF(AND(AL16="Automated",OR(AE16,AND(OR(AK16="Discovery-to-Offer Enablement",AK16="Reinforce Successful Behaviour"),OR(AC16,AB16)))),"Human Review Required",IF(AL16="Human","Ready — Human",IF(AL16="Hybrid","Ready — Hybrid","Ready — Automated"))))))</f>
        <v>Ready — Human</v>
      </c>
      <c r="AN16" s="2" t="str">
        <f aca="false">IF(AA16,"P0",IF(AND(AJ16="BROWSING_LOW_OFFERS",E16="Tail"),"P3",IF(AND(AM16="Human Review Required",INDEX('NBA Library'!$D$4:$D$21,MATCH(AJ16,'NBA Library'!$A$4:$A$21,0))="P4"),"P3",INDEX('NBA Library'!$D$4:$D$21,MATCH(AJ16,'NBA Library'!$A$4:$A$21,0)))))</f>
        <v>P1</v>
      </c>
      <c r="AO16" s="2" t="str">
        <f aca="false">E16&amp;" "&amp;C16&amp;" account ("&amp;B16&amp;"); "&amp;G16&amp;" momentum; "&amp;P16&amp;"; £"&amp;TEXT(H16,"#,##0")&amp;" 6m GMV. "&amp;INDEX('NBA Library'!$G$4:$G$21,MATCH(AJ16,'NBA Library'!$A$4:$A$21,0))&amp;IF(LEFT(D16,1)="1"," Baseline: "&amp;V16&amp;" PDP views, "&amp;W16&amp;" app days, "&amp;X16&amp;" offers, "&amp;TEXT(J16/I16,"0%")&amp;" of orders self-serve.","")&amp;IF(AA16," Execution on HOLD until the Duplicate status is resolved.","")&amp;IF(Y16," Key account: explicit AM/leadership sign-off required before any migration activity.","")&amp;IF(AE16," Implied broker % from order counts would move this account to a different segment; review before automating.","")</f>
        <v>Key Broker-Reliant account (Account Managed); Lapsed momentum; Recent Inactivity; £11,481 6m GMV. Had a repeat buying pattern (3+ orders across 2+ months) and has stopped buying. Genuine win-back case.</v>
      </c>
      <c r="AP16" s="2" t="str">
        <f aca="false">INDEX('NBA Library'!$E$4:$E$21,MATCH(AJ16,'NBA Library'!$A$4:$A$21,0))&amp;IF(AND(AJ16="NEW_CUSTOMER",AG16),"; introduce Make-an-Offer on items already browsed","")</f>
        <v>Win-back conversation: understand why buying stopped and what would restart it</v>
      </c>
      <c r="AQ16" s="2" t="str">
        <f aca="false">INDEX('NBA Library'!$F$4:$F$21,MATCH(AJ16,'NBA Library'!$A$4:$A$21,0))</f>
        <v>New order within 90 days, or churn reason logged</v>
      </c>
      <c r="AR16" s="2" t="str">
        <f aca="false">IF(AND(F16="Low",OR(G16="Growing",G16="Stable"),P16="Recently Active",U16&lt;&gt;"Mixed",OR(AK16="Discovery-to-Offer Enablement",AK16="Reinforce Successful Behaviour"),AM16="Ready — Automated",OR(E16&lt;&gt;"Tail",S16)),"Range Expansion Test — trial "&amp;IF(U16="Bundle-only","handpick","bundles")&amp;" (experimental; not proven to lift GMV)","")</f>
        <v/>
      </c>
      <c r="AS16" s="2" t="str">
        <f aca="false">IF(AK16&lt;&gt;"Automated Nurture","",IF(AJ16="DORMANT_LOW_VALUE","Dormant",IF(AJ16="RISING_TAIL_EARLY","Rising tail – early pattern",IF(Q16="New Customer","New customer onboarding",IF(Q16="Returned Customer","Returned customer",IF(G16="Lapsed","Dormant",IF(T16="Engaged, not converting","Engaged, not converting",IF(T16="One-off low-touch buyer","One-off purchaser",IF(T16="Light-touch repeat buyer","Light-touch repeat buyer","Standard long tail")))))))))</f>
        <v/>
      </c>
      <c r="AT16" s="2" t="str">
        <f aca="false">IF(AA16,"CRITICAL_DATA_BLOCKER; ","")&amp;IF(Y16,"KEY_SIGNOFF; ","")&amp;IF(Z16="Manual Review","PHASE1_MANUAL_REVIEW; ","")&amp;IF(AND(LEFT(D16,1)="1",AZ16="Lumpy"),"LUMPY_CADENCE; ","")&amp;IF(AB16,"BORDERLINE_MOMENTUM; ","")&amp;IF(AC16,"FEB_SENSITIVE; ","")&amp;IF(AD16,"MATERIAL_BROKER_INCONSISTENCY"&amp;IF(AE16," (segment would change)","")&amp;"; ","")&amp;IF(AND(I16&gt;=3,O16&gt;0),IF(AI16&gt;=Assumptions!$B$75,"H2_SINGLE_MONTH_SPIKE; ",""),"")&amp;IF(AND(M16&gt;0,N16=0),"NO_FEB_GMV (Feb unconfirmed); ","")&amp;IF(AF16,"LOW_CONFIDENCE; ","")</f>
        <v/>
      </c>
      <c r="AU16" s="2" t="str">
        <f aca="false">IF(LEFT(D16,1)="1",V16,"")</f>
        <v/>
      </c>
      <c r="AV16" s="2" t="str">
        <f aca="false">IF(LEFT(D16,1)="1",V16&gt;=Assumptions!$B$58,"")</f>
        <v/>
      </c>
      <c r="AW16" s="2" t="str">
        <f aca="false">IF(LEFT(D16,1)="1",W16,"")</f>
        <v/>
      </c>
      <c r="AX16" s="2" t="str">
        <f aca="false">IF(LEFT(D16,1)="1",X16,"")</f>
        <v/>
      </c>
      <c r="AY16" s="17" t="str">
        <f aca="false">IF(LEFT(D16,1)="1",J16/I16,"")</f>
        <v/>
      </c>
      <c r="AZ16" s="2" t="str">
        <f aca="false">IF(LEFT(D16,1)="1",IF(AND(K16&gt;=Assumptions!$B$83,I16&gt;=Assumptions!$B$84),"Regular","Lumpy"),"")</f>
        <v/>
      </c>
      <c r="BA16" s="2" t="str">
        <f aca="false">IF(LEFT(D16,1)="1",ROUND(6/K16,0),"")</f>
        <v/>
      </c>
      <c r="BB16" s="2" t="str">
        <f aca="false">IF(LEFT(D16,1)="1",IF(AZ16="Regular","Regular buyer: expected ~£"&amp;TEXT(H16/2,"#,##0")&amp;" per 90 days. At Risk if GMV to date &lt; "&amp;TEXT(Assumptions!$B$81,"0%")&amp;" of pro-rated expectation, checked from day "&amp;Assumptions!$B$82&amp;". Human-reviewed.","Irregular buyer ("&amp;I16&amp;" orders across "&amp;K16&amp;" months): no numeric GMV threshold. At Risk if no order within ~"&amp;BA16&amp;" month(s); AM reviews at day "&amp;Assumptions!$B$82&amp;" and "&amp;Assumptions!$B$85&amp;"."),"")</f>
        <v/>
      </c>
      <c r="BC16" s="2"/>
      <c r="BD16" s="2"/>
      <c r="BE16" s="2"/>
      <c r="BF16" s="2"/>
      <c r="BG16" s="2"/>
      <c r="BH16" s="2"/>
      <c r="BI16" s="2"/>
      <c r="BJ16" s="2" t="str">
        <f aca="false">IF(OR(NOT(LEFT(D16,1)="1"),BC16=""),"",IF(AZ16="Regular",AND(BC16&gt;=Assumptions!$B$82,N(BI16)&lt;Assumptions!$B$81*H16/180*BC16),AND(BC16&gt;=BA16*30,N(BG16)=0)))</f>
        <v/>
      </c>
      <c r="BK16" s="2" t="str">
        <f aca="false">IF(NOT(LEFT(D16,1)="1"),"N/A",IF(BC16="","Baseline",IF(BJ16,"At Risk",IF(AND(N(BD16)&gt;=Assumptions!$B$78,N(BE16)&gt;=Assumptions!$B$79,N(BH16)&gt;=1,N(BH16)/MAX(N(BG16),1)&gt;AY16),"Self-Serve Capability Demonstrated",IF(OR(N(BD16)&gt;=Assumptions!$B$76,N(BE16)&gt;=Assumptions!$B$77),"Progressing",IF(BC16&gt;=Assumptions!$B$85,"At Risk","Baseline"))))))</f>
        <v>N/A</v>
      </c>
      <c r="BL16" s="2" t="n">
        <f aca="false">(AND(C16="Broker-Reliant",OR(AK16="Discovery-to-Offer Enablement",AK16="Reinforce Successful Behaviour")))*1+(AND(G16="Declining",E16&lt;&gt;"Tail",AL16="Automated"))*1+(AND(Y16,AM16&lt;&gt;"Human Sign-Off Required"))*1+(AND(AA16,AM16&lt;&gt;"HOLD — Critical Data Issue"))*1+(AND(P16="Recent Inactivity",OR(AK16="Discovery-to-Offer Enablement",AK16="Reinforce Successful Behaviour")))*1+(AND(OR(LEFT(D16,1)="2",LEFT(D16,1)="3",LEFT(D16,1)="8"),AL16="Automated"))*1+((LEFT(D16,1)="1")&lt;&gt;(AK16="Guided Self-Serve Migration"))*1+(AND(AR16&lt;&gt;"",OR(F16&lt;&gt;"Low",U16="Mixed",AND(G16&lt;&gt;"Growing",G16&lt;&gt;"Stable"))))*1+ISNUMBER(SEARCH("chat",AP16))*1+ISNUMBER(SEARCH("video",AP16))*1+(AND(AA16,AL16="Automated",AM16&lt;&gt;"HOLD — Critical Data Issue"))*1</f>
        <v>0</v>
      </c>
    </row>
    <row r="17" customFormat="false" ht="15" hidden="false" customHeight="false" outlineLevel="0" collapsed="false">
      <c r="A17" s="2" t="s">
        <v>361</v>
      </c>
      <c r="B17" s="2" t="str">
        <f aca="false">INDEX(Segmentation!$B$2:$B$301,MATCH($A17,Segmentation!$A$2:$A$301,0))</f>
        <v>Account Managed</v>
      </c>
      <c r="C17" s="2" t="str">
        <f aca="false">INDEX(Segmentation!$H$2:$H$301,MATCH($A17,Segmentation!$A$2:$A$301,0))</f>
        <v>Broker-Reliant</v>
      </c>
      <c r="D17" s="2" t="str">
        <f aca="false">INDEX(Segmentation!$T$2:$T$301,MATCH($A17,Segmentation!$A$2:$A$301,0))</f>
        <v>1. Migration Candidate</v>
      </c>
      <c r="E17" s="2" t="str">
        <f aca="false">INDEX(Segmentation!$J$2:$J$301,MATCH($A17,Segmentation!$A$2:$A$301,0))</f>
        <v>Key</v>
      </c>
      <c r="F17" s="2" t="str">
        <f aca="false">INDEX(Segmentation!$G$2:$G$301,MATCH($A17,Segmentation!$A$2:$A$301,0))</f>
        <v>High</v>
      </c>
      <c r="G17" s="2" t="str">
        <f aca="false">INDEX(Segmentation!$N$2:$N$301,MATCH($A17,Segmentation!$A$2:$A$301,0))</f>
        <v>Growing</v>
      </c>
      <c r="H17" s="9" t="n">
        <f aca="false">INDEX(Segmentation!$I$2:$I$301,MATCH($A17,Segmentation!$A$2:$A$301,0))</f>
        <v>11252</v>
      </c>
      <c r="I17" s="2" t="n">
        <f aca="false">INDEX(Segmentation!$O$2:$O$301,MATCH($A17,Segmentation!$A$2:$A$301,0))</f>
        <v>26</v>
      </c>
      <c r="J17" s="2" t="n">
        <f aca="false">INDEX(Segmentation!$Q$2:$Q$301,MATCH($A17,Segmentation!$A$2:$A$301,0))</f>
        <v>8</v>
      </c>
      <c r="K17" s="2" t="n">
        <f aca="false">INDEX(Segmentation!$W$2:$W$301,MATCH($A17,Segmentation!$A$2:$A$301,0))</f>
        <v>5</v>
      </c>
      <c r="L17" s="9" t="n">
        <f aca="false">INDEX('Commercial View'!$L$2:$L$301,MATCH($A17,'Commercial View'!$A$2:$A$301,0))</f>
        <v>4431</v>
      </c>
      <c r="M17" s="9" t="n">
        <f aca="false">INDEX('Commercial View'!$M$2:$M$301,MATCH($A17,'Commercial View'!$A$2:$A$301,0))</f>
        <v>2604</v>
      </c>
      <c r="N17" s="9" t="n">
        <f aca="false">INDEX('Commercial View'!$N$2:$N$301,MATCH($A17,'Commercial View'!$A$2:$A$301,0))</f>
        <v>0</v>
      </c>
      <c r="O17" s="9" t="n">
        <f aca="false">INDEX(Segmentation!$L$2:$L$301,MATCH($A17,Segmentation!$A$2:$A$301,0))</f>
        <v>7035</v>
      </c>
      <c r="P17" s="2" t="str">
        <f aca="false">IF(OR(M17&gt;0,N17&gt;0),"Recently Active",IF(OR(I17&lt;=Assumptions!$B$48,K17&lt;=Assumptions!$B$49),"No Meaningful History","Recent Inactivity"))</f>
        <v>Recently Active</v>
      </c>
      <c r="Q17" s="2" t="str">
        <f aca="false">INDEX(Segmentation!$AF$2:$AF$301,MATCH($A17,Segmentation!$A$2:$A$301,0))</f>
        <v>Existing Customer</v>
      </c>
      <c r="R17" s="2" t="str">
        <f aca="false">INDEX(Segmentation!$AL$2:$AL$301,MATCH($A17,Segmentation!$A$2:$A$301,0))</f>
        <v>N/A</v>
      </c>
      <c r="S17" s="10" t="b">
        <f aca="false">INDEX(Segmentation!$AW$2:$AW$301,MATCH($A17,Segmentation!$A$2:$A$301,0))</f>
        <v>0</v>
      </c>
      <c r="T17" s="2" t="str">
        <f aca="false">INDEX('Feature Data'!$AD$2:$AD$301,MATCH($A17,'Feature Data'!$A$2:$A$301,0))</f>
        <v>Broker-led, product-blind</v>
      </c>
      <c r="U17" s="2" t="str">
        <f aca="false">INDEX('Feature Data'!$W$2:$W$301,MATCH($A17,'Feature Data'!$A$2:$A$301,0))</f>
        <v>Bundle-only</v>
      </c>
      <c r="V17" s="2" t="n">
        <f aca="false">INDEX('Feature Data'!$P$2:$P$301,MATCH($A17,'Feature Data'!$A$2:$A$301,0))</f>
        <v>4</v>
      </c>
      <c r="W17" s="2" t="n">
        <f aca="false">INDEX(Segmentation!$R$2:$R$301,MATCH($A17,Segmentation!$A$2:$A$301,0))</f>
        <v>1</v>
      </c>
      <c r="X17" s="2" t="n">
        <f aca="false">INDEX(Segmentation!$S$2:$S$301,MATCH($A17,Segmentation!$A$2:$A$301,0))</f>
        <v>1</v>
      </c>
      <c r="Y17" s="10" t="b">
        <f aca="false">INDEX(Segmentation!$AG$2:$AG$301,MATCH($A17,Segmentation!$A$2:$A$301,0))</f>
        <v>1</v>
      </c>
      <c r="Z17" s="2" t="str">
        <f aca="false">INDEX(Segmentation!$AU$2:$AU$301,MATCH($A17,Segmentation!$A$2:$A$301,0))</f>
        <v>Not Eligible</v>
      </c>
      <c r="AA17" s="10" t="b">
        <f aca="false">INDEX(Segmentation!$Z$2:$Z$301,MATCH($A17,Segmentation!$A$2:$A$301,0))</f>
        <v>0</v>
      </c>
      <c r="AB17" s="10" t="b">
        <f aca="false">INDEX(Segmentation!$AH$2:$AH$301,MATCH($A17,Segmentation!$A$2:$A$301,0))</f>
        <v>0</v>
      </c>
      <c r="AC17" s="10" t="b">
        <f aca="false">INDEX(Segmentation!$AK$2:$AK$301,MATCH($A17,Segmentation!$A$2:$A$301,0))</f>
        <v>0</v>
      </c>
      <c r="AD17" s="10" t="b">
        <f aca="false">INDEX(Segmentation!$AQ$2:$AQ$301,MATCH($A17,Segmentation!$A$2:$A$301,0))</f>
        <v>0</v>
      </c>
      <c r="AE17" s="10" t="b">
        <f aca="false">INDEX(Segmentation!$AT$2:$AT$301,MATCH($A17,Segmentation!$A$2:$A$301,0))</f>
        <v>0</v>
      </c>
      <c r="AF17" s="10" t="b">
        <f aca="false">INDEX(Segmentation!$X$2:$X$301,MATCH($A17,Segmentation!$A$2:$A$301,0))</f>
        <v>0</v>
      </c>
      <c r="AG17" s="10" t="b">
        <f aca="false">AND(F17="Low",V17&gt;=Assumptions!$B$71,X17&lt;Assumptions!$B$72)</f>
        <v>0</v>
      </c>
      <c r="AH17" s="10" t="b">
        <f aca="false">AND(F17="Low",OR(G17="Growing",G17="Stable"),P17="Recently Active",V17&gt;=Assumptions!$B$58,K17&gt;=Assumptions!$B$73)</f>
        <v>0</v>
      </c>
      <c r="AI17" s="17" t="n">
        <f aca="false">IF(O17&gt;0,MAX(L17:N17)/O17,"")</f>
        <v>0.629850746268657</v>
      </c>
      <c r="AJ17" s="2" t="str">
        <f aca="false">IF(LEFT(D17,1)="1",IF(E17="Key","MIGRATION_KEY_SIGNOFF",IF(Z17="Ready","MIGRATION_PHASE1_READY",IF(Z17="Manual Review","MIGRATION_PHASE1_REVIEW","MIGRATION_PRE_ENTRY"))),IF(LEFT(D17,1)="2","DECLINING_KEY_CORE",IF(LEFT(D17,1)="3",IF(R17="Established Buyer Lapsed","LAPSED_ESTABLISHED","LAPSED_THIN_HISTORY"),IF(LEFT(D17,1)="4",IF(Q17="New Customer","NEW_CUSTOMER","RETURNED_CUSTOMER"),IF(LEFT(D17,1)="5",IF(P17="Recently Active","COST_TO_SERVE_ACTIVE","DORMANT_LOW_VALUE"),IF(LEFT(D17,1)="6",IF(P17="Recent Inactivity","RECENT_INACTIVITY",IF(AG17,"BROWSING_LOW_OFFERS","HEALTHY_STRONG_SELF_SERVE")),IF(LEFT(D17,1)="7",IF(P17="Recent Inactivity","RECENT_INACTIVITY",IF(Q17="New Customer","NEW_CUSTOMER","RETURNED_CUSTOMER")),IF(LEFT(D17,1)="8",IF(G17="Declining",IF(T17="Engaged but shrinking (Key/Core)","ENGAGED_BUT_SHRINKING","DECLINING_KEY_CORE"),IF(R17="Established Buyer Lapsed","LAPSED_ESTABLISHED","LAPSED_THIN_HISTORY")),IF(S17,IF(P17&lt;&gt;"Recently Active","DORMANT_LOW_VALUE",IF(AG17,"BROWSING_LOW_OFFERS",IF(AH17,"RISING_TAIL","RISING_TAIL_EARLY"))),IF(AND(AG17,P17="Recently Active",OR(G17="Growing",G17="Stable",G17="H2 Active / No H1 GMV"),I17&gt;=Assumptions!$B$74),"BROWSING_LOW_OFFERS","LONG_TAIL_STANDARD"))))))))))</f>
        <v>MIGRATION_KEY_SIGNOFF</v>
      </c>
      <c r="AK17" s="2" t="str">
        <f aca="false">INDEX('NBA Library'!$B$4:$B$21,MATCH(AJ17,'NBA Library'!$A$4:$A$21,0))</f>
        <v>Guided Self-Serve Migration</v>
      </c>
      <c r="AL17" s="2" t="str">
        <f aca="false">INDEX('NBA Library'!$C$4:$C$21,MATCH(AJ17,'NBA Library'!$A$4:$A$21,0))</f>
        <v>Hybrid</v>
      </c>
      <c r="AM17" s="2" t="str">
        <f aca="false">IF(AA17,"HOLD — Critical Data Issue",IF(Y17,"Human Sign-Off Required",IF(Z17="Manual Review","Human Review Required",IF(AND(AL17="Automated",OR(AE17,AND(OR(AK17="Discovery-to-Offer Enablement",AK17="Reinforce Successful Behaviour"),OR(AC17,AB17)))),"Human Review Required",IF(AL17="Human","Ready — Human",IF(AL17="Hybrid","Ready — Hybrid","Ready — Automated"))))))</f>
        <v>Human Sign-Off Required</v>
      </c>
      <c r="AN17" s="2" t="str">
        <f aca="false">IF(AA17,"P0",IF(AND(AJ17="BROWSING_LOW_OFFERS",E17="Tail"),"P3",IF(AND(AM17="Human Review Required",INDEX('NBA Library'!$D$4:$D$21,MATCH(AJ17,'NBA Library'!$A$4:$A$21,0))="P4"),"P3",INDEX('NBA Library'!$D$4:$D$21,MATCH(AJ17,'NBA Library'!$A$4:$A$21,0)))))</f>
        <v>P2</v>
      </c>
      <c r="AO17" s="2" t="str">
        <f aca="false">E17&amp;" "&amp;C17&amp;" account ("&amp;B17&amp;"); "&amp;G17&amp;" momentum; "&amp;P17&amp;"; £"&amp;TEXT(H17,"#,##0")&amp;" 6m GMV. "&amp;INDEX('NBA Library'!$G$4:$G$21,MATCH(AJ17,'NBA Library'!$A$4:$A$21,0))&amp;IF(LEFT(D17,1)="1"," Baseline: "&amp;V17&amp;" PDP views, "&amp;W17&amp;" app days, "&amp;X17&amp;" offers, "&amp;TEXT(J17/I17,"0%")&amp;" of orders self-serve.","")&amp;IF(AA17," Execution on HOLD until the Duplicate status is resolved.","")&amp;IF(Y17," Key account: explicit AM/leadership sign-off required before any migration activity.","")&amp;IF(AE17," Implied broker % from order counts would move this account to a different segment; review before automating.","")</f>
        <v>Key Broker-Reliant account (Account Managed); Growing momentum; Recently Active; £11,252 6m GMV. Key broker-reliant account with healthy spend. Technically a migration candidate, but downside risk is too large for automated initiation. Baseline: 4 PDP views, 1 app days, 1 offers, 31% of orders self-serve. Key account: explicit AM/leadership sign-off required before any migration activity.</v>
      </c>
      <c r="AP17" s="2" t="str">
        <f aca="false">INDEX('NBA Library'!$E$4:$E$21,MATCH(AJ17,'NBA Library'!$A$4:$A$21,0))&amp;IF(AND(AJ17="NEW_CUSTOMER",AG17),"; introduce Make-an-Offer on items already browsed","")</f>
        <v>If approved: gradual shift to independent discovery with AM retained; otherwise keep current service model</v>
      </c>
      <c r="AQ17" s="2" t="str">
        <f aca="false">INDEX('NBA Library'!$F$4:$F$21,MATCH(AJ17,'NBA Library'!$A$4:$A$21,0))</f>
        <v>Sign-off decision logged; if approved, as Phase 1 with a stricter GMV guardrail</v>
      </c>
      <c r="AR17" s="2" t="str">
        <f aca="false">IF(AND(F17="Low",OR(G17="Growing",G17="Stable"),P17="Recently Active",U17&lt;&gt;"Mixed",OR(AK17="Discovery-to-Offer Enablement",AK17="Reinforce Successful Behaviour"),AM17="Ready — Automated",OR(E17&lt;&gt;"Tail",S17)),"Range Expansion Test — trial "&amp;IF(U17="Bundle-only","handpick","bundles")&amp;" (experimental; not proven to lift GMV)","")</f>
        <v/>
      </c>
      <c r="AS17" s="2" t="str">
        <f aca="false">IF(AK17&lt;&gt;"Automated Nurture","",IF(AJ17="DORMANT_LOW_VALUE","Dormant",IF(AJ17="RISING_TAIL_EARLY","Rising tail – early pattern",IF(Q17="New Customer","New customer onboarding",IF(Q17="Returned Customer","Returned customer",IF(G17="Lapsed","Dormant",IF(T17="Engaged, not converting","Engaged, not converting",IF(T17="One-off low-touch buyer","One-off purchaser",IF(T17="Light-touch repeat buyer","Light-touch repeat buyer","Standard long tail")))))))))</f>
        <v/>
      </c>
      <c r="AT17" s="2" t="str">
        <f aca="false">IF(AA17,"CRITICAL_DATA_BLOCKER; ","")&amp;IF(Y17,"KEY_SIGNOFF; ","")&amp;IF(Z17="Manual Review","PHASE1_MANUAL_REVIEW; ","")&amp;IF(AND(LEFT(D17,1)="1",AZ17="Lumpy"),"LUMPY_CADENCE; ","")&amp;IF(AB17,"BORDERLINE_MOMENTUM; ","")&amp;IF(AC17,"FEB_SENSITIVE; ","")&amp;IF(AD17,"MATERIAL_BROKER_INCONSISTENCY"&amp;IF(AE17," (segment would change)","")&amp;"; ","")&amp;IF(AND(I17&gt;=3,O17&gt;0),IF(AI17&gt;=Assumptions!$B$75,"H2_SINGLE_MONTH_SPIKE; ",""),"")&amp;IF(AND(M17&gt;0,N17=0),"NO_FEB_GMV (Feb unconfirmed); ","")&amp;IF(AF17,"LOW_CONFIDENCE; ","")</f>
        <v>KEY_SIGNOFF; NO_FEB_GMV (Feb unconfirmed); </v>
      </c>
      <c r="AU17" s="2" t="n">
        <f aca="false">IF(LEFT(D17,1)="1",V17,"")</f>
        <v>4</v>
      </c>
      <c r="AV17" s="10" t="b">
        <f aca="false">IF(LEFT(D17,1)="1",V17&gt;=Assumptions!$B$58,"")</f>
        <v>0</v>
      </c>
      <c r="AW17" s="2" t="n">
        <f aca="false">IF(LEFT(D17,1)="1",W17,"")</f>
        <v>1</v>
      </c>
      <c r="AX17" s="2" t="n">
        <f aca="false">IF(LEFT(D17,1)="1",X17,"")</f>
        <v>1</v>
      </c>
      <c r="AY17" s="17" t="n">
        <f aca="false">IF(LEFT(D17,1)="1",J17/I17,"")</f>
        <v>0.307692307692308</v>
      </c>
      <c r="AZ17" s="2" t="str">
        <f aca="false">IF(LEFT(D17,1)="1",IF(AND(K17&gt;=Assumptions!$B$83,I17&gt;=Assumptions!$B$84),"Regular","Lumpy"),"")</f>
        <v>Regular</v>
      </c>
      <c r="BA17" s="2" t="n">
        <f aca="false">IF(LEFT(D17,1)="1",ROUND(6/K17,0),"")</f>
        <v>1</v>
      </c>
      <c r="BB17" s="2" t="str">
        <f aca="false">IF(LEFT(D17,1)="1",IF(AZ17="Regular","Regular buyer: expected ~£"&amp;TEXT(H17/2,"#,##0")&amp;" per 90 days. At Risk if GMV to date &lt; "&amp;TEXT(Assumptions!$B$81,"0%")&amp;" of pro-rated expectation, checked from day "&amp;Assumptions!$B$82&amp;". Human-reviewed.","Irregular buyer ("&amp;I17&amp;" orders across "&amp;K17&amp;" months): no numeric GMV threshold. At Risk if no order within ~"&amp;BA17&amp;" month(s); AM reviews at day "&amp;Assumptions!$B$82&amp;" and "&amp;Assumptions!$B$85&amp;"."),"")</f>
        <v>Regular buyer: expected ~£5,626 per 90 days. At Risk if GMV to date &lt; 70% of pro-rated expectation, checked from day 45. Human-reviewed.</v>
      </c>
      <c r="BC17" s="18"/>
      <c r="BD17" s="18"/>
      <c r="BE17" s="18"/>
      <c r="BF17" s="18"/>
      <c r="BG17" s="18"/>
      <c r="BH17" s="18"/>
      <c r="BI17" s="18"/>
      <c r="BJ17" s="2" t="str">
        <f aca="false">IF(OR(NOT(LEFT(D17,1)="1"),BC17=""),"",IF(AZ17="Regular",AND(BC17&gt;=Assumptions!$B$82,N(BI17)&lt;Assumptions!$B$81*H17/180*BC17),AND(BC17&gt;=BA17*30,N(BG17)=0)))</f>
        <v/>
      </c>
      <c r="BK17" s="2" t="str">
        <f aca="false">IF(NOT(LEFT(D17,1)="1"),"N/A",IF(BC17="","Baseline",IF(BJ17,"At Risk",IF(AND(N(BD17)&gt;=Assumptions!$B$78,N(BE17)&gt;=Assumptions!$B$79,N(BH17)&gt;=1,N(BH17)/MAX(N(BG17),1)&gt;AY17),"Self-Serve Capability Demonstrated",IF(OR(N(BD17)&gt;=Assumptions!$B$76,N(BE17)&gt;=Assumptions!$B$77),"Progressing",IF(BC17&gt;=Assumptions!$B$85,"At Risk","Baseline"))))))</f>
        <v>Baseline</v>
      </c>
      <c r="BL17" s="2" t="n">
        <f aca="false">(AND(C17="Broker-Reliant",OR(AK17="Discovery-to-Offer Enablement",AK17="Reinforce Successful Behaviour")))*1+(AND(G17="Declining",E17&lt;&gt;"Tail",AL17="Automated"))*1+(AND(Y17,AM17&lt;&gt;"Human Sign-Off Required"))*1+(AND(AA17,AM17&lt;&gt;"HOLD — Critical Data Issue"))*1+(AND(P17="Recent Inactivity",OR(AK17="Discovery-to-Offer Enablement",AK17="Reinforce Successful Behaviour")))*1+(AND(OR(LEFT(D17,1)="2",LEFT(D17,1)="3",LEFT(D17,1)="8"),AL17="Automated"))*1+((LEFT(D17,1)="1")&lt;&gt;(AK17="Guided Self-Serve Migration"))*1+(AND(AR17&lt;&gt;"",OR(F17&lt;&gt;"Low",U17="Mixed",AND(G17&lt;&gt;"Growing",G17&lt;&gt;"Stable"))))*1+ISNUMBER(SEARCH("chat",AP17))*1+ISNUMBER(SEARCH("video",AP17))*1+(AND(AA17,AL17="Automated",AM17&lt;&gt;"HOLD — Critical Data Issue"))*1</f>
        <v>0</v>
      </c>
    </row>
    <row r="18" customFormat="false" ht="15" hidden="false" customHeight="false" outlineLevel="0" collapsed="false">
      <c r="A18" s="2" t="s">
        <v>199</v>
      </c>
      <c r="B18" s="2" t="str">
        <f aca="false">INDEX(Segmentation!$B$2:$B$301,MATCH($A18,Segmentation!$A$2:$A$301,0))</f>
        <v>Account Managed</v>
      </c>
      <c r="C18" s="2" t="str">
        <f aca="false">INDEX(Segmentation!$H$2:$H$301,MATCH($A18,Segmentation!$A$2:$A$301,0))</f>
        <v>Broker-Reliant</v>
      </c>
      <c r="D18" s="2" t="str">
        <f aca="false">INDEX(Segmentation!$T$2:$T$301,MATCH($A18,Segmentation!$A$2:$A$301,0))</f>
        <v>2. Protect / Retain First</v>
      </c>
      <c r="E18" s="2" t="str">
        <f aca="false">INDEX(Segmentation!$J$2:$J$301,MATCH($A18,Segmentation!$A$2:$A$301,0))</f>
        <v>Key</v>
      </c>
      <c r="F18" s="2" t="str">
        <f aca="false">INDEX(Segmentation!$G$2:$G$301,MATCH($A18,Segmentation!$A$2:$A$301,0))</f>
        <v>High</v>
      </c>
      <c r="G18" s="2" t="str">
        <f aca="false">INDEX(Segmentation!$N$2:$N$301,MATCH($A18,Segmentation!$A$2:$A$301,0))</f>
        <v>Declining</v>
      </c>
      <c r="H18" s="9" t="n">
        <f aca="false">INDEX(Segmentation!$I$2:$I$301,MATCH($A18,Segmentation!$A$2:$A$301,0))</f>
        <v>10950</v>
      </c>
      <c r="I18" s="2" t="n">
        <f aca="false">INDEX(Segmentation!$O$2:$O$301,MATCH($A18,Segmentation!$A$2:$A$301,0))</f>
        <v>37</v>
      </c>
      <c r="J18" s="2" t="n">
        <f aca="false">INDEX(Segmentation!$Q$2:$Q$301,MATCH($A18,Segmentation!$A$2:$A$301,0))</f>
        <v>8</v>
      </c>
      <c r="K18" s="2" t="n">
        <f aca="false">INDEX(Segmentation!$W$2:$W$301,MATCH($A18,Segmentation!$A$2:$A$301,0))</f>
        <v>5</v>
      </c>
      <c r="L18" s="9" t="n">
        <f aca="false">INDEX('Commercial View'!$L$2:$L$301,MATCH($A18,'Commercial View'!$A$2:$A$301,0))</f>
        <v>0</v>
      </c>
      <c r="M18" s="9" t="n">
        <f aca="false">INDEX('Commercial View'!$M$2:$M$301,MATCH($A18,'Commercial View'!$A$2:$A$301,0))</f>
        <v>2899</v>
      </c>
      <c r="N18" s="9" t="n">
        <f aca="false">INDEX('Commercial View'!$N$2:$N$301,MATCH($A18,'Commercial View'!$A$2:$A$301,0))</f>
        <v>339</v>
      </c>
      <c r="O18" s="9" t="n">
        <f aca="false">INDEX(Segmentation!$L$2:$L$301,MATCH($A18,Segmentation!$A$2:$A$301,0))</f>
        <v>3238</v>
      </c>
      <c r="P18" s="2" t="str">
        <f aca="false">IF(OR(M18&gt;0,N18&gt;0),"Recently Active",IF(OR(I18&lt;=Assumptions!$B$48,K18&lt;=Assumptions!$B$49),"No Meaningful History","Recent Inactivity"))</f>
        <v>Recently Active</v>
      </c>
      <c r="Q18" s="2" t="str">
        <f aca="false">INDEX(Segmentation!$AF$2:$AF$301,MATCH($A18,Segmentation!$A$2:$A$301,0))</f>
        <v>Existing Customer</v>
      </c>
      <c r="R18" s="2" t="str">
        <f aca="false">INDEX(Segmentation!$AL$2:$AL$301,MATCH($A18,Segmentation!$A$2:$A$301,0))</f>
        <v>N/A</v>
      </c>
      <c r="S18" s="10" t="b">
        <f aca="false">INDEX(Segmentation!$AW$2:$AW$301,MATCH($A18,Segmentation!$A$2:$A$301,0))</f>
        <v>0</v>
      </c>
      <c r="T18" s="2" t="str">
        <f aca="false">INDEX('Feature Data'!$AD$2:$AD$301,MATCH($A18,'Feature Data'!$A$2:$A$301,0))</f>
        <v>Broker-led, product-blind</v>
      </c>
      <c r="U18" s="2" t="str">
        <f aca="false">INDEX('Feature Data'!$W$2:$W$301,MATCH($A18,'Feature Data'!$A$2:$A$301,0))</f>
        <v>Mixed</v>
      </c>
      <c r="V18" s="2" t="n">
        <f aca="false">INDEX('Feature Data'!$P$2:$P$301,MATCH($A18,'Feature Data'!$A$2:$A$301,0))</f>
        <v>2</v>
      </c>
      <c r="W18" s="2" t="n">
        <f aca="false">INDEX(Segmentation!$R$2:$R$301,MATCH($A18,Segmentation!$A$2:$A$301,0))</f>
        <v>4</v>
      </c>
      <c r="X18" s="2" t="n">
        <f aca="false">INDEX(Segmentation!$S$2:$S$301,MATCH($A18,Segmentation!$A$2:$A$301,0))</f>
        <v>1</v>
      </c>
      <c r="Y18" s="10" t="b">
        <f aca="false">INDEX(Segmentation!$AG$2:$AG$301,MATCH($A18,Segmentation!$A$2:$A$301,0))</f>
        <v>0</v>
      </c>
      <c r="Z18" s="2" t="str">
        <f aca="false">INDEX(Segmentation!$AU$2:$AU$301,MATCH($A18,Segmentation!$A$2:$A$301,0))</f>
        <v>Not Eligible</v>
      </c>
      <c r="AA18" s="10" t="b">
        <f aca="false">INDEX(Segmentation!$Z$2:$Z$301,MATCH($A18,Segmentation!$A$2:$A$301,0))</f>
        <v>0</v>
      </c>
      <c r="AB18" s="10" t="b">
        <f aca="false">INDEX(Segmentation!$AH$2:$AH$301,MATCH($A18,Segmentation!$A$2:$A$301,0))</f>
        <v>0</v>
      </c>
      <c r="AC18" s="10" t="b">
        <f aca="false">INDEX(Segmentation!$AK$2:$AK$301,MATCH($A18,Segmentation!$A$2:$A$301,0))</f>
        <v>0</v>
      </c>
      <c r="AD18" s="10" t="b">
        <f aca="false">INDEX(Segmentation!$AQ$2:$AQ$301,MATCH($A18,Segmentation!$A$2:$A$301,0))</f>
        <v>0</v>
      </c>
      <c r="AE18" s="10" t="b">
        <f aca="false">INDEX(Segmentation!$AT$2:$AT$301,MATCH($A18,Segmentation!$A$2:$A$301,0))</f>
        <v>0</v>
      </c>
      <c r="AF18" s="10" t="b">
        <f aca="false">INDEX(Segmentation!$X$2:$X$301,MATCH($A18,Segmentation!$A$2:$A$301,0))</f>
        <v>0</v>
      </c>
      <c r="AG18" s="10" t="b">
        <f aca="false">AND(F18="Low",V18&gt;=Assumptions!$B$71,X18&lt;Assumptions!$B$72)</f>
        <v>0</v>
      </c>
      <c r="AH18" s="10" t="b">
        <f aca="false">AND(F18="Low",OR(G18="Growing",G18="Stable"),P18="Recently Active",V18&gt;=Assumptions!$B$58,K18&gt;=Assumptions!$B$73)</f>
        <v>0</v>
      </c>
      <c r="AI18" s="17" t="n">
        <f aca="false">IF(O18&gt;0,MAX(L18:N18)/O18,"")</f>
        <v>0.895305744286597</v>
      </c>
      <c r="AJ18" s="2" t="str">
        <f aca="false">IF(LEFT(D18,1)="1",IF(E18="Key","MIGRATION_KEY_SIGNOFF",IF(Z18="Ready","MIGRATION_PHASE1_READY",IF(Z18="Manual Review","MIGRATION_PHASE1_REVIEW","MIGRATION_PRE_ENTRY"))),IF(LEFT(D18,1)="2","DECLINING_KEY_CORE",IF(LEFT(D18,1)="3",IF(R18="Established Buyer Lapsed","LAPSED_ESTABLISHED","LAPSED_THIN_HISTORY"),IF(LEFT(D18,1)="4",IF(Q18="New Customer","NEW_CUSTOMER","RETURNED_CUSTOMER"),IF(LEFT(D18,1)="5",IF(P18="Recently Active","COST_TO_SERVE_ACTIVE","DORMANT_LOW_VALUE"),IF(LEFT(D18,1)="6",IF(P18="Recent Inactivity","RECENT_INACTIVITY",IF(AG18,"BROWSING_LOW_OFFERS","HEALTHY_STRONG_SELF_SERVE")),IF(LEFT(D18,1)="7",IF(P18="Recent Inactivity","RECENT_INACTIVITY",IF(Q18="New Customer","NEW_CUSTOMER","RETURNED_CUSTOMER")),IF(LEFT(D18,1)="8",IF(G18="Declining",IF(T18="Engaged but shrinking (Key/Core)","ENGAGED_BUT_SHRINKING","DECLINING_KEY_CORE"),IF(R18="Established Buyer Lapsed","LAPSED_ESTABLISHED","LAPSED_THIN_HISTORY")),IF(S18,IF(P18&lt;&gt;"Recently Active","DORMANT_LOW_VALUE",IF(AG18,"BROWSING_LOW_OFFERS",IF(AH18,"RISING_TAIL","RISING_TAIL_EARLY"))),IF(AND(AG18,P18="Recently Active",OR(G18="Growing",G18="Stable",G18="H2 Active / No H1 GMV"),I18&gt;=Assumptions!$B$74),"BROWSING_LOW_OFFERS","LONG_TAIL_STANDARD"))))))))))</f>
        <v>DECLINING_KEY_CORE</v>
      </c>
      <c r="AK18" s="2" t="str">
        <f aca="false">INDEX('NBA Library'!$B$4:$B$21,MATCH(AJ18,'NBA Library'!$A$4:$A$21,0))</f>
        <v>Retention Conversation</v>
      </c>
      <c r="AL18" s="2" t="str">
        <f aca="false">INDEX('NBA Library'!$C$4:$C$21,MATCH(AJ18,'NBA Library'!$A$4:$A$21,0))</f>
        <v>Human</v>
      </c>
      <c r="AM18" s="2" t="str">
        <f aca="false">IF(AA18,"HOLD — Critical Data Issue",IF(Y18,"Human Sign-Off Required",IF(Z18="Manual Review","Human Review Required",IF(AND(AL18="Automated",OR(AE18,AND(OR(AK18="Discovery-to-Offer Enablement",AK18="Reinforce Successful Behaviour"),OR(AC18,AB18)))),"Human Review Required",IF(AL18="Human","Ready — Human",IF(AL18="Hybrid","Ready — Hybrid","Ready — Automated"))))))</f>
        <v>Ready — Human</v>
      </c>
      <c r="AN18" s="2" t="str">
        <f aca="false">IF(AA18,"P0",IF(AND(AJ18="BROWSING_LOW_OFFERS",E18="Tail"),"P3",IF(AND(AM18="Human Review Required",INDEX('NBA Library'!$D$4:$D$21,MATCH(AJ18,'NBA Library'!$A$4:$A$21,0))="P4"),"P3",INDEX('NBA Library'!$D$4:$D$21,MATCH(AJ18,'NBA Library'!$A$4:$A$21,0)))))</f>
        <v>P1</v>
      </c>
      <c r="AO18" s="2" t="str">
        <f aca="false">E18&amp;" "&amp;C18&amp;" account ("&amp;B18&amp;"); "&amp;G18&amp;" momentum; "&amp;P18&amp;"; £"&amp;TEXT(H18,"#,##0")&amp;" 6m GMV. "&amp;INDEX('NBA Library'!$G$4:$G$21,MATCH(AJ18,'NBA Library'!$A$4:$A$21,0))&amp;IF(LEFT(D18,1)="1"," Baseline: "&amp;V18&amp;" PDP views, "&amp;W18&amp;" app days, "&amp;X18&amp;" offers, "&amp;TEXT(J18/I18,"0%")&amp;" of orders self-serve.","")&amp;IF(AA18," Execution on HOLD until the Duplicate status is resolved.","")&amp;IF(Y18," Key account: explicit AM/leadership sign-off required before any migration activity.","")&amp;IF(AE18," Implied broker % from order counts would move this account to a different segment; review before automating.","")</f>
        <v>Key Broker-Reliant account (Account Managed); Declining momentum; Recently Active; £10,950 6m GMV. Broker-led spend is falling. Keep human support in place; AM to diagnose the cause before any migration or product nudge.</v>
      </c>
      <c r="AP18" s="2" t="str">
        <f aca="false">INDEX('NBA Library'!$E$4:$E$21,MATCH(AJ18,'NBA Library'!$A$4:$A$21,0))&amp;IF(AND(AJ18="NEW_CUSTOMER",AG18),"; introduce Make-an-Offer on items already browsed","")</f>
        <v>AM diagnoses the cause of falling spend (supply, price, service, competitor) and agrees a recovery plan; keep human support in place</v>
      </c>
      <c r="AQ18" s="2" t="str">
        <f aca="false">INDEX('NBA Library'!$F$4:$F$21,MATCH(AJ18,'NBA Library'!$A$4:$A$21,0))</f>
        <v>Next 90-day GMV back to at least the Sep-Nov (H1) level, or decline arrested; root cause logged</v>
      </c>
      <c r="AR18" s="2" t="str">
        <f aca="false">IF(AND(F18="Low",OR(G18="Growing",G18="Stable"),P18="Recently Active",U18&lt;&gt;"Mixed",OR(AK18="Discovery-to-Offer Enablement",AK18="Reinforce Successful Behaviour"),AM18="Ready — Automated",OR(E18&lt;&gt;"Tail",S18)),"Range Expansion Test — trial "&amp;IF(U18="Bundle-only","handpick","bundles")&amp;" (experimental; not proven to lift GMV)","")</f>
        <v/>
      </c>
      <c r="AS18" s="2" t="str">
        <f aca="false">IF(AK18&lt;&gt;"Automated Nurture","",IF(AJ18="DORMANT_LOW_VALUE","Dormant",IF(AJ18="RISING_TAIL_EARLY","Rising tail – early pattern",IF(Q18="New Customer","New customer onboarding",IF(Q18="Returned Customer","Returned customer",IF(G18="Lapsed","Dormant",IF(T18="Engaged, not converting","Engaged, not converting",IF(T18="One-off low-touch buyer","One-off purchaser",IF(T18="Light-touch repeat buyer","Light-touch repeat buyer","Standard long tail")))))))))</f>
        <v/>
      </c>
      <c r="AT18" s="2" t="str">
        <f aca="false">IF(AA18,"CRITICAL_DATA_BLOCKER; ","")&amp;IF(Y18,"KEY_SIGNOFF; ","")&amp;IF(Z18="Manual Review","PHASE1_MANUAL_REVIEW; ","")&amp;IF(AND(LEFT(D18,1)="1",AZ18="Lumpy"),"LUMPY_CADENCE; ","")&amp;IF(AB18,"BORDERLINE_MOMENTUM; ","")&amp;IF(AC18,"FEB_SENSITIVE; ","")&amp;IF(AD18,"MATERIAL_BROKER_INCONSISTENCY"&amp;IF(AE18," (segment would change)","")&amp;"; ","")&amp;IF(AND(I18&gt;=3,O18&gt;0),IF(AI18&gt;=Assumptions!$B$75,"H2_SINGLE_MONTH_SPIKE; ",""),"")&amp;IF(AND(M18&gt;0,N18=0),"NO_FEB_GMV (Feb unconfirmed); ","")&amp;IF(AF18,"LOW_CONFIDENCE; ","")</f>
        <v>H2_SINGLE_MONTH_SPIKE; </v>
      </c>
      <c r="AU18" s="2" t="str">
        <f aca="false">IF(LEFT(D18,1)="1",V18,"")</f>
        <v/>
      </c>
      <c r="AV18" s="2" t="str">
        <f aca="false">IF(LEFT(D18,1)="1",V18&gt;=Assumptions!$B$58,"")</f>
        <v/>
      </c>
      <c r="AW18" s="2" t="str">
        <f aca="false">IF(LEFT(D18,1)="1",W18,"")</f>
        <v/>
      </c>
      <c r="AX18" s="2" t="str">
        <f aca="false">IF(LEFT(D18,1)="1",X18,"")</f>
        <v/>
      </c>
      <c r="AY18" s="17" t="str">
        <f aca="false">IF(LEFT(D18,1)="1",J18/I18,"")</f>
        <v/>
      </c>
      <c r="AZ18" s="2" t="str">
        <f aca="false">IF(LEFT(D18,1)="1",IF(AND(K18&gt;=Assumptions!$B$83,I18&gt;=Assumptions!$B$84),"Regular","Lumpy"),"")</f>
        <v/>
      </c>
      <c r="BA18" s="2" t="str">
        <f aca="false">IF(LEFT(D18,1)="1",ROUND(6/K18,0),"")</f>
        <v/>
      </c>
      <c r="BB18" s="2" t="str">
        <f aca="false">IF(LEFT(D18,1)="1",IF(AZ18="Regular","Regular buyer: expected ~£"&amp;TEXT(H18/2,"#,##0")&amp;" per 90 days. At Risk if GMV to date &lt; "&amp;TEXT(Assumptions!$B$81,"0%")&amp;" of pro-rated expectation, checked from day "&amp;Assumptions!$B$82&amp;". Human-reviewed.","Irregular buyer ("&amp;I18&amp;" orders across "&amp;K18&amp;" months): no numeric GMV threshold. At Risk if no order within ~"&amp;BA18&amp;" month(s); AM reviews at day "&amp;Assumptions!$B$82&amp;" and "&amp;Assumptions!$B$85&amp;"."),"")</f>
        <v/>
      </c>
      <c r="BC18" s="2"/>
      <c r="BD18" s="2"/>
      <c r="BE18" s="2"/>
      <c r="BF18" s="2"/>
      <c r="BG18" s="2"/>
      <c r="BH18" s="2"/>
      <c r="BI18" s="2"/>
      <c r="BJ18" s="2" t="str">
        <f aca="false">IF(OR(NOT(LEFT(D18,1)="1"),BC18=""),"",IF(AZ18="Regular",AND(BC18&gt;=Assumptions!$B$82,N(BI18)&lt;Assumptions!$B$81*H18/180*BC18),AND(BC18&gt;=BA18*30,N(BG18)=0)))</f>
        <v/>
      </c>
      <c r="BK18" s="2" t="str">
        <f aca="false">IF(NOT(LEFT(D18,1)="1"),"N/A",IF(BC18="","Baseline",IF(BJ18,"At Risk",IF(AND(N(BD18)&gt;=Assumptions!$B$78,N(BE18)&gt;=Assumptions!$B$79,N(BH18)&gt;=1,N(BH18)/MAX(N(BG18),1)&gt;AY18),"Self-Serve Capability Demonstrated",IF(OR(N(BD18)&gt;=Assumptions!$B$76,N(BE18)&gt;=Assumptions!$B$77),"Progressing",IF(BC18&gt;=Assumptions!$B$85,"At Risk","Baseline"))))))</f>
        <v>N/A</v>
      </c>
      <c r="BL18" s="2" t="n">
        <f aca="false">(AND(C18="Broker-Reliant",OR(AK18="Discovery-to-Offer Enablement",AK18="Reinforce Successful Behaviour")))*1+(AND(G18="Declining",E18&lt;&gt;"Tail",AL18="Automated"))*1+(AND(Y18,AM18&lt;&gt;"Human Sign-Off Required"))*1+(AND(AA18,AM18&lt;&gt;"HOLD — Critical Data Issue"))*1+(AND(P18="Recent Inactivity",OR(AK18="Discovery-to-Offer Enablement",AK18="Reinforce Successful Behaviour")))*1+(AND(OR(LEFT(D18,1)="2",LEFT(D18,1)="3",LEFT(D18,1)="8"),AL18="Automated"))*1+((LEFT(D18,1)="1")&lt;&gt;(AK18="Guided Self-Serve Migration"))*1+(AND(AR18&lt;&gt;"",OR(F18&lt;&gt;"Low",U18="Mixed",AND(G18&lt;&gt;"Growing",G18&lt;&gt;"Stable"))))*1+ISNUMBER(SEARCH("chat",AP18))*1+ISNUMBER(SEARCH("video",AP18))*1+(AND(AA18,AL18="Automated",AM18&lt;&gt;"HOLD — Critical Data Issue"))*1</f>
        <v>0</v>
      </c>
    </row>
    <row r="19" customFormat="false" ht="15" hidden="false" customHeight="false" outlineLevel="0" collapsed="false">
      <c r="A19" s="2" t="s">
        <v>202</v>
      </c>
      <c r="B19" s="2" t="str">
        <f aca="false">INDEX(Segmentation!$B$2:$B$301,MATCH($A19,Segmentation!$A$2:$A$301,0))</f>
        <v>Account Managed</v>
      </c>
      <c r="C19" s="2" t="str">
        <f aca="false">INDEX(Segmentation!$H$2:$H$301,MATCH($A19,Segmentation!$A$2:$A$301,0))</f>
        <v>Broker-Reliant</v>
      </c>
      <c r="D19" s="2" t="str">
        <f aca="false">INDEX(Segmentation!$T$2:$T$301,MATCH($A19,Segmentation!$A$2:$A$301,0))</f>
        <v>2. Protect / Retain First</v>
      </c>
      <c r="E19" s="2" t="str">
        <f aca="false">INDEX(Segmentation!$J$2:$J$301,MATCH($A19,Segmentation!$A$2:$A$301,0))</f>
        <v>Core</v>
      </c>
      <c r="F19" s="2" t="str">
        <f aca="false">INDEX(Segmentation!$G$2:$G$301,MATCH($A19,Segmentation!$A$2:$A$301,0))</f>
        <v>High</v>
      </c>
      <c r="G19" s="2" t="str">
        <f aca="false">INDEX(Segmentation!$N$2:$N$301,MATCH($A19,Segmentation!$A$2:$A$301,0))</f>
        <v>Declining</v>
      </c>
      <c r="H19" s="9" t="n">
        <f aca="false">INDEX(Segmentation!$I$2:$I$301,MATCH($A19,Segmentation!$A$2:$A$301,0))</f>
        <v>8613</v>
      </c>
      <c r="I19" s="2" t="n">
        <f aca="false">INDEX(Segmentation!$O$2:$O$301,MATCH($A19,Segmentation!$A$2:$A$301,0))</f>
        <v>11</v>
      </c>
      <c r="J19" s="2" t="n">
        <f aca="false">INDEX(Segmentation!$Q$2:$Q$301,MATCH($A19,Segmentation!$A$2:$A$301,0))</f>
        <v>3</v>
      </c>
      <c r="K19" s="2" t="n">
        <f aca="false">INDEX(Segmentation!$W$2:$W$301,MATCH($A19,Segmentation!$A$2:$A$301,0))</f>
        <v>5</v>
      </c>
      <c r="L19" s="9" t="n">
        <f aca="false">INDEX('Commercial View'!$L$2:$L$301,MATCH($A19,'Commercial View'!$A$2:$A$301,0))</f>
        <v>1901</v>
      </c>
      <c r="M19" s="9" t="n">
        <f aca="false">INDEX('Commercial View'!$M$2:$M$301,MATCH($A19,'Commercial View'!$A$2:$A$301,0))</f>
        <v>1109</v>
      </c>
      <c r="N19" s="9" t="n">
        <f aca="false">INDEX('Commercial View'!$N$2:$N$301,MATCH($A19,'Commercial View'!$A$2:$A$301,0))</f>
        <v>0</v>
      </c>
      <c r="O19" s="9" t="n">
        <f aca="false">INDEX(Segmentation!$L$2:$L$301,MATCH($A19,Segmentation!$A$2:$A$301,0))</f>
        <v>3010</v>
      </c>
      <c r="P19" s="2" t="str">
        <f aca="false">IF(OR(M19&gt;0,N19&gt;0),"Recently Active",IF(OR(I19&lt;=Assumptions!$B$48,K19&lt;=Assumptions!$B$49),"No Meaningful History","Recent Inactivity"))</f>
        <v>Recently Active</v>
      </c>
      <c r="Q19" s="2" t="str">
        <f aca="false">INDEX(Segmentation!$AF$2:$AF$301,MATCH($A19,Segmentation!$A$2:$A$301,0))</f>
        <v>Existing Customer</v>
      </c>
      <c r="R19" s="2" t="str">
        <f aca="false">INDEX(Segmentation!$AL$2:$AL$301,MATCH($A19,Segmentation!$A$2:$A$301,0))</f>
        <v>N/A</v>
      </c>
      <c r="S19" s="10" t="b">
        <f aca="false">INDEX(Segmentation!$AW$2:$AW$301,MATCH($A19,Segmentation!$A$2:$A$301,0))</f>
        <v>0</v>
      </c>
      <c r="T19" s="2" t="str">
        <f aca="false">INDEX('Feature Data'!$AD$2:$AD$301,MATCH($A19,'Feature Data'!$A$2:$A$301,0))</f>
        <v>Broker-led, product-blind</v>
      </c>
      <c r="U19" s="2" t="str">
        <f aca="false">INDEX('Feature Data'!$W$2:$W$301,MATCH($A19,'Feature Data'!$A$2:$A$301,0))</f>
        <v>Bundle-only</v>
      </c>
      <c r="V19" s="2" t="n">
        <f aca="false">INDEX('Feature Data'!$P$2:$P$301,MATCH($A19,'Feature Data'!$A$2:$A$301,0))</f>
        <v>10</v>
      </c>
      <c r="W19" s="2" t="n">
        <f aca="false">INDEX(Segmentation!$R$2:$R$301,MATCH($A19,Segmentation!$A$2:$A$301,0))</f>
        <v>3</v>
      </c>
      <c r="X19" s="2" t="n">
        <f aca="false">INDEX(Segmentation!$S$2:$S$301,MATCH($A19,Segmentation!$A$2:$A$301,0))</f>
        <v>0</v>
      </c>
      <c r="Y19" s="10" t="b">
        <f aca="false">INDEX(Segmentation!$AG$2:$AG$301,MATCH($A19,Segmentation!$A$2:$A$301,0))</f>
        <v>0</v>
      </c>
      <c r="Z19" s="2" t="str">
        <f aca="false">INDEX(Segmentation!$AU$2:$AU$301,MATCH($A19,Segmentation!$A$2:$A$301,0))</f>
        <v>Not Eligible</v>
      </c>
      <c r="AA19" s="10" t="b">
        <f aca="false">INDEX(Segmentation!$Z$2:$Z$301,MATCH($A19,Segmentation!$A$2:$A$301,0))</f>
        <v>0</v>
      </c>
      <c r="AB19" s="10" t="b">
        <f aca="false">INDEX(Segmentation!$AH$2:$AH$301,MATCH($A19,Segmentation!$A$2:$A$301,0))</f>
        <v>0</v>
      </c>
      <c r="AC19" s="10" t="b">
        <f aca="false">INDEX(Segmentation!$AK$2:$AK$301,MATCH($A19,Segmentation!$A$2:$A$301,0))</f>
        <v>1</v>
      </c>
      <c r="AD19" s="10" t="b">
        <f aca="false">INDEX(Segmentation!$AQ$2:$AQ$301,MATCH($A19,Segmentation!$A$2:$A$301,0))</f>
        <v>0</v>
      </c>
      <c r="AE19" s="10" t="b">
        <f aca="false">INDEX(Segmentation!$AT$2:$AT$301,MATCH($A19,Segmentation!$A$2:$A$301,0))</f>
        <v>0</v>
      </c>
      <c r="AF19" s="10" t="b">
        <f aca="false">INDEX(Segmentation!$X$2:$X$301,MATCH($A19,Segmentation!$A$2:$A$301,0))</f>
        <v>0</v>
      </c>
      <c r="AG19" s="10" t="b">
        <f aca="false">AND(F19="Low",V19&gt;=Assumptions!$B$71,X19&lt;Assumptions!$B$72)</f>
        <v>0</v>
      </c>
      <c r="AH19" s="10" t="b">
        <f aca="false">AND(F19="Low",OR(G19="Growing",G19="Stable"),P19="Recently Active",V19&gt;=Assumptions!$B$58,K19&gt;=Assumptions!$B$73)</f>
        <v>0</v>
      </c>
      <c r="AI19" s="17" t="n">
        <f aca="false">IF(O19&gt;0,MAX(L19:N19)/O19,"")</f>
        <v>0.63156146179402</v>
      </c>
      <c r="AJ19" s="2" t="str">
        <f aca="false">IF(LEFT(D19,1)="1",IF(E19="Key","MIGRATION_KEY_SIGNOFF",IF(Z19="Ready","MIGRATION_PHASE1_READY",IF(Z19="Manual Review","MIGRATION_PHASE1_REVIEW","MIGRATION_PRE_ENTRY"))),IF(LEFT(D19,1)="2","DECLINING_KEY_CORE",IF(LEFT(D19,1)="3",IF(R19="Established Buyer Lapsed","LAPSED_ESTABLISHED","LAPSED_THIN_HISTORY"),IF(LEFT(D19,1)="4",IF(Q19="New Customer","NEW_CUSTOMER","RETURNED_CUSTOMER"),IF(LEFT(D19,1)="5",IF(P19="Recently Active","COST_TO_SERVE_ACTIVE","DORMANT_LOW_VALUE"),IF(LEFT(D19,1)="6",IF(P19="Recent Inactivity","RECENT_INACTIVITY",IF(AG19,"BROWSING_LOW_OFFERS","HEALTHY_STRONG_SELF_SERVE")),IF(LEFT(D19,1)="7",IF(P19="Recent Inactivity","RECENT_INACTIVITY",IF(Q19="New Customer","NEW_CUSTOMER","RETURNED_CUSTOMER")),IF(LEFT(D19,1)="8",IF(G19="Declining",IF(T19="Engaged but shrinking (Key/Core)","ENGAGED_BUT_SHRINKING","DECLINING_KEY_CORE"),IF(R19="Established Buyer Lapsed","LAPSED_ESTABLISHED","LAPSED_THIN_HISTORY")),IF(S19,IF(P19&lt;&gt;"Recently Active","DORMANT_LOW_VALUE",IF(AG19,"BROWSING_LOW_OFFERS",IF(AH19,"RISING_TAIL","RISING_TAIL_EARLY"))),IF(AND(AG19,P19="Recently Active",OR(G19="Growing",G19="Stable",G19="H2 Active / No H1 GMV"),I19&gt;=Assumptions!$B$74),"BROWSING_LOW_OFFERS","LONG_TAIL_STANDARD"))))))))))</f>
        <v>DECLINING_KEY_CORE</v>
      </c>
      <c r="AK19" s="2" t="str">
        <f aca="false">INDEX('NBA Library'!$B$4:$B$21,MATCH(AJ19,'NBA Library'!$A$4:$A$21,0))</f>
        <v>Retention Conversation</v>
      </c>
      <c r="AL19" s="2" t="str">
        <f aca="false">INDEX('NBA Library'!$C$4:$C$21,MATCH(AJ19,'NBA Library'!$A$4:$A$21,0))</f>
        <v>Human</v>
      </c>
      <c r="AM19" s="2" t="str">
        <f aca="false">IF(AA19,"HOLD — Critical Data Issue",IF(Y19,"Human Sign-Off Required",IF(Z19="Manual Review","Human Review Required",IF(AND(AL19="Automated",OR(AE19,AND(OR(AK19="Discovery-to-Offer Enablement",AK19="Reinforce Successful Behaviour"),OR(AC19,AB19)))),"Human Review Required",IF(AL19="Human","Ready — Human",IF(AL19="Hybrid","Ready — Hybrid","Ready — Automated"))))))</f>
        <v>Ready — Human</v>
      </c>
      <c r="AN19" s="2" t="str">
        <f aca="false">IF(AA19,"P0",IF(AND(AJ19="BROWSING_LOW_OFFERS",E19="Tail"),"P3",IF(AND(AM19="Human Review Required",INDEX('NBA Library'!$D$4:$D$21,MATCH(AJ19,'NBA Library'!$A$4:$A$21,0))="P4"),"P3",INDEX('NBA Library'!$D$4:$D$21,MATCH(AJ19,'NBA Library'!$A$4:$A$21,0)))))</f>
        <v>P1</v>
      </c>
      <c r="AO19" s="2" t="str">
        <f aca="false">E19&amp;" "&amp;C19&amp;" account ("&amp;B19&amp;"); "&amp;G19&amp;" momentum; "&amp;P19&amp;"; £"&amp;TEXT(H19,"#,##0")&amp;" 6m GMV. "&amp;INDEX('NBA Library'!$G$4:$G$21,MATCH(AJ19,'NBA Library'!$A$4:$A$21,0))&amp;IF(LEFT(D19,1)="1"," Baseline: "&amp;V19&amp;" PDP views, "&amp;W19&amp;" app days, "&amp;X19&amp;" offers, "&amp;TEXT(J19/I19,"0%")&amp;" of orders self-serve.","")&amp;IF(AA19," Execution on HOLD until the Duplicate status is resolved.","")&amp;IF(Y19," Key account: explicit AM/leadership sign-off required before any migration activity.","")&amp;IF(AE19," Implied broker % from order counts would move this account to a different segment; review before automating.","")</f>
        <v>Core Broker-Reliant account (Account Managed); Declining momentum; Recently Active; £8,613 6m GMV. Broker-led spend is falling. Keep human support in place; AM to diagnose the cause before any migration or product nudge.</v>
      </c>
      <c r="AP19" s="2" t="str">
        <f aca="false">INDEX('NBA Library'!$E$4:$E$21,MATCH(AJ19,'NBA Library'!$A$4:$A$21,0))&amp;IF(AND(AJ19="NEW_CUSTOMER",AG19),"; introduce Make-an-Offer on items already browsed","")</f>
        <v>AM diagnoses the cause of falling spend (supply, price, service, competitor) and agrees a recovery plan; keep human support in place</v>
      </c>
      <c r="AQ19" s="2" t="str">
        <f aca="false">INDEX('NBA Library'!$F$4:$F$21,MATCH(AJ19,'NBA Library'!$A$4:$A$21,0))</f>
        <v>Next 90-day GMV back to at least the Sep-Nov (H1) level, or decline arrested; root cause logged</v>
      </c>
      <c r="AR19" s="2" t="str">
        <f aca="false">IF(AND(F19="Low",OR(G19="Growing",G19="Stable"),P19="Recently Active",U19&lt;&gt;"Mixed",OR(AK19="Discovery-to-Offer Enablement",AK19="Reinforce Successful Behaviour"),AM19="Ready — Automated",OR(E19&lt;&gt;"Tail",S19)),"Range Expansion Test — trial "&amp;IF(U19="Bundle-only","handpick","bundles")&amp;" (experimental; not proven to lift GMV)","")</f>
        <v/>
      </c>
      <c r="AS19" s="2" t="str">
        <f aca="false">IF(AK19&lt;&gt;"Automated Nurture","",IF(AJ19="DORMANT_LOW_VALUE","Dormant",IF(AJ19="RISING_TAIL_EARLY","Rising tail – early pattern",IF(Q19="New Customer","New customer onboarding",IF(Q19="Returned Customer","Returned customer",IF(G19="Lapsed","Dormant",IF(T19="Engaged, not converting","Engaged, not converting",IF(T19="One-off low-touch buyer","One-off purchaser",IF(T19="Light-touch repeat buyer","Light-touch repeat buyer","Standard long tail")))))))))</f>
        <v/>
      </c>
      <c r="AT19" s="2" t="str">
        <f aca="false">IF(AA19,"CRITICAL_DATA_BLOCKER; ","")&amp;IF(Y19,"KEY_SIGNOFF; ","")&amp;IF(Z19="Manual Review","PHASE1_MANUAL_REVIEW; ","")&amp;IF(AND(LEFT(D19,1)="1",AZ19="Lumpy"),"LUMPY_CADENCE; ","")&amp;IF(AB19,"BORDERLINE_MOMENTUM; ","")&amp;IF(AC19,"FEB_SENSITIVE; ","")&amp;IF(AD19,"MATERIAL_BROKER_INCONSISTENCY"&amp;IF(AE19," (segment would change)","")&amp;"; ","")&amp;IF(AND(I19&gt;=3,O19&gt;0),IF(AI19&gt;=Assumptions!$B$75,"H2_SINGLE_MONTH_SPIKE; ",""),"")&amp;IF(AND(M19&gt;0,N19=0),"NO_FEB_GMV (Feb unconfirmed); ","")&amp;IF(AF19,"LOW_CONFIDENCE; ","")</f>
        <v>FEB_SENSITIVE; NO_FEB_GMV (Feb unconfirmed); </v>
      </c>
      <c r="AU19" s="2" t="str">
        <f aca="false">IF(LEFT(D19,1)="1",V19,"")</f>
        <v/>
      </c>
      <c r="AV19" s="2" t="str">
        <f aca="false">IF(LEFT(D19,1)="1",V19&gt;=Assumptions!$B$58,"")</f>
        <v/>
      </c>
      <c r="AW19" s="2" t="str">
        <f aca="false">IF(LEFT(D19,1)="1",W19,"")</f>
        <v/>
      </c>
      <c r="AX19" s="2" t="str">
        <f aca="false">IF(LEFT(D19,1)="1",X19,"")</f>
        <v/>
      </c>
      <c r="AY19" s="17" t="str">
        <f aca="false">IF(LEFT(D19,1)="1",J19/I19,"")</f>
        <v/>
      </c>
      <c r="AZ19" s="2" t="str">
        <f aca="false">IF(LEFT(D19,1)="1",IF(AND(K19&gt;=Assumptions!$B$83,I19&gt;=Assumptions!$B$84),"Regular","Lumpy"),"")</f>
        <v/>
      </c>
      <c r="BA19" s="2" t="str">
        <f aca="false">IF(LEFT(D19,1)="1",ROUND(6/K19,0),"")</f>
        <v/>
      </c>
      <c r="BB19" s="2" t="str">
        <f aca="false">IF(LEFT(D19,1)="1",IF(AZ19="Regular","Regular buyer: expected ~£"&amp;TEXT(H19/2,"#,##0")&amp;" per 90 days. At Risk if GMV to date &lt; "&amp;TEXT(Assumptions!$B$81,"0%")&amp;" of pro-rated expectation, checked from day "&amp;Assumptions!$B$82&amp;". Human-reviewed.","Irregular buyer ("&amp;I19&amp;" orders across "&amp;K19&amp;" months): no numeric GMV threshold. At Risk if no order within ~"&amp;BA19&amp;" month(s); AM reviews at day "&amp;Assumptions!$B$82&amp;" and "&amp;Assumptions!$B$85&amp;"."),"")</f>
        <v/>
      </c>
      <c r="BC19" s="2"/>
      <c r="BD19" s="2"/>
      <c r="BE19" s="2"/>
      <c r="BF19" s="2"/>
      <c r="BG19" s="2"/>
      <c r="BH19" s="2"/>
      <c r="BI19" s="2"/>
      <c r="BJ19" s="2" t="str">
        <f aca="false">IF(OR(NOT(LEFT(D19,1)="1"),BC19=""),"",IF(AZ19="Regular",AND(BC19&gt;=Assumptions!$B$82,N(BI19)&lt;Assumptions!$B$81*H19/180*BC19),AND(BC19&gt;=BA19*30,N(BG19)=0)))</f>
        <v/>
      </c>
      <c r="BK19" s="2" t="str">
        <f aca="false">IF(NOT(LEFT(D19,1)="1"),"N/A",IF(BC19="","Baseline",IF(BJ19,"At Risk",IF(AND(N(BD19)&gt;=Assumptions!$B$78,N(BE19)&gt;=Assumptions!$B$79,N(BH19)&gt;=1,N(BH19)/MAX(N(BG19),1)&gt;AY19),"Self-Serve Capability Demonstrated",IF(OR(N(BD19)&gt;=Assumptions!$B$76,N(BE19)&gt;=Assumptions!$B$77),"Progressing",IF(BC19&gt;=Assumptions!$B$85,"At Risk","Baseline"))))))</f>
        <v>N/A</v>
      </c>
      <c r="BL19" s="2" t="n">
        <f aca="false">(AND(C19="Broker-Reliant",OR(AK19="Discovery-to-Offer Enablement",AK19="Reinforce Successful Behaviour")))*1+(AND(G19="Declining",E19&lt;&gt;"Tail",AL19="Automated"))*1+(AND(Y19,AM19&lt;&gt;"Human Sign-Off Required"))*1+(AND(AA19,AM19&lt;&gt;"HOLD — Critical Data Issue"))*1+(AND(P19="Recent Inactivity",OR(AK19="Discovery-to-Offer Enablement",AK19="Reinforce Successful Behaviour")))*1+(AND(OR(LEFT(D19,1)="2",LEFT(D19,1)="3",LEFT(D19,1)="8"),AL19="Automated"))*1+((LEFT(D19,1)="1")&lt;&gt;(AK19="Guided Self-Serve Migration"))*1+(AND(AR19&lt;&gt;"",OR(F19&lt;&gt;"Low",U19="Mixed",AND(G19&lt;&gt;"Growing",G19&lt;&gt;"Stable"))))*1+ISNUMBER(SEARCH("chat",AP19))*1+ISNUMBER(SEARCH("video",AP19))*1+(AND(AA19,AL19="Automated",AM19&lt;&gt;"HOLD — Critical Data Issue"))*1</f>
        <v>0</v>
      </c>
    </row>
    <row r="20" customFormat="false" ht="15" hidden="false" customHeight="false" outlineLevel="0" collapsed="false">
      <c r="A20" s="2" t="s">
        <v>380</v>
      </c>
      <c r="B20" s="2" t="str">
        <f aca="false">INDEX(Segmentation!$B$2:$B$301,MATCH($A20,Segmentation!$A$2:$A$301,0))</f>
        <v>Account Managed</v>
      </c>
      <c r="C20" s="2" t="str">
        <f aca="false">INDEX(Segmentation!$H$2:$H$301,MATCH($A20,Segmentation!$A$2:$A$301,0))</f>
        <v>Broker-Reliant</v>
      </c>
      <c r="D20" s="2" t="str">
        <f aca="false">INDEX(Segmentation!$T$2:$T$301,MATCH($A20,Segmentation!$A$2:$A$301,0))</f>
        <v>1. Migration Candidate</v>
      </c>
      <c r="E20" s="2" t="str">
        <f aca="false">INDEX(Segmentation!$J$2:$J$301,MATCH($A20,Segmentation!$A$2:$A$301,0))</f>
        <v>Core</v>
      </c>
      <c r="F20" s="2" t="str">
        <f aca="false">INDEX(Segmentation!$G$2:$G$301,MATCH($A20,Segmentation!$A$2:$A$301,0))</f>
        <v>High</v>
      </c>
      <c r="G20" s="2" t="str">
        <f aca="false">INDEX(Segmentation!$N$2:$N$301,MATCH($A20,Segmentation!$A$2:$A$301,0))</f>
        <v>Growing</v>
      </c>
      <c r="H20" s="9" t="n">
        <f aca="false">INDEX(Segmentation!$I$2:$I$301,MATCH($A20,Segmentation!$A$2:$A$301,0))</f>
        <v>7716</v>
      </c>
      <c r="I20" s="2" t="n">
        <f aca="false">INDEX(Segmentation!$O$2:$O$301,MATCH($A20,Segmentation!$A$2:$A$301,0))</f>
        <v>7</v>
      </c>
      <c r="J20" s="2" t="n">
        <f aca="false">INDEX(Segmentation!$Q$2:$Q$301,MATCH($A20,Segmentation!$A$2:$A$301,0))</f>
        <v>3</v>
      </c>
      <c r="K20" s="2" t="n">
        <f aca="false">INDEX(Segmentation!$W$2:$W$301,MATCH($A20,Segmentation!$A$2:$A$301,0))</f>
        <v>5</v>
      </c>
      <c r="L20" s="9" t="n">
        <f aca="false">INDEX('Commercial View'!$L$2:$L$301,MATCH($A20,'Commercial View'!$A$2:$A$301,0))</f>
        <v>937</v>
      </c>
      <c r="M20" s="9" t="n">
        <f aca="false">INDEX('Commercial View'!$M$2:$M$301,MATCH($A20,'Commercial View'!$A$2:$A$301,0))</f>
        <v>1609</v>
      </c>
      <c r="N20" s="9" t="n">
        <f aca="false">INDEX('Commercial View'!$N$2:$N$301,MATCH($A20,'Commercial View'!$A$2:$A$301,0))</f>
        <v>3723</v>
      </c>
      <c r="O20" s="9" t="n">
        <f aca="false">INDEX(Segmentation!$L$2:$L$301,MATCH($A20,Segmentation!$A$2:$A$301,0))</f>
        <v>6269</v>
      </c>
      <c r="P20" s="2" t="str">
        <f aca="false">IF(OR(M20&gt;0,N20&gt;0),"Recently Active",IF(OR(I20&lt;=Assumptions!$B$48,K20&lt;=Assumptions!$B$49),"No Meaningful History","Recent Inactivity"))</f>
        <v>Recently Active</v>
      </c>
      <c r="Q20" s="2" t="str">
        <f aca="false">INDEX(Segmentation!$AF$2:$AF$301,MATCH($A20,Segmentation!$A$2:$A$301,0))</f>
        <v>Existing Customer</v>
      </c>
      <c r="R20" s="2" t="str">
        <f aca="false">INDEX(Segmentation!$AL$2:$AL$301,MATCH($A20,Segmentation!$A$2:$A$301,0))</f>
        <v>N/A</v>
      </c>
      <c r="S20" s="10" t="b">
        <f aca="false">INDEX(Segmentation!$AW$2:$AW$301,MATCH($A20,Segmentation!$A$2:$A$301,0))</f>
        <v>0</v>
      </c>
      <c r="T20" s="2" t="str">
        <f aca="false">INDEX('Feature Data'!$AD$2:$AD$301,MATCH($A20,'Feature Data'!$A$2:$A$301,0))</f>
        <v>Broker-led, product-blind</v>
      </c>
      <c r="U20" s="2" t="str">
        <f aca="false">INDEX('Feature Data'!$W$2:$W$301,MATCH($A20,'Feature Data'!$A$2:$A$301,0))</f>
        <v>Handpick-only</v>
      </c>
      <c r="V20" s="2" t="n">
        <f aca="false">INDEX('Feature Data'!$P$2:$P$301,MATCH($A20,'Feature Data'!$A$2:$A$301,0))</f>
        <v>15</v>
      </c>
      <c r="W20" s="2" t="n">
        <f aca="false">INDEX(Segmentation!$R$2:$R$301,MATCH($A20,Segmentation!$A$2:$A$301,0))</f>
        <v>2</v>
      </c>
      <c r="X20" s="2" t="n">
        <f aca="false">INDEX(Segmentation!$S$2:$S$301,MATCH($A20,Segmentation!$A$2:$A$301,0))</f>
        <v>1</v>
      </c>
      <c r="Y20" s="10" t="b">
        <f aca="false">INDEX(Segmentation!$AG$2:$AG$301,MATCH($A20,Segmentation!$A$2:$A$301,0))</f>
        <v>0</v>
      </c>
      <c r="Z20" s="2" t="str">
        <f aca="false">INDEX(Segmentation!$AU$2:$AU$301,MATCH($A20,Segmentation!$A$2:$A$301,0))</f>
        <v>Ready</v>
      </c>
      <c r="AA20" s="10" t="b">
        <f aca="false">INDEX(Segmentation!$Z$2:$Z$301,MATCH($A20,Segmentation!$A$2:$A$301,0))</f>
        <v>0</v>
      </c>
      <c r="AB20" s="10" t="b">
        <f aca="false">INDEX(Segmentation!$AH$2:$AH$301,MATCH($A20,Segmentation!$A$2:$A$301,0))</f>
        <v>0</v>
      </c>
      <c r="AC20" s="10" t="b">
        <f aca="false">INDEX(Segmentation!$AK$2:$AK$301,MATCH($A20,Segmentation!$A$2:$A$301,0))</f>
        <v>0</v>
      </c>
      <c r="AD20" s="10" t="b">
        <f aca="false">INDEX(Segmentation!$AQ$2:$AQ$301,MATCH($A20,Segmentation!$A$2:$A$301,0))</f>
        <v>0</v>
      </c>
      <c r="AE20" s="10" t="b">
        <f aca="false">INDEX(Segmentation!$AT$2:$AT$301,MATCH($A20,Segmentation!$A$2:$A$301,0))</f>
        <v>0</v>
      </c>
      <c r="AF20" s="10" t="b">
        <f aca="false">INDEX(Segmentation!$X$2:$X$301,MATCH($A20,Segmentation!$A$2:$A$301,0))</f>
        <v>0</v>
      </c>
      <c r="AG20" s="10" t="b">
        <f aca="false">AND(F20="Low",V20&gt;=Assumptions!$B$71,X20&lt;Assumptions!$B$72)</f>
        <v>0</v>
      </c>
      <c r="AH20" s="10" t="b">
        <f aca="false">AND(F20="Low",OR(G20="Growing",G20="Stable"),P20="Recently Active",V20&gt;=Assumptions!$B$58,K20&gt;=Assumptions!$B$73)</f>
        <v>0</v>
      </c>
      <c r="AI20" s="17" t="n">
        <f aca="false">IF(O20&gt;0,MAX(L20:N20)/O20,"")</f>
        <v>0.593874621151699</v>
      </c>
      <c r="AJ20" s="2" t="str">
        <f aca="false">IF(LEFT(D20,1)="1",IF(E20="Key","MIGRATION_KEY_SIGNOFF",IF(Z20="Ready","MIGRATION_PHASE1_READY",IF(Z20="Manual Review","MIGRATION_PHASE1_REVIEW","MIGRATION_PRE_ENTRY"))),IF(LEFT(D20,1)="2","DECLINING_KEY_CORE",IF(LEFT(D20,1)="3",IF(R20="Established Buyer Lapsed","LAPSED_ESTABLISHED","LAPSED_THIN_HISTORY"),IF(LEFT(D20,1)="4",IF(Q20="New Customer","NEW_CUSTOMER","RETURNED_CUSTOMER"),IF(LEFT(D20,1)="5",IF(P20="Recently Active","COST_TO_SERVE_ACTIVE","DORMANT_LOW_VALUE"),IF(LEFT(D20,1)="6",IF(P20="Recent Inactivity","RECENT_INACTIVITY",IF(AG20,"BROWSING_LOW_OFFERS","HEALTHY_STRONG_SELF_SERVE")),IF(LEFT(D20,1)="7",IF(P20="Recent Inactivity","RECENT_INACTIVITY",IF(Q20="New Customer","NEW_CUSTOMER","RETURNED_CUSTOMER")),IF(LEFT(D20,1)="8",IF(G20="Declining",IF(T20="Engaged but shrinking (Key/Core)","ENGAGED_BUT_SHRINKING","DECLINING_KEY_CORE"),IF(R20="Established Buyer Lapsed","LAPSED_ESTABLISHED","LAPSED_THIN_HISTORY")),IF(S20,IF(P20&lt;&gt;"Recently Active","DORMANT_LOW_VALUE",IF(AG20,"BROWSING_LOW_OFFERS",IF(AH20,"RISING_TAIL","RISING_TAIL_EARLY"))),IF(AND(AG20,P20="Recently Active",OR(G20="Growing",G20="Stable",G20="H2 Active / No H1 GMV"),I20&gt;=Assumptions!$B$74),"BROWSING_LOW_OFFERS","LONG_TAIL_STANDARD"))))))))))</f>
        <v>MIGRATION_PHASE1_READY</v>
      </c>
      <c r="AK20" s="2" t="str">
        <f aca="false">INDEX('NBA Library'!$B$4:$B$21,MATCH(AJ20,'NBA Library'!$A$4:$A$21,0))</f>
        <v>Guided Self-Serve Migration</v>
      </c>
      <c r="AL20" s="2" t="str">
        <f aca="false">INDEX('NBA Library'!$C$4:$C$21,MATCH(AJ20,'NBA Library'!$A$4:$A$21,0))</f>
        <v>Hybrid</v>
      </c>
      <c r="AM20" s="2" t="str">
        <f aca="false">IF(AA20,"HOLD — Critical Data Issue",IF(Y20,"Human Sign-Off Required",IF(Z20="Manual Review","Human Review Required",IF(AND(AL20="Automated",OR(AE20,AND(OR(AK20="Discovery-to-Offer Enablement",AK20="Reinforce Successful Behaviour"),OR(AC20,AB20)))),"Human Review Required",IF(AL20="Human","Ready — Human",IF(AL20="Hybrid","Ready — Hybrid","Ready — Automated"))))))</f>
        <v>Ready — Hybrid</v>
      </c>
      <c r="AN20" s="2" t="str">
        <f aca="false">IF(AA20,"P0",IF(AND(AJ20="BROWSING_LOW_OFFERS",E20="Tail"),"P3",IF(AND(AM20="Human Review Required",INDEX('NBA Library'!$D$4:$D$21,MATCH(AJ20,'NBA Library'!$A$4:$A$21,0))="P4"),"P3",INDEX('NBA Library'!$D$4:$D$21,MATCH(AJ20,'NBA Library'!$A$4:$A$21,0)))))</f>
        <v>P2</v>
      </c>
      <c r="AO20" s="2" t="str">
        <f aca="false">E20&amp;" "&amp;C20&amp;" account ("&amp;B20&amp;"); "&amp;G20&amp;" momentum; "&amp;P20&amp;"; £"&amp;TEXT(H20,"#,##0")&amp;" 6m GMV. "&amp;INDEX('NBA Library'!$G$4:$G$21,MATCH(AJ20,'NBA Library'!$A$4:$A$21,0))&amp;IF(LEFT(D20,1)="1"," Baseline: "&amp;V20&amp;" PDP views, "&amp;W20&amp;" app days, "&amp;X20&amp;" offers, "&amp;TEXT(J20/I20,"0%")&amp;" of orders self-serve.","")&amp;IF(AA20," Execution on HOLD until the Duplicate status is resolved.","")&amp;IF(Y20," Key account: explicit AM/leadership sign-off required before any migration activity.","")&amp;IF(AE20," Implied broker % from order counts would move this account to a different segment; review before automating.","")</f>
        <v>Core Broker-Reliant account (Account Managed); Growing momentum; Recently Active; £7,716 6m GMV. Broker-reliant with healthy spend and repeat self-serve checkout but little independent browsing. Suitable for Phase 1 guided migration focused on product discovery. Baseline: 15 PDP views, 2 app days, 1 offers, 43% of orders self-serve.</v>
      </c>
      <c r="AP20" s="2" t="str">
        <f aca="false">INDEX('NBA Library'!$E$4:$E$21,MATCH(AJ20,'NBA Library'!$A$4:$A$21,0))&amp;IF(AND(AJ20="NEW_CUSTOMER",AG20),"; introduce Make-an-Offer on items already browsed","")</f>
        <v>Independently discover stock (PDP browsing) and use the app regularly; place more orders self-serve; offers optional</v>
      </c>
      <c r="AQ20" s="2" t="str">
        <f aca="false">INDEX('NBA Library'!$F$4:$F$21,MATCH(AJ20,'NBA Library'!$A$4:$A$21,0))</f>
        <v>90 days: Progressing -&gt; Capability Demonstrated (PDP, app days, rising self-serve share) with GMV guardrail held</v>
      </c>
      <c r="AR20" s="2" t="str">
        <f aca="false">IF(AND(F20="Low",OR(G20="Growing",G20="Stable"),P20="Recently Active",U20&lt;&gt;"Mixed",OR(AK20="Discovery-to-Offer Enablement",AK20="Reinforce Successful Behaviour"),AM20="Ready — Automated",OR(E20&lt;&gt;"Tail",S20)),"Range Expansion Test — trial "&amp;IF(U20="Bundle-only","handpick","bundles")&amp;" (experimental; not proven to lift GMV)","")</f>
        <v/>
      </c>
      <c r="AS20" s="2" t="str">
        <f aca="false">IF(AK20&lt;&gt;"Automated Nurture","",IF(AJ20="DORMANT_LOW_VALUE","Dormant",IF(AJ20="RISING_TAIL_EARLY","Rising tail – early pattern",IF(Q20="New Customer","New customer onboarding",IF(Q20="Returned Customer","Returned customer",IF(G20="Lapsed","Dormant",IF(T20="Engaged, not converting","Engaged, not converting",IF(T20="One-off low-touch buyer","One-off purchaser",IF(T20="Light-touch repeat buyer","Light-touch repeat buyer","Standard long tail")))))))))</f>
        <v/>
      </c>
      <c r="AT20" s="2" t="str">
        <f aca="false">IF(AA20,"CRITICAL_DATA_BLOCKER; ","")&amp;IF(Y20,"KEY_SIGNOFF; ","")&amp;IF(Z20="Manual Review","PHASE1_MANUAL_REVIEW; ","")&amp;IF(AND(LEFT(D20,1)="1",AZ20="Lumpy"),"LUMPY_CADENCE; ","")&amp;IF(AB20,"BORDERLINE_MOMENTUM; ","")&amp;IF(AC20,"FEB_SENSITIVE; ","")&amp;IF(AD20,"MATERIAL_BROKER_INCONSISTENCY"&amp;IF(AE20," (segment would change)","")&amp;"; ","")&amp;IF(AND(I20&gt;=3,O20&gt;0),IF(AI20&gt;=Assumptions!$B$75,"H2_SINGLE_MONTH_SPIKE; ",""),"")&amp;IF(AND(M20&gt;0,N20=0),"NO_FEB_GMV (Feb unconfirmed); ","")&amp;IF(AF20,"LOW_CONFIDENCE; ","")</f>
        <v/>
      </c>
      <c r="AU20" s="2" t="n">
        <f aca="false">IF(LEFT(D20,1)="1",V20,"")</f>
        <v>15</v>
      </c>
      <c r="AV20" s="10" t="b">
        <f aca="false">IF(LEFT(D20,1)="1",V20&gt;=Assumptions!$B$58,"")</f>
        <v>0</v>
      </c>
      <c r="AW20" s="2" t="n">
        <f aca="false">IF(LEFT(D20,1)="1",W20,"")</f>
        <v>2</v>
      </c>
      <c r="AX20" s="2" t="n">
        <f aca="false">IF(LEFT(D20,1)="1",X20,"")</f>
        <v>1</v>
      </c>
      <c r="AY20" s="17" t="n">
        <f aca="false">IF(LEFT(D20,1)="1",J20/I20,"")</f>
        <v>0.428571428571429</v>
      </c>
      <c r="AZ20" s="2" t="str">
        <f aca="false">IF(LEFT(D20,1)="1",IF(AND(K20&gt;=Assumptions!$B$83,I20&gt;=Assumptions!$B$84),"Regular","Lumpy"),"")</f>
        <v>Regular</v>
      </c>
      <c r="BA20" s="2" t="n">
        <f aca="false">IF(LEFT(D20,1)="1",ROUND(6/K20,0),"")</f>
        <v>1</v>
      </c>
      <c r="BB20" s="2" t="str">
        <f aca="false">IF(LEFT(D20,1)="1",IF(AZ20="Regular","Regular buyer: expected ~£"&amp;TEXT(H20/2,"#,##0")&amp;" per 90 days. At Risk if GMV to date &lt; "&amp;TEXT(Assumptions!$B$81,"0%")&amp;" of pro-rated expectation, checked from day "&amp;Assumptions!$B$82&amp;". Human-reviewed.","Irregular buyer ("&amp;I20&amp;" orders across "&amp;K20&amp;" months): no numeric GMV threshold. At Risk if no order within ~"&amp;BA20&amp;" month(s); AM reviews at day "&amp;Assumptions!$B$82&amp;" and "&amp;Assumptions!$B$85&amp;"."),"")</f>
        <v>Regular buyer: expected ~£3,858 per 90 days. At Risk if GMV to date &lt; 70% of pro-rated expectation, checked from day 45. Human-reviewed.</v>
      </c>
      <c r="BC20" s="18"/>
      <c r="BD20" s="18"/>
      <c r="BE20" s="18"/>
      <c r="BF20" s="18"/>
      <c r="BG20" s="18"/>
      <c r="BH20" s="18"/>
      <c r="BI20" s="18"/>
      <c r="BJ20" s="2" t="str">
        <f aca="false">IF(OR(NOT(LEFT(D20,1)="1"),BC20=""),"",IF(AZ20="Regular",AND(BC20&gt;=Assumptions!$B$82,N(BI20)&lt;Assumptions!$B$81*H20/180*BC20),AND(BC20&gt;=BA20*30,N(BG20)=0)))</f>
        <v/>
      </c>
      <c r="BK20" s="2" t="str">
        <f aca="false">IF(NOT(LEFT(D20,1)="1"),"N/A",IF(BC20="","Baseline",IF(BJ20,"At Risk",IF(AND(N(BD20)&gt;=Assumptions!$B$78,N(BE20)&gt;=Assumptions!$B$79,N(BH20)&gt;=1,N(BH20)/MAX(N(BG20),1)&gt;AY20),"Self-Serve Capability Demonstrated",IF(OR(N(BD20)&gt;=Assumptions!$B$76,N(BE20)&gt;=Assumptions!$B$77),"Progressing",IF(BC20&gt;=Assumptions!$B$85,"At Risk","Baseline"))))))</f>
        <v>Baseline</v>
      </c>
      <c r="BL20" s="2" t="n">
        <f aca="false">(AND(C20="Broker-Reliant",OR(AK20="Discovery-to-Offer Enablement",AK20="Reinforce Successful Behaviour")))*1+(AND(G20="Declining",E20&lt;&gt;"Tail",AL20="Automated"))*1+(AND(Y20,AM20&lt;&gt;"Human Sign-Off Required"))*1+(AND(AA20,AM20&lt;&gt;"HOLD — Critical Data Issue"))*1+(AND(P20="Recent Inactivity",OR(AK20="Discovery-to-Offer Enablement",AK20="Reinforce Successful Behaviour")))*1+(AND(OR(LEFT(D20,1)="2",LEFT(D20,1)="3",LEFT(D20,1)="8"),AL20="Automated"))*1+((LEFT(D20,1)="1")&lt;&gt;(AK20="Guided Self-Serve Migration"))*1+(AND(AR20&lt;&gt;"",OR(F20&lt;&gt;"Low",U20="Mixed",AND(G20&lt;&gt;"Growing",G20&lt;&gt;"Stable"))))*1+ISNUMBER(SEARCH("chat",AP20))*1+ISNUMBER(SEARCH("video",AP20))*1+(AND(AA20,AL20="Automated",AM20&lt;&gt;"HOLD — Critical Data Issue"))*1</f>
        <v>0</v>
      </c>
    </row>
    <row r="21" customFormat="false" ht="15" hidden="false" customHeight="false" outlineLevel="0" collapsed="false">
      <c r="A21" s="2" t="s">
        <v>389</v>
      </c>
      <c r="B21" s="2" t="str">
        <f aca="false">INDEX(Segmentation!$B$2:$B$301,MATCH($A21,Segmentation!$A$2:$A$301,0))</f>
        <v>Account Managed</v>
      </c>
      <c r="C21" s="2" t="str">
        <f aca="false">INDEX(Segmentation!$H$2:$H$301,MATCH($A21,Segmentation!$A$2:$A$301,0))</f>
        <v>Broker-Reliant</v>
      </c>
      <c r="D21" s="2" t="str">
        <f aca="false">INDEX(Segmentation!$T$2:$T$301,MATCH($A21,Segmentation!$A$2:$A$301,0))</f>
        <v>1. Migration Candidate</v>
      </c>
      <c r="E21" s="2" t="str">
        <f aca="false">INDEX(Segmentation!$J$2:$J$301,MATCH($A21,Segmentation!$A$2:$A$301,0))</f>
        <v>Core</v>
      </c>
      <c r="F21" s="2" t="str">
        <f aca="false">INDEX(Segmentation!$G$2:$G$301,MATCH($A21,Segmentation!$A$2:$A$301,0))</f>
        <v>Medium</v>
      </c>
      <c r="G21" s="2" t="str">
        <f aca="false">INDEX(Segmentation!$N$2:$N$301,MATCH($A21,Segmentation!$A$2:$A$301,0))</f>
        <v>Stable</v>
      </c>
      <c r="H21" s="9" t="n">
        <f aca="false">INDEX(Segmentation!$I$2:$I$301,MATCH($A21,Segmentation!$A$2:$A$301,0))</f>
        <v>6452</v>
      </c>
      <c r="I21" s="2" t="n">
        <f aca="false">INDEX(Segmentation!$O$2:$O$301,MATCH($A21,Segmentation!$A$2:$A$301,0))</f>
        <v>3</v>
      </c>
      <c r="J21" s="2" t="n">
        <f aca="false">INDEX(Segmentation!$Q$2:$Q$301,MATCH($A21,Segmentation!$A$2:$A$301,0))</f>
        <v>2</v>
      </c>
      <c r="K21" s="2" t="n">
        <f aca="false">INDEX(Segmentation!$W$2:$W$301,MATCH($A21,Segmentation!$A$2:$A$301,0))</f>
        <v>3</v>
      </c>
      <c r="L21" s="9" t="n">
        <f aca="false">INDEX('Commercial View'!$L$2:$L$301,MATCH($A21,'Commercial View'!$A$2:$A$301,0))</f>
        <v>0</v>
      </c>
      <c r="M21" s="9" t="n">
        <f aca="false">INDEX('Commercial View'!$M$2:$M$301,MATCH($A21,'Commercial View'!$A$2:$A$301,0))</f>
        <v>2788</v>
      </c>
      <c r="N21" s="9" t="n">
        <f aca="false">INDEX('Commercial View'!$N$2:$N$301,MATCH($A21,'Commercial View'!$A$2:$A$301,0))</f>
        <v>190</v>
      </c>
      <c r="O21" s="9" t="n">
        <f aca="false">INDEX(Segmentation!$L$2:$L$301,MATCH($A21,Segmentation!$A$2:$A$301,0))</f>
        <v>2978</v>
      </c>
      <c r="P21" s="2" t="str">
        <f aca="false">IF(OR(M21&gt;0,N21&gt;0),"Recently Active",IF(OR(I21&lt;=Assumptions!$B$48,K21&lt;=Assumptions!$B$49),"No Meaningful History","Recent Inactivity"))</f>
        <v>Recently Active</v>
      </c>
      <c r="Q21" s="2" t="str">
        <f aca="false">INDEX(Segmentation!$AF$2:$AF$301,MATCH($A21,Segmentation!$A$2:$A$301,0))</f>
        <v>Existing Customer</v>
      </c>
      <c r="R21" s="2" t="str">
        <f aca="false">INDEX(Segmentation!$AL$2:$AL$301,MATCH($A21,Segmentation!$A$2:$A$301,0))</f>
        <v>N/A</v>
      </c>
      <c r="S21" s="10" t="b">
        <f aca="false">INDEX(Segmentation!$AW$2:$AW$301,MATCH($A21,Segmentation!$A$2:$A$301,0))</f>
        <v>0</v>
      </c>
      <c r="T21" s="2" t="str">
        <f aca="false">INDEX('Feature Data'!$AD$2:$AD$301,MATCH($A21,'Feature Data'!$A$2:$A$301,0))</f>
        <v>Broker-led, product-blind</v>
      </c>
      <c r="U21" s="2" t="str">
        <f aca="false">INDEX('Feature Data'!$W$2:$W$301,MATCH($A21,'Feature Data'!$A$2:$A$301,0))</f>
        <v>Mixed</v>
      </c>
      <c r="V21" s="2" t="n">
        <f aca="false">INDEX('Feature Data'!$P$2:$P$301,MATCH($A21,'Feature Data'!$A$2:$A$301,0))</f>
        <v>3</v>
      </c>
      <c r="W21" s="2" t="n">
        <f aca="false">INDEX(Segmentation!$R$2:$R$301,MATCH($A21,Segmentation!$A$2:$A$301,0))</f>
        <v>7</v>
      </c>
      <c r="X21" s="2" t="n">
        <f aca="false">INDEX(Segmentation!$S$2:$S$301,MATCH($A21,Segmentation!$A$2:$A$301,0))</f>
        <v>0</v>
      </c>
      <c r="Y21" s="10" t="b">
        <f aca="false">INDEX(Segmentation!$AG$2:$AG$301,MATCH($A21,Segmentation!$A$2:$A$301,0))</f>
        <v>0</v>
      </c>
      <c r="Z21" s="2" t="str">
        <f aca="false">INDEX(Segmentation!$AU$2:$AU$301,MATCH($A21,Segmentation!$A$2:$A$301,0))</f>
        <v>Manual Review</v>
      </c>
      <c r="AA21" s="10" t="b">
        <f aca="false">INDEX(Segmentation!$Z$2:$Z$301,MATCH($A21,Segmentation!$A$2:$A$301,0))</f>
        <v>0</v>
      </c>
      <c r="AB21" s="10" t="b">
        <f aca="false">INDEX(Segmentation!$AH$2:$AH$301,MATCH($A21,Segmentation!$A$2:$A$301,0))</f>
        <v>0</v>
      </c>
      <c r="AC21" s="10" t="b">
        <f aca="false">INDEX(Segmentation!$AK$2:$AK$301,MATCH($A21,Segmentation!$A$2:$A$301,0))</f>
        <v>0</v>
      </c>
      <c r="AD21" s="10" t="b">
        <f aca="false">INDEX(Segmentation!$AQ$2:$AQ$301,MATCH($A21,Segmentation!$A$2:$A$301,0))</f>
        <v>1</v>
      </c>
      <c r="AE21" s="10" t="b">
        <f aca="false">INDEX(Segmentation!$AT$2:$AT$301,MATCH($A21,Segmentation!$A$2:$A$301,0))</f>
        <v>0</v>
      </c>
      <c r="AF21" s="10" t="b">
        <f aca="false">INDEX(Segmentation!$X$2:$X$301,MATCH($A21,Segmentation!$A$2:$A$301,0))</f>
        <v>0</v>
      </c>
      <c r="AG21" s="10" t="b">
        <f aca="false">AND(F21="Low",V21&gt;=Assumptions!$B$71,X21&lt;Assumptions!$B$72)</f>
        <v>0</v>
      </c>
      <c r="AH21" s="10" t="b">
        <f aca="false">AND(F21="Low",OR(G21="Growing",G21="Stable"),P21="Recently Active",V21&gt;=Assumptions!$B$58,K21&gt;=Assumptions!$B$73)</f>
        <v>0</v>
      </c>
      <c r="AI21" s="17" t="n">
        <f aca="false">IF(O21&gt;0,MAX(L21:N21)/O21,"")</f>
        <v>0.93619879113499</v>
      </c>
      <c r="AJ21" s="2" t="str">
        <f aca="false">IF(LEFT(D21,1)="1",IF(E21="Key","MIGRATION_KEY_SIGNOFF",IF(Z21="Ready","MIGRATION_PHASE1_READY",IF(Z21="Manual Review","MIGRATION_PHASE1_REVIEW","MIGRATION_PRE_ENTRY"))),IF(LEFT(D21,1)="2","DECLINING_KEY_CORE",IF(LEFT(D21,1)="3",IF(R21="Established Buyer Lapsed","LAPSED_ESTABLISHED","LAPSED_THIN_HISTORY"),IF(LEFT(D21,1)="4",IF(Q21="New Customer","NEW_CUSTOMER","RETURNED_CUSTOMER"),IF(LEFT(D21,1)="5",IF(P21="Recently Active","COST_TO_SERVE_ACTIVE","DORMANT_LOW_VALUE"),IF(LEFT(D21,1)="6",IF(P21="Recent Inactivity","RECENT_INACTIVITY",IF(AG21,"BROWSING_LOW_OFFERS","HEALTHY_STRONG_SELF_SERVE")),IF(LEFT(D21,1)="7",IF(P21="Recent Inactivity","RECENT_INACTIVITY",IF(Q21="New Customer","NEW_CUSTOMER","RETURNED_CUSTOMER")),IF(LEFT(D21,1)="8",IF(G21="Declining",IF(T21="Engaged but shrinking (Key/Core)","ENGAGED_BUT_SHRINKING","DECLINING_KEY_CORE"),IF(R21="Established Buyer Lapsed","LAPSED_ESTABLISHED","LAPSED_THIN_HISTORY")),IF(S21,IF(P21&lt;&gt;"Recently Active","DORMANT_LOW_VALUE",IF(AG21,"BROWSING_LOW_OFFERS",IF(AH21,"RISING_TAIL","RISING_TAIL_EARLY"))),IF(AND(AG21,P21="Recently Active",OR(G21="Growing",G21="Stable",G21="H2 Active / No H1 GMV"),I21&gt;=Assumptions!$B$74),"BROWSING_LOW_OFFERS","LONG_TAIL_STANDARD"))))))))))</f>
        <v>MIGRATION_PHASE1_REVIEW</v>
      </c>
      <c r="AK21" s="2" t="str">
        <f aca="false">INDEX('NBA Library'!$B$4:$B$21,MATCH(AJ21,'NBA Library'!$A$4:$A$21,0))</f>
        <v>Guided Self-Serve Migration</v>
      </c>
      <c r="AL21" s="2" t="str">
        <f aca="false">INDEX('NBA Library'!$C$4:$C$21,MATCH(AJ21,'NBA Library'!$A$4:$A$21,0))</f>
        <v>Hybrid</v>
      </c>
      <c r="AM21" s="2" t="str">
        <f aca="false">IF(AA21,"HOLD — Critical Data Issue",IF(Y21,"Human Sign-Off Required",IF(Z21="Manual Review","Human Review Required",IF(AND(AL21="Automated",OR(AE21,AND(OR(AK21="Discovery-to-Offer Enablement",AK21="Reinforce Successful Behaviour"),OR(AC21,AB21)))),"Human Review Required",IF(AL21="Human","Ready — Human",IF(AL21="Hybrid","Ready — Hybrid","Ready — Automated"))))))</f>
        <v>Human Review Required</v>
      </c>
      <c r="AN21" s="2" t="str">
        <f aca="false">IF(AA21,"P0",IF(AND(AJ21="BROWSING_LOW_OFFERS",E21="Tail"),"P3",IF(AND(AM21="Human Review Required",INDEX('NBA Library'!$D$4:$D$21,MATCH(AJ21,'NBA Library'!$A$4:$A$21,0))="P4"),"P3",INDEX('NBA Library'!$D$4:$D$21,MATCH(AJ21,'NBA Library'!$A$4:$A$21,0)))))</f>
        <v>P2</v>
      </c>
      <c r="AO21" s="2" t="str">
        <f aca="false">E21&amp;" "&amp;C21&amp;" account ("&amp;B21&amp;"); "&amp;G21&amp;" momentum; "&amp;P21&amp;"; £"&amp;TEXT(H21,"#,##0")&amp;" 6m GMV. "&amp;INDEX('NBA Library'!$G$4:$G$21,MATCH(AJ21,'NBA Library'!$A$4:$A$21,0))&amp;IF(LEFT(D21,1)="1"," Baseline: "&amp;V21&amp;" PDP views, "&amp;W21&amp;" app days, "&amp;X21&amp;" offers, "&amp;TEXT(J21/I21,"0%")&amp;" of orders self-serve.","")&amp;IF(AA21," Execution on HOLD until the Duplicate status is resolved.","")&amp;IF(Y21," Key account: explicit AM/leadership sign-off required before any migration activity.","")&amp;IF(AE21," Implied broker % from order counts would move this account to a different segment; review before automating.","")</f>
        <v>Core Broker-Reliant account (Account Managed); Stable momentum; Recently Active; £6,452 6m GMV. Meets Phase 1 entry criteria but carries a guardrail warning (borderline/February-sensitive momentum, lumpy cadence or broker % inconsistency). Resolve before starting migration. Baseline: 3 PDP views, 7 app days, 0 offers, 67% of orders self-serve.</v>
      </c>
      <c r="AP21" s="2" t="str">
        <f aca="false">INDEX('NBA Library'!$E$4:$E$21,MATCH(AJ21,'NBA Library'!$A$4:$A$21,0))&amp;IF(AND(AJ21="NEW_CUSTOMER",AG21),"; introduce Make-an-Offer on items already browsed","")</f>
        <v>As Phase 1 Ready once the guardrail warning is resolved</v>
      </c>
      <c r="AQ21" s="2" t="str">
        <f aca="false">INDEX('NBA Library'!$F$4:$F$21,MATCH(AJ21,'NBA Library'!$A$4:$A$21,0))</f>
        <v>Warning resolved; then as Phase 1 Ready</v>
      </c>
      <c r="AR21" s="2" t="str">
        <f aca="false">IF(AND(F21="Low",OR(G21="Growing",G21="Stable"),P21="Recently Active",U21&lt;&gt;"Mixed",OR(AK21="Discovery-to-Offer Enablement",AK21="Reinforce Successful Behaviour"),AM21="Ready — Automated",OR(E21&lt;&gt;"Tail",S21)),"Range Expansion Test — trial "&amp;IF(U21="Bundle-only","handpick","bundles")&amp;" (experimental; not proven to lift GMV)","")</f>
        <v/>
      </c>
      <c r="AS21" s="2" t="str">
        <f aca="false">IF(AK21&lt;&gt;"Automated Nurture","",IF(AJ21="DORMANT_LOW_VALUE","Dormant",IF(AJ21="RISING_TAIL_EARLY","Rising tail – early pattern",IF(Q21="New Customer","New customer onboarding",IF(Q21="Returned Customer","Returned customer",IF(G21="Lapsed","Dormant",IF(T21="Engaged, not converting","Engaged, not converting",IF(T21="One-off low-touch buyer","One-off purchaser",IF(T21="Light-touch repeat buyer","Light-touch repeat buyer","Standard long tail")))))))))</f>
        <v/>
      </c>
      <c r="AT21" s="2" t="str">
        <f aca="false">IF(AA21,"CRITICAL_DATA_BLOCKER; ","")&amp;IF(Y21,"KEY_SIGNOFF; ","")&amp;IF(Z21="Manual Review","PHASE1_MANUAL_REVIEW; ","")&amp;IF(AND(LEFT(D21,1)="1",AZ21="Lumpy"),"LUMPY_CADENCE; ","")&amp;IF(AB21,"BORDERLINE_MOMENTUM; ","")&amp;IF(AC21,"FEB_SENSITIVE; ","")&amp;IF(AD21,"MATERIAL_BROKER_INCONSISTENCY"&amp;IF(AE21," (segment would change)","")&amp;"; ","")&amp;IF(AND(I21&gt;=3,O21&gt;0),IF(AI21&gt;=Assumptions!$B$75,"H2_SINGLE_MONTH_SPIKE; ",""),"")&amp;IF(AND(M21&gt;0,N21=0),"NO_FEB_GMV (Feb unconfirmed); ","")&amp;IF(AF21,"LOW_CONFIDENCE; ","")</f>
        <v>PHASE1_MANUAL_REVIEW; LUMPY_CADENCE; MATERIAL_BROKER_INCONSISTENCY; H2_SINGLE_MONTH_SPIKE; </v>
      </c>
      <c r="AU21" s="2" t="n">
        <f aca="false">IF(LEFT(D21,1)="1",V21,"")</f>
        <v>3</v>
      </c>
      <c r="AV21" s="10" t="b">
        <f aca="false">IF(LEFT(D21,1)="1",V21&gt;=Assumptions!$B$58,"")</f>
        <v>0</v>
      </c>
      <c r="AW21" s="2" t="n">
        <f aca="false">IF(LEFT(D21,1)="1",W21,"")</f>
        <v>7</v>
      </c>
      <c r="AX21" s="2" t="n">
        <f aca="false">IF(LEFT(D21,1)="1",X21,"")</f>
        <v>0</v>
      </c>
      <c r="AY21" s="17" t="n">
        <f aca="false">IF(LEFT(D21,1)="1",J21/I21,"")</f>
        <v>0.666666666666667</v>
      </c>
      <c r="AZ21" s="2" t="str">
        <f aca="false">IF(LEFT(D21,1)="1",IF(AND(K21&gt;=Assumptions!$B$83,I21&gt;=Assumptions!$B$84),"Regular","Lumpy"),"")</f>
        <v>Lumpy</v>
      </c>
      <c r="BA21" s="2" t="n">
        <f aca="false">IF(LEFT(D21,1)="1",ROUND(6/K21,0),"")</f>
        <v>2</v>
      </c>
      <c r="BB21" s="2" t="str">
        <f aca="false">IF(LEFT(D21,1)="1",IF(AZ21="Regular","Regular buyer: expected ~£"&amp;TEXT(H21/2,"#,##0")&amp;" per 90 days. At Risk if GMV to date &lt; "&amp;TEXT(Assumptions!$B$81,"0%")&amp;" of pro-rated expectation, checked from day "&amp;Assumptions!$B$82&amp;". Human-reviewed.","Irregular buyer ("&amp;I21&amp;" orders across "&amp;K21&amp;" months): no numeric GMV threshold. At Risk if no order within ~"&amp;BA21&amp;" month(s); AM reviews at day "&amp;Assumptions!$B$82&amp;" and "&amp;Assumptions!$B$85&amp;"."),"")</f>
        <v>Irregular buyer (3 orders across 3 months): no numeric GMV threshold. At Risk if no order within ~2 month(s); AM reviews at day 45 and 90.</v>
      </c>
      <c r="BC21" s="18"/>
      <c r="BD21" s="18"/>
      <c r="BE21" s="18"/>
      <c r="BF21" s="18"/>
      <c r="BG21" s="18"/>
      <c r="BH21" s="18"/>
      <c r="BI21" s="18"/>
      <c r="BJ21" s="2" t="str">
        <f aca="false">IF(OR(NOT(LEFT(D21,1)="1"),BC21=""),"",IF(AZ21="Regular",AND(BC21&gt;=Assumptions!$B$82,N(BI21)&lt;Assumptions!$B$81*H21/180*BC21),AND(BC21&gt;=BA21*30,N(BG21)=0)))</f>
        <v/>
      </c>
      <c r="BK21" s="2" t="str">
        <f aca="false">IF(NOT(LEFT(D21,1)="1"),"N/A",IF(BC21="","Baseline",IF(BJ21,"At Risk",IF(AND(N(BD21)&gt;=Assumptions!$B$78,N(BE21)&gt;=Assumptions!$B$79,N(BH21)&gt;=1,N(BH21)/MAX(N(BG21),1)&gt;AY21),"Self-Serve Capability Demonstrated",IF(OR(N(BD21)&gt;=Assumptions!$B$76,N(BE21)&gt;=Assumptions!$B$77),"Progressing",IF(BC21&gt;=Assumptions!$B$85,"At Risk","Baseline"))))))</f>
        <v>Baseline</v>
      </c>
      <c r="BL21" s="2" t="n">
        <f aca="false">(AND(C21="Broker-Reliant",OR(AK21="Discovery-to-Offer Enablement",AK21="Reinforce Successful Behaviour")))*1+(AND(G21="Declining",E21&lt;&gt;"Tail",AL21="Automated"))*1+(AND(Y21,AM21&lt;&gt;"Human Sign-Off Required"))*1+(AND(AA21,AM21&lt;&gt;"HOLD — Critical Data Issue"))*1+(AND(P21="Recent Inactivity",OR(AK21="Discovery-to-Offer Enablement",AK21="Reinforce Successful Behaviour")))*1+(AND(OR(LEFT(D21,1)="2",LEFT(D21,1)="3",LEFT(D21,1)="8"),AL21="Automated"))*1+((LEFT(D21,1)="1")&lt;&gt;(AK21="Guided Self-Serve Migration"))*1+(AND(AR21&lt;&gt;"",OR(F21&lt;&gt;"Low",U21="Mixed",AND(G21&lt;&gt;"Growing",G21&lt;&gt;"Stable"))))*1+ISNUMBER(SEARCH("chat",AP21))*1+ISNUMBER(SEARCH("video",AP21))*1+(AND(AA21,AL21="Automated",AM21&lt;&gt;"HOLD — Critical Data Issue"))*1</f>
        <v>0</v>
      </c>
    </row>
    <row r="22" customFormat="false" ht="15" hidden="false" customHeight="false" outlineLevel="0" collapsed="false">
      <c r="A22" s="2" t="s">
        <v>208</v>
      </c>
      <c r="B22" s="2" t="str">
        <f aca="false">INDEX(Segmentation!$B$2:$B$301,MATCH($A22,Segmentation!$A$2:$A$301,0))</f>
        <v>Account Managed</v>
      </c>
      <c r="C22" s="2" t="str">
        <f aca="false">INDEX(Segmentation!$H$2:$H$301,MATCH($A22,Segmentation!$A$2:$A$301,0))</f>
        <v>Broker-Reliant</v>
      </c>
      <c r="D22" s="2" t="str">
        <f aca="false">INDEX(Segmentation!$T$2:$T$301,MATCH($A22,Segmentation!$A$2:$A$301,0))</f>
        <v>2. Protect / Retain First</v>
      </c>
      <c r="E22" s="2" t="str">
        <f aca="false">INDEX(Segmentation!$J$2:$J$301,MATCH($A22,Segmentation!$A$2:$A$301,0))</f>
        <v>Core</v>
      </c>
      <c r="F22" s="2" t="str">
        <f aca="false">INDEX(Segmentation!$G$2:$G$301,MATCH($A22,Segmentation!$A$2:$A$301,0))</f>
        <v>High</v>
      </c>
      <c r="G22" s="2" t="str">
        <f aca="false">INDEX(Segmentation!$N$2:$N$301,MATCH($A22,Segmentation!$A$2:$A$301,0))</f>
        <v>Declining</v>
      </c>
      <c r="H22" s="9" t="n">
        <f aca="false">INDEX(Segmentation!$I$2:$I$301,MATCH($A22,Segmentation!$A$2:$A$301,0))</f>
        <v>6199</v>
      </c>
      <c r="I22" s="2" t="n">
        <f aca="false">INDEX(Segmentation!$O$2:$O$301,MATCH($A22,Segmentation!$A$2:$A$301,0))</f>
        <v>19</v>
      </c>
      <c r="J22" s="2" t="n">
        <f aca="false">INDEX(Segmentation!$Q$2:$Q$301,MATCH($A22,Segmentation!$A$2:$A$301,0))</f>
        <v>7</v>
      </c>
      <c r="K22" s="2" t="n">
        <f aca="false">INDEX(Segmentation!$W$2:$W$301,MATCH($A22,Segmentation!$A$2:$A$301,0))</f>
        <v>6</v>
      </c>
      <c r="L22" s="9" t="n">
        <f aca="false">INDEX('Commercial View'!$L$2:$L$301,MATCH($A22,'Commercial View'!$A$2:$A$301,0))</f>
        <v>872</v>
      </c>
      <c r="M22" s="9" t="n">
        <f aca="false">INDEX('Commercial View'!$M$2:$M$301,MATCH($A22,'Commercial View'!$A$2:$A$301,0))</f>
        <v>343</v>
      </c>
      <c r="N22" s="9" t="n">
        <f aca="false">INDEX('Commercial View'!$N$2:$N$301,MATCH($A22,'Commercial View'!$A$2:$A$301,0))</f>
        <v>1117</v>
      </c>
      <c r="O22" s="9" t="n">
        <f aca="false">INDEX(Segmentation!$L$2:$L$301,MATCH($A22,Segmentation!$A$2:$A$301,0))</f>
        <v>2332</v>
      </c>
      <c r="P22" s="2" t="str">
        <f aca="false">IF(OR(M22&gt;0,N22&gt;0),"Recently Active",IF(OR(I22&lt;=Assumptions!$B$48,K22&lt;=Assumptions!$B$49),"No Meaningful History","Recent Inactivity"))</f>
        <v>Recently Active</v>
      </c>
      <c r="Q22" s="2" t="str">
        <f aca="false">INDEX(Segmentation!$AF$2:$AF$301,MATCH($A22,Segmentation!$A$2:$A$301,0))</f>
        <v>Existing Customer</v>
      </c>
      <c r="R22" s="2" t="str">
        <f aca="false">INDEX(Segmentation!$AL$2:$AL$301,MATCH($A22,Segmentation!$A$2:$A$301,0))</f>
        <v>N/A</v>
      </c>
      <c r="S22" s="10" t="b">
        <f aca="false">INDEX(Segmentation!$AW$2:$AW$301,MATCH($A22,Segmentation!$A$2:$A$301,0))</f>
        <v>0</v>
      </c>
      <c r="T22" s="2" t="str">
        <f aca="false">INDEX('Feature Data'!$AD$2:$AD$301,MATCH($A22,'Feature Data'!$A$2:$A$301,0))</f>
        <v>Broker-led, product-blind</v>
      </c>
      <c r="U22" s="2" t="str">
        <f aca="false">INDEX('Feature Data'!$W$2:$W$301,MATCH($A22,'Feature Data'!$A$2:$A$301,0))</f>
        <v>Mixed</v>
      </c>
      <c r="V22" s="2" t="n">
        <f aca="false">INDEX('Feature Data'!$P$2:$P$301,MATCH($A22,'Feature Data'!$A$2:$A$301,0))</f>
        <v>2</v>
      </c>
      <c r="W22" s="2" t="n">
        <f aca="false">INDEX(Segmentation!$R$2:$R$301,MATCH($A22,Segmentation!$A$2:$A$301,0))</f>
        <v>6</v>
      </c>
      <c r="X22" s="2" t="n">
        <f aca="false">INDEX(Segmentation!$S$2:$S$301,MATCH($A22,Segmentation!$A$2:$A$301,0))</f>
        <v>1</v>
      </c>
      <c r="Y22" s="10" t="b">
        <f aca="false">INDEX(Segmentation!$AG$2:$AG$301,MATCH($A22,Segmentation!$A$2:$A$301,0))</f>
        <v>0</v>
      </c>
      <c r="Z22" s="2" t="str">
        <f aca="false">INDEX(Segmentation!$AU$2:$AU$301,MATCH($A22,Segmentation!$A$2:$A$301,0))</f>
        <v>Not Eligible</v>
      </c>
      <c r="AA22" s="10" t="b">
        <f aca="false">INDEX(Segmentation!$Z$2:$Z$301,MATCH($A22,Segmentation!$A$2:$A$301,0))</f>
        <v>0</v>
      </c>
      <c r="AB22" s="10" t="b">
        <f aca="false">INDEX(Segmentation!$AH$2:$AH$301,MATCH($A22,Segmentation!$A$2:$A$301,0))</f>
        <v>0</v>
      </c>
      <c r="AC22" s="10" t="b">
        <f aca="false">INDEX(Segmentation!$AK$2:$AK$301,MATCH($A22,Segmentation!$A$2:$A$301,0))</f>
        <v>0</v>
      </c>
      <c r="AD22" s="10" t="b">
        <f aca="false">INDEX(Segmentation!$AQ$2:$AQ$301,MATCH($A22,Segmentation!$A$2:$A$301,0))</f>
        <v>0</v>
      </c>
      <c r="AE22" s="10" t="b">
        <f aca="false">INDEX(Segmentation!$AT$2:$AT$301,MATCH($A22,Segmentation!$A$2:$A$301,0))</f>
        <v>0</v>
      </c>
      <c r="AF22" s="10" t="b">
        <f aca="false">INDEX(Segmentation!$X$2:$X$301,MATCH($A22,Segmentation!$A$2:$A$301,0))</f>
        <v>0</v>
      </c>
      <c r="AG22" s="10" t="b">
        <f aca="false">AND(F22="Low",V22&gt;=Assumptions!$B$71,X22&lt;Assumptions!$B$72)</f>
        <v>0</v>
      </c>
      <c r="AH22" s="10" t="b">
        <f aca="false">AND(F22="Low",OR(G22="Growing",G22="Stable"),P22="Recently Active",V22&gt;=Assumptions!$B$58,K22&gt;=Assumptions!$B$73)</f>
        <v>0</v>
      </c>
      <c r="AI22" s="17" t="n">
        <f aca="false">IF(O22&gt;0,MAX(L22:N22)/O22,"")</f>
        <v>0.478987993138937</v>
      </c>
      <c r="AJ22" s="2" t="str">
        <f aca="false">IF(LEFT(D22,1)="1",IF(E22="Key","MIGRATION_KEY_SIGNOFF",IF(Z22="Ready","MIGRATION_PHASE1_READY",IF(Z22="Manual Review","MIGRATION_PHASE1_REVIEW","MIGRATION_PRE_ENTRY"))),IF(LEFT(D22,1)="2","DECLINING_KEY_CORE",IF(LEFT(D22,1)="3",IF(R22="Established Buyer Lapsed","LAPSED_ESTABLISHED","LAPSED_THIN_HISTORY"),IF(LEFT(D22,1)="4",IF(Q22="New Customer","NEW_CUSTOMER","RETURNED_CUSTOMER"),IF(LEFT(D22,1)="5",IF(P22="Recently Active","COST_TO_SERVE_ACTIVE","DORMANT_LOW_VALUE"),IF(LEFT(D22,1)="6",IF(P22="Recent Inactivity","RECENT_INACTIVITY",IF(AG22,"BROWSING_LOW_OFFERS","HEALTHY_STRONG_SELF_SERVE")),IF(LEFT(D22,1)="7",IF(P22="Recent Inactivity","RECENT_INACTIVITY",IF(Q22="New Customer","NEW_CUSTOMER","RETURNED_CUSTOMER")),IF(LEFT(D22,1)="8",IF(G22="Declining",IF(T22="Engaged but shrinking (Key/Core)","ENGAGED_BUT_SHRINKING","DECLINING_KEY_CORE"),IF(R22="Established Buyer Lapsed","LAPSED_ESTABLISHED","LAPSED_THIN_HISTORY")),IF(S22,IF(P22&lt;&gt;"Recently Active","DORMANT_LOW_VALUE",IF(AG22,"BROWSING_LOW_OFFERS",IF(AH22,"RISING_TAIL","RISING_TAIL_EARLY"))),IF(AND(AG22,P22="Recently Active",OR(G22="Growing",G22="Stable",G22="H2 Active / No H1 GMV"),I22&gt;=Assumptions!$B$74),"BROWSING_LOW_OFFERS","LONG_TAIL_STANDARD"))))))))))</f>
        <v>DECLINING_KEY_CORE</v>
      </c>
      <c r="AK22" s="2" t="str">
        <f aca="false">INDEX('NBA Library'!$B$4:$B$21,MATCH(AJ22,'NBA Library'!$A$4:$A$21,0))</f>
        <v>Retention Conversation</v>
      </c>
      <c r="AL22" s="2" t="str">
        <f aca="false">INDEX('NBA Library'!$C$4:$C$21,MATCH(AJ22,'NBA Library'!$A$4:$A$21,0))</f>
        <v>Human</v>
      </c>
      <c r="AM22" s="2" t="str">
        <f aca="false">IF(AA22,"HOLD — Critical Data Issue",IF(Y22,"Human Sign-Off Required",IF(Z22="Manual Review","Human Review Required",IF(AND(AL22="Automated",OR(AE22,AND(OR(AK22="Discovery-to-Offer Enablement",AK22="Reinforce Successful Behaviour"),OR(AC22,AB22)))),"Human Review Required",IF(AL22="Human","Ready — Human",IF(AL22="Hybrid","Ready — Hybrid","Ready — Automated"))))))</f>
        <v>Ready — Human</v>
      </c>
      <c r="AN22" s="2" t="str">
        <f aca="false">IF(AA22,"P0",IF(AND(AJ22="BROWSING_LOW_OFFERS",E22="Tail"),"P3",IF(AND(AM22="Human Review Required",INDEX('NBA Library'!$D$4:$D$21,MATCH(AJ22,'NBA Library'!$A$4:$A$21,0))="P4"),"P3",INDEX('NBA Library'!$D$4:$D$21,MATCH(AJ22,'NBA Library'!$A$4:$A$21,0)))))</f>
        <v>P1</v>
      </c>
      <c r="AO22" s="2" t="str">
        <f aca="false">E22&amp;" "&amp;C22&amp;" account ("&amp;B22&amp;"); "&amp;G22&amp;" momentum; "&amp;P22&amp;"; £"&amp;TEXT(H22,"#,##0")&amp;" 6m GMV. "&amp;INDEX('NBA Library'!$G$4:$G$21,MATCH(AJ22,'NBA Library'!$A$4:$A$21,0))&amp;IF(LEFT(D22,1)="1"," Baseline: "&amp;V22&amp;" PDP views, "&amp;W22&amp;" app days, "&amp;X22&amp;" offers, "&amp;TEXT(J22/I22,"0%")&amp;" of orders self-serve.","")&amp;IF(AA22," Execution on HOLD until the Duplicate status is resolved.","")&amp;IF(Y22," Key account: explicit AM/leadership sign-off required before any migration activity.","")&amp;IF(AE22," Implied broker % from order counts would move this account to a different segment; review before automating.","")</f>
        <v>Core Broker-Reliant account (Account Managed); Declining momentum; Recently Active; £6,199 6m GMV. Broker-led spend is falling. Keep human support in place; AM to diagnose the cause before any migration or product nudge.</v>
      </c>
      <c r="AP22" s="2" t="str">
        <f aca="false">INDEX('NBA Library'!$E$4:$E$21,MATCH(AJ22,'NBA Library'!$A$4:$A$21,0))&amp;IF(AND(AJ22="NEW_CUSTOMER",AG22),"; introduce Make-an-Offer on items already browsed","")</f>
        <v>AM diagnoses the cause of falling spend (supply, price, service, competitor) and agrees a recovery plan; keep human support in place</v>
      </c>
      <c r="AQ22" s="2" t="str">
        <f aca="false">INDEX('NBA Library'!$F$4:$F$21,MATCH(AJ22,'NBA Library'!$A$4:$A$21,0))</f>
        <v>Next 90-day GMV back to at least the Sep-Nov (H1) level, or decline arrested; root cause logged</v>
      </c>
      <c r="AR22" s="2" t="str">
        <f aca="false">IF(AND(F22="Low",OR(G22="Growing",G22="Stable"),P22="Recently Active",U22&lt;&gt;"Mixed",OR(AK22="Discovery-to-Offer Enablement",AK22="Reinforce Successful Behaviour"),AM22="Ready — Automated",OR(E22&lt;&gt;"Tail",S22)),"Range Expansion Test — trial "&amp;IF(U22="Bundle-only","handpick","bundles")&amp;" (experimental; not proven to lift GMV)","")</f>
        <v/>
      </c>
      <c r="AS22" s="2" t="str">
        <f aca="false">IF(AK22&lt;&gt;"Automated Nurture","",IF(AJ22="DORMANT_LOW_VALUE","Dormant",IF(AJ22="RISING_TAIL_EARLY","Rising tail – early pattern",IF(Q22="New Customer","New customer onboarding",IF(Q22="Returned Customer","Returned customer",IF(G22="Lapsed","Dormant",IF(T22="Engaged, not converting","Engaged, not converting",IF(T22="One-off low-touch buyer","One-off purchaser",IF(T22="Light-touch repeat buyer","Light-touch repeat buyer","Standard long tail")))))))))</f>
        <v/>
      </c>
      <c r="AT22" s="2" t="str">
        <f aca="false">IF(AA22,"CRITICAL_DATA_BLOCKER; ","")&amp;IF(Y22,"KEY_SIGNOFF; ","")&amp;IF(Z22="Manual Review","PHASE1_MANUAL_REVIEW; ","")&amp;IF(AND(LEFT(D22,1)="1",AZ22="Lumpy"),"LUMPY_CADENCE; ","")&amp;IF(AB22,"BORDERLINE_MOMENTUM; ","")&amp;IF(AC22,"FEB_SENSITIVE; ","")&amp;IF(AD22,"MATERIAL_BROKER_INCONSISTENCY"&amp;IF(AE22," (segment would change)","")&amp;"; ","")&amp;IF(AND(I22&gt;=3,O22&gt;0),IF(AI22&gt;=Assumptions!$B$75,"H2_SINGLE_MONTH_SPIKE; ",""),"")&amp;IF(AND(M22&gt;0,N22=0),"NO_FEB_GMV (Feb unconfirmed); ","")&amp;IF(AF22,"LOW_CONFIDENCE; ","")</f>
        <v/>
      </c>
      <c r="AU22" s="2" t="str">
        <f aca="false">IF(LEFT(D22,1)="1",V22,"")</f>
        <v/>
      </c>
      <c r="AV22" s="2" t="str">
        <f aca="false">IF(LEFT(D22,1)="1",V22&gt;=Assumptions!$B$58,"")</f>
        <v/>
      </c>
      <c r="AW22" s="2" t="str">
        <f aca="false">IF(LEFT(D22,1)="1",W22,"")</f>
        <v/>
      </c>
      <c r="AX22" s="2" t="str">
        <f aca="false">IF(LEFT(D22,1)="1",X22,"")</f>
        <v/>
      </c>
      <c r="AY22" s="17" t="str">
        <f aca="false">IF(LEFT(D22,1)="1",J22/I22,"")</f>
        <v/>
      </c>
      <c r="AZ22" s="2" t="str">
        <f aca="false">IF(LEFT(D22,1)="1",IF(AND(K22&gt;=Assumptions!$B$83,I22&gt;=Assumptions!$B$84),"Regular","Lumpy"),"")</f>
        <v/>
      </c>
      <c r="BA22" s="2" t="str">
        <f aca="false">IF(LEFT(D22,1)="1",ROUND(6/K22,0),"")</f>
        <v/>
      </c>
      <c r="BB22" s="2" t="str">
        <f aca="false">IF(LEFT(D22,1)="1",IF(AZ22="Regular","Regular buyer: expected ~£"&amp;TEXT(H22/2,"#,##0")&amp;" per 90 days. At Risk if GMV to date &lt; "&amp;TEXT(Assumptions!$B$81,"0%")&amp;" of pro-rated expectation, checked from day "&amp;Assumptions!$B$82&amp;". Human-reviewed.","Irregular buyer ("&amp;I22&amp;" orders across "&amp;K22&amp;" months): no numeric GMV threshold. At Risk if no order within ~"&amp;BA22&amp;" month(s); AM reviews at day "&amp;Assumptions!$B$82&amp;" and "&amp;Assumptions!$B$85&amp;"."),"")</f>
        <v/>
      </c>
      <c r="BC22" s="2"/>
      <c r="BD22" s="2"/>
      <c r="BE22" s="2"/>
      <c r="BF22" s="2"/>
      <c r="BG22" s="2"/>
      <c r="BH22" s="2"/>
      <c r="BI22" s="2"/>
      <c r="BJ22" s="2" t="str">
        <f aca="false">IF(OR(NOT(LEFT(D22,1)="1"),BC22=""),"",IF(AZ22="Regular",AND(BC22&gt;=Assumptions!$B$82,N(BI22)&lt;Assumptions!$B$81*H22/180*BC22),AND(BC22&gt;=BA22*30,N(BG22)=0)))</f>
        <v/>
      </c>
      <c r="BK22" s="2" t="str">
        <f aca="false">IF(NOT(LEFT(D22,1)="1"),"N/A",IF(BC22="","Baseline",IF(BJ22,"At Risk",IF(AND(N(BD22)&gt;=Assumptions!$B$78,N(BE22)&gt;=Assumptions!$B$79,N(BH22)&gt;=1,N(BH22)/MAX(N(BG22),1)&gt;AY22),"Self-Serve Capability Demonstrated",IF(OR(N(BD22)&gt;=Assumptions!$B$76,N(BE22)&gt;=Assumptions!$B$77),"Progressing",IF(BC22&gt;=Assumptions!$B$85,"At Risk","Baseline"))))))</f>
        <v>N/A</v>
      </c>
      <c r="BL22" s="2" t="n">
        <f aca="false">(AND(C22="Broker-Reliant",OR(AK22="Discovery-to-Offer Enablement",AK22="Reinforce Successful Behaviour")))*1+(AND(G22="Declining",E22&lt;&gt;"Tail",AL22="Automated"))*1+(AND(Y22,AM22&lt;&gt;"Human Sign-Off Required"))*1+(AND(AA22,AM22&lt;&gt;"HOLD — Critical Data Issue"))*1+(AND(P22="Recent Inactivity",OR(AK22="Discovery-to-Offer Enablement",AK22="Reinforce Successful Behaviour")))*1+(AND(OR(LEFT(D22,1)="2",LEFT(D22,1)="3",LEFT(D22,1)="8"),AL22="Automated"))*1+((LEFT(D22,1)="1")&lt;&gt;(AK22="Guided Self-Serve Migration"))*1+(AND(AR22&lt;&gt;"",OR(F22&lt;&gt;"Low",U22="Mixed",AND(G22&lt;&gt;"Growing",G22&lt;&gt;"Stable"))))*1+ISNUMBER(SEARCH("chat",AP22))*1+ISNUMBER(SEARCH("video",AP22))*1+(AND(AA22,AL22="Automated",AM22&lt;&gt;"HOLD — Critical Data Issue"))*1</f>
        <v>0</v>
      </c>
    </row>
    <row r="23" customFormat="false" ht="15" hidden="false" customHeight="false" outlineLevel="0" collapsed="false">
      <c r="A23" s="2" t="s">
        <v>211</v>
      </c>
      <c r="B23" s="2" t="str">
        <f aca="false">INDEX(Segmentation!$B$2:$B$301,MATCH($A23,Segmentation!$A$2:$A$301,0))</f>
        <v>Account Managed</v>
      </c>
      <c r="C23" s="2" t="str">
        <f aca="false">INDEX(Segmentation!$H$2:$H$301,MATCH($A23,Segmentation!$A$2:$A$301,0))</f>
        <v>Broker-Reliant</v>
      </c>
      <c r="D23" s="2" t="str">
        <f aca="false">INDEX(Segmentation!$T$2:$T$301,MATCH($A23,Segmentation!$A$2:$A$301,0))</f>
        <v>2. Protect / Retain First</v>
      </c>
      <c r="E23" s="2" t="str">
        <f aca="false">INDEX(Segmentation!$J$2:$J$301,MATCH($A23,Segmentation!$A$2:$A$301,0))</f>
        <v>Core</v>
      </c>
      <c r="F23" s="2" t="str">
        <f aca="false">INDEX(Segmentation!$G$2:$G$301,MATCH($A23,Segmentation!$A$2:$A$301,0))</f>
        <v>Medium</v>
      </c>
      <c r="G23" s="2" t="str">
        <f aca="false">INDEX(Segmentation!$N$2:$N$301,MATCH($A23,Segmentation!$A$2:$A$301,0))</f>
        <v>Declining</v>
      </c>
      <c r="H23" s="9" t="n">
        <f aca="false">INDEX(Segmentation!$I$2:$I$301,MATCH($A23,Segmentation!$A$2:$A$301,0))</f>
        <v>6140</v>
      </c>
      <c r="I23" s="2" t="n">
        <f aca="false">INDEX(Segmentation!$O$2:$O$301,MATCH($A23,Segmentation!$A$2:$A$301,0))</f>
        <v>7</v>
      </c>
      <c r="J23" s="2" t="n">
        <f aca="false">INDEX(Segmentation!$Q$2:$Q$301,MATCH($A23,Segmentation!$A$2:$A$301,0))</f>
        <v>4</v>
      </c>
      <c r="K23" s="2" t="n">
        <f aca="false">INDEX(Segmentation!$W$2:$W$301,MATCH($A23,Segmentation!$A$2:$A$301,0))</f>
        <v>3</v>
      </c>
      <c r="L23" s="9" t="n">
        <f aca="false">INDEX('Commercial View'!$L$2:$L$301,MATCH($A23,'Commercial View'!$A$2:$A$301,0))</f>
        <v>1601</v>
      </c>
      <c r="M23" s="9" t="n">
        <f aca="false">INDEX('Commercial View'!$M$2:$M$301,MATCH($A23,'Commercial View'!$A$2:$A$301,0))</f>
        <v>0</v>
      </c>
      <c r="N23" s="9" t="n">
        <f aca="false">INDEX('Commercial View'!$N$2:$N$301,MATCH($A23,'Commercial View'!$A$2:$A$301,0))</f>
        <v>0</v>
      </c>
      <c r="O23" s="9" t="n">
        <f aca="false">INDEX(Segmentation!$L$2:$L$301,MATCH($A23,Segmentation!$A$2:$A$301,0))</f>
        <v>1601</v>
      </c>
      <c r="P23" s="2" t="str">
        <f aca="false">IF(OR(M23&gt;0,N23&gt;0),"Recently Active",IF(OR(I23&lt;=Assumptions!$B$48,K23&lt;=Assumptions!$B$49),"No Meaningful History","Recent Inactivity"))</f>
        <v>Recent Inactivity</v>
      </c>
      <c r="Q23" s="2" t="str">
        <f aca="false">INDEX(Segmentation!$AF$2:$AF$301,MATCH($A23,Segmentation!$A$2:$A$301,0))</f>
        <v>Existing Customer</v>
      </c>
      <c r="R23" s="2" t="str">
        <f aca="false">INDEX(Segmentation!$AL$2:$AL$301,MATCH($A23,Segmentation!$A$2:$A$301,0))</f>
        <v>N/A</v>
      </c>
      <c r="S23" s="10" t="b">
        <f aca="false">INDEX(Segmentation!$AW$2:$AW$301,MATCH($A23,Segmentation!$A$2:$A$301,0))</f>
        <v>0</v>
      </c>
      <c r="T23" s="2" t="str">
        <f aca="false">INDEX('Feature Data'!$AD$2:$AD$301,MATCH($A23,'Feature Data'!$A$2:$A$301,0))</f>
        <v>Broker-led, product-blind</v>
      </c>
      <c r="U23" s="2" t="str">
        <f aca="false">INDEX('Feature Data'!$W$2:$W$301,MATCH($A23,'Feature Data'!$A$2:$A$301,0))</f>
        <v>Bundle-only</v>
      </c>
      <c r="V23" s="2" t="n">
        <f aca="false">INDEX('Feature Data'!$P$2:$P$301,MATCH($A23,'Feature Data'!$A$2:$A$301,0))</f>
        <v>12</v>
      </c>
      <c r="W23" s="2" t="n">
        <f aca="false">INDEX(Segmentation!$R$2:$R$301,MATCH($A23,Segmentation!$A$2:$A$301,0))</f>
        <v>4</v>
      </c>
      <c r="X23" s="2" t="n">
        <f aca="false">INDEX(Segmentation!$S$2:$S$301,MATCH($A23,Segmentation!$A$2:$A$301,0))</f>
        <v>2</v>
      </c>
      <c r="Y23" s="10" t="b">
        <f aca="false">INDEX(Segmentation!$AG$2:$AG$301,MATCH($A23,Segmentation!$A$2:$A$301,0))</f>
        <v>0</v>
      </c>
      <c r="Z23" s="2" t="str">
        <f aca="false">INDEX(Segmentation!$AU$2:$AU$301,MATCH($A23,Segmentation!$A$2:$A$301,0))</f>
        <v>Not Eligible</v>
      </c>
      <c r="AA23" s="10" t="b">
        <f aca="false">INDEX(Segmentation!$Z$2:$Z$301,MATCH($A23,Segmentation!$A$2:$A$301,0))</f>
        <v>0</v>
      </c>
      <c r="AB23" s="10" t="b">
        <f aca="false">INDEX(Segmentation!$AH$2:$AH$301,MATCH($A23,Segmentation!$A$2:$A$301,0))</f>
        <v>0</v>
      </c>
      <c r="AC23" s="10" t="b">
        <f aca="false">INDEX(Segmentation!$AK$2:$AK$301,MATCH($A23,Segmentation!$A$2:$A$301,0))</f>
        <v>0</v>
      </c>
      <c r="AD23" s="10" t="b">
        <f aca="false">INDEX(Segmentation!$AQ$2:$AQ$301,MATCH($A23,Segmentation!$A$2:$A$301,0))</f>
        <v>0</v>
      </c>
      <c r="AE23" s="10" t="b">
        <f aca="false">INDEX(Segmentation!$AT$2:$AT$301,MATCH($A23,Segmentation!$A$2:$A$301,0))</f>
        <v>0</v>
      </c>
      <c r="AF23" s="10" t="b">
        <f aca="false">INDEX(Segmentation!$X$2:$X$301,MATCH($A23,Segmentation!$A$2:$A$301,0))</f>
        <v>0</v>
      </c>
      <c r="AG23" s="10" t="b">
        <f aca="false">AND(F23="Low",V23&gt;=Assumptions!$B$71,X23&lt;Assumptions!$B$72)</f>
        <v>0</v>
      </c>
      <c r="AH23" s="10" t="b">
        <f aca="false">AND(F23="Low",OR(G23="Growing",G23="Stable"),P23="Recently Active",V23&gt;=Assumptions!$B$58,K23&gt;=Assumptions!$B$73)</f>
        <v>0</v>
      </c>
      <c r="AI23" s="17" t="n">
        <f aca="false">IF(O23&gt;0,MAX(L23:N23)/O23,"")</f>
        <v>1</v>
      </c>
      <c r="AJ23" s="2" t="str">
        <f aca="false">IF(LEFT(D23,1)="1",IF(E23="Key","MIGRATION_KEY_SIGNOFF",IF(Z23="Ready","MIGRATION_PHASE1_READY",IF(Z23="Manual Review","MIGRATION_PHASE1_REVIEW","MIGRATION_PRE_ENTRY"))),IF(LEFT(D23,1)="2","DECLINING_KEY_CORE",IF(LEFT(D23,1)="3",IF(R23="Established Buyer Lapsed","LAPSED_ESTABLISHED","LAPSED_THIN_HISTORY"),IF(LEFT(D23,1)="4",IF(Q23="New Customer","NEW_CUSTOMER","RETURNED_CUSTOMER"),IF(LEFT(D23,1)="5",IF(P23="Recently Active","COST_TO_SERVE_ACTIVE","DORMANT_LOW_VALUE"),IF(LEFT(D23,1)="6",IF(P23="Recent Inactivity","RECENT_INACTIVITY",IF(AG23,"BROWSING_LOW_OFFERS","HEALTHY_STRONG_SELF_SERVE")),IF(LEFT(D23,1)="7",IF(P23="Recent Inactivity","RECENT_INACTIVITY",IF(Q23="New Customer","NEW_CUSTOMER","RETURNED_CUSTOMER")),IF(LEFT(D23,1)="8",IF(G23="Declining",IF(T23="Engaged but shrinking (Key/Core)","ENGAGED_BUT_SHRINKING","DECLINING_KEY_CORE"),IF(R23="Established Buyer Lapsed","LAPSED_ESTABLISHED","LAPSED_THIN_HISTORY")),IF(S23,IF(P23&lt;&gt;"Recently Active","DORMANT_LOW_VALUE",IF(AG23,"BROWSING_LOW_OFFERS",IF(AH23,"RISING_TAIL","RISING_TAIL_EARLY"))),IF(AND(AG23,P23="Recently Active",OR(G23="Growing",G23="Stable",G23="H2 Active / No H1 GMV"),I23&gt;=Assumptions!$B$74),"BROWSING_LOW_OFFERS","LONG_TAIL_STANDARD"))))))))))</f>
        <v>DECLINING_KEY_CORE</v>
      </c>
      <c r="AK23" s="2" t="str">
        <f aca="false">INDEX('NBA Library'!$B$4:$B$21,MATCH(AJ23,'NBA Library'!$A$4:$A$21,0))</f>
        <v>Retention Conversation</v>
      </c>
      <c r="AL23" s="2" t="str">
        <f aca="false">INDEX('NBA Library'!$C$4:$C$21,MATCH(AJ23,'NBA Library'!$A$4:$A$21,0))</f>
        <v>Human</v>
      </c>
      <c r="AM23" s="2" t="str">
        <f aca="false">IF(AA23,"HOLD — Critical Data Issue",IF(Y23,"Human Sign-Off Required",IF(Z23="Manual Review","Human Review Required",IF(AND(AL23="Automated",OR(AE23,AND(OR(AK23="Discovery-to-Offer Enablement",AK23="Reinforce Successful Behaviour"),OR(AC23,AB23)))),"Human Review Required",IF(AL23="Human","Ready — Human",IF(AL23="Hybrid","Ready — Hybrid","Ready — Automated"))))))</f>
        <v>Ready — Human</v>
      </c>
      <c r="AN23" s="2" t="str">
        <f aca="false">IF(AA23,"P0",IF(AND(AJ23="BROWSING_LOW_OFFERS",E23="Tail"),"P3",IF(AND(AM23="Human Review Required",INDEX('NBA Library'!$D$4:$D$21,MATCH(AJ23,'NBA Library'!$A$4:$A$21,0))="P4"),"P3",INDEX('NBA Library'!$D$4:$D$21,MATCH(AJ23,'NBA Library'!$A$4:$A$21,0)))))</f>
        <v>P1</v>
      </c>
      <c r="AO23" s="2" t="str">
        <f aca="false">E23&amp;" "&amp;C23&amp;" account ("&amp;B23&amp;"); "&amp;G23&amp;" momentum; "&amp;P23&amp;"; £"&amp;TEXT(H23,"#,##0")&amp;" 6m GMV. "&amp;INDEX('NBA Library'!$G$4:$G$21,MATCH(AJ23,'NBA Library'!$A$4:$A$21,0))&amp;IF(LEFT(D23,1)="1"," Baseline: "&amp;V23&amp;" PDP views, "&amp;W23&amp;" app days, "&amp;X23&amp;" offers, "&amp;TEXT(J23/I23,"0%")&amp;" of orders self-serve.","")&amp;IF(AA23," Execution on HOLD until the Duplicate status is resolved.","")&amp;IF(Y23," Key account: explicit AM/leadership sign-off required before any migration activity.","")&amp;IF(AE23," Implied broker % from order counts would move this account to a different segment; review before automating.","")</f>
        <v>Core Broker-Reliant account (Account Managed); Declining momentum; Recent Inactivity; £6,140 6m GMV. Broker-led spend is falling. Keep human support in place; AM to diagnose the cause before any migration or product nudge.</v>
      </c>
      <c r="AP23" s="2" t="str">
        <f aca="false">INDEX('NBA Library'!$E$4:$E$21,MATCH(AJ23,'NBA Library'!$A$4:$A$21,0))&amp;IF(AND(AJ23="NEW_CUSTOMER",AG23),"; introduce Make-an-Offer on items already browsed","")</f>
        <v>AM diagnoses the cause of falling spend (supply, price, service, competitor) and agrees a recovery plan; keep human support in place</v>
      </c>
      <c r="AQ23" s="2" t="str">
        <f aca="false">INDEX('NBA Library'!$F$4:$F$21,MATCH(AJ23,'NBA Library'!$A$4:$A$21,0))</f>
        <v>Next 90-day GMV back to at least the Sep-Nov (H1) level, or decline arrested; root cause logged</v>
      </c>
      <c r="AR23" s="2" t="str">
        <f aca="false">IF(AND(F23="Low",OR(G23="Growing",G23="Stable"),P23="Recently Active",U23&lt;&gt;"Mixed",OR(AK23="Discovery-to-Offer Enablement",AK23="Reinforce Successful Behaviour"),AM23="Ready — Automated",OR(E23&lt;&gt;"Tail",S23)),"Range Expansion Test — trial "&amp;IF(U23="Bundle-only","handpick","bundles")&amp;" (experimental; not proven to lift GMV)","")</f>
        <v/>
      </c>
      <c r="AS23" s="2" t="str">
        <f aca="false">IF(AK23&lt;&gt;"Automated Nurture","",IF(AJ23="DORMANT_LOW_VALUE","Dormant",IF(AJ23="RISING_TAIL_EARLY","Rising tail – early pattern",IF(Q23="New Customer","New customer onboarding",IF(Q23="Returned Customer","Returned customer",IF(G23="Lapsed","Dormant",IF(T23="Engaged, not converting","Engaged, not converting",IF(T23="One-off low-touch buyer","One-off purchaser",IF(T23="Light-touch repeat buyer","Light-touch repeat buyer","Standard long tail")))))))))</f>
        <v/>
      </c>
      <c r="AT23" s="2" t="str">
        <f aca="false">IF(AA23,"CRITICAL_DATA_BLOCKER; ","")&amp;IF(Y23,"KEY_SIGNOFF; ","")&amp;IF(Z23="Manual Review","PHASE1_MANUAL_REVIEW; ","")&amp;IF(AND(LEFT(D23,1)="1",AZ23="Lumpy"),"LUMPY_CADENCE; ","")&amp;IF(AB23,"BORDERLINE_MOMENTUM; ","")&amp;IF(AC23,"FEB_SENSITIVE; ","")&amp;IF(AD23,"MATERIAL_BROKER_INCONSISTENCY"&amp;IF(AE23," (segment would change)","")&amp;"; ","")&amp;IF(AND(I23&gt;=3,O23&gt;0),IF(AI23&gt;=Assumptions!$B$75,"H2_SINGLE_MONTH_SPIKE; ",""),"")&amp;IF(AND(M23&gt;0,N23=0),"NO_FEB_GMV (Feb unconfirmed); ","")&amp;IF(AF23,"LOW_CONFIDENCE; ","")</f>
        <v>H2_SINGLE_MONTH_SPIKE; </v>
      </c>
      <c r="AU23" s="2" t="str">
        <f aca="false">IF(LEFT(D23,1)="1",V23,"")</f>
        <v/>
      </c>
      <c r="AV23" s="2" t="str">
        <f aca="false">IF(LEFT(D23,1)="1",V23&gt;=Assumptions!$B$58,"")</f>
        <v/>
      </c>
      <c r="AW23" s="2" t="str">
        <f aca="false">IF(LEFT(D23,1)="1",W23,"")</f>
        <v/>
      </c>
      <c r="AX23" s="2" t="str">
        <f aca="false">IF(LEFT(D23,1)="1",X23,"")</f>
        <v/>
      </c>
      <c r="AY23" s="17" t="str">
        <f aca="false">IF(LEFT(D23,1)="1",J23/I23,"")</f>
        <v/>
      </c>
      <c r="AZ23" s="2" t="str">
        <f aca="false">IF(LEFT(D23,1)="1",IF(AND(K23&gt;=Assumptions!$B$83,I23&gt;=Assumptions!$B$84),"Regular","Lumpy"),"")</f>
        <v/>
      </c>
      <c r="BA23" s="2" t="str">
        <f aca="false">IF(LEFT(D23,1)="1",ROUND(6/K23,0),"")</f>
        <v/>
      </c>
      <c r="BB23" s="2" t="str">
        <f aca="false">IF(LEFT(D23,1)="1",IF(AZ23="Regular","Regular buyer: expected ~£"&amp;TEXT(H23/2,"#,##0")&amp;" per 90 days. At Risk if GMV to date &lt; "&amp;TEXT(Assumptions!$B$81,"0%")&amp;" of pro-rated expectation, checked from day "&amp;Assumptions!$B$82&amp;". Human-reviewed.","Irregular buyer ("&amp;I23&amp;" orders across "&amp;K23&amp;" months): no numeric GMV threshold. At Risk if no order within ~"&amp;BA23&amp;" month(s); AM reviews at day "&amp;Assumptions!$B$82&amp;" and "&amp;Assumptions!$B$85&amp;"."),"")</f>
        <v/>
      </c>
      <c r="BC23" s="2"/>
      <c r="BD23" s="2"/>
      <c r="BE23" s="2"/>
      <c r="BF23" s="2"/>
      <c r="BG23" s="2"/>
      <c r="BH23" s="2"/>
      <c r="BI23" s="2"/>
      <c r="BJ23" s="2" t="str">
        <f aca="false">IF(OR(NOT(LEFT(D23,1)="1"),BC23=""),"",IF(AZ23="Regular",AND(BC23&gt;=Assumptions!$B$82,N(BI23)&lt;Assumptions!$B$81*H23/180*BC23),AND(BC23&gt;=BA23*30,N(BG23)=0)))</f>
        <v/>
      </c>
      <c r="BK23" s="2" t="str">
        <f aca="false">IF(NOT(LEFT(D23,1)="1"),"N/A",IF(BC23="","Baseline",IF(BJ23,"At Risk",IF(AND(N(BD23)&gt;=Assumptions!$B$78,N(BE23)&gt;=Assumptions!$B$79,N(BH23)&gt;=1,N(BH23)/MAX(N(BG23),1)&gt;AY23),"Self-Serve Capability Demonstrated",IF(OR(N(BD23)&gt;=Assumptions!$B$76,N(BE23)&gt;=Assumptions!$B$77),"Progressing",IF(BC23&gt;=Assumptions!$B$85,"At Risk","Baseline"))))))</f>
        <v>N/A</v>
      </c>
      <c r="BL23" s="2" t="n">
        <f aca="false">(AND(C23="Broker-Reliant",OR(AK23="Discovery-to-Offer Enablement",AK23="Reinforce Successful Behaviour")))*1+(AND(G23="Declining",E23&lt;&gt;"Tail",AL23="Automated"))*1+(AND(Y23,AM23&lt;&gt;"Human Sign-Off Required"))*1+(AND(AA23,AM23&lt;&gt;"HOLD — Critical Data Issue"))*1+(AND(P23="Recent Inactivity",OR(AK23="Discovery-to-Offer Enablement",AK23="Reinforce Successful Behaviour")))*1+(AND(OR(LEFT(D23,1)="2",LEFT(D23,1)="3",LEFT(D23,1)="8"),AL23="Automated"))*1+((LEFT(D23,1)="1")&lt;&gt;(AK23="Guided Self-Serve Migration"))*1+(AND(AR23&lt;&gt;"",OR(F23&lt;&gt;"Low",U23="Mixed",AND(G23&lt;&gt;"Growing",G23&lt;&gt;"Stable"))))*1+ISNUMBER(SEARCH("chat",AP23))*1+ISNUMBER(SEARCH("video",AP23))*1+(AND(AA23,AL23="Automated",AM23&lt;&gt;"HOLD — Critical Data Issue"))*1</f>
        <v>0</v>
      </c>
    </row>
    <row r="24" customFormat="false" ht="15" hidden="false" customHeight="false" outlineLevel="0" collapsed="false">
      <c r="A24" s="2" t="s">
        <v>214</v>
      </c>
      <c r="B24" s="2" t="str">
        <f aca="false">INDEX(Segmentation!$B$2:$B$301,MATCH($A24,Segmentation!$A$2:$A$301,0))</f>
        <v>Account Managed</v>
      </c>
      <c r="C24" s="2" t="str">
        <f aca="false">INDEX(Segmentation!$H$2:$H$301,MATCH($A24,Segmentation!$A$2:$A$301,0))</f>
        <v>Broker-Reliant</v>
      </c>
      <c r="D24" s="2" t="str">
        <f aca="false">INDEX(Segmentation!$T$2:$T$301,MATCH($A24,Segmentation!$A$2:$A$301,0))</f>
        <v>2. Protect / Retain First</v>
      </c>
      <c r="E24" s="2" t="str">
        <f aca="false">INDEX(Segmentation!$J$2:$J$301,MATCH($A24,Segmentation!$A$2:$A$301,0))</f>
        <v>Core</v>
      </c>
      <c r="F24" s="2" t="str">
        <f aca="false">INDEX(Segmentation!$G$2:$G$301,MATCH($A24,Segmentation!$A$2:$A$301,0))</f>
        <v>High</v>
      </c>
      <c r="G24" s="2" t="str">
        <f aca="false">INDEX(Segmentation!$N$2:$N$301,MATCH($A24,Segmentation!$A$2:$A$301,0))</f>
        <v>Declining</v>
      </c>
      <c r="H24" s="9" t="n">
        <f aca="false">INDEX(Segmentation!$I$2:$I$301,MATCH($A24,Segmentation!$A$2:$A$301,0))</f>
        <v>5727</v>
      </c>
      <c r="I24" s="2" t="n">
        <f aca="false">INDEX(Segmentation!$O$2:$O$301,MATCH($A24,Segmentation!$A$2:$A$301,0))</f>
        <v>4</v>
      </c>
      <c r="J24" s="2" t="n">
        <f aca="false">INDEX(Segmentation!$Q$2:$Q$301,MATCH($A24,Segmentation!$A$2:$A$301,0))</f>
        <v>1</v>
      </c>
      <c r="K24" s="2" t="n">
        <f aca="false">INDEX(Segmentation!$W$2:$W$301,MATCH($A24,Segmentation!$A$2:$A$301,0))</f>
        <v>4</v>
      </c>
      <c r="L24" s="9" t="n">
        <f aca="false">INDEX('Commercial View'!$L$2:$L$301,MATCH($A24,'Commercial View'!$A$2:$A$301,0))</f>
        <v>0</v>
      </c>
      <c r="M24" s="9" t="n">
        <f aca="false">INDEX('Commercial View'!$M$2:$M$301,MATCH($A24,'Commercial View'!$A$2:$A$301,0))</f>
        <v>0</v>
      </c>
      <c r="N24" s="9" t="n">
        <f aca="false">INDEX('Commercial View'!$N$2:$N$301,MATCH($A24,'Commercial View'!$A$2:$A$301,0))</f>
        <v>927</v>
      </c>
      <c r="O24" s="9" t="n">
        <f aca="false">INDEX(Segmentation!$L$2:$L$301,MATCH($A24,Segmentation!$A$2:$A$301,0))</f>
        <v>927</v>
      </c>
      <c r="P24" s="2" t="str">
        <f aca="false">IF(OR(M24&gt;0,N24&gt;0),"Recently Active",IF(OR(I24&lt;=Assumptions!$B$48,K24&lt;=Assumptions!$B$49),"No Meaningful History","Recent Inactivity"))</f>
        <v>Recently Active</v>
      </c>
      <c r="Q24" s="2" t="str">
        <f aca="false">INDEX(Segmentation!$AF$2:$AF$301,MATCH($A24,Segmentation!$A$2:$A$301,0))</f>
        <v>Existing Customer</v>
      </c>
      <c r="R24" s="2" t="str">
        <f aca="false">INDEX(Segmentation!$AL$2:$AL$301,MATCH($A24,Segmentation!$A$2:$A$301,0))</f>
        <v>N/A</v>
      </c>
      <c r="S24" s="10" t="b">
        <f aca="false">INDEX(Segmentation!$AW$2:$AW$301,MATCH($A24,Segmentation!$A$2:$A$301,0))</f>
        <v>0</v>
      </c>
      <c r="T24" s="2" t="str">
        <f aca="false">INDEX('Feature Data'!$AD$2:$AD$301,MATCH($A24,'Feature Data'!$A$2:$A$301,0))</f>
        <v>Broker-led, product-blind</v>
      </c>
      <c r="U24" s="2" t="str">
        <f aca="false">INDEX('Feature Data'!$W$2:$W$301,MATCH($A24,'Feature Data'!$A$2:$A$301,0))</f>
        <v>Handpick-only</v>
      </c>
      <c r="V24" s="2" t="n">
        <f aca="false">INDEX('Feature Data'!$P$2:$P$301,MATCH($A24,'Feature Data'!$A$2:$A$301,0))</f>
        <v>10</v>
      </c>
      <c r="W24" s="2" t="n">
        <f aca="false">INDEX(Segmentation!$R$2:$R$301,MATCH($A24,Segmentation!$A$2:$A$301,0))</f>
        <v>0</v>
      </c>
      <c r="X24" s="2" t="n">
        <f aca="false">INDEX(Segmentation!$S$2:$S$301,MATCH($A24,Segmentation!$A$2:$A$301,0))</f>
        <v>1</v>
      </c>
      <c r="Y24" s="10" t="b">
        <f aca="false">INDEX(Segmentation!$AG$2:$AG$301,MATCH($A24,Segmentation!$A$2:$A$301,0))</f>
        <v>0</v>
      </c>
      <c r="Z24" s="2" t="str">
        <f aca="false">INDEX(Segmentation!$AU$2:$AU$301,MATCH($A24,Segmentation!$A$2:$A$301,0))</f>
        <v>Not Eligible</v>
      </c>
      <c r="AA24" s="10" t="b">
        <f aca="false">INDEX(Segmentation!$Z$2:$Z$301,MATCH($A24,Segmentation!$A$2:$A$301,0))</f>
        <v>0</v>
      </c>
      <c r="AB24" s="10" t="b">
        <f aca="false">INDEX(Segmentation!$AH$2:$AH$301,MATCH($A24,Segmentation!$A$2:$A$301,0))</f>
        <v>0</v>
      </c>
      <c r="AC24" s="10" t="b">
        <f aca="false">INDEX(Segmentation!$AK$2:$AK$301,MATCH($A24,Segmentation!$A$2:$A$301,0))</f>
        <v>1</v>
      </c>
      <c r="AD24" s="10" t="b">
        <f aca="false">INDEX(Segmentation!$AQ$2:$AQ$301,MATCH($A24,Segmentation!$A$2:$A$301,0))</f>
        <v>0</v>
      </c>
      <c r="AE24" s="10" t="b">
        <f aca="false">INDEX(Segmentation!$AT$2:$AT$301,MATCH($A24,Segmentation!$A$2:$A$301,0))</f>
        <v>0</v>
      </c>
      <c r="AF24" s="10" t="b">
        <f aca="false">INDEX(Segmentation!$X$2:$X$301,MATCH($A24,Segmentation!$A$2:$A$301,0))</f>
        <v>0</v>
      </c>
      <c r="AG24" s="10" t="b">
        <f aca="false">AND(F24="Low",V24&gt;=Assumptions!$B$71,X24&lt;Assumptions!$B$72)</f>
        <v>0</v>
      </c>
      <c r="AH24" s="10" t="b">
        <f aca="false">AND(F24="Low",OR(G24="Growing",G24="Stable"),P24="Recently Active",V24&gt;=Assumptions!$B$58,K24&gt;=Assumptions!$B$73)</f>
        <v>0</v>
      </c>
      <c r="AI24" s="17" t="n">
        <f aca="false">IF(O24&gt;0,MAX(L24:N24)/O24,"")</f>
        <v>1</v>
      </c>
      <c r="AJ24" s="2" t="str">
        <f aca="false">IF(LEFT(D24,1)="1",IF(E24="Key","MIGRATION_KEY_SIGNOFF",IF(Z24="Ready","MIGRATION_PHASE1_READY",IF(Z24="Manual Review","MIGRATION_PHASE1_REVIEW","MIGRATION_PRE_ENTRY"))),IF(LEFT(D24,1)="2","DECLINING_KEY_CORE",IF(LEFT(D24,1)="3",IF(R24="Established Buyer Lapsed","LAPSED_ESTABLISHED","LAPSED_THIN_HISTORY"),IF(LEFT(D24,1)="4",IF(Q24="New Customer","NEW_CUSTOMER","RETURNED_CUSTOMER"),IF(LEFT(D24,1)="5",IF(P24="Recently Active","COST_TO_SERVE_ACTIVE","DORMANT_LOW_VALUE"),IF(LEFT(D24,1)="6",IF(P24="Recent Inactivity","RECENT_INACTIVITY",IF(AG24,"BROWSING_LOW_OFFERS","HEALTHY_STRONG_SELF_SERVE")),IF(LEFT(D24,1)="7",IF(P24="Recent Inactivity","RECENT_INACTIVITY",IF(Q24="New Customer","NEW_CUSTOMER","RETURNED_CUSTOMER")),IF(LEFT(D24,1)="8",IF(G24="Declining",IF(T24="Engaged but shrinking (Key/Core)","ENGAGED_BUT_SHRINKING","DECLINING_KEY_CORE"),IF(R24="Established Buyer Lapsed","LAPSED_ESTABLISHED","LAPSED_THIN_HISTORY")),IF(S24,IF(P24&lt;&gt;"Recently Active","DORMANT_LOW_VALUE",IF(AG24,"BROWSING_LOW_OFFERS",IF(AH24,"RISING_TAIL","RISING_TAIL_EARLY"))),IF(AND(AG24,P24="Recently Active",OR(G24="Growing",G24="Stable",G24="H2 Active / No H1 GMV"),I24&gt;=Assumptions!$B$74),"BROWSING_LOW_OFFERS","LONG_TAIL_STANDARD"))))))))))</f>
        <v>DECLINING_KEY_CORE</v>
      </c>
      <c r="AK24" s="2" t="str">
        <f aca="false">INDEX('NBA Library'!$B$4:$B$21,MATCH(AJ24,'NBA Library'!$A$4:$A$21,0))</f>
        <v>Retention Conversation</v>
      </c>
      <c r="AL24" s="2" t="str">
        <f aca="false">INDEX('NBA Library'!$C$4:$C$21,MATCH(AJ24,'NBA Library'!$A$4:$A$21,0))</f>
        <v>Human</v>
      </c>
      <c r="AM24" s="2" t="str">
        <f aca="false">IF(AA24,"HOLD — Critical Data Issue",IF(Y24,"Human Sign-Off Required",IF(Z24="Manual Review","Human Review Required",IF(AND(AL24="Automated",OR(AE24,AND(OR(AK24="Discovery-to-Offer Enablement",AK24="Reinforce Successful Behaviour"),OR(AC24,AB24)))),"Human Review Required",IF(AL24="Human","Ready — Human",IF(AL24="Hybrid","Ready — Hybrid","Ready — Automated"))))))</f>
        <v>Ready — Human</v>
      </c>
      <c r="AN24" s="2" t="str">
        <f aca="false">IF(AA24,"P0",IF(AND(AJ24="BROWSING_LOW_OFFERS",E24="Tail"),"P3",IF(AND(AM24="Human Review Required",INDEX('NBA Library'!$D$4:$D$21,MATCH(AJ24,'NBA Library'!$A$4:$A$21,0))="P4"),"P3",INDEX('NBA Library'!$D$4:$D$21,MATCH(AJ24,'NBA Library'!$A$4:$A$21,0)))))</f>
        <v>P1</v>
      </c>
      <c r="AO24" s="2" t="str">
        <f aca="false">E24&amp;" "&amp;C24&amp;" account ("&amp;B24&amp;"); "&amp;G24&amp;" momentum; "&amp;P24&amp;"; £"&amp;TEXT(H24,"#,##0")&amp;" 6m GMV. "&amp;INDEX('NBA Library'!$G$4:$G$21,MATCH(AJ24,'NBA Library'!$A$4:$A$21,0))&amp;IF(LEFT(D24,1)="1"," Baseline: "&amp;V24&amp;" PDP views, "&amp;W24&amp;" app days, "&amp;X24&amp;" offers, "&amp;TEXT(J24/I24,"0%")&amp;" of orders self-serve.","")&amp;IF(AA24," Execution on HOLD until the Duplicate status is resolved.","")&amp;IF(Y24," Key account: explicit AM/leadership sign-off required before any migration activity.","")&amp;IF(AE24," Implied broker % from order counts would move this account to a different segment; review before automating.","")</f>
        <v>Core Broker-Reliant account (Account Managed); Declining momentum; Recently Active; £5,727 6m GMV. Broker-led spend is falling. Keep human support in place; AM to diagnose the cause before any migration or product nudge.</v>
      </c>
      <c r="AP24" s="2" t="str">
        <f aca="false">INDEX('NBA Library'!$E$4:$E$21,MATCH(AJ24,'NBA Library'!$A$4:$A$21,0))&amp;IF(AND(AJ24="NEW_CUSTOMER",AG24),"; introduce Make-an-Offer on items already browsed","")</f>
        <v>AM diagnoses the cause of falling spend (supply, price, service, competitor) and agrees a recovery plan; keep human support in place</v>
      </c>
      <c r="AQ24" s="2" t="str">
        <f aca="false">INDEX('NBA Library'!$F$4:$F$21,MATCH(AJ24,'NBA Library'!$A$4:$A$21,0))</f>
        <v>Next 90-day GMV back to at least the Sep-Nov (H1) level, or decline arrested; root cause logged</v>
      </c>
      <c r="AR24" s="2" t="str">
        <f aca="false">IF(AND(F24="Low",OR(G24="Growing",G24="Stable"),P24="Recently Active",U24&lt;&gt;"Mixed",OR(AK24="Discovery-to-Offer Enablement",AK24="Reinforce Successful Behaviour"),AM24="Ready — Automated",OR(E24&lt;&gt;"Tail",S24)),"Range Expansion Test — trial "&amp;IF(U24="Bundle-only","handpick","bundles")&amp;" (experimental; not proven to lift GMV)","")</f>
        <v/>
      </c>
      <c r="AS24" s="2" t="str">
        <f aca="false">IF(AK24&lt;&gt;"Automated Nurture","",IF(AJ24="DORMANT_LOW_VALUE","Dormant",IF(AJ24="RISING_TAIL_EARLY","Rising tail – early pattern",IF(Q24="New Customer","New customer onboarding",IF(Q24="Returned Customer","Returned customer",IF(G24="Lapsed","Dormant",IF(T24="Engaged, not converting","Engaged, not converting",IF(T24="One-off low-touch buyer","One-off purchaser",IF(T24="Light-touch repeat buyer","Light-touch repeat buyer","Standard long tail")))))))))</f>
        <v/>
      </c>
      <c r="AT24" s="2" t="str">
        <f aca="false">IF(AA24,"CRITICAL_DATA_BLOCKER; ","")&amp;IF(Y24,"KEY_SIGNOFF; ","")&amp;IF(Z24="Manual Review","PHASE1_MANUAL_REVIEW; ","")&amp;IF(AND(LEFT(D24,1)="1",AZ24="Lumpy"),"LUMPY_CADENCE; ","")&amp;IF(AB24,"BORDERLINE_MOMENTUM; ","")&amp;IF(AC24,"FEB_SENSITIVE; ","")&amp;IF(AD24,"MATERIAL_BROKER_INCONSISTENCY"&amp;IF(AE24," (segment would change)","")&amp;"; ","")&amp;IF(AND(I24&gt;=3,O24&gt;0),IF(AI24&gt;=Assumptions!$B$75,"H2_SINGLE_MONTH_SPIKE; ",""),"")&amp;IF(AND(M24&gt;0,N24=0),"NO_FEB_GMV (Feb unconfirmed); ","")&amp;IF(AF24,"LOW_CONFIDENCE; ","")</f>
        <v>FEB_SENSITIVE; H2_SINGLE_MONTH_SPIKE; </v>
      </c>
      <c r="AU24" s="2" t="str">
        <f aca="false">IF(LEFT(D24,1)="1",V24,"")</f>
        <v/>
      </c>
      <c r="AV24" s="2" t="str">
        <f aca="false">IF(LEFT(D24,1)="1",V24&gt;=Assumptions!$B$58,"")</f>
        <v/>
      </c>
      <c r="AW24" s="2" t="str">
        <f aca="false">IF(LEFT(D24,1)="1",W24,"")</f>
        <v/>
      </c>
      <c r="AX24" s="2" t="str">
        <f aca="false">IF(LEFT(D24,1)="1",X24,"")</f>
        <v/>
      </c>
      <c r="AY24" s="17" t="str">
        <f aca="false">IF(LEFT(D24,1)="1",J24/I24,"")</f>
        <v/>
      </c>
      <c r="AZ24" s="2" t="str">
        <f aca="false">IF(LEFT(D24,1)="1",IF(AND(K24&gt;=Assumptions!$B$83,I24&gt;=Assumptions!$B$84),"Regular","Lumpy"),"")</f>
        <v/>
      </c>
      <c r="BA24" s="2" t="str">
        <f aca="false">IF(LEFT(D24,1)="1",ROUND(6/K24,0),"")</f>
        <v/>
      </c>
      <c r="BB24" s="2" t="str">
        <f aca="false">IF(LEFT(D24,1)="1",IF(AZ24="Regular","Regular buyer: expected ~£"&amp;TEXT(H24/2,"#,##0")&amp;" per 90 days. At Risk if GMV to date &lt; "&amp;TEXT(Assumptions!$B$81,"0%")&amp;" of pro-rated expectation, checked from day "&amp;Assumptions!$B$82&amp;". Human-reviewed.","Irregular buyer ("&amp;I24&amp;" orders across "&amp;K24&amp;" months): no numeric GMV threshold. At Risk if no order within ~"&amp;BA24&amp;" month(s); AM reviews at day "&amp;Assumptions!$B$82&amp;" and "&amp;Assumptions!$B$85&amp;"."),"")</f>
        <v/>
      </c>
      <c r="BC24" s="2"/>
      <c r="BD24" s="2"/>
      <c r="BE24" s="2"/>
      <c r="BF24" s="2"/>
      <c r="BG24" s="2"/>
      <c r="BH24" s="2"/>
      <c r="BI24" s="2"/>
      <c r="BJ24" s="2" t="str">
        <f aca="false">IF(OR(NOT(LEFT(D24,1)="1"),BC24=""),"",IF(AZ24="Regular",AND(BC24&gt;=Assumptions!$B$82,N(BI24)&lt;Assumptions!$B$81*H24/180*BC24),AND(BC24&gt;=BA24*30,N(BG24)=0)))</f>
        <v/>
      </c>
      <c r="BK24" s="2" t="str">
        <f aca="false">IF(NOT(LEFT(D24,1)="1"),"N/A",IF(BC24="","Baseline",IF(BJ24,"At Risk",IF(AND(N(BD24)&gt;=Assumptions!$B$78,N(BE24)&gt;=Assumptions!$B$79,N(BH24)&gt;=1,N(BH24)/MAX(N(BG24),1)&gt;AY24),"Self-Serve Capability Demonstrated",IF(OR(N(BD24)&gt;=Assumptions!$B$76,N(BE24)&gt;=Assumptions!$B$77),"Progressing",IF(BC24&gt;=Assumptions!$B$85,"At Risk","Baseline"))))))</f>
        <v>N/A</v>
      </c>
      <c r="BL24" s="2" t="n">
        <f aca="false">(AND(C24="Broker-Reliant",OR(AK24="Discovery-to-Offer Enablement",AK24="Reinforce Successful Behaviour")))*1+(AND(G24="Declining",E24&lt;&gt;"Tail",AL24="Automated"))*1+(AND(Y24,AM24&lt;&gt;"Human Sign-Off Required"))*1+(AND(AA24,AM24&lt;&gt;"HOLD — Critical Data Issue"))*1+(AND(P24="Recent Inactivity",OR(AK24="Discovery-to-Offer Enablement",AK24="Reinforce Successful Behaviour")))*1+(AND(OR(LEFT(D24,1)="2",LEFT(D24,1)="3",LEFT(D24,1)="8"),AL24="Automated"))*1+((LEFT(D24,1)="1")&lt;&gt;(AK24="Guided Self-Serve Migration"))*1+(AND(AR24&lt;&gt;"",OR(F24&lt;&gt;"Low",U24="Mixed",AND(G24&lt;&gt;"Growing",G24&lt;&gt;"Stable"))))*1+ISNUMBER(SEARCH("chat",AP24))*1+ISNUMBER(SEARCH("video",AP24))*1+(AND(AA24,AL24="Automated",AM24&lt;&gt;"HOLD — Critical Data Issue"))*1</f>
        <v>0</v>
      </c>
    </row>
    <row r="25" customFormat="false" ht="15" hidden="false" customHeight="false" outlineLevel="0" collapsed="false">
      <c r="A25" s="2" t="s">
        <v>399</v>
      </c>
      <c r="B25" s="2" t="str">
        <f aca="false">INDEX(Segmentation!$B$2:$B$301,MATCH($A25,Segmentation!$A$2:$A$301,0))</f>
        <v>Account Managed</v>
      </c>
      <c r="C25" s="2" t="str">
        <f aca="false">INDEX(Segmentation!$H$2:$H$301,MATCH($A25,Segmentation!$A$2:$A$301,0))</f>
        <v>Broker-Reliant</v>
      </c>
      <c r="D25" s="2" t="str">
        <f aca="false">INDEX(Segmentation!$T$2:$T$301,MATCH($A25,Segmentation!$A$2:$A$301,0))</f>
        <v>1. Migration Candidate</v>
      </c>
      <c r="E25" s="2" t="str">
        <f aca="false">INDEX(Segmentation!$J$2:$J$301,MATCH($A25,Segmentation!$A$2:$A$301,0))</f>
        <v>Core</v>
      </c>
      <c r="F25" s="2" t="str">
        <f aca="false">INDEX(Segmentation!$G$2:$G$301,MATCH($A25,Segmentation!$A$2:$A$301,0))</f>
        <v>High</v>
      </c>
      <c r="G25" s="2" t="str">
        <f aca="false">INDEX(Segmentation!$N$2:$N$301,MATCH($A25,Segmentation!$A$2:$A$301,0))</f>
        <v>Stable</v>
      </c>
      <c r="H25" s="9" t="n">
        <f aca="false">INDEX(Segmentation!$I$2:$I$301,MATCH($A25,Segmentation!$A$2:$A$301,0))</f>
        <v>5214</v>
      </c>
      <c r="I25" s="2" t="n">
        <f aca="false">INDEX(Segmentation!$O$2:$O$301,MATCH($A25,Segmentation!$A$2:$A$301,0))</f>
        <v>14</v>
      </c>
      <c r="J25" s="2" t="n">
        <f aca="false">INDEX(Segmentation!$Q$2:$Q$301,MATCH($A25,Segmentation!$A$2:$A$301,0))</f>
        <v>5</v>
      </c>
      <c r="K25" s="2" t="n">
        <f aca="false">INDEX(Segmentation!$W$2:$W$301,MATCH($A25,Segmentation!$A$2:$A$301,0))</f>
        <v>5</v>
      </c>
      <c r="L25" s="9" t="n">
        <f aca="false">INDEX('Commercial View'!$L$2:$L$301,MATCH($A25,'Commercial View'!$A$2:$A$301,0))</f>
        <v>0</v>
      </c>
      <c r="M25" s="9" t="n">
        <f aca="false">INDEX('Commercial View'!$M$2:$M$301,MATCH($A25,'Commercial View'!$A$2:$A$301,0))</f>
        <v>1579</v>
      </c>
      <c r="N25" s="9" t="n">
        <f aca="false">INDEX('Commercial View'!$N$2:$N$301,MATCH($A25,'Commercial View'!$A$2:$A$301,0))</f>
        <v>751</v>
      </c>
      <c r="O25" s="9" t="n">
        <f aca="false">INDEX(Segmentation!$L$2:$L$301,MATCH($A25,Segmentation!$A$2:$A$301,0))</f>
        <v>2330</v>
      </c>
      <c r="P25" s="2" t="str">
        <f aca="false">IF(OR(M25&gt;0,N25&gt;0),"Recently Active",IF(OR(I25&lt;=Assumptions!$B$48,K25&lt;=Assumptions!$B$49),"No Meaningful History","Recent Inactivity"))</f>
        <v>Recently Active</v>
      </c>
      <c r="Q25" s="2" t="str">
        <f aca="false">INDEX(Segmentation!$AF$2:$AF$301,MATCH($A25,Segmentation!$A$2:$A$301,0))</f>
        <v>Existing Customer</v>
      </c>
      <c r="R25" s="2" t="str">
        <f aca="false">INDEX(Segmentation!$AL$2:$AL$301,MATCH($A25,Segmentation!$A$2:$A$301,0))</f>
        <v>N/A</v>
      </c>
      <c r="S25" s="10" t="b">
        <f aca="false">INDEX(Segmentation!$AW$2:$AW$301,MATCH($A25,Segmentation!$A$2:$A$301,0))</f>
        <v>0</v>
      </c>
      <c r="T25" s="2" t="str">
        <f aca="false">INDEX('Feature Data'!$AD$2:$AD$301,MATCH($A25,'Feature Data'!$A$2:$A$301,0))</f>
        <v>Broker-led, product-blind</v>
      </c>
      <c r="U25" s="2" t="str">
        <f aca="false">INDEX('Feature Data'!$W$2:$W$301,MATCH($A25,'Feature Data'!$A$2:$A$301,0))</f>
        <v>Bundle-only</v>
      </c>
      <c r="V25" s="2" t="n">
        <f aca="false">INDEX('Feature Data'!$P$2:$P$301,MATCH($A25,'Feature Data'!$A$2:$A$301,0))</f>
        <v>12</v>
      </c>
      <c r="W25" s="2" t="n">
        <f aca="false">INDEX(Segmentation!$R$2:$R$301,MATCH($A25,Segmentation!$A$2:$A$301,0))</f>
        <v>6</v>
      </c>
      <c r="X25" s="2" t="n">
        <f aca="false">INDEX(Segmentation!$S$2:$S$301,MATCH($A25,Segmentation!$A$2:$A$301,0))</f>
        <v>2</v>
      </c>
      <c r="Y25" s="10" t="b">
        <f aca="false">INDEX(Segmentation!$AG$2:$AG$301,MATCH($A25,Segmentation!$A$2:$A$301,0))</f>
        <v>0</v>
      </c>
      <c r="Z25" s="2" t="str">
        <f aca="false">INDEX(Segmentation!$AU$2:$AU$301,MATCH($A25,Segmentation!$A$2:$A$301,0))</f>
        <v>Manual Review</v>
      </c>
      <c r="AA25" s="10" t="b">
        <f aca="false">INDEX(Segmentation!$Z$2:$Z$301,MATCH($A25,Segmentation!$A$2:$A$301,0))</f>
        <v>0</v>
      </c>
      <c r="AB25" s="10" t="b">
        <f aca="false">INDEX(Segmentation!$AH$2:$AH$301,MATCH($A25,Segmentation!$A$2:$A$301,0))</f>
        <v>1</v>
      </c>
      <c r="AC25" s="10" t="b">
        <f aca="false">INDEX(Segmentation!$AK$2:$AK$301,MATCH($A25,Segmentation!$A$2:$A$301,0))</f>
        <v>0</v>
      </c>
      <c r="AD25" s="10" t="b">
        <f aca="false">INDEX(Segmentation!$AQ$2:$AQ$301,MATCH($A25,Segmentation!$A$2:$A$301,0))</f>
        <v>0</v>
      </c>
      <c r="AE25" s="10" t="b">
        <f aca="false">INDEX(Segmentation!$AT$2:$AT$301,MATCH($A25,Segmentation!$A$2:$A$301,0))</f>
        <v>0</v>
      </c>
      <c r="AF25" s="10" t="b">
        <f aca="false">INDEX(Segmentation!$X$2:$X$301,MATCH($A25,Segmentation!$A$2:$A$301,0))</f>
        <v>0</v>
      </c>
      <c r="AG25" s="10" t="b">
        <f aca="false">AND(F25="Low",V25&gt;=Assumptions!$B$71,X25&lt;Assumptions!$B$72)</f>
        <v>0</v>
      </c>
      <c r="AH25" s="10" t="b">
        <f aca="false">AND(F25="Low",OR(G25="Growing",G25="Stable"),P25="Recently Active",V25&gt;=Assumptions!$B$58,K25&gt;=Assumptions!$B$73)</f>
        <v>0</v>
      </c>
      <c r="AI25" s="17" t="n">
        <f aca="false">IF(O25&gt;0,MAX(L25:N25)/O25,"")</f>
        <v>0.677682403433476</v>
      </c>
      <c r="AJ25" s="2" t="str">
        <f aca="false">IF(LEFT(D25,1)="1",IF(E25="Key","MIGRATION_KEY_SIGNOFF",IF(Z25="Ready","MIGRATION_PHASE1_READY",IF(Z25="Manual Review","MIGRATION_PHASE1_REVIEW","MIGRATION_PRE_ENTRY"))),IF(LEFT(D25,1)="2","DECLINING_KEY_CORE",IF(LEFT(D25,1)="3",IF(R25="Established Buyer Lapsed","LAPSED_ESTABLISHED","LAPSED_THIN_HISTORY"),IF(LEFT(D25,1)="4",IF(Q25="New Customer","NEW_CUSTOMER","RETURNED_CUSTOMER"),IF(LEFT(D25,1)="5",IF(P25="Recently Active","COST_TO_SERVE_ACTIVE","DORMANT_LOW_VALUE"),IF(LEFT(D25,1)="6",IF(P25="Recent Inactivity","RECENT_INACTIVITY",IF(AG25,"BROWSING_LOW_OFFERS","HEALTHY_STRONG_SELF_SERVE")),IF(LEFT(D25,1)="7",IF(P25="Recent Inactivity","RECENT_INACTIVITY",IF(Q25="New Customer","NEW_CUSTOMER","RETURNED_CUSTOMER")),IF(LEFT(D25,1)="8",IF(G25="Declining",IF(T25="Engaged but shrinking (Key/Core)","ENGAGED_BUT_SHRINKING","DECLINING_KEY_CORE"),IF(R25="Established Buyer Lapsed","LAPSED_ESTABLISHED","LAPSED_THIN_HISTORY")),IF(S25,IF(P25&lt;&gt;"Recently Active","DORMANT_LOW_VALUE",IF(AG25,"BROWSING_LOW_OFFERS",IF(AH25,"RISING_TAIL","RISING_TAIL_EARLY"))),IF(AND(AG25,P25="Recently Active",OR(G25="Growing",G25="Stable",G25="H2 Active / No H1 GMV"),I25&gt;=Assumptions!$B$74),"BROWSING_LOW_OFFERS","LONG_TAIL_STANDARD"))))))))))</f>
        <v>MIGRATION_PHASE1_REVIEW</v>
      </c>
      <c r="AK25" s="2" t="str">
        <f aca="false">INDEX('NBA Library'!$B$4:$B$21,MATCH(AJ25,'NBA Library'!$A$4:$A$21,0))</f>
        <v>Guided Self-Serve Migration</v>
      </c>
      <c r="AL25" s="2" t="str">
        <f aca="false">INDEX('NBA Library'!$C$4:$C$21,MATCH(AJ25,'NBA Library'!$A$4:$A$21,0))</f>
        <v>Hybrid</v>
      </c>
      <c r="AM25" s="2" t="str">
        <f aca="false">IF(AA25,"HOLD — Critical Data Issue",IF(Y25,"Human Sign-Off Required",IF(Z25="Manual Review","Human Review Required",IF(AND(AL25="Automated",OR(AE25,AND(OR(AK25="Discovery-to-Offer Enablement",AK25="Reinforce Successful Behaviour"),OR(AC25,AB25)))),"Human Review Required",IF(AL25="Human","Ready — Human",IF(AL25="Hybrid","Ready — Hybrid","Ready — Automated"))))))</f>
        <v>Human Review Required</v>
      </c>
      <c r="AN25" s="2" t="str">
        <f aca="false">IF(AA25,"P0",IF(AND(AJ25="BROWSING_LOW_OFFERS",E25="Tail"),"P3",IF(AND(AM25="Human Review Required",INDEX('NBA Library'!$D$4:$D$21,MATCH(AJ25,'NBA Library'!$A$4:$A$21,0))="P4"),"P3",INDEX('NBA Library'!$D$4:$D$21,MATCH(AJ25,'NBA Library'!$A$4:$A$21,0)))))</f>
        <v>P2</v>
      </c>
      <c r="AO25" s="2" t="str">
        <f aca="false">E25&amp;" "&amp;C25&amp;" account ("&amp;B25&amp;"); "&amp;G25&amp;" momentum; "&amp;P25&amp;"; £"&amp;TEXT(H25,"#,##0")&amp;" 6m GMV. "&amp;INDEX('NBA Library'!$G$4:$G$21,MATCH(AJ25,'NBA Library'!$A$4:$A$21,0))&amp;IF(LEFT(D25,1)="1"," Baseline: "&amp;V25&amp;" PDP views, "&amp;W25&amp;" app days, "&amp;X25&amp;" offers, "&amp;TEXT(J25/I25,"0%")&amp;" of orders self-serve.","")&amp;IF(AA25," Execution on HOLD until the Duplicate status is resolved.","")&amp;IF(Y25," Key account: explicit AM/leadership sign-off required before any migration activity.","")&amp;IF(AE25," Implied broker % from order counts would move this account to a different segment; review before automating.","")</f>
        <v>Core Broker-Reliant account (Account Managed); Stable momentum; Recently Active; £5,214 6m GMV. Meets Phase 1 entry criteria but carries a guardrail warning (borderline/February-sensitive momentum, lumpy cadence or broker % inconsistency). Resolve before starting migration. Baseline: 12 PDP views, 6 app days, 2 offers, 36% of orders self-serve.</v>
      </c>
      <c r="AP25" s="2" t="str">
        <f aca="false">INDEX('NBA Library'!$E$4:$E$21,MATCH(AJ25,'NBA Library'!$A$4:$A$21,0))&amp;IF(AND(AJ25="NEW_CUSTOMER",AG25),"; introduce Make-an-Offer on items already browsed","")</f>
        <v>As Phase 1 Ready once the guardrail warning is resolved</v>
      </c>
      <c r="AQ25" s="2" t="str">
        <f aca="false">INDEX('NBA Library'!$F$4:$F$21,MATCH(AJ25,'NBA Library'!$A$4:$A$21,0))</f>
        <v>Warning resolved; then as Phase 1 Ready</v>
      </c>
      <c r="AR25" s="2" t="str">
        <f aca="false">IF(AND(F25="Low",OR(G25="Growing",G25="Stable"),P25="Recently Active",U25&lt;&gt;"Mixed",OR(AK25="Discovery-to-Offer Enablement",AK25="Reinforce Successful Behaviour"),AM25="Ready — Automated",OR(E25&lt;&gt;"Tail",S25)),"Range Expansion Test — trial "&amp;IF(U25="Bundle-only","handpick","bundles")&amp;" (experimental; not proven to lift GMV)","")</f>
        <v/>
      </c>
      <c r="AS25" s="2" t="str">
        <f aca="false">IF(AK25&lt;&gt;"Automated Nurture","",IF(AJ25="DORMANT_LOW_VALUE","Dormant",IF(AJ25="RISING_TAIL_EARLY","Rising tail – early pattern",IF(Q25="New Customer","New customer onboarding",IF(Q25="Returned Customer","Returned customer",IF(G25="Lapsed","Dormant",IF(T25="Engaged, not converting","Engaged, not converting",IF(T25="One-off low-touch buyer","One-off purchaser",IF(T25="Light-touch repeat buyer","Light-touch repeat buyer","Standard long tail")))))))))</f>
        <v/>
      </c>
      <c r="AT25" s="2" t="str">
        <f aca="false">IF(AA25,"CRITICAL_DATA_BLOCKER; ","")&amp;IF(Y25,"KEY_SIGNOFF; ","")&amp;IF(Z25="Manual Review","PHASE1_MANUAL_REVIEW; ","")&amp;IF(AND(LEFT(D25,1)="1",AZ25="Lumpy"),"LUMPY_CADENCE; ","")&amp;IF(AB25,"BORDERLINE_MOMENTUM; ","")&amp;IF(AC25,"FEB_SENSITIVE; ","")&amp;IF(AD25,"MATERIAL_BROKER_INCONSISTENCY"&amp;IF(AE25," (segment would change)","")&amp;"; ","")&amp;IF(AND(I25&gt;=3,O25&gt;0),IF(AI25&gt;=Assumptions!$B$75,"H2_SINGLE_MONTH_SPIKE; ",""),"")&amp;IF(AND(M25&gt;0,N25=0),"NO_FEB_GMV (Feb unconfirmed); ","")&amp;IF(AF25,"LOW_CONFIDENCE; ","")</f>
        <v>PHASE1_MANUAL_REVIEW; BORDERLINE_MOMENTUM; </v>
      </c>
      <c r="AU25" s="2" t="n">
        <f aca="false">IF(LEFT(D25,1)="1",V25,"")</f>
        <v>12</v>
      </c>
      <c r="AV25" s="10" t="b">
        <f aca="false">IF(LEFT(D25,1)="1",V25&gt;=Assumptions!$B$58,"")</f>
        <v>0</v>
      </c>
      <c r="AW25" s="2" t="n">
        <f aca="false">IF(LEFT(D25,1)="1",W25,"")</f>
        <v>6</v>
      </c>
      <c r="AX25" s="2" t="n">
        <f aca="false">IF(LEFT(D25,1)="1",X25,"")</f>
        <v>2</v>
      </c>
      <c r="AY25" s="17" t="n">
        <f aca="false">IF(LEFT(D25,1)="1",J25/I25,"")</f>
        <v>0.357142857142857</v>
      </c>
      <c r="AZ25" s="2" t="str">
        <f aca="false">IF(LEFT(D25,1)="1",IF(AND(K25&gt;=Assumptions!$B$83,I25&gt;=Assumptions!$B$84),"Regular","Lumpy"),"")</f>
        <v>Regular</v>
      </c>
      <c r="BA25" s="2" t="n">
        <f aca="false">IF(LEFT(D25,1)="1",ROUND(6/K25,0),"")</f>
        <v>1</v>
      </c>
      <c r="BB25" s="2" t="str">
        <f aca="false">IF(LEFT(D25,1)="1",IF(AZ25="Regular","Regular buyer: expected ~£"&amp;TEXT(H25/2,"#,##0")&amp;" per 90 days. At Risk if GMV to date &lt; "&amp;TEXT(Assumptions!$B$81,"0%")&amp;" of pro-rated expectation, checked from day "&amp;Assumptions!$B$82&amp;". Human-reviewed.","Irregular buyer ("&amp;I25&amp;" orders across "&amp;K25&amp;" months): no numeric GMV threshold. At Risk if no order within ~"&amp;BA25&amp;" month(s); AM reviews at day "&amp;Assumptions!$B$82&amp;" and "&amp;Assumptions!$B$85&amp;"."),"")</f>
        <v>Regular buyer: expected ~£2,607 per 90 days. At Risk if GMV to date &lt; 70% of pro-rated expectation, checked from day 45. Human-reviewed.</v>
      </c>
      <c r="BC25" s="18"/>
      <c r="BD25" s="18"/>
      <c r="BE25" s="18"/>
      <c r="BF25" s="18"/>
      <c r="BG25" s="18"/>
      <c r="BH25" s="18"/>
      <c r="BI25" s="18"/>
      <c r="BJ25" s="2" t="str">
        <f aca="false">IF(OR(NOT(LEFT(D25,1)="1"),BC25=""),"",IF(AZ25="Regular",AND(BC25&gt;=Assumptions!$B$82,N(BI25)&lt;Assumptions!$B$81*H25/180*BC25),AND(BC25&gt;=BA25*30,N(BG25)=0)))</f>
        <v/>
      </c>
      <c r="BK25" s="2" t="str">
        <f aca="false">IF(NOT(LEFT(D25,1)="1"),"N/A",IF(BC25="","Baseline",IF(BJ25,"At Risk",IF(AND(N(BD25)&gt;=Assumptions!$B$78,N(BE25)&gt;=Assumptions!$B$79,N(BH25)&gt;=1,N(BH25)/MAX(N(BG25),1)&gt;AY25),"Self-Serve Capability Demonstrated",IF(OR(N(BD25)&gt;=Assumptions!$B$76,N(BE25)&gt;=Assumptions!$B$77),"Progressing",IF(BC25&gt;=Assumptions!$B$85,"At Risk","Baseline"))))))</f>
        <v>Baseline</v>
      </c>
      <c r="BL25" s="2" t="n">
        <f aca="false">(AND(C25="Broker-Reliant",OR(AK25="Discovery-to-Offer Enablement",AK25="Reinforce Successful Behaviour")))*1+(AND(G25="Declining",E25&lt;&gt;"Tail",AL25="Automated"))*1+(AND(Y25,AM25&lt;&gt;"Human Sign-Off Required"))*1+(AND(AA25,AM25&lt;&gt;"HOLD — Critical Data Issue"))*1+(AND(P25="Recent Inactivity",OR(AK25="Discovery-to-Offer Enablement",AK25="Reinforce Successful Behaviour")))*1+(AND(OR(LEFT(D25,1)="2",LEFT(D25,1)="3",LEFT(D25,1)="8"),AL25="Automated"))*1+((LEFT(D25,1)="1")&lt;&gt;(AK25="Guided Self-Serve Migration"))*1+(AND(AR25&lt;&gt;"",OR(F25&lt;&gt;"Low",U25="Mixed",AND(G25&lt;&gt;"Growing",G25&lt;&gt;"Stable"))))*1+ISNUMBER(SEARCH("chat",AP25))*1+ISNUMBER(SEARCH("video",AP25))*1+(AND(AA25,AL25="Automated",AM25&lt;&gt;"HOLD — Critical Data Issue"))*1</f>
        <v>0</v>
      </c>
    </row>
    <row r="26" customFormat="false" ht="15" hidden="false" customHeight="false" outlineLevel="0" collapsed="false">
      <c r="A26" s="2" t="s">
        <v>403</v>
      </c>
      <c r="B26" s="2" t="str">
        <f aca="false">INDEX(Segmentation!$B$2:$B$301,MATCH($A26,Segmentation!$A$2:$A$301,0))</f>
        <v>Account Managed</v>
      </c>
      <c r="C26" s="2" t="str">
        <f aca="false">INDEX(Segmentation!$H$2:$H$301,MATCH($A26,Segmentation!$A$2:$A$301,0))</f>
        <v>AM-Owned / Self-Serving</v>
      </c>
      <c r="D26" s="2" t="str">
        <f aca="false">INDEX(Segmentation!$T$2:$T$301,MATCH($A26,Segmentation!$A$2:$A$301,0))</f>
        <v>6. Growth Opportunity</v>
      </c>
      <c r="E26" s="2" t="str">
        <f aca="false">INDEX(Segmentation!$J$2:$J$301,MATCH($A26,Segmentation!$A$2:$A$301,0))</f>
        <v>Core</v>
      </c>
      <c r="F26" s="2" t="str">
        <f aca="false">INDEX(Segmentation!$G$2:$G$301,MATCH($A26,Segmentation!$A$2:$A$301,0))</f>
        <v>Low</v>
      </c>
      <c r="G26" s="2" t="str">
        <f aca="false">INDEX(Segmentation!$N$2:$N$301,MATCH($A26,Segmentation!$A$2:$A$301,0))</f>
        <v>Growing</v>
      </c>
      <c r="H26" s="9" t="n">
        <f aca="false">INDEX(Segmentation!$I$2:$I$301,MATCH($A26,Segmentation!$A$2:$A$301,0))</f>
        <v>5014</v>
      </c>
      <c r="I26" s="2" t="n">
        <f aca="false">INDEX(Segmentation!$O$2:$O$301,MATCH($A26,Segmentation!$A$2:$A$301,0))</f>
        <v>8</v>
      </c>
      <c r="J26" s="2" t="n">
        <f aca="false">INDEX(Segmentation!$Q$2:$Q$301,MATCH($A26,Segmentation!$A$2:$A$301,0))</f>
        <v>7</v>
      </c>
      <c r="K26" s="2" t="n">
        <f aca="false">INDEX(Segmentation!$W$2:$W$301,MATCH($A26,Segmentation!$A$2:$A$301,0))</f>
        <v>4</v>
      </c>
      <c r="L26" s="9" t="n">
        <f aca="false">INDEX('Commercial View'!$L$2:$L$301,MATCH($A26,'Commercial View'!$A$2:$A$301,0))</f>
        <v>4089</v>
      </c>
      <c r="M26" s="9" t="n">
        <f aca="false">INDEX('Commercial View'!$M$2:$M$301,MATCH($A26,'Commercial View'!$A$2:$A$301,0))</f>
        <v>82</v>
      </c>
      <c r="N26" s="9" t="n">
        <f aca="false">INDEX('Commercial View'!$N$2:$N$301,MATCH($A26,'Commercial View'!$A$2:$A$301,0))</f>
        <v>694</v>
      </c>
      <c r="O26" s="9" t="n">
        <f aca="false">INDEX(Segmentation!$L$2:$L$301,MATCH($A26,Segmentation!$A$2:$A$301,0))</f>
        <v>4865</v>
      </c>
      <c r="P26" s="2" t="str">
        <f aca="false">IF(OR(M26&gt;0,N26&gt;0),"Recently Active",IF(OR(I26&lt;=Assumptions!$B$48,K26&lt;=Assumptions!$B$49),"No Meaningful History","Recent Inactivity"))</f>
        <v>Recently Active</v>
      </c>
      <c r="Q26" s="2" t="str">
        <f aca="false">INDEX(Segmentation!$AF$2:$AF$301,MATCH($A26,Segmentation!$A$2:$A$301,0))</f>
        <v>Existing Customer</v>
      </c>
      <c r="R26" s="2" t="str">
        <f aca="false">INDEX(Segmentation!$AL$2:$AL$301,MATCH($A26,Segmentation!$A$2:$A$301,0))</f>
        <v>N/A</v>
      </c>
      <c r="S26" s="10" t="b">
        <f aca="false">INDEX(Segmentation!$AW$2:$AW$301,MATCH($A26,Segmentation!$A$2:$A$301,0))</f>
        <v>0</v>
      </c>
      <c r="T26" s="2" t="str">
        <f aca="false">INDEX('Feature Data'!$AD$2:$AD$301,MATCH($A26,'Feature Data'!$A$2:$A$301,0))</f>
        <v>Independent browser-buyer</v>
      </c>
      <c r="U26" s="2" t="str">
        <f aca="false">INDEX('Feature Data'!$W$2:$W$301,MATCH($A26,'Feature Data'!$A$2:$A$301,0))</f>
        <v>Mixed</v>
      </c>
      <c r="V26" s="2" t="n">
        <f aca="false">INDEX('Feature Data'!$P$2:$P$301,MATCH($A26,'Feature Data'!$A$2:$A$301,0))</f>
        <v>860</v>
      </c>
      <c r="W26" s="2" t="n">
        <f aca="false">INDEX(Segmentation!$R$2:$R$301,MATCH($A26,Segmentation!$A$2:$A$301,0))</f>
        <v>59</v>
      </c>
      <c r="X26" s="2" t="n">
        <f aca="false">INDEX(Segmentation!$S$2:$S$301,MATCH($A26,Segmentation!$A$2:$A$301,0))</f>
        <v>5</v>
      </c>
      <c r="Y26" s="10" t="b">
        <f aca="false">INDEX(Segmentation!$AG$2:$AG$301,MATCH($A26,Segmentation!$A$2:$A$301,0))</f>
        <v>0</v>
      </c>
      <c r="Z26" s="2" t="str">
        <f aca="false">INDEX(Segmentation!$AU$2:$AU$301,MATCH($A26,Segmentation!$A$2:$A$301,0))</f>
        <v>Not Eligible</v>
      </c>
      <c r="AA26" s="10" t="b">
        <f aca="false">INDEX(Segmentation!$Z$2:$Z$301,MATCH($A26,Segmentation!$A$2:$A$301,0))</f>
        <v>0</v>
      </c>
      <c r="AB26" s="10" t="b">
        <f aca="false">INDEX(Segmentation!$AH$2:$AH$301,MATCH($A26,Segmentation!$A$2:$A$301,0))</f>
        <v>0</v>
      </c>
      <c r="AC26" s="10" t="b">
        <f aca="false">INDEX(Segmentation!$AK$2:$AK$301,MATCH($A26,Segmentation!$A$2:$A$301,0))</f>
        <v>0</v>
      </c>
      <c r="AD26" s="10" t="b">
        <f aca="false">INDEX(Segmentation!$AQ$2:$AQ$301,MATCH($A26,Segmentation!$A$2:$A$301,0))</f>
        <v>0</v>
      </c>
      <c r="AE26" s="10" t="b">
        <f aca="false">INDEX(Segmentation!$AT$2:$AT$301,MATCH($A26,Segmentation!$A$2:$A$301,0))</f>
        <v>0</v>
      </c>
      <c r="AF26" s="10" t="b">
        <f aca="false">INDEX(Segmentation!$X$2:$X$301,MATCH($A26,Segmentation!$A$2:$A$301,0))</f>
        <v>0</v>
      </c>
      <c r="AG26" s="10" t="b">
        <f aca="false">AND(F26="Low",V26&gt;=Assumptions!$B$71,X26&lt;Assumptions!$B$72)</f>
        <v>0</v>
      </c>
      <c r="AH26" s="10" t="b">
        <f aca="false">AND(F26="Low",OR(G26="Growing",G26="Stable"),P26="Recently Active",V26&gt;=Assumptions!$B$58,K26&gt;=Assumptions!$B$73)</f>
        <v>1</v>
      </c>
      <c r="AI26" s="17" t="n">
        <f aca="false">IF(O26&gt;0,MAX(L26:N26)/O26,"")</f>
        <v>0.84049331963001</v>
      </c>
      <c r="AJ26" s="2" t="str">
        <f aca="false">IF(LEFT(D26,1)="1",IF(E26="Key","MIGRATION_KEY_SIGNOFF",IF(Z26="Ready","MIGRATION_PHASE1_READY",IF(Z26="Manual Review","MIGRATION_PHASE1_REVIEW","MIGRATION_PRE_ENTRY"))),IF(LEFT(D26,1)="2","DECLINING_KEY_CORE",IF(LEFT(D26,1)="3",IF(R26="Established Buyer Lapsed","LAPSED_ESTABLISHED","LAPSED_THIN_HISTORY"),IF(LEFT(D26,1)="4",IF(Q26="New Customer","NEW_CUSTOMER","RETURNED_CUSTOMER"),IF(LEFT(D26,1)="5",IF(P26="Recently Active","COST_TO_SERVE_ACTIVE","DORMANT_LOW_VALUE"),IF(LEFT(D26,1)="6",IF(P26="Recent Inactivity","RECENT_INACTIVITY",IF(AG26,"BROWSING_LOW_OFFERS","HEALTHY_STRONG_SELF_SERVE")),IF(LEFT(D26,1)="7",IF(P26="Recent Inactivity","RECENT_INACTIVITY",IF(Q26="New Customer","NEW_CUSTOMER","RETURNED_CUSTOMER")),IF(LEFT(D26,1)="8",IF(G26="Declining",IF(T26="Engaged but shrinking (Key/Core)","ENGAGED_BUT_SHRINKING","DECLINING_KEY_CORE"),IF(R26="Established Buyer Lapsed","LAPSED_ESTABLISHED","LAPSED_THIN_HISTORY")),IF(S26,IF(P26&lt;&gt;"Recently Active","DORMANT_LOW_VALUE",IF(AG26,"BROWSING_LOW_OFFERS",IF(AH26,"RISING_TAIL","RISING_TAIL_EARLY"))),IF(AND(AG26,P26="Recently Active",OR(G26="Growing",G26="Stable",G26="H2 Active / No H1 GMV"),I26&gt;=Assumptions!$B$74),"BROWSING_LOW_OFFERS","LONG_TAIL_STANDARD"))))))))))</f>
        <v>HEALTHY_STRONG_SELF_SERVE</v>
      </c>
      <c r="AK26" s="2" t="str">
        <f aca="false">INDEX('NBA Library'!$B$4:$B$21,MATCH(AJ26,'NBA Library'!$A$4:$A$21,0))</f>
        <v>Reinforce Successful Behaviour</v>
      </c>
      <c r="AL26" s="2" t="str">
        <f aca="false">INDEX('NBA Library'!$C$4:$C$21,MATCH(AJ26,'NBA Library'!$A$4:$A$21,0))</f>
        <v>Automated</v>
      </c>
      <c r="AM26" s="2" t="str">
        <f aca="false">IF(AA26,"HOLD — Critical Data Issue",IF(Y26,"Human Sign-Off Required",IF(Z26="Manual Review","Human Review Required",IF(AND(AL26="Automated",OR(AE26,AND(OR(AK26="Discovery-to-Offer Enablement",AK26="Reinforce Successful Behaviour"),OR(AC26,AB26)))),"Human Review Required",IF(AL26="Human","Ready — Human",IF(AL26="Hybrid","Ready — Hybrid","Ready — Automated"))))))</f>
        <v>Ready — Automated</v>
      </c>
      <c r="AN26" s="2" t="str">
        <f aca="false">IF(AA26,"P0",IF(AND(AJ26="BROWSING_LOW_OFFERS",E26="Tail"),"P3",IF(AND(AM26="Human Review Required",INDEX('NBA Library'!$D$4:$D$21,MATCH(AJ26,'NBA Library'!$A$4:$A$21,0))="P4"),"P3",INDEX('NBA Library'!$D$4:$D$21,MATCH(AJ26,'NBA Library'!$A$4:$A$21,0)))))</f>
        <v>P2</v>
      </c>
      <c r="AO26" s="2" t="str">
        <f aca="false">E26&amp;" "&amp;C26&amp;" account ("&amp;B26&amp;"); "&amp;G26&amp;" momentum; "&amp;P26&amp;"; £"&amp;TEXT(H26,"#,##0")&amp;" 6m GMV. "&amp;INDEX('NBA Library'!$G$4:$G$21,MATCH(AJ26,'NBA Library'!$A$4:$A$21,0))&amp;IF(LEFT(D26,1)="1"," Baseline: "&amp;V26&amp;" PDP views, "&amp;W26&amp;" app days, "&amp;X26&amp;" offers, "&amp;TEXT(J26/I26,"0%")&amp;" of orders self-serve.","")&amp;IF(AA26," Execution on HOLD until the Duplicate status is resolved.","")&amp;IF(Y26," Key account: explicit AM/leadership sign-off required before any migration activity.","")&amp;IF(AE26," Implied broker % from order counts would move this account to a different segment; review before automating.","")</f>
        <v>Core AM-Owned / Self-Serving account (Account Managed); Growing momentum; Recently Active; £5,014 6m GMV. Low-dependency account with growing/stable spend, recent activity and strong independent browsing. Reinforce what is working.</v>
      </c>
      <c r="AP26" s="2" t="str">
        <f aca="false">INDEX('NBA Library'!$E$4:$E$21,MATCH(AJ26,'NBA Library'!$A$4:$A$21,0))&amp;IF(AND(AJ26="NEW_CUSTOMER",AG26),"; introduce Make-an-Offer on items already browsed","")</f>
        <v>Maintain current browsing and purchasing; light-touch reinforcement only</v>
      </c>
      <c r="AQ26" s="2" t="str">
        <f aca="false">INDEX('NBA Library'!$F$4:$F$21,MATCH(AJ26,'NBA Library'!$A$4:$A$21,0))</f>
        <v>GMV run-rate maintained or higher; GMV in each month of the next quarter</v>
      </c>
      <c r="AR26" s="2" t="str">
        <f aca="false">IF(AND(F26="Low",OR(G26="Growing",G26="Stable"),P26="Recently Active",U26&lt;&gt;"Mixed",OR(AK26="Discovery-to-Offer Enablement",AK26="Reinforce Successful Behaviour"),AM26="Ready — Automated",OR(E26&lt;&gt;"Tail",S26)),"Range Expansion Test — trial "&amp;IF(U26="Bundle-only","handpick","bundles")&amp;" (experimental; not proven to lift GMV)","")</f>
        <v/>
      </c>
      <c r="AS26" s="2" t="str">
        <f aca="false">IF(AK26&lt;&gt;"Automated Nurture","",IF(AJ26="DORMANT_LOW_VALUE","Dormant",IF(AJ26="RISING_TAIL_EARLY","Rising tail – early pattern",IF(Q26="New Customer","New customer onboarding",IF(Q26="Returned Customer","Returned customer",IF(G26="Lapsed","Dormant",IF(T26="Engaged, not converting","Engaged, not converting",IF(T26="One-off low-touch buyer","One-off purchaser",IF(T26="Light-touch repeat buyer","Light-touch repeat buyer","Standard long tail")))))))))</f>
        <v/>
      </c>
      <c r="AT26" s="2" t="str">
        <f aca="false">IF(AA26,"CRITICAL_DATA_BLOCKER; ","")&amp;IF(Y26,"KEY_SIGNOFF; ","")&amp;IF(Z26="Manual Review","PHASE1_MANUAL_REVIEW; ","")&amp;IF(AND(LEFT(D26,1)="1",AZ26="Lumpy"),"LUMPY_CADENCE; ","")&amp;IF(AB26,"BORDERLINE_MOMENTUM; ","")&amp;IF(AC26,"FEB_SENSITIVE; ","")&amp;IF(AD26,"MATERIAL_BROKER_INCONSISTENCY"&amp;IF(AE26," (segment would change)","")&amp;"; ","")&amp;IF(AND(I26&gt;=3,O26&gt;0),IF(AI26&gt;=Assumptions!$B$75,"H2_SINGLE_MONTH_SPIKE; ",""),"")&amp;IF(AND(M26&gt;0,N26=0),"NO_FEB_GMV (Feb unconfirmed); ","")&amp;IF(AF26,"LOW_CONFIDENCE; ","")</f>
        <v>H2_SINGLE_MONTH_SPIKE; </v>
      </c>
      <c r="AU26" s="2" t="str">
        <f aca="false">IF(LEFT(D26,1)="1",V26,"")</f>
        <v/>
      </c>
      <c r="AV26" s="2" t="str">
        <f aca="false">IF(LEFT(D26,1)="1",V26&gt;=Assumptions!$B$58,"")</f>
        <v/>
      </c>
      <c r="AW26" s="2" t="str">
        <f aca="false">IF(LEFT(D26,1)="1",W26,"")</f>
        <v/>
      </c>
      <c r="AX26" s="2" t="str">
        <f aca="false">IF(LEFT(D26,1)="1",X26,"")</f>
        <v/>
      </c>
      <c r="AY26" s="17" t="str">
        <f aca="false">IF(LEFT(D26,1)="1",J26/I26,"")</f>
        <v/>
      </c>
      <c r="AZ26" s="2" t="str">
        <f aca="false">IF(LEFT(D26,1)="1",IF(AND(K26&gt;=Assumptions!$B$83,I26&gt;=Assumptions!$B$84),"Regular","Lumpy"),"")</f>
        <v/>
      </c>
      <c r="BA26" s="2" t="str">
        <f aca="false">IF(LEFT(D26,1)="1",ROUND(6/K26,0),"")</f>
        <v/>
      </c>
      <c r="BB26" s="2" t="str">
        <f aca="false">IF(LEFT(D26,1)="1",IF(AZ26="Regular","Regular buyer: expected ~£"&amp;TEXT(H26/2,"#,##0")&amp;" per 90 days. At Risk if GMV to date &lt; "&amp;TEXT(Assumptions!$B$81,"0%")&amp;" of pro-rated expectation, checked from day "&amp;Assumptions!$B$82&amp;". Human-reviewed.","Irregular buyer ("&amp;I26&amp;" orders across "&amp;K26&amp;" months): no numeric GMV threshold. At Risk if no order within ~"&amp;BA26&amp;" month(s); AM reviews at day "&amp;Assumptions!$B$82&amp;" and "&amp;Assumptions!$B$85&amp;"."),"")</f>
        <v/>
      </c>
      <c r="BC26" s="2"/>
      <c r="BD26" s="2"/>
      <c r="BE26" s="2"/>
      <c r="BF26" s="2"/>
      <c r="BG26" s="2"/>
      <c r="BH26" s="2"/>
      <c r="BI26" s="2"/>
      <c r="BJ26" s="2" t="str">
        <f aca="false">IF(OR(NOT(LEFT(D26,1)="1"),BC26=""),"",IF(AZ26="Regular",AND(BC26&gt;=Assumptions!$B$82,N(BI26)&lt;Assumptions!$B$81*H26/180*BC26),AND(BC26&gt;=BA26*30,N(BG26)=0)))</f>
        <v/>
      </c>
      <c r="BK26" s="2" t="str">
        <f aca="false">IF(NOT(LEFT(D26,1)="1"),"N/A",IF(BC26="","Baseline",IF(BJ26,"At Risk",IF(AND(N(BD26)&gt;=Assumptions!$B$78,N(BE26)&gt;=Assumptions!$B$79,N(BH26)&gt;=1,N(BH26)/MAX(N(BG26),1)&gt;AY26),"Self-Serve Capability Demonstrated",IF(OR(N(BD26)&gt;=Assumptions!$B$76,N(BE26)&gt;=Assumptions!$B$77),"Progressing",IF(BC26&gt;=Assumptions!$B$85,"At Risk","Baseline"))))))</f>
        <v>N/A</v>
      </c>
      <c r="BL26" s="2" t="n">
        <f aca="false">(AND(C26="Broker-Reliant",OR(AK26="Discovery-to-Offer Enablement",AK26="Reinforce Successful Behaviour")))*1+(AND(G26="Declining",E26&lt;&gt;"Tail",AL26="Automated"))*1+(AND(Y26,AM26&lt;&gt;"Human Sign-Off Required"))*1+(AND(AA26,AM26&lt;&gt;"HOLD — Critical Data Issue"))*1+(AND(P26="Recent Inactivity",OR(AK26="Discovery-to-Offer Enablement",AK26="Reinforce Successful Behaviour")))*1+(AND(OR(LEFT(D26,1)="2",LEFT(D26,1)="3",LEFT(D26,1)="8"),AL26="Automated"))*1+((LEFT(D26,1)="1")&lt;&gt;(AK26="Guided Self-Serve Migration"))*1+(AND(AR26&lt;&gt;"",OR(F26&lt;&gt;"Low",U26="Mixed",AND(G26&lt;&gt;"Growing",G26&lt;&gt;"Stable"))))*1+ISNUMBER(SEARCH("chat",AP26))*1+ISNUMBER(SEARCH("video",AP26))*1+(AND(AA26,AL26="Automated",AM26&lt;&gt;"HOLD — Critical Data Issue"))*1</f>
        <v>0</v>
      </c>
    </row>
    <row r="27" customFormat="false" ht="15" hidden="false" customHeight="false" outlineLevel="0" collapsed="false">
      <c r="A27" s="2" t="s">
        <v>218</v>
      </c>
      <c r="B27" s="2" t="str">
        <f aca="false">INDEX(Segmentation!$B$2:$B$301,MATCH($A27,Segmentation!$A$2:$A$301,0))</f>
        <v>Account Managed</v>
      </c>
      <c r="C27" s="2" t="str">
        <f aca="false">INDEX(Segmentation!$H$2:$H$301,MATCH($A27,Segmentation!$A$2:$A$301,0))</f>
        <v>Broker-Reliant</v>
      </c>
      <c r="D27" s="2" t="str">
        <f aca="false">INDEX(Segmentation!$T$2:$T$301,MATCH($A27,Segmentation!$A$2:$A$301,0))</f>
        <v>3. Win-Back / Verify</v>
      </c>
      <c r="E27" s="2" t="str">
        <f aca="false">INDEX(Segmentation!$J$2:$J$301,MATCH($A27,Segmentation!$A$2:$A$301,0))</f>
        <v>Core</v>
      </c>
      <c r="F27" s="2" t="str">
        <f aca="false">INDEX(Segmentation!$G$2:$G$301,MATCH($A27,Segmentation!$A$2:$A$301,0))</f>
        <v>High</v>
      </c>
      <c r="G27" s="2" t="str">
        <f aca="false">INDEX(Segmentation!$N$2:$N$301,MATCH($A27,Segmentation!$A$2:$A$301,0))</f>
        <v>Lapsed</v>
      </c>
      <c r="H27" s="9" t="n">
        <f aca="false">INDEX(Segmentation!$I$2:$I$301,MATCH($A27,Segmentation!$A$2:$A$301,0))</f>
        <v>4772</v>
      </c>
      <c r="I27" s="2" t="n">
        <f aca="false">INDEX(Segmentation!$O$2:$O$301,MATCH($A27,Segmentation!$A$2:$A$301,0))</f>
        <v>2</v>
      </c>
      <c r="J27" s="2" t="n">
        <f aca="false">INDEX(Segmentation!$Q$2:$Q$301,MATCH($A27,Segmentation!$A$2:$A$301,0))</f>
        <v>0</v>
      </c>
      <c r="K27" s="2" t="n">
        <f aca="false">INDEX(Segmentation!$W$2:$W$301,MATCH($A27,Segmentation!$A$2:$A$301,0))</f>
        <v>2</v>
      </c>
      <c r="L27" s="9" t="n">
        <f aca="false">INDEX('Commercial View'!$L$2:$L$301,MATCH($A27,'Commercial View'!$A$2:$A$301,0))</f>
        <v>0</v>
      </c>
      <c r="M27" s="9" t="n">
        <f aca="false">INDEX('Commercial View'!$M$2:$M$301,MATCH($A27,'Commercial View'!$A$2:$A$301,0))</f>
        <v>0</v>
      </c>
      <c r="N27" s="9" t="n">
        <f aca="false">INDEX('Commercial View'!$N$2:$N$301,MATCH($A27,'Commercial View'!$A$2:$A$301,0))</f>
        <v>0</v>
      </c>
      <c r="O27" s="9" t="n">
        <f aca="false">INDEX(Segmentation!$L$2:$L$301,MATCH($A27,Segmentation!$A$2:$A$301,0))</f>
        <v>0</v>
      </c>
      <c r="P27" s="2" t="str">
        <f aca="false">IF(OR(M27&gt;0,N27&gt;0),"Recently Active",IF(OR(I27&lt;=Assumptions!$B$48,K27&lt;=Assumptions!$B$49),"No Meaningful History","Recent Inactivity"))</f>
        <v>No Meaningful History</v>
      </c>
      <c r="Q27" s="2" t="str">
        <f aca="false">INDEX(Segmentation!$AF$2:$AF$301,MATCH($A27,Segmentation!$A$2:$A$301,0))</f>
        <v>Existing Customer</v>
      </c>
      <c r="R27" s="2" t="str">
        <f aca="false">INDEX(Segmentation!$AL$2:$AL$301,MATCH($A27,Segmentation!$A$2:$A$301,0))</f>
        <v>One-Off / Insufficient History — Verify</v>
      </c>
      <c r="S27" s="10" t="b">
        <f aca="false">INDEX(Segmentation!$AW$2:$AW$301,MATCH($A27,Segmentation!$A$2:$A$301,0))</f>
        <v>0</v>
      </c>
      <c r="T27" s="2" t="str">
        <f aca="false">INDEX('Feature Data'!$AD$2:$AD$301,MATCH($A27,'Feature Data'!$A$2:$A$301,0))</f>
        <v>Broker-led, product-blind</v>
      </c>
      <c r="U27" s="2" t="str">
        <f aca="false">INDEX('Feature Data'!$W$2:$W$301,MATCH($A27,'Feature Data'!$A$2:$A$301,0))</f>
        <v>Bundle-only</v>
      </c>
      <c r="V27" s="2" t="n">
        <f aca="false">INDEX('Feature Data'!$P$2:$P$301,MATCH($A27,'Feature Data'!$A$2:$A$301,0))</f>
        <v>0</v>
      </c>
      <c r="W27" s="2" t="n">
        <f aca="false">INDEX(Segmentation!$R$2:$R$301,MATCH($A27,Segmentation!$A$2:$A$301,0))</f>
        <v>1</v>
      </c>
      <c r="X27" s="2" t="n">
        <f aca="false">INDEX(Segmentation!$S$2:$S$301,MATCH($A27,Segmentation!$A$2:$A$301,0))</f>
        <v>2</v>
      </c>
      <c r="Y27" s="10" t="b">
        <f aca="false">INDEX(Segmentation!$AG$2:$AG$301,MATCH($A27,Segmentation!$A$2:$A$301,0))</f>
        <v>0</v>
      </c>
      <c r="Z27" s="2" t="str">
        <f aca="false">INDEX(Segmentation!$AU$2:$AU$301,MATCH($A27,Segmentation!$A$2:$A$301,0))</f>
        <v>Not Eligible</v>
      </c>
      <c r="AA27" s="10" t="b">
        <f aca="false">INDEX(Segmentation!$Z$2:$Z$301,MATCH($A27,Segmentation!$A$2:$A$301,0))</f>
        <v>0</v>
      </c>
      <c r="AB27" s="10" t="b">
        <f aca="false">INDEX(Segmentation!$AH$2:$AH$301,MATCH($A27,Segmentation!$A$2:$A$301,0))</f>
        <v>0</v>
      </c>
      <c r="AC27" s="10" t="b">
        <f aca="false">INDEX(Segmentation!$AK$2:$AK$301,MATCH($A27,Segmentation!$A$2:$A$301,0))</f>
        <v>0</v>
      </c>
      <c r="AD27" s="10" t="b">
        <f aca="false">INDEX(Segmentation!$AQ$2:$AQ$301,MATCH($A27,Segmentation!$A$2:$A$301,0))</f>
        <v>0</v>
      </c>
      <c r="AE27" s="10" t="b">
        <f aca="false">INDEX(Segmentation!$AT$2:$AT$301,MATCH($A27,Segmentation!$A$2:$A$301,0))</f>
        <v>0</v>
      </c>
      <c r="AF27" s="10" t="b">
        <f aca="false">INDEX(Segmentation!$X$2:$X$301,MATCH($A27,Segmentation!$A$2:$A$301,0))</f>
        <v>1</v>
      </c>
      <c r="AG27" s="10" t="b">
        <f aca="false">AND(F27="Low",V27&gt;=Assumptions!$B$71,X27&lt;Assumptions!$B$72)</f>
        <v>0</v>
      </c>
      <c r="AH27" s="10" t="b">
        <f aca="false">AND(F27="Low",OR(G27="Growing",G27="Stable"),P27="Recently Active",V27&gt;=Assumptions!$B$58,K27&gt;=Assumptions!$B$73)</f>
        <v>0</v>
      </c>
      <c r="AI27" s="17" t="str">
        <f aca="false">IF(O27&gt;0,MAX(L27:N27)/O27,"")</f>
        <v/>
      </c>
      <c r="AJ27" s="2" t="str">
        <f aca="false">IF(LEFT(D27,1)="1",IF(E27="Key","MIGRATION_KEY_SIGNOFF",IF(Z27="Ready","MIGRATION_PHASE1_READY",IF(Z27="Manual Review","MIGRATION_PHASE1_REVIEW","MIGRATION_PRE_ENTRY"))),IF(LEFT(D27,1)="2","DECLINING_KEY_CORE",IF(LEFT(D27,1)="3",IF(R27="Established Buyer Lapsed","LAPSED_ESTABLISHED","LAPSED_THIN_HISTORY"),IF(LEFT(D27,1)="4",IF(Q27="New Customer","NEW_CUSTOMER","RETURNED_CUSTOMER"),IF(LEFT(D27,1)="5",IF(P27="Recently Active","COST_TO_SERVE_ACTIVE","DORMANT_LOW_VALUE"),IF(LEFT(D27,1)="6",IF(P27="Recent Inactivity","RECENT_INACTIVITY",IF(AG27,"BROWSING_LOW_OFFERS","HEALTHY_STRONG_SELF_SERVE")),IF(LEFT(D27,1)="7",IF(P27="Recent Inactivity","RECENT_INACTIVITY",IF(Q27="New Customer","NEW_CUSTOMER","RETURNED_CUSTOMER")),IF(LEFT(D27,1)="8",IF(G27="Declining",IF(T27="Engaged but shrinking (Key/Core)","ENGAGED_BUT_SHRINKING","DECLINING_KEY_CORE"),IF(R27="Established Buyer Lapsed","LAPSED_ESTABLISHED","LAPSED_THIN_HISTORY")),IF(S27,IF(P27&lt;&gt;"Recently Active","DORMANT_LOW_VALUE",IF(AG27,"BROWSING_LOW_OFFERS",IF(AH27,"RISING_TAIL","RISING_TAIL_EARLY"))),IF(AND(AG27,P27="Recently Active",OR(G27="Growing",G27="Stable",G27="H2 Active / No H1 GMV"),I27&gt;=Assumptions!$B$74),"BROWSING_LOW_OFFERS","LONG_TAIL_STANDARD"))))))))))</f>
        <v>LAPSED_THIN_HISTORY</v>
      </c>
      <c r="AK27" s="2" t="str">
        <f aca="false">INDEX('NBA Library'!$B$4:$B$21,MATCH(AJ27,'NBA Library'!$A$4:$A$21,0))</f>
        <v>Verify Demand / Win-Back</v>
      </c>
      <c r="AL27" s="2" t="str">
        <f aca="false">INDEX('NBA Library'!$C$4:$C$21,MATCH(AJ27,'NBA Library'!$A$4:$A$21,0))</f>
        <v>Human</v>
      </c>
      <c r="AM27" s="2" t="str">
        <f aca="false">IF(AA27,"HOLD — Critical Data Issue",IF(Y27,"Human Sign-Off Required",IF(Z27="Manual Review","Human Review Required",IF(AND(AL27="Automated",OR(AE27,AND(OR(AK27="Discovery-to-Offer Enablement",AK27="Reinforce Successful Behaviour"),OR(AC27,AB27)))),"Human Review Required",IF(AL27="Human","Ready — Human",IF(AL27="Hybrid","Ready — Hybrid","Ready — Automated"))))))</f>
        <v>Ready — Human</v>
      </c>
      <c r="AN27" s="2" t="str">
        <f aca="false">IF(AA27,"P0",IF(AND(AJ27="BROWSING_LOW_OFFERS",E27="Tail"),"P3",IF(AND(AM27="Human Review Required",INDEX('NBA Library'!$D$4:$D$21,MATCH(AJ27,'NBA Library'!$A$4:$A$21,0))="P4"),"P3",INDEX('NBA Library'!$D$4:$D$21,MATCH(AJ27,'NBA Library'!$A$4:$A$21,0)))))</f>
        <v>P1</v>
      </c>
      <c r="AO27" s="2" t="str">
        <f aca="false">E27&amp;" "&amp;C27&amp;" account ("&amp;B27&amp;"); "&amp;G27&amp;" momentum; "&amp;P27&amp;"; £"&amp;TEXT(H27,"#,##0")&amp;" 6m GMV. "&amp;INDEX('NBA Library'!$G$4:$G$21,MATCH(AJ27,'NBA Library'!$A$4:$A$21,0))&amp;IF(LEFT(D27,1)="1"," Baseline: "&amp;V27&amp;" PDP views, "&amp;W27&amp;" app days, "&amp;X27&amp;" offers, "&amp;TEXT(J27/I27,"0%")&amp;" of orders self-serve.","")&amp;IF(AA27," Execution on HOLD until the Duplicate status is resolved.","")&amp;IF(Y27," Key account: explicit AM/leadership sign-off required before any migration activity.","")&amp;IF(AE27," Implied broker % from order counts would move this account to a different segment; review before automating.","")</f>
        <v>Core Broker-Reliant account (Account Managed); Lapsed momentum; No Meaningful History; £4,772 6m GMV. Apparent lapse rests on 1-2 orders or a single buying month. Verify cadence rather than treating as churn.</v>
      </c>
      <c r="AP27" s="2" t="str">
        <f aca="false">INDEX('NBA Library'!$E$4:$E$21,MATCH(AJ27,'NBA Library'!$A$4:$A$21,0))&amp;IF(AND(AJ27="NEW_CUSTOMER",AG27),"; introduce Make-an-Offer on items already browsed","")</f>
        <v>Confirm expected purchase cadence (one-off, seasonal, project buyer) before calling it churn</v>
      </c>
      <c r="AQ27" s="2" t="str">
        <f aca="false">INDEX('NBA Library'!$F$4:$F$21,MATCH(AJ27,'NBA Library'!$A$4:$A$21,0))</f>
        <v>Cadence recorded and account reclassified; order within the stated cadence window</v>
      </c>
      <c r="AR27" s="2" t="str">
        <f aca="false">IF(AND(F27="Low",OR(G27="Growing",G27="Stable"),P27="Recently Active",U27&lt;&gt;"Mixed",OR(AK27="Discovery-to-Offer Enablement",AK27="Reinforce Successful Behaviour"),AM27="Ready — Automated",OR(E27&lt;&gt;"Tail",S27)),"Range Expansion Test — trial "&amp;IF(U27="Bundle-only","handpick","bundles")&amp;" (experimental; not proven to lift GMV)","")</f>
        <v/>
      </c>
      <c r="AS27" s="2" t="str">
        <f aca="false">IF(AK27&lt;&gt;"Automated Nurture","",IF(AJ27="DORMANT_LOW_VALUE","Dormant",IF(AJ27="RISING_TAIL_EARLY","Rising tail – early pattern",IF(Q27="New Customer","New customer onboarding",IF(Q27="Returned Customer","Returned customer",IF(G27="Lapsed","Dormant",IF(T27="Engaged, not converting","Engaged, not converting",IF(T27="One-off low-touch buyer","One-off purchaser",IF(T27="Light-touch repeat buyer","Light-touch repeat buyer","Standard long tail")))))))))</f>
        <v/>
      </c>
      <c r="AT27" s="2" t="str">
        <f aca="false">IF(AA27,"CRITICAL_DATA_BLOCKER; ","")&amp;IF(Y27,"KEY_SIGNOFF; ","")&amp;IF(Z27="Manual Review","PHASE1_MANUAL_REVIEW; ","")&amp;IF(AND(LEFT(D27,1)="1",AZ27="Lumpy"),"LUMPY_CADENCE; ","")&amp;IF(AB27,"BORDERLINE_MOMENTUM; ","")&amp;IF(AC27,"FEB_SENSITIVE; ","")&amp;IF(AD27,"MATERIAL_BROKER_INCONSISTENCY"&amp;IF(AE27," (segment would change)","")&amp;"; ","")&amp;IF(AND(I27&gt;=3,O27&gt;0),IF(AI27&gt;=Assumptions!$B$75,"H2_SINGLE_MONTH_SPIKE; ",""),"")&amp;IF(AND(M27&gt;0,N27=0),"NO_FEB_GMV (Feb unconfirmed); ","")&amp;IF(AF27,"LOW_CONFIDENCE; ","")</f>
        <v>LOW_CONFIDENCE; </v>
      </c>
      <c r="AU27" s="2" t="str">
        <f aca="false">IF(LEFT(D27,1)="1",V27,"")</f>
        <v/>
      </c>
      <c r="AV27" s="2" t="str">
        <f aca="false">IF(LEFT(D27,1)="1",V27&gt;=Assumptions!$B$58,"")</f>
        <v/>
      </c>
      <c r="AW27" s="2" t="str">
        <f aca="false">IF(LEFT(D27,1)="1",W27,"")</f>
        <v/>
      </c>
      <c r="AX27" s="2" t="str">
        <f aca="false">IF(LEFT(D27,1)="1",X27,"")</f>
        <v/>
      </c>
      <c r="AY27" s="17" t="str">
        <f aca="false">IF(LEFT(D27,1)="1",J27/I27,"")</f>
        <v/>
      </c>
      <c r="AZ27" s="2" t="str">
        <f aca="false">IF(LEFT(D27,1)="1",IF(AND(K27&gt;=Assumptions!$B$83,I27&gt;=Assumptions!$B$84),"Regular","Lumpy"),"")</f>
        <v/>
      </c>
      <c r="BA27" s="2" t="str">
        <f aca="false">IF(LEFT(D27,1)="1",ROUND(6/K27,0),"")</f>
        <v/>
      </c>
      <c r="BB27" s="2" t="str">
        <f aca="false">IF(LEFT(D27,1)="1",IF(AZ27="Regular","Regular buyer: expected ~£"&amp;TEXT(H27/2,"#,##0")&amp;" per 90 days. At Risk if GMV to date &lt; "&amp;TEXT(Assumptions!$B$81,"0%")&amp;" of pro-rated expectation, checked from day "&amp;Assumptions!$B$82&amp;". Human-reviewed.","Irregular buyer ("&amp;I27&amp;" orders across "&amp;K27&amp;" months): no numeric GMV threshold. At Risk if no order within ~"&amp;BA27&amp;" month(s); AM reviews at day "&amp;Assumptions!$B$82&amp;" and "&amp;Assumptions!$B$85&amp;"."),"")</f>
        <v/>
      </c>
      <c r="BC27" s="2"/>
      <c r="BD27" s="2"/>
      <c r="BE27" s="2"/>
      <c r="BF27" s="2"/>
      <c r="BG27" s="2"/>
      <c r="BH27" s="2"/>
      <c r="BI27" s="2"/>
      <c r="BJ27" s="2" t="str">
        <f aca="false">IF(OR(NOT(LEFT(D27,1)="1"),BC27=""),"",IF(AZ27="Regular",AND(BC27&gt;=Assumptions!$B$82,N(BI27)&lt;Assumptions!$B$81*H27/180*BC27),AND(BC27&gt;=BA27*30,N(BG27)=0)))</f>
        <v/>
      </c>
      <c r="BK27" s="2" t="str">
        <f aca="false">IF(NOT(LEFT(D27,1)="1"),"N/A",IF(BC27="","Baseline",IF(BJ27,"At Risk",IF(AND(N(BD27)&gt;=Assumptions!$B$78,N(BE27)&gt;=Assumptions!$B$79,N(BH27)&gt;=1,N(BH27)/MAX(N(BG27),1)&gt;AY27),"Self-Serve Capability Demonstrated",IF(OR(N(BD27)&gt;=Assumptions!$B$76,N(BE27)&gt;=Assumptions!$B$77),"Progressing",IF(BC27&gt;=Assumptions!$B$85,"At Risk","Baseline"))))))</f>
        <v>N/A</v>
      </c>
      <c r="BL27" s="2" t="n">
        <f aca="false">(AND(C27="Broker-Reliant",OR(AK27="Discovery-to-Offer Enablement",AK27="Reinforce Successful Behaviour")))*1+(AND(G27="Declining",E27&lt;&gt;"Tail",AL27="Automated"))*1+(AND(Y27,AM27&lt;&gt;"Human Sign-Off Required"))*1+(AND(AA27,AM27&lt;&gt;"HOLD — Critical Data Issue"))*1+(AND(P27="Recent Inactivity",OR(AK27="Discovery-to-Offer Enablement",AK27="Reinforce Successful Behaviour")))*1+(AND(OR(LEFT(D27,1)="2",LEFT(D27,1)="3",LEFT(D27,1)="8"),AL27="Automated"))*1+((LEFT(D27,1)="1")&lt;&gt;(AK27="Guided Self-Serve Migration"))*1+(AND(AR27&lt;&gt;"",OR(F27&lt;&gt;"Low",U27="Mixed",AND(G27&lt;&gt;"Growing",G27&lt;&gt;"Stable"))))*1+ISNUMBER(SEARCH("chat",AP27))*1+ISNUMBER(SEARCH("video",AP27))*1+(AND(AA27,AL27="Automated",AM27&lt;&gt;"HOLD — Critical Data Issue"))*1</f>
        <v>0</v>
      </c>
    </row>
    <row r="28" customFormat="false" ht="15" hidden="false" customHeight="false" outlineLevel="0" collapsed="false">
      <c r="A28" s="2" t="s">
        <v>408</v>
      </c>
      <c r="B28" s="2" t="str">
        <f aca="false">INDEX(Segmentation!$B$2:$B$301,MATCH($A28,Segmentation!$A$2:$A$301,0))</f>
        <v>Account Managed</v>
      </c>
      <c r="C28" s="2" t="str">
        <f aca="false">INDEX(Segmentation!$H$2:$H$301,MATCH($A28,Segmentation!$A$2:$A$301,0))</f>
        <v>Broker-Reliant</v>
      </c>
      <c r="D28" s="2" t="str">
        <f aca="false">INDEX(Segmentation!$T$2:$T$301,MATCH($A28,Segmentation!$A$2:$A$301,0))</f>
        <v>1. Migration Candidate</v>
      </c>
      <c r="E28" s="2" t="str">
        <f aca="false">INDEX(Segmentation!$J$2:$J$301,MATCH($A28,Segmentation!$A$2:$A$301,0))</f>
        <v>Core</v>
      </c>
      <c r="F28" s="2" t="str">
        <f aca="false">INDEX(Segmentation!$G$2:$G$301,MATCH($A28,Segmentation!$A$2:$A$301,0))</f>
        <v>High</v>
      </c>
      <c r="G28" s="2" t="str">
        <f aca="false">INDEX(Segmentation!$N$2:$N$301,MATCH($A28,Segmentation!$A$2:$A$301,0))</f>
        <v>Stable</v>
      </c>
      <c r="H28" s="9" t="n">
        <f aca="false">INDEX(Segmentation!$I$2:$I$301,MATCH($A28,Segmentation!$A$2:$A$301,0))</f>
        <v>4678</v>
      </c>
      <c r="I28" s="2" t="n">
        <f aca="false">INDEX(Segmentation!$O$2:$O$301,MATCH($A28,Segmentation!$A$2:$A$301,0))</f>
        <v>25</v>
      </c>
      <c r="J28" s="2" t="n">
        <f aca="false">INDEX(Segmentation!$Q$2:$Q$301,MATCH($A28,Segmentation!$A$2:$A$301,0))</f>
        <v>7</v>
      </c>
      <c r="K28" s="2" t="n">
        <f aca="false">INDEX(Segmentation!$W$2:$W$301,MATCH($A28,Segmentation!$A$2:$A$301,0))</f>
        <v>5</v>
      </c>
      <c r="L28" s="9" t="n">
        <f aca="false">INDEX('Commercial View'!$L$2:$L$301,MATCH($A28,'Commercial View'!$A$2:$A$301,0))</f>
        <v>1593</v>
      </c>
      <c r="M28" s="9" t="n">
        <f aca="false">INDEX('Commercial View'!$M$2:$M$301,MATCH($A28,'Commercial View'!$A$2:$A$301,0))</f>
        <v>805</v>
      </c>
      <c r="N28" s="9" t="n">
        <f aca="false">INDEX('Commercial View'!$N$2:$N$301,MATCH($A28,'Commercial View'!$A$2:$A$301,0))</f>
        <v>0</v>
      </c>
      <c r="O28" s="9" t="n">
        <f aca="false">INDEX(Segmentation!$L$2:$L$301,MATCH($A28,Segmentation!$A$2:$A$301,0))</f>
        <v>2398</v>
      </c>
      <c r="P28" s="2" t="str">
        <f aca="false">IF(OR(M28&gt;0,N28&gt;0),"Recently Active",IF(OR(I28&lt;=Assumptions!$B$48,K28&lt;=Assumptions!$B$49),"No Meaningful History","Recent Inactivity"))</f>
        <v>Recently Active</v>
      </c>
      <c r="Q28" s="2" t="str">
        <f aca="false">INDEX(Segmentation!$AF$2:$AF$301,MATCH($A28,Segmentation!$A$2:$A$301,0))</f>
        <v>Existing Customer</v>
      </c>
      <c r="R28" s="2" t="str">
        <f aca="false">INDEX(Segmentation!$AL$2:$AL$301,MATCH($A28,Segmentation!$A$2:$A$301,0))</f>
        <v>N/A</v>
      </c>
      <c r="S28" s="10" t="b">
        <f aca="false">INDEX(Segmentation!$AW$2:$AW$301,MATCH($A28,Segmentation!$A$2:$A$301,0))</f>
        <v>0</v>
      </c>
      <c r="T28" s="2" t="str">
        <f aca="false">INDEX('Feature Data'!$AD$2:$AD$301,MATCH($A28,'Feature Data'!$A$2:$A$301,0))</f>
        <v>Broker-led, product-blind</v>
      </c>
      <c r="U28" s="2" t="str">
        <f aca="false">INDEX('Feature Data'!$W$2:$W$301,MATCH($A28,'Feature Data'!$A$2:$A$301,0))</f>
        <v>Bundle-only</v>
      </c>
      <c r="V28" s="2" t="n">
        <f aca="false">INDEX('Feature Data'!$P$2:$P$301,MATCH($A28,'Feature Data'!$A$2:$A$301,0))</f>
        <v>14</v>
      </c>
      <c r="W28" s="2" t="n">
        <f aca="false">INDEX(Segmentation!$R$2:$R$301,MATCH($A28,Segmentation!$A$2:$A$301,0))</f>
        <v>3</v>
      </c>
      <c r="X28" s="2" t="n">
        <f aca="false">INDEX(Segmentation!$S$2:$S$301,MATCH($A28,Segmentation!$A$2:$A$301,0))</f>
        <v>1</v>
      </c>
      <c r="Y28" s="10" t="b">
        <f aca="false">INDEX(Segmentation!$AG$2:$AG$301,MATCH($A28,Segmentation!$A$2:$A$301,0))</f>
        <v>0</v>
      </c>
      <c r="Z28" s="2" t="str">
        <f aca="false">INDEX(Segmentation!$AU$2:$AU$301,MATCH($A28,Segmentation!$A$2:$A$301,0))</f>
        <v>Ready</v>
      </c>
      <c r="AA28" s="10" t="b">
        <f aca="false">INDEX(Segmentation!$Z$2:$Z$301,MATCH($A28,Segmentation!$A$2:$A$301,0))</f>
        <v>0</v>
      </c>
      <c r="AB28" s="10" t="b">
        <f aca="false">INDEX(Segmentation!$AH$2:$AH$301,MATCH($A28,Segmentation!$A$2:$A$301,0))</f>
        <v>0</v>
      </c>
      <c r="AC28" s="10" t="b">
        <f aca="false">INDEX(Segmentation!$AK$2:$AK$301,MATCH($A28,Segmentation!$A$2:$A$301,0))</f>
        <v>0</v>
      </c>
      <c r="AD28" s="10" t="b">
        <f aca="false">INDEX(Segmentation!$AQ$2:$AQ$301,MATCH($A28,Segmentation!$A$2:$A$301,0))</f>
        <v>0</v>
      </c>
      <c r="AE28" s="10" t="b">
        <f aca="false">INDEX(Segmentation!$AT$2:$AT$301,MATCH($A28,Segmentation!$A$2:$A$301,0))</f>
        <v>0</v>
      </c>
      <c r="AF28" s="10" t="b">
        <f aca="false">INDEX(Segmentation!$X$2:$X$301,MATCH($A28,Segmentation!$A$2:$A$301,0))</f>
        <v>0</v>
      </c>
      <c r="AG28" s="10" t="b">
        <f aca="false">AND(F28="Low",V28&gt;=Assumptions!$B$71,X28&lt;Assumptions!$B$72)</f>
        <v>0</v>
      </c>
      <c r="AH28" s="10" t="b">
        <f aca="false">AND(F28="Low",OR(G28="Growing",G28="Stable"),P28="Recently Active",V28&gt;=Assumptions!$B$58,K28&gt;=Assumptions!$B$73)</f>
        <v>0</v>
      </c>
      <c r="AI28" s="17" t="n">
        <f aca="false">IF(O28&gt;0,MAX(L28:N28)/O28,"")</f>
        <v>0.664303586321935</v>
      </c>
      <c r="AJ28" s="2" t="str">
        <f aca="false">IF(LEFT(D28,1)="1",IF(E28="Key","MIGRATION_KEY_SIGNOFF",IF(Z28="Ready","MIGRATION_PHASE1_READY",IF(Z28="Manual Review","MIGRATION_PHASE1_REVIEW","MIGRATION_PRE_ENTRY"))),IF(LEFT(D28,1)="2","DECLINING_KEY_CORE",IF(LEFT(D28,1)="3",IF(R28="Established Buyer Lapsed","LAPSED_ESTABLISHED","LAPSED_THIN_HISTORY"),IF(LEFT(D28,1)="4",IF(Q28="New Customer","NEW_CUSTOMER","RETURNED_CUSTOMER"),IF(LEFT(D28,1)="5",IF(P28="Recently Active","COST_TO_SERVE_ACTIVE","DORMANT_LOW_VALUE"),IF(LEFT(D28,1)="6",IF(P28="Recent Inactivity","RECENT_INACTIVITY",IF(AG28,"BROWSING_LOW_OFFERS","HEALTHY_STRONG_SELF_SERVE")),IF(LEFT(D28,1)="7",IF(P28="Recent Inactivity","RECENT_INACTIVITY",IF(Q28="New Customer","NEW_CUSTOMER","RETURNED_CUSTOMER")),IF(LEFT(D28,1)="8",IF(G28="Declining",IF(T28="Engaged but shrinking (Key/Core)","ENGAGED_BUT_SHRINKING","DECLINING_KEY_CORE"),IF(R28="Established Buyer Lapsed","LAPSED_ESTABLISHED","LAPSED_THIN_HISTORY")),IF(S28,IF(P28&lt;&gt;"Recently Active","DORMANT_LOW_VALUE",IF(AG28,"BROWSING_LOW_OFFERS",IF(AH28,"RISING_TAIL","RISING_TAIL_EARLY"))),IF(AND(AG28,P28="Recently Active",OR(G28="Growing",G28="Stable",G28="H2 Active / No H1 GMV"),I28&gt;=Assumptions!$B$74),"BROWSING_LOW_OFFERS","LONG_TAIL_STANDARD"))))))))))</f>
        <v>MIGRATION_PHASE1_READY</v>
      </c>
      <c r="AK28" s="2" t="str">
        <f aca="false">INDEX('NBA Library'!$B$4:$B$21,MATCH(AJ28,'NBA Library'!$A$4:$A$21,0))</f>
        <v>Guided Self-Serve Migration</v>
      </c>
      <c r="AL28" s="2" t="str">
        <f aca="false">INDEX('NBA Library'!$C$4:$C$21,MATCH(AJ28,'NBA Library'!$A$4:$A$21,0))</f>
        <v>Hybrid</v>
      </c>
      <c r="AM28" s="2" t="str">
        <f aca="false">IF(AA28,"HOLD — Critical Data Issue",IF(Y28,"Human Sign-Off Required",IF(Z28="Manual Review","Human Review Required",IF(AND(AL28="Automated",OR(AE28,AND(OR(AK28="Discovery-to-Offer Enablement",AK28="Reinforce Successful Behaviour"),OR(AC28,AB28)))),"Human Review Required",IF(AL28="Human","Ready — Human",IF(AL28="Hybrid","Ready — Hybrid","Ready — Automated"))))))</f>
        <v>Ready — Hybrid</v>
      </c>
      <c r="AN28" s="2" t="str">
        <f aca="false">IF(AA28,"P0",IF(AND(AJ28="BROWSING_LOW_OFFERS",E28="Tail"),"P3",IF(AND(AM28="Human Review Required",INDEX('NBA Library'!$D$4:$D$21,MATCH(AJ28,'NBA Library'!$A$4:$A$21,0))="P4"),"P3",INDEX('NBA Library'!$D$4:$D$21,MATCH(AJ28,'NBA Library'!$A$4:$A$21,0)))))</f>
        <v>P2</v>
      </c>
      <c r="AO28" s="2" t="str">
        <f aca="false">E28&amp;" "&amp;C28&amp;" account ("&amp;B28&amp;"); "&amp;G28&amp;" momentum; "&amp;P28&amp;"; £"&amp;TEXT(H28,"#,##0")&amp;" 6m GMV. "&amp;INDEX('NBA Library'!$G$4:$G$21,MATCH(AJ28,'NBA Library'!$A$4:$A$21,0))&amp;IF(LEFT(D28,1)="1"," Baseline: "&amp;V28&amp;" PDP views, "&amp;W28&amp;" app days, "&amp;X28&amp;" offers, "&amp;TEXT(J28/I28,"0%")&amp;" of orders self-serve.","")&amp;IF(AA28," Execution on HOLD until the Duplicate status is resolved.","")&amp;IF(Y28," Key account: explicit AM/leadership sign-off required before any migration activity.","")&amp;IF(AE28," Implied broker % from order counts would move this account to a different segment; review before automating.","")</f>
        <v>Core Broker-Reliant account (Account Managed); Stable momentum; Recently Active; £4,678 6m GMV. Broker-reliant with healthy spend and repeat self-serve checkout but little independent browsing. Suitable for Phase 1 guided migration focused on product discovery. Baseline: 14 PDP views, 3 app days, 1 offers, 28% of orders self-serve.</v>
      </c>
      <c r="AP28" s="2" t="str">
        <f aca="false">INDEX('NBA Library'!$E$4:$E$21,MATCH(AJ28,'NBA Library'!$A$4:$A$21,0))&amp;IF(AND(AJ28="NEW_CUSTOMER",AG28),"; introduce Make-an-Offer on items already browsed","")</f>
        <v>Independently discover stock (PDP browsing) and use the app regularly; place more orders self-serve; offers optional</v>
      </c>
      <c r="AQ28" s="2" t="str">
        <f aca="false">INDEX('NBA Library'!$F$4:$F$21,MATCH(AJ28,'NBA Library'!$A$4:$A$21,0))</f>
        <v>90 days: Progressing -&gt; Capability Demonstrated (PDP, app days, rising self-serve share) with GMV guardrail held</v>
      </c>
      <c r="AR28" s="2" t="str">
        <f aca="false">IF(AND(F28="Low",OR(G28="Growing",G28="Stable"),P28="Recently Active",U28&lt;&gt;"Mixed",OR(AK28="Discovery-to-Offer Enablement",AK28="Reinforce Successful Behaviour"),AM28="Ready — Automated",OR(E28&lt;&gt;"Tail",S28)),"Range Expansion Test — trial "&amp;IF(U28="Bundle-only","handpick","bundles")&amp;" (experimental; not proven to lift GMV)","")</f>
        <v/>
      </c>
      <c r="AS28" s="2" t="str">
        <f aca="false">IF(AK28&lt;&gt;"Automated Nurture","",IF(AJ28="DORMANT_LOW_VALUE","Dormant",IF(AJ28="RISING_TAIL_EARLY","Rising tail – early pattern",IF(Q28="New Customer","New customer onboarding",IF(Q28="Returned Customer","Returned customer",IF(G28="Lapsed","Dormant",IF(T28="Engaged, not converting","Engaged, not converting",IF(T28="One-off low-touch buyer","One-off purchaser",IF(T28="Light-touch repeat buyer","Light-touch repeat buyer","Standard long tail")))))))))</f>
        <v/>
      </c>
      <c r="AT28" s="2" t="str">
        <f aca="false">IF(AA28,"CRITICAL_DATA_BLOCKER; ","")&amp;IF(Y28,"KEY_SIGNOFF; ","")&amp;IF(Z28="Manual Review","PHASE1_MANUAL_REVIEW; ","")&amp;IF(AND(LEFT(D28,1)="1",AZ28="Lumpy"),"LUMPY_CADENCE; ","")&amp;IF(AB28,"BORDERLINE_MOMENTUM; ","")&amp;IF(AC28,"FEB_SENSITIVE; ","")&amp;IF(AD28,"MATERIAL_BROKER_INCONSISTENCY"&amp;IF(AE28," (segment would change)","")&amp;"; ","")&amp;IF(AND(I28&gt;=3,O28&gt;0),IF(AI28&gt;=Assumptions!$B$75,"H2_SINGLE_MONTH_SPIKE; ",""),"")&amp;IF(AND(M28&gt;0,N28=0),"NO_FEB_GMV (Feb unconfirmed); ","")&amp;IF(AF28,"LOW_CONFIDENCE; ","")</f>
        <v>NO_FEB_GMV (Feb unconfirmed); </v>
      </c>
      <c r="AU28" s="2" t="n">
        <f aca="false">IF(LEFT(D28,1)="1",V28,"")</f>
        <v>14</v>
      </c>
      <c r="AV28" s="10" t="b">
        <f aca="false">IF(LEFT(D28,1)="1",V28&gt;=Assumptions!$B$58,"")</f>
        <v>0</v>
      </c>
      <c r="AW28" s="2" t="n">
        <f aca="false">IF(LEFT(D28,1)="1",W28,"")</f>
        <v>3</v>
      </c>
      <c r="AX28" s="2" t="n">
        <f aca="false">IF(LEFT(D28,1)="1",X28,"")</f>
        <v>1</v>
      </c>
      <c r="AY28" s="17" t="n">
        <f aca="false">IF(LEFT(D28,1)="1",J28/I28,"")</f>
        <v>0.28</v>
      </c>
      <c r="AZ28" s="2" t="str">
        <f aca="false">IF(LEFT(D28,1)="1",IF(AND(K28&gt;=Assumptions!$B$83,I28&gt;=Assumptions!$B$84),"Regular","Lumpy"),"")</f>
        <v>Regular</v>
      </c>
      <c r="BA28" s="2" t="n">
        <f aca="false">IF(LEFT(D28,1)="1",ROUND(6/K28,0),"")</f>
        <v>1</v>
      </c>
      <c r="BB28" s="2" t="str">
        <f aca="false">IF(LEFT(D28,1)="1",IF(AZ28="Regular","Regular buyer: expected ~£"&amp;TEXT(H28/2,"#,##0")&amp;" per 90 days. At Risk if GMV to date &lt; "&amp;TEXT(Assumptions!$B$81,"0%")&amp;" of pro-rated expectation, checked from day "&amp;Assumptions!$B$82&amp;". Human-reviewed.","Irregular buyer ("&amp;I28&amp;" orders across "&amp;K28&amp;" months): no numeric GMV threshold. At Risk if no order within ~"&amp;BA28&amp;" month(s); AM reviews at day "&amp;Assumptions!$B$82&amp;" and "&amp;Assumptions!$B$85&amp;"."),"")</f>
        <v>Regular buyer: expected ~£2,339 per 90 days. At Risk if GMV to date &lt; 70% of pro-rated expectation, checked from day 45. Human-reviewed.</v>
      </c>
      <c r="BC28" s="18"/>
      <c r="BD28" s="18"/>
      <c r="BE28" s="18"/>
      <c r="BF28" s="18"/>
      <c r="BG28" s="18"/>
      <c r="BH28" s="18"/>
      <c r="BI28" s="18"/>
      <c r="BJ28" s="2" t="str">
        <f aca="false">IF(OR(NOT(LEFT(D28,1)="1"),BC28=""),"",IF(AZ28="Regular",AND(BC28&gt;=Assumptions!$B$82,N(BI28)&lt;Assumptions!$B$81*H28/180*BC28),AND(BC28&gt;=BA28*30,N(BG28)=0)))</f>
        <v/>
      </c>
      <c r="BK28" s="2" t="str">
        <f aca="false">IF(NOT(LEFT(D28,1)="1"),"N/A",IF(BC28="","Baseline",IF(BJ28,"At Risk",IF(AND(N(BD28)&gt;=Assumptions!$B$78,N(BE28)&gt;=Assumptions!$B$79,N(BH28)&gt;=1,N(BH28)/MAX(N(BG28),1)&gt;AY28),"Self-Serve Capability Demonstrated",IF(OR(N(BD28)&gt;=Assumptions!$B$76,N(BE28)&gt;=Assumptions!$B$77),"Progressing",IF(BC28&gt;=Assumptions!$B$85,"At Risk","Baseline"))))))</f>
        <v>Baseline</v>
      </c>
      <c r="BL28" s="2" t="n">
        <f aca="false">(AND(C28="Broker-Reliant",OR(AK28="Discovery-to-Offer Enablement",AK28="Reinforce Successful Behaviour")))*1+(AND(G28="Declining",E28&lt;&gt;"Tail",AL28="Automated"))*1+(AND(Y28,AM28&lt;&gt;"Human Sign-Off Required"))*1+(AND(AA28,AM28&lt;&gt;"HOLD — Critical Data Issue"))*1+(AND(P28="Recent Inactivity",OR(AK28="Discovery-to-Offer Enablement",AK28="Reinforce Successful Behaviour")))*1+(AND(OR(LEFT(D28,1)="2",LEFT(D28,1)="3",LEFT(D28,1)="8"),AL28="Automated"))*1+((LEFT(D28,1)="1")&lt;&gt;(AK28="Guided Self-Serve Migration"))*1+(AND(AR28&lt;&gt;"",OR(F28&lt;&gt;"Low",U28="Mixed",AND(G28&lt;&gt;"Growing",G28&lt;&gt;"Stable"))))*1+ISNUMBER(SEARCH("chat",AP28))*1+ISNUMBER(SEARCH("video",AP28))*1+(AND(AA28,AL28="Automated",AM28&lt;&gt;"HOLD — Critical Data Issue"))*1</f>
        <v>0</v>
      </c>
    </row>
    <row r="29" customFormat="false" ht="15" hidden="false" customHeight="false" outlineLevel="0" collapsed="false">
      <c r="A29" s="2" t="s">
        <v>222</v>
      </c>
      <c r="B29" s="2" t="str">
        <f aca="false">INDEX(Segmentation!$B$2:$B$301,MATCH($A29,Segmentation!$A$2:$A$301,0))</f>
        <v>Account Managed</v>
      </c>
      <c r="C29" s="2" t="str">
        <f aca="false">INDEX(Segmentation!$H$2:$H$301,MATCH($A29,Segmentation!$A$2:$A$301,0))</f>
        <v>Broker-Reliant</v>
      </c>
      <c r="D29" s="2" t="str">
        <f aca="false">INDEX(Segmentation!$T$2:$T$301,MATCH($A29,Segmentation!$A$2:$A$301,0))</f>
        <v>2. Protect / Retain First</v>
      </c>
      <c r="E29" s="2" t="str">
        <f aca="false">INDEX(Segmentation!$J$2:$J$301,MATCH($A29,Segmentation!$A$2:$A$301,0))</f>
        <v>Core</v>
      </c>
      <c r="F29" s="2" t="str">
        <f aca="false">INDEX(Segmentation!$G$2:$G$301,MATCH($A29,Segmentation!$A$2:$A$301,0))</f>
        <v>High</v>
      </c>
      <c r="G29" s="2" t="str">
        <f aca="false">INDEX(Segmentation!$N$2:$N$301,MATCH($A29,Segmentation!$A$2:$A$301,0))</f>
        <v>Declining</v>
      </c>
      <c r="H29" s="9" t="n">
        <f aca="false">INDEX(Segmentation!$I$2:$I$301,MATCH($A29,Segmentation!$A$2:$A$301,0))</f>
        <v>4639</v>
      </c>
      <c r="I29" s="2" t="n">
        <f aca="false">INDEX(Segmentation!$O$2:$O$301,MATCH($A29,Segmentation!$A$2:$A$301,0))</f>
        <v>7</v>
      </c>
      <c r="J29" s="2" t="n">
        <f aca="false">INDEX(Segmentation!$Q$2:$Q$301,MATCH($A29,Segmentation!$A$2:$A$301,0))</f>
        <v>4</v>
      </c>
      <c r="K29" s="2" t="n">
        <f aca="false">INDEX(Segmentation!$W$2:$W$301,MATCH($A29,Segmentation!$A$2:$A$301,0))</f>
        <v>4</v>
      </c>
      <c r="L29" s="9" t="n">
        <f aca="false">INDEX('Commercial View'!$L$2:$L$301,MATCH($A29,'Commercial View'!$A$2:$A$301,0))</f>
        <v>0</v>
      </c>
      <c r="M29" s="9" t="n">
        <f aca="false">INDEX('Commercial View'!$M$2:$M$301,MATCH($A29,'Commercial View'!$A$2:$A$301,0))</f>
        <v>1368</v>
      </c>
      <c r="N29" s="9" t="n">
        <f aca="false">INDEX('Commercial View'!$N$2:$N$301,MATCH($A29,'Commercial View'!$A$2:$A$301,0))</f>
        <v>0</v>
      </c>
      <c r="O29" s="9" t="n">
        <f aca="false">INDEX(Segmentation!$L$2:$L$301,MATCH($A29,Segmentation!$A$2:$A$301,0))</f>
        <v>1368</v>
      </c>
      <c r="P29" s="2" t="str">
        <f aca="false">IF(OR(M29&gt;0,N29&gt;0),"Recently Active",IF(OR(I29&lt;=Assumptions!$B$48,K29&lt;=Assumptions!$B$49),"No Meaningful History","Recent Inactivity"))</f>
        <v>Recently Active</v>
      </c>
      <c r="Q29" s="2" t="str">
        <f aca="false">INDEX(Segmentation!$AF$2:$AF$301,MATCH($A29,Segmentation!$A$2:$A$301,0))</f>
        <v>Existing Customer</v>
      </c>
      <c r="R29" s="2" t="str">
        <f aca="false">INDEX(Segmentation!$AL$2:$AL$301,MATCH($A29,Segmentation!$A$2:$A$301,0))</f>
        <v>N/A</v>
      </c>
      <c r="S29" s="10" t="b">
        <f aca="false">INDEX(Segmentation!$AW$2:$AW$301,MATCH($A29,Segmentation!$A$2:$A$301,0))</f>
        <v>0</v>
      </c>
      <c r="T29" s="2" t="str">
        <f aca="false">INDEX('Feature Data'!$AD$2:$AD$301,MATCH($A29,'Feature Data'!$A$2:$A$301,0))</f>
        <v>Broker-led, product-blind</v>
      </c>
      <c r="U29" s="2" t="str">
        <f aca="false">INDEX('Feature Data'!$W$2:$W$301,MATCH($A29,'Feature Data'!$A$2:$A$301,0))</f>
        <v>Handpick-only</v>
      </c>
      <c r="V29" s="2" t="n">
        <f aca="false">INDEX('Feature Data'!$P$2:$P$301,MATCH($A29,'Feature Data'!$A$2:$A$301,0))</f>
        <v>8</v>
      </c>
      <c r="W29" s="2" t="n">
        <f aca="false">INDEX(Segmentation!$R$2:$R$301,MATCH($A29,Segmentation!$A$2:$A$301,0))</f>
        <v>4</v>
      </c>
      <c r="X29" s="2" t="n">
        <f aca="false">INDEX(Segmentation!$S$2:$S$301,MATCH($A29,Segmentation!$A$2:$A$301,0))</f>
        <v>1</v>
      </c>
      <c r="Y29" s="10" t="b">
        <f aca="false">INDEX(Segmentation!$AG$2:$AG$301,MATCH($A29,Segmentation!$A$2:$A$301,0))</f>
        <v>0</v>
      </c>
      <c r="Z29" s="2" t="str">
        <f aca="false">INDEX(Segmentation!$AU$2:$AU$301,MATCH($A29,Segmentation!$A$2:$A$301,0))</f>
        <v>Not Eligible</v>
      </c>
      <c r="AA29" s="10" t="b">
        <f aca="false">INDEX(Segmentation!$Z$2:$Z$301,MATCH($A29,Segmentation!$A$2:$A$301,0))</f>
        <v>0</v>
      </c>
      <c r="AB29" s="10" t="b">
        <f aca="false">INDEX(Segmentation!$AH$2:$AH$301,MATCH($A29,Segmentation!$A$2:$A$301,0))</f>
        <v>0</v>
      </c>
      <c r="AC29" s="10" t="b">
        <f aca="false">INDEX(Segmentation!$AK$2:$AK$301,MATCH($A29,Segmentation!$A$2:$A$301,0))</f>
        <v>0</v>
      </c>
      <c r="AD29" s="10" t="b">
        <f aca="false">INDEX(Segmentation!$AQ$2:$AQ$301,MATCH($A29,Segmentation!$A$2:$A$301,0))</f>
        <v>0</v>
      </c>
      <c r="AE29" s="10" t="b">
        <f aca="false">INDEX(Segmentation!$AT$2:$AT$301,MATCH($A29,Segmentation!$A$2:$A$301,0))</f>
        <v>0</v>
      </c>
      <c r="AF29" s="10" t="b">
        <f aca="false">INDEX(Segmentation!$X$2:$X$301,MATCH($A29,Segmentation!$A$2:$A$301,0))</f>
        <v>0</v>
      </c>
      <c r="AG29" s="10" t="b">
        <f aca="false">AND(F29="Low",V29&gt;=Assumptions!$B$71,X29&lt;Assumptions!$B$72)</f>
        <v>0</v>
      </c>
      <c r="AH29" s="10" t="b">
        <f aca="false">AND(F29="Low",OR(G29="Growing",G29="Stable"),P29="Recently Active",V29&gt;=Assumptions!$B$58,K29&gt;=Assumptions!$B$73)</f>
        <v>0</v>
      </c>
      <c r="AI29" s="17" t="n">
        <f aca="false">IF(O29&gt;0,MAX(L29:N29)/O29,"")</f>
        <v>1</v>
      </c>
      <c r="AJ29" s="2" t="str">
        <f aca="false">IF(LEFT(D29,1)="1",IF(E29="Key","MIGRATION_KEY_SIGNOFF",IF(Z29="Ready","MIGRATION_PHASE1_READY",IF(Z29="Manual Review","MIGRATION_PHASE1_REVIEW","MIGRATION_PRE_ENTRY"))),IF(LEFT(D29,1)="2","DECLINING_KEY_CORE",IF(LEFT(D29,1)="3",IF(R29="Established Buyer Lapsed","LAPSED_ESTABLISHED","LAPSED_THIN_HISTORY"),IF(LEFT(D29,1)="4",IF(Q29="New Customer","NEW_CUSTOMER","RETURNED_CUSTOMER"),IF(LEFT(D29,1)="5",IF(P29="Recently Active","COST_TO_SERVE_ACTIVE","DORMANT_LOW_VALUE"),IF(LEFT(D29,1)="6",IF(P29="Recent Inactivity","RECENT_INACTIVITY",IF(AG29,"BROWSING_LOW_OFFERS","HEALTHY_STRONG_SELF_SERVE")),IF(LEFT(D29,1)="7",IF(P29="Recent Inactivity","RECENT_INACTIVITY",IF(Q29="New Customer","NEW_CUSTOMER","RETURNED_CUSTOMER")),IF(LEFT(D29,1)="8",IF(G29="Declining",IF(T29="Engaged but shrinking (Key/Core)","ENGAGED_BUT_SHRINKING","DECLINING_KEY_CORE"),IF(R29="Established Buyer Lapsed","LAPSED_ESTABLISHED","LAPSED_THIN_HISTORY")),IF(S29,IF(P29&lt;&gt;"Recently Active","DORMANT_LOW_VALUE",IF(AG29,"BROWSING_LOW_OFFERS",IF(AH29,"RISING_TAIL","RISING_TAIL_EARLY"))),IF(AND(AG29,P29="Recently Active",OR(G29="Growing",G29="Stable",G29="H2 Active / No H1 GMV"),I29&gt;=Assumptions!$B$74),"BROWSING_LOW_OFFERS","LONG_TAIL_STANDARD"))))))))))</f>
        <v>DECLINING_KEY_CORE</v>
      </c>
      <c r="AK29" s="2" t="str">
        <f aca="false">INDEX('NBA Library'!$B$4:$B$21,MATCH(AJ29,'NBA Library'!$A$4:$A$21,0))</f>
        <v>Retention Conversation</v>
      </c>
      <c r="AL29" s="2" t="str">
        <f aca="false">INDEX('NBA Library'!$C$4:$C$21,MATCH(AJ29,'NBA Library'!$A$4:$A$21,0))</f>
        <v>Human</v>
      </c>
      <c r="AM29" s="2" t="str">
        <f aca="false">IF(AA29,"HOLD — Critical Data Issue",IF(Y29,"Human Sign-Off Required",IF(Z29="Manual Review","Human Review Required",IF(AND(AL29="Automated",OR(AE29,AND(OR(AK29="Discovery-to-Offer Enablement",AK29="Reinforce Successful Behaviour"),OR(AC29,AB29)))),"Human Review Required",IF(AL29="Human","Ready — Human",IF(AL29="Hybrid","Ready — Hybrid","Ready — Automated"))))))</f>
        <v>Ready — Human</v>
      </c>
      <c r="AN29" s="2" t="str">
        <f aca="false">IF(AA29,"P0",IF(AND(AJ29="BROWSING_LOW_OFFERS",E29="Tail"),"P3",IF(AND(AM29="Human Review Required",INDEX('NBA Library'!$D$4:$D$21,MATCH(AJ29,'NBA Library'!$A$4:$A$21,0))="P4"),"P3",INDEX('NBA Library'!$D$4:$D$21,MATCH(AJ29,'NBA Library'!$A$4:$A$21,0)))))</f>
        <v>P1</v>
      </c>
      <c r="AO29" s="2" t="str">
        <f aca="false">E29&amp;" "&amp;C29&amp;" account ("&amp;B29&amp;"); "&amp;G29&amp;" momentum; "&amp;P29&amp;"; £"&amp;TEXT(H29,"#,##0")&amp;" 6m GMV. "&amp;INDEX('NBA Library'!$G$4:$G$21,MATCH(AJ29,'NBA Library'!$A$4:$A$21,0))&amp;IF(LEFT(D29,1)="1"," Baseline: "&amp;V29&amp;" PDP views, "&amp;W29&amp;" app days, "&amp;X29&amp;" offers, "&amp;TEXT(J29/I29,"0%")&amp;" of orders self-serve.","")&amp;IF(AA29," Execution on HOLD until the Duplicate status is resolved.","")&amp;IF(Y29," Key account: explicit AM/leadership sign-off required before any migration activity.","")&amp;IF(AE29," Implied broker % from order counts would move this account to a different segment; review before automating.","")</f>
        <v>Core Broker-Reliant account (Account Managed); Declining momentum; Recently Active; £4,639 6m GMV. Broker-led spend is falling. Keep human support in place; AM to diagnose the cause before any migration or product nudge.</v>
      </c>
      <c r="AP29" s="2" t="str">
        <f aca="false">INDEX('NBA Library'!$E$4:$E$21,MATCH(AJ29,'NBA Library'!$A$4:$A$21,0))&amp;IF(AND(AJ29="NEW_CUSTOMER",AG29),"; introduce Make-an-Offer on items already browsed","")</f>
        <v>AM diagnoses the cause of falling spend (supply, price, service, competitor) and agrees a recovery plan; keep human support in place</v>
      </c>
      <c r="AQ29" s="2" t="str">
        <f aca="false">INDEX('NBA Library'!$F$4:$F$21,MATCH(AJ29,'NBA Library'!$A$4:$A$21,0))</f>
        <v>Next 90-day GMV back to at least the Sep-Nov (H1) level, or decline arrested; root cause logged</v>
      </c>
      <c r="AR29" s="2" t="str">
        <f aca="false">IF(AND(F29="Low",OR(G29="Growing",G29="Stable"),P29="Recently Active",U29&lt;&gt;"Mixed",OR(AK29="Discovery-to-Offer Enablement",AK29="Reinforce Successful Behaviour"),AM29="Ready — Automated",OR(E29&lt;&gt;"Tail",S29)),"Range Expansion Test — trial "&amp;IF(U29="Bundle-only","handpick","bundles")&amp;" (experimental; not proven to lift GMV)","")</f>
        <v/>
      </c>
      <c r="AS29" s="2" t="str">
        <f aca="false">IF(AK29&lt;&gt;"Automated Nurture","",IF(AJ29="DORMANT_LOW_VALUE","Dormant",IF(AJ29="RISING_TAIL_EARLY","Rising tail – early pattern",IF(Q29="New Customer","New customer onboarding",IF(Q29="Returned Customer","Returned customer",IF(G29="Lapsed","Dormant",IF(T29="Engaged, not converting","Engaged, not converting",IF(T29="One-off low-touch buyer","One-off purchaser",IF(T29="Light-touch repeat buyer","Light-touch repeat buyer","Standard long tail")))))))))</f>
        <v/>
      </c>
      <c r="AT29" s="2" t="str">
        <f aca="false">IF(AA29,"CRITICAL_DATA_BLOCKER; ","")&amp;IF(Y29,"KEY_SIGNOFF; ","")&amp;IF(Z29="Manual Review","PHASE1_MANUAL_REVIEW; ","")&amp;IF(AND(LEFT(D29,1)="1",AZ29="Lumpy"),"LUMPY_CADENCE; ","")&amp;IF(AB29,"BORDERLINE_MOMENTUM; ","")&amp;IF(AC29,"FEB_SENSITIVE; ","")&amp;IF(AD29,"MATERIAL_BROKER_INCONSISTENCY"&amp;IF(AE29," (segment would change)","")&amp;"; ","")&amp;IF(AND(I29&gt;=3,O29&gt;0),IF(AI29&gt;=Assumptions!$B$75,"H2_SINGLE_MONTH_SPIKE; ",""),"")&amp;IF(AND(M29&gt;0,N29=0),"NO_FEB_GMV (Feb unconfirmed); ","")&amp;IF(AF29,"LOW_CONFIDENCE; ","")</f>
        <v>H2_SINGLE_MONTH_SPIKE; NO_FEB_GMV (Feb unconfirmed); </v>
      </c>
      <c r="AU29" s="2" t="str">
        <f aca="false">IF(LEFT(D29,1)="1",V29,"")</f>
        <v/>
      </c>
      <c r="AV29" s="2" t="str">
        <f aca="false">IF(LEFT(D29,1)="1",V29&gt;=Assumptions!$B$58,"")</f>
        <v/>
      </c>
      <c r="AW29" s="2" t="str">
        <f aca="false">IF(LEFT(D29,1)="1",W29,"")</f>
        <v/>
      </c>
      <c r="AX29" s="2" t="str">
        <f aca="false">IF(LEFT(D29,1)="1",X29,"")</f>
        <v/>
      </c>
      <c r="AY29" s="17" t="str">
        <f aca="false">IF(LEFT(D29,1)="1",J29/I29,"")</f>
        <v/>
      </c>
      <c r="AZ29" s="2" t="str">
        <f aca="false">IF(LEFT(D29,1)="1",IF(AND(K29&gt;=Assumptions!$B$83,I29&gt;=Assumptions!$B$84),"Regular","Lumpy"),"")</f>
        <v/>
      </c>
      <c r="BA29" s="2" t="str">
        <f aca="false">IF(LEFT(D29,1)="1",ROUND(6/K29,0),"")</f>
        <v/>
      </c>
      <c r="BB29" s="2" t="str">
        <f aca="false">IF(LEFT(D29,1)="1",IF(AZ29="Regular","Regular buyer: expected ~£"&amp;TEXT(H29/2,"#,##0")&amp;" per 90 days. At Risk if GMV to date &lt; "&amp;TEXT(Assumptions!$B$81,"0%")&amp;" of pro-rated expectation, checked from day "&amp;Assumptions!$B$82&amp;". Human-reviewed.","Irregular buyer ("&amp;I29&amp;" orders across "&amp;K29&amp;" months): no numeric GMV threshold. At Risk if no order within ~"&amp;BA29&amp;" month(s); AM reviews at day "&amp;Assumptions!$B$82&amp;" and "&amp;Assumptions!$B$85&amp;"."),"")</f>
        <v/>
      </c>
      <c r="BC29" s="2"/>
      <c r="BD29" s="2"/>
      <c r="BE29" s="2"/>
      <c r="BF29" s="2"/>
      <c r="BG29" s="2"/>
      <c r="BH29" s="2"/>
      <c r="BI29" s="2"/>
      <c r="BJ29" s="2" t="str">
        <f aca="false">IF(OR(NOT(LEFT(D29,1)="1"),BC29=""),"",IF(AZ29="Regular",AND(BC29&gt;=Assumptions!$B$82,N(BI29)&lt;Assumptions!$B$81*H29/180*BC29),AND(BC29&gt;=BA29*30,N(BG29)=0)))</f>
        <v/>
      </c>
      <c r="BK29" s="2" t="str">
        <f aca="false">IF(NOT(LEFT(D29,1)="1"),"N/A",IF(BC29="","Baseline",IF(BJ29,"At Risk",IF(AND(N(BD29)&gt;=Assumptions!$B$78,N(BE29)&gt;=Assumptions!$B$79,N(BH29)&gt;=1,N(BH29)/MAX(N(BG29),1)&gt;AY29),"Self-Serve Capability Demonstrated",IF(OR(N(BD29)&gt;=Assumptions!$B$76,N(BE29)&gt;=Assumptions!$B$77),"Progressing",IF(BC29&gt;=Assumptions!$B$85,"At Risk","Baseline"))))))</f>
        <v>N/A</v>
      </c>
      <c r="BL29" s="2" t="n">
        <f aca="false">(AND(C29="Broker-Reliant",OR(AK29="Discovery-to-Offer Enablement",AK29="Reinforce Successful Behaviour")))*1+(AND(G29="Declining",E29&lt;&gt;"Tail",AL29="Automated"))*1+(AND(Y29,AM29&lt;&gt;"Human Sign-Off Required"))*1+(AND(AA29,AM29&lt;&gt;"HOLD — Critical Data Issue"))*1+(AND(P29="Recent Inactivity",OR(AK29="Discovery-to-Offer Enablement",AK29="Reinforce Successful Behaviour")))*1+(AND(OR(LEFT(D29,1)="2",LEFT(D29,1)="3",LEFT(D29,1)="8"),AL29="Automated"))*1+((LEFT(D29,1)="1")&lt;&gt;(AK29="Guided Self-Serve Migration"))*1+(AND(AR29&lt;&gt;"",OR(F29&lt;&gt;"Low",U29="Mixed",AND(G29&lt;&gt;"Growing",G29&lt;&gt;"Stable"))))*1+ISNUMBER(SEARCH("chat",AP29))*1+ISNUMBER(SEARCH("video",AP29))*1+(AND(AA29,AL29="Automated",AM29&lt;&gt;"HOLD — Critical Data Issue"))*1</f>
        <v>0</v>
      </c>
    </row>
    <row r="30" customFormat="false" ht="15" hidden="false" customHeight="false" outlineLevel="0" collapsed="false">
      <c r="A30" s="2" t="s">
        <v>450</v>
      </c>
      <c r="B30" s="2" t="str">
        <f aca="false">INDEX(Segmentation!$B$2:$B$301,MATCH($A30,Segmentation!$A$2:$A$301,0))</f>
        <v>Account Managed</v>
      </c>
      <c r="C30" s="2" t="str">
        <f aca="false">INDEX(Segmentation!$H$2:$H$301,MATCH($A30,Segmentation!$A$2:$A$301,0))</f>
        <v>Broker-Reliant</v>
      </c>
      <c r="D30" s="2" t="str">
        <f aca="false">INDEX(Segmentation!$T$2:$T$301,MATCH($A30,Segmentation!$A$2:$A$301,0))</f>
        <v>1. Migration Candidate</v>
      </c>
      <c r="E30" s="2" t="str">
        <f aca="false">INDEX(Segmentation!$J$2:$J$301,MATCH($A30,Segmentation!$A$2:$A$301,0))</f>
        <v>Core</v>
      </c>
      <c r="F30" s="2" t="str">
        <f aca="false">INDEX(Segmentation!$G$2:$G$301,MATCH($A30,Segmentation!$A$2:$A$301,0))</f>
        <v>High</v>
      </c>
      <c r="G30" s="2" t="str">
        <f aca="false">INDEX(Segmentation!$N$2:$N$301,MATCH($A30,Segmentation!$A$2:$A$301,0))</f>
        <v>Growing</v>
      </c>
      <c r="H30" s="9" t="n">
        <f aca="false">INDEX(Segmentation!$I$2:$I$301,MATCH($A30,Segmentation!$A$2:$A$301,0))</f>
        <v>4513</v>
      </c>
      <c r="I30" s="2" t="n">
        <f aca="false">INDEX(Segmentation!$O$2:$O$301,MATCH($A30,Segmentation!$A$2:$A$301,0))</f>
        <v>5</v>
      </c>
      <c r="J30" s="2" t="n">
        <f aca="false">INDEX(Segmentation!$Q$2:$Q$301,MATCH($A30,Segmentation!$A$2:$A$301,0))</f>
        <v>1</v>
      </c>
      <c r="K30" s="2" t="n">
        <f aca="false">INDEX(Segmentation!$W$2:$W$301,MATCH($A30,Segmentation!$A$2:$A$301,0))</f>
        <v>4</v>
      </c>
      <c r="L30" s="9" t="n">
        <f aca="false">INDEX('Commercial View'!$L$2:$L$301,MATCH($A30,'Commercial View'!$A$2:$A$301,0))</f>
        <v>0</v>
      </c>
      <c r="M30" s="9" t="n">
        <f aca="false">INDEX('Commercial View'!$M$2:$M$301,MATCH($A30,'Commercial View'!$A$2:$A$301,0))</f>
        <v>2123</v>
      </c>
      <c r="N30" s="9" t="n">
        <f aca="false">INDEX('Commercial View'!$N$2:$N$301,MATCH($A30,'Commercial View'!$A$2:$A$301,0))</f>
        <v>1895</v>
      </c>
      <c r="O30" s="9" t="n">
        <f aca="false">INDEX(Segmentation!$L$2:$L$301,MATCH($A30,Segmentation!$A$2:$A$301,0))</f>
        <v>4018</v>
      </c>
      <c r="P30" s="2" t="str">
        <f aca="false">IF(OR(M30&gt;0,N30&gt;0),"Recently Active",IF(OR(I30&lt;=Assumptions!$B$48,K30&lt;=Assumptions!$B$49),"No Meaningful History","Recent Inactivity"))</f>
        <v>Recently Active</v>
      </c>
      <c r="Q30" s="2" t="str">
        <f aca="false">INDEX(Segmentation!$AF$2:$AF$301,MATCH($A30,Segmentation!$A$2:$A$301,0))</f>
        <v>Existing Customer</v>
      </c>
      <c r="R30" s="2" t="str">
        <f aca="false">INDEX(Segmentation!$AL$2:$AL$301,MATCH($A30,Segmentation!$A$2:$A$301,0))</f>
        <v>N/A</v>
      </c>
      <c r="S30" s="10" t="b">
        <f aca="false">INDEX(Segmentation!$AW$2:$AW$301,MATCH($A30,Segmentation!$A$2:$A$301,0))</f>
        <v>0</v>
      </c>
      <c r="T30" s="2" t="str">
        <f aca="false">INDEX('Feature Data'!$AD$2:$AD$301,MATCH($A30,'Feature Data'!$A$2:$A$301,0))</f>
        <v>Broker-led, product-blind</v>
      </c>
      <c r="U30" s="2" t="str">
        <f aca="false">INDEX('Feature Data'!$W$2:$W$301,MATCH($A30,'Feature Data'!$A$2:$A$301,0))</f>
        <v>Mixed</v>
      </c>
      <c r="V30" s="2" t="n">
        <f aca="false">INDEX('Feature Data'!$P$2:$P$301,MATCH($A30,'Feature Data'!$A$2:$A$301,0))</f>
        <v>10</v>
      </c>
      <c r="W30" s="2" t="n">
        <f aca="false">INDEX(Segmentation!$R$2:$R$301,MATCH($A30,Segmentation!$A$2:$A$301,0))</f>
        <v>6</v>
      </c>
      <c r="X30" s="2" t="n">
        <f aca="false">INDEX(Segmentation!$S$2:$S$301,MATCH($A30,Segmentation!$A$2:$A$301,0))</f>
        <v>0</v>
      </c>
      <c r="Y30" s="10" t="b">
        <f aca="false">INDEX(Segmentation!$AG$2:$AG$301,MATCH($A30,Segmentation!$A$2:$A$301,0))</f>
        <v>0</v>
      </c>
      <c r="Z30" s="2" t="str">
        <f aca="false">INDEX(Segmentation!$AU$2:$AU$301,MATCH($A30,Segmentation!$A$2:$A$301,0))</f>
        <v>Not Eligible</v>
      </c>
      <c r="AA30" s="10" t="b">
        <f aca="false">INDEX(Segmentation!$Z$2:$Z$301,MATCH($A30,Segmentation!$A$2:$A$301,0))</f>
        <v>0</v>
      </c>
      <c r="AB30" s="10" t="b">
        <f aca="false">INDEX(Segmentation!$AH$2:$AH$301,MATCH($A30,Segmentation!$A$2:$A$301,0))</f>
        <v>0</v>
      </c>
      <c r="AC30" s="10" t="b">
        <f aca="false">INDEX(Segmentation!$AK$2:$AK$301,MATCH($A30,Segmentation!$A$2:$A$301,0))</f>
        <v>0</v>
      </c>
      <c r="AD30" s="10" t="b">
        <f aca="false">INDEX(Segmentation!$AQ$2:$AQ$301,MATCH($A30,Segmentation!$A$2:$A$301,0))</f>
        <v>1</v>
      </c>
      <c r="AE30" s="10" t="b">
        <f aca="false">INDEX(Segmentation!$AT$2:$AT$301,MATCH($A30,Segmentation!$A$2:$A$301,0))</f>
        <v>0</v>
      </c>
      <c r="AF30" s="10" t="b">
        <f aca="false">INDEX(Segmentation!$X$2:$X$301,MATCH($A30,Segmentation!$A$2:$A$301,0))</f>
        <v>0</v>
      </c>
      <c r="AG30" s="10" t="b">
        <f aca="false">AND(F30="Low",V30&gt;=Assumptions!$B$71,X30&lt;Assumptions!$B$72)</f>
        <v>0</v>
      </c>
      <c r="AH30" s="10" t="b">
        <f aca="false">AND(F30="Low",OR(G30="Growing",G30="Stable"),P30="Recently Active",V30&gt;=Assumptions!$B$58,K30&gt;=Assumptions!$B$73)</f>
        <v>0</v>
      </c>
      <c r="AI30" s="17" t="n">
        <f aca="false">IF(O30&gt;0,MAX(L30:N30)/O30,"")</f>
        <v>0.528372324539572</v>
      </c>
      <c r="AJ30" s="2" t="str">
        <f aca="false">IF(LEFT(D30,1)="1",IF(E30="Key","MIGRATION_KEY_SIGNOFF",IF(Z30="Ready","MIGRATION_PHASE1_READY",IF(Z30="Manual Review","MIGRATION_PHASE1_REVIEW","MIGRATION_PRE_ENTRY"))),IF(LEFT(D30,1)="2","DECLINING_KEY_CORE",IF(LEFT(D30,1)="3",IF(R30="Established Buyer Lapsed","LAPSED_ESTABLISHED","LAPSED_THIN_HISTORY"),IF(LEFT(D30,1)="4",IF(Q30="New Customer","NEW_CUSTOMER","RETURNED_CUSTOMER"),IF(LEFT(D30,1)="5",IF(P30="Recently Active","COST_TO_SERVE_ACTIVE","DORMANT_LOW_VALUE"),IF(LEFT(D30,1)="6",IF(P30="Recent Inactivity","RECENT_INACTIVITY",IF(AG30,"BROWSING_LOW_OFFERS","HEALTHY_STRONG_SELF_SERVE")),IF(LEFT(D30,1)="7",IF(P30="Recent Inactivity","RECENT_INACTIVITY",IF(Q30="New Customer","NEW_CUSTOMER","RETURNED_CUSTOMER")),IF(LEFT(D30,1)="8",IF(G30="Declining",IF(T30="Engaged but shrinking (Key/Core)","ENGAGED_BUT_SHRINKING","DECLINING_KEY_CORE"),IF(R30="Established Buyer Lapsed","LAPSED_ESTABLISHED","LAPSED_THIN_HISTORY")),IF(S30,IF(P30&lt;&gt;"Recently Active","DORMANT_LOW_VALUE",IF(AG30,"BROWSING_LOW_OFFERS",IF(AH30,"RISING_TAIL","RISING_TAIL_EARLY"))),IF(AND(AG30,P30="Recently Active",OR(G30="Growing",G30="Stable",G30="H2 Active / No H1 GMV"),I30&gt;=Assumptions!$B$74),"BROWSING_LOW_OFFERS","LONG_TAIL_STANDARD"))))))))))</f>
        <v>MIGRATION_PRE_ENTRY</v>
      </c>
      <c r="AK30" s="2" t="str">
        <f aca="false">INDEX('NBA Library'!$B$4:$B$21,MATCH(AJ30,'NBA Library'!$A$4:$A$21,0))</f>
        <v>Guided Self-Serve Migration</v>
      </c>
      <c r="AL30" s="2" t="str">
        <f aca="false">INDEX('NBA Library'!$C$4:$C$21,MATCH(AJ30,'NBA Library'!$A$4:$A$21,0))</f>
        <v>Human</v>
      </c>
      <c r="AM30" s="2" t="str">
        <f aca="false">IF(AA30,"HOLD — Critical Data Issue",IF(Y30,"Human Sign-Off Required",IF(Z30="Manual Review","Human Review Required",IF(AND(AL30="Automated",OR(AE30,AND(OR(AK30="Discovery-to-Offer Enablement",AK30="Reinforce Successful Behaviour"),OR(AC30,AB30)))),"Human Review Required",IF(AL30="Human","Ready — Human",IF(AL30="Hybrid","Ready — Hybrid","Ready — Automated"))))))</f>
        <v>Ready — Human</v>
      </c>
      <c r="AN30" s="2" t="str">
        <f aca="false">IF(AA30,"P0",IF(AND(AJ30="BROWSING_LOW_OFFERS",E30="Tail"),"P3",IF(AND(AM30="Human Review Required",INDEX('NBA Library'!$D$4:$D$21,MATCH(AJ30,'NBA Library'!$A$4:$A$21,0))="P4"),"P3",INDEX('NBA Library'!$D$4:$D$21,MATCH(AJ30,'NBA Library'!$A$4:$A$21,0)))))</f>
        <v>P3</v>
      </c>
      <c r="AO30" s="2" t="str">
        <f aca="false">E30&amp;" "&amp;C30&amp;" account ("&amp;B30&amp;"); "&amp;G30&amp;" momentum; "&amp;P30&amp;"; £"&amp;TEXT(H30,"#,##0")&amp;" 6m GMV. "&amp;INDEX('NBA Library'!$G$4:$G$21,MATCH(AJ30,'NBA Library'!$A$4:$A$21,0))&amp;IF(LEFT(D30,1)="1"," Baseline: "&amp;V30&amp;" PDP views, "&amp;W30&amp;" app days, "&amp;X30&amp;" offers, "&amp;TEXT(J30/I30,"0%")&amp;" of orders self-serve.","")&amp;IF(AA30," Execution on HOLD until the Duplicate status is resolved.","")&amp;IF(Y30," Key account: explicit AM/leadership sign-off required before any migration activity.","")&amp;IF(AE30," Implied broker % from order counts would move this account to a different segment; review before automating.","")</f>
        <v>Core Broker-Reliant account (Account Managed); Growing momentum; Recently Active; £4,513 6m GMV. Broker-reliant Core account with healthy spend but only one self-serve order. Not yet Phase 1 eligible. Baseline: 10 PDP views, 6 app days, 0 offers, 20% of orders self-serve.</v>
      </c>
      <c r="AP30" s="2" t="str">
        <f aca="false">INDEX('NBA Library'!$E$4:$E$21,MATCH(AJ30,'NBA Library'!$A$4:$A$21,0))&amp;IF(AND(AJ30="NEW_CUSTOMER",AG30),"; introduce Make-an-Offer on items already browsed","")</f>
        <v>AM encourages a second self-serve checkout (Phase 1 entry evidence) without reducing support</v>
      </c>
      <c r="AQ30" s="2" t="str">
        <f aca="false">INDEX('NBA Library'!$F$4:$F$21,MATCH(AJ30,'NBA Library'!$A$4:$A$21,0))</f>
        <v>2+ self-serve orders, then re-assess for Phase 1</v>
      </c>
      <c r="AR30" s="2" t="str">
        <f aca="false">IF(AND(F30="Low",OR(G30="Growing",G30="Stable"),P30="Recently Active",U30&lt;&gt;"Mixed",OR(AK30="Discovery-to-Offer Enablement",AK30="Reinforce Successful Behaviour"),AM30="Ready — Automated",OR(E30&lt;&gt;"Tail",S30)),"Range Expansion Test — trial "&amp;IF(U30="Bundle-only","handpick","bundles")&amp;" (experimental; not proven to lift GMV)","")</f>
        <v/>
      </c>
      <c r="AS30" s="2" t="str">
        <f aca="false">IF(AK30&lt;&gt;"Automated Nurture","",IF(AJ30="DORMANT_LOW_VALUE","Dormant",IF(AJ30="RISING_TAIL_EARLY","Rising tail – early pattern",IF(Q30="New Customer","New customer onboarding",IF(Q30="Returned Customer","Returned customer",IF(G30="Lapsed","Dormant",IF(T30="Engaged, not converting","Engaged, not converting",IF(T30="One-off low-touch buyer","One-off purchaser",IF(T30="Light-touch repeat buyer","Light-touch repeat buyer","Standard long tail")))))))))</f>
        <v/>
      </c>
      <c r="AT30" s="2" t="str">
        <f aca="false">IF(AA30,"CRITICAL_DATA_BLOCKER; ","")&amp;IF(Y30,"KEY_SIGNOFF; ","")&amp;IF(Z30="Manual Review","PHASE1_MANUAL_REVIEW; ","")&amp;IF(AND(LEFT(D30,1)="1",AZ30="Lumpy"),"LUMPY_CADENCE; ","")&amp;IF(AB30,"BORDERLINE_MOMENTUM; ","")&amp;IF(AC30,"FEB_SENSITIVE; ","")&amp;IF(AD30,"MATERIAL_BROKER_INCONSISTENCY"&amp;IF(AE30," (segment would change)","")&amp;"; ","")&amp;IF(AND(I30&gt;=3,O30&gt;0),IF(AI30&gt;=Assumptions!$B$75,"H2_SINGLE_MONTH_SPIKE; ",""),"")&amp;IF(AND(M30&gt;0,N30=0),"NO_FEB_GMV (Feb unconfirmed); ","")&amp;IF(AF30,"LOW_CONFIDENCE; ","")</f>
        <v>MATERIAL_BROKER_INCONSISTENCY; </v>
      </c>
      <c r="AU30" s="2" t="n">
        <f aca="false">IF(LEFT(D30,1)="1",V30,"")</f>
        <v>10</v>
      </c>
      <c r="AV30" s="10" t="b">
        <f aca="false">IF(LEFT(D30,1)="1",V30&gt;=Assumptions!$B$58,"")</f>
        <v>0</v>
      </c>
      <c r="AW30" s="2" t="n">
        <f aca="false">IF(LEFT(D30,1)="1",W30,"")</f>
        <v>6</v>
      </c>
      <c r="AX30" s="2" t="n">
        <f aca="false">IF(LEFT(D30,1)="1",X30,"")</f>
        <v>0</v>
      </c>
      <c r="AY30" s="17" t="n">
        <f aca="false">IF(LEFT(D30,1)="1",J30/I30,"")</f>
        <v>0.2</v>
      </c>
      <c r="AZ30" s="2" t="str">
        <f aca="false">IF(LEFT(D30,1)="1",IF(AND(K30&gt;=Assumptions!$B$83,I30&gt;=Assumptions!$B$84),"Regular","Lumpy"),"")</f>
        <v>Regular</v>
      </c>
      <c r="BA30" s="2" t="n">
        <f aca="false">IF(LEFT(D30,1)="1",ROUND(6/K30,0),"")</f>
        <v>2</v>
      </c>
      <c r="BB30" s="2" t="str">
        <f aca="false">IF(LEFT(D30,1)="1",IF(AZ30="Regular","Regular buyer: expected ~£"&amp;TEXT(H30/2,"#,##0")&amp;" per 90 days. At Risk if GMV to date &lt; "&amp;TEXT(Assumptions!$B$81,"0%")&amp;" of pro-rated expectation, checked from day "&amp;Assumptions!$B$82&amp;". Human-reviewed.","Irregular buyer ("&amp;I30&amp;" orders across "&amp;K30&amp;" months): no numeric GMV threshold. At Risk if no order within ~"&amp;BA30&amp;" month(s); AM reviews at day "&amp;Assumptions!$B$82&amp;" and "&amp;Assumptions!$B$85&amp;"."),"")</f>
        <v>Regular buyer: expected ~£2,257 per 90 days. At Risk if GMV to date &lt; 70% of pro-rated expectation, checked from day 45. Human-reviewed.</v>
      </c>
      <c r="BC30" s="18"/>
      <c r="BD30" s="18"/>
      <c r="BE30" s="18"/>
      <c r="BF30" s="18"/>
      <c r="BG30" s="18"/>
      <c r="BH30" s="18"/>
      <c r="BI30" s="18"/>
      <c r="BJ30" s="2" t="str">
        <f aca="false">IF(OR(NOT(LEFT(D30,1)="1"),BC30=""),"",IF(AZ30="Regular",AND(BC30&gt;=Assumptions!$B$82,N(BI30)&lt;Assumptions!$B$81*H30/180*BC30),AND(BC30&gt;=BA30*30,N(BG30)=0)))</f>
        <v/>
      </c>
      <c r="BK30" s="2" t="str">
        <f aca="false">IF(NOT(LEFT(D30,1)="1"),"N/A",IF(BC30="","Baseline",IF(BJ30,"At Risk",IF(AND(N(BD30)&gt;=Assumptions!$B$78,N(BE30)&gt;=Assumptions!$B$79,N(BH30)&gt;=1,N(BH30)/MAX(N(BG30),1)&gt;AY30),"Self-Serve Capability Demonstrated",IF(OR(N(BD30)&gt;=Assumptions!$B$76,N(BE30)&gt;=Assumptions!$B$77),"Progressing",IF(BC30&gt;=Assumptions!$B$85,"At Risk","Baseline"))))))</f>
        <v>Baseline</v>
      </c>
      <c r="BL30" s="2" t="n">
        <f aca="false">(AND(C30="Broker-Reliant",OR(AK30="Discovery-to-Offer Enablement",AK30="Reinforce Successful Behaviour")))*1+(AND(G30="Declining",E30&lt;&gt;"Tail",AL30="Automated"))*1+(AND(Y30,AM30&lt;&gt;"Human Sign-Off Required"))*1+(AND(AA30,AM30&lt;&gt;"HOLD — Critical Data Issue"))*1+(AND(P30="Recent Inactivity",OR(AK30="Discovery-to-Offer Enablement",AK30="Reinforce Successful Behaviour")))*1+(AND(OR(LEFT(D30,1)="2",LEFT(D30,1)="3",LEFT(D30,1)="8"),AL30="Automated"))*1+((LEFT(D30,1)="1")&lt;&gt;(AK30="Guided Self-Serve Migration"))*1+(AND(AR30&lt;&gt;"",OR(F30&lt;&gt;"Low",U30="Mixed",AND(G30&lt;&gt;"Growing",G30&lt;&gt;"Stable"))))*1+ISNUMBER(SEARCH("chat",AP30))*1+ISNUMBER(SEARCH("video",AP30))*1+(AND(AA30,AL30="Automated",AM30&lt;&gt;"HOLD — Critical Data Issue"))*1</f>
        <v>0</v>
      </c>
    </row>
    <row r="31" customFormat="false" ht="15" hidden="false" customHeight="false" outlineLevel="0" collapsed="false">
      <c r="A31" s="2" t="s">
        <v>412</v>
      </c>
      <c r="B31" s="2" t="str">
        <f aca="false">INDEX(Segmentation!$B$2:$B$301,MATCH($A31,Segmentation!$A$2:$A$301,0))</f>
        <v>Account Managed</v>
      </c>
      <c r="C31" s="2" t="str">
        <f aca="false">INDEX(Segmentation!$H$2:$H$301,MATCH($A31,Segmentation!$A$2:$A$301,0))</f>
        <v>Broker-Reliant</v>
      </c>
      <c r="D31" s="2" t="str">
        <f aca="false">INDEX(Segmentation!$T$2:$T$301,MATCH($A31,Segmentation!$A$2:$A$301,0))</f>
        <v>1. Migration Candidate</v>
      </c>
      <c r="E31" s="2" t="str">
        <f aca="false">INDEX(Segmentation!$J$2:$J$301,MATCH($A31,Segmentation!$A$2:$A$301,0))</f>
        <v>Core</v>
      </c>
      <c r="F31" s="2" t="str">
        <f aca="false">INDEX(Segmentation!$G$2:$G$301,MATCH($A31,Segmentation!$A$2:$A$301,0))</f>
        <v>High</v>
      </c>
      <c r="G31" s="2" t="str">
        <f aca="false">INDEX(Segmentation!$N$2:$N$301,MATCH($A31,Segmentation!$A$2:$A$301,0))</f>
        <v>Growing</v>
      </c>
      <c r="H31" s="9" t="n">
        <f aca="false">INDEX(Segmentation!$I$2:$I$301,MATCH($A31,Segmentation!$A$2:$A$301,0))</f>
        <v>4415</v>
      </c>
      <c r="I31" s="2" t="n">
        <f aca="false">INDEX(Segmentation!$O$2:$O$301,MATCH($A31,Segmentation!$A$2:$A$301,0))</f>
        <v>5</v>
      </c>
      <c r="J31" s="2" t="n">
        <f aca="false">INDEX(Segmentation!$Q$2:$Q$301,MATCH($A31,Segmentation!$A$2:$A$301,0))</f>
        <v>2</v>
      </c>
      <c r="K31" s="2" t="n">
        <f aca="false">INDEX(Segmentation!$W$2:$W$301,MATCH($A31,Segmentation!$A$2:$A$301,0))</f>
        <v>4</v>
      </c>
      <c r="L31" s="9" t="n">
        <f aca="false">INDEX('Commercial View'!$L$2:$L$301,MATCH($A31,'Commercial View'!$A$2:$A$301,0))</f>
        <v>0</v>
      </c>
      <c r="M31" s="9" t="n">
        <f aca="false">INDEX('Commercial View'!$M$2:$M$301,MATCH($A31,'Commercial View'!$A$2:$A$301,0))</f>
        <v>3513</v>
      </c>
      <c r="N31" s="9" t="n">
        <f aca="false">INDEX('Commercial View'!$N$2:$N$301,MATCH($A31,'Commercial View'!$A$2:$A$301,0))</f>
        <v>0</v>
      </c>
      <c r="O31" s="9" t="n">
        <f aca="false">INDEX(Segmentation!$L$2:$L$301,MATCH($A31,Segmentation!$A$2:$A$301,0))</f>
        <v>3513</v>
      </c>
      <c r="P31" s="2" t="str">
        <f aca="false">IF(OR(M31&gt;0,N31&gt;0),"Recently Active",IF(OR(I31&lt;=Assumptions!$B$48,K31&lt;=Assumptions!$B$49),"No Meaningful History","Recent Inactivity"))</f>
        <v>Recently Active</v>
      </c>
      <c r="Q31" s="2" t="str">
        <f aca="false">INDEX(Segmentation!$AF$2:$AF$301,MATCH($A31,Segmentation!$A$2:$A$301,0))</f>
        <v>Existing Customer</v>
      </c>
      <c r="R31" s="2" t="str">
        <f aca="false">INDEX(Segmentation!$AL$2:$AL$301,MATCH($A31,Segmentation!$A$2:$A$301,0))</f>
        <v>N/A</v>
      </c>
      <c r="S31" s="10" t="b">
        <f aca="false">INDEX(Segmentation!$AW$2:$AW$301,MATCH($A31,Segmentation!$A$2:$A$301,0))</f>
        <v>0</v>
      </c>
      <c r="T31" s="2" t="str">
        <f aca="false">INDEX('Feature Data'!$AD$2:$AD$301,MATCH($A31,'Feature Data'!$A$2:$A$301,0))</f>
        <v>Broker-led, product-blind</v>
      </c>
      <c r="U31" s="2" t="str">
        <f aca="false">INDEX('Feature Data'!$W$2:$W$301,MATCH($A31,'Feature Data'!$A$2:$A$301,0))</f>
        <v>Mixed</v>
      </c>
      <c r="V31" s="2" t="n">
        <f aca="false">INDEX('Feature Data'!$P$2:$P$301,MATCH($A31,'Feature Data'!$A$2:$A$301,0))</f>
        <v>2</v>
      </c>
      <c r="W31" s="2" t="n">
        <f aca="false">INDEX(Segmentation!$R$2:$R$301,MATCH($A31,Segmentation!$A$2:$A$301,0))</f>
        <v>2</v>
      </c>
      <c r="X31" s="2" t="n">
        <f aca="false">INDEX(Segmentation!$S$2:$S$301,MATCH($A31,Segmentation!$A$2:$A$301,0))</f>
        <v>0</v>
      </c>
      <c r="Y31" s="10" t="b">
        <f aca="false">INDEX(Segmentation!$AG$2:$AG$301,MATCH($A31,Segmentation!$A$2:$A$301,0))</f>
        <v>0</v>
      </c>
      <c r="Z31" s="2" t="str">
        <f aca="false">INDEX(Segmentation!$AU$2:$AU$301,MATCH($A31,Segmentation!$A$2:$A$301,0))</f>
        <v>Ready</v>
      </c>
      <c r="AA31" s="10" t="b">
        <f aca="false">INDEX(Segmentation!$Z$2:$Z$301,MATCH($A31,Segmentation!$A$2:$A$301,0))</f>
        <v>0</v>
      </c>
      <c r="AB31" s="10" t="b">
        <f aca="false">INDEX(Segmentation!$AH$2:$AH$301,MATCH($A31,Segmentation!$A$2:$A$301,0))</f>
        <v>0</v>
      </c>
      <c r="AC31" s="10" t="b">
        <f aca="false">INDEX(Segmentation!$AK$2:$AK$301,MATCH($A31,Segmentation!$A$2:$A$301,0))</f>
        <v>0</v>
      </c>
      <c r="AD31" s="10" t="b">
        <f aca="false">INDEX(Segmentation!$AQ$2:$AQ$301,MATCH($A31,Segmentation!$A$2:$A$301,0))</f>
        <v>0</v>
      </c>
      <c r="AE31" s="10" t="b">
        <f aca="false">INDEX(Segmentation!$AT$2:$AT$301,MATCH($A31,Segmentation!$A$2:$A$301,0))</f>
        <v>0</v>
      </c>
      <c r="AF31" s="10" t="b">
        <f aca="false">INDEX(Segmentation!$X$2:$X$301,MATCH($A31,Segmentation!$A$2:$A$301,0))</f>
        <v>0</v>
      </c>
      <c r="AG31" s="10" t="b">
        <f aca="false">AND(F31="Low",V31&gt;=Assumptions!$B$71,X31&lt;Assumptions!$B$72)</f>
        <v>0</v>
      </c>
      <c r="AH31" s="10" t="b">
        <f aca="false">AND(F31="Low",OR(G31="Growing",G31="Stable"),P31="Recently Active",V31&gt;=Assumptions!$B$58,K31&gt;=Assumptions!$B$73)</f>
        <v>0</v>
      </c>
      <c r="AI31" s="17" t="n">
        <f aca="false">IF(O31&gt;0,MAX(L31:N31)/O31,"")</f>
        <v>1</v>
      </c>
      <c r="AJ31" s="2" t="str">
        <f aca="false">IF(LEFT(D31,1)="1",IF(E31="Key","MIGRATION_KEY_SIGNOFF",IF(Z31="Ready","MIGRATION_PHASE1_READY",IF(Z31="Manual Review","MIGRATION_PHASE1_REVIEW","MIGRATION_PRE_ENTRY"))),IF(LEFT(D31,1)="2","DECLINING_KEY_CORE",IF(LEFT(D31,1)="3",IF(R31="Established Buyer Lapsed","LAPSED_ESTABLISHED","LAPSED_THIN_HISTORY"),IF(LEFT(D31,1)="4",IF(Q31="New Customer","NEW_CUSTOMER","RETURNED_CUSTOMER"),IF(LEFT(D31,1)="5",IF(P31="Recently Active","COST_TO_SERVE_ACTIVE","DORMANT_LOW_VALUE"),IF(LEFT(D31,1)="6",IF(P31="Recent Inactivity","RECENT_INACTIVITY",IF(AG31,"BROWSING_LOW_OFFERS","HEALTHY_STRONG_SELF_SERVE")),IF(LEFT(D31,1)="7",IF(P31="Recent Inactivity","RECENT_INACTIVITY",IF(Q31="New Customer","NEW_CUSTOMER","RETURNED_CUSTOMER")),IF(LEFT(D31,1)="8",IF(G31="Declining",IF(T31="Engaged but shrinking (Key/Core)","ENGAGED_BUT_SHRINKING","DECLINING_KEY_CORE"),IF(R31="Established Buyer Lapsed","LAPSED_ESTABLISHED","LAPSED_THIN_HISTORY")),IF(S31,IF(P31&lt;&gt;"Recently Active","DORMANT_LOW_VALUE",IF(AG31,"BROWSING_LOW_OFFERS",IF(AH31,"RISING_TAIL","RISING_TAIL_EARLY"))),IF(AND(AG31,P31="Recently Active",OR(G31="Growing",G31="Stable",G31="H2 Active / No H1 GMV"),I31&gt;=Assumptions!$B$74),"BROWSING_LOW_OFFERS","LONG_TAIL_STANDARD"))))))))))</f>
        <v>MIGRATION_PHASE1_READY</v>
      </c>
      <c r="AK31" s="2" t="str">
        <f aca="false">INDEX('NBA Library'!$B$4:$B$21,MATCH(AJ31,'NBA Library'!$A$4:$A$21,0))</f>
        <v>Guided Self-Serve Migration</v>
      </c>
      <c r="AL31" s="2" t="str">
        <f aca="false">INDEX('NBA Library'!$C$4:$C$21,MATCH(AJ31,'NBA Library'!$A$4:$A$21,0))</f>
        <v>Hybrid</v>
      </c>
      <c r="AM31" s="2" t="str">
        <f aca="false">IF(AA31,"HOLD — Critical Data Issue",IF(Y31,"Human Sign-Off Required",IF(Z31="Manual Review","Human Review Required",IF(AND(AL31="Automated",OR(AE31,AND(OR(AK31="Discovery-to-Offer Enablement",AK31="Reinforce Successful Behaviour"),OR(AC31,AB31)))),"Human Review Required",IF(AL31="Human","Ready — Human",IF(AL31="Hybrid","Ready — Hybrid","Ready — Automated"))))))</f>
        <v>Ready — Hybrid</v>
      </c>
      <c r="AN31" s="2" t="str">
        <f aca="false">IF(AA31,"P0",IF(AND(AJ31="BROWSING_LOW_OFFERS",E31="Tail"),"P3",IF(AND(AM31="Human Review Required",INDEX('NBA Library'!$D$4:$D$21,MATCH(AJ31,'NBA Library'!$A$4:$A$21,0))="P4"),"P3",INDEX('NBA Library'!$D$4:$D$21,MATCH(AJ31,'NBA Library'!$A$4:$A$21,0)))))</f>
        <v>P2</v>
      </c>
      <c r="AO31" s="2" t="str">
        <f aca="false">E31&amp;" "&amp;C31&amp;" account ("&amp;B31&amp;"); "&amp;G31&amp;" momentum; "&amp;P31&amp;"; £"&amp;TEXT(H31,"#,##0")&amp;" 6m GMV. "&amp;INDEX('NBA Library'!$G$4:$G$21,MATCH(AJ31,'NBA Library'!$A$4:$A$21,0))&amp;IF(LEFT(D31,1)="1"," Baseline: "&amp;V31&amp;" PDP views, "&amp;W31&amp;" app days, "&amp;X31&amp;" offers, "&amp;TEXT(J31/I31,"0%")&amp;" of orders self-serve.","")&amp;IF(AA31," Execution on HOLD until the Duplicate status is resolved.","")&amp;IF(Y31," Key account: explicit AM/leadership sign-off required before any migration activity.","")&amp;IF(AE31," Implied broker % from order counts would move this account to a different segment; review before automating.","")</f>
        <v>Core Broker-Reliant account (Account Managed); Growing momentum; Recently Active; £4,415 6m GMV. Broker-reliant with healthy spend and repeat self-serve checkout but little independent browsing. Suitable for Phase 1 guided migration focused on product discovery. Baseline: 2 PDP views, 2 app days, 0 offers, 40% of orders self-serve.</v>
      </c>
      <c r="AP31" s="2" t="str">
        <f aca="false">INDEX('NBA Library'!$E$4:$E$21,MATCH(AJ31,'NBA Library'!$A$4:$A$21,0))&amp;IF(AND(AJ31="NEW_CUSTOMER",AG31),"; introduce Make-an-Offer on items already browsed","")</f>
        <v>Independently discover stock (PDP browsing) and use the app regularly; place more orders self-serve; offers optional</v>
      </c>
      <c r="AQ31" s="2" t="str">
        <f aca="false">INDEX('NBA Library'!$F$4:$F$21,MATCH(AJ31,'NBA Library'!$A$4:$A$21,0))</f>
        <v>90 days: Progressing -&gt; Capability Demonstrated (PDP, app days, rising self-serve share) with GMV guardrail held</v>
      </c>
      <c r="AR31" s="2" t="str">
        <f aca="false">IF(AND(F31="Low",OR(G31="Growing",G31="Stable"),P31="Recently Active",U31&lt;&gt;"Mixed",OR(AK31="Discovery-to-Offer Enablement",AK31="Reinforce Successful Behaviour"),AM31="Ready — Automated",OR(E31&lt;&gt;"Tail",S31)),"Range Expansion Test — trial "&amp;IF(U31="Bundle-only","handpick","bundles")&amp;" (experimental; not proven to lift GMV)","")</f>
        <v/>
      </c>
      <c r="AS31" s="2" t="str">
        <f aca="false">IF(AK31&lt;&gt;"Automated Nurture","",IF(AJ31="DORMANT_LOW_VALUE","Dormant",IF(AJ31="RISING_TAIL_EARLY","Rising tail – early pattern",IF(Q31="New Customer","New customer onboarding",IF(Q31="Returned Customer","Returned customer",IF(G31="Lapsed","Dormant",IF(T31="Engaged, not converting","Engaged, not converting",IF(T31="One-off low-touch buyer","One-off purchaser",IF(T31="Light-touch repeat buyer","Light-touch repeat buyer","Standard long tail")))))))))</f>
        <v/>
      </c>
      <c r="AT31" s="2" t="str">
        <f aca="false">IF(AA31,"CRITICAL_DATA_BLOCKER; ","")&amp;IF(Y31,"KEY_SIGNOFF; ","")&amp;IF(Z31="Manual Review","PHASE1_MANUAL_REVIEW; ","")&amp;IF(AND(LEFT(D31,1)="1",AZ31="Lumpy"),"LUMPY_CADENCE; ","")&amp;IF(AB31,"BORDERLINE_MOMENTUM; ","")&amp;IF(AC31,"FEB_SENSITIVE; ","")&amp;IF(AD31,"MATERIAL_BROKER_INCONSISTENCY"&amp;IF(AE31," (segment would change)","")&amp;"; ","")&amp;IF(AND(I31&gt;=3,O31&gt;0),IF(AI31&gt;=Assumptions!$B$75,"H2_SINGLE_MONTH_SPIKE; ",""),"")&amp;IF(AND(M31&gt;0,N31=0),"NO_FEB_GMV (Feb unconfirmed); ","")&amp;IF(AF31,"LOW_CONFIDENCE; ","")</f>
        <v>H2_SINGLE_MONTH_SPIKE; NO_FEB_GMV (Feb unconfirmed); </v>
      </c>
      <c r="AU31" s="2" t="n">
        <f aca="false">IF(LEFT(D31,1)="1",V31,"")</f>
        <v>2</v>
      </c>
      <c r="AV31" s="10" t="b">
        <f aca="false">IF(LEFT(D31,1)="1",V31&gt;=Assumptions!$B$58,"")</f>
        <v>0</v>
      </c>
      <c r="AW31" s="2" t="n">
        <f aca="false">IF(LEFT(D31,1)="1",W31,"")</f>
        <v>2</v>
      </c>
      <c r="AX31" s="2" t="n">
        <f aca="false">IF(LEFT(D31,1)="1",X31,"")</f>
        <v>0</v>
      </c>
      <c r="AY31" s="17" t="n">
        <f aca="false">IF(LEFT(D31,1)="1",J31/I31,"")</f>
        <v>0.4</v>
      </c>
      <c r="AZ31" s="2" t="str">
        <f aca="false">IF(LEFT(D31,1)="1",IF(AND(K31&gt;=Assumptions!$B$83,I31&gt;=Assumptions!$B$84),"Regular","Lumpy"),"")</f>
        <v>Regular</v>
      </c>
      <c r="BA31" s="2" t="n">
        <f aca="false">IF(LEFT(D31,1)="1",ROUND(6/K31,0),"")</f>
        <v>2</v>
      </c>
      <c r="BB31" s="2" t="str">
        <f aca="false">IF(LEFT(D31,1)="1",IF(AZ31="Regular","Regular buyer: expected ~£"&amp;TEXT(H31/2,"#,##0")&amp;" per 90 days. At Risk if GMV to date &lt; "&amp;TEXT(Assumptions!$B$81,"0%")&amp;" of pro-rated expectation, checked from day "&amp;Assumptions!$B$82&amp;". Human-reviewed.","Irregular buyer ("&amp;I31&amp;" orders across "&amp;K31&amp;" months): no numeric GMV threshold. At Risk if no order within ~"&amp;BA31&amp;" month(s); AM reviews at day "&amp;Assumptions!$B$82&amp;" and "&amp;Assumptions!$B$85&amp;"."),"")</f>
        <v>Regular buyer: expected ~£2,208 per 90 days. At Risk if GMV to date &lt; 70% of pro-rated expectation, checked from day 45. Human-reviewed.</v>
      </c>
      <c r="BC31" s="18"/>
      <c r="BD31" s="18"/>
      <c r="BE31" s="18"/>
      <c r="BF31" s="18"/>
      <c r="BG31" s="18"/>
      <c r="BH31" s="18"/>
      <c r="BI31" s="18"/>
      <c r="BJ31" s="2" t="str">
        <f aca="false">IF(OR(NOT(LEFT(D31,1)="1"),BC31=""),"",IF(AZ31="Regular",AND(BC31&gt;=Assumptions!$B$82,N(BI31)&lt;Assumptions!$B$81*H31/180*BC31),AND(BC31&gt;=BA31*30,N(BG31)=0)))</f>
        <v/>
      </c>
      <c r="BK31" s="2" t="str">
        <f aca="false">IF(NOT(LEFT(D31,1)="1"),"N/A",IF(BC31="","Baseline",IF(BJ31,"At Risk",IF(AND(N(BD31)&gt;=Assumptions!$B$78,N(BE31)&gt;=Assumptions!$B$79,N(BH31)&gt;=1,N(BH31)/MAX(N(BG31),1)&gt;AY31),"Self-Serve Capability Demonstrated",IF(OR(N(BD31)&gt;=Assumptions!$B$76,N(BE31)&gt;=Assumptions!$B$77),"Progressing",IF(BC31&gt;=Assumptions!$B$85,"At Risk","Baseline"))))))</f>
        <v>Baseline</v>
      </c>
      <c r="BL31" s="2" t="n">
        <f aca="false">(AND(C31="Broker-Reliant",OR(AK31="Discovery-to-Offer Enablement",AK31="Reinforce Successful Behaviour")))*1+(AND(G31="Declining",E31&lt;&gt;"Tail",AL31="Automated"))*1+(AND(Y31,AM31&lt;&gt;"Human Sign-Off Required"))*1+(AND(AA31,AM31&lt;&gt;"HOLD — Critical Data Issue"))*1+(AND(P31="Recent Inactivity",OR(AK31="Discovery-to-Offer Enablement",AK31="Reinforce Successful Behaviour")))*1+(AND(OR(LEFT(D31,1)="2",LEFT(D31,1)="3",LEFT(D31,1)="8"),AL31="Automated"))*1+((LEFT(D31,1)="1")&lt;&gt;(AK31="Guided Self-Serve Migration"))*1+(AND(AR31&lt;&gt;"",OR(F31&lt;&gt;"Low",U31="Mixed",AND(G31&lt;&gt;"Growing",G31&lt;&gt;"Stable"))))*1+ISNUMBER(SEARCH("chat",AP31))*1+ISNUMBER(SEARCH("video",AP31))*1+(AND(AA31,AL31="Automated",AM31&lt;&gt;"HOLD — Critical Data Issue"))*1</f>
        <v>0</v>
      </c>
    </row>
    <row r="32" customFormat="false" ht="15" hidden="false" customHeight="false" outlineLevel="0" collapsed="false">
      <c r="A32" s="2" t="s">
        <v>416</v>
      </c>
      <c r="B32" s="2" t="str">
        <f aca="false">INDEX(Segmentation!$B$2:$B$301,MATCH($A32,Segmentation!$A$2:$A$301,0))</f>
        <v>Account Managed</v>
      </c>
      <c r="C32" s="2" t="str">
        <f aca="false">INDEX(Segmentation!$H$2:$H$301,MATCH($A32,Segmentation!$A$2:$A$301,0))</f>
        <v>Broker-Reliant</v>
      </c>
      <c r="D32" s="2" t="str">
        <f aca="false">INDEX(Segmentation!$T$2:$T$301,MATCH($A32,Segmentation!$A$2:$A$301,0))</f>
        <v>1. Migration Candidate</v>
      </c>
      <c r="E32" s="2" t="str">
        <f aca="false">INDEX(Segmentation!$J$2:$J$301,MATCH($A32,Segmentation!$A$2:$A$301,0))</f>
        <v>Core</v>
      </c>
      <c r="F32" s="2" t="str">
        <f aca="false">INDEX(Segmentation!$G$2:$G$301,MATCH($A32,Segmentation!$A$2:$A$301,0))</f>
        <v>High</v>
      </c>
      <c r="G32" s="2" t="str">
        <f aca="false">INDEX(Segmentation!$N$2:$N$301,MATCH($A32,Segmentation!$A$2:$A$301,0))</f>
        <v>Growing</v>
      </c>
      <c r="H32" s="9" t="n">
        <f aca="false">INDEX(Segmentation!$I$2:$I$301,MATCH($A32,Segmentation!$A$2:$A$301,0))</f>
        <v>4372</v>
      </c>
      <c r="I32" s="2" t="n">
        <f aca="false">INDEX(Segmentation!$O$2:$O$301,MATCH($A32,Segmentation!$A$2:$A$301,0))</f>
        <v>8</v>
      </c>
      <c r="J32" s="2" t="n">
        <f aca="false">INDEX(Segmentation!$Q$2:$Q$301,MATCH($A32,Segmentation!$A$2:$A$301,0))</f>
        <v>2</v>
      </c>
      <c r="K32" s="2" t="n">
        <f aca="false">INDEX(Segmentation!$W$2:$W$301,MATCH($A32,Segmentation!$A$2:$A$301,0))</f>
        <v>3</v>
      </c>
      <c r="L32" s="9" t="n">
        <f aca="false">INDEX('Commercial View'!$L$2:$L$301,MATCH($A32,'Commercial View'!$A$2:$A$301,0))</f>
        <v>0</v>
      </c>
      <c r="M32" s="9" t="n">
        <f aca="false">INDEX('Commercial View'!$M$2:$M$301,MATCH($A32,'Commercial View'!$A$2:$A$301,0))</f>
        <v>1153</v>
      </c>
      <c r="N32" s="9" t="n">
        <f aca="false">INDEX('Commercial View'!$N$2:$N$301,MATCH($A32,'Commercial View'!$A$2:$A$301,0))</f>
        <v>2025</v>
      </c>
      <c r="O32" s="9" t="n">
        <f aca="false">INDEX(Segmentation!$L$2:$L$301,MATCH($A32,Segmentation!$A$2:$A$301,0))</f>
        <v>3178</v>
      </c>
      <c r="P32" s="2" t="str">
        <f aca="false">IF(OR(M32&gt;0,N32&gt;0),"Recently Active",IF(OR(I32&lt;=Assumptions!$B$48,K32&lt;=Assumptions!$B$49),"No Meaningful History","Recent Inactivity"))</f>
        <v>Recently Active</v>
      </c>
      <c r="Q32" s="2" t="str">
        <f aca="false">INDEX(Segmentation!$AF$2:$AF$301,MATCH($A32,Segmentation!$A$2:$A$301,0))</f>
        <v>Existing Customer</v>
      </c>
      <c r="R32" s="2" t="str">
        <f aca="false">INDEX(Segmentation!$AL$2:$AL$301,MATCH($A32,Segmentation!$A$2:$A$301,0))</f>
        <v>N/A</v>
      </c>
      <c r="S32" s="10" t="b">
        <f aca="false">INDEX(Segmentation!$AW$2:$AW$301,MATCH($A32,Segmentation!$A$2:$A$301,0))</f>
        <v>0</v>
      </c>
      <c r="T32" s="2" t="str">
        <f aca="false">INDEX('Feature Data'!$AD$2:$AD$301,MATCH($A32,'Feature Data'!$A$2:$A$301,0))</f>
        <v>Broker-led, product-blind</v>
      </c>
      <c r="U32" s="2" t="str">
        <f aca="false">INDEX('Feature Data'!$W$2:$W$301,MATCH($A32,'Feature Data'!$A$2:$A$301,0))</f>
        <v>Mixed</v>
      </c>
      <c r="V32" s="2" t="n">
        <f aca="false">INDEX('Feature Data'!$P$2:$P$301,MATCH($A32,'Feature Data'!$A$2:$A$301,0))</f>
        <v>1</v>
      </c>
      <c r="W32" s="2" t="n">
        <f aca="false">INDEX(Segmentation!$R$2:$R$301,MATCH($A32,Segmentation!$A$2:$A$301,0))</f>
        <v>5</v>
      </c>
      <c r="X32" s="2" t="n">
        <f aca="false">INDEX(Segmentation!$S$2:$S$301,MATCH($A32,Segmentation!$A$2:$A$301,0))</f>
        <v>1</v>
      </c>
      <c r="Y32" s="10" t="b">
        <f aca="false">INDEX(Segmentation!$AG$2:$AG$301,MATCH($A32,Segmentation!$A$2:$A$301,0))</f>
        <v>0</v>
      </c>
      <c r="Z32" s="2" t="str">
        <f aca="false">INDEX(Segmentation!$AU$2:$AU$301,MATCH($A32,Segmentation!$A$2:$A$301,0))</f>
        <v>Ready</v>
      </c>
      <c r="AA32" s="10" t="b">
        <f aca="false">INDEX(Segmentation!$Z$2:$Z$301,MATCH($A32,Segmentation!$A$2:$A$301,0))</f>
        <v>0</v>
      </c>
      <c r="AB32" s="10" t="b">
        <f aca="false">INDEX(Segmentation!$AH$2:$AH$301,MATCH($A32,Segmentation!$A$2:$A$301,0))</f>
        <v>0</v>
      </c>
      <c r="AC32" s="10" t="b">
        <f aca="false">INDEX(Segmentation!$AK$2:$AK$301,MATCH($A32,Segmentation!$A$2:$A$301,0))</f>
        <v>0</v>
      </c>
      <c r="AD32" s="10" t="b">
        <f aca="false">INDEX(Segmentation!$AQ$2:$AQ$301,MATCH($A32,Segmentation!$A$2:$A$301,0))</f>
        <v>0</v>
      </c>
      <c r="AE32" s="10" t="b">
        <f aca="false">INDEX(Segmentation!$AT$2:$AT$301,MATCH($A32,Segmentation!$A$2:$A$301,0))</f>
        <v>0</v>
      </c>
      <c r="AF32" s="10" t="b">
        <f aca="false">INDEX(Segmentation!$X$2:$X$301,MATCH($A32,Segmentation!$A$2:$A$301,0))</f>
        <v>0</v>
      </c>
      <c r="AG32" s="10" t="b">
        <f aca="false">AND(F32="Low",V32&gt;=Assumptions!$B$71,X32&lt;Assumptions!$B$72)</f>
        <v>0</v>
      </c>
      <c r="AH32" s="10" t="b">
        <f aca="false">AND(F32="Low",OR(G32="Growing",G32="Stable"),P32="Recently Active",V32&gt;=Assumptions!$B$58,K32&gt;=Assumptions!$B$73)</f>
        <v>0</v>
      </c>
      <c r="AI32" s="17" t="n">
        <f aca="false">IF(O32&gt;0,MAX(L32:N32)/O32,"")</f>
        <v>0.637193203272498</v>
      </c>
      <c r="AJ32" s="2" t="str">
        <f aca="false">IF(LEFT(D32,1)="1",IF(E32="Key","MIGRATION_KEY_SIGNOFF",IF(Z32="Ready","MIGRATION_PHASE1_READY",IF(Z32="Manual Review","MIGRATION_PHASE1_REVIEW","MIGRATION_PRE_ENTRY"))),IF(LEFT(D32,1)="2","DECLINING_KEY_CORE",IF(LEFT(D32,1)="3",IF(R32="Established Buyer Lapsed","LAPSED_ESTABLISHED","LAPSED_THIN_HISTORY"),IF(LEFT(D32,1)="4",IF(Q32="New Customer","NEW_CUSTOMER","RETURNED_CUSTOMER"),IF(LEFT(D32,1)="5",IF(P32="Recently Active","COST_TO_SERVE_ACTIVE","DORMANT_LOW_VALUE"),IF(LEFT(D32,1)="6",IF(P32="Recent Inactivity","RECENT_INACTIVITY",IF(AG32,"BROWSING_LOW_OFFERS","HEALTHY_STRONG_SELF_SERVE")),IF(LEFT(D32,1)="7",IF(P32="Recent Inactivity","RECENT_INACTIVITY",IF(Q32="New Customer","NEW_CUSTOMER","RETURNED_CUSTOMER")),IF(LEFT(D32,1)="8",IF(G32="Declining",IF(T32="Engaged but shrinking (Key/Core)","ENGAGED_BUT_SHRINKING","DECLINING_KEY_CORE"),IF(R32="Established Buyer Lapsed","LAPSED_ESTABLISHED","LAPSED_THIN_HISTORY")),IF(S32,IF(P32&lt;&gt;"Recently Active","DORMANT_LOW_VALUE",IF(AG32,"BROWSING_LOW_OFFERS",IF(AH32,"RISING_TAIL","RISING_TAIL_EARLY"))),IF(AND(AG32,P32="Recently Active",OR(G32="Growing",G32="Stable",G32="H2 Active / No H1 GMV"),I32&gt;=Assumptions!$B$74),"BROWSING_LOW_OFFERS","LONG_TAIL_STANDARD"))))))))))</f>
        <v>MIGRATION_PHASE1_READY</v>
      </c>
      <c r="AK32" s="2" t="str">
        <f aca="false">INDEX('NBA Library'!$B$4:$B$21,MATCH(AJ32,'NBA Library'!$A$4:$A$21,0))</f>
        <v>Guided Self-Serve Migration</v>
      </c>
      <c r="AL32" s="2" t="str">
        <f aca="false">INDEX('NBA Library'!$C$4:$C$21,MATCH(AJ32,'NBA Library'!$A$4:$A$21,0))</f>
        <v>Hybrid</v>
      </c>
      <c r="AM32" s="2" t="str">
        <f aca="false">IF(AA32,"HOLD — Critical Data Issue",IF(Y32,"Human Sign-Off Required",IF(Z32="Manual Review","Human Review Required",IF(AND(AL32="Automated",OR(AE32,AND(OR(AK32="Discovery-to-Offer Enablement",AK32="Reinforce Successful Behaviour"),OR(AC32,AB32)))),"Human Review Required",IF(AL32="Human","Ready — Human",IF(AL32="Hybrid","Ready — Hybrid","Ready — Automated"))))))</f>
        <v>Ready — Hybrid</v>
      </c>
      <c r="AN32" s="2" t="str">
        <f aca="false">IF(AA32,"P0",IF(AND(AJ32="BROWSING_LOW_OFFERS",E32="Tail"),"P3",IF(AND(AM32="Human Review Required",INDEX('NBA Library'!$D$4:$D$21,MATCH(AJ32,'NBA Library'!$A$4:$A$21,0))="P4"),"P3",INDEX('NBA Library'!$D$4:$D$21,MATCH(AJ32,'NBA Library'!$A$4:$A$21,0)))))</f>
        <v>P2</v>
      </c>
      <c r="AO32" s="2" t="str">
        <f aca="false">E32&amp;" "&amp;C32&amp;" account ("&amp;B32&amp;"); "&amp;G32&amp;" momentum; "&amp;P32&amp;"; £"&amp;TEXT(H32,"#,##0")&amp;" 6m GMV. "&amp;INDEX('NBA Library'!$G$4:$G$21,MATCH(AJ32,'NBA Library'!$A$4:$A$21,0))&amp;IF(LEFT(D32,1)="1"," Baseline: "&amp;V32&amp;" PDP views, "&amp;W32&amp;" app days, "&amp;X32&amp;" offers, "&amp;TEXT(J32/I32,"0%")&amp;" of orders self-serve.","")&amp;IF(AA32," Execution on HOLD until the Duplicate status is resolved.","")&amp;IF(Y32," Key account: explicit AM/leadership sign-off required before any migration activity.","")&amp;IF(AE32," Implied broker % from order counts would move this account to a different segment; review before automating.","")</f>
        <v>Core Broker-Reliant account (Account Managed); Growing momentum; Recently Active; £4,372 6m GMV. Broker-reliant with healthy spend and repeat self-serve checkout but little independent browsing. Suitable for Phase 1 guided migration focused on product discovery. Baseline: 1 PDP views, 5 app days, 1 offers, 25% of orders self-serve.</v>
      </c>
      <c r="AP32" s="2" t="str">
        <f aca="false">INDEX('NBA Library'!$E$4:$E$21,MATCH(AJ32,'NBA Library'!$A$4:$A$21,0))&amp;IF(AND(AJ32="NEW_CUSTOMER",AG32),"; introduce Make-an-Offer on items already browsed","")</f>
        <v>Independently discover stock (PDP browsing) and use the app regularly; place more orders self-serve; offers optional</v>
      </c>
      <c r="AQ32" s="2" t="str">
        <f aca="false">INDEX('NBA Library'!$F$4:$F$21,MATCH(AJ32,'NBA Library'!$A$4:$A$21,0))</f>
        <v>90 days: Progressing -&gt; Capability Demonstrated (PDP, app days, rising self-serve share) with GMV guardrail held</v>
      </c>
      <c r="AR32" s="2" t="str">
        <f aca="false">IF(AND(F32="Low",OR(G32="Growing",G32="Stable"),P32="Recently Active",U32&lt;&gt;"Mixed",OR(AK32="Discovery-to-Offer Enablement",AK32="Reinforce Successful Behaviour"),AM32="Ready — Automated",OR(E32&lt;&gt;"Tail",S32)),"Range Expansion Test — trial "&amp;IF(U32="Bundle-only","handpick","bundles")&amp;" (experimental; not proven to lift GMV)","")</f>
        <v/>
      </c>
      <c r="AS32" s="2" t="str">
        <f aca="false">IF(AK32&lt;&gt;"Automated Nurture","",IF(AJ32="DORMANT_LOW_VALUE","Dormant",IF(AJ32="RISING_TAIL_EARLY","Rising tail – early pattern",IF(Q32="New Customer","New customer onboarding",IF(Q32="Returned Customer","Returned customer",IF(G32="Lapsed","Dormant",IF(T32="Engaged, not converting","Engaged, not converting",IF(T32="One-off low-touch buyer","One-off purchaser",IF(T32="Light-touch repeat buyer","Light-touch repeat buyer","Standard long tail")))))))))</f>
        <v/>
      </c>
      <c r="AT32" s="2" t="str">
        <f aca="false">IF(AA32,"CRITICAL_DATA_BLOCKER; ","")&amp;IF(Y32,"KEY_SIGNOFF; ","")&amp;IF(Z32="Manual Review","PHASE1_MANUAL_REVIEW; ","")&amp;IF(AND(LEFT(D32,1)="1",AZ32="Lumpy"),"LUMPY_CADENCE; ","")&amp;IF(AB32,"BORDERLINE_MOMENTUM; ","")&amp;IF(AC32,"FEB_SENSITIVE; ","")&amp;IF(AD32,"MATERIAL_BROKER_INCONSISTENCY"&amp;IF(AE32," (segment would change)","")&amp;"; ","")&amp;IF(AND(I32&gt;=3,O32&gt;0),IF(AI32&gt;=Assumptions!$B$75,"H2_SINGLE_MONTH_SPIKE; ",""),"")&amp;IF(AND(M32&gt;0,N32=0),"NO_FEB_GMV (Feb unconfirmed); ","")&amp;IF(AF32,"LOW_CONFIDENCE; ","")</f>
        <v/>
      </c>
      <c r="AU32" s="2" t="n">
        <f aca="false">IF(LEFT(D32,1)="1",V32,"")</f>
        <v>1</v>
      </c>
      <c r="AV32" s="10" t="b">
        <f aca="false">IF(LEFT(D32,1)="1",V32&gt;=Assumptions!$B$58,"")</f>
        <v>0</v>
      </c>
      <c r="AW32" s="2" t="n">
        <f aca="false">IF(LEFT(D32,1)="1",W32,"")</f>
        <v>5</v>
      </c>
      <c r="AX32" s="2" t="n">
        <f aca="false">IF(LEFT(D32,1)="1",X32,"")</f>
        <v>1</v>
      </c>
      <c r="AY32" s="17" t="n">
        <f aca="false">IF(LEFT(D32,1)="1",J32/I32,"")</f>
        <v>0.25</v>
      </c>
      <c r="AZ32" s="2" t="str">
        <f aca="false">IF(LEFT(D32,1)="1",IF(AND(K32&gt;=Assumptions!$B$83,I32&gt;=Assumptions!$B$84),"Regular","Lumpy"),"")</f>
        <v>Regular</v>
      </c>
      <c r="BA32" s="2" t="n">
        <f aca="false">IF(LEFT(D32,1)="1",ROUND(6/K32,0),"")</f>
        <v>2</v>
      </c>
      <c r="BB32" s="2" t="str">
        <f aca="false">IF(LEFT(D32,1)="1",IF(AZ32="Regular","Regular buyer: expected ~£"&amp;TEXT(H32/2,"#,##0")&amp;" per 90 days. At Risk if GMV to date &lt; "&amp;TEXT(Assumptions!$B$81,"0%")&amp;" of pro-rated expectation, checked from day "&amp;Assumptions!$B$82&amp;". Human-reviewed.","Irregular buyer ("&amp;I32&amp;" orders across "&amp;K32&amp;" months): no numeric GMV threshold. At Risk if no order within ~"&amp;BA32&amp;" month(s); AM reviews at day "&amp;Assumptions!$B$82&amp;" and "&amp;Assumptions!$B$85&amp;"."),"")</f>
        <v>Regular buyer: expected ~£2,186 per 90 days. At Risk if GMV to date &lt; 70% of pro-rated expectation, checked from day 45. Human-reviewed.</v>
      </c>
      <c r="BC32" s="18"/>
      <c r="BD32" s="18"/>
      <c r="BE32" s="18"/>
      <c r="BF32" s="18"/>
      <c r="BG32" s="18"/>
      <c r="BH32" s="18"/>
      <c r="BI32" s="18"/>
      <c r="BJ32" s="2" t="str">
        <f aca="false">IF(OR(NOT(LEFT(D32,1)="1"),BC32=""),"",IF(AZ32="Regular",AND(BC32&gt;=Assumptions!$B$82,N(BI32)&lt;Assumptions!$B$81*H32/180*BC32),AND(BC32&gt;=BA32*30,N(BG32)=0)))</f>
        <v/>
      </c>
      <c r="BK32" s="2" t="str">
        <f aca="false">IF(NOT(LEFT(D32,1)="1"),"N/A",IF(BC32="","Baseline",IF(BJ32,"At Risk",IF(AND(N(BD32)&gt;=Assumptions!$B$78,N(BE32)&gt;=Assumptions!$B$79,N(BH32)&gt;=1,N(BH32)/MAX(N(BG32),1)&gt;AY32),"Self-Serve Capability Demonstrated",IF(OR(N(BD32)&gt;=Assumptions!$B$76,N(BE32)&gt;=Assumptions!$B$77),"Progressing",IF(BC32&gt;=Assumptions!$B$85,"At Risk","Baseline"))))))</f>
        <v>Baseline</v>
      </c>
      <c r="BL32" s="2" t="n">
        <f aca="false">(AND(C32="Broker-Reliant",OR(AK32="Discovery-to-Offer Enablement",AK32="Reinforce Successful Behaviour")))*1+(AND(G32="Declining",E32&lt;&gt;"Tail",AL32="Automated"))*1+(AND(Y32,AM32&lt;&gt;"Human Sign-Off Required"))*1+(AND(AA32,AM32&lt;&gt;"HOLD — Critical Data Issue"))*1+(AND(P32="Recent Inactivity",OR(AK32="Discovery-to-Offer Enablement",AK32="Reinforce Successful Behaviour")))*1+(AND(OR(LEFT(D32,1)="2",LEFT(D32,1)="3",LEFT(D32,1)="8"),AL32="Automated"))*1+((LEFT(D32,1)="1")&lt;&gt;(AK32="Guided Self-Serve Migration"))*1+(AND(AR32&lt;&gt;"",OR(F32&lt;&gt;"Low",U32="Mixed",AND(G32&lt;&gt;"Growing",G32&lt;&gt;"Stable"))))*1+ISNUMBER(SEARCH("chat",AP32))*1+ISNUMBER(SEARCH("video",AP32))*1+(AND(AA32,AL32="Automated",AM32&lt;&gt;"HOLD — Critical Data Issue"))*1</f>
        <v>0</v>
      </c>
    </row>
    <row r="33" customFormat="false" ht="15" hidden="false" customHeight="false" outlineLevel="0" collapsed="false">
      <c r="A33" s="2" t="s">
        <v>229</v>
      </c>
      <c r="B33" s="2" t="str">
        <f aca="false">INDEX(Segmentation!$B$2:$B$301,MATCH($A33,Segmentation!$A$2:$A$301,0))</f>
        <v>Account Managed</v>
      </c>
      <c r="C33" s="2" t="str">
        <f aca="false">INDEX(Segmentation!$H$2:$H$301,MATCH($A33,Segmentation!$A$2:$A$301,0))</f>
        <v>Broker-Reliant</v>
      </c>
      <c r="D33" s="2" t="str">
        <f aca="false">INDEX(Segmentation!$T$2:$T$301,MATCH($A33,Segmentation!$A$2:$A$301,0))</f>
        <v>3. Win-Back / Verify</v>
      </c>
      <c r="E33" s="2" t="str">
        <f aca="false">INDEX(Segmentation!$J$2:$J$301,MATCH($A33,Segmentation!$A$2:$A$301,0))</f>
        <v>Core</v>
      </c>
      <c r="F33" s="2" t="str">
        <f aca="false">INDEX(Segmentation!$G$2:$G$301,MATCH($A33,Segmentation!$A$2:$A$301,0))</f>
        <v>High</v>
      </c>
      <c r="G33" s="2" t="str">
        <f aca="false">INDEX(Segmentation!$N$2:$N$301,MATCH($A33,Segmentation!$A$2:$A$301,0))</f>
        <v>Lapsed</v>
      </c>
      <c r="H33" s="9" t="n">
        <f aca="false">INDEX(Segmentation!$I$2:$I$301,MATCH($A33,Segmentation!$A$2:$A$301,0))</f>
        <v>4179</v>
      </c>
      <c r="I33" s="2" t="n">
        <f aca="false">INDEX(Segmentation!$O$2:$O$301,MATCH($A33,Segmentation!$A$2:$A$301,0))</f>
        <v>2</v>
      </c>
      <c r="J33" s="2" t="n">
        <f aca="false">INDEX(Segmentation!$Q$2:$Q$301,MATCH($A33,Segmentation!$A$2:$A$301,0))</f>
        <v>0</v>
      </c>
      <c r="K33" s="2" t="n">
        <f aca="false">INDEX(Segmentation!$W$2:$W$301,MATCH($A33,Segmentation!$A$2:$A$301,0))</f>
        <v>2</v>
      </c>
      <c r="L33" s="9" t="n">
        <f aca="false">INDEX('Commercial View'!$L$2:$L$301,MATCH($A33,'Commercial View'!$A$2:$A$301,0))</f>
        <v>0</v>
      </c>
      <c r="M33" s="9" t="n">
        <f aca="false">INDEX('Commercial View'!$M$2:$M$301,MATCH($A33,'Commercial View'!$A$2:$A$301,0))</f>
        <v>0</v>
      </c>
      <c r="N33" s="9" t="n">
        <f aca="false">INDEX('Commercial View'!$N$2:$N$301,MATCH($A33,'Commercial View'!$A$2:$A$301,0))</f>
        <v>0</v>
      </c>
      <c r="O33" s="9" t="n">
        <f aca="false">INDEX(Segmentation!$L$2:$L$301,MATCH($A33,Segmentation!$A$2:$A$301,0))</f>
        <v>0</v>
      </c>
      <c r="P33" s="2" t="str">
        <f aca="false">IF(OR(M33&gt;0,N33&gt;0),"Recently Active",IF(OR(I33&lt;=Assumptions!$B$48,K33&lt;=Assumptions!$B$49),"No Meaningful History","Recent Inactivity"))</f>
        <v>No Meaningful History</v>
      </c>
      <c r="Q33" s="2" t="str">
        <f aca="false">INDEX(Segmentation!$AF$2:$AF$301,MATCH($A33,Segmentation!$A$2:$A$301,0))</f>
        <v>Existing Customer</v>
      </c>
      <c r="R33" s="2" t="str">
        <f aca="false">INDEX(Segmentation!$AL$2:$AL$301,MATCH($A33,Segmentation!$A$2:$A$301,0))</f>
        <v>One-Off / Insufficient History — Verify</v>
      </c>
      <c r="S33" s="10" t="b">
        <f aca="false">INDEX(Segmentation!$AW$2:$AW$301,MATCH($A33,Segmentation!$A$2:$A$301,0))</f>
        <v>0</v>
      </c>
      <c r="T33" s="2" t="str">
        <f aca="false">INDEX('Feature Data'!$AD$2:$AD$301,MATCH($A33,'Feature Data'!$A$2:$A$301,0))</f>
        <v>Broker-led, product-blind</v>
      </c>
      <c r="U33" s="2" t="str">
        <f aca="false">INDEX('Feature Data'!$W$2:$W$301,MATCH($A33,'Feature Data'!$A$2:$A$301,0))</f>
        <v>Handpick-only</v>
      </c>
      <c r="V33" s="2" t="n">
        <f aca="false">INDEX('Feature Data'!$P$2:$P$301,MATCH($A33,'Feature Data'!$A$2:$A$301,0))</f>
        <v>10</v>
      </c>
      <c r="W33" s="2" t="n">
        <f aca="false">INDEX(Segmentation!$R$2:$R$301,MATCH($A33,Segmentation!$A$2:$A$301,0))</f>
        <v>1</v>
      </c>
      <c r="X33" s="2" t="n">
        <f aca="false">INDEX(Segmentation!$S$2:$S$301,MATCH($A33,Segmentation!$A$2:$A$301,0))</f>
        <v>1</v>
      </c>
      <c r="Y33" s="10" t="b">
        <f aca="false">INDEX(Segmentation!$AG$2:$AG$301,MATCH($A33,Segmentation!$A$2:$A$301,0))</f>
        <v>0</v>
      </c>
      <c r="Z33" s="2" t="str">
        <f aca="false">INDEX(Segmentation!$AU$2:$AU$301,MATCH($A33,Segmentation!$A$2:$A$301,0))</f>
        <v>Not Eligible</v>
      </c>
      <c r="AA33" s="10" t="b">
        <f aca="false">INDEX(Segmentation!$Z$2:$Z$301,MATCH($A33,Segmentation!$A$2:$A$301,0))</f>
        <v>0</v>
      </c>
      <c r="AB33" s="10" t="b">
        <f aca="false">INDEX(Segmentation!$AH$2:$AH$301,MATCH($A33,Segmentation!$A$2:$A$301,0))</f>
        <v>0</v>
      </c>
      <c r="AC33" s="10" t="b">
        <f aca="false">INDEX(Segmentation!$AK$2:$AK$301,MATCH($A33,Segmentation!$A$2:$A$301,0))</f>
        <v>0</v>
      </c>
      <c r="AD33" s="10" t="b">
        <f aca="false">INDEX(Segmentation!$AQ$2:$AQ$301,MATCH($A33,Segmentation!$A$2:$A$301,0))</f>
        <v>0</v>
      </c>
      <c r="AE33" s="10" t="b">
        <f aca="false">INDEX(Segmentation!$AT$2:$AT$301,MATCH($A33,Segmentation!$A$2:$A$301,0))</f>
        <v>0</v>
      </c>
      <c r="AF33" s="10" t="b">
        <f aca="false">INDEX(Segmentation!$X$2:$X$301,MATCH($A33,Segmentation!$A$2:$A$301,0))</f>
        <v>1</v>
      </c>
      <c r="AG33" s="10" t="b">
        <f aca="false">AND(F33="Low",V33&gt;=Assumptions!$B$71,X33&lt;Assumptions!$B$72)</f>
        <v>0</v>
      </c>
      <c r="AH33" s="10" t="b">
        <f aca="false">AND(F33="Low",OR(G33="Growing",G33="Stable"),P33="Recently Active",V33&gt;=Assumptions!$B$58,K33&gt;=Assumptions!$B$73)</f>
        <v>0</v>
      </c>
      <c r="AI33" s="17" t="str">
        <f aca="false">IF(O33&gt;0,MAX(L33:N33)/O33,"")</f>
        <v/>
      </c>
      <c r="AJ33" s="2" t="str">
        <f aca="false">IF(LEFT(D33,1)="1",IF(E33="Key","MIGRATION_KEY_SIGNOFF",IF(Z33="Ready","MIGRATION_PHASE1_READY",IF(Z33="Manual Review","MIGRATION_PHASE1_REVIEW","MIGRATION_PRE_ENTRY"))),IF(LEFT(D33,1)="2","DECLINING_KEY_CORE",IF(LEFT(D33,1)="3",IF(R33="Established Buyer Lapsed","LAPSED_ESTABLISHED","LAPSED_THIN_HISTORY"),IF(LEFT(D33,1)="4",IF(Q33="New Customer","NEW_CUSTOMER","RETURNED_CUSTOMER"),IF(LEFT(D33,1)="5",IF(P33="Recently Active","COST_TO_SERVE_ACTIVE","DORMANT_LOW_VALUE"),IF(LEFT(D33,1)="6",IF(P33="Recent Inactivity","RECENT_INACTIVITY",IF(AG33,"BROWSING_LOW_OFFERS","HEALTHY_STRONG_SELF_SERVE")),IF(LEFT(D33,1)="7",IF(P33="Recent Inactivity","RECENT_INACTIVITY",IF(Q33="New Customer","NEW_CUSTOMER","RETURNED_CUSTOMER")),IF(LEFT(D33,1)="8",IF(G33="Declining",IF(T33="Engaged but shrinking (Key/Core)","ENGAGED_BUT_SHRINKING","DECLINING_KEY_CORE"),IF(R33="Established Buyer Lapsed","LAPSED_ESTABLISHED","LAPSED_THIN_HISTORY")),IF(S33,IF(P33&lt;&gt;"Recently Active","DORMANT_LOW_VALUE",IF(AG33,"BROWSING_LOW_OFFERS",IF(AH33,"RISING_TAIL","RISING_TAIL_EARLY"))),IF(AND(AG33,P33="Recently Active",OR(G33="Growing",G33="Stable",G33="H2 Active / No H1 GMV"),I33&gt;=Assumptions!$B$74),"BROWSING_LOW_OFFERS","LONG_TAIL_STANDARD"))))))))))</f>
        <v>LAPSED_THIN_HISTORY</v>
      </c>
      <c r="AK33" s="2" t="str">
        <f aca="false">INDEX('NBA Library'!$B$4:$B$21,MATCH(AJ33,'NBA Library'!$A$4:$A$21,0))</f>
        <v>Verify Demand / Win-Back</v>
      </c>
      <c r="AL33" s="2" t="str">
        <f aca="false">INDEX('NBA Library'!$C$4:$C$21,MATCH(AJ33,'NBA Library'!$A$4:$A$21,0))</f>
        <v>Human</v>
      </c>
      <c r="AM33" s="2" t="str">
        <f aca="false">IF(AA33,"HOLD — Critical Data Issue",IF(Y33,"Human Sign-Off Required",IF(Z33="Manual Review","Human Review Required",IF(AND(AL33="Automated",OR(AE33,AND(OR(AK33="Discovery-to-Offer Enablement",AK33="Reinforce Successful Behaviour"),OR(AC33,AB33)))),"Human Review Required",IF(AL33="Human","Ready — Human",IF(AL33="Hybrid","Ready — Hybrid","Ready — Automated"))))))</f>
        <v>Ready — Human</v>
      </c>
      <c r="AN33" s="2" t="str">
        <f aca="false">IF(AA33,"P0",IF(AND(AJ33="BROWSING_LOW_OFFERS",E33="Tail"),"P3",IF(AND(AM33="Human Review Required",INDEX('NBA Library'!$D$4:$D$21,MATCH(AJ33,'NBA Library'!$A$4:$A$21,0))="P4"),"P3",INDEX('NBA Library'!$D$4:$D$21,MATCH(AJ33,'NBA Library'!$A$4:$A$21,0)))))</f>
        <v>P1</v>
      </c>
      <c r="AO33" s="2" t="str">
        <f aca="false">E33&amp;" "&amp;C33&amp;" account ("&amp;B33&amp;"); "&amp;G33&amp;" momentum; "&amp;P33&amp;"; £"&amp;TEXT(H33,"#,##0")&amp;" 6m GMV. "&amp;INDEX('NBA Library'!$G$4:$G$21,MATCH(AJ33,'NBA Library'!$A$4:$A$21,0))&amp;IF(LEFT(D33,1)="1"," Baseline: "&amp;V33&amp;" PDP views, "&amp;W33&amp;" app days, "&amp;X33&amp;" offers, "&amp;TEXT(J33/I33,"0%")&amp;" of orders self-serve.","")&amp;IF(AA33," Execution on HOLD until the Duplicate status is resolved.","")&amp;IF(Y33," Key account: explicit AM/leadership sign-off required before any migration activity.","")&amp;IF(AE33," Implied broker % from order counts would move this account to a different segment; review before automating.","")</f>
        <v>Core Broker-Reliant account (Account Managed); Lapsed momentum; No Meaningful History; £4,179 6m GMV. Apparent lapse rests on 1-2 orders or a single buying month. Verify cadence rather than treating as churn.</v>
      </c>
      <c r="AP33" s="2" t="str">
        <f aca="false">INDEX('NBA Library'!$E$4:$E$21,MATCH(AJ33,'NBA Library'!$A$4:$A$21,0))&amp;IF(AND(AJ33="NEW_CUSTOMER",AG33),"; introduce Make-an-Offer on items already browsed","")</f>
        <v>Confirm expected purchase cadence (one-off, seasonal, project buyer) before calling it churn</v>
      </c>
      <c r="AQ33" s="2" t="str">
        <f aca="false">INDEX('NBA Library'!$F$4:$F$21,MATCH(AJ33,'NBA Library'!$A$4:$A$21,0))</f>
        <v>Cadence recorded and account reclassified; order within the stated cadence window</v>
      </c>
      <c r="AR33" s="2" t="str">
        <f aca="false">IF(AND(F33="Low",OR(G33="Growing",G33="Stable"),P33="Recently Active",U33&lt;&gt;"Mixed",OR(AK33="Discovery-to-Offer Enablement",AK33="Reinforce Successful Behaviour"),AM33="Ready — Automated",OR(E33&lt;&gt;"Tail",S33)),"Range Expansion Test — trial "&amp;IF(U33="Bundle-only","handpick","bundles")&amp;" (experimental; not proven to lift GMV)","")</f>
        <v/>
      </c>
      <c r="AS33" s="2" t="str">
        <f aca="false">IF(AK33&lt;&gt;"Automated Nurture","",IF(AJ33="DORMANT_LOW_VALUE","Dormant",IF(AJ33="RISING_TAIL_EARLY","Rising tail – early pattern",IF(Q33="New Customer","New customer onboarding",IF(Q33="Returned Customer","Returned customer",IF(G33="Lapsed","Dormant",IF(T33="Engaged, not converting","Engaged, not converting",IF(T33="One-off low-touch buyer","One-off purchaser",IF(T33="Light-touch repeat buyer","Light-touch repeat buyer","Standard long tail")))))))))</f>
        <v/>
      </c>
      <c r="AT33" s="2" t="str">
        <f aca="false">IF(AA33,"CRITICAL_DATA_BLOCKER; ","")&amp;IF(Y33,"KEY_SIGNOFF; ","")&amp;IF(Z33="Manual Review","PHASE1_MANUAL_REVIEW; ","")&amp;IF(AND(LEFT(D33,1)="1",AZ33="Lumpy"),"LUMPY_CADENCE; ","")&amp;IF(AB33,"BORDERLINE_MOMENTUM; ","")&amp;IF(AC33,"FEB_SENSITIVE; ","")&amp;IF(AD33,"MATERIAL_BROKER_INCONSISTENCY"&amp;IF(AE33," (segment would change)","")&amp;"; ","")&amp;IF(AND(I33&gt;=3,O33&gt;0),IF(AI33&gt;=Assumptions!$B$75,"H2_SINGLE_MONTH_SPIKE; ",""),"")&amp;IF(AND(M33&gt;0,N33=0),"NO_FEB_GMV (Feb unconfirmed); ","")&amp;IF(AF33,"LOW_CONFIDENCE; ","")</f>
        <v>LOW_CONFIDENCE; </v>
      </c>
      <c r="AU33" s="2" t="str">
        <f aca="false">IF(LEFT(D33,1)="1",V33,"")</f>
        <v/>
      </c>
      <c r="AV33" s="2" t="str">
        <f aca="false">IF(LEFT(D33,1)="1",V33&gt;=Assumptions!$B$58,"")</f>
        <v/>
      </c>
      <c r="AW33" s="2" t="str">
        <f aca="false">IF(LEFT(D33,1)="1",W33,"")</f>
        <v/>
      </c>
      <c r="AX33" s="2" t="str">
        <f aca="false">IF(LEFT(D33,1)="1",X33,"")</f>
        <v/>
      </c>
      <c r="AY33" s="17" t="str">
        <f aca="false">IF(LEFT(D33,1)="1",J33/I33,"")</f>
        <v/>
      </c>
      <c r="AZ33" s="2" t="str">
        <f aca="false">IF(LEFT(D33,1)="1",IF(AND(K33&gt;=Assumptions!$B$83,I33&gt;=Assumptions!$B$84),"Regular","Lumpy"),"")</f>
        <v/>
      </c>
      <c r="BA33" s="2" t="str">
        <f aca="false">IF(LEFT(D33,1)="1",ROUND(6/K33,0),"")</f>
        <v/>
      </c>
      <c r="BB33" s="2" t="str">
        <f aca="false">IF(LEFT(D33,1)="1",IF(AZ33="Regular","Regular buyer: expected ~£"&amp;TEXT(H33/2,"#,##0")&amp;" per 90 days. At Risk if GMV to date &lt; "&amp;TEXT(Assumptions!$B$81,"0%")&amp;" of pro-rated expectation, checked from day "&amp;Assumptions!$B$82&amp;". Human-reviewed.","Irregular buyer ("&amp;I33&amp;" orders across "&amp;K33&amp;" months): no numeric GMV threshold. At Risk if no order within ~"&amp;BA33&amp;" month(s); AM reviews at day "&amp;Assumptions!$B$82&amp;" and "&amp;Assumptions!$B$85&amp;"."),"")</f>
        <v/>
      </c>
      <c r="BC33" s="2"/>
      <c r="BD33" s="2"/>
      <c r="BE33" s="2"/>
      <c r="BF33" s="2"/>
      <c r="BG33" s="2"/>
      <c r="BH33" s="2"/>
      <c r="BI33" s="2"/>
      <c r="BJ33" s="2" t="str">
        <f aca="false">IF(OR(NOT(LEFT(D33,1)="1"),BC33=""),"",IF(AZ33="Regular",AND(BC33&gt;=Assumptions!$B$82,N(BI33)&lt;Assumptions!$B$81*H33/180*BC33),AND(BC33&gt;=BA33*30,N(BG33)=0)))</f>
        <v/>
      </c>
      <c r="BK33" s="2" t="str">
        <f aca="false">IF(NOT(LEFT(D33,1)="1"),"N/A",IF(BC33="","Baseline",IF(BJ33,"At Risk",IF(AND(N(BD33)&gt;=Assumptions!$B$78,N(BE33)&gt;=Assumptions!$B$79,N(BH33)&gt;=1,N(BH33)/MAX(N(BG33),1)&gt;AY33),"Self-Serve Capability Demonstrated",IF(OR(N(BD33)&gt;=Assumptions!$B$76,N(BE33)&gt;=Assumptions!$B$77),"Progressing",IF(BC33&gt;=Assumptions!$B$85,"At Risk","Baseline"))))))</f>
        <v>N/A</v>
      </c>
      <c r="BL33" s="2" t="n">
        <f aca="false">(AND(C33="Broker-Reliant",OR(AK33="Discovery-to-Offer Enablement",AK33="Reinforce Successful Behaviour")))*1+(AND(G33="Declining",E33&lt;&gt;"Tail",AL33="Automated"))*1+(AND(Y33,AM33&lt;&gt;"Human Sign-Off Required"))*1+(AND(AA33,AM33&lt;&gt;"HOLD — Critical Data Issue"))*1+(AND(P33="Recent Inactivity",OR(AK33="Discovery-to-Offer Enablement",AK33="Reinforce Successful Behaviour")))*1+(AND(OR(LEFT(D33,1)="2",LEFT(D33,1)="3",LEFT(D33,1)="8"),AL33="Automated"))*1+((LEFT(D33,1)="1")&lt;&gt;(AK33="Guided Self-Serve Migration"))*1+(AND(AR33&lt;&gt;"",OR(F33&lt;&gt;"Low",U33="Mixed",AND(G33&lt;&gt;"Growing",G33&lt;&gt;"Stable"))))*1+ISNUMBER(SEARCH("chat",AP33))*1+ISNUMBER(SEARCH("video",AP33))*1+(AND(AA33,AL33="Automated",AM33&lt;&gt;"HOLD — Critical Data Issue"))*1</f>
        <v>0</v>
      </c>
    </row>
    <row r="34" customFormat="false" ht="15" hidden="false" customHeight="false" outlineLevel="0" collapsed="false">
      <c r="A34" s="2" t="s">
        <v>419</v>
      </c>
      <c r="B34" s="2" t="str">
        <f aca="false">INDEX(Segmentation!$B$2:$B$301,MATCH($A34,Segmentation!$A$2:$A$301,0))</f>
        <v>Account Managed</v>
      </c>
      <c r="C34" s="2" t="str">
        <f aca="false">INDEX(Segmentation!$H$2:$H$301,MATCH($A34,Segmentation!$A$2:$A$301,0))</f>
        <v>Broker-Reliant</v>
      </c>
      <c r="D34" s="2" t="str">
        <f aca="false">INDEX(Segmentation!$T$2:$T$301,MATCH($A34,Segmentation!$A$2:$A$301,0))</f>
        <v>1. Migration Candidate</v>
      </c>
      <c r="E34" s="2" t="str">
        <f aca="false">INDEX(Segmentation!$J$2:$J$301,MATCH($A34,Segmentation!$A$2:$A$301,0))</f>
        <v>Core</v>
      </c>
      <c r="F34" s="2" t="str">
        <f aca="false">INDEX(Segmentation!$G$2:$G$301,MATCH($A34,Segmentation!$A$2:$A$301,0))</f>
        <v>Medium</v>
      </c>
      <c r="G34" s="2" t="str">
        <f aca="false">INDEX(Segmentation!$N$2:$N$301,MATCH($A34,Segmentation!$A$2:$A$301,0))</f>
        <v>Stable</v>
      </c>
      <c r="H34" s="9" t="n">
        <f aca="false">INDEX(Segmentation!$I$2:$I$301,MATCH($A34,Segmentation!$A$2:$A$301,0))</f>
        <v>3925</v>
      </c>
      <c r="I34" s="2" t="n">
        <f aca="false">INDEX(Segmentation!$O$2:$O$301,MATCH($A34,Segmentation!$A$2:$A$301,0))</f>
        <v>8</v>
      </c>
      <c r="J34" s="2" t="n">
        <f aca="false">INDEX(Segmentation!$Q$2:$Q$301,MATCH($A34,Segmentation!$A$2:$A$301,0))</f>
        <v>4</v>
      </c>
      <c r="K34" s="2" t="n">
        <f aca="false">INDEX(Segmentation!$W$2:$W$301,MATCH($A34,Segmentation!$A$2:$A$301,0))</f>
        <v>5</v>
      </c>
      <c r="L34" s="9" t="n">
        <f aca="false">INDEX('Commercial View'!$L$2:$L$301,MATCH($A34,'Commercial View'!$A$2:$A$301,0))</f>
        <v>290</v>
      </c>
      <c r="M34" s="9" t="n">
        <f aca="false">INDEX('Commercial View'!$M$2:$M$301,MATCH($A34,'Commercial View'!$A$2:$A$301,0))</f>
        <v>895</v>
      </c>
      <c r="N34" s="9" t="n">
        <f aca="false">INDEX('Commercial View'!$N$2:$N$301,MATCH($A34,'Commercial View'!$A$2:$A$301,0))</f>
        <v>614</v>
      </c>
      <c r="O34" s="9" t="n">
        <f aca="false">INDEX(Segmentation!$L$2:$L$301,MATCH($A34,Segmentation!$A$2:$A$301,0))</f>
        <v>1799</v>
      </c>
      <c r="P34" s="2" t="str">
        <f aca="false">IF(OR(M34&gt;0,N34&gt;0),"Recently Active",IF(OR(I34&lt;=Assumptions!$B$48,K34&lt;=Assumptions!$B$49),"No Meaningful History","Recent Inactivity"))</f>
        <v>Recently Active</v>
      </c>
      <c r="Q34" s="2" t="str">
        <f aca="false">INDEX(Segmentation!$AF$2:$AF$301,MATCH($A34,Segmentation!$A$2:$A$301,0))</f>
        <v>Existing Customer</v>
      </c>
      <c r="R34" s="2" t="str">
        <f aca="false">INDEX(Segmentation!$AL$2:$AL$301,MATCH($A34,Segmentation!$A$2:$A$301,0))</f>
        <v>N/A</v>
      </c>
      <c r="S34" s="10" t="b">
        <f aca="false">INDEX(Segmentation!$AW$2:$AW$301,MATCH($A34,Segmentation!$A$2:$A$301,0))</f>
        <v>0</v>
      </c>
      <c r="T34" s="2" t="str">
        <f aca="false">INDEX('Feature Data'!$AD$2:$AD$301,MATCH($A34,'Feature Data'!$A$2:$A$301,0))</f>
        <v>Broker-led, product-blind</v>
      </c>
      <c r="U34" s="2" t="str">
        <f aca="false">INDEX('Feature Data'!$W$2:$W$301,MATCH($A34,'Feature Data'!$A$2:$A$301,0))</f>
        <v>Bundle-only</v>
      </c>
      <c r="V34" s="2" t="n">
        <f aca="false">INDEX('Feature Data'!$P$2:$P$301,MATCH($A34,'Feature Data'!$A$2:$A$301,0))</f>
        <v>12</v>
      </c>
      <c r="W34" s="2" t="n">
        <f aca="false">INDEX(Segmentation!$R$2:$R$301,MATCH($A34,Segmentation!$A$2:$A$301,0))</f>
        <v>2</v>
      </c>
      <c r="X34" s="2" t="n">
        <f aca="false">INDEX(Segmentation!$S$2:$S$301,MATCH($A34,Segmentation!$A$2:$A$301,0))</f>
        <v>2</v>
      </c>
      <c r="Y34" s="10" t="b">
        <f aca="false">INDEX(Segmentation!$AG$2:$AG$301,MATCH($A34,Segmentation!$A$2:$A$301,0))</f>
        <v>0</v>
      </c>
      <c r="Z34" s="2" t="str">
        <f aca="false">INDEX(Segmentation!$AU$2:$AU$301,MATCH($A34,Segmentation!$A$2:$A$301,0))</f>
        <v>Manual Review</v>
      </c>
      <c r="AA34" s="10" t="b">
        <f aca="false">INDEX(Segmentation!$Z$2:$Z$301,MATCH($A34,Segmentation!$A$2:$A$301,0))</f>
        <v>0</v>
      </c>
      <c r="AB34" s="10" t="b">
        <f aca="false">INDEX(Segmentation!$AH$2:$AH$301,MATCH($A34,Segmentation!$A$2:$A$301,0))</f>
        <v>1</v>
      </c>
      <c r="AC34" s="10" t="b">
        <f aca="false">INDEX(Segmentation!$AK$2:$AK$301,MATCH($A34,Segmentation!$A$2:$A$301,0))</f>
        <v>0</v>
      </c>
      <c r="AD34" s="10" t="b">
        <f aca="false">INDEX(Segmentation!$AQ$2:$AQ$301,MATCH($A34,Segmentation!$A$2:$A$301,0))</f>
        <v>0</v>
      </c>
      <c r="AE34" s="10" t="b">
        <f aca="false">INDEX(Segmentation!$AT$2:$AT$301,MATCH($A34,Segmentation!$A$2:$A$301,0))</f>
        <v>0</v>
      </c>
      <c r="AF34" s="10" t="b">
        <f aca="false">INDEX(Segmentation!$X$2:$X$301,MATCH($A34,Segmentation!$A$2:$A$301,0))</f>
        <v>0</v>
      </c>
      <c r="AG34" s="10" t="b">
        <f aca="false">AND(F34="Low",V34&gt;=Assumptions!$B$71,X34&lt;Assumptions!$B$72)</f>
        <v>0</v>
      </c>
      <c r="AH34" s="10" t="b">
        <f aca="false">AND(F34="Low",OR(G34="Growing",G34="Stable"),P34="Recently Active",V34&gt;=Assumptions!$B$58,K34&gt;=Assumptions!$B$73)</f>
        <v>0</v>
      </c>
      <c r="AI34" s="17" t="n">
        <f aca="false">IF(O34&gt;0,MAX(L34:N34)/O34,"")</f>
        <v>0.497498610339077</v>
      </c>
      <c r="AJ34" s="2" t="str">
        <f aca="false">IF(LEFT(D34,1)="1",IF(E34="Key","MIGRATION_KEY_SIGNOFF",IF(Z34="Ready","MIGRATION_PHASE1_READY",IF(Z34="Manual Review","MIGRATION_PHASE1_REVIEW","MIGRATION_PRE_ENTRY"))),IF(LEFT(D34,1)="2","DECLINING_KEY_CORE",IF(LEFT(D34,1)="3",IF(R34="Established Buyer Lapsed","LAPSED_ESTABLISHED","LAPSED_THIN_HISTORY"),IF(LEFT(D34,1)="4",IF(Q34="New Customer","NEW_CUSTOMER","RETURNED_CUSTOMER"),IF(LEFT(D34,1)="5",IF(P34="Recently Active","COST_TO_SERVE_ACTIVE","DORMANT_LOW_VALUE"),IF(LEFT(D34,1)="6",IF(P34="Recent Inactivity","RECENT_INACTIVITY",IF(AG34,"BROWSING_LOW_OFFERS","HEALTHY_STRONG_SELF_SERVE")),IF(LEFT(D34,1)="7",IF(P34="Recent Inactivity","RECENT_INACTIVITY",IF(Q34="New Customer","NEW_CUSTOMER","RETURNED_CUSTOMER")),IF(LEFT(D34,1)="8",IF(G34="Declining",IF(T34="Engaged but shrinking (Key/Core)","ENGAGED_BUT_SHRINKING","DECLINING_KEY_CORE"),IF(R34="Established Buyer Lapsed","LAPSED_ESTABLISHED","LAPSED_THIN_HISTORY")),IF(S34,IF(P34&lt;&gt;"Recently Active","DORMANT_LOW_VALUE",IF(AG34,"BROWSING_LOW_OFFERS",IF(AH34,"RISING_TAIL","RISING_TAIL_EARLY"))),IF(AND(AG34,P34="Recently Active",OR(G34="Growing",G34="Stable",G34="H2 Active / No H1 GMV"),I34&gt;=Assumptions!$B$74),"BROWSING_LOW_OFFERS","LONG_TAIL_STANDARD"))))))))))</f>
        <v>MIGRATION_PHASE1_REVIEW</v>
      </c>
      <c r="AK34" s="2" t="str">
        <f aca="false">INDEX('NBA Library'!$B$4:$B$21,MATCH(AJ34,'NBA Library'!$A$4:$A$21,0))</f>
        <v>Guided Self-Serve Migration</v>
      </c>
      <c r="AL34" s="2" t="str">
        <f aca="false">INDEX('NBA Library'!$C$4:$C$21,MATCH(AJ34,'NBA Library'!$A$4:$A$21,0))</f>
        <v>Hybrid</v>
      </c>
      <c r="AM34" s="2" t="str">
        <f aca="false">IF(AA34,"HOLD — Critical Data Issue",IF(Y34,"Human Sign-Off Required",IF(Z34="Manual Review","Human Review Required",IF(AND(AL34="Automated",OR(AE34,AND(OR(AK34="Discovery-to-Offer Enablement",AK34="Reinforce Successful Behaviour"),OR(AC34,AB34)))),"Human Review Required",IF(AL34="Human","Ready — Human",IF(AL34="Hybrid","Ready — Hybrid","Ready — Automated"))))))</f>
        <v>Human Review Required</v>
      </c>
      <c r="AN34" s="2" t="str">
        <f aca="false">IF(AA34,"P0",IF(AND(AJ34="BROWSING_LOW_OFFERS",E34="Tail"),"P3",IF(AND(AM34="Human Review Required",INDEX('NBA Library'!$D$4:$D$21,MATCH(AJ34,'NBA Library'!$A$4:$A$21,0))="P4"),"P3",INDEX('NBA Library'!$D$4:$D$21,MATCH(AJ34,'NBA Library'!$A$4:$A$21,0)))))</f>
        <v>P2</v>
      </c>
      <c r="AO34" s="2" t="str">
        <f aca="false">E34&amp;" "&amp;C34&amp;" account ("&amp;B34&amp;"); "&amp;G34&amp;" momentum; "&amp;P34&amp;"; £"&amp;TEXT(H34,"#,##0")&amp;" 6m GMV. "&amp;INDEX('NBA Library'!$G$4:$G$21,MATCH(AJ34,'NBA Library'!$A$4:$A$21,0))&amp;IF(LEFT(D34,1)="1"," Baseline: "&amp;V34&amp;" PDP views, "&amp;W34&amp;" app days, "&amp;X34&amp;" offers, "&amp;TEXT(J34/I34,"0%")&amp;" of orders self-serve.","")&amp;IF(AA34," Execution on HOLD until the Duplicate status is resolved.","")&amp;IF(Y34," Key account: explicit AM/leadership sign-off required before any migration activity.","")&amp;IF(AE34," Implied broker % from order counts would move this account to a different segment; review before automating.","")</f>
        <v>Core Broker-Reliant account (Account Managed); Stable momentum; Recently Active; £3,925 6m GMV. Meets Phase 1 entry criteria but carries a guardrail warning (borderline/February-sensitive momentum, lumpy cadence or broker % inconsistency). Resolve before starting migration. Baseline: 12 PDP views, 2 app days, 2 offers, 50% of orders self-serve.</v>
      </c>
      <c r="AP34" s="2" t="str">
        <f aca="false">INDEX('NBA Library'!$E$4:$E$21,MATCH(AJ34,'NBA Library'!$A$4:$A$21,0))&amp;IF(AND(AJ34="NEW_CUSTOMER",AG34),"; introduce Make-an-Offer on items already browsed","")</f>
        <v>As Phase 1 Ready once the guardrail warning is resolved</v>
      </c>
      <c r="AQ34" s="2" t="str">
        <f aca="false">INDEX('NBA Library'!$F$4:$F$21,MATCH(AJ34,'NBA Library'!$A$4:$A$21,0))</f>
        <v>Warning resolved; then as Phase 1 Ready</v>
      </c>
      <c r="AR34" s="2" t="str">
        <f aca="false">IF(AND(F34="Low",OR(G34="Growing",G34="Stable"),P34="Recently Active",U34&lt;&gt;"Mixed",OR(AK34="Discovery-to-Offer Enablement",AK34="Reinforce Successful Behaviour"),AM34="Ready — Automated",OR(E34&lt;&gt;"Tail",S34)),"Range Expansion Test — trial "&amp;IF(U34="Bundle-only","handpick","bundles")&amp;" (experimental; not proven to lift GMV)","")</f>
        <v/>
      </c>
      <c r="AS34" s="2" t="str">
        <f aca="false">IF(AK34&lt;&gt;"Automated Nurture","",IF(AJ34="DORMANT_LOW_VALUE","Dormant",IF(AJ34="RISING_TAIL_EARLY","Rising tail – early pattern",IF(Q34="New Customer","New customer onboarding",IF(Q34="Returned Customer","Returned customer",IF(G34="Lapsed","Dormant",IF(T34="Engaged, not converting","Engaged, not converting",IF(T34="One-off low-touch buyer","One-off purchaser",IF(T34="Light-touch repeat buyer","Light-touch repeat buyer","Standard long tail")))))))))</f>
        <v/>
      </c>
      <c r="AT34" s="2" t="str">
        <f aca="false">IF(AA34,"CRITICAL_DATA_BLOCKER; ","")&amp;IF(Y34,"KEY_SIGNOFF; ","")&amp;IF(Z34="Manual Review","PHASE1_MANUAL_REVIEW; ","")&amp;IF(AND(LEFT(D34,1)="1",AZ34="Lumpy"),"LUMPY_CADENCE; ","")&amp;IF(AB34,"BORDERLINE_MOMENTUM; ","")&amp;IF(AC34,"FEB_SENSITIVE; ","")&amp;IF(AD34,"MATERIAL_BROKER_INCONSISTENCY"&amp;IF(AE34," (segment would change)","")&amp;"; ","")&amp;IF(AND(I34&gt;=3,O34&gt;0),IF(AI34&gt;=Assumptions!$B$75,"H2_SINGLE_MONTH_SPIKE; ",""),"")&amp;IF(AND(M34&gt;0,N34=0),"NO_FEB_GMV (Feb unconfirmed); ","")&amp;IF(AF34,"LOW_CONFIDENCE; ","")</f>
        <v>PHASE1_MANUAL_REVIEW; BORDERLINE_MOMENTUM; </v>
      </c>
      <c r="AU34" s="2" t="n">
        <f aca="false">IF(LEFT(D34,1)="1",V34,"")</f>
        <v>12</v>
      </c>
      <c r="AV34" s="10" t="b">
        <f aca="false">IF(LEFT(D34,1)="1",V34&gt;=Assumptions!$B$58,"")</f>
        <v>0</v>
      </c>
      <c r="AW34" s="2" t="n">
        <f aca="false">IF(LEFT(D34,1)="1",W34,"")</f>
        <v>2</v>
      </c>
      <c r="AX34" s="2" t="n">
        <f aca="false">IF(LEFT(D34,1)="1",X34,"")</f>
        <v>2</v>
      </c>
      <c r="AY34" s="17" t="n">
        <f aca="false">IF(LEFT(D34,1)="1",J34/I34,"")</f>
        <v>0.5</v>
      </c>
      <c r="AZ34" s="2" t="str">
        <f aca="false">IF(LEFT(D34,1)="1",IF(AND(K34&gt;=Assumptions!$B$83,I34&gt;=Assumptions!$B$84),"Regular","Lumpy"),"")</f>
        <v>Regular</v>
      </c>
      <c r="BA34" s="2" t="n">
        <f aca="false">IF(LEFT(D34,1)="1",ROUND(6/K34,0),"")</f>
        <v>1</v>
      </c>
      <c r="BB34" s="2" t="str">
        <f aca="false">IF(LEFT(D34,1)="1",IF(AZ34="Regular","Regular buyer: expected ~£"&amp;TEXT(H34/2,"#,##0")&amp;" per 90 days. At Risk if GMV to date &lt; "&amp;TEXT(Assumptions!$B$81,"0%")&amp;" of pro-rated expectation, checked from day "&amp;Assumptions!$B$82&amp;". Human-reviewed.","Irregular buyer ("&amp;I34&amp;" orders across "&amp;K34&amp;" months): no numeric GMV threshold. At Risk if no order within ~"&amp;BA34&amp;" month(s); AM reviews at day "&amp;Assumptions!$B$82&amp;" and "&amp;Assumptions!$B$85&amp;"."),"")</f>
        <v>Regular buyer: expected ~£1,963 per 90 days. At Risk if GMV to date &lt; 70% of pro-rated expectation, checked from day 45. Human-reviewed.</v>
      </c>
      <c r="BC34" s="18"/>
      <c r="BD34" s="18"/>
      <c r="BE34" s="18"/>
      <c r="BF34" s="18"/>
      <c r="BG34" s="18"/>
      <c r="BH34" s="18"/>
      <c r="BI34" s="18"/>
      <c r="BJ34" s="2" t="str">
        <f aca="false">IF(OR(NOT(LEFT(D34,1)="1"),BC34=""),"",IF(AZ34="Regular",AND(BC34&gt;=Assumptions!$B$82,N(BI34)&lt;Assumptions!$B$81*H34/180*BC34),AND(BC34&gt;=BA34*30,N(BG34)=0)))</f>
        <v/>
      </c>
      <c r="BK34" s="2" t="str">
        <f aca="false">IF(NOT(LEFT(D34,1)="1"),"N/A",IF(BC34="","Baseline",IF(BJ34,"At Risk",IF(AND(N(BD34)&gt;=Assumptions!$B$78,N(BE34)&gt;=Assumptions!$B$79,N(BH34)&gt;=1,N(BH34)/MAX(N(BG34),1)&gt;AY34),"Self-Serve Capability Demonstrated",IF(OR(N(BD34)&gt;=Assumptions!$B$76,N(BE34)&gt;=Assumptions!$B$77),"Progressing",IF(BC34&gt;=Assumptions!$B$85,"At Risk","Baseline"))))))</f>
        <v>Baseline</v>
      </c>
      <c r="BL34" s="2" t="n">
        <f aca="false">(AND(C34="Broker-Reliant",OR(AK34="Discovery-to-Offer Enablement",AK34="Reinforce Successful Behaviour")))*1+(AND(G34="Declining",E34&lt;&gt;"Tail",AL34="Automated"))*1+(AND(Y34,AM34&lt;&gt;"Human Sign-Off Required"))*1+(AND(AA34,AM34&lt;&gt;"HOLD — Critical Data Issue"))*1+(AND(P34="Recent Inactivity",OR(AK34="Discovery-to-Offer Enablement",AK34="Reinforce Successful Behaviour")))*1+(AND(OR(LEFT(D34,1)="2",LEFT(D34,1)="3",LEFT(D34,1)="8"),AL34="Automated"))*1+((LEFT(D34,1)="1")&lt;&gt;(AK34="Guided Self-Serve Migration"))*1+(AND(AR34&lt;&gt;"",OR(F34&lt;&gt;"Low",U34="Mixed",AND(G34&lt;&gt;"Growing",G34&lt;&gt;"Stable"))))*1+ISNUMBER(SEARCH("chat",AP34))*1+ISNUMBER(SEARCH("video",AP34))*1+(AND(AA34,AL34="Automated",AM34&lt;&gt;"HOLD — Critical Data Issue"))*1</f>
        <v>0</v>
      </c>
    </row>
    <row r="35" customFormat="false" ht="15" hidden="false" customHeight="false" outlineLevel="0" collapsed="false">
      <c r="A35" s="2" t="s">
        <v>458</v>
      </c>
      <c r="B35" s="2" t="str">
        <f aca="false">INDEX(Segmentation!$B$2:$B$301,MATCH($A35,Segmentation!$A$2:$A$301,0))</f>
        <v>Account Managed</v>
      </c>
      <c r="C35" s="2" t="str">
        <f aca="false">INDEX(Segmentation!$H$2:$H$301,MATCH($A35,Segmentation!$A$2:$A$301,0))</f>
        <v>Broker-Reliant</v>
      </c>
      <c r="D35" s="2" t="str">
        <f aca="false">INDEX(Segmentation!$T$2:$T$301,MATCH($A35,Segmentation!$A$2:$A$301,0))</f>
        <v>1. Migration Candidate</v>
      </c>
      <c r="E35" s="2" t="str">
        <f aca="false">INDEX(Segmentation!$J$2:$J$301,MATCH($A35,Segmentation!$A$2:$A$301,0))</f>
        <v>Core</v>
      </c>
      <c r="F35" s="2" t="str">
        <f aca="false">INDEX(Segmentation!$G$2:$G$301,MATCH($A35,Segmentation!$A$2:$A$301,0))</f>
        <v>High</v>
      </c>
      <c r="G35" s="2" t="str">
        <f aca="false">INDEX(Segmentation!$N$2:$N$301,MATCH($A35,Segmentation!$A$2:$A$301,0))</f>
        <v>Stable</v>
      </c>
      <c r="H35" s="9" t="n">
        <f aca="false">INDEX(Segmentation!$I$2:$I$301,MATCH($A35,Segmentation!$A$2:$A$301,0))</f>
        <v>3913</v>
      </c>
      <c r="I35" s="2" t="n">
        <f aca="false">INDEX(Segmentation!$O$2:$O$301,MATCH($A35,Segmentation!$A$2:$A$301,0))</f>
        <v>4</v>
      </c>
      <c r="J35" s="2" t="n">
        <f aca="false">INDEX(Segmentation!$Q$2:$Q$301,MATCH($A35,Segmentation!$A$2:$A$301,0))</f>
        <v>1</v>
      </c>
      <c r="K35" s="2" t="n">
        <f aca="false">INDEX(Segmentation!$W$2:$W$301,MATCH($A35,Segmentation!$A$2:$A$301,0))</f>
        <v>4</v>
      </c>
      <c r="L35" s="9" t="n">
        <f aca="false">INDEX('Commercial View'!$L$2:$L$301,MATCH($A35,'Commercial View'!$A$2:$A$301,0))</f>
        <v>1585</v>
      </c>
      <c r="M35" s="9" t="n">
        <f aca="false">INDEX('Commercial View'!$M$2:$M$301,MATCH($A35,'Commercial View'!$A$2:$A$301,0))</f>
        <v>386</v>
      </c>
      <c r="N35" s="9" t="n">
        <f aca="false">INDEX('Commercial View'!$N$2:$N$301,MATCH($A35,'Commercial View'!$A$2:$A$301,0))</f>
        <v>0</v>
      </c>
      <c r="O35" s="9" t="n">
        <f aca="false">INDEX(Segmentation!$L$2:$L$301,MATCH($A35,Segmentation!$A$2:$A$301,0))</f>
        <v>1971</v>
      </c>
      <c r="P35" s="2" t="str">
        <f aca="false">IF(OR(M35&gt;0,N35&gt;0),"Recently Active",IF(OR(I35&lt;=Assumptions!$B$48,K35&lt;=Assumptions!$B$49),"No Meaningful History","Recent Inactivity"))</f>
        <v>Recently Active</v>
      </c>
      <c r="Q35" s="2" t="str">
        <f aca="false">INDEX(Segmentation!$AF$2:$AF$301,MATCH($A35,Segmentation!$A$2:$A$301,0))</f>
        <v>Existing Customer</v>
      </c>
      <c r="R35" s="2" t="str">
        <f aca="false">INDEX(Segmentation!$AL$2:$AL$301,MATCH($A35,Segmentation!$A$2:$A$301,0))</f>
        <v>N/A</v>
      </c>
      <c r="S35" s="10" t="b">
        <f aca="false">INDEX(Segmentation!$AW$2:$AW$301,MATCH($A35,Segmentation!$A$2:$A$301,0))</f>
        <v>0</v>
      </c>
      <c r="T35" s="2" t="str">
        <f aca="false">INDEX('Feature Data'!$AD$2:$AD$301,MATCH($A35,'Feature Data'!$A$2:$A$301,0))</f>
        <v>Broker-led, product-blind</v>
      </c>
      <c r="U35" s="2" t="str">
        <f aca="false">INDEX('Feature Data'!$W$2:$W$301,MATCH($A35,'Feature Data'!$A$2:$A$301,0))</f>
        <v>Handpick-only</v>
      </c>
      <c r="V35" s="2" t="n">
        <f aca="false">INDEX('Feature Data'!$P$2:$P$301,MATCH($A35,'Feature Data'!$A$2:$A$301,0))</f>
        <v>9</v>
      </c>
      <c r="W35" s="2" t="n">
        <f aca="false">INDEX(Segmentation!$R$2:$R$301,MATCH($A35,Segmentation!$A$2:$A$301,0))</f>
        <v>5</v>
      </c>
      <c r="X35" s="2" t="n">
        <f aca="false">INDEX(Segmentation!$S$2:$S$301,MATCH($A35,Segmentation!$A$2:$A$301,0))</f>
        <v>1</v>
      </c>
      <c r="Y35" s="10" t="b">
        <f aca="false">INDEX(Segmentation!$AG$2:$AG$301,MATCH($A35,Segmentation!$A$2:$A$301,0))</f>
        <v>0</v>
      </c>
      <c r="Z35" s="2" t="str">
        <f aca="false">INDEX(Segmentation!$AU$2:$AU$301,MATCH($A35,Segmentation!$A$2:$A$301,0))</f>
        <v>Not Eligible</v>
      </c>
      <c r="AA35" s="10" t="b">
        <f aca="false">INDEX(Segmentation!$Z$2:$Z$301,MATCH($A35,Segmentation!$A$2:$A$301,0))</f>
        <v>0</v>
      </c>
      <c r="AB35" s="10" t="b">
        <f aca="false">INDEX(Segmentation!$AH$2:$AH$301,MATCH($A35,Segmentation!$A$2:$A$301,0))</f>
        <v>0</v>
      </c>
      <c r="AC35" s="10" t="b">
        <f aca="false">INDEX(Segmentation!$AK$2:$AK$301,MATCH($A35,Segmentation!$A$2:$A$301,0))</f>
        <v>0</v>
      </c>
      <c r="AD35" s="10" t="b">
        <f aca="false">INDEX(Segmentation!$AQ$2:$AQ$301,MATCH($A35,Segmentation!$A$2:$A$301,0))</f>
        <v>1</v>
      </c>
      <c r="AE35" s="10" t="b">
        <f aca="false">INDEX(Segmentation!$AT$2:$AT$301,MATCH($A35,Segmentation!$A$2:$A$301,0))</f>
        <v>0</v>
      </c>
      <c r="AF35" s="10" t="b">
        <f aca="false">INDEX(Segmentation!$X$2:$X$301,MATCH($A35,Segmentation!$A$2:$A$301,0))</f>
        <v>0</v>
      </c>
      <c r="AG35" s="10" t="b">
        <f aca="false">AND(F35="Low",V35&gt;=Assumptions!$B$71,X35&lt;Assumptions!$B$72)</f>
        <v>0</v>
      </c>
      <c r="AH35" s="10" t="b">
        <f aca="false">AND(F35="Low",OR(G35="Growing",G35="Stable"),P35="Recently Active",V35&gt;=Assumptions!$B$58,K35&gt;=Assumptions!$B$73)</f>
        <v>0</v>
      </c>
      <c r="AI35" s="17" t="n">
        <f aca="false">IF(O35&gt;0,MAX(L35:N35)/O35,"")</f>
        <v>0.80416032470827</v>
      </c>
      <c r="AJ35" s="2" t="str">
        <f aca="false">IF(LEFT(D35,1)="1",IF(E35="Key","MIGRATION_KEY_SIGNOFF",IF(Z35="Ready","MIGRATION_PHASE1_READY",IF(Z35="Manual Review","MIGRATION_PHASE1_REVIEW","MIGRATION_PRE_ENTRY"))),IF(LEFT(D35,1)="2","DECLINING_KEY_CORE",IF(LEFT(D35,1)="3",IF(R35="Established Buyer Lapsed","LAPSED_ESTABLISHED","LAPSED_THIN_HISTORY"),IF(LEFT(D35,1)="4",IF(Q35="New Customer","NEW_CUSTOMER","RETURNED_CUSTOMER"),IF(LEFT(D35,1)="5",IF(P35="Recently Active","COST_TO_SERVE_ACTIVE","DORMANT_LOW_VALUE"),IF(LEFT(D35,1)="6",IF(P35="Recent Inactivity","RECENT_INACTIVITY",IF(AG35,"BROWSING_LOW_OFFERS","HEALTHY_STRONG_SELF_SERVE")),IF(LEFT(D35,1)="7",IF(P35="Recent Inactivity","RECENT_INACTIVITY",IF(Q35="New Customer","NEW_CUSTOMER","RETURNED_CUSTOMER")),IF(LEFT(D35,1)="8",IF(G35="Declining",IF(T35="Engaged but shrinking (Key/Core)","ENGAGED_BUT_SHRINKING","DECLINING_KEY_CORE"),IF(R35="Established Buyer Lapsed","LAPSED_ESTABLISHED","LAPSED_THIN_HISTORY")),IF(S35,IF(P35&lt;&gt;"Recently Active","DORMANT_LOW_VALUE",IF(AG35,"BROWSING_LOW_OFFERS",IF(AH35,"RISING_TAIL","RISING_TAIL_EARLY"))),IF(AND(AG35,P35="Recently Active",OR(G35="Growing",G35="Stable",G35="H2 Active / No H1 GMV"),I35&gt;=Assumptions!$B$74),"BROWSING_LOW_OFFERS","LONG_TAIL_STANDARD"))))))))))</f>
        <v>MIGRATION_PRE_ENTRY</v>
      </c>
      <c r="AK35" s="2" t="str">
        <f aca="false">INDEX('NBA Library'!$B$4:$B$21,MATCH(AJ35,'NBA Library'!$A$4:$A$21,0))</f>
        <v>Guided Self-Serve Migration</v>
      </c>
      <c r="AL35" s="2" t="str">
        <f aca="false">INDEX('NBA Library'!$C$4:$C$21,MATCH(AJ35,'NBA Library'!$A$4:$A$21,0))</f>
        <v>Human</v>
      </c>
      <c r="AM35" s="2" t="str">
        <f aca="false">IF(AA35,"HOLD — Critical Data Issue",IF(Y35,"Human Sign-Off Required",IF(Z35="Manual Review","Human Review Required",IF(AND(AL35="Automated",OR(AE35,AND(OR(AK35="Discovery-to-Offer Enablement",AK35="Reinforce Successful Behaviour"),OR(AC35,AB35)))),"Human Review Required",IF(AL35="Human","Ready — Human",IF(AL35="Hybrid","Ready — Hybrid","Ready — Automated"))))))</f>
        <v>Ready — Human</v>
      </c>
      <c r="AN35" s="2" t="str">
        <f aca="false">IF(AA35,"P0",IF(AND(AJ35="BROWSING_LOW_OFFERS",E35="Tail"),"P3",IF(AND(AM35="Human Review Required",INDEX('NBA Library'!$D$4:$D$21,MATCH(AJ35,'NBA Library'!$A$4:$A$21,0))="P4"),"P3",INDEX('NBA Library'!$D$4:$D$21,MATCH(AJ35,'NBA Library'!$A$4:$A$21,0)))))</f>
        <v>P3</v>
      </c>
      <c r="AO35" s="2" t="str">
        <f aca="false">E35&amp;" "&amp;C35&amp;" account ("&amp;B35&amp;"); "&amp;G35&amp;" momentum; "&amp;P35&amp;"; £"&amp;TEXT(H35,"#,##0")&amp;" 6m GMV. "&amp;INDEX('NBA Library'!$G$4:$G$21,MATCH(AJ35,'NBA Library'!$A$4:$A$21,0))&amp;IF(LEFT(D35,1)="1"," Baseline: "&amp;V35&amp;" PDP views, "&amp;W35&amp;" app days, "&amp;X35&amp;" offers, "&amp;TEXT(J35/I35,"0%")&amp;" of orders self-serve.","")&amp;IF(AA35," Execution on HOLD until the Duplicate status is resolved.","")&amp;IF(Y35," Key account: explicit AM/leadership sign-off required before any migration activity.","")&amp;IF(AE35," Implied broker % from order counts would move this account to a different segment; review before automating.","")</f>
        <v>Core Broker-Reliant account (Account Managed); Stable momentum; Recently Active; £3,913 6m GMV. Broker-reliant Core account with healthy spend but only one self-serve order. Not yet Phase 1 eligible. Baseline: 9 PDP views, 5 app days, 1 offers, 25% of orders self-serve.</v>
      </c>
      <c r="AP35" s="2" t="str">
        <f aca="false">INDEX('NBA Library'!$E$4:$E$21,MATCH(AJ35,'NBA Library'!$A$4:$A$21,0))&amp;IF(AND(AJ35="NEW_CUSTOMER",AG35),"; introduce Make-an-Offer on items already browsed","")</f>
        <v>AM encourages a second self-serve checkout (Phase 1 entry evidence) without reducing support</v>
      </c>
      <c r="AQ35" s="2" t="str">
        <f aca="false">INDEX('NBA Library'!$F$4:$F$21,MATCH(AJ35,'NBA Library'!$A$4:$A$21,0))</f>
        <v>2+ self-serve orders, then re-assess for Phase 1</v>
      </c>
      <c r="AR35" s="2" t="str">
        <f aca="false">IF(AND(F35="Low",OR(G35="Growing",G35="Stable"),P35="Recently Active",U35&lt;&gt;"Mixed",OR(AK35="Discovery-to-Offer Enablement",AK35="Reinforce Successful Behaviour"),AM35="Ready — Automated",OR(E35&lt;&gt;"Tail",S35)),"Range Expansion Test — trial "&amp;IF(U35="Bundle-only","handpick","bundles")&amp;" (experimental; not proven to lift GMV)","")</f>
        <v/>
      </c>
      <c r="AS35" s="2" t="str">
        <f aca="false">IF(AK35&lt;&gt;"Automated Nurture","",IF(AJ35="DORMANT_LOW_VALUE","Dormant",IF(AJ35="RISING_TAIL_EARLY","Rising tail – early pattern",IF(Q35="New Customer","New customer onboarding",IF(Q35="Returned Customer","Returned customer",IF(G35="Lapsed","Dormant",IF(T35="Engaged, not converting","Engaged, not converting",IF(T35="One-off low-touch buyer","One-off purchaser",IF(T35="Light-touch repeat buyer","Light-touch repeat buyer","Standard long tail")))))))))</f>
        <v/>
      </c>
      <c r="AT35" s="2" t="str">
        <f aca="false">IF(AA35,"CRITICAL_DATA_BLOCKER; ","")&amp;IF(Y35,"KEY_SIGNOFF; ","")&amp;IF(Z35="Manual Review","PHASE1_MANUAL_REVIEW; ","")&amp;IF(AND(LEFT(D35,1)="1",AZ35="Lumpy"),"LUMPY_CADENCE; ","")&amp;IF(AB35,"BORDERLINE_MOMENTUM; ","")&amp;IF(AC35,"FEB_SENSITIVE; ","")&amp;IF(AD35,"MATERIAL_BROKER_INCONSISTENCY"&amp;IF(AE35," (segment would change)","")&amp;"; ","")&amp;IF(AND(I35&gt;=3,O35&gt;0),IF(AI35&gt;=Assumptions!$B$75,"H2_SINGLE_MONTH_SPIKE; ",""),"")&amp;IF(AND(M35&gt;0,N35=0),"NO_FEB_GMV (Feb unconfirmed); ","")&amp;IF(AF35,"LOW_CONFIDENCE; ","")</f>
        <v>LUMPY_CADENCE; MATERIAL_BROKER_INCONSISTENCY; H2_SINGLE_MONTH_SPIKE; NO_FEB_GMV (Feb unconfirmed); </v>
      </c>
      <c r="AU35" s="2" t="n">
        <f aca="false">IF(LEFT(D35,1)="1",V35,"")</f>
        <v>9</v>
      </c>
      <c r="AV35" s="10" t="b">
        <f aca="false">IF(LEFT(D35,1)="1",V35&gt;=Assumptions!$B$58,"")</f>
        <v>0</v>
      </c>
      <c r="AW35" s="2" t="n">
        <f aca="false">IF(LEFT(D35,1)="1",W35,"")</f>
        <v>5</v>
      </c>
      <c r="AX35" s="2" t="n">
        <f aca="false">IF(LEFT(D35,1)="1",X35,"")</f>
        <v>1</v>
      </c>
      <c r="AY35" s="17" t="n">
        <f aca="false">IF(LEFT(D35,1)="1",J35/I35,"")</f>
        <v>0.25</v>
      </c>
      <c r="AZ35" s="2" t="str">
        <f aca="false">IF(LEFT(D35,1)="1",IF(AND(K35&gt;=Assumptions!$B$83,I35&gt;=Assumptions!$B$84),"Regular","Lumpy"),"")</f>
        <v>Lumpy</v>
      </c>
      <c r="BA35" s="2" t="n">
        <f aca="false">IF(LEFT(D35,1)="1",ROUND(6/K35,0),"")</f>
        <v>2</v>
      </c>
      <c r="BB35" s="2" t="str">
        <f aca="false">IF(LEFT(D35,1)="1",IF(AZ35="Regular","Regular buyer: expected ~£"&amp;TEXT(H35/2,"#,##0")&amp;" per 90 days. At Risk if GMV to date &lt; "&amp;TEXT(Assumptions!$B$81,"0%")&amp;" of pro-rated expectation, checked from day "&amp;Assumptions!$B$82&amp;". Human-reviewed.","Irregular buyer ("&amp;I35&amp;" orders across "&amp;K35&amp;" months): no numeric GMV threshold. At Risk if no order within ~"&amp;BA35&amp;" month(s); AM reviews at day "&amp;Assumptions!$B$82&amp;" and "&amp;Assumptions!$B$85&amp;"."),"")</f>
        <v>Irregular buyer (4 orders across 4 months): no numeric GMV threshold. At Risk if no order within ~2 month(s); AM reviews at day 45 and 90.</v>
      </c>
      <c r="BC35" s="18"/>
      <c r="BD35" s="18"/>
      <c r="BE35" s="18"/>
      <c r="BF35" s="18"/>
      <c r="BG35" s="18"/>
      <c r="BH35" s="18"/>
      <c r="BI35" s="18"/>
      <c r="BJ35" s="2" t="str">
        <f aca="false">IF(OR(NOT(LEFT(D35,1)="1"),BC35=""),"",IF(AZ35="Regular",AND(BC35&gt;=Assumptions!$B$82,N(BI35)&lt;Assumptions!$B$81*H35/180*BC35),AND(BC35&gt;=BA35*30,N(BG35)=0)))</f>
        <v/>
      </c>
      <c r="BK35" s="2" t="str">
        <f aca="false">IF(NOT(LEFT(D35,1)="1"),"N/A",IF(BC35="","Baseline",IF(BJ35,"At Risk",IF(AND(N(BD35)&gt;=Assumptions!$B$78,N(BE35)&gt;=Assumptions!$B$79,N(BH35)&gt;=1,N(BH35)/MAX(N(BG35),1)&gt;AY35),"Self-Serve Capability Demonstrated",IF(OR(N(BD35)&gt;=Assumptions!$B$76,N(BE35)&gt;=Assumptions!$B$77),"Progressing",IF(BC35&gt;=Assumptions!$B$85,"At Risk","Baseline"))))))</f>
        <v>Baseline</v>
      </c>
      <c r="BL35" s="2" t="n">
        <f aca="false">(AND(C35="Broker-Reliant",OR(AK35="Discovery-to-Offer Enablement",AK35="Reinforce Successful Behaviour")))*1+(AND(G35="Declining",E35&lt;&gt;"Tail",AL35="Automated"))*1+(AND(Y35,AM35&lt;&gt;"Human Sign-Off Required"))*1+(AND(AA35,AM35&lt;&gt;"HOLD — Critical Data Issue"))*1+(AND(P35="Recent Inactivity",OR(AK35="Discovery-to-Offer Enablement",AK35="Reinforce Successful Behaviour")))*1+(AND(OR(LEFT(D35,1)="2",LEFT(D35,1)="3",LEFT(D35,1)="8"),AL35="Automated"))*1+((LEFT(D35,1)="1")&lt;&gt;(AK35="Guided Self-Serve Migration"))*1+(AND(AR35&lt;&gt;"",OR(F35&lt;&gt;"Low",U35="Mixed",AND(G35&lt;&gt;"Growing",G35&lt;&gt;"Stable"))))*1+ISNUMBER(SEARCH("chat",AP35))*1+ISNUMBER(SEARCH("video",AP35))*1+(AND(AA35,AL35="Automated",AM35&lt;&gt;"HOLD — Critical Data Issue"))*1</f>
        <v>0</v>
      </c>
    </row>
    <row r="36" customFormat="false" ht="15" hidden="false" customHeight="false" outlineLevel="0" collapsed="false">
      <c r="A36" s="2" t="s">
        <v>235</v>
      </c>
      <c r="B36" s="2" t="str">
        <f aca="false">INDEX(Segmentation!$B$2:$B$301,MATCH($A36,Segmentation!$A$2:$A$301,0))</f>
        <v>Account Managed</v>
      </c>
      <c r="C36" s="2" t="str">
        <f aca="false">INDEX(Segmentation!$H$2:$H$301,MATCH($A36,Segmentation!$A$2:$A$301,0))</f>
        <v>Broker-Reliant</v>
      </c>
      <c r="D36" s="2" t="str">
        <f aca="false">INDEX(Segmentation!$T$2:$T$301,MATCH($A36,Segmentation!$A$2:$A$301,0))</f>
        <v>2. Protect / Retain First</v>
      </c>
      <c r="E36" s="2" t="str">
        <f aca="false">INDEX(Segmentation!$J$2:$J$301,MATCH($A36,Segmentation!$A$2:$A$301,0))</f>
        <v>Core</v>
      </c>
      <c r="F36" s="2" t="str">
        <f aca="false">INDEX(Segmentation!$G$2:$G$301,MATCH($A36,Segmentation!$A$2:$A$301,0))</f>
        <v>Medium</v>
      </c>
      <c r="G36" s="2" t="str">
        <f aca="false">INDEX(Segmentation!$N$2:$N$301,MATCH($A36,Segmentation!$A$2:$A$301,0))</f>
        <v>Declining</v>
      </c>
      <c r="H36" s="9" t="n">
        <f aca="false">INDEX(Segmentation!$I$2:$I$301,MATCH($A36,Segmentation!$A$2:$A$301,0))</f>
        <v>3906</v>
      </c>
      <c r="I36" s="2" t="n">
        <f aca="false">INDEX(Segmentation!$O$2:$O$301,MATCH($A36,Segmentation!$A$2:$A$301,0))</f>
        <v>5</v>
      </c>
      <c r="J36" s="2" t="n">
        <f aca="false">INDEX(Segmentation!$Q$2:$Q$301,MATCH($A36,Segmentation!$A$2:$A$301,0))</f>
        <v>2</v>
      </c>
      <c r="K36" s="2" t="n">
        <f aca="false">INDEX(Segmentation!$W$2:$W$301,MATCH($A36,Segmentation!$A$2:$A$301,0))</f>
        <v>3</v>
      </c>
      <c r="L36" s="9" t="n">
        <f aca="false">INDEX('Commercial View'!$L$2:$L$301,MATCH($A36,'Commercial View'!$A$2:$A$301,0))</f>
        <v>0</v>
      </c>
      <c r="M36" s="9" t="n">
        <f aca="false">INDEX('Commercial View'!$M$2:$M$301,MATCH($A36,'Commercial View'!$A$2:$A$301,0))</f>
        <v>1311</v>
      </c>
      <c r="N36" s="9" t="n">
        <f aca="false">INDEX('Commercial View'!$N$2:$N$301,MATCH($A36,'Commercial View'!$A$2:$A$301,0))</f>
        <v>0</v>
      </c>
      <c r="O36" s="9" t="n">
        <f aca="false">INDEX(Segmentation!$L$2:$L$301,MATCH($A36,Segmentation!$A$2:$A$301,0))</f>
        <v>1311</v>
      </c>
      <c r="P36" s="2" t="str">
        <f aca="false">IF(OR(M36&gt;0,N36&gt;0),"Recently Active",IF(OR(I36&lt;=Assumptions!$B$48,K36&lt;=Assumptions!$B$49),"No Meaningful History","Recent Inactivity"))</f>
        <v>Recently Active</v>
      </c>
      <c r="Q36" s="2" t="str">
        <f aca="false">INDEX(Segmentation!$AF$2:$AF$301,MATCH($A36,Segmentation!$A$2:$A$301,0))</f>
        <v>Existing Customer</v>
      </c>
      <c r="R36" s="2" t="str">
        <f aca="false">INDEX(Segmentation!$AL$2:$AL$301,MATCH($A36,Segmentation!$A$2:$A$301,0))</f>
        <v>N/A</v>
      </c>
      <c r="S36" s="10" t="b">
        <f aca="false">INDEX(Segmentation!$AW$2:$AW$301,MATCH($A36,Segmentation!$A$2:$A$301,0))</f>
        <v>0</v>
      </c>
      <c r="T36" s="2" t="str">
        <f aca="false">INDEX('Feature Data'!$AD$2:$AD$301,MATCH($A36,'Feature Data'!$A$2:$A$301,0))</f>
        <v>Broker-led, product-blind</v>
      </c>
      <c r="U36" s="2" t="str">
        <f aca="false">INDEX('Feature Data'!$W$2:$W$301,MATCH($A36,'Feature Data'!$A$2:$A$301,0))</f>
        <v>Handpick-only</v>
      </c>
      <c r="V36" s="2" t="n">
        <f aca="false">INDEX('Feature Data'!$P$2:$P$301,MATCH($A36,'Feature Data'!$A$2:$A$301,0))</f>
        <v>11</v>
      </c>
      <c r="W36" s="2" t="n">
        <f aca="false">INDEX(Segmentation!$R$2:$R$301,MATCH($A36,Segmentation!$A$2:$A$301,0))</f>
        <v>6</v>
      </c>
      <c r="X36" s="2" t="n">
        <f aca="false">INDEX(Segmentation!$S$2:$S$301,MATCH($A36,Segmentation!$A$2:$A$301,0))</f>
        <v>0</v>
      </c>
      <c r="Y36" s="10" t="b">
        <f aca="false">INDEX(Segmentation!$AG$2:$AG$301,MATCH($A36,Segmentation!$A$2:$A$301,0))</f>
        <v>0</v>
      </c>
      <c r="Z36" s="2" t="str">
        <f aca="false">INDEX(Segmentation!$AU$2:$AU$301,MATCH($A36,Segmentation!$A$2:$A$301,0))</f>
        <v>Not Eligible</v>
      </c>
      <c r="AA36" s="10" t="b">
        <f aca="false">INDEX(Segmentation!$Z$2:$Z$301,MATCH($A36,Segmentation!$A$2:$A$301,0))</f>
        <v>0</v>
      </c>
      <c r="AB36" s="10" t="b">
        <f aca="false">INDEX(Segmentation!$AH$2:$AH$301,MATCH($A36,Segmentation!$A$2:$A$301,0))</f>
        <v>0</v>
      </c>
      <c r="AC36" s="10" t="b">
        <f aca="false">INDEX(Segmentation!$AK$2:$AK$301,MATCH($A36,Segmentation!$A$2:$A$301,0))</f>
        <v>0</v>
      </c>
      <c r="AD36" s="10" t="b">
        <f aca="false">INDEX(Segmentation!$AQ$2:$AQ$301,MATCH($A36,Segmentation!$A$2:$A$301,0))</f>
        <v>1</v>
      </c>
      <c r="AE36" s="10" t="b">
        <f aca="false">INDEX(Segmentation!$AT$2:$AT$301,MATCH($A36,Segmentation!$A$2:$A$301,0))</f>
        <v>0</v>
      </c>
      <c r="AF36" s="10" t="b">
        <f aca="false">INDEX(Segmentation!$X$2:$X$301,MATCH($A36,Segmentation!$A$2:$A$301,0))</f>
        <v>0</v>
      </c>
      <c r="AG36" s="10" t="b">
        <f aca="false">AND(F36="Low",V36&gt;=Assumptions!$B$71,X36&lt;Assumptions!$B$72)</f>
        <v>0</v>
      </c>
      <c r="AH36" s="10" t="b">
        <f aca="false">AND(F36="Low",OR(G36="Growing",G36="Stable"),P36="Recently Active",V36&gt;=Assumptions!$B$58,K36&gt;=Assumptions!$B$73)</f>
        <v>0</v>
      </c>
      <c r="AI36" s="17" t="n">
        <f aca="false">IF(O36&gt;0,MAX(L36:N36)/O36,"")</f>
        <v>1</v>
      </c>
      <c r="AJ36" s="2" t="str">
        <f aca="false">IF(LEFT(D36,1)="1",IF(E36="Key","MIGRATION_KEY_SIGNOFF",IF(Z36="Ready","MIGRATION_PHASE1_READY",IF(Z36="Manual Review","MIGRATION_PHASE1_REVIEW","MIGRATION_PRE_ENTRY"))),IF(LEFT(D36,1)="2","DECLINING_KEY_CORE",IF(LEFT(D36,1)="3",IF(R36="Established Buyer Lapsed","LAPSED_ESTABLISHED","LAPSED_THIN_HISTORY"),IF(LEFT(D36,1)="4",IF(Q36="New Customer","NEW_CUSTOMER","RETURNED_CUSTOMER"),IF(LEFT(D36,1)="5",IF(P36="Recently Active","COST_TO_SERVE_ACTIVE","DORMANT_LOW_VALUE"),IF(LEFT(D36,1)="6",IF(P36="Recent Inactivity","RECENT_INACTIVITY",IF(AG36,"BROWSING_LOW_OFFERS","HEALTHY_STRONG_SELF_SERVE")),IF(LEFT(D36,1)="7",IF(P36="Recent Inactivity","RECENT_INACTIVITY",IF(Q36="New Customer","NEW_CUSTOMER","RETURNED_CUSTOMER")),IF(LEFT(D36,1)="8",IF(G36="Declining",IF(T36="Engaged but shrinking (Key/Core)","ENGAGED_BUT_SHRINKING","DECLINING_KEY_CORE"),IF(R36="Established Buyer Lapsed","LAPSED_ESTABLISHED","LAPSED_THIN_HISTORY")),IF(S36,IF(P36&lt;&gt;"Recently Active","DORMANT_LOW_VALUE",IF(AG36,"BROWSING_LOW_OFFERS",IF(AH36,"RISING_TAIL","RISING_TAIL_EARLY"))),IF(AND(AG36,P36="Recently Active",OR(G36="Growing",G36="Stable",G36="H2 Active / No H1 GMV"),I36&gt;=Assumptions!$B$74),"BROWSING_LOW_OFFERS","LONG_TAIL_STANDARD"))))))))))</f>
        <v>DECLINING_KEY_CORE</v>
      </c>
      <c r="AK36" s="2" t="str">
        <f aca="false">INDEX('NBA Library'!$B$4:$B$21,MATCH(AJ36,'NBA Library'!$A$4:$A$21,0))</f>
        <v>Retention Conversation</v>
      </c>
      <c r="AL36" s="2" t="str">
        <f aca="false">INDEX('NBA Library'!$C$4:$C$21,MATCH(AJ36,'NBA Library'!$A$4:$A$21,0))</f>
        <v>Human</v>
      </c>
      <c r="AM36" s="2" t="str">
        <f aca="false">IF(AA36,"HOLD — Critical Data Issue",IF(Y36,"Human Sign-Off Required",IF(Z36="Manual Review","Human Review Required",IF(AND(AL36="Automated",OR(AE36,AND(OR(AK36="Discovery-to-Offer Enablement",AK36="Reinforce Successful Behaviour"),OR(AC36,AB36)))),"Human Review Required",IF(AL36="Human","Ready — Human",IF(AL36="Hybrid","Ready — Hybrid","Ready — Automated"))))))</f>
        <v>Ready — Human</v>
      </c>
      <c r="AN36" s="2" t="str">
        <f aca="false">IF(AA36,"P0",IF(AND(AJ36="BROWSING_LOW_OFFERS",E36="Tail"),"P3",IF(AND(AM36="Human Review Required",INDEX('NBA Library'!$D$4:$D$21,MATCH(AJ36,'NBA Library'!$A$4:$A$21,0))="P4"),"P3",INDEX('NBA Library'!$D$4:$D$21,MATCH(AJ36,'NBA Library'!$A$4:$A$21,0)))))</f>
        <v>P1</v>
      </c>
      <c r="AO36" s="2" t="str">
        <f aca="false">E36&amp;" "&amp;C36&amp;" account ("&amp;B36&amp;"); "&amp;G36&amp;" momentum; "&amp;P36&amp;"; £"&amp;TEXT(H36,"#,##0")&amp;" 6m GMV. "&amp;INDEX('NBA Library'!$G$4:$G$21,MATCH(AJ36,'NBA Library'!$A$4:$A$21,0))&amp;IF(LEFT(D36,1)="1"," Baseline: "&amp;V36&amp;" PDP views, "&amp;W36&amp;" app days, "&amp;X36&amp;" offers, "&amp;TEXT(J36/I36,"0%")&amp;" of orders self-serve.","")&amp;IF(AA36," Execution on HOLD until the Duplicate status is resolved.","")&amp;IF(Y36," Key account: explicit AM/leadership sign-off required before any migration activity.","")&amp;IF(AE36," Implied broker % from order counts would move this account to a different segment; review before automating.","")</f>
        <v>Core Broker-Reliant account (Account Managed); Declining momentum; Recently Active; £3,906 6m GMV. Broker-led spend is falling. Keep human support in place; AM to diagnose the cause before any migration or product nudge.</v>
      </c>
      <c r="AP36" s="2" t="str">
        <f aca="false">INDEX('NBA Library'!$E$4:$E$21,MATCH(AJ36,'NBA Library'!$A$4:$A$21,0))&amp;IF(AND(AJ36="NEW_CUSTOMER",AG36),"; introduce Make-an-Offer on items already browsed","")</f>
        <v>AM diagnoses the cause of falling spend (supply, price, service, competitor) and agrees a recovery plan; keep human support in place</v>
      </c>
      <c r="AQ36" s="2" t="str">
        <f aca="false">INDEX('NBA Library'!$F$4:$F$21,MATCH(AJ36,'NBA Library'!$A$4:$A$21,0))</f>
        <v>Next 90-day GMV back to at least the Sep-Nov (H1) level, or decline arrested; root cause logged</v>
      </c>
      <c r="AR36" s="2" t="str">
        <f aca="false">IF(AND(F36="Low",OR(G36="Growing",G36="Stable"),P36="Recently Active",U36&lt;&gt;"Mixed",OR(AK36="Discovery-to-Offer Enablement",AK36="Reinforce Successful Behaviour"),AM36="Ready — Automated",OR(E36&lt;&gt;"Tail",S36)),"Range Expansion Test — trial "&amp;IF(U36="Bundle-only","handpick","bundles")&amp;" (experimental; not proven to lift GMV)","")</f>
        <v/>
      </c>
      <c r="AS36" s="2" t="str">
        <f aca="false">IF(AK36&lt;&gt;"Automated Nurture","",IF(AJ36="DORMANT_LOW_VALUE","Dormant",IF(AJ36="RISING_TAIL_EARLY","Rising tail – early pattern",IF(Q36="New Customer","New customer onboarding",IF(Q36="Returned Customer","Returned customer",IF(G36="Lapsed","Dormant",IF(T36="Engaged, not converting","Engaged, not converting",IF(T36="One-off low-touch buyer","One-off purchaser",IF(T36="Light-touch repeat buyer","Light-touch repeat buyer","Standard long tail")))))))))</f>
        <v/>
      </c>
      <c r="AT36" s="2" t="str">
        <f aca="false">IF(AA36,"CRITICAL_DATA_BLOCKER; ","")&amp;IF(Y36,"KEY_SIGNOFF; ","")&amp;IF(Z36="Manual Review","PHASE1_MANUAL_REVIEW; ","")&amp;IF(AND(LEFT(D36,1)="1",AZ36="Lumpy"),"LUMPY_CADENCE; ","")&amp;IF(AB36,"BORDERLINE_MOMENTUM; ","")&amp;IF(AC36,"FEB_SENSITIVE; ","")&amp;IF(AD36,"MATERIAL_BROKER_INCONSISTENCY"&amp;IF(AE36," (segment would change)","")&amp;"; ","")&amp;IF(AND(I36&gt;=3,O36&gt;0),IF(AI36&gt;=Assumptions!$B$75,"H2_SINGLE_MONTH_SPIKE; ",""),"")&amp;IF(AND(M36&gt;0,N36=0),"NO_FEB_GMV (Feb unconfirmed); ","")&amp;IF(AF36,"LOW_CONFIDENCE; ","")</f>
        <v>MATERIAL_BROKER_INCONSISTENCY; H2_SINGLE_MONTH_SPIKE; NO_FEB_GMV (Feb unconfirmed); </v>
      </c>
      <c r="AU36" s="2" t="str">
        <f aca="false">IF(LEFT(D36,1)="1",V36,"")</f>
        <v/>
      </c>
      <c r="AV36" s="2" t="str">
        <f aca="false">IF(LEFT(D36,1)="1",V36&gt;=Assumptions!$B$58,"")</f>
        <v/>
      </c>
      <c r="AW36" s="2" t="str">
        <f aca="false">IF(LEFT(D36,1)="1",W36,"")</f>
        <v/>
      </c>
      <c r="AX36" s="2" t="str">
        <f aca="false">IF(LEFT(D36,1)="1",X36,"")</f>
        <v/>
      </c>
      <c r="AY36" s="17" t="str">
        <f aca="false">IF(LEFT(D36,1)="1",J36/I36,"")</f>
        <v/>
      </c>
      <c r="AZ36" s="2" t="str">
        <f aca="false">IF(LEFT(D36,1)="1",IF(AND(K36&gt;=Assumptions!$B$83,I36&gt;=Assumptions!$B$84),"Regular","Lumpy"),"")</f>
        <v/>
      </c>
      <c r="BA36" s="2" t="str">
        <f aca="false">IF(LEFT(D36,1)="1",ROUND(6/K36,0),"")</f>
        <v/>
      </c>
      <c r="BB36" s="2" t="str">
        <f aca="false">IF(LEFT(D36,1)="1",IF(AZ36="Regular","Regular buyer: expected ~£"&amp;TEXT(H36/2,"#,##0")&amp;" per 90 days. At Risk if GMV to date &lt; "&amp;TEXT(Assumptions!$B$81,"0%")&amp;" of pro-rated expectation, checked from day "&amp;Assumptions!$B$82&amp;". Human-reviewed.","Irregular buyer ("&amp;I36&amp;" orders across "&amp;K36&amp;" months): no numeric GMV threshold. At Risk if no order within ~"&amp;BA36&amp;" month(s); AM reviews at day "&amp;Assumptions!$B$82&amp;" and "&amp;Assumptions!$B$85&amp;"."),"")</f>
        <v/>
      </c>
      <c r="BC36" s="2"/>
      <c r="BD36" s="2"/>
      <c r="BE36" s="2"/>
      <c r="BF36" s="2"/>
      <c r="BG36" s="2"/>
      <c r="BH36" s="2"/>
      <c r="BI36" s="2"/>
      <c r="BJ36" s="2" t="str">
        <f aca="false">IF(OR(NOT(LEFT(D36,1)="1"),BC36=""),"",IF(AZ36="Regular",AND(BC36&gt;=Assumptions!$B$82,N(BI36)&lt;Assumptions!$B$81*H36/180*BC36),AND(BC36&gt;=BA36*30,N(BG36)=0)))</f>
        <v/>
      </c>
      <c r="BK36" s="2" t="str">
        <f aca="false">IF(NOT(LEFT(D36,1)="1"),"N/A",IF(BC36="","Baseline",IF(BJ36,"At Risk",IF(AND(N(BD36)&gt;=Assumptions!$B$78,N(BE36)&gt;=Assumptions!$B$79,N(BH36)&gt;=1,N(BH36)/MAX(N(BG36),1)&gt;AY36),"Self-Serve Capability Demonstrated",IF(OR(N(BD36)&gt;=Assumptions!$B$76,N(BE36)&gt;=Assumptions!$B$77),"Progressing",IF(BC36&gt;=Assumptions!$B$85,"At Risk","Baseline"))))))</f>
        <v>N/A</v>
      </c>
      <c r="BL36" s="2" t="n">
        <f aca="false">(AND(C36="Broker-Reliant",OR(AK36="Discovery-to-Offer Enablement",AK36="Reinforce Successful Behaviour")))*1+(AND(G36="Declining",E36&lt;&gt;"Tail",AL36="Automated"))*1+(AND(Y36,AM36&lt;&gt;"Human Sign-Off Required"))*1+(AND(AA36,AM36&lt;&gt;"HOLD — Critical Data Issue"))*1+(AND(P36="Recent Inactivity",OR(AK36="Discovery-to-Offer Enablement",AK36="Reinforce Successful Behaviour")))*1+(AND(OR(LEFT(D36,1)="2",LEFT(D36,1)="3",LEFT(D36,1)="8"),AL36="Automated"))*1+((LEFT(D36,1)="1")&lt;&gt;(AK36="Guided Self-Serve Migration"))*1+(AND(AR36&lt;&gt;"",OR(F36&lt;&gt;"Low",U36="Mixed",AND(G36&lt;&gt;"Growing",G36&lt;&gt;"Stable"))))*1+ISNUMBER(SEARCH("chat",AP36))*1+ISNUMBER(SEARCH("video",AP36))*1+(AND(AA36,AL36="Automated",AM36&lt;&gt;"HOLD — Critical Data Issue"))*1</f>
        <v>0</v>
      </c>
    </row>
    <row r="37" customFormat="false" ht="15" hidden="false" customHeight="false" outlineLevel="0" collapsed="false">
      <c r="A37" s="2" t="s">
        <v>422</v>
      </c>
      <c r="B37" s="2" t="str">
        <f aca="false">INDEX(Segmentation!$B$2:$B$301,MATCH($A37,Segmentation!$A$2:$A$301,0))</f>
        <v>Account Managed</v>
      </c>
      <c r="C37" s="2" t="str">
        <f aca="false">INDEX(Segmentation!$H$2:$H$301,MATCH($A37,Segmentation!$A$2:$A$301,0))</f>
        <v>Broker-Reliant</v>
      </c>
      <c r="D37" s="2" t="str">
        <f aca="false">INDEX(Segmentation!$T$2:$T$301,MATCH($A37,Segmentation!$A$2:$A$301,0))</f>
        <v>1. Migration Candidate</v>
      </c>
      <c r="E37" s="2" t="str">
        <f aca="false">INDEX(Segmentation!$J$2:$J$301,MATCH($A37,Segmentation!$A$2:$A$301,0))</f>
        <v>Core</v>
      </c>
      <c r="F37" s="2" t="str">
        <f aca="false">INDEX(Segmentation!$G$2:$G$301,MATCH($A37,Segmentation!$A$2:$A$301,0))</f>
        <v>High</v>
      </c>
      <c r="G37" s="2" t="str">
        <f aca="false">INDEX(Segmentation!$N$2:$N$301,MATCH($A37,Segmentation!$A$2:$A$301,0))</f>
        <v>Growing</v>
      </c>
      <c r="H37" s="9" t="n">
        <f aca="false">INDEX(Segmentation!$I$2:$I$301,MATCH($A37,Segmentation!$A$2:$A$301,0))</f>
        <v>3879</v>
      </c>
      <c r="I37" s="2" t="n">
        <f aca="false">INDEX(Segmentation!$O$2:$O$301,MATCH($A37,Segmentation!$A$2:$A$301,0))</f>
        <v>37</v>
      </c>
      <c r="J37" s="2" t="n">
        <f aca="false">INDEX(Segmentation!$Q$2:$Q$301,MATCH($A37,Segmentation!$A$2:$A$301,0))</f>
        <v>9</v>
      </c>
      <c r="K37" s="2" t="n">
        <f aca="false">INDEX(Segmentation!$W$2:$W$301,MATCH($A37,Segmentation!$A$2:$A$301,0))</f>
        <v>2</v>
      </c>
      <c r="L37" s="9" t="n">
        <f aca="false">INDEX('Commercial View'!$L$2:$L$301,MATCH($A37,'Commercial View'!$A$2:$A$301,0))</f>
        <v>0</v>
      </c>
      <c r="M37" s="9" t="n">
        <f aca="false">INDEX('Commercial View'!$M$2:$M$301,MATCH($A37,'Commercial View'!$A$2:$A$301,0))</f>
        <v>3510</v>
      </c>
      <c r="N37" s="9" t="n">
        <f aca="false">INDEX('Commercial View'!$N$2:$N$301,MATCH($A37,'Commercial View'!$A$2:$A$301,0))</f>
        <v>0</v>
      </c>
      <c r="O37" s="9" t="n">
        <f aca="false">INDEX(Segmentation!$L$2:$L$301,MATCH($A37,Segmentation!$A$2:$A$301,0))</f>
        <v>3510</v>
      </c>
      <c r="P37" s="2" t="str">
        <f aca="false">IF(OR(M37&gt;0,N37&gt;0),"Recently Active",IF(OR(I37&lt;=Assumptions!$B$48,K37&lt;=Assumptions!$B$49),"No Meaningful History","Recent Inactivity"))</f>
        <v>Recently Active</v>
      </c>
      <c r="Q37" s="2" t="str">
        <f aca="false">INDEX(Segmentation!$AF$2:$AF$301,MATCH($A37,Segmentation!$A$2:$A$301,0))</f>
        <v>Existing Customer</v>
      </c>
      <c r="R37" s="2" t="str">
        <f aca="false">INDEX(Segmentation!$AL$2:$AL$301,MATCH($A37,Segmentation!$A$2:$A$301,0))</f>
        <v>N/A</v>
      </c>
      <c r="S37" s="10" t="b">
        <f aca="false">INDEX(Segmentation!$AW$2:$AW$301,MATCH($A37,Segmentation!$A$2:$A$301,0))</f>
        <v>0</v>
      </c>
      <c r="T37" s="2" t="str">
        <f aca="false">INDEX('Feature Data'!$AD$2:$AD$301,MATCH($A37,'Feature Data'!$A$2:$A$301,0))</f>
        <v>Broker-led, product-blind</v>
      </c>
      <c r="U37" s="2" t="str">
        <f aca="false">INDEX('Feature Data'!$W$2:$W$301,MATCH($A37,'Feature Data'!$A$2:$A$301,0))</f>
        <v>Mixed</v>
      </c>
      <c r="V37" s="2" t="n">
        <f aca="false">INDEX('Feature Data'!$P$2:$P$301,MATCH($A37,'Feature Data'!$A$2:$A$301,0))</f>
        <v>2</v>
      </c>
      <c r="W37" s="2" t="n">
        <f aca="false">INDEX(Segmentation!$R$2:$R$301,MATCH($A37,Segmentation!$A$2:$A$301,0))</f>
        <v>6</v>
      </c>
      <c r="X37" s="2" t="n">
        <f aca="false">INDEX(Segmentation!$S$2:$S$301,MATCH($A37,Segmentation!$A$2:$A$301,0))</f>
        <v>1</v>
      </c>
      <c r="Y37" s="10" t="b">
        <f aca="false">INDEX(Segmentation!$AG$2:$AG$301,MATCH($A37,Segmentation!$A$2:$A$301,0))</f>
        <v>0</v>
      </c>
      <c r="Z37" s="2" t="str">
        <f aca="false">INDEX(Segmentation!$AU$2:$AU$301,MATCH($A37,Segmentation!$A$2:$A$301,0))</f>
        <v>Manual Review</v>
      </c>
      <c r="AA37" s="10" t="b">
        <f aca="false">INDEX(Segmentation!$Z$2:$Z$301,MATCH($A37,Segmentation!$A$2:$A$301,0))</f>
        <v>0</v>
      </c>
      <c r="AB37" s="10" t="b">
        <f aca="false">INDEX(Segmentation!$AH$2:$AH$301,MATCH($A37,Segmentation!$A$2:$A$301,0))</f>
        <v>0</v>
      </c>
      <c r="AC37" s="10" t="b">
        <f aca="false">INDEX(Segmentation!$AK$2:$AK$301,MATCH($A37,Segmentation!$A$2:$A$301,0))</f>
        <v>0</v>
      </c>
      <c r="AD37" s="10" t="b">
        <f aca="false">INDEX(Segmentation!$AQ$2:$AQ$301,MATCH($A37,Segmentation!$A$2:$A$301,0))</f>
        <v>0</v>
      </c>
      <c r="AE37" s="10" t="b">
        <f aca="false">INDEX(Segmentation!$AT$2:$AT$301,MATCH($A37,Segmentation!$A$2:$A$301,0))</f>
        <v>0</v>
      </c>
      <c r="AF37" s="10" t="b">
        <f aca="false">INDEX(Segmentation!$X$2:$X$301,MATCH($A37,Segmentation!$A$2:$A$301,0))</f>
        <v>0</v>
      </c>
      <c r="AG37" s="10" t="b">
        <f aca="false">AND(F37="Low",V37&gt;=Assumptions!$B$71,X37&lt;Assumptions!$B$72)</f>
        <v>0</v>
      </c>
      <c r="AH37" s="10" t="b">
        <f aca="false">AND(F37="Low",OR(G37="Growing",G37="Stable"),P37="Recently Active",V37&gt;=Assumptions!$B$58,K37&gt;=Assumptions!$B$73)</f>
        <v>0</v>
      </c>
      <c r="AI37" s="17" t="n">
        <f aca="false">IF(O37&gt;0,MAX(L37:N37)/O37,"")</f>
        <v>1</v>
      </c>
      <c r="AJ37" s="2" t="str">
        <f aca="false">IF(LEFT(D37,1)="1",IF(E37="Key","MIGRATION_KEY_SIGNOFF",IF(Z37="Ready","MIGRATION_PHASE1_READY",IF(Z37="Manual Review","MIGRATION_PHASE1_REVIEW","MIGRATION_PRE_ENTRY"))),IF(LEFT(D37,1)="2","DECLINING_KEY_CORE",IF(LEFT(D37,1)="3",IF(R37="Established Buyer Lapsed","LAPSED_ESTABLISHED","LAPSED_THIN_HISTORY"),IF(LEFT(D37,1)="4",IF(Q37="New Customer","NEW_CUSTOMER","RETURNED_CUSTOMER"),IF(LEFT(D37,1)="5",IF(P37="Recently Active","COST_TO_SERVE_ACTIVE","DORMANT_LOW_VALUE"),IF(LEFT(D37,1)="6",IF(P37="Recent Inactivity","RECENT_INACTIVITY",IF(AG37,"BROWSING_LOW_OFFERS","HEALTHY_STRONG_SELF_SERVE")),IF(LEFT(D37,1)="7",IF(P37="Recent Inactivity","RECENT_INACTIVITY",IF(Q37="New Customer","NEW_CUSTOMER","RETURNED_CUSTOMER")),IF(LEFT(D37,1)="8",IF(G37="Declining",IF(T37="Engaged but shrinking (Key/Core)","ENGAGED_BUT_SHRINKING","DECLINING_KEY_CORE"),IF(R37="Established Buyer Lapsed","LAPSED_ESTABLISHED","LAPSED_THIN_HISTORY")),IF(S37,IF(P37&lt;&gt;"Recently Active","DORMANT_LOW_VALUE",IF(AG37,"BROWSING_LOW_OFFERS",IF(AH37,"RISING_TAIL","RISING_TAIL_EARLY"))),IF(AND(AG37,P37="Recently Active",OR(G37="Growing",G37="Stable",G37="H2 Active / No H1 GMV"),I37&gt;=Assumptions!$B$74),"BROWSING_LOW_OFFERS","LONG_TAIL_STANDARD"))))))))))</f>
        <v>MIGRATION_PHASE1_REVIEW</v>
      </c>
      <c r="AK37" s="2" t="str">
        <f aca="false">INDEX('NBA Library'!$B$4:$B$21,MATCH(AJ37,'NBA Library'!$A$4:$A$21,0))</f>
        <v>Guided Self-Serve Migration</v>
      </c>
      <c r="AL37" s="2" t="str">
        <f aca="false">INDEX('NBA Library'!$C$4:$C$21,MATCH(AJ37,'NBA Library'!$A$4:$A$21,0))</f>
        <v>Hybrid</v>
      </c>
      <c r="AM37" s="2" t="str">
        <f aca="false">IF(AA37,"HOLD — Critical Data Issue",IF(Y37,"Human Sign-Off Required",IF(Z37="Manual Review","Human Review Required",IF(AND(AL37="Automated",OR(AE37,AND(OR(AK37="Discovery-to-Offer Enablement",AK37="Reinforce Successful Behaviour"),OR(AC37,AB37)))),"Human Review Required",IF(AL37="Human","Ready — Human",IF(AL37="Hybrid","Ready — Hybrid","Ready — Automated"))))))</f>
        <v>Human Review Required</v>
      </c>
      <c r="AN37" s="2" t="str">
        <f aca="false">IF(AA37,"P0",IF(AND(AJ37="BROWSING_LOW_OFFERS",E37="Tail"),"P3",IF(AND(AM37="Human Review Required",INDEX('NBA Library'!$D$4:$D$21,MATCH(AJ37,'NBA Library'!$A$4:$A$21,0))="P4"),"P3",INDEX('NBA Library'!$D$4:$D$21,MATCH(AJ37,'NBA Library'!$A$4:$A$21,0)))))</f>
        <v>P2</v>
      </c>
      <c r="AO37" s="2" t="str">
        <f aca="false">E37&amp;" "&amp;C37&amp;" account ("&amp;B37&amp;"); "&amp;G37&amp;" momentum; "&amp;P37&amp;"; £"&amp;TEXT(H37,"#,##0")&amp;" 6m GMV. "&amp;INDEX('NBA Library'!$G$4:$G$21,MATCH(AJ37,'NBA Library'!$A$4:$A$21,0))&amp;IF(LEFT(D37,1)="1"," Baseline: "&amp;V37&amp;" PDP views, "&amp;W37&amp;" app days, "&amp;X37&amp;" offers, "&amp;TEXT(J37/I37,"0%")&amp;" of orders self-serve.","")&amp;IF(AA37," Execution on HOLD until the Duplicate status is resolved.","")&amp;IF(Y37," Key account: explicit AM/leadership sign-off required before any migration activity.","")&amp;IF(AE37," Implied broker % from order counts would move this account to a different segment; review before automating.","")</f>
        <v>Core Broker-Reliant account (Account Managed); Growing momentum; Recently Active; £3,879 6m GMV. Meets Phase 1 entry criteria but carries a guardrail warning (borderline/February-sensitive momentum, lumpy cadence or broker % inconsistency). Resolve before starting migration. Baseline: 2 PDP views, 6 app days, 1 offers, 24% of orders self-serve.</v>
      </c>
      <c r="AP37" s="2" t="str">
        <f aca="false">INDEX('NBA Library'!$E$4:$E$21,MATCH(AJ37,'NBA Library'!$A$4:$A$21,0))&amp;IF(AND(AJ37="NEW_CUSTOMER",AG37),"; introduce Make-an-Offer on items already browsed","")</f>
        <v>As Phase 1 Ready once the guardrail warning is resolved</v>
      </c>
      <c r="AQ37" s="2" t="str">
        <f aca="false">INDEX('NBA Library'!$F$4:$F$21,MATCH(AJ37,'NBA Library'!$A$4:$A$21,0))</f>
        <v>Warning resolved; then as Phase 1 Ready</v>
      </c>
      <c r="AR37" s="2" t="str">
        <f aca="false">IF(AND(F37="Low",OR(G37="Growing",G37="Stable"),P37="Recently Active",U37&lt;&gt;"Mixed",OR(AK37="Discovery-to-Offer Enablement",AK37="Reinforce Successful Behaviour"),AM37="Ready — Automated",OR(E37&lt;&gt;"Tail",S37)),"Range Expansion Test — trial "&amp;IF(U37="Bundle-only","handpick","bundles")&amp;" (experimental; not proven to lift GMV)","")</f>
        <v/>
      </c>
      <c r="AS37" s="2" t="str">
        <f aca="false">IF(AK37&lt;&gt;"Automated Nurture","",IF(AJ37="DORMANT_LOW_VALUE","Dormant",IF(AJ37="RISING_TAIL_EARLY","Rising tail – early pattern",IF(Q37="New Customer","New customer onboarding",IF(Q37="Returned Customer","Returned customer",IF(G37="Lapsed","Dormant",IF(T37="Engaged, not converting","Engaged, not converting",IF(T37="One-off low-touch buyer","One-off purchaser",IF(T37="Light-touch repeat buyer","Light-touch repeat buyer","Standard long tail")))))))))</f>
        <v/>
      </c>
      <c r="AT37" s="2" t="str">
        <f aca="false">IF(AA37,"CRITICAL_DATA_BLOCKER; ","")&amp;IF(Y37,"KEY_SIGNOFF; ","")&amp;IF(Z37="Manual Review","PHASE1_MANUAL_REVIEW; ","")&amp;IF(AND(LEFT(D37,1)="1",AZ37="Lumpy"),"LUMPY_CADENCE; ","")&amp;IF(AB37,"BORDERLINE_MOMENTUM; ","")&amp;IF(AC37,"FEB_SENSITIVE; ","")&amp;IF(AD37,"MATERIAL_BROKER_INCONSISTENCY"&amp;IF(AE37," (segment would change)","")&amp;"; ","")&amp;IF(AND(I37&gt;=3,O37&gt;0),IF(AI37&gt;=Assumptions!$B$75,"H2_SINGLE_MONTH_SPIKE; ",""),"")&amp;IF(AND(M37&gt;0,N37=0),"NO_FEB_GMV (Feb unconfirmed); ","")&amp;IF(AF37,"LOW_CONFIDENCE; ","")</f>
        <v>PHASE1_MANUAL_REVIEW; LUMPY_CADENCE; H2_SINGLE_MONTH_SPIKE; NO_FEB_GMV (Feb unconfirmed); </v>
      </c>
      <c r="AU37" s="2" t="n">
        <f aca="false">IF(LEFT(D37,1)="1",V37,"")</f>
        <v>2</v>
      </c>
      <c r="AV37" s="10" t="b">
        <f aca="false">IF(LEFT(D37,1)="1",V37&gt;=Assumptions!$B$58,"")</f>
        <v>0</v>
      </c>
      <c r="AW37" s="2" t="n">
        <f aca="false">IF(LEFT(D37,1)="1",W37,"")</f>
        <v>6</v>
      </c>
      <c r="AX37" s="2" t="n">
        <f aca="false">IF(LEFT(D37,1)="1",X37,"")</f>
        <v>1</v>
      </c>
      <c r="AY37" s="17" t="n">
        <f aca="false">IF(LEFT(D37,1)="1",J37/I37,"")</f>
        <v>0.243243243243243</v>
      </c>
      <c r="AZ37" s="2" t="str">
        <f aca="false">IF(LEFT(D37,1)="1",IF(AND(K37&gt;=Assumptions!$B$83,I37&gt;=Assumptions!$B$84),"Regular","Lumpy"),"")</f>
        <v>Lumpy</v>
      </c>
      <c r="BA37" s="2" t="n">
        <f aca="false">IF(LEFT(D37,1)="1",ROUND(6/K37,0),"")</f>
        <v>3</v>
      </c>
      <c r="BB37" s="2" t="str">
        <f aca="false">IF(LEFT(D37,1)="1",IF(AZ37="Regular","Regular buyer: expected ~£"&amp;TEXT(H37/2,"#,##0")&amp;" per 90 days. At Risk if GMV to date &lt; "&amp;TEXT(Assumptions!$B$81,"0%")&amp;" of pro-rated expectation, checked from day "&amp;Assumptions!$B$82&amp;". Human-reviewed.","Irregular buyer ("&amp;I37&amp;" orders across "&amp;K37&amp;" months): no numeric GMV threshold. At Risk if no order within ~"&amp;BA37&amp;" month(s); AM reviews at day "&amp;Assumptions!$B$82&amp;" and "&amp;Assumptions!$B$85&amp;"."),"")</f>
        <v>Irregular buyer (37 orders across 2 months): no numeric GMV threshold. At Risk if no order within ~3 month(s); AM reviews at day 45 and 90.</v>
      </c>
      <c r="BC37" s="18"/>
      <c r="BD37" s="18"/>
      <c r="BE37" s="18"/>
      <c r="BF37" s="18"/>
      <c r="BG37" s="18"/>
      <c r="BH37" s="18"/>
      <c r="BI37" s="18"/>
      <c r="BJ37" s="2" t="str">
        <f aca="false">IF(OR(NOT(LEFT(D37,1)="1"),BC37=""),"",IF(AZ37="Regular",AND(BC37&gt;=Assumptions!$B$82,N(BI37)&lt;Assumptions!$B$81*H37/180*BC37),AND(BC37&gt;=BA37*30,N(BG37)=0)))</f>
        <v/>
      </c>
      <c r="BK37" s="2" t="str">
        <f aca="false">IF(NOT(LEFT(D37,1)="1"),"N/A",IF(BC37="","Baseline",IF(BJ37,"At Risk",IF(AND(N(BD37)&gt;=Assumptions!$B$78,N(BE37)&gt;=Assumptions!$B$79,N(BH37)&gt;=1,N(BH37)/MAX(N(BG37),1)&gt;AY37),"Self-Serve Capability Demonstrated",IF(OR(N(BD37)&gt;=Assumptions!$B$76,N(BE37)&gt;=Assumptions!$B$77),"Progressing",IF(BC37&gt;=Assumptions!$B$85,"At Risk","Baseline"))))))</f>
        <v>Baseline</v>
      </c>
      <c r="BL37" s="2" t="n">
        <f aca="false">(AND(C37="Broker-Reliant",OR(AK37="Discovery-to-Offer Enablement",AK37="Reinforce Successful Behaviour")))*1+(AND(G37="Declining",E37&lt;&gt;"Tail",AL37="Automated"))*1+(AND(Y37,AM37&lt;&gt;"Human Sign-Off Required"))*1+(AND(AA37,AM37&lt;&gt;"HOLD — Critical Data Issue"))*1+(AND(P37="Recent Inactivity",OR(AK37="Discovery-to-Offer Enablement",AK37="Reinforce Successful Behaviour")))*1+(AND(OR(LEFT(D37,1)="2",LEFT(D37,1)="3",LEFT(D37,1)="8"),AL37="Automated"))*1+((LEFT(D37,1)="1")&lt;&gt;(AK37="Guided Self-Serve Migration"))*1+(AND(AR37&lt;&gt;"",OR(F37&lt;&gt;"Low",U37="Mixed",AND(G37&lt;&gt;"Growing",G37&lt;&gt;"Stable"))))*1+ISNUMBER(SEARCH("chat",AP37))*1+ISNUMBER(SEARCH("video",AP37))*1+(AND(AA37,AL37="Automated",AM37&lt;&gt;"HOLD — Critical Data Issue"))*1</f>
        <v>0</v>
      </c>
    </row>
    <row r="38" customFormat="false" ht="15" hidden="false" customHeight="false" outlineLevel="0" collapsed="false">
      <c r="A38" s="2" t="s">
        <v>239</v>
      </c>
      <c r="B38" s="2" t="str">
        <f aca="false">INDEX(Segmentation!$B$2:$B$301,MATCH($A38,Segmentation!$A$2:$A$301,0))</f>
        <v>Account Managed</v>
      </c>
      <c r="C38" s="2" t="str">
        <f aca="false">INDEX(Segmentation!$H$2:$H$301,MATCH($A38,Segmentation!$A$2:$A$301,0))</f>
        <v>Broker-Reliant</v>
      </c>
      <c r="D38" s="2" t="str">
        <f aca="false">INDEX(Segmentation!$T$2:$T$301,MATCH($A38,Segmentation!$A$2:$A$301,0))</f>
        <v>2. Protect / Retain First</v>
      </c>
      <c r="E38" s="2" t="str">
        <f aca="false">INDEX(Segmentation!$J$2:$J$301,MATCH($A38,Segmentation!$A$2:$A$301,0))</f>
        <v>Core</v>
      </c>
      <c r="F38" s="2" t="str">
        <f aca="false">INDEX(Segmentation!$G$2:$G$301,MATCH($A38,Segmentation!$A$2:$A$301,0))</f>
        <v>High</v>
      </c>
      <c r="G38" s="2" t="str">
        <f aca="false">INDEX(Segmentation!$N$2:$N$301,MATCH($A38,Segmentation!$A$2:$A$301,0))</f>
        <v>Declining</v>
      </c>
      <c r="H38" s="9" t="n">
        <f aca="false">INDEX(Segmentation!$I$2:$I$301,MATCH($A38,Segmentation!$A$2:$A$301,0))</f>
        <v>3863</v>
      </c>
      <c r="I38" s="2" t="n">
        <f aca="false">INDEX(Segmentation!$O$2:$O$301,MATCH($A38,Segmentation!$A$2:$A$301,0))</f>
        <v>7</v>
      </c>
      <c r="J38" s="2" t="n">
        <f aca="false">INDEX(Segmentation!$Q$2:$Q$301,MATCH($A38,Segmentation!$A$2:$A$301,0))</f>
        <v>1</v>
      </c>
      <c r="K38" s="2" t="n">
        <f aca="false">INDEX(Segmentation!$W$2:$W$301,MATCH($A38,Segmentation!$A$2:$A$301,0))</f>
        <v>4</v>
      </c>
      <c r="L38" s="9" t="n">
        <f aca="false">INDEX('Commercial View'!$L$2:$L$301,MATCH($A38,'Commercial View'!$A$2:$A$301,0))</f>
        <v>0</v>
      </c>
      <c r="M38" s="9" t="n">
        <f aca="false">INDEX('Commercial View'!$M$2:$M$301,MATCH($A38,'Commercial View'!$A$2:$A$301,0))</f>
        <v>1013</v>
      </c>
      <c r="N38" s="9" t="n">
        <f aca="false">INDEX('Commercial View'!$N$2:$N$301,MATCH($A38,'Commercial View'!$A$2:$A$301,0))</f>
        <v>254</v>
      </c>
      <c r="O38" s="9" t="n">
        <f aca="false">INDEX(Segmentation!$L$2:$L$301,MATCH($A38,Segmentation!$A$2:$A$301,0))</f>
        <v>1267</v>
      </c>
      <c r="P38" s="2" t="str">
        <f aca="false">IF(OR(M38&gt;0,N38&gt;0),"Recently Active",IF(OR(I38&lt;=Assumptions!$B$48,K38&lt;=Assumptions!$B$49),"No Meaningful History","Recent Inactivity"))</f>
        <v>Recently Active</v>
      </c>
      <c r="Q38" s="2" t="str">
        <f aca="false">INDEX(Segmentation!$AF$2:$AF$301,MATCH($A38,Segmentation!$A$2:$A$301,0))</f>
        <v>Existing Customer</v>
      </c>
      <c r="R38" s="2" t="str">
        <f aca="false">INDEX(Segmentation!$AL$2:$AL$301,MATCH($A38,Segmentation!$A$2:$A$301,0))</f>
        <v>N/A</v>
      </c>
      <c r="S38" s="10" t="b">
        <f aca="false">INDEX(Segmentation!$AW$2:$AW$301,MATCH($A38,Segmentation!$A$2:$A$301,0))</f>
        <v>0</v>
      </c>
      <c r="T38" s="2" t="str">
        <f aca="false">INDEX('Feature Data'!$AD$2:$AD$301,MATCH($A38,'Feature Data'!$A$2:$A$301,0))</f>
        <v>Broker-led, product-blind</v>
      </c>
      <c r="U38" s="2" t="str">
        <f aca="false">INDEX('Feature Data'!$W$2:$W$301,MATCH($A38,'Feature Data'!$A$2:$A$301,0))</f>
        <v>Mixed</v>
      </c>
      <c r="V38" s="2" t="n">
        <f aca="false">INDEX('Feature Data'!$P$2:$P$301,MATCH($A38,'Feature Data'!$A$2:$A$301,0))</f>
        <v>8</v>
      </c>
      <c r="W38" s="2" t="n">
        <f aca="false">INDEX(Segmentation!$R$2:$R$301,MATCH($A38,Segmentation!$A$2:$A$301,0))</f>
        <v>2</v>
      </c>
      <c r="X38" s="2" t="n">
        <f aca="false">INDEX(Segmentation!$S$2:$S$301,MATCH($A38,Segmentation!$A$2:$A$301,0))</f>
        <v>1</v>
      </c>
      <c r="Y38" s="10" t="b">
        <f aca="false">INDEX(Segmentation!$AG$2:$AG$301,MATCH($A38,Segmentation!$A$2:$A$301,0))</f>
        <v>0</v>
      </c>
      <c r="Z38" s="2" t="str">
        <f aca="false">INDEX(Segmentation!$AU$2:$AU$301,MATCH($A38,Segmentation!$A$2:$A$301,0))</f>
        <v>Not Eligible</v>
      </c>
      <c r="AA38" s="10" t="b">
        <f aca="false">INDEX(Segmentation!$Z$2:$Z$301,MATCH($A38,Segmentation!$A$2:$A$301,0))</f>
        <v>0</v>
      </c>
      <c r="AB38" s="10" t="b">
        <f aca="false">INDEX(Segmentation!$AH$2:$AH$301,MATCH($A38,Segmentation!$A$2:$A$301,0))</f>
        <v>0</v>
      </c>
      <c r="AC38" s="10" t="b">
        <f aca="false">INDEX(Segmentation!$AK$2:$AK$301,MATCH($A38,Segmentation!$A$2:$A$301,0))</f>
        <v>0</v>
      </c>
      <c r="AD38" s="10" t="b">
        <f aca="false">INDEX(Segmentation!$AQ$2:$AQ$301,MATCH($A38,Segmentation!$A$2:$A$301,0))</f>
        <v>0</v>
      </c>
      <c r="AE38" s="10" t="b">
        <f aca="false">INDEX(Segmentation!$AT$2:$AT$301,MATCH($A38,Segmentation!$A$2:$A$301,0))</f>
        <v>0</v>
      </c>
      <c r="AF38" s="10" t="b">
        <f aca="false">INDEX(Segmentation!$X$2:$X$301,MATCH($A38,Segmentation!$A$2:$A$301,0))</f>
        <v>0</v>
      </c>
      <c r="AG38" s="10" t="b">
        <f aca="false">AND(F38="Low",V38&gt;=Assumptions!$B$71,X38&lt;Assumptions!$B$72)</f>
        <v>0</v>
      </c>
      <c r="AH38" s="10" t="b">
        <f aca="false">AND(F38="Low",OR(G38="Growing",G38="Stable"),P38="Recently Active",V38&gt;=Assumptions!$B$58,K38&gt;=Assumptions!$B$73)</f>
        <v>0</v>
      </c>
      <c r="AI38" s="17" t="n">
        <f aca="false">IF(O38&gt;0,MAX(L38:N38)/O38,"")</f>
        <v>0.799526440410418</v>
      </c>
      <c r="AJ38" s="2" t="str">
        <f aca="false">IF(LEFT(D38,1)="1",IF(E38="Key","MIGRATION_KEY_SIGNOFF",IF(Z38="Ready","MIGRATION_PHASE1_READY",IF(Z38="Manual Review","MIGRATION_PHASE1_REVIEW","MIGRATION_PRE_ENTRY"))),IF(LEFT(D38,1)="2","DECLINING_KEY_CORE",IF(LEFT(D38,1)="3",IF(R38="Established Buyer Lapsed","LAPSED_ESTABLISHED","LAPSED_THIN_HISTORY"),IF(LEFT(D38,1)="4",IF(Q38="New Customer","NEW_CUSTOMER","RETURNED_CUSTOMER"),IF(LEFT(D38,1)="5",IF(P38="Recently Active","COST_TO_SERVE_ACTIVE","DORMANT_LOW_VALUE"),IF(LEFT(D38,1)="6",IF(P38="Recent Inactivity","RECENT_INACTIVITY",IF(AG38,"BROWSING_LOW_OFFERS","HEALTHY_STRONG_SELF_SERVE")),IF(LEFT(D38,1)="7",IF(P38="Recent Inactivity","RECENT_INACTIVITY",IF(Q38="New Customer","NEW_CUSTOMER","RETURNED_CUSTOMER")),IF(LEFT(D38,1)="8",IF(G38="Declining",IF(T38="Engaged but shrinking (Key/Core)","ENGAGED_BUT_SHRINKING","DECLINING_KEY_CORE"),IF(R38="Established Buyer Lapsed","LAPSED_ESTABLISHED","LAPSED_THIN_HISTORY")),IF(S38,IF(P38&lt;&gt;"Recently Active","DORMANT_LOW_VALUE",IF(AG38,"BROWSING_LOW_OFFERS",IF(AH38,"RISING_TAIL","RISING_TAIL_EARLY"))),IF(AND(AG38,P38="Recently Active",OR(G38="Growing",G38="Stable",G38="H2 Active / No H1 GMV"),I38&gt;=Assumptions!$B$74),"BROWSING_LOW_OFFERS","LONG_TAIL_STANDARD"))))))))))</f>
        <v>DECLINING_KEY_CORE</v>
      </c>
      <c r="AK38" s="2" t="str">
        <f aca="false">INDEX('NBA Library'!$B$4:$B$21,MATCH(AJ38,'NBA Library'!$A$4:$A$21,0))</f>
        <v>Retention Conversation</v>
      </c>
      <c r="AL38" s="2" t="str">
        <f aca="false">INDEX('NBA Library'!$C$4:$C$21,MATCH(AJ38,'NBA Library'!$A$4:$A$21,0))</f>
        <v>Human</v>
      </c>
      <c r="AM38" s="2" t="str">
        <f aca="false">IF(AA38,"HOLD — Critical Data Issue",IF(Y38,"Human Sign-Off Required",IF(Z38="Manual Review","Human Review Required",IF(AND(AL38="Automated",OR(AE38,AND(OR(AK38="Discovery-to-Offer Enablement",AK38="Reinforce Successful Behaviour"),OR(AC38,AB38)))),"Human Review Required",IF(AL38="Human","Ready — Human",IF(AL38="Hybrid","Ready — Hybrid","Ready — Automated"))))))</f>
        <v>Ready — Human</v>
      </c>
      <c r="AN38" s="2" t="str">
        <f aca="false">IF(AA38,"P0",IF(AND(AJ38="BROWSING_LOW_OFFERS",E38="Tail"),"P3",IF(AND(AM38="Human Review Required",INDEX('NBA Library'!$D$4:$D$21,MATCH(AJ38,'NBA Library'!$A$4:$A$21,0))="P4"),"P3",INDEX('NBA Library'!$D$4:$D$21,MATCH(AJ38,'NBA Library'!$A$4:$A$21,0)))))</f>
        <v>P1</v>
      </c>
      <c r="AO38" s="2" t="str">
        <f aca="false">E38&amp;" "&amp;C38&amp;" account ("&amp;B38&amp;"); "&amp;G38&amp;" momentum; "&amp;P38&amp;"; £"&amp;TEXT(H38,"#,##0")&amp;" 6m GMV. "&amp;INDEX('NBA Library'!$G$4:$G$21,MATCH(AJ38,'NBA Library'!$A$4:$A$21,0))&amp;IF(LEFT(D38,1)="1"," Baseline: "&amp;V38&amp;" PDP views, "&amp;W38&amp;" app days, "&amp;X38&amp;" offers, "&amp;TEXT(J38/I38,"0%")&amp;" of orders self-serve.","")&amp;IF(AA38," Execution on HOLD until the Duplicate status is resolved.","")&amp;IF(Y38," Key account: explicit AM/leadership sign-off required before any migration activity.","")&amp;IF(AE38," Implied broker % from order counts would move this account to a different segment; review before automating.","")</f>
        <v>Core Broker-Reliant account (Account Managed); Declining momentum; Recently Active; £3,863 6m GMV. Broker-led spend is falling. Keep human support in place; AM to diagnose the cause before any migration or product nudge.</v>
      </c>
      <c r="AP38" s="2" t="str">
        <f aca="false">INDEX('NBA Library'!$E$4:$E$21,MATCH(AJ38,'NBA Library'!$A$4:$A$21,0))&amp;IF(AND(AJ38="NEW_CUSTOMER",AG38),"; introduce Make-an-Offer on items already browsed","")</f>
        <v>AM diagnoses the cause of falling spend (supply, price, service, competitor) and agrees a recovery plan; keep human support in place</v>
      </c>
      <c r="AQ38" s="2" t="str">
        <f aca="false">INDEX('NBA Library'!$F$4:$F$21,MATCH(AJ38,'NBA Library'!$A$4:$A$21,0))</f>
        <v>Next 90-day GMV back to at least the Sep-Nov (H1) level, or decline arrested; root cause logged</v>
      </c>
      <c r="AR38" s="2" t="str">
        <f aca="false">IF(AND(F38="Low",OR(G38="Growing",G38="Stable"),P38="Recently Active",U38&lt;&gt;"Mixed",OR(AK38="Discovery-to-Offer Enablement",AK38="Reinforce Successful Behaviour"),AM38="Ready — Automated",OR(E38&lt;&gt;"Tail",S38)),"Range Expansion Test — trial "&amp;IF(U38="Bundle-only","handpick","bundles")&amp;" (experimental; not proven to lift GMV)","")</f>
        <v/>
      </c>
      <c r="AS38" s="2" t="str">
        <f aca="false">IF(AK38&lt;&gt;"Automated Nurture","",IF(AJ38="DORMANT_LOW_VALUE","Dormant",IF(AJ38="RISING_TAIL_EARLY","Rising tail – early pattern",IF(Q38="New Customer","New customer onboarding",IF(Q38="Returned Customer","Returned customer",IF(G38="Lapsed","Dormant",IF(T38="Engaged, not converting","Engaged, not converting",IF(T38="One-off low-touch buyer","One-off purchaser",IF(T38="Light-touch repeat buyer","Light-touch repeat buyer","Standard long tail")))))))))</f>
        <v/>
      </c>
      <c r="AT38" s="2" t="str">
        <f aca="false">IF(AA38,"CRITICAL_DATA_BLOCKER; ","")&amp;IF(Y38,"KEY_SIGNOFF; ","")&amp;IF(Z38="Manual Review","PHASE1_MANUAL_REVIEW; ","")&amp;IF(AND(LEFT(D38,1)="1",AZ38="Lumpy"),"LUMPY_CADENCE; ","")&amp;IF(AB38,"BORDERLINE_MOMENTUM; ","")&amp;IF(AC38,"FEB_SENSITIVE; ","")&amp;IF(AD38,"MATERIAL_BROKER_INCONSISTENCY"&amp;IF(AE38," (segment would change)","")&amp;"; ","")&amp;IF(AND(I38&gt;=3,O38&gt;0),IF(AI38&gt;=Assumptions!$B$75,"H2_SINGLE_MONTH_SPIKE; ",""),"")&amp;IF(AND(M38&gt;0,N38=0),"NO_FEB_GMV (Feb unconfirmed); ","")&amp;IF(AF38,"LOW_CONFIDENCE; ","")</f>
        <v/>
      </c>
      <c r="AU38" s="2" t="str">
        <f aca="false">IF(LEFT(D38,1)="1",V38,"")</f>
        <v/>
      </c>
      <c r="AV38" s="2" t="str">
        <f aca="false">IF(LEFT(D38,1)="1",V38&gt;=Assumptions!$B$58,"")</f>
        <v/>
      </c>
      <c r="AW38" s="2" t="str">
        <f aca="false">IF(LEFT(D38,1)="1",W38,"")</f>
        <v/>
      </c>
      <c r="AX38" s="2" t="str">
        <f aca="false">IF(LEFT(D38,1)="1",X38,"")</f>
        <v/>
      </c>
      <c r="AY38" s="17" t="str">
        <f aca="false">IF(LEFT(D38,1)="1",J38/I38,"")</f>
        <v/>
      </c>
      <c r="AZ38" s="2" t="str">
        <f aca="false">IF(LEFT(D38,1)="1",IF(AND(K38&gt;=Assumptions!$B$83,I38&gt;=Assumptions!$B$84),"Regular","Lumpy"),"")</f>
        <v/>
      </c>
      <c r="BA38" s="2" t="str">
        <f aca="false">IF(LEFT(D38,1)="1",ROUND(6/K38,0),"")</f>
        <v/>
      </c>
      <c r="BB38" s="2" t="str">
        <f aca="false">IF(LEFT(D38,1)="1",IF(AZ38="Regular","Regular buyer: expected ~£"&amp;TEXT(H38/2,"#,##0")&amp;" per 90 days. At Risk if GMV to date &lt; "&amp;TEXT(Assumptions!$B$81,"0%")&amp;" of pro-rated expectation, checked from day "&amp;Assumptions!$B$82&amp;". Human-reviewed.","Irregular buyer ("&amp;I38&amp;" orders across "&amp;K38&amp;" months): no numeric GMV threshold. At Risk if no order within ~"&amp;BA38&amp;" month(s); AM reviews at day "&amp;Assumptions!$B$82&amp;" and "&amp;Assumptions!$B$85&amp;"."),"")</f>
        <v/>
      </c>
      <c r="BC38" s="2"/>
      <c r="BD38" s="2"/>
      <c r="BE38" s="2"/>
      <c r="BF38" s="2"/>
      <c r="BG38" s="2"/>
      <c r="BH38" s="2"/>
      <c r="BI38" s="2"/>
      <c r="BJ38" s="2" t="str">
        <f aca="false">IF(OR(NOT(LEFT(D38,1)="1"),BC38=""),"",IF(AZ38="Regular",AND(BC38&gt;=Assumptions!$B$82,N(BI38)&lt;Assumptions!$B$81*H38/180*BC38),AND(BC38&gt;=BA38*30,N(BG38)=0)))</f>
        <v/>
      </c>
      <c r="BK38" s="2" t="str">
        <f aca="false">IF(NOT(LEFT(D38,1)="1"),"N/A",IF(BC38="","Baseline",IF(BJ38,"At Risk",IF(AND(N(BD38)&gt;=Assumptions!$B$78,N(BE38)&gt;=Assumptions!$B$79,N(BH38)&gt;=1,N(BH38)/MAX(N(BG38),1)&gt;AY38),"Self-Serve Capability Demonstrated",IF(OR(N(BD38)&gt;=Assumptions!$B$76,N(BE38)&gt;=Assumptions!$B$77),"Progressing",IF(BC38&gt;=Assumptions!$B$85,"At Risk","Baseline"))))))</f>
        <v>N/A</v>
      </c>
      <c r="BL38" s="2" t="n">
        <f aca="false">(AND(C38="Broker-Reliant",OR(AK38="Discovery-to-Offer Enablement",AK38="Reinforce Successful Behaviour")))*1+(AND(G38="Declining",E38&lt;&gt;"Tail",AL38="Automated"))*1+(AND(Y38,AM38&lt;&gt;"Human Sign-Off Required"))*1+(AND(AA38,AM38&lt;&gt;"HOLD — Critical Data Issue"))*1+(AND(P38="Recent Inactivity",OR(AK38="Discovery-to-Offer Enablement",AK38="Reinforce Successful Behaviour")))*1+(AND(OR(LEFT(D38,1)="2",LEFT(D38,1)="3",LEFT(D38,1)="8"),AL38="Automated"))*1+((LEFT(D38,1)="1")&lt;&gt;(AK38="Guided Self-Serve Migration"))*1+(AND(AR38&lt;&gt;"",OR(F38&lt;&gt;"Low",U38="Mixed",AND(G38&lt;&gt;"Growing",G38&lt;&gt;"Stable"))))*1+ISNUMBER(SEARCH("chat",AP38))*1+ISNUMBER(SEARCH("video",AP38))*1+(AND(AA38,AL38="Automated",AM38&lt;&gt;"HOLD — Critical Data Issue"))*1</f>
        <v>0</v>
      </c>
    </row>
    <row r="39" customFormat="false" ht="15" hidden="false" customHeight="false" outlineLevel="0" collapsed="false">
      <c r="A39" s="2" t="s">
        <v>242</v>
      </c>
      <c r="B39" s="2" t="str">
        <f aca="false">INDEX(Segmentation!$B$2:$B$301,MATCH($A39,Segmentation!$A$2:$A$301,0))</f>
        <v>Account Managed</v>
      </c>
      <c r="C39" s="2" t="str">
        <f aca="false">INDEX(Segmentation!$H$2:$H$301,MATCH($A39,Segmentation!$A$2:$A$301,0))</f>
        <v>AM-Owned / Self-Serving</v>
      </c>
      <c r="D39" s="2" t="str">
        <f aca="false">INDEX(Segmentation!$T$2:$T$301,MATCH($A39,Segmentation!$A$2:$A$301,0))</f>
        <v>8. Retention / Reactivation</v>
      </c>
      <c r="E39" s="2" t="str">
        <f aca="false">INDEX(Segmentation!$J$2:$J$301,MATCH($A39,Segmentation!$A$2:$A$301,0))</f>
        <v>Core</v>
      </c>
      <c r="F39" s="2" t="str">
        <f aca="false">INDEX(Segmentation!$G$2:$G$301,MATCH($A39,Segmentation!$A$2:$A$301,0))</f>
        <v>Low</v>
      </c>
      <c r="G39" s="2" t="str">
        <f aca="false">INDEX(Segmentation!$N$2:$N$301,MATCH($A39,Segmentation!$A$2:$A$301,0))</f>
        <v>Lapsed</v>
      </c>
      <c r="H39" s="9" t="n">
        <f aca="false">INDEX(Segmentation!$I$2:$I$301,MATCH($A39,Segmentation!$A$2:$A$301,0))</f>
        <v>3702</v>
      </c>
      <c r="I39" s="2" t="n">
        <f aca="false">INDEX(Segmentation!$O$2:$O$301,MATCH($A39,Segmentation!$A$2:$A$301,0))</f>
        <v>2</v>
      </c>
      <c r="J39" s="2" t="n">
        <f aca="false">INDEX(Segmentation!$Q$2:$Q$301,MATCH($A39,Segmentation!$A$2:$A$301,0))</f>
        <v>2</v>
      </c>
      <c r="K39" s="2" t="n">
        <f aca="false">INDEX(Segmentation!$W$2:$W$301,MATCH($A39,Segmentation!$A$2:$A$301,0))</f>
        <v>2</v>
      </c>
      <c r="L39" s="9" t="n">
        <f aca="false">INDEX('Commercial View'!$L$2:$L$301,MATCH($A39,'Commercial View'!$A$2:$A$301,0))</f>
        <v>0</v>
      </c>
      <c r="M39" s="9" t="n">
        <f aca="false">INDEX('Commercial View'!$M$2:$M$301,MATCH($A39,'Commercial View'!$A$2:$A$301,0))</f>
        <v>0</v>
      </c>
      <c r="N39" s="9" t="n">
        <f aca="false">INDEX('Commercial View'!$N$2:$N$301,MATCH($A39,'Commercial View'!$A$2:$A$301,0))</f>
        <v>0</v>
      </c>
      <c r="O39" s="9" t="n">
        <f aca="false">INDEX(Segmentation!$L$2:$L$301,MATCH($A39,Segmentation!$A$2:$A$301,0))</f>
        <v>0</v>
      </c>
      <c r="P39" s="2" t="str">
        <f aca="false">IF(OR(M39&gt;0,N39&gt;0),"Recently Active",IF(OR(I39&lt;=Assumptions!$B$48,K39&lt;=Assumptions!$B$49),"No Meaningful History","Recent Inactivity"))</f>
        <v>No Meaningful History</v>
      </c>
      <c r="Q39" s="2" t="str">
        <f aca="false">INDEX(Segmentation!$AF$2:$AF$301,MATCH($A39,Segmentation!$A$2:$A$301,0))</f>
        <v>Existing Customer</v>
      </c>
      <c r="R39" s="2" t="str">
        <f aca="false">INDEX(Segmentation!$AL$2:$AL$301,MATCH($A39,Segmentation!$A$2:$A$301,0))</f>
        <v>One-Off / Insufficient History — Verify</v>
      </c>
      <c r="S39" s="10" t="b">
        <f aca="false">INDEX(Segmentation!$AW$2:$AW$301,MATCH($A39,Segmentation!$A$2:$A$301,0))</f>
        <v>0</v>
      </c>
      <c r="T39" s="2" t="str">
        <f aca="false">INDEX('Feature Data'!$AD$2:$AD$301,MATCH($A39,'Feature Data'!$A$2:$A$301,0))</f>
        <v>Light-touch repeat buyer</v>
      </c>
      <c r="U39" s="2" t="str">
        <f aca="false">INDEX('Feature Data'!$W$2:$W$301,MATCH($A39,'Feature Data'!$A$2:$A$301,0))</f>
        <v>Handpick-only</v>
      </c>
      <c r="V39" s="2" t="n">
        <f aca="false">INDEX('Feature Data'!$P$2:$P$301,MATCH($A39,'Feature Data'!$A$2:$A$301,0))</f>
        <v>78</v>
      </c>
      <c r="W39" s="2" t="n">
        <f aca="false">INDEX(Segmentation!$R$2:$R$301,MATCH($A39,Segmentation!$A$2:$A$301,0))</f>
        <v>16</v>
      </c>
      <c r="X39" s="2" t="n">
        <f aca="false">INDEX(Segmentation!$S$2:$S$301,MATCH($A39,Segmentation!$A$2:$A$301,0))</f>
        <v>2</v>
      </c>
      <c r="Y39" s="10" t="b">
        <f aca="false">INDEX(Segmentation!$AG$2:$AG$301,MATCH($A39,Segmentation!$A$2:$A$301,0))</f>
        <v>0</v>
      </c>
      <c r="Z39" s="2" t="str">
        <f aca="false">INDEX(Segmentation!$AU$2:$AU$301,MATCH($A39,Segmentation!$A$2:$A$301,0))</f>
        <v>Not Eligible</v>
      </c>
      <c r="AA39" s="10" t="b">
        <f aca="false">INDEX(Segmentation!$Z$2:$Z$301,MATCH($A39,Segmentation!$A$2:$A$301,0))</f>
        <v>0</v>
      </c>
      <c r="AB39" s="10" t="b">
        <f aca="false">INDEX(Segmentation!$AH$2:$AH$301,MATCH($A39,Segmentation!$A$2:$A$301,0))</f>
        <v>0</v>
      </c>
      <c r="AC39" s="10" t="b">
        <f aca="false">INDEX(Segmentation!$AK$2:$AK$301,MATCH($A39,Segmentation!$A$2:$A$301,0))</f>
        <v>0</v>
      </c>
      <c r="AD39" s="10" t="b">
        <f aca="false">INDEX(Segmentation!$AQ$2:$AQ$301,MATCH($A39,Segmentation!$A$2:$A$301,0))</f>
        <v>0</v>
      </c>
      <c r="AE39" s="10" t="b">
        <f aca="false">INDEX(Segmentation!$AT$2:$AT$301,MATCH($A39,Segmentation!$A$2:$A$301,0))</f>
        <v>0</v>
      </c>
      <c r="AF39" s="10" t="b">
        <f aca="false">INDEX(Segmentation!$X$2:$X$301,MATCH($A39,Segmentation!$A$2:$A$301,0))</f>
        <v>1</v>
      </c>
      <c r="AG39" s="10" t="b">
        <f aca="false">AND(F39="Low",V39&gt;=Assumptions!$B$71,X39&lt;Assumptions!$B$72)</f>
        <v>1</v>
      </c>
      <c r="AH39" s="10" t="b">
        <f aca="false">AND(F39="Low",OR(G39="Growing",G39="Stable"),P39="Recently Active",V39&gt;=Assumptions!$B$58,K39&gt;=Assumptions!$B$73)</f>
        <v>0</v>
      </c>
      <c r="AI39" s="17" t="str">
        <f aca="false">IF(O39&gt;0,MAX(L39:N39)/O39,"")</f>
        <v/>
      </c>
      <c r="AJ39" s="2" t="str">
        <f aca="false">IF(LEFT(D39,1)="1",IF(E39="Key","MIGRATION_KEY_SIGNOFF",IF(Z39="Ready","MIGRATION_PHASE1_READY",IF(Z39="Manual Review","MIGRATION_PHASE1_REVIEW","MIGRATION_PRE_ENTRY"))),IF(LEFT(D39,1)="2","DECLINING_KEY_CORE",IF(LEFT(D39,1)="3",IF(R39="Established Buyer Lapsed","LAPSED_ESTABLISHED","LAPSED_THIN_HISTORY"),IF(LEFT(D39,1)="4",IF(Q39="New Customer","NEW_CUSTOMER","RETURNED_CUSTOMER"),IF(LEFT(D39,1)="5",IF(P39="Recently Active","COST_TO_SERVE_ACTIVE","DORMANT_LOW_VALUE"),IF(LEFT(D39,1)="6",IF(P39="Recent Inactivity","RECENT_INACTIVITY",IF(AG39,"BROWSING_LOW_OFFERS","HEALTHY_STRONG_SELF_SERVE")),IF(LEFT(D39,1)="7",IF(P39="Recent Inactivity","RECENT_INACTIVITY",IF(Q39="New Customer","NEW_CUSTOMER","RETURNED_CUSTOMER")),IF(LEFT(D39,1)="8",IF(G39="Declining",IF(T39="Engaged but shrinking (Key/Core)","ENGAGED_BUT_SHRINKING","DECLINING_KEY_CORE"),IF(R39="Established Buyer Lapsed","LAPSED_ESTABLISHED","LAPSED_THIN_HISTORY")),IF(S39,IF(P39&lt;&gt;"Recently Active","DORMANT_LOW_VALUE",IF(AG39,"BROWSING_LOW_OFFERS",IF(AH39,"RISING_TAIL","RISING_TAIL_EARLY"))),IF(AND(AG39,P39="Recently Active",OR(G39="Growing",G39="Stable",G39="H2 Active / No H1 GMV"),I39&gt;=Assumptions!$B$74),"BROWSING_LOW_OFFERS","LONG_TAIL_STANDARD"))))))))))</f>
        <v>LAPSED_THIN_HISTORY</v>
      </c>
      <c r="AK39" s="2" t="str">
        <f aca="false">INDEX('NBA Library'!$B$4:$B$21,MATCH(AJ39,'NBA Library'!$A$4:$A$21,0))</f>
        <v>Verify Demand / Win-Back</v>
      </c>
      <c r="AL39" s="2" t="str">
        <f aca="false">INDEX('NBA Library'!$C$4:$C$21,MATCH(AJ39,'NBA Library'!$A$4:$A$21,0))</f>
        <v>Human</v>
      </c>
      <c r="AM39" s="2" t="str">
        <f aca="false">IF(AA39,"HOLD — Critical Data Issue",IF(Y39,"Human Sign-Off Required",IF(Z39="Manual Review","Human Review Required",IF(AND(AL39="Automated",OR(AE39,AND(OR(AK39="Discovery-to-Offer Enablement",AK39="Reinforce Successful Behaviour"),OR(AC39,AB39)))),"Human Review Required",IF(AL39="Human","Ready — Human",IF(AL39="Hybrid","Ready — Hybrid","Ready — Automated"))))))</f>
        <v>Ready — Human</v>
      </c>
      <c r="AN39" s="2" t="str">
        <f aca="false">IF(AA39,"P0",IF(AND(AJ39="BROWSING_LOW_OFFERS",E39="Tail"),"P3",IF(AND(AM39="Human Review Required",INDEX('NBA Library'!$D$4:$D$21,MATCH(AJ39,'NBA Library'!$A$4:$A$21,0))="P4"),"P3",INDEX('NBA Library'!$D$4:$D$21,MATCH(AJ39,'NBA Library'!$A$4:$A$21,0)))))</f>
        <v>P1</v>
      </c>
      <c r="AO39" s="2" t="str">
        <f aca="false">E39&amp;" "&amp;C39&amp;" account ("&amp;B39&amp;"); "&amp;G39&amp;" momentum; "&amp;P39&amp;"; £"&amp;TEXT(H39,"#,##0")&amp;" 6m GMV. "&amp;INDEX('NBA Library'!$G$4:$G$21,MATCH(AJ39,'NBA Library'!$A$4:$A$21,0))&amp;IF(LEFT(D39,1)="1"," Baseline: "&amp;V39&amp;" PDP views, "&amp;W39&amp;" app days, "&amp;X39&amp;" offers, "&amp;TEXT(J39/I39,"0%")&amp;" of orders self-serve.","")&amp;IF(AA39," Execution on HOLD until the Duplicate status is resolved.","")&amp;IF(Y39," Key account: explicit AM/leadership sign-off required before any migration activity.","")&amp;IF(AE39," Implied broker % from order counts would move this account to a different segment; review before automating.","")</f>
        <v>Core AM-Owned / Self-Serving account (Account Managed); Lapsed momentum; No Meaningful History; £3,702 6m GMV. Apparent lapse rests on 1-2 orders or a single buying month. Verify cadence rather than treating as churn.</v>
      </c>
      <c r="AP39" s="2" t="str">
        <f aca="false">INDEX('NBA Library'!$E$4:$E$21,MATCH(AJ39,'NBA Library'!$A$4:$A$21,0))&amp;IF(AND(AJ39="NEW_CUSTOMER",AG39),"; introduce Make-an-Offer on items already browsed","")</f>
        <v>Confirm expected purchase cadence (one-off, seasonal, project buyer) before calling it churn</v>
      </c>
      <c r="AQ39" s="2" t="str">
        <f aca="false">INDEX('NBA Library'!$F$4:$F$21,MATCH(AJ39,'NBA Library'!$A$4:$A$21,0))</f>
        <v>Cadence recorded and account reclassified; order within the stated cadence window</v>
      </c>
      <c r="AR39" s="2" t="str">
        <f aca="false">IF(AND(F39="Low",OR(G39="Growing",G39="Stable"),P39="Recently Active",U39&lt;&gt;"Mixed",OR(AK39="Discovery-to-Offer Enablement",AK39="Reinforce Successful Behaviour"),AM39="Ready — Automated",OR(E39&lt;&gt;"Tail",S39)),"Range Expansion Test — trial "&amp;IF(U39="Bundle-only","handpick","bundles")&amp;" (experimental; not proven to lift GMV)","")</f>
        <v/>
      </c>
      <c r="AS39" s="2" t="str">
        <f aca="false">IF(AK39&lt;&gt;"Automated Nurture","",IF(AJ39="DORMANT_LOW_VALUE","Dormant",IF(AJ39="RISING_TAIL_EARLY","Rising tail – early pattern",IF(Q39="New Customer","New customer onboarding",IF(Q39="Returned Customer","Returned customer",IF(G39="Lapsed","Dormant",IF(T39="Engaged, not converting","Engaged, not converting",IF(T39="One-off low-touch buyer","One-off purchaser",IF(T39="Light-touch repeat buyer","Light-touch repeat buyer","Standard long tail")))))))))</f>
        <v/>
      </c>
      <c r="AT39" s="2" t="str">
        <f aca="false">IF(AA39,"CRITICAL_DATA_BLOCKER; ","")&amp;IF(Y39,"KEY_SIGNOFF; ","")&amp;IF(Z39="Manual Review","PHASE1_MANUAL_REVIEW; ","")&amp;IF(AND(LEFT(D39,1)="1",AZ39="Lumpy"),"LUMPY_CADENCE; ","")&amp;IF(AB39,"BORDERLINE_MOMENTUM; ","")&amp;IF(AC39,"FEB_SENSITIVE; ","")&amp;IF(AD39,"MATERIAL_BROKER_INCONSISTENCY"&amp;IF(AE39," (segment would change)","")&amp;"; ","")&amp;IF(AND(I39&gt;=3,O39&gt;0),IF(AI39&gt;=Assumptions!$B$75,"H2_SINGLE_MONTH_SPIKE; ",""),"")&amp;IF(AND(M39&gt;0,N39=0),"NO_FEB_GMV (Feb unconfirmed); ","")&amp;IF(AF39,"LOW_CONFIDENCE; ","")</f>
        <v>LOW_CONFIDENCE; </v>
      </c>
      <c r="AU39" s="2" t="str">
        <f aca="false">IF(LEFT(D39,1)="1",V39,"")</f>
        <v/>
      </c>
      <c r="AV39" s="2" t="str">
        <f aca="false">IF(LEFT(D39,1)="1",V39&gt;=Assumptions!$B$58,"")</f>
        <v/>
      </c>
      <c r="AW39" s="2" t="str">
        <f aca="false">IF(LEFT(D39,1)="1",W39,"")</f>
        <v/>
      </c>
      <c r="AX39" s="2" t="str">
        <f aca="false">IF(LEFT(D39,1)="1",X39,"")</f>
        <v/>
      </c>
      <c r="AY39" s="17" t="str">
        <f aca="false">IF(LEFT(D39,1)="1",J39/I39,"")</f>
        <v/>
      </c>
      <c r="AZ39" s="2" t="str">
        <f aca="false">IF(LEFT(D39,1)="1",IF(AND(K39&gt;=Assumptions!$B$83,I39&gt;=Assumptions!$B$84),"Regular","Lumpy"),"")</f>
        <v/>
      </c>
      <c r="BA39" s="2" t="str">
        <f aca="false">IF(LEFT(D39,1)="1",ROUND(6/K39,0),"")</f>
        <v/>
      </c>
      <c r="BB39" s="2" t="str">
        <f aca="false">IF(LEFT(D39,1)="1",IF(AZ39="Regular","Regular buyer: expected ~£"&amp;TEXT(H39/2,"#,##0")&amp;" per 90 days. At Risk if GMV to date &lt; "&amp;TEXT(Assumptions!$B$81,"0%")&amp;" of pro-rated expectation, checked from day "&amp;Assumptions!$B$82&amp;". Human-reviewed.","Irregular buyer ("&amp;I39&amp;" orders across "&amp;K39&amp;" months): no numeric GMV threshold. At Risk if no order within ~"&amp;BA39&amp;" month(s); AM reviews at day "&amp;Assumptions!$B$82&amp;" and "&amp;Assumptions!$B$85&amp;"."),"")</f>
        <v/>
      </c>
      <c r="BC39" s="2"/>
      <c r="BD39" s="2"/>
      <c r="BE39" s="2"/>
      <c r="BF39" s="2"/>
      <c r="BG39" s="2"/>
      <c r="BH39" s="2"/>
      <c r="BI39" s="2"/>
      <c r="BJ39" s="2" t="str">
        <f aca="false">IF(OR(NOT(LEFT(D39,1)="1"),BC39=""),"",IF(AZ39="Regular",AND(BC39&gt;=Assumptions!$B$82,N(BI39)&lt;Assumptions!$B$81*H39/180*BC39),AND(BC39&gt;=BA39*30,N(BG39)=0)))</f>
        <v/>
      </c>
      <c r="BK39" s="2" t="str">
        <f aca="false">IF(NOT(LEFT(D39,1)="1"),"N/A",IF(BC39="","Baseline",IF(BJ39,"At Risk",IF(AND(N(BD39)&gt;=Assumptions!$B$78,N(BE39)&gt;=Assumptions!$B$79,N(BH39)&gt;=1,N(BH39)/MAX(N(BG39),1)&gt;AY39),"Self-Serve Capability Demonstrated",IF(OR(N(BD39)&gt;=Assumptions!$B$76,N(BE39)&gt;=Assumptions!$B$77),"Progressing",IF(BC39&gt;=Assumptions!$B$85,"At Risk","Baseline"))))))</f>
        <v>N/A</v>
      </c>
      <c r="BL39" s="2" t="n">
        <f aca="false">(AND(C39="Broker-Reliant",OR(AK39="Discovery-to-Offer Enablement",AK39="Reinforce Successful Behaviour")))*1+(AND(G39="Declining",E39&lt;&gt;"Tail",AL39="Automated"))*1+(AND(Y39,AM39&lt;&gt;"Human Sign-Off Required"))*1+(AND(AA39,AM39&lt;&gt;"HOLD — Critical Data Issue"))*1+(AND(P39="Recent Inactivity",OR(AK39="Discovery-to-Offer Enablement",AK39="Reinforce Successful Behaviour")))*1+(AND(OR(LEFT(D39,1)="2",LEFT(D39,1)="3",LEFT(D39,1)="8"),AL39="Automated"))*1+((LEFT(D39,1)="1")&lt;&gt;(AK39="Guided Self-Serve Migration"))*1+(AND(AR39&lt;&gt;"",OR(F39&lt;&gt;"Low",U39="Mixed",AND(G39&lt;&gt;"Growing",G39&lt;&gt;"Stable"))))*1+ISNUMBER(SEARCH("chat",AP39))*1+ISNUMBER(SEARCH("video",AP39))*1+(AND(AA39,AL39="Automated",AM39&lt;&gt;"HOLD — Critical Data Issue"))*1</f>
        <v>0</v>
      </c>
    </row>
    <row r="40" customFormat="false" ht="15" hidden="false" customHeight="false" outlineLevel="0" collapsed="false">
      <c r="A40" s="2" t="s">
        <v>462</v>
      </c>
      <c r="B40" s="2" t="str">
        <f aca="false">INDEX(Segmentation!$B$2:$B$301,MATCH($A40,Segmentation!$A$2:$A$301,0))</f>
        <v>Account Managed</v>
      </c>
      <c r="C40" s="2" t="str">
        <f aca="false">INDEX(Segmentation!$H$2:$H$301,MATCH($A40,Segmentation!$A$2:$A$301,0))</f>
        <v>Broker-Reliant</v>
      </c>
      <c r="D40" s="2" t="str">
        <f aca="false">INDEX(Segmentation!$T$2:$T$301,MATCH($A40,Segmentation!$A$2:$A$301,0))</f>
        <v>1. Migration Candidate</v>
      </c>
      <c r="E40" s="2" t="str">
        <f aca="false">INDEX(Segmentation!$J$2:$J$301,MATCH($A40,Segmentation!$A$2:$A$301,0))</f>
        <v>Core</v>
      </c>
      <c r="F40" s="2" t="str">
        <f aca="false">INDEX(Segmentation!$G$2:$G$301,MATCH($A40,Segmentation!$A$2:$A$301,0))</f>
        <v>High</v>
      </c>
      <c r="G40" s="2" t="str">
        <f aca="false">INDEX(Segmentation!$N$2:$N$301,MATCH($A40,Segmentation!$A$2:$A$301,0))</f>
        <v>Growing</v>
      </c>
      <c r="H40" s="9" t="n">
        <f aca="false">INDEX(Segmentation!$I$2:$I$301,MATCH($A40,Segmentation!$A$2:$A$301,0))</f>
        <v>3626</v>
      </c>
      <c r="I40" s="2" t="n">
        <f aca="false">INDEX(Segmentation!$O$2:$O$301,MATCH($A40,Segmentation!$A$2:$A$301,0))</f>
        <v>4</v>
      </c>
      <c r="J40" s="2" t="n">
        <f aca="false">INDEX(Segmentation!$Q$2:$Q$301,MATCH($A40,Segmentation!$A$2:$A$301,0))</f>
        <v>1</v>
      </c>
      <c r="K40" s="2" t="n">
        <f aca="false">INDEX(Segmentation!$W$2:$W$301,MATCH($A40,Segmentation!$A$2:$A$301,0))</f>
        <v>3</v>
      </c>
      <c r="L40" s="9" t="n">
        <f aca="false">INDEX('Commercial View'!$L$2:$L$301,MATCH($A40,'Commercial View'!$A$2:$A$301,0))</f>
        <v>0</v>
      </c>
      <c r="M40" s="9" t="n">
        <f aca="false">INDEX('Commercial View'!$M$2:$M$301,MATCH($A40,'Commercial View'!$A$2:$A$301,0))</f>
        <v>0</v>
      </c>
      <c r="N40" s="9" t="n">
        <f aca="false">INDEX('Commercial View'!$N$2:$N$301,MATCH($A40,'Commercial View'!$A$2:$A$301,0))</f>
        <v>2173</v>
      </c>
      <c r="O40" s="9" t="n">
        <f aca="false">INDEX(Segmentation!$L$2:$L$301,MATCH($A40,Segmentation!$A$2:$A$301,0))</f>
        <v>2173</v>
      </c>
      <c r="P40" s="2" t="str">
        <f aca="false">IF(OR(M40&gt;0,N40&gt;0),"Recently Active",IF(OR(I40&lt;=Assumptions!$B$48,K40&lt;=Assumptions!$B$49),"No Meaningful History","Recent Inactivity"))</f>
        <v>Recently Active</v>
      </c>
      <c r="Q40" s="2" t="str">
        <f aca="false">INDEX(Segmentation!$AF$2:$AF$301,MATCH($A40,Segmentation!$A$2:$A$301,0))</f>
        <v>Existing Customer</v>
      </c>
      <c r="R40" s="2" t="str">
        <f aca="false">INDEX(Segmentation!$AL$2:$AL$301,MATCH($A40,Segmentation!$A$2:$A$301,0))</f>
        <v>N/A</v>
      </c>
      <c r="S40" s="10" t="b">
        <f aca="false">INDEX(Segmentation!$AW$2:$AW$301,MATCH($A40,Segmentation!$A$2:$A$301,0))</f>
        <v>0</v>
      </c>
      <c r="T40" s="2" t="str">
        <f aca="false">INDEX('Feature Data'!$AD$2:$AD$301,MATCH($A40,'Feature Data'!$A$2:$A$301,0))</f>
        <v>Broker-led, product-blind</v>
      </c>
      <c r="U40" s="2" t="str">
        <f aca="false">INDEX('Feature Data'!$W$2:$W$301,MATCH($A40,'Feature Data'!$A$2:$A$301,0))</f>
        <v>Mixed</v>
      </c>
      <c r="V40" s="2" t="n">
        <f aca="false">INDEX('Feature Data'!$P$2:$P$301,MATCH($A40,'Feature Data'!$A$2:$A$301,0))</f>
        <v>11</v>
      </c>
      <c r="W40" s="2" t="n">
        <f aca="false">INDEX(Segmentation!$R$2:$R$301,MATCH($A40,Segmentation!$A$2:$A$301,0))</f>
        <v>5</v>
      </c>
      <c r="X40" s="2" t="n">
        <f aca="false">INDEX(Segmentation!$S$2:$S$301,MATCH($A40,Segmentation!$A$2:$A$301,0))</f>
        <v>1</v>
      </c>
      <c r="Y40" s="10" t="b">
        <f aca="false">INDEX(Segmentation!$AG$2:$AG$301,MATCH($A40,Segmentation!$A$2:$A$301,0))</f>
        <v>0</v>
      </c>
      <c r="Z40" s="2" t="str">
        <f aca="false">INDEX(Segmentation!$AU$2:$AU$301,MATCH($A40,Segmentation!$A$2:$A$301,0))</f>
        <v>Not Eligible</v>
      </c>
      <c r="AA40" s="10" t="b">
        <f aca="false">INDEX(Segmentation!$Z$2:$Z$301,MATCH($A40,Segmentation!$A$2:$A$301,0))</f>
        <v>0</v>
      </c>
      <c r="AB40" s="10" t="b">
        <f aca="false">INDEX(Segmentation!$AH$2:$AH$301,MATCH($A40,Segmentation!$A$2:$A$301,0))</f>
        <v>0</v>
      </c>
      <c r="AC40" s="10" t="b">
        <f aca="false">INDEX(Segmentation!$AK$2:$AK$301,MATCH($A40,Segmentation!$A$2:$A$301,0))</f>
        <v>1</v>
      </c>
      <c r="AD40" s="10" t="b">
        <f aca="false">INDEX(Segmentation!$AQ$2:$AQ$301,MATCH($A40,Segmentation!$A$2:$A$301,0))</f>
        <v>0</v>
      </c>
      <c r="AE40" s="10" t="b">
        <f aca="false">INDEX(Segmentation!$AT$2:$AT$301,MATCH($A40,Segmentation!$A$2:$A$301,0))</f>
        <v>0</v>
      </c>
      <c r="AF40" s="10" t="b">
        <f aca="false">INDEX(Segmentation!$X$2:$X$301,MATCH($A40,Segmentation!$A$2:$A$301,0))</f>
        <v>0</v>
      </c>
      <c r="AG40" s="10" t="b">
        <f aca="false">AND(F40="Low",V40&gt;=Assumptions!$B$71,X40&lt;Assumptions!$B$72)</f>
        <v>0</v>
      </c>
      <c r="AH40" s="10" t="b">
        <f aca="false">AND(F40="Low",OR(G40="Growing",G40="Stable"),P40="Recently Active",V40&gt;=Assumptions!$B$58,K40&gt;=Assumptions!$B$73)</f>
        <v>0</v>
      </c>
      <c r="AI40" s="17" t="n">
        <f aca="false">IF(O40&gt;0,MAX(L40:N40)/O40,"")</f>
        <v>1</v>
      </c>
      <c r="AJ40" s="2" t="str">
        <f aca="false">IF(LEFT(D40,1)="1",IF(E40="Key","MIGRATION_KEY_SIGNOFF",IF(Z40="Ready","MIGRATION_PHASE1_READY",IF(Z40="Manual Review","MIGRATION_PHASE1_REVIEW","MIGRATION_PRE_ENTRY"))),IF(LEFT(D40,1)="2","DECLINING_KEY_CORE",IF(LEFT(D40,1)="3",IF(R40="Established Buyer Lapsed","LAPSED_ESTABLISHED","LAPSED_THIN_HISTORY"),IF(LEFT(D40,1)="4",IF(Q40="New Customer","NEW_CUSTOMER","RETURNED_CUSTOMER"),IF(LEFT(D40,1)="5",IF(P40="Recently Active","COST_TO_SERVE_ACTIVE","DORMANT_LOW_VALUE"),IF(LEFT(D40,1)="6",IF(P40="Recent Inactivity","RECENT_INACTIVITY",IF(AG40,"BROWSING_LOW_OFFERS","HEALTHY_STRONG_SELF_SERVE")),IF(LEFT(D40,1)="7",IF(P40="Recent Inactivity","RECENT_INACTIVITY",IF(Q40="New Customer","NEW_CUSTOMER","RETURNED_CUSTOMER")),IF(LEFT(D40,1)="8",IF(G40="Declining",IF(T40="Engaged but shrinking (Key/Core)","ENGAGED_BUT_SHRINKING","DECLINING_KEY_CORE"),IF(R40="Established Buyer Lapsed","LAPSED_ESTABLISHED","LAPSED_THIN_HISTORY")),IF(S40,IF(P40&lt;&gt;"Recently Active","DORMANT_LOW_VALUE",IF(AG40,"BROWSING_LOW_OFFERS",IF(AH40,"RISING_TAIL","RISING_TAIL_EARLY"))),IF(AND(AG40,P40="Recently Active",OR(G40="Growing",G40="Stable",G40="H2 Active / No H1 GMV"),I40&gt;=Assumptions!$B$74),"BROWSING_LOW_OFFERS","LONG_TAIL_STANDARD"))))))))))</f>
        <v>MIGRATION_PRE_ENTRY</v>
      </c>
      <c r="AK40" s="2" t="str">
        <f aca="false">INDEX('NBA Library'!$B$4:$B$21,MATCH(AJ40,'NBA Library'!$A$4:$A$21,0))</f>
        <v>Guided Self-Serve Migration</v>
      </c>
      <c r="AL40" s="2" t="str">
        <f aca="false">INDEX('NBA Library'!$C$4:$C$21,MATCH(AJ40,'NBA Library'!$A$4:$A$21,0))</f>
        <v>Human</v>
      </c>
      <c r="AM40" s="2" t="str">
        <f aca="false">IF(AA40,"HOLD — Critical Data Issue",IF(Y40,"Human Sign-Off Required",IF(Z40="Manual Review","Human Review Required",IF(AND(AL40="Automated",OR(AE40,AND(OR(AK40="Discovery-to-Offer Enablement",AK40="Reinforce Successful Behaviour"),OR(AC40,AB40)))),"Human Review Required",IF(AL40="Human","Ready — Human",IF(AL40="Hybrid","Ready — Hybrid","Ready — Automated"))))))</f>
        <v>Ready — Human</v>
      </c>
      <c r="AN40" s="2" t="str">
        <f aca="false">IF(AA40,"P0",IF(AND(AJ40="BROWSING_LOW_OFFERS",E40="Tail"),"P3",IF(AND(AM40="Human Review Required",INDEX('NBA Library'!$D$4:$D$21,MATCH(AJ40,'NBA Library'!$A$4:$A$21,0))="P4"),"P3",INDEX('NBA Library'!$D$4:$D$21,MATCH(AJ40,'NBA Library'!$A$4:$A$21,0)))))</f>
        <v>P3</v>
      </c>
      <c r="AO40" s="2" t="str">
        <f aca="false">E40&amp;" "&amp;C40&amp;" account ("&amp;B40&amp;"); "&amp;G40&amp;" momentum; "&amp;P40&amp;"; £"&amp;TEXT(H40,"#,##0")&amp;" 6m GMV. "&amp;INDEX('NBA Library'!$G$4:$G$21,MATCH(AJ40,'NBA Library'!$A$4:$A$21,0))&amp;IF(LEFT(D40,1)="1"," Baseline: "&amp;V40&amp;" PDP views, "&amp;W40&amp;" app days, "&amp;X40&amp;" offers, "&amp;TEXT(J40/I40,"0%")&amp;" of orders self-serve.","")&amp;IF(AA40," Execution on HOLD until the Duplicate status is resolved.","")&amp;IF(Y40," Key account: explicit AM/leadership sign-off required before any migration activity.","")&amp;IF(AE40," Implied broker % from order counts would move this account to a different segment; review before automating.","")</f>
        <v>Core Broker-Reliant account (Account Managed); Growing momentum; Recently Active; £3,626 6m GMV. Broker-reliant Core account with healthy spend but only one self-serve order. Not yet Phase 1 eligible. Baseline: 11 PDP views, 5 app days, 1 offers, 25% of orders self-serve.</v>
      </c>
      <c r="AP40" s="2" t="str">
        <f aca="false">INDEX('NBA Library'!$E$4:$E$21,MATCH(AJ40,'NBA Library'!$A$4:$A$21,0))&amp;IF(AND(AJ40="NEW_CUSTOMER",AG40),"; introduce Make-an-Offer on items already browsed","")</f>
        <v>AM encourages a second self-serve checkout (Phase 1 entry evidence) without reducing support</v>
      </c>
      <c r="AQ40" s="2" t="str">
        <f aca="false">INDEX('NBA Library'!$F$4:$F$21,MATCH(AJ40,'NBA Library'!$A$4:$A$21,0))</f>
        <v>2+ self-serve orders, then re-assess for Phase 1</v>
      </c>
      <c r="AR40" s="2" t="str">
        <f aca="false">IF(AND(F40="Low",OR(G40="Growing",G40="Stable"),P40="Recently Active",U40&lt;&gt;"Mixed",OR(AK40="Discovery-to-Offer Enablement",AK40="Reinforce Successful Behaviour"),AM40="Ready — Automated",OR(E40&lt;&gt;"Tail",S40)),"Range Expansion Test — trial "&amp;IF(U40="Bundle-only","handpick","bundles")&amp;" (experimental; not proven to lift GMV)","")</f>
        <v/>
      </c>
      <c r="AS40" s="2" t="str">
        <f aca="false">IF(AK40&lt;&gt;"Automated Nurture","",IF(AJ40="DORMANT_LOW_VALUE","Dormant",IF(AJ40="RISING_TAIL_EARLY","Rising tail – early pattern",IF(Q40="New Customer","New customer onboarding",IF(Q40="Returned Customer","Returned customer",IF(G40="Lapsed","Dormant",IF(T40="Engaged, not converting","Engaged, not converting",IF(T40="One-off low-touch buyer","One-off purchaser",IF(T40="Light-touch repeat buyer","Light-touch repeat buyer","Standard long tail")))))))))</f>
        <v/>
      </c>
      <c r="AT40" s="2" t="str">
        <f aca="false">IF(AA40,"CRITICAL_DATA_BLOCKER; ","")&amp;IF(Y40,"KEY_SIGNOFF; ","")&amp;IF(Z40="Manual Review","PHASE1_MANUAL_REVIEW; ","")&amp;IF(AND(LEFT(D40,1)="1",AZ40="Lumpy"),"LUMPY_CADENCE; ","")&amp;IF(AB40,"BORDERLINE_MOMENTUM; ","")&amp;IF(AC40,"FEB_SENSITIVE; ","")&amp;IF(AD40,"MATERIAL_BROKER_INCONSISTENCY"&amp;IF(AE40," (segment would change)","")&amp;"; ","")&amp;IF(AND(I40&gt;=3,O40&gt;0),IF(AI40&gt;=Assumptions!$B$75,"H2_SINGLE_MONTH_SPIKE; ",""),"")&amp;IF(AND(M40&gt;0,N40=0),"NO_FEB_GMV (Feb unconfirmed); ","")&amp;IF(AF40,"LOW_CONFIDENCE; ","")</f>
        <v>LUMPY_CADENCE; FEB_SENSITIVE; H2_SINGLE_MONTH_SPIKE; </v>
      </c>
      <c r="AU40" s="2" t="n">
        <f aca="false">IF(LEFT(D40,1)="1",V40,"")</f>
        <v>11</v>
      </c>
      <c r="AV40" s="10" t="b">
        <f aca="false">IF(LEFT(D40,1)="1",V40&gt;=Assumptions!$B$58,"")</f>
        <v>0</v>
      </c>
      <c r="AW40" s="2" t="n">
        <f aca="false">IF(LEFT(D40,1)="1",W40,"")</f>
        <v>5</v>
      </c>
      <c r="AX40" s="2" t="n">
        <f aca="false">IF(LEFT(D40,1)="1",X40,"")</f>
        <v>1</v>
      </c>
      <c r="AY40" s="17" t="n">
        <f aca="false">IF(LEFT(D40,1)="1",J40/I40,"")</f>
        <v>0.25</v>
      </c>
      <c r="AZ40" s="2" t="str">
        <f aca="false">IF(LEFT(D40,1)="1",IF(AND(K40&gt;=Assumptions!$B$83,I40&gt;=Assumptions!$B$84),"Regular","Lumpy"),"")</f>
        <v>Lumpy</v>
      </c>
      <c r="BA40" s="2" t="n">
        <f aca="false">IF(LEFT(D40,1)="1",ROUND(6/K40,0),"")</f>
        <v>2</v>
      </c>
      <c r="BB40" s="2" t="str">
        <f aca="false">IF(LEFT(D40,1)="1",IF(AZ40="Regular","Regular buyer: expected ~£"&amp;TEXT(H40/2,"#,##0")&amp;" per 90 days. At Risk if GMV to date &lt; "&amp;TEXT(Assumptions!$B$81,"0%")&amp;" of pro-rated expectation, checked from day "&amp;Assumptions!$B$82&amp;". Human-reviewed.","Irregular buyer ("&amp;I40&amp;" orders across "&amp;K40&amp;" months): no numeric GMV threshold. At Risk if no order within ~"&amp;BA40&amp;" month(s); AM reviews at day "&amp;Assumptions!$B$82&amp;" and "&amp;Assumptions!$B$85&amp;"."),"")</f>
        <v>Irregular buyer (4 orders across 3 months): no numeric GMV threshold. At Risk if no order within ~2 month(s); AM reviews at day 45 and 90.</v>
      </c>
      <c r="BC40" s="18"/>
      <c r="BD40" s="18"/>
      <c r="BE40" s="18"/>
      <c r="BF40" s="18"/>
      <c r="BG40" s="18"/>
      <c r="BH40" s="18"/>
      <c r="BI40" s="18"/>
      <c r="BJ40" s="2" t="str">
        <f aca="false">IF(OR(NOT(LEFT(D40,1)="1"),BC40=""),"",IF(AZ40="Regular",AND(BC40&gt;=Assumptions!$B$82,N(BI40)&lt;Assumptions!$B$81*H40/180*BC40),AND(BC40&gt;=BA40*30,N(BG40)=0)))</f>
        <v/>
      </c>
      <c r="BK40" s="2" t="str">
        <f aca="false">IF(NOT(LEFT(D40,1)="1"),"N/A",IF(BC40="","Baseline",IF(BJ40,"At Risk",IF(AND(N(BD40)&gt;=Assumptions!$B$78,N(BE40)&gt;=Assumptions!$B$79,N(BH40)&gt;=1,N(BH40)/MAX(N(BG40),1)&gt;AY40),"Self-Serve Capability Demonstrated",IF(OR(N(BD40)&gt;=Assumptions!$B$76,N(BE40)&gt;=Assumptions!$B$77),"Progressing",IF(BC40&gt;=Assumptions!$B$85,"At Risk","Baseline"))))))</f>
        <v>Baseline</v>
      </c>
      <c r="BL40" s="2" t="n">
        <f aca="false">(AND(C40="Broker-Reliant",OR(AK40="Discovery-to-Offer Enablement",AK40="Reinforce Successful Behaviour")))*1+(AND(G40="Declining",E40&lt;&gt;"Tail",AL40="Automated"))*1+(AND(Y40,AM40&lt;&gt;"Human Sign-Off Required"))*1+(AND(AA40,AM40&lt;&gt;"HOLD — Critical Data Issue"))*1+(AND(P40="Recent Inactivity",OR(AK40="Discovery-to-Offer Enablement",AK40="Reinforce Successful Behaviour")))*1+(AND(OR(LEFT(D40,1)="2",LEFT(D40,1)="3",LEFT(D40,1)="8"),AL40="Automated"))*1+((LEFT(D40,1)="1")&lt;&gt;(AK40="Guided Self-Serve Migration"))*1+(AND(AR40&lt;&gt;"",OR(F40&lt;&gt;"Low",U40="Mixed",AND(G40&lt;&gt;"Growing",G40&lt;&gt;"Stable"))))*1+ISNUMBER(SEARCH("chat",AP40))*1+ISNUMBER(SEARCH("video",AP40))*1+(AND(AA40,AL40="Automated",AM40&lt;&gt;"HOLD — Critical Data Issue"))*1</f>
        <v>0</v>
      </c>
    </row>
    <row r="41" customFormat="false" ht="15" hidden="false" customHeight="false" outlineLevel="0" collapsed="false">
      <c r="A41" s="2" t="s">
        <v>245</v>
      </c>
      <c r="B41" s="2" t="str">
        <f aca="false">INDEX(Segmentation!$B$2:$B$301,MATCH($A41,Segmentation!$A$2:$A$301,0))</f>
        <v>Account Managed</v>
      </c>
      <c r="C41" s="2" t="str">
        <f aca="false">INDEX(Segmentation!$H$2:$H$301,MATCH($A41,Segmentation!$A$2:$A$301,0))</f>
        <v>Broker-Reliant</v>
      </c>
      <c r="D41" s="2" t="str">
        <f aca="false">INDEX(Segmentation!$T$2:$T$301,MATCH($A41,Segmentation!$A$2:$A$301,0))</f>
        <v>2. Protect / Retain First</v>
      </c>
      <c r="E41" s="2" t="str">
        <f aca="false">INDEX(Segmentation!$J$2:$J$301,MATCH($A41,Segmentation!$A$2:$A$301,0))</f>
        <v>Core</v>
      </c>
      <c r="F41" s="2" t="str">
        <f aca="false">INDEX(Segmentation!$G$2:$G$301,MATCH($A41,Segmentation!$A$2:$A$301,0))</f>
        <v>High</v>
      </c>
      <c r="G41" s="2" t="str">
        <f aca="false">INDEX(Segmentation!$N$2:$N$301,MATCH($A41,Segmentation!$A$2:$A$301,0))</f>
        <v>Declining</v>
      </c>
      <c r="H41" s="9" t="n">
        <f aca="false">INDEX(Segmentation!$I$2:$I$301,MATCH($A41,Segmentation!$A$2:$A$301,0))</f>
        <v>3579</v>
      </c>
      <c r="I41" s="2" t="n">
        <f aca="false">INDEX(Segmentation!$O$2:$O$301,MATCH($A41,Segmentation!$A$2:$A$301,0))</f>
        <v>6</v>
      </c>
      <c r="J41" s="2" t="n">
        <f aca="false">INDEX(Segmentation!$Q$2:$Q$301,MATCH($A41,Segmentation!$A$2:$A$301,0))</f>
        <v>2</v>
      </c>
      <c r="K41" s="2" t="n">
        <f aca="false">INDEX(Segmentation!$W$2:$W$301,MATCH($A41,Segmentation!$A$2:$A$301,0))</f>
        <v>3</v>
      </c>
      <c r="L41" s="9" t="n">
        <f aca="false">INDEX('Commercial View'!$L$2:$L$301,MATCH($A41,'Commercial View'!$A$2:$A$301,0))</f>
        <v>0</v>
      </c>
      <c r="M41" s="9" t="n">
        <f aca="false">INDEX('Commercial View'!$M$2:$M$301,MATCH($A41,'Commercial View'!$A$2:$A$301,0))</f>
        <v>0</v>
      </c>
      <c r="N41" s="9" t="n">
        <f aca="false">INDEX('Commercial View'!$N$2:$N$301,MATCH($A41,'Commercial View'!$A$2:$A$301,0))</f>
        <v>887</v>
      </c>
      <c r="O41" s="9" t="n">
        <f aca="false">INDEX(Segmentation!$L$2:$L$301,MATCH($A41,Segmentation!$A$2:$A$301,0))</f>
        <v>887</v>
      </c>
      <c r="P41" s="2" t="str">
        <f aca="false">IF(OR(M41&gt;0,N41&gt;0),"Recently Active",IF(OR(I41&lt;=Assumptions!$B$48,K41&lt;=Assumptions!$B$49),"No Meaningful History","Recent Inactivity"))</f>
        <v>Recently Active</v>
      </c>
      <c r="Q41" s="2" t="str">
        <f aca="false">INDEX(Segmentation!$AF$2:$AF$301,MATCH($A41,Segmentation!$A$2:$A$301,0))</f>
        <v>Existing Customer</v>
      </c>
      <c r="R41" s="2" t="str">
        <f aca="false">INDEX(Segmentation!$AL$2:$AL$301,MATCH($A41,Segmentation!$A$2:$A$301,0))</f>
        <v>N/A</v>
      </c>
      <c r="S41" s="10" t="b">
        <f aca="false">INDEX(Segmentation!$AW$2:$AW$301,MATCH($A41,Segmentation!$A$2:$A$301,0))</f>
        <v>0</v>
      </c>
      <c r="T41" s="2" t="str">
        <f aca="false">INDEX('Feature Data'!$AD$2:$AD$301,MATCH($A41,'Feature Data'!$A$2:$A$301,0))</f>
        <v>Broker-led, product-blind</v>
      </c>
      <c r="U41" s="2" t="str">
        <f aca="false">INDEX('Feature Data'!$W$2:$W$301,MATCH($A41,'Feature Data'!$A$2:$A$301,0))</f>
        <v>Handpick-only</v>
      </c>
      <c r="V41" s="2" t="n">
        <f aca="false">INDEX('Feature Data'!$P$2:$P$301,MATCH($A41,'Feature Data'!$A$2:$A$301,0))</f>
        <v>13</v>
      </c>
      <c r="W41" s="2" t="n">
        <f aca="false">INDEX(Segmentation!$R$2:$R$301,MATCH($A41,Segmentation!$A$2:$A$301,0))</f>
        <v>6</v>
      </c>
      <c r="X41" s="2" t="n">
        <f aca="false">INDEX(Segmentation!$S$2:$S$301,MATCH($A41,Segmentation!$A$2:$A$301,0))</f>
        <v>1</v>
      </c>
      <c r="Y41" s="10" t="b">
        <f aca="false">INDEX(Segmentation!$AG$2:$AG$301,MATCH($A41,Segmentation!$A$2:$A$301,0))</f>
        <v>0</v>
      </c>
      <c r="Z41" s="2" t="str">
        <f aca="false">INDEX(Segmentation!$AU$2:$AU$301,MATCH($A41,Segmentation!$A$2:$A$301,0))</f>
        <v>Not Eligible</v>
      </c>
      <c r="AA41" s="10" t="b">
        <f aca="false">INDEX(Segmentation!$Z$2:$Z$301,MATCH($A41,Segmentation!$A$2:$A$301,0))</f>
        <v>0</v>
      </c>
      <c r="AB41" s="10" t="b">
        <f aca="false">INDEX(Segmentation!$AH$2:$AH$301,MATCH($A41,Segmentation!$A$2:$A$301,0))</f>
        <v>0</v>
      </c>
      <c r="AC41" s="10" t="b">
        <f aca="false">INDEX(Segmentation!$AK$2:$AK$301,MATCH($A41,Segmentation!$A$2:$A$301,0))</f>
        <v>1</v>
      </c>
      <c r="AD41" s="10" t="b">
        <f aca="false">INDEX(Segmentation!$AQ$2:$AQ$301,MATCH($A41,Segmentation!$A$2:$A$301,0))</f>
        <v>0</v>
      </c>
      <c r="AE41" s="10" t="b">
        <f aca="false">INDEX(Segmentation!$AT$2:$AT$301,MATCH($A41,Segmentation!$A$2:$A$301,0))</f>
        <v>0</v>
      </c>
      <c r="AF41" s="10" t="b">
        <f aca="false">INDEX(Segmentation!$X$2:$X$301,MATCH($A41,Segmentation!$A$2:$A$301,0))</f>
        <v>0</v>
      </c>
      <c r="AG41" s="10" t="b">
        <f aca="false">AND(F41="Low",V41&gt;=Assumptions!$B$71,X41&lt;Assumptions!$B$72)</f>
        <v>0</v>
      </c>
      <c r="AH41" s="10" t="b">
        <f aca="false">AND(F41="Low",OR(G41="Growing",G41="Stable"),P41="Recently Active",V41&gt;=Assumptions!$B$58,K41&gt;=Assumptions!$B$73)</f>
        <v>0</v>
      </c>
      <c r="AI41" s="17" t="n">
        <f aca="false">IF(O41&gt;0,MAX(L41:N41)/O41,"")</f>
        <v>1</v>
      </c>
      <c r="AJ41" s="2" t="str">
        <f aca="false">IF(LEFT(D41,1)="1",IF(E41="Key","MIGRATION_KEY_SIGNOFF",IF(Z41="Ready","MIGRATION_PHASE1_READY",IF(Z41="Manual Review","MIGRATION_PHASE1_REVIEW","MIGRATION_PRE_ENTRY"))),IF(LEFT(D41,1)="2","DECLINING_KEY_CORE",IF(LEFT(D41,1)="3",IF(R41="Established Buyer Lapsed","LAPSED_ESTABLISHED","LAPSED_THIN_HISTORY"),IF(LEFT(D41,1)="4",IF(Q41="New Customer","NEW_CUSTOMER","RETURNED_CUSTOMER"),IF(LEFT(D41,1)="5",IF(P41="Recently Active","COST_TO_SERVE_ACTIVE","DORMANT_LOW_VALUE"),IF(LEFT(D41,1)="6",IF(P41="Recent Inactivity","RECENT_INACTIVITY",IF(AG41,"BROWSING_LOW_OFFERS","HEALTHY_STRONG_SELF_SERVE")),IF(LEFT(D41,1)="7",IF(P41="Recent Inactivity","RECENT_INACTIVITY",IF(Q41="New Customer","NEW_CUSTOMER","RETURNED_CUSTOMER")),IF(LEFT(D41,1)="8",IF(G41="Declining",IF(T41="Engaged but shrinking (Key/Core)","ENGAGED_BUT_SHRINKING","DECLINING_KEY_CORE"),IF(R41="Established Buyer Lapsed","LAPSED_ESTABLISHED","LAPSED_THIN_HISTORY")),IF(S41,IF(P41&lt;&gt;"Recently Active","DORMANT_LOW_VALUE",IF(AG41,"BROWSING_LOW_OFFERS",IF(AH41,"RISING_TAIL","RISING_TAIL_EARLY"))),IF(AND(AG41,P41="Recently Active",OR(G41="Growing",G41="Stable",G41="H2 Active / No H1 GMV"),I41&gt;=Assumptions!$B$74),"BROWSING_LOW_OFFERS","LONG_TAIL_STANDARD"))))))))))</f>
        <v>DECLINING_KEY_CORE</v>
      </c>
      <c r="AK41" s="2" t="str">
        <f aca="false">INDEX('NBA Library'!$B$4:$B$21,MATCH(AJ41,'NBA Library'!$A$4:$A$21,0))</f>
        <v>Retention Conversation</v>
      </c>
      <c r="AL41" s="2" t="str">
        <f aca="false">INDEX('NBA Library'!$C$4:$C$21,MATCH(AJ41,'NBA Library'!$A$4:$A$21,0))</f>
        <v>Human</v>
      </c>
      <c r="AM41" s="2" t="str">
        <f aca="false">IF(AA41,"HOLD — Critical Data Issue",IF(Y41,"Human Sign-Off Required",IF(Z41="Manual Review","Human Review Required",IF(AND(AL41="Automated",OR(AE41,AND(OR(AK41="Discovery-to-Offer Enablement",AK41="Reinforce Successful Behaviour"),OR(AC41,AB41)))),"Human Review Required",IF(AL41="Human","Ready — Human",IF(AL41="Hybrid","Ready — Hybrid","Ready — Automated"))))))</f>
        <v>Ready — Human</v>
      </c>
      <c r="AN41" s="2" t="str">
        <f aca="false">IF(AA41,"P0",IF(AND(AJ41="BROWSING_LOW_OFFERS",E41="Tail"),"P3",IF(AND(AM41="Human Review Required",INDEX('NBA Library'!$D$4:$D$21,MATCH(AJ41,'NBA Library'!$A$4:$A$21,0))="P4"),"P3",INDEX('NBA Library'!$D$4:$D$21,MATCH(AJ41,'NBA Library'!$A$4:$A$21,0)))))</f>
        <v>P1</v>
      </c>
      <c r="AO41" s="2" t="str">
        <f aca="false">E41&amp;" "&amp;C41&amp;" account ("&amp;B41&amp;"); "&amp;G41&amp;" momentum; "&amp;P41&amp;"; £"&amp;TEXT(H41,"#,##0")&amp;" 6m GMV. "&amp;INDEX('NBA Library'!$G$4:$G$21,MATCH(AJ41,'NBA Library'!$A$4:$A$21,0))&amp;IF(LEFT(D41,1)="1"," Baseline: "&amp;V41&amp;" PDP views, "&amp;W41&amp;" app days, "&amp;X41&amp;" offers, "&amp;TEXT(J41/I41,"0%")&amp;" of orders self-serve.","")&amp;IF(AA41," Execution on HOLD until the Duplicate status is resolved.","")&amp;IF(Y41," Key account: explicit AM/leadership sign-off required before any migration activity.","")&amp;IF(AE41," Implied broker % from order counts would move this account to a different segment; review before automating.","")</f>
        <v>Core Broker-Reliant account (Account Managed); Declining momentum; Recently Active; £3,579 6m GMV. Broker-led spend is falling. Keep human support in place; AM to diagnose the cause before any migration or product nudge.</v>
      </c>
      <c r="AP41" s="2" t="str">
        <f aca="false">INDEX('NBA Library'!$E$4:$E$21,MATCH(AJ41,'NBA Library'!$A$4:$A$21,0))&amp;IF(AND(AJ41="NEW_CUSTOMER",AG41),"; introduce Make-an-Offer on items already browsed","")</f>
        <v>AM diagnoses the cause of falling spend (supply, price, service, competitor) and agrees a recovery plan; keep human support in place</v>
      </c>
      <c r="AQ41" s="2" t="str">
        <f aca="false">INDEX('NBA Library'!$F$4:$F$21,MATCH(AJ41,'NBA Library'!$A$4:$A$21,0))</f>
        <v>Next 90-day GMV back to at least the Sep-Nov (H1) level, or decline arrested; root cause logged</v>
      </c>
      <c r="AR41" s="2" t="str">
        <f aca="false">IF(AND(F41="Low",OR(G41="Growing",G41="Stable"),P41="Recently Active",U41&lt;&gt;"Mixed",OR(AK41="Discovery-to-Offer Enablement",AK41="Reinforce Successful Behaviour"),AM41="Ready — Automated",OR(E41&lt;&gt;"Tail",S41)),"Range Expansion Test — trial "&amp;IF(U41="Bundle-only","handpick","bundles")&amp;" (experimental; not proven to lift GMV)","")</f>
        <v/>
      </c>
      <c r="AS41" s="2" t="str">
        <f aca="false">IF(AK41&lt;&gt;"Automated Nurture","",IF(AJ41="DORMANT_LOW_VALUE","Dormant",IF(AJ41="RISING_TAIL_EARLY","Rising tail – early pattern",IF(Q41="New Customer","New customer onboarding",IF(Q41="Returned Customer","Returned customer",IF(G41="Lapsed","Dormant",IF(T41="Engaged, not converting","Engaged, not converting",IF(T41="One-off low-touch buyer","One-off purchaser",IF(T41="Light-touch repeat buyer","Light-touch repeat buyer","Standard long tail")))))))))</f>
        <v/>
      </c>
      <c r="AT41" s="2" t="str">
        <f aca="false">IF(AA41,"CRITICAL_DATA_BLOCKER; ","")&amp;IF(Y41,"KEY_SIGNOFF; ","")&amp;IF(Z41="Manual Review","PHASE1_MANUAL_REVIEW; ","")&amp;IF(AND(LEFT(D41,1)="1",AZ41="Lumpy"),"LUMPY_CADENCE; ","")&amp;IF(AB41,"BORDERLINE_MOMENTUM; ","")&amp;IF(AC41,"FEB_SENSITIVE; ","")&amp;IF(AD41,"MATERIAL_BROKER_INCONSISTENCY"&amp;IF(AE41," (segment would change)","")&amp;"; ","")&amp;IF(AND(I41&gt;=3,O41&gt;0),IF(AI41&gt;=Assumptions!$B$75,"H2_SINGLE_MONTH_SPIKE; ",""),"")&amp;IF(AND(M41&gt;0,N41=0),"NO_FEB_GMV (Feb unconfirmed); ","")&amp;IF(AF41,"LOW_CONFIDENCE; ","")</f>
        <v>FEB_SENSITIVE; H2_SINGLE_MONTH_SPIKE; </v>
      </c>
      <c r="AU41" s="2" t="str">
        <f aca="false">IF(LEFT(D41,1)="1",V41,"")</f>
        <v/>
      </c>
      <c r="AV41" s="2" t="str">
        <f aca="false">IF(LEFT(D41,1)="1",V41&gt;=Assumptions!$B$58,"")</f>
        <v/>
      </c>
      <c r="AW41" s="2" t="str">
        <f aca="false">IF(LEFT(D41,1)="1",W41,"")</f>
        <v/>
      </c>
      <c r="AX41" s="2" t="str">
        <f aca="false">IF(LEFT(D41,1)="1",X41,"")</f>
        <v/>
      </c>
      <c r="AY41" s="17" t="str">
        <f aca="false">IF(LEFT(D41,1)="1",J41/I41,"")</f>
        <v/>
      </c>
      <c r="AZ41" s="2" t="str">
        <f aca="false">IF(LEFT(D41,1)="1",IF(AND(K41&gt;=Assumptions!$B$83,I41&gt;=Assumptions!$B$84),"Regular","Lumpy"),"")</f>
        <v/>
      </c>
      <c r="BA41" s="2" t="str">
        <f aca="false">IF(LEFT(D41,1)="1",ROUND(6/K41,0),"")</f>
        <v/>
      </c>
      <c r="BB41" s="2" t="str">
        <f aca="false">IF(LEFT(D41,1)="1",IF(AZ41="Regular","Regular buyer: expected ~£"&amp;TEXT(H41/2,"#,##0")&amp;" per 90 days. At Risk if GMV to date &lt; "&amp;TEXT(Assumptions!$B$81,"0%")&amp;" of pro-rated expectation, checked from day "&amp;Assumptions!$B$82&amp;". Human-reviewed.","Irregular buyer ("&amp;I41&amp;" orders across "&amp;K41&amp;" months): no numeric GMV threshold. At Risk if no order within ~"&amp;BA41&amp;" month(s); AM reviews at day "&amp;Assumptions!$B$82&amp;" and "&amp;Assumptions!$B$85&amp;"."),"")</f>
        <v/>
      </c>
      <c r="BC41" s="2"/>
      <c r="BD41" s="2"/>
      <c r="BE41" s="2"/>
      <c r="BF41" s="2"/>
      <c r="BG41" s="2"/>
      <c r="BH41" s="2"/>
      <c r="BI41" s="2"/>
      <c r="BJ41" s="2" t="str">
        <f aca="false">IF(OR(NOT(LEFT(D41,1)="1"),BC41=""),"",IF(AZ41="Regular",AND(BC41&gt;=Assumptions!$B$82,N(BI41)&lt;Assumptions!$B$81*H41/180*BC41),AND(BC41&gt;=BA41*30,N(BG41)=0)))</f>
        <v/>
      </c>
      <c r="BK41" s="2" t="str">
        <f aca="false">IF(NOT(LEFT(D41,1)="1"),"N/A",IF(BC41="","Baseline",IF(BJ41,"At Risk",IF(AND(N(BD41)&gt;=Assumptions!$B$78,N(BE41)&gt;=Assumptions!$B$79,N(BH41)&gt;=1,N(BH41)/MAX(N(BG41),1)&gt;AY41),"Self-Serve Capability Demonstrated",IF(OR(N(BD41)&gt;=Assumptions!$B$76,N(BE41)&gt;=Assumptions!$B$77),"Progressing",IF(BC41&gt;=Assumptions!$B$85,"At Risk","Baseline"))))))</f>
        <v>N/A</v>
      </c>
      <c r="BL41" s="2" t="n">
        <f aca="false">(AND(C41="Broker-Reliant",OR(AK41="Discovery-to-Offer Enablement",AK41="Reinforce Successful Behaviour")))*1+(AND(G41="Declining",E41&lt;&gt;"Tail",AL41="Automated"))*1+(AND(Y41,AM41&lt;&gt;"Human Sign-Off Required"))*1+(AND(AA41,AM41&lt;&gt;"HOLD — Critical Data Issue"))*1+(AND(P41="Recent Inactivity",OR(AK41="Discovery-to-Offer Enablement",AK41="Reinforce Successful Behaviour")))*1+(AND(OR(LEFT(D41,1)="2",LEFT(D41,1)="3",LEFT(D41,1)="8"),AL41="Automated"))*1+((LEFT(D41,1)="1")&lt;&gt;(AK41="Guided Self-Serve Migration"))*1+(AND(AR41&lt;&gt;"",OR(F41&lt;&gt;"Low",U41="Mixed",AND(G41&lt;&gt;"Growing",G41&lt;&gt;"Stable"))))*1+ISNUMBER(SEARCH("chat",AP41))*1+ISNUMBER(SEARCH("video",AP41))*1+(AND(AA41,AL41="Automated",AM41&lt;&gt;"HOLD — Critical Data Issue"))*1</f>
        <v>0</v>
      </c>
    </row>
    <row r="42" customFormat="false" ht="15" hidden="false" customHeight="false" outlineLevel="0" collapsed="false">
      <c r="A42" s="2" t="s">
        <v>248</v>
      </c>
      <c r="B42" s="2" t="str">
        <f aca="false">INDEX(Segmentation!$B$2:$B$301,MATCH($A42,Segmentation!$A$2:$A$301,0))</f>
        <v>Account Managed</v>
      </c>
      <c r="C42" s="2" t="str">
        <f aca="false">INDEX(Segmentation!$H$2:$H$301,MATCH($A42,Segmentation!$A$2:$A$301,0))</f>
        <v>Broker-Reliant</v>
      </c>
      <c r="D42" s="2" t="str">
        <f aca="false">INDEX(Segmentation!$T$2:$T$301,MATCH($A42,Segmentation!$A$2:$A$301,0))</f>
        <v>2. Protect / Retain First</v>
      </c>
      <c r="E42" s="2" t="str">
        <f aca="false">INDEX(Segmentation!$J$2:$J$301,MATCH($A42,Segmentation!$A$2:$A$301,0))</f>
        <v>Core</v>
      </c>
      <c r="F42" s="2" t="str">
        <f aca="false">INDEX(Segmentation!$G$2:$G$301,MATCH($A42,Segmentation!$A$2:$A$301,0))</f>
        <v>High</v>
      </c>
      <c r="G42" s="2" t="str">
        <f aca="false">INDEX(Segmentation!$N$2:$N$301,MATCH($A42,Segmentation!$A$2:$A$301,0))</f>
        <v>Declining</v>
      </c>
      <c r="H42" s="9" t="n">
        <f aca="false">INDEX(Segmentation!$I$2:$I$301,MATCH($A42,Segmentation!$A$2:$A$301,0))</f>
        <v>3549</v>
      </c>
      <c r="I42" s="2" t="n">
        <f aca="false">INDEX(Segmentation!$O$2:$O$301,MATCH($A42,Segmentation!$A$2:$A$301,0))</f>
        <v>7</v>
      </c>
      <c r="J42" s="2" t="n">
        <f aca="false">INDEX(Segmentation!$Q$2:$Q$301,MATCH($A42,Segmentation!$A$2:$A$301,0))</f>
        <v>3</v>
      </c>
      <c r="K42" s="2" t="n">
        <f aca="false">INDEX(Segmentation!$W$2:$W$301,MATCH($A42,Segmentation!$A$2:$A$301,0))</f>
        <v>5</v>
      </c>
      <c r="L42" s="9" t="n">
        <f aca="false">INDEX('Commercial View'!$L$2:$L$301,MATCH($A42,'Commercial View'!$A$2:$A$301,0))</f>
        <v>547</v>
      </c>
      <c r="M42" s="9" t="n">
        <f aca="false">INDEX('Commercial View'!$M$2:$M$301,MATCH($A42,'Commercial View'!$A$2:$A$301,0))</f>
        <v>498</v>
      </c>
      <c r="N42" s="9" t="n">
        <f aca="false">INDEX('Commercial View'!$N$2:$N$301,MATCH($A42,'Commercial View'!$A$2:$A$301,0))</f>
        <v>0</v>
      </c>
      <c r="O42" s="9" t="n">
        <f aca="false">INDEX(Segmentation!$L$2:$L$301,MATCH($A42,Segmentation!$A$2:$A$301,0))</f>
        <v>1045</v>
      </c>
      <c r="P42" s="2" t="str">
        <f aca="false">IF(OR(M42&gt;0,N42&gt;0),"Recently Active",IF(OR(I42&lt;=Assumptions!$B$48,K42&lt;=Assumptions!$B$49),"No Meaningful History","Recent Inactivity"))</f>
        <v>Recently Active</v>
      </c>
      <c r="Q42" s="2" t="str">
        <f aca="false">INDEX(Segmentation!$AF$2:$AF$301,MATCH($A42,Segmentation!$A$2:$A$301,0))</f>
        <v>Existing Customer</v>
      </c>
      <c r="R42" s="2" t="str">
        <f aca="false">INDEX(Segmentation!$AL$2:$AL$301,MATCH($A42,Segmentation!$A$2:$A$301,0))</f>
        <v>N/A</v>
      </c>
      <c r="S42" s="10" t="b">
        <f aca="false">INDEX(Segmentation!$AW$2:$AW$301,MATCH($A42,Segmentation!$A$2:$A$301,0))</f>
        <v>0</v>
      </c>
      <c r="T42" s="2" t="str">
        <f aca="false">INDEX('Feature Data'!$AD$2:$AD$301,MATCH($A42,'Feature Data'!$A$2:$A$301,0))</f>
        <v>Broker-led, product-blind</v>
      </c>
      <c r="U42" s="2" t="str">
        <f aca="false">INDEX('Feature Data'!$W$2:$W$301,MATCH($A42,'Feature Data'!$A$2:$A$301,0))</f>
        <v>Mixed</v>
      </c>
      <c r="V42" s="2" t="n">
        <f aca="false">INDEX('Feature Data'!$P$2:$P$301,MATCH($A42,'Feature Data'!$A$2:$A$301,0))</f>
        <v>2</v>
      </c>
      <c r="W42" s="2" t="n">
        <f aca="false">INDEX(Segmentation!$R$2:$R$301,MATCH($A42,Segmentation!$A$2:$A$301,0))</f>
        <v>6</v>
      </c>
      <c r="X42" s="2" t="n">
        <f aca="false">INDEX(Segmentation!$S$2:$S$301,MATCH($A42,Segmentation!$A$2:$A$301,0))</f>
        <v>0</v>
      </c>
      <c r="Y42" s="10" t="b">
        <f aca="false">INDEX(Segmentation!$AG$2:$AG$301,MATCH($A42,Segmentation!$A$2:$A$301,0))</f>
        <v>0</v>
      </c>
      <c r="Z42" s="2" t="str">
        <f aca="false">INDEX(Segmentation!$AU$2:$AU$301,MATCH($A42,Segmentation!$A$2:$A$301,0))</f>
        <v>Not Eligible</v>
      </c>
      <c r="AA42" s="10" t="b">
        <f aca="false">INDEX(Segmentation!$Z$2:$Z$301,MATCH($A42,Segmentation!$A$2:$A$301,0))</f>
        <v>0</v>
      </c>
      <c r="AB42" s="10" t="b">
        <f aca="false">INDEX(Segmentation!$AH$2:$AH$301,MATCH($A42,Segmentation!$A$2:$A$301,0))</f>
        <v>0</v>
      </c>
      <c r="AC42" s="10" t="b">
        <f aca="false">INDEX(Segmentation!$AK$2:$AK$301,MATCH($A42,Segmentation!$A$2:$A$301,0))</f>
        <v>0</v>
      </c>
      <c r="AD42" s="10" t="b">
        <f aca="false">INDEX(Segmentation!$AQ$2:$AQ$301,MATCH($A42,Segmentation!$A$2:$A$301,0))</f>
        <v>1</v>
      </c>
      <c r="AE42" s="10" t="b">
        <f aca="false">INDEX(Segmentation!$AT$2:$AT$301,MATCH($A42,Segmentation!$A$2:$A$301,0))</f>
        <v>0</v>
      </c>
      <c r="AF42" s="10" t="b">
        <f aca="false">INDEX(Segmentation!$X$2:$X$301,MATCH($A42,Segmentation!$A$2:$A$301,0))</f>
        <v>0</v>
      </c>
      <c r="AG42" s="10" t="b">
        <f aca="false">AND(F42="Low",V42&gt;=Assumptions!$B$71,X42&lt;Assumptions!$B$72)</f>
        <v>0</v>
      </c>
      <c r="AH42" s="10" t="b">
        <f aca="false">AND(F42="Low",OR(G42="Growing",G42="Stable"),P42="Recently Active",V42&gt;=Assumptions!$B$58,K42&gt;=Assumptions!$B$73)</f>
        <v>0</v>
      </c>
      <c r="AI42" s="17" t="n">
        <f aca="false">IF(O42&gt;0,MAX(L42:N42)/O42,"")</f>
        <v>0.523444976076555</v>
      </c>
      <c r="AJ42" s="2" t="str">
        <f aca="false">IF(LEFT(D42,1)="1",IF(E42="Key","MIGRATION_KEY_SIGNOFF",IF(Z42="Ready","MIGRATION_PHASE1_READY",IF(Z42="Manual Review","MIGRATION_PHASE1_REVIEW","MIGRATION_PRE_ENTRY"))),IF(LEFT(D42,1)="2","DECLINING_KEY_CORE",IF(LEFT(D42,1)="3",IF(R42="Established Buyer Lapsed","LAPSED_ESTABLISHED","LAPSED_THIN_HISTORY"),IF(LEFT(D42,1)="4",IF(Q42="New Customer","NEW_CUSTOMER","RETURNED_CUSTOMER"),IF(LEFT(D42,1)="5",IF(P42="Recently Active","COST_TO_SERVE_ACTIVE","DORMANT_LOW_VALUE"),IF(LEFT(D42,1)="6",IF(P42="Recent Inactivity","RECENT_INACTIVITY",IF(AG42,"BROWSING_LOW_OFFERS","HEALTHY_STRONG_SELF_SERVE")),IF(LEFT(D42,1)="7",IF(P42="Recent Inactivity","RECENT_INACTIVITY",IF(Q42="New Customer","NEW_CUSTOMER","RETURNED_CUSTOMER")),IF(LEFT(D42,1)="8",IF(G42="Declining",IF(T42="Engaged but shrinking (Key/Core)","ENGAGED_BUT_SHRINKING","DECLINING_KEY_CORE"),IF(R42="Established Buyer Lapsed","LAPSED_ESTABLISHED","LAPSED_THIN_HISTORY")),IF(S42,IF(P42&lt;&gt;"Recently Active","DORMANT_LOW_VALUE",IF(AG42,"BROWSING_LOW_OFFERS",IF(AH42,"RISING_TAIL","RISING_TAIL_EARLY"))),IF(AND(AG42,P42="Recently Active",OR(G42="Growing",G42="Stable",G42="H2 Active / No H1 GMV"),I42&gt;=Assumptions!$B$74),"BROWSING_LOW_OFFERS","LONG_TAIL_STANDARD"))))))))))</f>
        <v>DECLINING_KEY_CORE</v>
      </c>
      <c r="AK42" s="2" t="str">
        <f aca="false">INDEX('NBA Library'!$B$4:$B$21,MATCH(AJ42,'NBA Library'!$A$4:$A$21,0))</f>
        <v>Retention Conversation</v>
      </c>
      <c r="AL42" s="2" t="str">
        <f aca="false">INDEX('NBA Library'!$C$4:$C$21,MATCH(AJ42,'NBA Library'!$A$4:$A$21,0))</f>
        <v>Human</v>
      </c>
      <c r="AM42" s="2" t="str">
        <f aca="false">IF(AA42,"HOLD — Critical Data Issue",IF(Y42,"Human Sign-Off Required",IF(Z42="Manual Review","Human Review Required",IF(AND(AL42="Automated",OR(AE42,AND(OR(AK42="Discovery-to-Offer Enablement",AK42="Reinforce Successful Behaviour"),OR(AC42,AB42)))),"Human Review Required",IF(AL42="Human","Ready — Human",IF(AL42="Hybrid","Ready — Hybrid","Ready — Automated"))))))</f>
        <v>Ready — Human</v>
      </c>
      <c r="AN42" s="2" t="str">
        <f aca="false">IF(AA42,"P0",IF(AND(AJ42="BROWSING_LOW_OFFERS",E42="Tail"),"P3",IF(AND(AM42="Human Review Required",INDEX('NBA Library'!$D$4:$D$21,MATCH(AJ42,'NBA Library'!$A$4:$A$21,0))="P4"),"P3",INDEX('NBA Library'!$D$4:$D$21,MATCH(AJ42,'NBA Library'!$A$4:$A$21,0)))))</f>
        <v>P1</v>
      </c>
      <c r="AO42" s="2" t="str">
        <f aca="false">E42&amp;" "&amp;C42&amp;" account ("&amp;B42&amp;"); "&amp;G42&amp;" momentum; "&amp;P42&amp;"; £"&amp;TEXT(H42,"#,##0")&amp;" 6m GMV. "&amp;INDEX('NBA Library'!$G$4:$G$21,MATCH(AJ42,'NBA Library'!$A$4:$A$21,0))&amp;IF(LEFT(D42,1)="1"," Baseline: "&amp;V42&amp;" PDP views, "&amp;W42&amp;" app days, "&amp;X42&amp;" offers, "&amp;TEXT(J42/I42,"0%")&amp;" of orders self-serve.","")&amp;IF(AA42," Execution on HOLD until the Duplicate status is resolved.","")&amp;IF(Y42," Key account: explicit AM/leadership sign-off required before any migration activity.","")&amp;IF(AE42," Implied broker % from order counts would move this account to a different segment; review before automating.","")</f>
        <v>Core Broker-Reliant account (Account Managed); Declining momentum; Recently Active; £3,549 6m GMV. Broker-led spend is falling. Keep human support in place; AM to diagnose the cause before any migration or product nudge.</v>
      </c>
      <c r="AP42" s="2" t="str">
        <f aca="false">INDEX('NBA Library'!$E$4:$E$21,MATCH(AJ42,'NBA Library'!$A$4:$A$21,0))&amp;IF(AND(AJ42="NEW_CUSTOMER",AG42),"; introduce Make-an-Offer on items already browsed","")</f>
        <v>AM diagnoses the cause of falling spend (supply, price, service, competitor) and agrees a recovery plan; keep human support in place</v>
      </c>
      <c r="AQ42" s="2" t="str">
        <f aca="false">INDEX('NBA Library'!$F$4:$F$21,MATCH(AJ42,'NBA Library'!$A$4:$A$21,0))</f>
        <v>Next 90-day GMV back to at least the Sep-Nov (H1) level, or decline arrested; root cause logged</v>
      </c>
      <c r="AR42" s="2" t="str">
        <f aca="false">IF(AND(F42="Low",OR(G42="Growing",G42="Stable"),P42="Recently Active",U42&lt;&gt;"Mixed",OR(AK42="Discovery-to-Offer Enablement",AK42="Reinforce Successful Behaviour"),AM42="Ready — Automated",OR(E42&lt;&gt;"Tail",S42)),"Range Expansion Test — trial "&amp;IF(U42="Bundle-only","handpick","bundles")&amp;" (experimental; not proven to lift GMV)","")</f>
        <v/>
      </c>
      <c r="AS42" s="2" t="str">
        <f aca="false">IF(AK42&lt;&gt;"Automated Nurture","",IF(AJ42="DORMANT_LOW_VALUE","Dormant",IF(AJ42="RISING_TAIL_EARLY","Rising tail – early pattern",IF(Q42="New Customer","New customer onboarding",IF(Q42="Returned Customer","Returned customer",IF(G42="Lapsed","Dormant",IF(T42="Engaged, not converting","Engaged, not converting",IF(T42="One-off low-touch buyer","One-off purchaser",IF(T42="Light-touch repeat buyer","Light-touch repeat buyer","Standard long tail")))))))))</f>
        <v/>
      </c>
      <c r="AT42" s="2" t="str">
        <f aca="false">IF(AA42,"CRITICAL_DATA_BLOCKER; ","")&amp;IF(Y42,"KEY_SIGNOFF; ","")&amp;IF(Z42="Manual Review","PHASE1_MANUAL_REVIEW; ","")&amp;IF(AND(LEFT(D42,1)="1",AZ42="Lumpy"),"LUMPY_CADENCE; ","")&amp;IF(AB42,"BORDERLINE_MOMENTUM; ","")&amp;IF(AC42,"FEB_SENSITIVE; ","")&amp;IF(AD42,"MATERIAL_BROKER_INCONSISTENCY"&amp;IF(AE42," (segment would change)","")&amp;"; ","")&amp;IF(AND(I42&gt;=3,O42&gt;0),IF(AI42&gt;=Assumptions!$B$75,"H2_SINGLE_MONTH_SPIKE; ",""),"")&amp;IF(AND(M42&gt;0,N42=0),"NO_FEB_GMV (Feb unconfirmed); ","")&amp;IF(AF42,"LOW_CONFIDENCE; ","")</f>
        <v>MATERIAL_BROKER_INCONSISTENCY; NO_FEB_GMV (Feb unconfirmed); </v>
      </c>
      <c r="AU42" s="2" t="str">
        <f aca="false">IF(LEFT(D42,1)="1",V42,"")</f>
        <v/>
      </c>
      <c r="AV42" s="2" t="str">
        <f aca="false">IF(LEFT(D42,1)="1",V42&gt;=Assumptions!$B$58,"")</f>
        <v/>
      </c>
      <c r="AW42" s="2" t="str">
        <f aca="false">IF(LEFT(D42,1)="1",W42,"")</f>
        <v/>
      </c>
      <c r="AX42" s="2" t="str">
        <f aca="false">IF(LEFT(D42,1)="1",X42,"")</f>
        <v/>
      </c>
      <c r="AY42" s="17" t="str">
        <f aca="false">IF(LEFT(D42,1)="1",J42/I42,"")</f>
        <v/>
      </c>
      <c r="AZ42" s="2" t="str">
        <f aca="false">IF(LEFT(D42,1)="1",IF(AND(K42&gt;=Assumptions!$B$83,I42&gt;=Assumptions!$B$84),"Regular","Lumpy"),"")</f>
        <v/>
      </c>
      <c r="BA42" s="2" t="str">
        <f aca="false">IF(LEFT(D42,1)="1",ROUND(6/K42,0),"")</f>
        <v/>
      </c>
      <c r="BB42" s="2" t="str">
        <f aca="false">IF(LEFT(D42,1)="1",IF(AZ42="Regular","Regular buyer: expected ~£"&amp;TEXT(H42/2,"#,##0")&amp;" per 90 days. At Risk if GMV to date &lt; "&amp;TEXT(Assumptions!$B$81,"0%")&amp;" of pro-rated expectation, checked from day "&amp;Assumptions!$B$82&amp;". Human-reviewed.","Irregular buyer ("&amp;I42&amp;" orders across "&amp;K42&amp;" months): no numeric GMV threshold. At Risk if no order within ~"&amp;BA42&amp;" month(s); AM reviews at day "&amp;Assumptions!$B$82&amp;" and "&amp;Assumptions!$B$85&amp;"."),"")</f>
        <v/>
      </c>
      <c r="BC42" s="2"/>
      <c r="BD42" s="2"/>
      <c r="BE42" s="2"/>
      <c r="BF42" s="2"/>
      <c r="BG42" s="2"/>
      <c r="BH42" s="2"/>
      <c r="BI42" s="2"/>
      <c r="BJ42" s="2" t="str">
        <f aca="false">IF(OR(NOT(LEFT(D42,1)="1"),BC42=""),"",IF(AZ42="Regular",AND(BC42&gt;=Assumptions!$B$82,N(BI42)&lt;Assumptions!$B$81*H42/180*BC42),AND(BC42&gt;=BA42*30,N(BG42)=0)))</f>
        <v/>
      </c>
      <c r="BK42" s="2" t="str">
        <f aca="false">IF(NOT(LEFT(D42,1)="1"),"N/A",IF(BC42="","Baseline",IF(BJ42,"At Risk",IF(AND(N(BD42)&gt;=Assumptions!$B$78,N(BE42)&gt;=Assumptions!$B$79,N(BH42)&gt;=1,N(BH42)/MAX(N(BG42),1)&gt;AY42),"Self-Serve Capability Demonstrated",IF(OR(N(BD42)&gt;=Assumptions!$B$76,N(BE42)&gt;=Assumptions!$B$77),"Progressing",IF(BC42&gt;=Assumptions!$B$85,"At Risk","Baseline"))))))</f>
        <v>N/A</v>
      </c>
      <c r="BL42" s="2" t="n">
        <f aca="false">(AND(C42="Broker-Reliant",OR(AK42="Discovery-to-Offer Enablement",AK42="Reinforce Successful Behaviour")))*1+(AND(G42="Declining",E42&lt;&gt;"Tail",AL42="Automated"))*1+(AND(Y42,AM42&lt;&gt;"Human Sign-Off Required"))*1+(AND(AA42,AM42&lt;&gt;"HOLD — Critical Data Issue"))*1+(AND(P42="Recent Inactivity",OR(AK42="Discovery-to-Offer Enablement",AK42="Reinforce Successful Behaviour")))*1+(AND(OR(LEFT(D42,1)="2",LEFT(D42,1)="3",LEFT(D42,1)="8"),AL42="Automated"))*1+((LEFT(D42,1)="1")&lt;&gt;(AK42="Guided Self-Serve Migration"))*1+(AND(AR42&lt;&gt;"",OR(F42&lt;&gt;"Low",U42="Mixed",AND(G42&lt;&gt;"Growing",G42&lt;&gt;"Stable"))))*1+ISNUMBER(SEARCH("chat",AP42))*1+ISNUMBER(SEARCH("video",AP42))*1+(AND(AA42,AL42="Automated",AM42&lt;&gt;"HOLD — Critical Data Issue"))*1</f>
        <v>0</v>
      </c>
    </row>
    <row r="43" customFormat="false" ht="15" hidden="false" customHeight="false" outlineLevel="0" collapsed="false">
      <c r="A43" s="2" t="s">
        <v>260</v>
      </c>
      <c r="B43" s="2" t="str">
        <f aca="false">INDEX(Segmentation!$B$2:$B$301,MATCH($A43,Segmentation!$A$2:$A$301,0))</f>
        <v>Account Managed</v>
      </c>
      <c r="C43" s="2" t="str">
        <f aca="false">INDEX(Segmentation!$H$2:$H$301,MATCH($A43,Segmentation!$A$2:$A$301,0))</f>
        <v>AM-Owned / Self-Serving</v>
      </c>
      <c r="D43" s="2" t="str">
        <f aca="false">INDEX(Segmentation!$T$2:$T$301,MATCH($A43,Segmentation!$A$2:$A$301,0))</f>
        <v>8. Retention / Reactivation</v>
      </c>
      <c r="E43" s="2" t="str">
        <f aca="false">INDEX(Segmentation!$J$2:$J$301,MATCH($A43,Segmentation!$A$2:$A$301,0))</f>
        <v>Core</v>
      </c>
      <c r="F43" s="2" t="str">
        <f aca="false">INDEX(Segmentation!$G$2:$G$301,MATCH($A43,Segmentation!$A$2:$A$301,0))</f>
        <v>Low</v>
      </c>
      <c r="G43" s="2" t="str">
        <f aca="false">INDEX(Segmentation!$N$2:$N$301,MATCH($A43,Segmentation!$A$2:$A$301,0))</f>
        <v>Lapsed</v>
      </c>
      <c r="H43" s="9" t="n">
        <f aca="false">INDEX(Segmentation!$I$2:$I$301,MATCH($A43,Segmentation!$A$2:$A$301,0))</f>
        <v>3478</v>
      </c>
      <c r="I43" s="2" t="n">
        <f aca="false">INDEX(Segmentation!$O$2:$O$301,MATCH($A43,Segmentation!$A$2:$A$301,0))</f>
        <v>1</v>
      </c>
      <c r="J43" s="2" t="n">
        <f aca="false">INDEX(Segmentation!$Q$2:$Q$301,MATCH($A43,Segmentation!$A$2:$A$301,0))</f>
        <v>1</v>
      </c>
      <c r="K43" s="2" t="n">
        <f aca="false">INDEX(Segmentation!$W$2:$W$301,MATCH($A43,Segmentation!$A$2:$A$301,0))</f>
        <v>1</v>
      </c>
      <c r="L43" s="9" t="n">
        <f aca="false">INDEX('Commercial View'!$L$2:$L$301,MATCH($A43,'Commercial View'!$A$2:$A$301,0))</f>
        <v>0</v>
      </c>
      <c r="M43" s="9" t="n">
        <f aca="false">INDEX('Commercial View'!$M$2:$M$301,MATCH($A43,'Commercial View'!$A$2:$A$301,0))</f>
        <v>0</v>
      </c>
      <c r="N43" s="9" t="n">
        <f aca="false">INDEX('Commercial View'!$N$2:$N$301,MATCH($A43,'Commercial View'!$A$2:$A$301,0))</f>
        <v>0</v>
      </c>
      <c r="O43" s="9" t="n">
        <f aca="false">INDEX(Segmentation!$L$2:$L$301,MATCH($A43,Segmentation!$A$2:$A$301,0))</f>
        <v>0</v>
      </c>
      <c r="P43" s="2" t="str">
        <f aca="false">IF(OR(M43&gt;0,N43&gt;0),"Recently Active",IF(OR(I43&lt;=Assumptions!$B$48,K43&lt;=Assumptions!$B$49),"No Meaningful History","Recent Inactivity"))</f>
        <v>No Meaningful History</v>
      </c>
      <c r="Q43" s="2" t="str">
        <f aca="false">INDEX(Segmentation!$AF$2:$AF$301,MATCH($A43,Segmentation!$A$2:$A$301,0))</f>
        <v>Existing Customer</v>
      </c>
      <c r="R43" s="2" t="str">
        <f aca="false">INDEX(Segmentation!$AL$2:$AL$301,MATCH($A43,Segmentation!$A$2:$A$301,0))</f>
        <v>One-Off / Insufficient History — Verify</v>
      </c>
      <c r="S43" s="10" t="b">
        <f aca="false">INDEX(Segmentation!$AW$2:$AW$301,MATCH($A43,Segmentation!$A$2:$A$301,0))</f>
        <v>0</v>
      </c>
      <c r="T43" s="2" t="str">
        <f aca="false">INDEX('Feature Data'!$AD$2:$AD$301,MATCH($A43,'Feature Data'!$A$2:$A$301,0))</f>
        <v>One-off low-touch buyer</v>
      </c>
      <c r="U43" s="2" t="str">
        <f aca="false">INDEX('Feature Data'!$W$2:$W$301,MATCH($A43,'Feature Data'!$A$2:$A$301,0))</f>
        <v>Handpick-only</v>
      </c>
      <c r="V43" s="2" t="n">
        <f aca="false">INDEX('Feature Data'!$P$2:$P$301,MATCH($A43,'Feature Data'!$A$2:$A$301,0))</f>
        <v>1</v>
      </c>
      <c r="W43" s="2" t="n">
        <f aca="false">INDEX(Segmentation!$R$2:$R$301,MATCH($A43,Segmentation!$A$2:$A$301,0))</f>
        <v>1</v>
      </c>
      <c r="X43" s="2" t="n">
        <f aca="false">INDEX(Segmentation!$S$2:$S$301,MATCH($A43,Segmentation!$A$2:$A$301,0))</f>
        <v>0</v>
      </c>
      <c r="Y43" s="10" t="b">
        <f aca="false">INDEX(Segmentation!$AG$2:$AG$301,MATCH($A43,Segmentation!$A$2:$A$301,0))</f>
        <v>0</v>
      </c>
      <c r="Z43" s="2" t="str">
        <f aca="false">INDEX(Segmentation!$AU$2:$AU$301,MATCH($A43,Segmentation!$A$2:$A$301,0))</f>
        <v>Not Eligible</v>
      </c>
      <c r="AA43" s="10" t="b">
        <f aca="false">INDEX(Segmentation!$Z$2:$Z$301,MATCH($A43,Segmentation!$A$2:$A$301,0))</f>
        <v>0</v>
      </c>
      <c r="AB43" s="10" t="b">
        <f aca="false">INDEX(Segmentation!$AH$2:$AH$301,MATCH($A43,Segmentation!$A$2:$A$301,0))</f>
        <v>0</v>
      </c>
      <c r="AC43" s="10" t="b">
        <f aca="false">INDEX(Segmentation!$AK$2:$AK$301,MATCH($A43,Segmentation!$A$2:$A$301,0))</f>
        <v>0</v>
      </c>
      <c r="AD43" s="10" t="b">
        <f aca="false">INDEX(Segmentation!$AQ$2:$AQ$301,MATCH($A43,Segmentation!$A$2:$A$301,0))</f>
        <v>0</v>
      </c>
      <c r="AE43" s="10" t="b">
        <f aca="false">INDEX(Segmentation!$AT$2:$AT$301,MATCH($A43,Segmentation!$A$2:$A$301,0))</f>
        <v>0</v>
      </c>
      <c r="AF43" s="10" t="b">
        <f aca="false">INDEX(Segmentation!$X$2:$X$301,MATCH($A43,Segmentation!$A$2:$A$301,0))</f>
        <v>1</v>
      </c>
      <c r="AG43" s="10" t="b">
        <f aca="false">AND(F43="Low",V43&gt;=Assumptions!$B$71,X43&lt;Assumptions!$B$72)</f>
        <v>0</v>
      </c>
      <c r="AH43" s="10" t="b">
        <f aca="false">AND(F43="Low",OR(G43="Growing",G43="Stable"),P43="Recently Active",V43&gt;=Assumptions!$B$58,K43&gt;=Assumptions!$B$73)</f>
        <v>0</v>
      </c>
      <c r="AI43" s="17" t="str">
        <f aca="false">IF(O43&gt;0,MAX(L43:N43)/O43,"")</f>
        <v/>
      </c>
      <c r="AJ43" s="2" t="str">
        <f aca="false">IF(LEFT(D43,1)="1",IF(E43="Key","MIGRATION_KEY_SIGNOFF",IF(Z43="Ready","MIGRATION_PHASE1_READY",IF(Z43="Manual Review","MIGRATION_PHASE1_REVIEW","MIGRATION_PRE_ENTRY"))),IF(LEFT(D43,1)="2","DECLINING_KEY_CORE",IF(LEFT(D43,1)="3",IF(R43="Established Buyer Lapsed","LAPSED_ESTABLISHED","LAPSED_THIN_HISTORY"),IF(LEFT(D43,1)="4",IF(Q43="New Customer","NEW_CUSTOMER","RETURNED_CUSTOMER"),IF(LEFT(D43,1)="5",IF(P43="Recently Active","COST_TO_SERVE_ACTIVE","DORMANT_LOW_VALUE"),IF(LEFT(D43,1)="6",IF(P43="Recent Inactivity","RECENT_INACTIVITY",IF(AG43,"BROWSING_LOW_OFFERS","HEALTHY_STRONG_SELF_SERVE")),IF(LEFT(D43,1)="7",IF(P43="Recent Inactivity","RECENT_INACTIVITY",IF(Q43="New Customer","NEW_CUSTOMER","RETURNED_CUSTOMER")),IF(LEFT(D43,1)="8",IF(G43="Declining",IF(T43="Engaged but shrinking (Key/Core)","ENGAGED_BUT_SHRINKING","DECLINING_KEY_CORE"),IF(R43="Established Buyer Lapsed","LAPSED_ESTABLISHED","LAPSED_THIN_HISTORY")),IF(S43,IF(P43&lt;&gt;"Recently Active","DORMANT_LOW_VALUE",IF(AG43,"BROWSING_LOW_OFFERS",IF(AH43,"RISING_TAIL","RISING_TAIL_EARLY"))),IF(AND(AG43,P43="Recently Active",OR(G43="Growing",G43="Stable",G43="H2 Active / No H1 GMV"),I43&gt;=Assumptions!$B$74),"BROWSING_LOW_OFFERS","LONG_TAIL_STANDARD"))))))))))</f>
        <v>LAPSED_THIN_HISTORY</v>
      </c>
      <c r="AK43" s="2" t="str">
        <f aca="false">INDEX('NBA Library'!$B$4:$B$21,MATCH(AJ43,'NBA Library'!$A$4:$A$21,0))</f>
        <v>Verify Demand / Win-Back</v>
      </c>
      <c r="AL43" s="2" t="str">
        <f aca="false">INDEX('NBA Library'!$C$4:$C$21,MATCH(AJ43,'NBA Library'!$A$4:$A$21,0))</f>
        <v>Human</v>
      </c>
      <c r="AM43" s="2" t="str">
        <f aca="false">IF(AA43,"HOLD — Critical Data Issue",IF(Y43,"Human Sign-Off Required",IF(Z43="Manual Review","Human Review Required",IF(AND(AL43="Automated",OR(AE43,AND(OR(AK43="Discovery-to-Offer Enablement",AK43="Reinforce Successful Behaviour"),OR(AC43,AB43)))),"Human Review Required",IF(AL43="Human","Ready — Human",IF(AL43="Hybrid","Ready — Hybrid","Ready — Automated"))))))</f>
        <v>Ready — Human</v>
      </c>
      <c r="AN43" s="2" t="str">
        <f aca="false">IF(AA43,"P0",IF(AND(AJ43="BROWSING_LOW_OFFERS",E43="Tail"),"P3",IF(AND(AM43="Human Review Required",INDEX('NBA Library'!$D$4:$D$21,MATCH(AJ43,'NBA Library'!$A$4:$A$21,0))="P4"),"P3",INDEX('NBA Library'!$D$4:$D$21,MATCH(AJ43,'NBA Library'!$A$4:$A$21,0)))))</f>
        <v>P1</v>
      </c>
      <c r="AO43" s="2" t="str">
        <f aca="false">E43&amp;" "&amp;C43&amp;" account ("&amp;B43&amp;"); "&amp;G43&amp;" momentum; "&amp;P43&amp;"; £"&amp;TEXT(H43,"#,##0")&amp;" 6m GMV. "&amp;INDEX('NBA Library'!$G$4:$G$21,MATCH(AJ43,'NBA Library'!$A$4:$A$21,0))&amp;IF(LEFT(D43,1)="1"," Baseline: "&amp;V43&amp;" PDP views, "&amp;W43&amp;" app days, "&amp;X43&amp;" offers, "&amp;TEXT(J43/I43,"0%")&amp;" of orders self-serve.","")&amp;IF(AA43," Execution on HOLD until the Duplicate status is resolved.","")&amp;IF(Y43," Key account: explicit AM/leadership sign-off required before any migration activity.","")&amp;IF(AE43," Implied broker % from order counts would move this account to a different segment; review before automating.","")</f>
        <v>Core AM-Owned / Self-Serving account (Account Managed); Lapsed momentum; No Meaningful History; £3,478 6m GMV. Apparent lapse rests on 1-2 orders or a single buying month. Verify cadence rather than treating as churn.</v>
      </c>
      <c r="AP43" s="2" t="str">
        <f aca="false">INDEX('NBA Library'!$E$4:$E$21,MATCH(AJ43,'NBA Library'!$A$4:$A$21,0))&amp;IF(AND(AJ43="NEW_CUSTOMER",AG43),"; introduce Make-an-Offer on items already browsed","")</f>
        <v>Confirm expected purchase cadence (one-off, seasonal, project buyer) before calling it churn</v>
      </c>
      <c r="AQ43" s="2" t="str">
        <f aca="false">INDEX('NBA Library'!$F$4:$F$21,MATCH(AJ43,'NBA Library'!$A$4:$A$21,0))</f>
        <v>Cadence recorded and account reclassified; order within the stated cadence window</v>
      </c>
      <c r="AR43" s="2" t="str">
        <f aca="false">IF(AND(F43="Low",OR(G43="Growing",G43="Stable"),P43="Recently Active",U43&lt;&gt;"Mixed",OR(AK43="Discovery-to-Offer Enablement",AK43="Reinforce Successful Behaviour"),AM43="Ready — Automated",OR(E43&lt;&gt;"Tail",S43)),"Range Expansion Test — trial "&amp;IF(U43="Bundle-only","handpick","bundles")&amp;" (experimental; not proven to lift GMV)","")</f>
        <v/>
      </c>
      <c r="AS43" s="2" t="str">
        <f aca="false">IF(AK43&lt;&gt;"Automated Nurture","",IF(AJ43="DORMANT_LOW_VALUE","Dormant",IF(AJ43="RISING_TAIL_EARLY","Rising tail – early pattern",IF(Q43="New Customer","New customer onboarding",IF(Q43="Returned Customer","Returned customer",IF(G43="Lapsed","Dormant",IF(T43="Engaged, not converting","Engaged, not converting",IF(T43="One-off low-touch buyer","One-off purchaser",IF(T43="Light-touch repeat buyer","Light-touch repeat buyer","Standard long tail")))))))))</f>
        <v/>
      </c>
      <c r="AT43" s="2" t="str">
        <f aca="false">IF(AA43,"CRITICAL_DATA_BLOCKER; ","")&amp;IF(Y43,"KEY_SIGNOFF; ","")&amp;IF(Z43="Manual Review","PHASE1_MANUAL_REVIEW; ","")&amp;IF(AND(LEFT(D43,1)="1",AZ43="Lumpy"),"LUMPY_CADENCE; ","")&amp;IF(AB43,"BORDERLINE_MOMENTUM; ","")&amp;IF(AC43,"FEB_SENSITIVE; ","")&amp;IF(AD43,"MATERIAL_BROKER_INCONSISTENCY"&amp;IF(AE43," (segment would change)","")&amp;"; ","")&amp;IF(AND(I43&gt;=3,O43&gt;0),IF(AI43&gt;=Assumptions!$B$75,"H2_SINGLE_MONTH_SPIKE; ",""),"")&amp;IF(AND(M43&gt;0,N43=0),"NO_FEB_GMV (Feb unconfirmed); ","")&amp;IF(AF43,"LOW_CONFIDENCE; ","")</f>
        <v>LOW_CONFIDENCE; </v>
      </c>
      <c r="AU43" s="2" t="str">
        <f aca="false">IF(LEFT(D43,1)="1",V43,"")</f>
        <v/>
      </c>
      <c r="AV43" s="2" t="str">
        <f aca="false">IF(LEFT(D43,1)="1",V43&gt;=Assumptions!$B$58,"")</f>
        <v/>
      </c>
      <c r="AW43" s="2" t="str">
        <f aca="false">IF(LEFT(D43,1)="1",W43,"")</f>
        <v/>
      </c>
      <c r="AX43" s="2" t="str">
        <f aca="false">IF(LEFT(D43,1)="1",X43,"")</f>
        <v/>
      </c>
      <c r="AY43" s="17" t="str">
        <f aca="false">IF(LEFT(D43,1)="1",J43/I43,"")</f>
        <v/>
      </c>
      <c r="AZ43" s="2" t="str">
        <f aca="false">IF(LEFT(D43,1)="1",IF(AND(K43&gt;=Assumptions!$B$83,I43&gt;=Assumptions!$B$84),"Regular","Lumpy"),"")</f>
        <v/>
      </c>
      <c r="BA43" s="2" t="str">
        <f aca="false">IF(LEFT(D43,1)="1",ROUND(6/K43,0),"")</f>
        <v/>
      </c>
      <c r="BB43" s="2" t="str">
        <f aca="false">IF(LEFT(D43,1)="1",IF(AZ43="Regular","Regular buyer: expected ~£"&amp;TEXT(H43/2,"#,##0")&amp;" per 90 days. At Risk if GMV to date &lt; "&amp;TEXT(Assumptions!$B$81,"0%")&amp;" of pro-rated expectation, checked from day "&amp;Assumptions!$B$82&amp;". Human-reviewed.","Irregular buyer ("&amp;I43&amp;" orders across "&amp;K43&amp;" months): no numeric GMV threshold. At Risk if no order within ~"&amp;BA43&amp;" month(s); AM reviews at day "&amp;Assumptions!$B$82&amp;" and "&amp;Assumptions!$B$85&amp;"."),"")</f>
        <v/>
      </c>
      <c r="BC43" s="2"/>
      <c r="BD43" s="2"/>
      <c r="BE43" s="2"/>
      <c r="BF43" s="2"/>
      <c r="BG43" s="2"/>
      <c r="BH43" s="2"/>
      <c r="BI43" s="2"/>
      <c r="BJ43" s="2" t="str">
        <f aca="false">IF(OR(NOT(LEFT(D43,1)="1"),BC43=""),"",IF(AZ43="Regular",AND(BC43&gt;=Assumptions!$B$82,N(BI43)&lt;Assumptions!$B$81*H43/180*BC43),AND(BC43&gt;=BA43*30,N(BG43)=0)))</f>
        <v/>
      </c>
      <c r="BK43" s="2" t="str">
        <f aca="false">IF(NOT(LEFT(D43,1)="1"),"N/A",IF(BC43="","Baseline",IF(BJ43,"At Risk",IF(AND(N(BD43)&gt;=Assumptions!$B$78,N(BE43)&gt;=Assumptions!$B$79,N(BH43)&gt;=1,N(BH43)/MAX(N(BG43),1)&gt;AY43),"Self-Serve Capability Demonstrated",IF(OR(N(BD43)&gt;=Assumptions!$B$76,N(BE43)&gt;=Assumptions!$B$77),"Progressing",IF(BC43&gt;=Assumptions!$B$85,"At Risk","Baseline"))))))</f>
        <v>N/A</v>
      </c>
      <c r="BL43" s="2" t="n">
        <f aca="false">(AND(C43="Broker-Reliant",OR(AK43="Discovery-to-Offer Enablement",AK43="Reinforce Successful Behaviour")))*1+(AND(G43="Declining",E43&lt;&gt;"Tail",AL43="Automated"))*1+(AND(Y43,AM43&lt;&gt;"Human Sign-Off Required"))*1+(AND(AA43,AM43&lt;&gt;"HOLD — Critical Data Issue"))*1+(AND(P43="Recent Inactivity",OR(AK43="Discovery-to-Offer Enablement",AK43="Reinforce Successful Behaviour")))*1+(AND(OR(LEFT(D43,1)="2",LEFT(D43,1)="3",LEFT(D43,1)="8"),AL43="Automated"))*1+((LEFT(D43,1)="1")&lt;&gt;(AK43="Guided Self-Serve Migration"))*1+(AND(AR43&lt;&gt;"",OR(F43&lt;&gt;"Low",U43="Mixed",AND(G43&lt;&gt;"Growing",G43&lt;&gt;"Stable"))))*1+ISNUMBER(SEARCH("chat",AP43))*1+ISNUMBER(SEARCH("video",AP43))*1+(AND(AA43,AL43="Automated",AM43&lt;&gt;"HOLD — Critical Data Issue"))*1</f>
        <v>0</v>
      </c>
    </row>
    <row r="44" customFormat="false" ht="15" hidden="false" customHeight="false" outlineLevel="0" collapsed="false">
      <c r="A44" s="2" t="s">
        <v>263</v>
      </c>
      <c r="B44" s="2" t="str">
        <f aca="false">INDEX(Segmentation!$B$2:$B$301,MATCH($A44,Segmentation!$A$2:$A$301,0))</f>
        <v>Account Managed</v>
      </c>
      <c r="C44" s="2" t="str">
        <f aca="false">INDEX(Segmentation!$H$2:$H$301,MATCH($A44,Segmentation!$A$2:$A$301,0))</f>
        <v>Broker-Reliant</v>
      </c>
      <c r="D44" s="2" t="str">
        <f aca="false">INDEX(Segmentation!$T$2:$T$301,MATCH($A44,Segmentation!$A$2:$A$301,0))</f>
        <v>2. Protect / Retain First</v>
      </c>
      <c r="E44" s="2" t="str">
        <f aca="false">INDEX(Segmentation!$J$2:$J$301,MATCH($A44,Segmentation!$A$2:$A$301,0))</f>
        <v>Core</v>
      </c>
      <c r="F44" s="2" t="str">
        <f aca="false">INDEX(Segmentation!$G$2:$G$301,MATCH($A44,Segmentation!$A$2:$A$301,0))</f>
        <v>High</v>
      </c>
      <c r="G44" s="2" t="str">
        <f aca="false">INDEX(Segmentation!$N$2:$N$301,MATCH($A44,Segmentation!$A$2:$A$301,0))</f>
        <v>Declining</v>
      </c>
      <c r="H44" s="9" t="n">
        <f aca="false">INDEX(Segmentation!$I$2:$I$301,MATCH($A44,Segmentation!$A$2:$A$301,0))</f>
        <v>3434</v>
      </c>
      <c r="I44" s="2" t="n">
        <f aca="false">INDEX(Segmentation!$O$2:$O$301,MATCH($A44,Segmentation!$A$2:$A$301,0))</f>
        <v>5</v>
      </c>
      <c r="J44" s="2" t="n">
        <f aca="false">INDEX(Segmentation!$Q$2:$Q$301,MATCH($A44,Segmentation!$A$2:$A$301,0))</f>
        <v>2</v>
      </c>
      <c r="K44" s="2" t="n">
        <f aca="false">INDEX(Segmentation!$W$2:$W$301,MATCH($A44,Segmentation!$A$2:$A$301,0))</f>
        <v>3</v>
      </c>
      <c r="L44" s="9" t="n">
        <f aca="false">INDEX('Commercial View'!$L$2:$L$301,MATCH($A44,'Commercial View'!$A$2:$A$301,0))</f>
        <v>0</v>
      </c>
      <c r="M44" s="9" t="n">
        <f aca="false">INDEX('Commercial View'!$M$2:$M$301,MATCH($A44,'Commercial View'!$A$2:$A$301,0))</f>
        <v>980</v>
      </c>
      <c r="N44" s="9" t="n">
        <f aca="false">INDEX('Commercial View'!$N$2:$N$301,MATCH($A44,'Commercial View'!$A$2:$A$301,0))</f>
        <v>0</v>
      </c>
      <c r="O44" s="9" t="n">
        <f aca="false">INDEX(Segmentation!$L$2:$L$301,MATCH($A44,Segmentation!$A$2:$A$301,0))</f>
        <v>980</v>
      </c>
      <c r="P44" s="2" t="str">
        <f aca="false">IF(OR(M44&gt;0,N44&gt;0),"Recently Active",IF(OR(I44&lt;=Assumptions!$B$48,K44&lt;=Assumptions!$B$49),"No Meaningful History","Recent Inactivity"))</f>
        <v>Recently Active</v>
      </c>
      <c r="Q44" s="2" t="str">
        <f aca="false">INDEX(Segmentation!$AF$2:$AF$301,MATCH($A44,Segmentation!$A$2:$A$301,0))</f>
        <v>Existing Customer</v>
      </c>
      <c r="R44" s="2" t="str">
        <f aca="false">INDEX(Segmentation!$AL$2:$AL$301,MATCH($A44,Segmentation!$A$2:$A$301,0))</f>
        <v>N/A</v>
      </c>
      <c r="S44" s="10" t="b">
        <f aca="false">INDEX(Segmentation!$AW$2:$AW$301,MATCH($A44,Segmentation!$A$2:$A$301,0))</f>
        <v>0</v>
      </c>
      <c r="T44" s="2" t="str">
        <f aca="false">INDEX('Feature Data'!$AD$2:$AD$301,MATCH($A44,'Feature Data'!$A$2:$A$301,0))</f>
        <v>Broker-led, product-blind</v>
      </c>
      <c r="U44" s="2" t="str">
        <f aca="false">INDEX('Feature Data'!$W$2:$W$301,MATCH($A44,'Feature Data'!$A$2:$A$301,0))</f>
        <v>Mixed</v>
      </c>
      <c r="V44" s="2" t="n">
        <f aca="false">INDEX('Feature Data'!$P$2:$P$301,MATCH($A44,'Feature Data'!$A$2:$A$301,0))</f>
        <v>3</v>
      </c>
      <c r="W44" s="2" t="n">
        <f aca="false">INDEX(Segmentation!$R$2:$R$301,MATCH($A44,Segmentation!$A$2:$A$301,0))</f>
        <v>5</v>
      </c>
      <c r="X44" s="2" t="n">
        <f aca="false">INDEX(Segmentation!$S$2:$S$301,MATCH($A44,Segmentation!$A$2:$A$301,0))</f>
        <v>1</v>
      </c>
      <c r="Y44" s="10" t="b">
        <f aca="false">INDEX(Segmentation!$AG$2:$AG$301,MATCH($A44,Segmentation!$A$2:$A$301,0))</f>
        <v>0</v>
      </c>
      <c r="Z44" s="2" t="str">
        <f aca="false">INDEX(Segmentation!$AU$2:$AU$301,MATCH($A44,Segmentation!$A$2:$A$301,0))</f>
        <v>Not Eligible</v>
      </c>
      <c r="AA44" s="10" t="b">
        <f aca="false">INDEX(Segmentation!$Z$2:$Z$301,MATCH($A44,Segmentation!$A$2:$A$301,0))</f>
        <v>0</v>
      </c>
      <c r="AB44" s="10" t="b">
        <f aca="false">INDEX(Segmentation!$AH$2:$AH$301,MATCH($A44,Segmentation!$A$2:$A$301,0))</f>
        <v>0</v>
      </c>
      <c r="AC44" s="10" t="b">
        <f aca="false">INDEX(Segmentation!$AK$2:$AK$301,MATCH($A44,Segmentation!$A$2:$A$301,0))</f>
        <v>0</v>
      </c>
      <c r="AD44" s="10" t="b">
        <f aca="false">INDEX(Segmentation!$AQ$2:$AQ$301,MATCH($A44,Segmentation!$A$2:$A$301,0))</f>
        <v>0</v>
      </c>
      <c r="AE44" s="10" t="b">
        <f aca="false">INDEX(Segmentation!$AT$2:$AT$301,MATCH($A44,Segmentation!$A$2:$A$301,0))</f>
        <v>0</v>
      </c>
      <c r="AF44" s="10" t="b">
        <f aca="false">INDEX(Segmentation!$X$2:$X$301,MATCH($A44,Segmentation!$A$2:$A$301,0))</f>
        <v>0</v>
      </c>
      <c r="AG44" s="10" t="b">
        <f aca="false">AND(F44="Low",V44&gt;=Assumptions!$B$71,X44&lt;Assumptions!$B$72)</f>
        <v>0</v>
      </c>
      <c r="AH44" s="10" t="b">
        <f aca="false">AND(F44="Low",OR(G44="Growing",G44="Stable"),P44="Recently Active",V44&gt;=Assumptions!$B$58,K44&gt;=Assumptions!$B$73)</f>
        <v>0</v>
      </c>
      <c r="AI44" s="17" t="n">
        <f aca="false">IF(O44&gt;0,MAX(L44:N44)/O44,"")</f>
        <v>1</v>
      </c>
      <c r="AJ44" s="2" t="str">
        <f aca="false">IF(LEFT(D44,1)="1",IF(E44="Key","MIGRATION_KEY_SIGNOFF",IF(Z44="Ready","MIGRATION_PHASE1_READY",IF(Z44="Manual Review","MIGRATION_PHASE1_REVIEW","MIGRATION_PRE_ENTRY"))),IF(LEFT(D44,1)="2","DECLINING_KEY_CORE",IF(LEFT(D44,1)="3",IF(R44="Established Buyer Lapsed","LAPSED_ESTABLISHED","LAPSED_THIN_HISTORY"),IF(LEFT(D44,1)="4",IF(Q44="New Customer","NEW_CUSTOMER","RETURNED_CUSTOMER"),IF(LEFT(D44,1)="5",IF(P44="Recently Active","COST_TO_SERVE_ACTIVE","DORMANT_LOW_VALUE"),IF(LEFT(D44,1)="6",IF(P44="Recent Inactivity","RECENT_INACTIVITY",IF(AG44,"BROWSING_LOW_OFFERS","HEALTHY_STRONG_SELF_SERVE")),IF(LEFT(D44,1)="7",IF(P44="Recent Inactivity","RECENT_INACTIVITY",IF(Q44="New Customer","NEW_CUSTOMER","RETURNED_CUSTOMER")),IF(LEFT(D44,1)="8",IF(G44="Declining",IF(T44="Engaged but shrinking (Key/Core)","ENGAGED_BUT_SHRINKING","DECLINING_KEY_CORE"),IF(R44="Established Buyer Lapsed","LAPSED_ESTABLISHED","LAPSED_THIN_HISTORY")),IF(S44,IF(P44&lt;&gt;"Recently Active","DORMANT_LOW_VALUE",IF(AG44,"BROWSING_LOW_OFFERS",IF(AH44,"RISING_TAIL","RISING_TAIL_EARLY"))),IF(AND(AG44,P44="Recently Active",OR(G44="Growing",G44="Stable",G44="H2 Active / No H1 GMV"),I44&gt;=Assumptions!$B$74),"BROWSING_LOW_OFFERS","LONG_TAIL_STANDARD"))))))))))</f>
        <v>DECLINING_KEY_CORE</v>
      </c>
      <c r="AK44" s="2" t="str">
        <f aca="false">INDEX('NBA Library'!$B$4:$B$21,MATCH(AJ44,'NBA Library'!$A$4:$A$21,0))</f>
        <v>Retention Conversation</v>
      </c>
      <c r="AL44" s="2" t="str">
        <f aca="false">INDEX('NBA Library'!$C$4:$C$21,MATCH(AJ44,'NBA Library'!$A$4:$A$21,0))</f>
        <v>Human</v>
      </c>
      <c r="AM44" s="2" t="str">
        <f aca="false">IF(AA44,"HOLD — Critical Data Issue",IF(Y44,"Human Sign-Off Required",IF(Z44="Manual Review","Human Review Required",IF(AND(AL44="Automated",OR(AE44,AND(OR(AK44="Discovery-to-Offer Enablement",AK44="Reinforce Successful Behaviour"),OR(AC44,AB44)))),"Human Review Required",IF(AL44="Human","Ready — Human",IF(AL44="Hybrid","Ready — Hybrid","Ready — Automated"))))))</f>
        <v>Ready — Human</v>
      </c>
      <c r="AN44" s="2" t="str">
        <f aca="false">IF(AA44,"P0",IF(AND(AJ44="BROWSING_LOW_OFFERS",E44="Tail"),"P3",IF(AND(AM44="Human Review Required",INDEX('NBA Library'!$D$4:$D$21,MATCH(AJ44,'NBA Library'!$A$4:$A$21,0))="P4"),"P3",INDEX('NBA Library'!$D$4:$D$21,MATCH(AJ44,'NBA Library'!$A$4:$A$21,0)))))</f>
        <v>P1</v>
      </c>
      <c r="AO44" s="2" t="str">
        <f aca="false">E44&amp;" "&amp;C44&amp;" account ("&amp;B44&amp;"); "&amp;G44&amp;" momentum; "&amp;P44&amp;"; £"&amp;TEXT(H44,"#,##0")&amp;" 6m GMV. "&amp;INDEX('NBA Library'!$G$4:$G$21,MATCH(AJ44,'NBA Library'!$A$4:$A$21,0))&amp;IF(LEFT(D44,1)="1"," Baseline: "&amp;V44&amp;" PDP views, "&amp;W44&amp;" app days, "&amp;X44&amp;" offers, "&amp;TEXT(J44/I44,"0%")&amp;" of orders self-serve.","")&amp;IF(AA44," Execution on HOLD until the Duplicate status is resolved.","")&amp;IF(Y44," Key account: explicit AM/leadership sign-off required before any migration activity.","")&amp;IF(AE44," Implied broker % from order counts would move this account to a different segment; review before automating.","")</f>
        <v>Core Broker-Reliant account (Account Managed); Declining momentum; Recently Active; £3,434 6m GMV. Broker-led spend is falling. Keep human support in place; AM to diagnose the cause before any migration or product nudge.</v>
      </c>
      <c r="AP44" s="2" t="str">
        <f aca="false">INDEX('NBA Library'!$E$4:$E$21,MATCH(AJ44,'NBA Library'!$A$4:$A$21,0))&amp;IF(AND(AJ44="NEW_CUSTOMER",AG44),"; introduce Make-an-Offer on items already browsed","")</f>
        <v>AM diagnoses the cause of falling spend (supply, price, service, competitor) and agrees a recovery plan; keep human support in place</v>
      </c>
      <c r="AQ44" s="2" t="str">
        <f aca="false">INDEX('NBA Library'!$F$4:$F$21,MATCH(AJ44,'NBA Library'!$A$4:$A$21,0))</f>
        <v>Next 90-day GMV back to at least the Sep-Nov (H1) level, or decline arrested; root cause logged</v>
      </c>
      <c r="AR44" s="2" t="str">
        <f aca="false">IF(AND(F44="Low",OR(G44="Growing",G44="Stable"),P44="Recently Active",U44&lt;&gt;"Mixed",OR(AK44="Discovery-to-Offer Enablement",AK44="Reinforce Successful Behaviour"),AM44="Ready — Automated",OR(E44&lt;&gt;"Tail",S44)),"Range Expansion Test — trial "&amp;IF(U44="Bundle-only","handpick","bundles")&amp;" (experimental; not proven to lift GMV)","")</f>
        <v/>
      </c>
      <c r="AS44" s="2" t="str">
        <f aca="false">IF(AK44&lt;&gt;"Automated Nurture","",IF(AJ44="DORMANT_LOW_VALUE","Dormant",IF(AJ44="RISING_TAIL_EARLY","Rising tail – early pattern",IF(Q44="New Customer","New customer onboarding",IF(Q44="Returned Customer","Returned customer",IF(G44="Lapsed","Dormant",IF(T44="Engaged, not converting","Engaged, not converting",IF(T44="One-off low-touch buyer","One-off purchaser",IF(T44="Light-touch repeat buyer","Light-touch repeat buyer","Standard long tail")))))))))</f>
        <v/>
      </c>
      <c r="AT44" s="2" t="str">
        <f aca="false">IF(AA44,"CRITICAL_DATA_BLOCKER; ","")&amp;IF(Y44,"KEY_SIGNOFF; ","")&amp;IF(Z44="Manual Review","PHASE1_MANUAL_REVIEW; ","")&amp;IF(AND(LEFT(D44,1)="1",AZ44="Lumpy"),"LUMPY_CADENCE; ","")&amp;IF(AB44,"BORDERLINE_MOMENTUM; ","")&amp;IF(AC44,"FEB_SENSITIVE; ","")&amp;IF(AD44,"MATERIAL_BROKER_INCONSISTENCY"&amp;IF(AE44," (segment would change)","")&amp;"; ","")&amp;IF(AND(I44&gt;=3,O44&gt;0),IF(AI44&gt;=Assumptions!$B$75,"H2_SINGLE_MONTH_SPIKE; ",""),"")&amp;IF(AND(M44&gt;0,N44=0),"NO_FEB_GMV (Feb unconfirmed); ","")&amp;IF(AF44,"LOW_CONFIDENCE; ","")</f>
        <v>H2_SINGLE_MONTH_SPIKE; NO_FEB_GMV (Feb unconfirmed); </v>
      </c>
      <c r="AU44" s="2" t="str">
        <f aca="false">IF(LEFT(D44,1)="1",V44,"")</f>
        <v/>
      </c>
      <c r="AV44" s="2" t="str">
        <f aca="false">IF(LEFT(D44,1)="1",V44&gt;=Assumptions!$B$58,"")</f>
        <v/>
      </c>
      <c r="AW44" s="2" t="str">
        <f aca="false">IF(LEFT(D44,1)="1",W44,"")</f>
        <v/>
      </c>
      <c r="AX44" s="2" t="str">
        <f aca="false">IF(LEFT(D44,1)="1",X44,"")</f>
        <v/>
      </c>
      <c r="AY44" s="17" t="str">
        <f aca="false">IF(LEFT(D44,1)="1",J44/I44,"")</f>
        <v/>
      </c>
      <c r="AZ44" s="2" t="str">
        <f aca="false">IF(LEFT(D44,1)="1",IF(AND(K44&gt;=Assumptions!$B$83,I44&gt;=Assumptions!$B$84),"Regular","Lumpy"),"")</f>
        <v/>
      </c>
      <c r="BA44" s="2" t="str">
        <f aca="false">IF(LEFT(D44,1)="1",ROUND(6/K44,0),"")</f>
        <v/>
      </c>
      <c r="BB44" s="2" t="str">
        <f aca="false">IF(LEFT(D44,1)="1",IF(AZ44="Regular","Regular buyer: expected ~£"&amp;TEXT(H44/2,"#,##0")&amp;" per 90 days. At Risk if GMV to date &lt; "&amp;TEXT(Assumptions!$B$81,"0%")&amp;" of pro-rated expectation, checked from day "&amp;Assumptions!$B$82&amp;". Human-reviewed.","Irregular buyer ("&amp;I44&amp;" orders across "&amp;K44&amp;" months): no numeric GMV threshold. At Risk if no order within ~"&amp;BA44&amp;" month(s); AM reviews at day "&amp;Assumptions!$B$82&amp;" and "&amp;Assumptions!$B$85&amp;"."),"")</f>
        <v/>
      </c>
      <c r="BC44" s="2"/>
      <c r="BD44" s="2"/>
      <c r="BE44" s="2"/>
      <c r="BF44" s="2"/>
      <c r="BG44" s="2"/>
      <c r="BH44" s="2"/>
      <c r="BI44" s="2"/>
      <c r="BJ44" s="2" t="str">
        <f aca="false">IF(OR(NOT(LEFT(D44,1)="1"),BC44=""),"",IF(AZ44="Regular",AND(BC44&gt;=Assumptions!$B$82,N(BI44)&lt;Assumptions!$B$81*H44/180*BC44),AND(BC44&gt;=BA44*30,N(BG44)=0)))</f>
        <v/>
      </c>
      <c r="BK44" s="2" t="str">
        <f aca="false">IF(NOT(LEFT(D44,1)="1"),"N/A",IF(BC44="","Baseline",IF(BJ44,"At Risk",IF(AND(N(BD44)&gt;=Assumptions!$B$78,N(BE44)&gt;=Assumptions!$B$79,N(BH44)&gt;=1,N(BH44)/MAX(N(BG44),1)&gt;AY44),"Self-Serve Capability Demonstrated",IF(OR(N(BD44)&gt;=Assumptions!$B$76,N(BE44)&gt;=Assumptions!$B$77),"Progressing",IF(BC44&gt;=Assumptions!$B$85,"At Risk","Baseline"))))))</f>
        <v>N/A</v>
      </c>
      <c r="BL44" s="2" t="n">
        <f aca="false">(AND(C44="Broker-Reliant",OR(AK44="Discovery-to-Offer Enablement",AK44="Reinforce Successful Behaviour")))*1+(AND(G44="Declining",E44&lt;&gt;"Tail",AL44="Automated"))*1+(AND(Y44,AM44&lt;&gt;"Human Sign-Off Required"))*1+(AND(AA44,AM44&lt;&gt;"HOLD — Critical Data Issue"))*1+(AND(P44="Recent Inactivity",OR(AK44="Discovery-to-Offer Enablement",AK44="Reinforce Successful Behaviour")))*1+(AND(OR(LEFT(D44,1)="2",LEFT(D44,1)="3",LEFT(D44,1)="8"),AL44="Automated"))*1+((LEFT(D44,1)="1")&lt;&gt;(AK44="Guided Self-Serve Migration"))*1+(AND(AR44&lt;&gt;"",OR(F44&lt;&gt;"Low",U44="Mixed",AND(G44&lt;&gt;"Growing",G44&lt;&gt;"Stable"))))*1+ISNUMBER(SEARCH("chat",AP44))*1+ISNUMBER(SEARCH("video",AP44))*1+(AND(AA44,AL44="Automated",AM44&lt;&gt;"HOLD — Critical Data Issue"))*1</f>
        <v>0</v>
      </c>
    </row>
    <row r="45" customFormat="false" ht="15" hidden="false" customHeight="false" outlineLevel="0" collapsed="false">
      <c r="A45" s="2" t="s">
        <v>266</v>
      </c>
      <c r="B45" s="2" t="str">
        <f aca="false">INDEX(Segmentation!$B$2:$B$301,MATCH($A45,Segmentation!$A$2:$A$301,0))</f>
        <v>Account Managed</v>
      </c>
      <c r="C45" s="2" t="str">
        <f aca="false">INDEX(Segmentation!$H$2:$H$301,MATCH($A45,Segmentation!$A$2:$A$301,0))</f>
        <v>Broker-Reliant</v>
      </c>
      <c r="D45" s="2" t="str">
        <f aca="false">INDEX(Segmentation!$T$2:$T$301,MATCH($A45,Segmentation!$A$2:$A$301,0))</f>
        <v>3. Win-Back / Verify</v>
      </c>
      <c r="E45" s="2" t="str">
        <f aca="false">INDEX(Segmentation!$J$2:$J$301,MATCH($A45,Segmentation!$A$2:$A$301,0))</f>
        <v>Core</v>
      </c>
      <c r="F45" s="2" t="str">
        <f aca="false">INDEX(Segmentation!$G$2:$G$301,MATCH($A45,Segmentation!$A$2:$A$301,0))</f>
        <v>High</v>
      </c>
      <c r="G45" s="2" t="str">
        <f aca="false">INDEX(Segmentation!$N$2:$N$301,MATCH($A45,Segmentation!$A$2:$A$301,0))</f>
        <v>Lapsed</v>
      </c>
      <c r="H45" s="9" t="n">
        <f aca="false">INDEX(Segmentation!$I$2:$I$301,MATCH($A45,Segmentation!$A$2:$A$301,0))</f>
        <v>3383</v>
      </c>
      <c r="I45" s="2" t="n">
        <f aca="false">INDEX(Segmentation!$O$2:$O$301,MATCH($A45,Segmentation!$A$2:$A$301,0))</f>
        <v>3</v>
      </c>
      <c r="J45" s="2" t="n">
        <f aca="false">INDEX(Segmentation!$Q$2:$Q$301,MATCH($A45,Segmentation!$A$2:$A$301,0))</f>
        <v>1</v>
      </c>
      <c r="K45" s="2" t="n">
        <f aca="false">INDEX(Segmentation!$W$2:$W$301,MATCH($A45,Segmentation!$A$2:$A$301,0))</f>
        <v>1</v>
      </c>
      <c r="L45" s="9" t="n">
        <f aca="false">INDEX('Commercial View'!$L$2:$L$301,MATCH($A45,'Commercial View'!$A$2:$A$301,0))</f>
        <v>0</v>
      </c>
      <c r="M45" s="9" t="n">
        <f aca="false">INDEX('Commercial View'!$M$2:$M$301,MATCH($A45,'Commercial View'!$A$2:$A$301,0))</f>
        <v>0</v>
      </c>
      <c r="N45" s="9" t="n">
        <f aca="false">INDEX('Commercial View'!$N$2:$N$301,MATCH($A45,'Commercial View'!$A$2:$A$301,0))</f>
        <v>0</v>
      </c>
      <c r="O45" s="9" t="n">
        <f aca="false">INDEX(Segmentation!$L$2:$L$301,MATCH($A45,Segmentation!$A$2:$A$301,0))</f>
        <v>0</v>
      </c>
      <c r="P45" s="2" t="str">
        <f aca="false">IF(OR(M45&gt;0,N45&gt;0),"Recently Active",IF(OR(I45&lt;=Assumptions!$B$48,K45&lt;=Assumptions!$B$49),"No Meaningful History","Recent Inactivity"))</f>
        <v>No Meaningful History</v>
      </c>
      <c r="Q45" s="2" t="str">
        <f aca="false">INDEX(Segmentation!$AF$2:$AF$301,MATCH($A45,Segmentation!$A$2:$A$301,0))</f>
        <v>Existing Customer</v>
      </c>
      <c r="R45" s="2" t="str">
        <f aca="false">INDEX(Segmentation!$AL$2:$AL$301,MATCH($A45,Segmentation!$A$2:$A$301,0))</f>
        <v>One-Off / Insufficient History — Verify</v>
      </c>
      <c r="S45" s="10" t="b">
        <f aca="false">INDEX(Segmentation!$AW$2:$AW$301,MATCH($A45,Segmentation!$A$2:$A$301,0))</f>
        <v>0</v>
      </c>
      <c r="T45" s="2" t="str">
        <f aca="false">INDEX('Feature Data'!$AD$2:$AD$301,MATCH($A45,'Feature Data'!$A$2:$A$301,0))</f>
        <v>Broker-led, product-blind</v>
      </c>
      <c r="U45" s="2" t="str">
        <f aca="false">INDEX('Feature Data'!$W$2:$W$301,MATCH($A45,'Feature Data'!$A$2:$A$301,0))</f>
        <v>Bundle-only</v>
      </c>
      <c r="V45" s="2" t="n">
        <f aca="false">INDEX('Feature Data'!$P$2:$P$301,MATCH($A45,'Feature Data'!$A$2:$A$301,0))</f>
        <v>3</v>
      </c>
      <c r="W45" s="2" t="n">
        <f aca="false">INDEX(Segmentation!$R$2:$R$301,MATCH($A45,Segmentation!$A$2:$A$301,0))</f>
        <v>0</v>
      </c>
      <c r="X45" s="2" t="n">
        <f aca="false">INDEX(Segmentation!$S$2:$S$301,MATCH($A45,Segmentation!$A$2:$A$301,0))</f>
        <v>1</v>
      </c>
      <c r="Y45" s="10" t="b">
        <f aca="false">INDEX(Segmentation!$AG$2:$AG$301,MATCH($A45,Segmentation!$A$2:$A$301,0))</f>
        <v>0</v>
      </c>
      <c r="Z45" s="2" t="str">
        <f aca="false">INDEX(Segmentation!$AU$2:$AU$301,MATCH($A45,Segmentation!$A$2:$A$301,0))</f>
        <v>Not Eligible</v>
      </c>
      <c r="AA45" s="10" t="b">
        <f aca="false">INDEX(Segmentation!$Z$2:$Z$301,MATCH($A45,Segmentation!$A$2:$A$301,0))</f>
        <v>0</v>
      </c>
      <c r="AB45" s="10" t="b">
        <f aca="false">INDEX(Segmentation!$AH$2:$AH$301,MATCH($A45,Segmentation!$A$2:$A$301,0))</f>
        <v>0</v>
      </c>
      <c r="AC45" s="10" t="b">
        <f aca="false">INDEX(Segmentation!$AK$2:$AK$301,MATCH($A45,Segmentation!$A$2:$A$301,0))</f>
        <v>0</v>
      </c>
      <c r="AD45" s="10" t="b">
        <f aca="false">INDEX(Segmentation!$AQ$2:$AQ$301,MATCH($A45,Segmentation!$A$2:$A$301,0))</f>
        <v>0</v>
      </c>
      <c r="AE45" s="10" t="b">
        <f aca="false">INDEX(Segmentation!$AT$2:$AT$301,MATCH($A45,Segmentation!$A$2:$A$301,0))</f>
        <v>0</v>
      </c>
      <c r="AF45" s="10" t="b">
        <f aca="false">INDEX(Segmentation!$X$2:$X$301,MATCH($A45,Segmentation!$A$2:$A$301,0))</f>
        <v>0</v>
      </c>
      <c r="AG45" s="10" t="b">
        <f aca="false">AND(F45="Low",V45&gt;=Assumptions!$B$71,X45&lt;Assumptions!$B$72)</f>
        <v>0</v>
      </c>
      <c r="AH45" s="10" t="b">
        <f aca="false">AND(F45="Low",OR(G45="Growing",G45="Stable"),P45="Recently Active",V45&gt;=Assumptions!$B$58,K45&gt;=Assumptions!$B$73)</f>
        <v>0</v>
      </c>
      <c r="AI45" s="17" t="str">
        <f aca="false">IF(O45&gt;0,MAX(L45:N45)/O45,"")</f>
        <v/>
      </c>
      <c r="AJ45" s="2" t="str">
        <f aca="false">IF(LEFT(D45,1)="1",IF(E45="Key","MIGRATION_KEY_SIGNOFF",IF(Z45="Ready","MIGRATION_PHASE1_READY",IF(Z45="Manual Review","MIGRATION_PHASE1_REVIEW","MIGRATION_PRE_ENTRY"))),IF(LEFT(D45,1)="2","DECLINING_KEY_CORE",IF(LEFT(D45,1)="3",IF(R45="Established Buyer Lapsed","LAPSED_ESTABLISHED","LAPSED_THIN_HISTORY"),IF(LEFT(D45,1)="4",IF(Q45="New Customer","NEW_CUSTOMER","RETURNED_CUSTOMER"),IF(LEFT(D45,1)="5",IF(P45="Recently Active","COST_TO_SERVE_ACTIVE","DORMANT_LOW_VALUE"),IF(LEFT(D45,1)="6",IF(P45="Recent Inactivity","RECENT_INACTIVITY",IF(AG45,"BROWSING_LOW_OFFERS","HEALTHY_STRONG_SELF_SERVE")),IF(LEFT(D45,1)="7",IF(P45="Recent Inactivity","RECENT_INACTIVITY",IF(Q45="New Customer","NEW_CUSTOMER","RETURNED_CUSTOMER")),IF(LEFT(D45,1)="8",IF(G45="Declining",IF(T45="Engaged but shrinking (Key/Core)","ENGAGED_BUT_SHRINKING","DECLINING_KEY_CORE"),IF(R45="Established Buyer Lapsed","LAPSED_ESTABLISHED","LAPSED_THIN_HISTORY")),IF(S45,IF(P45&lt;&gt;"Recently Active","DORMANT_LOW_VALUE",IF(AG45,"BROWSING_LOW_OFFERS",IF(AH45,"RISING_TAIL","RISING_TAIL_EARLY"))),IF(AND(AG45,P45="Recently Active",OR(G45="Growing",G45="Stable",G45="H2 Active / No H1 GMV"),I45&gt;=Assumptions!$B$74),"BROWSING_LOW_OFFERS","LONG_TAIL_STANDARD"))))))))))</f>
        <v>LAPSED_THIN_HISTORY</v>
      </c>
      <c r="AK45" s="2" t="str">
        <f aca="false">INDEX('NBA Library'!$B$4:$B$21,MATCH(AJ45,'NBA Library'!$A$4:$A$21,0))</f>
        <v>Verify Demand / Win-Back</v>
      </c>
      <c r="AL45" s="2" t="str">
        <f aca="false">INDEX('NBA Library'!$C$4:$C$21,MATCH(AJ45,'NBA Library'!$A$4:$A$21,0))</f>
        <v>Human</v>
      </c>
      <c r="AM45" s="2" t="str">
        <f aca="false">IF(AA45,"HOLD — Critical Data Issue",IF(Y45,"Human Sign-Off Required",IF(Z45="Manual Review","Human Review Required",IF(AND(AL45="Automated",OR(AE45,AND(OR(AK45="Discovery-to-Offer Enablement",AK45="Reinforce Successful Behaviour"),OR(AC45,AB45)))),"Human Review Required",IF(AL45="Human","Ready — Human",IF(AL45="Hybrid","Ready — Hybrid","Ready — Automated"))))))</f>
        <v>Ready — Human</v>
      </c>
      <c r="AN45" s="2" t="str">
        <f aca="false">IF(AA45,"P0",IF(AND(AJ45="BROWSING_LOW_OFFERS",E45="Tail"),"P3",IF(AND(AM45="Human Review Required",INDEX('NBA Library'!$D$4:$D$21,MATCH(AJ45,'NBA Library'!$A$4:$A$21,0))="P4"),"P3",INDEX('NBA Library'!$D$4:$D$21,MATCH(AJ45,'NBA Library'!$A$4:$A$21,0)))))</f>
        <v>P1</v>
      </c>
      <c r="AO45" s="2" t="str">
        <f aca="false">E45&amp;" "&amp;C45&amp;" account ("&amp;B45&amp;"); "&amp;G45&amp;" momentum; "&amp;P45&amp;"; £"&amp;TEXT(H45,"#,##0")&amp;" 6m GMV. "&amp;INDEX('NBA Library'!$G$4:$G$21,MATCH(AJ45,'NBA Library'!$A$4:$A$21,0))&amp;IF(LEFT(D45,1)="1"," Baseline: "&amp;V45&amp;" PDP views, "&amp;W45&amp;" app days, "&amp;X45&amp;" offers, "&amp;TEXT(J45/I45,"0%")&amp;" of orders self-serve.","")&amp;IF(AA45," Execution on HOLD until the Duplicate status is resolved.","")&amp;IF(Y45," Key account: explicit AM/leadership sign-off required before any migration activity.","")&amp;IF(AE45," Implied broker % from order counts would move this account to a different segment; review before automating.","")</f>
        <v>Core Broker-Reliant account (Account Managed); Lapsed momentum; No Meaningful History; £3,383 6m GMV. Apparent lapse rests on 1-2 orders or a single buying month. Verify cadence rather than treating as churn.</v>
      </c>
      <c r="AP45" s="2" t="str">
        <f aca="false">INDEX('NBA Library'!$E$4:$E$21,MATCH(AJ45,'NBA Library'!$A$4:$A$21,0))&amp;IF(AND(AJ45="NEW_CUSTOMER",AG45),"; introduce Make-an-Offer on items already browsed","")</f>
        <v>Confirm expected purchase cadence (one-off, seasonal, project buyer) before calling it churn</v>
      </c>
      <c r="AQ45" s="2" t="str">
        <f aca="false">INDEX('NBA Library'!$F$4:$F$21,MATCH(AJ45,'NBA Library'!$A$4:$A$21,0))</f>
        <v>Cadence recorded and account reclassified; order within the stated cadence window</v>
      </c>
      <c r="AR45" s="2" t="str">
        <f aca="false">IF(AND(F45="Low",OR(G45="Growing",G45="Stable"),P45="Recently Active",U45&lt;&gt;"Mixed",OR(AK45="Discovery-to-Offer Enablement",AK45="Reinforce Successful Behaviour"),AM45="Ready — Automated",OR(E45&lt;&gt;"Tail",S45)),"Range Expansion Test — trial "&amp;IF(U45="Bundle-only","handpick","bundles")&amp;" (experimental; not proven to lift GMV)","")</f>
        <v/>
      </c>
      <c r="AS45" s="2" t="str">
        <f aca="false">IF(AK45&lt;&gt;"Automated Nurture","",IF(AJ45="DORMANT_LOW_VALUE","Dormant",IF(AJ45="RISING_TAIL_EARLY","Rising tail – early pattern",IF(Q45="New Customer","New customer onboarding",IF(Q45="Returned Customer","Returned customer",IF(G45="Lapsed","Dormant",IF(T45="Engaged, not converting","Engaged, not converting",IF(T45="One-off low-touch buyer","One-off purchaser",IF(T45="Light-touch repeat buyer","Light-touch repeat buyer","Standard long tail")))))))))</f>
        <v/>
      </c>
      <c r="AT45" s="2" t="str">
        <f aca="false">IF(AA45,"CRITICAL_DATA_BLOCKER; ","")&amp;IF(Y45,"KEY_SIGNOFF; ","")&amp;IF(Z45="Manual Review","PHASE1_MANUAL_REVIEW; ","")&amp;IF(AND(LEFT(D45,1)="1",AZ45="Lumpy"),"LUMPY_CADENCE; ","")&amp;IF(AB45,"BORDERLINE_MOMENTUM; ","")&amp;IF(AC45,"FEB_SENSITIVE; ","")&amp;IF(AD45,"MATERIAL_BROKER_INCONSISTENCY"&amp;IF(AE45," (segment would change)","")&amp;"; ","")&amp;IF(AND(I45&gt;=3,O45&gt;0),IF(AI45&gt;=Assumptions!$B$75,"H2_SINGLE_MONTH_SPIKE; ",""),"")&amp;IF(AND(M45&gt;0,N45=0),"NO_FEB_GMV (Feb unconfirmed); ","")&amp;IF(AF45,"LOW_CONFIDENCE; ","")</f>
        <v/>
      </c>
      <c r="AU45" s="2" t="str">
        <f aca="false">IF(LEFT(D45,1)="1",V45,"")</f>
        <v/>
      </c>
      <c r="AV45" s="2" t="str">
        <f aca="false">IF(LEFT(D45,1)="1",V45&gt;=Assumptions!$B$58,"")</f>
        <v/>
      </c>
      <c r="AW45" s="2" t="str">
        <f aca="false">IF(LEFT(D45,1)="1",W45,"")</f>
        <v/>
      </c>
      <c r="AX45" s="2" t="str">
        <f aca="false">IF(LEFT(D45,1)="1",X45,"")</f>
        <v/>
      </c>
      <c r="AY45" s="17" t="str">
        <f aca="false">IF(LEFT(D45,1)="1",J45/I45,"")</f>
        <v/>
      </c>
      <c r="AZ45" s="2" t="str">
        <f aca="false">IF(LEFT(D45,1)="1",IF(AND(K45&gt;=Assumptions!$B$83,I45&gt;=Assumptions!$B$84),"Regular","Lumpy"),"")</f>
        <v/>
      </c>
      <c r="BA45" s="2" t="str">
        <f aca="false">IF(LEFT(D45,1)="1",ROUND(6/K45,0),"")</f>
        <v/>
      </c>
      <c r="BB45" s="2" t="str">
        <f aca="false">IF(LEFT(D45,1)="1",IF(AZ45="Regular","Regular buyer: expected ~£"&amp;TEXT(H45/2,"#,##0")&amp;" per 90 days. At Risk if GMV to date &lt; "&amp;TEXT(Assumptions!$B$81,"0%")&amp;" of pro-rated expectation, checked from day "&amp;Assumptions!$B$82&amp;". Human-reviewed.","Irregular buyer ("&amp;I45&amp;" orders across "&amp;K45&amp;" months): no numeric GMV threshold. At Risk if no order within ~"&amp;BA45&amp;" month(s); AM reviews at day "&amp;Assumptions!$B$82&amp;" and "&amp;Assumptions!$B$85&amp;"."),"")</f>
        <v/>
      </c>
      <c r="BC45" s="2"/>
      <c r="BD45" s="2"/>
      <c r="BE45" s="2"/>
      <c r="BF45" s="2"/>
      <c r="BG45" s="2"/>
      <c r="BH45" s="2"/>
      <c r="BI45" s="2"/>
      <c r="BJ45" s="2" t="str">
        <f aca="false">IF(OR(NOT(LEFT(D45,1)="1"),BC45=""),"",IF(AZ45="Regular",AND(BC45&gt;=Assumptions!$B$82,N(BI45)&lt;Assumptions!$B$81*H45/180*BC45),AND(BC45&gt;=BA45*30,N(BG45)=0)))</f>
        <v/>
      </c>
      <c r="BK45" s="2" t="str">
        <f aca="false">IF(NOT(LEFT(D45,1)="1"),"N/A",IF(BC45="","Baseline",IF(BJ45,"At Risk",IF(AND(N(BD45)&gt;=Assumptions!$B$78,N(BE45)&gt;=Assumptions!$B$79,N(BH45)&gt;=1,N(BH45)/MAX(N(BG45),1)&gt;AY45),"Self-Serve Capability Demonstrated",IF(OR(N(BD45)&gt;=Assumptions!$B$76,N(BE45)&gt;=Assumptions!$B$77),"Progressing",IF(BC45&gt;=Assumptions!$B$85,"At Risk","Baseline"))))))</f>
        <v>N/A</v>
      </c>
      <c r="BL45" s="2" t="n">
        <f aca="false">(AND(C45="Broker-Reliant",OR(AK45="Discovery-to-Offer Enablement",AK45="Reinforce Successful Behaviour")))*1+(AND(G45="Declining",E45&lt;&gt;"Tail",AL45="Automated"))*1+(AND(Y45,AM45&lt;&gt;"Human Sign-Off Required"))*1+(AND(AA45,AM45&lt;&gt;"HOLD — Critical Data Issue"))*1+(AND(P45="Recent Inactivity",OR(AK45="Discovery-to-Offer Enablement",AK45="Reinforce Successful Behaviour")))*1+(AND(OR(LEFT(D45,1)="2",LEFT(D45,1)="3",LEFT(D45,1)="8"),AL45="Automated"))*1+((LEFT(D45,1)="1")&lt;&gt;(AK45="Guided Self-Serve Migration"))*1+(AND(AR45&lt;&gt;"",OR(F45&lt;&gt;"Low",U45="Mixed",AND(G45&lt;&gt;"Growing",G45&lt;&gt;"Stable"))))*1+ISNUMBER(SEARCH("chat",AP45))*1+ISNUMBER(SEARCH("video",AP45))*1+(AND(AA45,AL45="Automated",AM45&lt;&gt;"HOLD — Critical Data Issue"))*1</f>
        <v>0</v>
      </c>
    </row>
    <row r="46" customFormat="false" ht="15" hidden="false" customHeight="false" outlineLevel="0" collapsed="false">
      <c r="A46" s="2" t="s">
        <v>269</v>
      </c>
      <c r="B46" s="2" t="str">
        <f aca="false">INDEX(Segmentation!$B$2:$B$301,MATCH($A46,Segmentation!$A$2:$A$301,0))</f>
        <v>Account Managed</v>
      </c>
      <c r="C46" s="2" t="str">
        <f aca="false">INDEX(Segmentation!$H$2:$H$301,MATCH($A46,Segmentation!$A$2:$A$301,0))</f>
        <v>Broker-Reliant</v>
      </c>
      <c r="D46" s="2" t="str">
        <f aca="false">INDEX(Segmentation!$T$2:$T$301,MATCH($A46,Segmentation!$A$2:$A$301,0))</f>
        <v>2. Protect / Retain First</v>
      </c>
      <c r="E46" s="2" t="str">
        <f aca="false">INDEX(Segmentation!$J$2:$J$301,MATCH($A46,Segmentation!$A$2:$A$301,0))</f>
        <v>Core</v>
      </c>
      <c r="F46" s="2" t="str">
        <f aca="false">INDEX(Segmentation!$G$2:$G$301,MATCH($A46,Segmentation!$A$2:$A$301,0))</f>
        <v>Medium</v>
      </c>
      <c r="G46" s="2" t="str">
        <f aca="false">INDEX(Segmentation!$N$2:$N$301,MATCH($A46,Segmentation!$A$2:$A$301,0))</f>
        <v>Declining</v>
      </c>
      <c r="H46" s="9" t="n">
        <f aca="false">INDEX(Segmentation!$I$2:$I$301,MATCH($A46,Segmentation!$A$2:$A$301,0))</f>
        <v>3331</v>
      </c>
      <c r="I46" s="2" t="n">
        <f aca="false">INDEX(Segmentation!$O$2:$O$301,MATCH($A46,Segmentation!$A$2:$A$301,0))</f>
        <v>18</v>
      </c>
      <c r="J46" s="2" t="n">
        <f aca="false">INDEX(Segmentation!$Q$2:$Q$301,MATCH($A46,Segmentation!$A$2:$A$301,0))</f>
        <v>9</v>
      </c>
      <c r="K46" s="2" t="n">
        <f aca="false">INDEX(Segmentation!$W$2:$W$301,MATCH($A46,Segmentation!$A$2:$A$301,0))</f>
        <v>5</v>
      </c>
      <c r="L46" s="9" t="n">
        <f aca="false">INDEX('Commercial View'!$L$2:$L$301,MATCH($A46,'Commercial View'!$A$2:$A$301,0))</f>
        <v>425</v>
      </c>
      <c r="M46" s="9" t="n">
        <f aca="false">INDEX('Commercial View'!$M$2:$M$301,MATCH($A46,'Commercial View'!$A$2:$A$301,0))</f>
        <v>0</v>
      </c>
      <c r="N46" s="9" t="n">
        <f aca="false">INDEX('Commercial View'!$N$2:$N$301,MATCH($A46,'Commercial View'!$A$2:$A$301,0))</f>
        <v>350</v>
      </c>
      <c r="O46" s="9" t="n">
        <f aca="false">INDEX(Segmentation!$L$2:$L$301,MATCH($A46,Segmentation!$A$2:$A$301,0))</f>
        <v>775</v>
      </c>
      <c r="P46" s="2" t="str">
        <f aca="false">IF(OR(M46&gt;0,N46&gt;0),"Recently Active",IF(OR(I46&lt;=Assumptions!$B$48,K46&lt;=Assumptions!$B$49),"No Meaningful History","Recent Inactivity"))</f>
        <v>Recently Active</v>
      </c>
      <c r="Q46" s="2" t="str">
        <f aca="false">INDEX(Segmentation!$AF$2:$AF$301,MATCH($A46,Segmentation!$A$2:$A$301,0))</f>
        <v>Existing Customer</v>
      </c>
      <c r="R46" s="2" t="str">
        <f aca="false">INDEX(Segmentation!$AL$2:$AL$301,MATCH($A46,Segmentation!$A$2:$A$301,0))</f>
        <v>N/A</v>
      </c>
      <c r="S46" s="10" t="b">
        <f aca="false">INDEX(Segmentation!$AW$2:$AW$301,MATCH($A46,Segmentation!$A$2:$A$301,0))</f>
        <v>0</v>
      </c>
      <c r="T46" s="2" t="str">
        <f aca="false">INDEX('Feature Data'!$AD$2:$AD$301,MATCH($A46,'Feature Data'!$A$2:$A$301,0))</f>
        <v>Broker-led, product-blind</v>
      </c>
      <c r="U46" s="2" t="str">
        <f aca="false">INDEX('Feature Data'!$W$2:$W$301,MATCH($A46,'Feature Data'!$A$2:$A$301,0))</f>
        <v>Mixed</v>
      </c>
      <c r="V46" s="2" t="n">
        <f aca="false">INDEX('Feature Data'!$P$2:$P$301,MATCH($A46,'Feature Data'!$A$2:$A$301,0))</f>
        <v>13</v>
      </c>
      <c r="W46" s="2" t="n">
        <f aca="false">INDEX(Segmentation!$R$2:$R$301,MATCH($A46,Segmentation!$A$2:$A$301,0))</f>
        <v>2</v>
      </c>
      <c r="X46" s="2" t="n">
        <f aca="false">INDEX(Segmentation!$S$2:$S$301,MATCH($A46,Segmentation!$A$2:$A$301,0))</f>
        <v>2</v>
      </c>
      <c r="Y46" s="10" t="b">
        <f aca="false">INDEX(Segmentation!$AG$2:$AG$301,MATCH($A46,Segmentation!$A$2:$A$301,0))</f>
        <v>0</v>
      </c>
      <c r="Z46" s="2" t="str">
        <f aca="false">INDEX(Segmentation!$AU$2:$AU$301,MATCH($A46,Segmentation!$A$2:$A$301,0))</f>
        <v>Not Eligible</v>
      </c>
      <c r="AA46" s="10" t="b">
        <f aca="false">INDEX(Segmentation!$Z$2:$Z$301,MATCH($A46,Segmentation!$A$2:$A$301,0))</f>
        <v>0</v>
      </c>
      <c r="AB46" s="10" t="b">
        <f aca="false">INDEX(Segmentation!$AH$2:$AH$301,MATCH($A46,Segmentation!$A$2:$A$301,0))</f>
        <v>0</v>
      </c>
      <c r="AC46" s="10" t="b">
        <f aca="false">INDEX(Segmentation!$AK$2:$AK$301,MATCH($A46,Segmentation!$A$2:$A$301,0))</f>
        <v>0</v>
      </c>
      <c r="AD46" s="10" t="b">
        <f aca="false">INDEX(Segmentation!$AQ$2:$AQ$301,MATCH($A46,Segmentation!$A$2:$A$301,0))</f>
        <v>0</v>
      </c>
      <c r="AE46" s="10" t="b">
        <f aca="false">INDEX(Segmentation!$AT$2:$AT$301,MATCH($A46,Segmentation!$A$2:$A$301,0))</f>
        <v>0</v>
      </c>
      <c r="AF46" s="10" t="b">
        <f aca="false">INDEX(Segmentation!$X$2:$X$301,MATCH($A46,Segmentation!$A$2:$A$301,0))</f>
        <v>0</v>
      </c>
      <c r="AG46" s="10" t="b">
        <f aca="false">AND(F46="Low",V46&gt;=Assumptions!$B$71,X46&lt;Assumptions!$B$72)</f>
        <v>0</v>
      </c>
      <c r="AH46" s="10" t="b">
        <f aca="false">AND(F46="Low",OR(G46="Growing",G46="Stable"),P46="Recently Active",V46&gt;=Assumptions!$B$58,K46&gt;=Assumptions!$B$73)</f>
        <v>0</v>
      </c>
      <c r="AI46" s="17" t="n">
        <f aca="false">IF(O46&gt;0,MAX(L46:N46)/O46,"")</f>
        <v>0.548387096774194</v>
      </c>
      <c r="AJ46" s="2" t="str">
        <f aca="false">IF(LEFT(D46,1)="1",IF(E46="Key","MIGRATION_KEY_SIGNOFF",IF(Z46="Ready","MIGRATION_PHASE1_READY",IF(Z46="Manual Review","MIGRATION_PHASE1_REVIEW","MIGRATION_PRE_ENTRY"))),IF(LEFT(D46,1)="2","DECLINING_KEY_CORE",IF(LEFT(D46,1)="3",IF(R46="Established Buyer Lapsed","LAPSED_ESTABLISHED","LAPSED_THIN_HISTORY"),IF(LEFT(D46,1)="4",IF(Q46="New Customer","NEW_CUSTOMER","RETURNED_CUSTOMER"),IF(LEFT(D46,1)="5",IF(P46="Recently Active","COST_TO_SERVE_ACTIVE","DORMANT_LOW_VALUE"),IF(LEFT(D46,1)="6",IF(P46="Recent Inactivity","RECENT_INACTIVITY",IF(AG46,"BROWSING_LOW_OFFERS","HEALTHY_STRONG_SELF_SERVE")),IF(LEFT(D46,1)="7",IF(P46="Recent Inactivity","RECENT_INACTIVITY",IF(Q46="New Customer","NEW_CUSTOMER","RETURNED_CUSTOMER")),IF(LEFT(D46,1)="8",IF(G46="Declining",IF(T46="Engaged but shrinking (Key/Core)","ENGAGED_BUT_SHRINKING","DECLINING_KEY_CORE"),IF(R46="Established Buyer Lapsed","LAPSED_ESTABLISHED","LAPSED_THIN_HISTORY")),IF(S46,IF(P46&lt;&gt;"Recently Active","DORMANT_LOW_VALUE",IF(AG46,"BROWSING_LOW_OFFERS",IF(AH46,"RISING_TAIL","RISING_TAIL_EARLY"))),IF(AND(AG46,P46="Recently Active",OR(G46="Growing",G46="Stable",G46="H2 Active / No H1 GMV"),I46&gt;=Assumptions!$B$74),"BROWSING_LOW_OFFERS","LONG_TAIL_STANDARD"))))))))))</f>
        <v>DECLINING_KEY_CORE</v>
      </c>
      <c r="AK46" s="2" t="str">
        <f aca="false">INDEX('NBA Library'!$B$4:$B$21,MATCH(AJ46,'NBA Library'!$A$4:$A$21,0))</f>
        <v>Retention Conversation</v>
      </c>
      <c r="AL46" s="2" t="str">
        <f aca="false">INDEX('NBA Library'!$C$4:$C$21,MATCH(AJ46,'NBA Library'!$A$4:$A$21,0))</f>
        <v>Human</v>
      </c>
      <c r="AM46" s="2" t="str">
        <f aca="false">IF(AA46,"HOLD — Critical Data Issue",IF(Y46,"Human Sign-Off Required",IF(Z46="Manual Review","Human Review Required",IF(AND(AL46="Automated",OR(AE46,AND(OR(AK46="Discovery-to-Offer Enablement",AK46="Reinforce Successful Behaviour"),OR(AC46,AB46)))),"Human Review Required",IF(AL46="Human","Ready — Human",IF(AL46="Hybrid","Ready — Hybrid","Ready — Automated"))))))</f>
        <v>Ready — Human</v>
      </c>
      <c r="AN46" s="2" t="str">
        <f aca="false">IF(AA46,"P0",IF(AND(AJ46="BROWSING_LOW_OFFERS",E46="Tail"),"P3",IF(AND(AM46="Human Review Required",INDEX('NBA Library'!$D$4:$D$21,MATCH(AJ46,'NBA Library'!$A$4:$A$21,0))="P4"),"P3",INDEX('NBA Library'!$D$4:$D$21,MATCH(AJ46,'NBA Library'!$A$4:$A$21,0)))))</f>
        <v>P1</v>
      </c>
      <c r="AO46" s="2" t="str">
        <f aca="false">E46&amp;" "&amp;C46&amp;" account ("&amp;B46&amp;"); "&amp;G46&amp;" momentum; "&amp;P46&amp;"; £"&amp;TEXT(H46,"#,##0")&amp;" 6m GMV. "&amp;INDEX('NBA Library'!$G$4:$G$21,MATCH(AJ46,'NBA Library'!$A$4:$A$21,0))&amp;IF(LEFT(D46,1)="1"," Baseline: "&amp;V46&amp;" PDP views, "&amp;W46&amp;" app days, "&amp;X46&amp;" offers, "&amp;TEXT(J46/I46,"0%")&amp;" of orders self-serve.","")&amp;IF(AA46," Execution on HOLD until the Duplicate status is resolved.","")&amp;IF(Y46," Key account: explicit AM/leadership sign-off required before any migration activity.","")&amp;IF(AE46," Implied broker % from order counts would move this account to a different segment; review before automating.","")</f>
        <v>Core Broker-Reliant account (Account Managed); Declining momentum; Recently Active; £3,331 6m GMV. Broker-led spend is falling. Keep human support in place; AM to diagnose the cause before any migration or product nudge.</v>
      </c>
      <c r="AP46" s="2" t="str">
        <f aca="false">INDEX('NBA Library'!$E$4:$E$21,MATCH(AJ46,'NBA Library'!$A$4:$A$21,0))&amp;IF(AND(AJ46="NEW_CUSTOMER",AG46),"; introduce Make-an-Offer on items already browsed","")</f>
        <v>AM diagnoses the cause of falling spend (supply, price, service, competitor) and agrees a recovery plan; keep human support in place</v>
      </c>
      <c r="AQ46" s="2" t="str">
        <f aca="false">INDEX('NBA Library'!$F$4:$F$21,MATCH(AJ46,'NBA Library'!$A$4:$A$21,0))</f>
        <v>Next 90-day GMV back to at least the Sep-Nov (H1) level, or decline arrested; root cause logged</v>
      </c>
      <c r="AR46" s="2" t="str">
        <f aca="false">IF(AND(F46="Low",OR(G46="Growing",G46="Stable"),P46="Recently Active",U46&lt;&gt;"Mixed",OR(AK46="Discovery-to-Offer Enablement",AK46="Reinforce Successful Behaviour"),AM46="Ready — Automated",OR(E46&lt;&gt;"Tail",S46)),"Range Expansion Test — trial "&amp;IF(U46="Bundle-only","handpick","bundles")&amp;" (experimental; not proven to lift GMV)","")</f>
        <v/>
      </c>
      <c r="AS46" s="2" t="str">
        <f aca="false">IF(AK46&lt;&gt;"Automated Nurture","",IF(AJ46="DORMANT_LOW_VALUE","Dormant",IF(AJ46="RISING_TAIL_EARLY","Rising tail – early pattern",IF(Q46="New Customer","New customer onboarding",IF(Q46="Returned Customer","Returned customer",IF(G46="Lapsed","Dormant",IF(T46="Engaged, not converting","Engaged, not converting",IF(T46="One-off low-touch buyer","One-off purchaser",IF(T46="Light-touch repeat buyer","Light-touch repeat buyer","Standard long tail")))))))))</f>
        <v/>
      </c>
      <c r="AT46" s="2" t="str">
        <f aca="false">IF(AA46,"CRITICAL_DATA_BLOCKER; ","")&amp;IF(Y46,"KEY_SIGNOFF; ","")&amp;IF(Z46="Manual Review","PHASE1_MANUAL_REVIEW; ","")&amp;IF(AND(LEFT(D46,1)="1",AZ46="Lumpy"),"LUMPY_CADENCE; ","")&amp;IF(AB46,"BORDERLINE_MOMENTUM; ","")&amp;IF(AC46,"FEB_SENSITIVE; ","")&amp;IF(AD46,"MATERIAL_BROKER_INCONSISTENCY"&amp;IF(AE46," (segment would change)","")&amp;"; ","")&amp;IF(AND(I46&gt;=3,O46&gt;0),IF(AI46&gt;=Assumptions!$B$75,"H2_SINGLE_MONTH_SPIKE; ",""),"")&amp;IF(AND(M46&gt;0,N46=0),"NO_FEB_GMV (Feb unconfirmed); ","")&amp;IF(AF46,"LOW_CONFIDENCE; ","")</f>
        <v/>
      </c>
      <c r="AU46" s="2" t="str">
        <f aca="false">IF(LEFT(D46,1)="1",V46,"")</f>
        <v/>
      </c>
      <c r="AV46" s="2" t="str">
        <f aca="false">IF(LEFT(D46,1)="1",V46&gt;=Assumptions!$B$58,"")</f>
        <v/>
      </c>
      <c r="AW46" s="2" t="str">
        <f aca="false">IF(LEFT(D46,1)="1",W46,"")</f>
        <v/>
      </c>
      <c r="AX46" s="2" t="str">
        <f aca="false">IF(LEFT(D46,1)="1",X46,"")</f>
        <v/>
      </c>
      <c r="AY46" s="17" t="str">
        <f aca="false">IF(LEFT(D46,1)="1",J46/I46,"")</f>
        <v/>
      </c>
      <c r="AZ46" s="2" t="str">
        <f aca="false">IF(LEFT(D46,1)="1",IF(AND(K46&gt;=Assumptions!$B$83,I46&gt;=Assumptions!$B$84),"Regular","Lumpy"),"")</f>
        <v/>
      </c>
      <c r="BA46" s="2" t="str">
        <f aca="false">IF(LEFT(D46,1)="1",ROUND(6/K46,0),"")</f>
        <v/>
      </c>
      <c r="BB46" s="2" t="str">
        <f aca="false">IF(LEFT(D46,1)="1",IF(AZ46="Regular","Regular buyer: expected ~£"&amp;TEXT(H46/2,"#,##0")&amp;" per 90 days. At Risk if GMV to date &lt; "&amp;TEXT(Assumptions!$B$81,"0%")&amp;" of pro-rated expectation, checked from day "&amp;Assumptions!$B$82&amp;". Human-reviewed.","Irregular buyer ("&amp;I46&amp;" orders across "&amp;K46&amp;" months): no numeric GMV threshold. At Risk if no order within ~"&amp;BA46&amp;" month(s); AM reviews at day "&amp;Assumptions!$B$82&amp;" and "&amp;Assumptions!$B$85&amp;"."),"")</f>
        <v/>
      </c>
      <c r="BC46" s="2"/>
      <c r="BD46" s="2"/>
      <c r="BE46" s="2"/>
      <c r="BF46" s="2"/>
      <c r="BG46" s="2"/>
      <c r="BH46" s="2"/>
      <c r="BI46" s="2"/>
      <c r="BJ46" s="2" t="str">
        <f aca="false">IF(OR(NOT(LEFT(D46,1)="1"),BC46=""),"",IF(AZ46="Regular",AND(BC46&gt;=Assumptions!$B$82,N(BI46)&lt;Assumptions!$B$81*H46/180*BC46),AND(BC46&gt;=BA46*30,N(BG46)=0)))</f>
        <v/>
      </c>
      <c r="BK46" s="2" t="str">
        <f aca="false">IF(NOT(LEFT(D46,1)="1"),"N/A",IF(BC46="","Baseline",IF(BJ46,"At Risk",IF(AND(N(BD46)&gt;=Assumptions!$B$78,N(BE46)&gt;=Assumptions!$B$79,N(BH46)&gt;=1,N(BH46)/MAX(N(BG46),1)&gt;AY46),"Self-Serve Capability Demonstrated",IF(OR(N(BD46)&gt;=Assumptions!$B$76,N(BE46)&gt;=Assumptions!$B$77),"Progressing",IF(BC46&gt;=Assumptions!$B$85,"At Risk","Baseline"))))))</f>
        <v>N/A</v>
      </c>
      <c r="BL46" s="2" t="n">
        <f aca="false">(AND(C46="Broker-Reliant",OR(AK46="Discovery-to-Offer Enablement",AK46="Reinforce Successful Behaviour")))*1+(AND(G46="Declining",E46&lt;&gt;"Tail",AL46="Automated"))*1+(AND(Y46,AM46&lt;&gt;"Human Sign-Off Required"))*1+(AND(AA46,AM46&lt;&gt;"HOLD — Critical Data Issue"))*1+(AND(P46="Recent Inactivity",OR(AK46="Discovery-to-Offer Enablement",AK46="Reinforce Successful Behaviour")))*1+(AND(OR(LEFT(D46,1)="2",LEFT(D46,1)="3",LEFT(D46,1)="8"),AL46="Automated"))*1+((LEFT(D46,1)="1")&lt;&gt;(AK46="Guided Self-Serve Migration"))*1+(AND(AR46&lt;&gt;"",OR(F46&lt;&gt;"Low",U46="Mixed",AND(G46&lt;&gt;"Growing",G46&lt;&gt;"Stable"))))*1+ISNUMBER(SEARCH("chat",AP46))*1+ISNUMBER(SEARCH("video",AP46))*1+(AND(AA46,AL46="Automated",AM46&lt;&gt;"HOLD — Critical Data Issue"))*1</f>
        <v>0</v>
      </c>
    </row>
    <row r="47" customFormat="false" ht="15" hidden="false" customHeight="false" outlineLevel="0" collapsed="false">
      <c r="A47" s="2" t="s">
        <v>272</v>
      </c>
      <c r="B47" s="2" t="str">
        <f aca="false">INDEX(Segmentation!$B$2:$B$301,MATCH($A47,Segmentation!$A$2:$A$301,0))</f>
        <v>Account Managed</v>
      </c>
      <c r="C47" s="2" t="str">
        <f aca="false">INDEX(Segmentation!$H$2:$H$301,MATCH($A47,Segmentation!$A$2:$A$301,0))</f>
        <v>Broker-Reliant</v>
      </c>
      <c r="D47" s="2" t="str">
        <f aca="false">INDEX(Segmentation!$T$2:$T$301,MATCH($A47,Segmentation!$A$2:$A$301,0))</f>
        <v>2. Protect / Retain First</v>
      </c>
      <c r="E47" s="2" t="str">
        <f aca="false">INDEX(Segmentation!$J$2:$J$301,MATCH($A47,Segmentation!$A$2:$A$301,0))</f>
        <v>Core</v>
      </c>
      <c r="F47" s="2" t="str">
        <f aca="false">INDEX(Segmentation!$G$2:$G$301,MATCH($A47,Segmentation!$A$2:$A$301,0))</f>
        <v>High</v>
      </c>
      <c r="G47" s="2" t="str">
        <f aca="false">INDEX(Segmentation!$N$2:$N$301,MATCH($A47,Segmentation!$A$2:$A$301,0))</f>
        <v>Declining</v>
      </c>
      <c r="H47" s="9" t="n">
        <f aca="false">INDEX(Segmentation!$I$2:$I$301,MATCH($A47,Segmentation!$A$2:$A$301,0))</f>
        <v>3283</v>
      </c>
      <c r="I47" s="2" t="n">
        <f aca="false">INDEX(Segmentation!$O$2:$O$301,MATCH($A47,Segmentation!$A$2:$A$301,0))</f>
        <v>3</v>
      </c>
      <c r="J47" s="2" t="n">
        <f aca="false">INDEX(Segmentation!$Q$2:$Q$301,MATCH($A47,Segmentation!$A$2:$A$301,0))</f>
        <v>1</v>
      </c>
      <c r="K47" s="2" t="n">
        <f aca="false">INDEX(Segmentation!$W$2:$W$301,MATCH($A47,Segmentation!$A$2:$A$301,0))</f>
        <v>2</v>
      </c>
      <c r="L47" s="9" t="n">
        <f aca="false">INDEX('Commercial View'!$L$2:$L$301,MATCH($A47,'Commercial View'!$A$2:$A$301,0))</f>
        <v>0</v>
      </c>
      <c r="M47" s="9" t="n">
        <f aca="false">INDEX('Commercial View'!$M$2:$M$301,MATCH($A47,'Commercial View'!$A$2:$A$301,0))</f>
        <v>0</v>
      </c>
      <c r="N47" s="9" t="n">
        <f aca="false">INDEX('Commercial View'!$N$2:$N$301,MATCH($A47,'Commercial View'!$A$2:$A$301,0))</f>
        <v>1202</v>
      </c>
      <c r="O47" s="9" t="n">
        <f aca="false">INDEX(Segmentation!$L$2:$L$301,MATCH($A47,Segmentation!$A$2:$A$301,0))</f>
        <v>1202</v>
      </c>
      <c r="P47" s="2" t="str">
        <f aca="false">IF(OR(M47&gt;0,N47&gt;0),"Recently Active",IF(OR(I47&lt;=Assumptions!$B$48,K47&lt;=Assumptions!$B$49),"No Meaningful History","Recent Inactivity"))</f>
        <v>Recently Active</v>
      </c>
      <c r="Q47" s="2" t="str">
        <f aca="false">INDEX(Segmentation!$AF$2:$AF$301,MATCH($A47,Segmentation!$A$2:$A$301,0))</f>
        <v>Existing Customer</v>
      </c>
      <c r="R47" s="2" t="str">
        <f aca="false">INDEX(Segmentation!$AL$2:$AL$301,MATCH($A47,Segmentation!$A$2:$A$301,0))</f>
        <v>N/A</v>
      </c>
      <c r="S47" s="10" t="b">
        <f aca="false">INDEX(Segmentation!$AW$2:$AW$301,MATCH($A47,Segmentation!$A$2:$A$301,0))</f>
        <v>0</v>
      </c>
      <c r="T47" s="2" t="str">
        <f aca="false">INDEX('Feature Data'!$AD$2:$AD$301,MATCH($A47,'Feature Data'!$A$2:$A$301,0))</f>
        <v>Broker-led, product-blind</v>
      </c>
      <c r="U47" s="2" t="str">
        <f aca="false">INDEX('Feature Data'!$W$2:$W$301,MATCH($A47,'Feature Data'!$A$2:$A$301,0))</f>
        <v>Handpick-only</v>
      </c>
      <c r="V47" s="2" t="n">
        <f aca="false">INDEX('Feature Data'!$P$2:$P$301,MATCH($A47,'Feature Data'!$A$2:$A$301,0))</f>
        <v>1</v>
      </c>
      <c r="W47" s="2" t="n">
        <f aca="false">INDEX(Segmentation!$R$2:$R$301,MATCH($A47,Segmentation!$A$2:$A$301,0))</f>
        <v>1</v>
      </c>
      <c r="X47" s="2" t="n">
        <f aca="false">INDEX(Segmentation!$S$2:$S$301,MATCH($A47,Segmentation!$A$2:$A$301,0))</f>
        <v>1</v>
      </c>
      <c r="Y47" s="10" t="b">
        <f aca="false">INDEX(Segmentation!$AG$2:$AG$301,MATCH($A47,Segmentation!$A$2:$A$301,0))</f>
        <v>0</v>
      </c>
      <c r="Z47" s="2" t="str">
        <f aca="false">INDEX(Segmentation!$AU$2:$AU$301,MATCH($A47,Segmentation!$A$2:$A$301,0))</f>
        <v>Not Eligible</v>
      </c>
      <c r="AA47" s="10" t="b">
        <f aca="false">INDEX(Segmentation!$Z$2:$Z$301,MATCH($A47,Segmentation!$A$2:$A$301,0))</f>
        <v>0</v>
      </c>
      <c r="AB47" s="10" t="b">
        <f aca="false">INDEX(Segmentation!$AH$2:$AH$301,MATCH($A47,Segmentation!$A$2:$A$301,0))</f>
        <v>0</v>
      </c>
      <c r="AC47" s="10" t="b">
        <f aca="false">INDEX(Segmentation!$AK$2:$AK$301,MATCH($A47,Segmentation!$A$2:$A$301,0))</f>
        <v>1</v>
      </c>
      <c r="AD47" s="10" t="b">
        <f aca="false">INDEX(Segmentation!$AQ$2:$AQ$301,MATCH($A47,Segmentation!$A$2:$A$301,0))</f>
        <v>0</v>
      </c>
      <c r="AE47" s="10" t="b">
        <f aca="false">INDEX(Segmentation!$AT$2:$AT$301,MATCH($A47,Segmentation!$A$2:$A$301,0))</f>
        <v>0</v>
      </c>
      <c r="AF47" s="10" t="b">
        <f aca="false">INDEX(Segmentation!$X$2:$X$301,MATCH($A47,Segmentation!$A$2:$A$301,0))</f>
        <v>0</v>
      </c>
      <c r="AG47" s="10" t="b">
        <f aca="false">AND(F47="Low",V47&gt;=Assumptions!$B$71,X47&lt;Assumptions!$B$72)</f>
        <v>0</v>
      </c>
      <c r="AH47" s="10" t="b">
        <f aca="false">AND(F47="Low",OR(G47="Growing",G47="Stable"),P47="Recently Active",V47&gt;=Assumptions!$B$58,K47&gt;=Assumptions!$B$73)</f>
        <v>0</v>
      </c>
      <c r="AI47" s="17" t="n">
        <f aca="false">IF(O47&gt;0,MAX(L47:N47)/O47,"")</f>
        <v>1</v>
      </c>
      <c r="AJ47" s="2" t="str">
        <f aca="false">IF(LEFT(D47,1)="1",IF(E47="Key","MIGRATION_KEY_SIGNOFF",IF(Z47="Ready","MIGRATION_PHASE1_READY",IF(Z47="Manual Review","MIGRATION_PHASE1_REVIEW","MIGRATION_PRE_ENTRY"))),IF(LEFT(D47,1)="2","DECLINING_KEY_CORE",IF(LEFT(D47,1)="3",IF(R47="Established Buyer Lapsed","LAPSED_ESTABLISHED","LAPSED_THIN_HISTORY"),IF(LEFT(D47,1)="4",IF(Q47="New Customer","NEW_CUSTOMER","RETURNED_CUSTOMER"),IF(LEFT(D47,1)="5",IF(P47="Recently Active","COST_TO_SERVE_ACTIVE","DORMANT_LOW_VALUE"),IF(LEFT(D47,1)="6",IF(P47="Recent Inactivity","RECENT_INACTIVITY",IF(AG47,"BROWSING_LOW_OFFERS","HEALTHY_STRONG_SELF_SERVE")),IF(LEFT(D47,1)="7",IF(P47="Recent Inactivity","RECENT_INACTIVITY",IF(Q47="New Customer","NEW_CUSTOMER","RETURNED_CUSTOMER")),IF(LEFT(D47,1)="8",IF(G47="Declining",IF(T47="Engaged but shrinking (Key/Core)","ENGAGED_BUT_SHRINKING","DECLINING_KEY_CORE"),IF(R47="Established Buyer Lapsed","LAPSED_ESTABLISHED","LAPSED_THIN_HISTORY")),IF(S47,IF(P47&lt;&gt;"Recently Active","DORMANT_LOW_VALUE",IF(AG47,"BROWSING_LOW_OFFERS",IF(AH47,"RISING_TAIL","RISING_TAIL_EARLY"))),IF(AND(AG47,P47="Recently Active",OR(G47="Growing",G47="Stable",G47="H2 Active / No H1 GMV"),I47&gt;=Assumptions!$B$74),"BROWSING_LOW_OFFERS","LONG_TAIL_STANDARD"))))))))))</f>
        <v>DECLINING_KEY_CORE</v>
      </c>
      <c r="AK47" s="2" t="str">
        <f aca="false">INDEX('NBA Library'!$B$4:$B$21,MATCH(AJ47,'NBA Library'!$A$4:$A$21,0))</f>
        <v>Retention Conversation</v>
      </c>
      <c r="AL47" s="2" t="str">
        <f aca="false">INDEX('NBA Library'!$C$4:$C$21,MATCH(AJ47,'NBA Library'!$A$4:$A$21,0))</f>
        <v>Human</v>
      </c>
      <c r="AM47" s="2" t="str">
        <f aca="false">IF(AA47,"HOLD — Critical Data Issue",IF(Y47,"Human Sign-Off Required",IF(Z47="Manual Review","Human Review Required",IF(AND(AL47="Automated",OR(AE47,AND(OR(AK47="Discovery-to-Offer Enablement",AK47="Reinforce Successful Behaviour"),OR(AC47,AB47)))),"Human Review Required",IF(AL47="Human","Ready — Human",IF(AL47="Hybrid","Ready — Hybrid","Ready — Automated"))))))</f>
        <v>Ready — Human</v>
      </c>
      <c r="AN47" s="2" t="str">
        <f aca="false">IF(AA47,"P0",IF(AND(AJ47="BROWSING_LOW_OFFERS",E47="Tail"),"P3",IF(AND(AM47="Human Review Required",INDEX('NBA Library'!$D$4:$D$21,MATCH(AJ47,'NBA Library'!$A$4:$A$21,0))="P4"),"P3",INDEX('NBA Library'!$D$4:$D$21,MATCH(AJ47,'NBA Library'!$A$4:$A$21,0)))))</f>
        <v>P1</v>
      </c>
      <c r="AO47" s="2" t="str">
        <f aca="false">E47&amp;" "&amp;C47&amp;" account ("&amp;B47&amp;"); "&amp;G47&amp;" momentum; "&amp;P47&amp;"; £"&amp;TEXT(H47,"#,##0")&amp;" 6m GMV. "&amp;INDEX('NBA Library'!$G$4:$G$21,MATCH(AJ47,'NBA Library'!$A$4:$A$21,0))&amp;IF(LEFT(D47,1)="1"," Baseline: "&amp;V47&amp;" PDP views, "&amp;W47&amp;" app days, "&amp;X47&amp;" offers, "&amp;TEXT(J47/I47,"0%")&amp;" of orders self-serve.","")&amp;IF(AA47," Execution on HOLD until the Duplicate status is resolved.","")&amp;IF(Y47," Key account: explicit AM/leadership sign-off required before any migration activity.","")&amp;IF(AE47," Implied broker % from order counts would move this account to a different segment; review before automating.","")</f>
        <v>Core Broker-Reliant account (Account Managed); Declining momentum; Recently Active; £3,283 6m GMV. Broker-led spend is falling. Keep human support in place; AM to diagnose the cause before any migration or product nudge.</v>
      </c>
      <c r="AP47" s="2" t="str">
        <f aca="false">INDEX('NBA Library'!$E$4:$E$21,MATCH(AJ47,'NBA Library'!$A$4:$A$21,0))&amp;IF(AND(AJ47="NEW_CUSTOMER",AG47),"; introduce Make-an-Offer on items already browsed","")</f>
        <v>AM diagnoses the cause of falling spend (supply, price, service, competitor) and agrees a recovery plan; keep human support in place</v>
      </c>
      <c r="AQ47" s="2" t="str">
        <f aca="false">INDEX('NBA Library'!$F$4:$F$21,MATCH(AJ47,'NBA Library'!$A$4:$A$21,0))</f>
        <v>Next 90-day GMV back to at least the Sep-Nov (H1) level, or decline arrested; root cause logged</v>
      </c>
      <c r="AR47" s="2" t="str">
        <f aca="false">IF(AND(F47="Low",OR(G47="Growing",G47="Stable"),P47="Recently Active",U47&lt;&gt;"Mixed",OR(AK47="Discovery-to-Offer Enablement",AK47="Reinforce Successful Behaviour"),AM47="Ready — Automated",OR(E47&lt;&gt;"Tail",S47)),"Range Expansion Test — trial "&amp;IF(U47="Bundle-only","handpick","bundles")&amp;" (experimental; not proven to lift GMV)","")</f>
        <v/>
      </c>
      <c r="AS47" s="2" t="str">
        <f aca="false">IF(AK47&lt;&gt;"Automated Nurture","",IF(AJ47="DORMANT_LOW_VALUE","Dormant",IF(AJ47="RISING_TAIL_EARLY","Rising tail – early pattern",IF(Q47="New Customer","New customer onboarding",IF(Q47="Returned Customer","Returned customer",IF(G47="Lapsed","Dormant",IF(T47="Engaged, not converting","Engaged, not converting",IF(T47="One-off low-touch buyer","One-off purchaser",IF(T47="Light-touch repeat buyer","Light-touch repeat buyer","Standard long tail")))))))))</f>
        <v/>
      </c>
      <c r="AT47" s="2" t="str">
        <f aca="false">IF(AA47,"CRITICAL_DATA_BLOCKER; ","")&amp;IF(Y47,"KEY_SIGNOFF; ","")&amp;IF(Z47="Manual Review","PHASE1_MANUAL_REVIEW; ","")&amp;IF(AND(LEFT(D47,1)="1",AZ47="Lumpy"),"LUMPY_CADENCE; ","")&amp;IF(AB47,"BORDERLINE_MOMENTUM; ","")&amp;IF(AC47,"FEB_SENSITIVE; ","")&amp;IF(AD47,"MATERIAL_BROKER_INCONSISTENCY"&amp;IF(AE47," (segment would change)","")&amp;"; ","")&amp;IF(AND(I47&gt;=3,O47&gt;0),IF(AI47&gt;=Assumptions!$B$75,"H2_SINGLE_MONTH_SPIKE; ",""),"")&amp;IF(AND(M47&gt;0,N47=0),"NO_FEB_GMV (Feb unconfirmed); ","")&amp;IF(AF47,"LOW_CONFIDENCE; ","")</f>
        <v>FEB_SENSITIVE; H2_SINGLE_MONTH_SPIKE; </v>
      </c>
      <c r="AU47" s="2" t="str">
        <f aca="false">IF(LEFT(D47,1)="1",V47,"")</f>
        <v/>
      </c>
      <c r="AV47" s="2" t="str">
        <f aca="false">IF(LEFT(D47,1)="1",V47&gt;=Assumptions!$B$58,"")</f>
        <v/>
      </c>
      <c r="AW47" s="2" t="str">
        <f aca="false">IF(LEFT(D47,1)="1",W47,"")</f>
        <v/>
      </c>
      <c r="AX47" s="2" t="str">
        <f aca="false">IF(LEFT(D47,1)="1",X47,"")</f>
        <v/>
      </c>
      <c r="AY47" s="17" t="str">
        <f aca="false">IF(LEFT(D47,1)="1",J47/I47,"")</f>
        <v/>
      </c>
      <c r="AZ47" s="2" t="str">
        <f aca="false">IF(LEFT(D47,1)="1",IF(AND(K47&gt;=Assumptions!$B$83,I47&gt;=Assumptions!$B$84),"Regular","Lumpy"),"")</f>
        <v/>
      </c>
      <c r="BA47" s="2" t="str">
        <f aca="false">IF(LEFT(D47,1)="1",ROUND(6/K47,0),"")</f>
        <v/>
      </c>
      <c r="BB47" s="2" t="str">
        <f aca="false">IF(LEFT(D47,1)="1",IF(AZ47="Regular","Regular buyer: expected ~£"&amp;TEXT(H47/2,"#,##0")&amp;" per 90 days. At Risk if GMV to date &lt; "&amp;TEXT(Assumptions!$B$81,"0%")&amp;" of pro-rated expectation, checked from day "&amp;Assumptions!$B$82&amp;". Human-reviewed.","Irregular buyer ("&amp;I47&amp;" orders across "&amp;K47&amp;" months): no numeric GMV threshold. At Risk if no order within ~"&amp;BA47&amp;" month(s); AM reviews at day "&amp;Assumptions!$B$82&amp;" and "&amp;Assumptions!$B$85&amp;"."),"")</f>
        <v/>
      </c>
      <c r="BC47" s="2"/>
      <c r="BD47" s="2"/>
      <c r="BE47" s="2"/>
      <c r="BF47" s="2"/>
      <c r="BG47" s="2"/>
      <c r="BH47" s="2"/>
      <c r="BI47" s="2"/>
      <c r="BJ47" s="2" t="str">
        <f aca="false">IF(OR(NOT(LEFT(D47,1)="1"),BC47=""),"",IF(AZ47="Regular",AND(BC47&gt;=Assumptions!$B$82,N(BI47)&lt;Assumptions!$B$81*H47/180*BC47),AND(BC47&gt;=BA47*30,N(BG47)=0)))</f>
        <v/>
      </c>
      <c r="BK47" s="2" t="str">
        <f aca="false">IF(NOT(LEFT(D47,1)="1"),"N/A",IF(BC47="","Baseline",IF(BJ47,"At Risk",IF(AND(N(BD47)&gt;=Assumptions!$B$78,N(BE47)&gt;=Assumptions!$B$79,N(BH47)&gt;=1,N(BH47)/MAX(N(BG47),1)&gt;AY47),"Self-Serve Capability Demonstrated",IF(OR(N(BD47)&gt;=Assumptions!$B$76,N(BE47)&gt;=Assumptions!$B$77),"Progressing",IF(BC47&gt;=Assumptions!$B$85,"At Risk","Baseline"))))))</f>
        <v>N/A</v>
      </c>
      <c r="BL47" s="2" t="n">
        <f aca="false">(AND(C47="Broker-Reliant",OR(AK47="Discovery-to-Offer Enablement",AK47="Reinforce Successful Behaviour")))*1+(AND(G47="Declining",E47&lt;&gt;"Tail",AL47="Automated"))*1+(AND(Y47,AM47&lt;&gt;"Human Sign-Off Required"))*1+(AND(AA47,AM47&lt;&gt;"HOLD — Critical Data Issue"))*1+(AND(P47="Recent Inactivity",OR(AK47="Discovery-to-Offer Enablement",AK47="Reinforce Successful Behaviour")))*1+(AND(OR(LEFT(D47,1)="2",LEFT(D47,1)="3",LEFT(D47,1)="8"),AL47="Automated"))*1+((LEFT(D47,1)="1")&lt;&gt;(AK47="Guided Self-Serve Migration"))*1+(AND(AR47&lt;&gt;"",OR(F47&lt;&gt;"Low",U47="Mixed",AND(G47&lt;&gt;"Growing",G47&lt;&gt;"Stable"))))*1+ISNUMBER(SEARCH("chat",AP47))*1+ISNUMBER(SEARCH("video",AP47))*1+(AND(AA47,AL47="Automated",AM47&lt;&gt;"HOLD — Critical Data Issue"))*1</f>
        <v>0</v>
      </c>
    </row>
    <row r="48" customFormat="false" ht="15" hidden="false" customHeight="false" outlineLevel="0" collapsed="false">
      <c r="A48" s="2" t="s">
        <v>426</v>
      </c>
      <c r="B48" s="2" t="str">
        <f aca="false">INDEX(Segmentation!$B$2:$B$301,MATCH($A48,Segmentation!$A$2:$A$301,0))</f>
        <v>Account Managed</v>
      </c>
      <c r="C48" s="2" t="str">
        <f aca="false">INDEX(Segmentation!$H$2:$H$301,MATCH($A48,Segmentation!$A$2:$A$301,0))</f>
        <v>Broker-Reliant</v>
      </c>
      <c r="D48" s="2" t="str">
        <f aca="false">INDEX(Segmentation!$T$2:$T$301,MATCH($A48,Segmentation!$A$2:$A$301,0))</f>
        <v>4. Establish / Re-establish / Observe</v>
      </c>
      <c r="E48" s="2" t="str">
        <f aca="false">INDEX(Segmentation!$J$2:$J$301,MATCH($A48,Segmentation!$A$2:$A$301,0))</f>
        <v>Core</v>
      </c>
      <c r="F48" s="2" t="str">
        <f aca="false">INDEX(Segmentation!$G$2:$G$301,MATCH($A48,Segmentation!$A$2:$A$301,0))</f>
        <v>Medium</v>
      </c>
      <c r="G48" s="2" t="str">
        <f aca="false">INDEX(Segmentation!$N$2:$N$301,MATCH($A48,Segmentation!$A$2:$A$301,0))</f>
        <v>H2 Active / No H1 GMV</v>
      </c>
      <c r="H48" s="9" t="n">
        <f aca="false">INDEX(Segmentation!$I$2:$I$301,MATCH($A48,Segmentation!$A$2:$A$301,0))</f>
        <v>3200</v>
      </c>
      <c r="I48" s="2" t="n">
        <f aca="false">INDEX(Segmentation!$O$2:$O$301,MATCH($A48,Segmentation!$A$2:$A$301,0))</f>
        <v>6</v>
      </c>
      <c r="J48" s="2" t="n">
        <f aca="false">INDEX(Segmentation!$Q$2:$Q$301,MATCH($A48,Segmentation!$A$2:$A$301,0))</f>
        <v>3</v>
      </c>
      <c r="K48" s="2" t="n">
        <f aca="false">INDEX(Segmentation!$W$2:$W$301,MATCH($A48,Segmentation!$A$2:$A$301,0))</f>
        <v>2</v>
      </c>
      <c r="L48" s="9" t="n">
        <f aca="false">INDEX('Commercial View'!$L$2:$L$301,MATCH($A48,'Commercial View'!$A$2:$A$301,0))</f>
        <v>681</v>
      </c>
      <c r="M48" s="9" t="n">
        <f aca="false">INDEX('Commercial View'!$M$2:$M$301,MATCH($A48,'Commercial View'!$A$2:$A$301,0))</f>
        <v>0</v>
      </c>
      <c r="N48" s="9" t="n">
        <f aca="false">INDEX('Commercial View'!$N$2:$N$301,MATCH($A48,'Commercial View'!$A$2:$A$301,0))</f>
        <v>2519</v>
      </c>
      <c r="O48" s="9" t="n">
        <f aca="false">INDEX(Segmentation!$L$2:$L$301,MATCH($A48,Segmentation!$A$2:$A$301,0))</f>
        <v>3200</v>
      </c>
      <c r="P48" s="2" t="str">
        <f aca="false">IF(OR(M48&gt;0,N48&gt;0),"Recently Active",IF(OR(I48&lt;=Assumptions!$B$48,K48&lt;=Assumptions!$B$49),"No Meaningful History","Recent Inactivity"))</f>
        <v>Recently Active</v>
      </c>
      <c r="Q48" s="2" t="str">
        <f aca="false">INDEX(Segmentation!$AF$2:$AF$301,MATCH($A48,Segmentation!$A$2:$A$301,0))</f>
        <v>Returned Customer</v>
      </c>
      <c r="R48" s="2" t="str">
        <f aca="false">INDEX(Segmentation!$AL$2:$AL$301,MATCH($A48,Segmentation!$A$2:$A$301,0))</f>
        <v>N/A</v>
      </c>
      <c r="S48" s="10" t="b">
        <f aca="false">INDEX(Segmentation!$AW$2:$AW$301,MATCH($A48,Segmentation!$A$2:$A$301,0))</f>
        <v>0</v>
      </c>
      <c r="T48" s="2" t="str">
        <f aca="false">INDEX('Feature Data'!$AD$2:$AD$301,MATCH($A48,'Feature Data'!$A$2:$A$301,0))</f>
        <v>Broker-led, product-blind</v>
      </c>
      <c r="U48" s="2" t="str">
        <f aca="false">INDEX('Feature Data'!$W$2:$W$301,MATCH($A48,'Feature Data'!$A$2:$A$301,0))</f>
        <v>Mixed</v>
      </c>
      <c r="V48" s="2" t="n">
        <f aca="false">INDEX('Feature Data'!$P$2:$P$301,MATCH($A48,'Feature Data'!$A$2:$A$301,0))</f>
        <v>2</v>
      </c>
      <c r="W48" s="2" t="n">
        <f aca="false">INDEX(Segmentation!$R$2:$R$301,MATCH($A48,Segmentation!$A$2:$A$301,0))</f>
        <v>8</v>
      </c>
      <c r="X48" s="2" t="n">
        <f aca="false">INDEX(Segmentation!$S$2:$S$301,MATCH($A48,Segmentation!$A$2:$A$301,0))</f>
        <v>1</v>
      </c>
      <c r="Y48" s="10" t="b">
        <f aca="false">INDEX(Segmentation!$AG$2:$AG$301,MATCH($A48,Segmentation!$A$2:$A$301,0))</f>
        <v>0</v>
      </c>
      <c r="Z48" s="2" t="str">
        <f aca="false">INDEX(Segmentation!$AU$2:$AU$301,MATCH($A48,Segmentation!$A$2:$A$301,0))</f>
        <v>Not Eligible</v>
      </c>
      <c r="AA48" s="10" t="b">
        <f aca="false">INDEX(Segmentation!$Z$2:$Z$301,MATCH($A48,Segmentation!$A$2:$A$301,0))</f>
        <v>0</v>
      </c>
      <c r="AB48" s="10" t="b">
        <f aca="false">INDEX(Segmentation!$AH$2:$AH$301,MATCH($A48,Segmentation!$A$2:$A$301,0))</f>
        <v>0</v>
      </c>
      <c r="AC48" s="10" t="b">
        <f aca="false">INDEX(Segmentation!$AK$2:$AK$301,MATCH($A48,Segmentation!$A$2:$A$301,0))</f>
        <v>0</v>
      </c>
      <c r="AD48" s="10" t="b">
        <f aca="false">INDEX(Segmentation!$AQ$2:$AQ$301,MATCH($A48,Segmentation!$A$2:$A$301,0))</f>
        <v>0</v>
      </c>
      <c r="AE48" s="10" t="b">
        <f aca="false">INDEX(Segmentation!$AT$2:$AT$301,MATCH($A48,Segmentation!$A$2:$A$301,0))</f>
        <v>0</v>
      </c>
      <c r="AF48" s="10" t="b">
        <f aca="false">INDEX(Segmentation!$X$2:$X$301,MATCH($A48,Segmentation!$A$2:$A$301,0))</f>
        <v>0</v>
      </c>
      <c r="AG48" s="10" t="b">
        <f aca="false">AND(F48="Low",V48&gt;=Assumptions!$B$71,X48&lt;Assumptions!$B$72)</f>
        <v>0</v>
      </c>
      <c r="AH48" s="10" t="b">
        <f aca="false">AND(F48="Low",OR(G48="Growing",G48="Stable"),P48="Recently Active",V48&gt;=Assumptions!$B$58,K48&gt;=Assumptions!$B$73)</f>
        <v>0</v>
      </c>
      <c r="AI48" s="17" t="n">
        <f aca="false">IF(O48&gt;0,MAX(L48:N48)/O48,"")</f>
        <v>0.7871875</v>
      </c>
      <c r="AJ48" s="2" t="str">
        <f aca="false">IF(LEFT(D48,1)="1",IF(E48="Key","MIGRATION_KEY_SIGNOFF",IF(Z48="Ready","MIGRATION_PHASE1_READY",IF(Z48="Manual Review","MIGRATION_PHASE1_REVIEW","MIGRATION_PRE_ENTRY"))),IF(LEFT(D48,1)="2","DECLINING_KEY_CORE",IF(LEFT(D48,1)="3",IF(R48="Established Buyer Lapsed","LAPSED_ESTABLISHED","LAPSED_THIN_HISTORY"),IF(LEFT(D48,1)="4",IF(Q48="New Customer","NEW_CUSTOMER","RETURNED_CUSTOMER"),IF(LEFT(D48,1)="5",IF(P48="Recently Active","COST_TO_SERVE_ACTIVE","DORMANT_LOW_VALUE"),IF(LEFT(D48,1)="6",IF(P48="Recent Inactivity","RECENT_INACTIVITY",IF(AG48,"BROWSING_LOW_OFFERS","HEALTHY_STRONG_SELF_SERVE")),IF(LEFT(D48,1)="7",IF(P48="Recent Inactivity","RECENT_INACTIVITY",IF(Q48="New Customer","NEW_CUSTOMER","RETURNED_CUSTOMER")),IF(LEFT(D48,1)="8",IF(G48="Declining",IF(T48="Engaged but shrinking (Key/Core)","ENGAGED_BUT_SHRINKING","DECLINING_KEY_CORE"),IF(R48="Established Buyer Lapsed","LAPSED_ESTABLISHED","LAPSED_THIN_HISTORY")),IF(S48,IF(P48&lt;&gt;"Recently Active","DORMANT_LOW_VALUE",IF(AG48,"BROWSING_LOW_OFFERS",IF(AH48,"RISING_TAIL","RISING_TAIL_EARLY"))),IF(AND(AG48,P48="Recently Active",OR(G48="Growing",G48="Stable",G48="H2 Active / No H1 GMV"),I48&gt;=Assumptions!$B$74),"BROWSING_LOW_OFFERS","LONG_TAIL_STANDARD"))))))))))</f>
        <v>RETURNED_CUSTOMER</v>
      </c>
      <c r="AK48" s="2" t="str">
        <f aca="false">INDEX('NBA Library'!$B$4:$B$21,MATCH(AJ48,'NBA Library'!$A$4:$A$21,0))</f>
        <v>Establish / Re-establish</v>
      </c>
      <c r="AL48" s="2" t="str">
        <f aca="false">INDEX('NBA Library'!$C$4:$C$21,MATCH(AJ48,'NBA Library'!$A$4:$A$21,0))</f>
        <v>Human</v>
      </c>
      <c r="AM48" s="2" t="str">
        <f aca="false">IF(AA48,"HOLD — Critical Data Issue",IF(Y48,"Human Sign-Off Required",IF(Z48="Manual Review","Human Review Required",IF(AND(AL48="Automated",OR(AE48,AND(OR(AK48="Discovery-to-Offer Enablement",AK48="Reinforce Successful Behaviour"),OR(AC48,AB48)))),"Human Review Required",IF(AL48="Human","Ready — Human",IF(AL48="Hybrid","Ready — Hybrid","Ready — Automated"))))))</f>
        <v>Ready — Human</v>
      </c>
      <c r="AN48" s="2" t="str">
        <f aca="false">IF(AA48,"P0",IF(AND(AJ48="BROWSING_LOW_OFFERS",E48="Tail"),"P3",IF(AND(AM48="Human Review Required",INDEX('NBA Library'!$D$4:$D$21,MATCH(AJ48,'NBA Library'!$A$4:$A$21,0))="P4"),"P3",INDEX('NBA Library'!$D$4:$D$21,MATCH(AJ48,'NBA Library'!$A$4:$A$21,0)))))</f>
        <v>P2</v>
      </c>
      <c r="AO48" s="2" t="str">
        <f aca="false">E48&amp;" "&amp;C48&amp;" account ("&amp;B48&amp;"); "&amp;G48&amp;" momentum; "&amp;P48&amp;"; £"&amp;TEXT(H48,"#,##0")&amp;" 6m GMV. "&amp;INDEX('NBA Library'!$G$4:$G$21,MATCH(AJ48,'NBA Library'!$A$4:$A$21,0))&amp;IF(LEFT(D48,1)="1"," Baseline: "&amp;V48&amp;" PDP views, "&amp;W48&amp;" app days, "&amp;X48&amp;" offers, "&amp;TEXT(J48/I48,"0%")&amp;" of orders self-serve.","")&amp;IF(AA48," Execution on HOLD until the Duplicate status is resolved.","")&amp;IF(Y48," Key account: explicit AM/leadership sign-off required before any migration activity.","")&amp;IF(AE48," Implied broker % from order counts would move this account to a different segment; review before automating.","")</f>
        <v>Core Broker-Reliant account (Account Managed); H2 Active / No H1 GMV momentum; Recently Active; £3,200 6m GMV. Long-tenured customer that returned in H2 after no H1 spend. Re-establish relationship and cadence.</v>
      </c>
      <c r="AP48" s="2" t="str">
        <f aca="false">INDEX('NBA Library'!$E$4:$E$21,MATCH(AJ48,'NBA Library'!$A$4:$A$21,0))&amp;IF(AND(AJ48="NEW_CUSTOMER",AG48),"; introduce Make-an-Offer on items already browsed","")</f>
        <v>Re-establish the relationship and a regular buying cadence</v>
      </c>
      <c r="AQ48" s="2" t="str">
        <f aca="false">INDEX('NBA Library'!$F$4:$F$21,MATCH(AJ48,'NBA Library'!$A$4:$A$21,0))</f>
        <v>Orders in at least 2 of the next 3 months</v>
      </c>
      <c r="AR48" s="2" t="str">
        <f aca="false">IF(AND(F48="Low",OR(G48="Growing",G48="Stable"),P48="Recently Active",U48&lt;&gt;"Mixed",OR(AK48="Discovery-to-Offer Enablement",AK48="Reinforce Successful Behaviour"),AM48="Ready — Automated",OR(E48&lt;&gt;"Tail",S48)),"Range Expansion Test — trial "&amp;IF(U48="Bundle-only","handpick","bundles")&amp;" (experimental; not proven to lift GMV)","")</f>
        <v/>
      </c>
      <c r="AS48" s="2" t="str">
        <f aca="false">IF(AK48&lt;&gt;"Automated Nurture","",IF(AJ48="DORMANT_LOW_VALUE","Dormant",IF(AJ48="RISING_TAIL_EARLY","Rising tail – early pattern",IF(Q48="New Customer","New customer onboarding",IF(Q48="Returned Customer","Returned customer",IF(G48="Lapsed","Dormant",IF(T48="Engaged, not converting","Engaged, not converting",IF(T48="One-off low-touch buyer","One-off purchaser",IF(T48="Light-touch repeat buyer","Light-touch repeat buyer","Standard long tail")))))))))</f>
        <v/>
      </c>
      <c r="AT48" s="2" t="str">
        <f aca="false">IF(AA48,"CRITICAL_DATA_BLOCKER; ","")&amp;IF(Y48,"KEY_SIGNOFF; ","")&amp;IF(Z48="Manual Review","PHASE1_MANUAL_REVIEW; ","")&amp;IF(AND(LEFT(D48,1)="1",AZ48="Lumpy"),"LUMPY_CADENCE; ","")&amp;IF(AB48,"BORDERLINE_MOMENTUM; ","")&amp;IF(AC48,"FEB_SENSITIVE; ","")&amp;IF(AD48,"MATERIAL_BROKER_INCONSISTENCY"&amp;IF(AE48," (segment would change)","")&amp;"; ","")&amp;IF(AND(I48&gt;=3,O48&gt;0),IF(AI48&gt;=Assumptions!$B$75,"H2_SINGLE_MONTH_SPIKE; ",""),"")&amp;IF(AND(M48&gt;0,N48=0),"NO_FEB_GMV (Feb unconfirmed); ","")&amp;IF(AF48,"LOW_CONFIDENCE; ","")</f>
        <v/>
      </c>
      <c r="AU48" s="2" t="str">
        <f aca="false">IF(LEFT(D48,1)="1",V48,"")</f>
        <v/>
      </c>
      <c r="AV48" s="2" t="str">
        <f aca="false">IF(LEFT(D48,1)="1",V48&gt;=Assumptions!$B$58,"")</f>
        <v/>
      </c>
      <c r="AW48" s="2" t="str">
        <f aca="false">IF(LEFT(D48,1)="1",W48,"")</f>
        <v/>
      </c>
      <c r="AX48" s="2" t="str">
        <f aca="false">IF(LEFT(D48,1)="1",X48,"")</f>
        <v/>
      </c>
      <c r="AY48" s="17" t="str">
        <f aca="false">IF(LEFT(D48,1)="1",J48/I48,"")</f>
        <v/>
      </c>
      <c r="AZ48" s="2" t="str">
        <f aca="false">IF(LEFT(D48,1)="1",IF(AND(K48&gt;=Assumptions!$B$83,I48&gt;=Assumptions!$B$84),"Regular","Lumpy"),"")</f>
        <v/>
      </c>
      <c r="BA48" s="2" t="str">
        <f aca="false">IF(LEFT(D48,1)="1",ROUND(6/K48,0),"")</f>
        <v/>
      </c>
      <c r="BB48" s="2" t="str">
        <f aca="false">IF(LEFT(D48,1)="1",IF(AZ48="Regular","Regular buyer: expected ~£"&amp;TEXT(H48/2,"#,##0")&amp;" per 90 days. At Risk if GMV to date &lt; "&amp;TEXT(Assumptions!$B$81,"0%")&amp;" of pro-rated expectation, checked from day "&amp;Assumptions!$B$82&amp;". Human-reviewed.","Irregular buyer ("&amp;I48&amp;" orders across "&amp;K48&amp;" months): no numeric GMV threshold. At Risk if no order within ~"&amp;BA48&amp;" month(s); AM reviews at day "&amp;Assumptions!$B$82&amp;" and "&amp;Assumptions!$B$85&amp;"."),"")</f>
        <v/>
      </c>
      <c r="BC48" s="2"/>
      <c r="BD48" s="2"/>
      <c r="BE48" s="2"/>
      <c r="BF48" s="2"/>
      <c r="BG48" s="2"/>
      <c r="BH48" s="2"/>
      <c r="BI48" s="2"/>
      <c r="BJ48" s="2" t="str">
        <f aca="false">IF(OR(NOT(LEFT(D48,1)="1"),BC48=""),"",IF(AZ48="Regular",AND(BC48&gt;=Assumptions!$B$82,N(BI48)&lt;Assumptions!$B$81*H48/180*BC48),AND(BC48&gt;=BA48*30,N(BG48)=0)))</f>
        <v/>
      </c>
      <c r="BK48" s="2" t="str">
        <f aca="false">IF(NOT(LEFT(D48,1)="1"),"N/A",IF(BC48="","Baseline",IF(BJ48,"At Risk",IF(AND(N(BD48)&gt;=Assumptions!$B$78,N(BE48)&gt;=Assumptions!$B$79,N(BH48)&gt;=1,N(BH48)/MAX(N(BG48),1)&gt;AY48),"Self-Serve Capability Demonstrated",IF(OR(N(BD48)&gt;=Assumptions!$B$76,N(BE48)&gt;=Assumptions!$B$77),"Progressing",IF(BC48&gt;=Assumptions!$B$85,"At Risk","Baseline"))))))</f>
        <v>N/A</v>
      </c>
      <c r="BL48" s="2" t="n">
        <f aca="false">(AND(C48="Broker-Reliant",OR(AK48="Discovery-to-Offer Enablement",AK48="Reinforce Successful Behaviour")))*1+(AND(G48="Declining",E48&lt;&gt;"Tail",AL48="Automated"))*1+(AND(Y48,AM48&lt;&gt;"Human Sign-Off Required"))*1+(AND(AA48,AM48&lt;&gt;"HOLD — Critical Data Issue"))*1+(AND(P48="Recent Inactivity",OR(AK48="Discovery-to-Offer Enablement",AK48="Reinforce Successful Behaviour")))*1+(AND(OR(LEFT(D48,1)="2",LEFT(D48,1)="3",LEFT(D48,1)="8"),AL48="Automated"))*1+((LEFT(D48,1)="1")&lt;&gt;(AK48="Guided Self-Serve Migration"))*1+(AND(AR48&lt;&gt;"",OR(F48&lt;&gt;"Low",U48="Mixed",AND(G48&lt;&gt;"Growing",G48&lt;&gt;"Stable"))))*1+ISNUMBER(SEARCH("chat",AP48))*1+ISNUMBER(SEARCH("video",AP48))*1+(AND(AA48,AL48="Automated",AM48&lt;&gt;"HOLD — Critical Data Issue"))*1</f>
        <v>0</v>
      </c>
    </row>
    <row r="49" customFormat="false" ht="15" hidden="false" customHeight="false" outlineLevel="0" collapsed="false">
      <c r="A49" s="2" t="s">
        <v>430</v>
      </c>
      <c r="B49" s="2" t="str">
        <f aca="false">INDEX(Segmentation!$B$2:$B$301,MATCH($A49,Segmentation!$A$2:$A$301,0))</f>
        <v>Account Managed</v>
      </c>
      <c r="C49" s="2" t="str">
        <f aca="false">INDEX(Segmentation!$H$2:$H$301,MATCH($A49,Segmentation!$A$2:$A$301,0))</f>
        <v>AM-Owned / Self-Serving</v>
      </c>
      <c r="D49" s="2" t="str">
        <f aca="false">INDEX(Segmentation!$T$2:$T$301,MATCH($A49,Segmentation!$A$2:$A$301,0))</f>
        <v>7. Onboard / Re-engage / Learn</v>
      </c>
      <c r="E49" s="2" t="str">
        <f aca="false">INDEX(Segmentation!$J$2:$J$301,MATCH($A49,Segmentation!$A$2:$A$301,0))</f>
        <v>Core</v>
      </c>
      <c r="F49" s="2" t="str">
        <f aca="false">INDEX(Segmentation!$G$2:$G$301,MATCH($A49,Segmentation!$A$2:$A$301,0))</f>
        <v>Low</v>
      </c>
      <c r="G49" s="2" t="str">
        <f aca="false">INDEX(Segmentation!$N$2:$N$301,MATCH($A49,Segmentation!$A$2:$A$301,0))</f>
        <v>H2 Active / No H1 GMV</v>
      </c>
      <c r="H49" s="9" t="n">
        <f aca="false">INDEX(Segmentation!$I$2:$I$301,MATCH($A49,Segmentation!$A$2:$A$301,0))</f>
        <v>3113</v>
      </c>
      <c r="I49" s="2" t="n">
        <f aca="false">INDEX(Segmentation!$O$2:$O$301,MATCH($A49,Segmentation!$A$2:$A$301,0))</f>
        <v>4</v>
      </c>
      <c r="J49" s="2" t="n">
        <f aca="false">INDEX(Segmentation!$Q$2:$Q$301,MATCH($A49,Segmentation!$A$2:$A$301,0))</f>
        <v>3</v>
      </c>
      <c r="K49" s="2" t="n">
        <f aca="false">INDEX(Segmentation!$W$2:$W$301,MATCH($A49,Segmentation!$A$2:$A$301,0))</f>
        <v>2</v>
      </c>
      <c r="L49" s="9" t="n">
        <f aca="false">INDEX('Commercial View'!$L$2:$L$301,MATCH($A49,'Commercial View'!$A$2:$A$301,0))</f>
        <v>0</v>
      </c>
      <c r="M49" s="9" t="n">
        <f aca="false">INDEX('Commercial View'!$M$2:$M$301,MATCH($A49,'Commercial View'!$A$2:$A$301,0))</f>
        <v>2649</v>
      </c>
      <c r="N49" s="9" t="n">
        <f aca="false">INDEX('Commercial View'!$N$2:$N$301,MATCH($A49,'Commercial View'!$A$2:$A$301,0))</f>
        <v>464</v>
      </c>
      <c r="O49" s="9" t="n">
        <f aca="false">INDEX(Segmentation!$L$2:$L$301,MATCH($A49,Segmentation!$A$2:$A$301,0))</f>
        <v>3113</v>
      </c>
      <c r="P49" s="2" t="str">
        <f aca="false">IF(OR(M49&gt;0,N49&gt;0),"Recently Active",IF(OR(I49&lt;=Assumptions!$B$48,K49&lt;=Assumptions!$B$49),"No Meaningful History","Recent Inactivity"))</f>
        <v>Recently Active</v>
      </c>
      <c r="Q49" s="2" t="str">
        <f aca="false">INDEX(Segmentation!$AF$2:$AF$301,MATCH($A49,Segmentation!$A$2:$A$301,0))</f>
        <v>Returned Customer</v>
      </c>
      <c r="R49" s="2" t="str">
        <f aca="false">INDEX(Segmentation!$AL$2:$AL$301,MATCH($A49,Segmentation!$A$2:$A$301,0))</f>
        <v>N/A</v>
      </c>
      <c r="S49" s="10" t="b">
        <f aca="false">INDEX(Segmentation!$AW$2:$AW$301,MATCH($A49,Segmentation!$A$2:$A$301,0))</f>
        <v>0</v>
      </c>
      <c r="T49" s="2" t="str">
        <f aca="false">INDEX('Feature Data'!$AD$2:$AD$301,MATCH($A49,'Feature Data'!$A$2:$A$301,0))</f>
        <v>Light-touch repeat buyer</v>
      </c>
      <c r="U49" s="2" t="str">
        <f aca="false">INDEX('Feature Data'!$W$2:$W$301,MATCH($A49,'Feature Data'!$A$2:$A$301,0))</f>
        <v>Handpick-only</v>
      </c>
      <c r="V49" s="2" t="n">
        <f aca="false">INDEX('Feature Data'!$P$2:$P$301,MATCH($A49,'Feature Data'!$A$2:$A$301,0))</f>
        <v>488</v>
      </c>
      <c r="W49" s="2" t="n">
        <f aca="false">INDEX(Segmentation!$R$2:$R$301,MATCH($A49,Segmentation!$A$2:$A$301,0))</f>
        <v>30</v>
      </c>
      <c r="X49" s="2" t="n">
        <f aca="false">INDEX(Segmentation!$S$2:$S$301,MATCH($A49,Segmentation!$A$2:$A$301,0))</f>
        <v>1</v>
      </c>
      <c r="Y49" s="10" t="b">
        <f aca="false">INDEX(Segmentation!$AG$2:$AG$301,MATCH($A49,Segmentation!$A$2:$A$301,0))</f>
        <v>0</v>
      </c>
      <c r="Z49" s="2" t="str">
        <f aca="false">INDEX(Segmentation!$AU$2:$AU$301,MATCH($A49,Segmentation!$A$2:$A$301,0))</f>
        <v>Not Eligible</v>
      </c>
      <c r="AA49" s="10" t="b">
        <f aca="false">INDEX(Segmentation!$Z$2:$Z$301,MATCH($A49,Segmentation!$A$2:$A$301,0))</f>
        <v>0</v>
      </c>
      <c r="AB49" s="10" t="b">
        <f aca="false">INDEX(Segmentation!$AH$2:$AH$301,MATCH($A49,Segmentation!$A$2:$A$301,0))</f>
        <v>0</v>
      </c>
      <c r="AC49" s="10" t="b">
        <f aca="false">INDEX(Segmentation!$AK$2:$AK$301,MATCH($A49,Segmentation!$A$2:$A$301,0))</f>
        <v>0</v>
      </c>
      <c r="AD49" s="10" t="b">
        <f aca="false">INDEX(Segmentation!$AQ$2:$AQ$301,MATCH($A49,Segmentation!$A$2:$A$301,0))</f>
        <v>1</v>
      </c>
      <c r="AE49" s="10" t="b">
        <f aca="false">INDEX(Segmentation!$AT$2:$AT$301,MATCH($A49,Segmentation!$A$2:$A$301,0))</f>
        <v>0</v>
      </c>
      <c r="AF49" s="10" t="b">
        <f aca="false">INDEX(Segmentation!$X$2:$X$301,MATCH($A49,Segmentation!$A$2:$A$301,0))</f>
        <v>0</v>
      </c>
      <c r="AG49" s="10" t="b">
        <f aca="false">AND(F49="Low",V49&gt;=Assumptions!$B$71,X49&lt;Assumptions!$B$72)</f>
        <v>1</v>
      </c>
      <c r="AH49" s="10" t="b">
        <f aca="false">AND(F49="Low",OR(G49="Growing",G49="Stable"),P49="Recently Active",V49&gt;=Assumptions!$B$58,K49&gt;=Assumptions!$B$73)</f>
        <v>0</v>
      </c>
      <c r="AI49" s="17" t="n">
        <f aca="false">IF(O49&gt;0,MAX(L49:N49)/O49,"")</f>
        <v>0.850947638933505</v>
      </c>
      <c r="AJ49" s="2" t="str">
        <f aca="false">IF(LEFT(D49,1)="1",IF(E49="Key","MIGRATION_KEY_SIGNOFF",IF(Z49="Ready","MIGRATION_PHASE1_READY",IF(Z49="Manual Review","MIGRATION_PHASE1_REVIEW","MIGRATION_PRE_ENTRY"))),IF(LEFT(D49,1)="2","DECLINING_KEY_CORE",IF(LEFT(D49,1)="3",IF(R49="Established Buyer Lapsed","LAPSED_ESTABLISHED","LAPSED_THIN_HISTORY"),IF(LEFT(D49,1)="4",IF(Q49="New Customer","NEW_CUSTOMER","RETURNED_CUSTOMER"),IF(LEFT(D49,1)="5",IF(P49="Recently Active","COST_TO_SERVE_ACTIVE","DORMANT_LOW_VALUE"),IF(LEFT(D49,1)="6",IF(P49="Recent Inactivity","RECENT_INACTIVITY",IF(AG49,"BROWSING_LOW_OFFERS","HEALTHY_STRONG_SELF_SERVE")),IF(LEFT(D49,1)="7",IF(P49="Recent Inactivity","RECENT_INACTIVITY",IF(Q49="New Customer","NEW_CUSTOMER","RETURNED_CUSTOMER")),IF(LEFT(D49,1)="8",IF(G49="Declining",IF(T49="Engaged but shrinking (Key/Core)","ENGAGED_BUT_SHRINKING","DECLINING_KEY_CORE"),IF(R49="Established Buyer Lapsed","LAPSED_ESTABLISHED","LAPSED_THIN_HISTORY")),IF(S49,IF(P49&lt;&gt;"Recently Active","DORMANT_LOW_VALUE",IF(AG49,"BROWSING_LOW_OFFERS",IF(AH49,"RISING_TAIL","RISING_TAIL_EARLY"))),IF(AND(AG49,P49="Recently Active",OR(G49="Growing",G49="Stable",G49="H2 Active / No H1 GMV"),I49&gt;=Assumptions!$B$74),"BROWSING_LOW_OFFERS","LONG_TAIL_STANDARD"))))))))))</f>
        <v>RETURNED_CUSTOMER</v>
      </c>
      <c r="AK49" s="2" t="str">
        <f aca="false">INDEX('NBA Library'!$B$4:$B$21,MATCH(AJ49,'NBA Library'!$A$4:$A$21,0))</f>
        <v>Establish / Re-establish</v>
      </c>
      <c r="AL49" s="2" t="str">
        <f aca="false">INDEX('NBA Library'!$C$4:$C$21,MATCH(AJ49,'NBA Library'!$A$4:$A$21,0))</f>
        <v>Human</v>
      </c>
      <c r="AM49" s="2" t="str">
        <f aca="false">IF(AA49,"HOLD — Critical Data Issue",IF(Y49,"Human Sign-Off Required",IF(Z49="Manual Review","Human Review Required",IF(AND(AL49="Automated",OR(AE49,AND(OR(AK49="Discovery-to-Offer Enablement",AK49="Reinforce Successful Behaviour"),OR(AC49,AB49)))),"Human Review Required",IF(AL49="Human","Ready — Human",IF(AL49="Hybrid","Ready — Hybrid","Ready — Automated"))))))</f>
        <v>Ready — Human</v>
      </c>
      <c r="AN49" s="2" t="str">
        <f aca="false">IF(AA49,"P0",IF(AND(AJ49="BROWSING_LOW_OFFERS",E49="Tail"),"P3",IF(AND(AM49="Human Review Required",INDEX('NBA Library'!$D$4:$D$21,MATCH(AJ49,'NBA Library'!$A$4:$A$21,0))="P4"),"P3",INDEX('NBA Library'!$D$4:$D$21,MATCH(AJ49,'NBA Library'!$A$4:$A$21,0)))))</f>
        <v>P2</v>
      </c>
      <c r="AO49" s="2" t="str">
        <f aca="false">E49&amp;" "&amp;C49&amp;" account ("&amp;B49&amp;"); "&amp;G49&amp;" momentum; "&amp;P49&amp;"; £"&amp;TEXT(H49,"#,##0")&amp;" 6m GMV. "&amp;INDEX('NBA Library'!$G$4:$G$21,MATCH(AJ49,'NBA Library'!$A$4:$A$21,0))&amp;IF(LEFT(D49,1)="1"," Baseline: "&amp;V49&amp;" PDP views, "&amp;W49&amp;" app days, "&amp;X49&amp;" offers, "&amp;TEXT(J49/I49,"0%")&amp;" of orders self-serve.","")&amp;IF(AA49," Execution on HOLD until the Duplicate status is resolved.","")&amp;IF(Y49," Key account: explicit AM/leadership sign-off required before any migration activity.","")&amp;IF(AE49," Implied broker % from order counts would move this account to a different segment; review before automating.","")</f>
        <v>Core AM-Owned / Self-Serving account (Account Managed); H2 Active / No H1 GMV momentum; Recently Active; £3,113 6m GMV. Long-tenured customer that returned in H2 after no H1 spend. Re-establish relationship and cadence.</v>
      </c>
      <c r="AP49" s="2" t="str">
        <f aca="false">INDEX('NBA Library'!$E$4:$E$21,MATCH(AJ49,'NBA Library'!$A$4:$A$21,0))&amp;IF(AND(AJ49="NEW_CUSTOMER",AG49),"; introduce Make-an-Offer on items already browsed","")</f>
        <v>Re-establish the relationship and a regular buying cadence</v>
      </c>
      <c r="AQ49" s="2" t="str">
        <f aca="false">INDEX('NBA Library'!$F$4:$F$21,MATCH(AJ49,'NBA Library'!$A$4:$A$21,0))</f>
        <v>Orders in at least 2 of the next 3 months</v>
      </c>
      <c r="AR49" s="2" t="str">
        <f aca="false">IF(AND(F49="Low",OR(G49="Growing",G49="Stable"),P49="Recently Active",U49&lt;&gt;"Mixed",OR(AK49="Discovery-to-Offer Enablement",AK49="Reinforce Successful Behaviour"),AM49="Ready — Automated",OR(E49&lt;&gt;"Tail",S49)),"Range Expansion Test — trial "&amp;IF(U49="Bundle-only","handpick","bundles")&amp;" (experimental; not proven to lift GMV)","")</f>
        <v/>
      </c>
      <c r="AS49" s="2" t="str">
        <f aca="false">IF(AK49&lt;&gt;"Automated Nurture","",IF(AJ49="DORMANT_LOW_VALUE","Dormant",IF(AJ49="RISING_TAIL_EARLY","Rising tail – early pattern",IF(Q49="New Customer","New customer onboarding",IF(Q49="Returned Customer","Returned customer",IF(G49="Lapsed","Dormant",IF(T49="Engaged, not converting","Engaged, not converting",IF(T49="One-off low-touch buyer","One-off purchaser",IF(T49="Light-touch repeat buyer","Light-touch repeat buyer","Standard long tail")))))))))</f>
        <v/>
      </c>
      <c r="AT49" s="2" t="str">
        <f aca="false">IF(AA49,"CRITICAL_DATA_BLOCKER; ","")&amp;IF(Y49,"KEY_SIGNOFF; ","")&amp;IF(Z49="Manual Review","PHASE1_MANUAL_REVIEW; ","")&amp;IF(AND(LEFT(D49,1)="1",AZ49="Lumpy"),"LUMPY_CADENCE; ","")&amp;IF(AB49,"BORDERLINE_MOMENTUM; ","")&amp;IF(AC49,"FEB_SENSITIVE; ","")&amp;IF(AD49,"MATERIAL_BROKER_INCONSISTENCY"&amp;IF(AE49," (segment would change)","")&amp;"; ","")&amp;IF(AND(I49&gt;=3,O49&gt;0),IF(AI49&gt;=Assumptions!$B$75,"H2_SINGLE_MONTH_SPIKE; ",""),"")&amp;IF(AND(M49&gt;0,N49=0),"NO_FEB_GMV (Feb unconfirmed); ","")&amp;IF(AF49,"LOW_CONFIDENCE; ","")</f>
        <v>MATERIAL_BROKER_INCONSISTENCY; H2_SINGLE_MONTH_SPIKE; </v>
      </c>
      <c r="AU49" s="2" t="str">
        <f aca="false">IF(LEFT(D49,1)="1",V49,"")</f>
        <v/>
      </c>
      <c r="AV49" s="2" t="str">
        <f aca="false">IF(LEFT(D49,1)="1",V49&gt;=Assumptions!$B$58,"")</f>
        <v/>
      </c>
      <c r="AW49" s="2" t="str">
        <f aca="false">IF(LEFT(D49,1)="1",W49,"")</f>
        <v/>
      </c>
      <c r="AX49" s="2" t="str">
        <f aca="false">IF(LEFT(D49,1)="1",X49,"")</f>
        <v/>
      </c>
      <c r="AY49" s="17" t="str">
        <f aca="false">IF(LEFT(D49,1)="1",J49/I49,"")</f>
        <v/>
      </c>
      <c r="AZ49" s="2" t="str">
        <f aca="false">IF(LEFT(D49,1)="1",IF(AND(K49&gt;=Assumptions!$B$83,I49&gt;=Assumptions!$B$84),"Regular","Lumpy"),"")</f>
        <v/>
      </c>
      <c r="BA49" s="2" t="str">
        <f aca="false">IF(LEFT(D49,1)="1",ROUND(6/K49,0),"")</f>
        <v/>
      </c>
      <c r="BB49" s="2" t="str">
        <f aca="false">IF(LEFT(D49,1)="1",IF(AZ49="Regular","Regular buyer: expected ~£"&amp;TEXT(H49/2,"#,##0")&amp;" per 90 days. At Risk if GMV to date &lt; "&amp;TEXT(Assumptions!$B$81,"0%")&amp;" of pro-rated expectation, checked from day "&amp;Assumptions!$B$82&amp;". Human-reviewed.","Irregular buyer ("&amp;I49&amp;" orders across "&amp;K49&amp;" months): no numeric GMV threshold. At Risk if no order within ~"&amp;BA49&amp;" month(s); AM reviews at day "&amp;Assumptions!$B$82&amp;" and "&amp;Assumptions!$B$85&amp;"."),"")</f>
        <v/>
      </c>
      <c r="BC49" s="2"/>
      <c r="BD49" s="2"/>
      <c r="BE49" s="2"/>
      <c r="BF49" s="2"/>
      <c r="BG49" s="2"/>
      <c r="BH49" s="2"/>
      <c r="BI49" s="2"/>
      <c r="BJ49" s="2" t="str">
        <f aca="false">IF(OR(NOT(LEFT(D49,1)="1"),BC49=""),"",IF(AZ49="Regular",AND(BC49&gt;=Assumptions!$B$82,N(BI49)&lt;Assumptions!$B$81*H49/180*BC49),AND(BC49&gt;=BA49*30,N(BG49)=0)))</f>
        <v/>
      </c>
      <c r="BK49" s="2" t="str">
        <f aca="false">IF(NOT(LEFT(D49,1)="1"),"N/A",IF(BC49="","Baseline",IF(BJ49,"At Risk",IF(AND(N(BD49)&gt;=Assumptions!$B$78,N(BE49)&gt;=Assumptions!$B$79,N(BH49)&gt;=1,N(BH49)/MAX(N(BG49),1)&gt;AY49),"Self-Serve Capability Demonstrated",IF(OR(N(BD49)&gt;=Assumptions!$B$76,N(BE49)&gt;=Assumptions!$B$77),"Progressing",IF(BC49&gt;=Assumptions!$B$85,"At Risk","Baseline"))))))</f>
        <v>N/A</v>
      </c>
      <c r="BL49" s="2" t="n">
        <f aca="false">(AND(C49="Broker-Reliant",OR(AK49="Discovery-to-Offer Enablement",AK49="Reinforce Successful Behaviour")))*1+(AND(G49="Declining",E49&lt;&gt;"Tail",AL49="Automated"))*1+(AND(Y49,AM49&lt;&gt;"Human Sign-Off Required"))*1+(AND(AA49,AM49&lt;&gt;"HOLD — Critical Data Issue"))*1+(AND(P49="Recent Inactivity",OR(AK49="Discovery-to-Offer Enablement",AK49="Reinforce Successful Behaviour")))*1+(AND(OR(LEFT(D49,1)="2",LEFT(D49,1)="3",LEFT(D49,1)="8"),AL49="Automated"))*1+((LEFT(D49,1)="1")&lt;&gt;(AK49="Guided Self-Serve Migration"))*1+(AND(AR49&lt;&gt;"",OR(F49&lt;&gt;"Low",U49="Mixed",AND(G49&lt;&gt;"Growing",G49&lt;&gt;"Stable"))))*1+ISNUMBER(SEARCH("chat",AP49))*1+ISNUMBER(SEARCH("video",AP49))*1+(AND(AA49,AL49="Automated",AM49&lt;&gt;"HOLD — Critical Data Issue"))*1</f>
        <v>0</v>
      </c>
    </row>
    <row r="50" customFormat="false" ht="15" hidden="false" customHeight="false" outlineLevel="0" collapsed="false">
      <c r="A50" s="2" t="s">
        <v>466</v>
      </c>
      <c r="B50" s="2" t="str">
        <f aca="false">INDEX(Segmentation!$B$2:$B$301,MATCH($A50,Segmentation!$A$2:$A$301,0))</f>
        <v>Account Managed</v>
      </c>
      <c r="C50" s="2" t="str">
        <f aca="false">INDEX(Segmentation!$H$2:$H$301,MATCH($A50,Segmentation!$A$2:$A$301,0))</f>
        <v>Broker-Reliant</v>
      </c>
      <c r="D50" s="2" t="str">
        <f aca="false">INDEX(Segmentation!$T$2:$T$301,MATCH($A50,Segmentation!$A$2:$A$301,0))</f>
        <v>1. Migration Candidate</v>
      </c>
      <c r="E50" s="2" t="str">
        <f aca="false">INDEX(Segmentation!$J$2:$J$301,MATCH($A50,Segmentation!$A$2:$A$301,0))</f>
        <v>Core</v>
      </c>
      <c r="F50" s="2" t="str">
        <f aca="false">INDEX(Segmentation!$G$2:$G$301,MATCH($A50,Segmentation!$A$2:$A$301,0))</f>
        <v>High</v>
      </c>
      <c r="G50" s="2" t="str">
        <f aca="false">INDEX(Segmentation!$N$2:$N$301,MATCH($A50,Segmentation!$A$2:$A$301,0))</f>
        <v>Growing</v>
      </c>
      <c r="H50" s="9" t="n">
        <f aca="false">INDEX(Segmentation!$I$2:$I$301,MATCH($A50,Segmentation!$A$2:$A$301,0))</f>
        <v>3111</v>
      </c>
      <c r="I50" s="2" t="n">
        <f aca="false">INDEX(Segmentation!$O$2:$O$301,MATCH($A50,Segmentation!$A$2:$A$301,0))</f>
        <v>7</v>
      </c>
      <c r="J50" s="2" t="n">
        <f aca="false">INDEX(Segmentation!$Q$2:$Q$301,MATCH($A50,Segmentation!$A$2:$A$301,0))</f>
        <v>1</v>
      </c>
      <c r="K50" s="2" t="n">
        <f aca="false">INDEX(Segmentation!$W$2:$W$301,MATCH($A50,Segmentation!$A$2:$A$301,0))</f>
        <v>5</v>
      </c>
      <c r="L50" s="9" t="n">
        <f aca="false">INDEX('Commercial View'!$L$2:$L$301,MATCH($A50,'Commercial View'!$A$2:$A$301,0))</f>
        <v>269</v>
      </c>
      <c r="M50" s="9" t="n">
        <f aca="false">INDEX('Commercial View'!$M$2:$M$301,MATCH($A50,'Commercial View'!$A$2:$A$301,0))</f>
        <v>1762</v>
      </c>
      <c r="N50" s="9" t="n">
        <f aca="false">INDEX('Commercial View'!$N$2:$N$301,MATCH($A50,'Commercial View'!$A$2:$A$301,0))</f>
        <v>316</v>
      </c>
      <c r="O50" s="9" t="n">
        <f aca="false">INDEX(Segmentation!$L$2:$L$301,MATCH($A50,Segmentation!$A$2:$A$301,0))</f>
        <v>2347</v>
      </c>
      <c r="P50" s="2" t="str">
        <f aca="false">IF(OR(M50&gt;0,N50&gt;0),"Recently Active",IF(OR(I50&lt;=Assumptions!$B$48,K50&lt;=Assumptions!$B$49),"No Meaningful History","Recent Inactivity"))</f>
        <v>Recently Active</v>
      </c>
      <c r="Q50" s="2" t="str">
        <f aca="false">INDEX(Segmentation!$AF$2:$AF$301,MATCH($A50,Segmentation!$A$2:$A$301,0))</f>
        <v>Existing Customer</v>
      </c>
      <c r="R50" s="2" t="str">
        <f aca="false">INDEX(Segmentation!$AL$2:$AL$301,MATCH($A50,Segmentation!$A$2:$A$301,0))</f>
        <v>N/A</v>
      </c>
      <c r="S50" s="10" t="b">
        <f aca="false">INDEX(Segmentation!$AW$2:$AW$301,MATCH($A50,Segmentation!$A$2:$A$301,0))</f>
        <v>0</v>
      </c>
      <c r="T50" s="2" t="str">
        <f aca="false">INDEX('Feature Data'!$AD$2:$AD$301,MATCH($A50,'Feature Data'!$A$2:$A$301,0))</f>
        <v>Broker-led, product-blind</v>
      </c>
      <c r="U50" s="2" t="str">
        <f aca="false">INDEX('Feature Data'!$W$2:$W$301,MATCH($A50,'Feature Data'!$A$2:$A$301,0))</f>
        <v>Bundle-only</v>
      </c>
      <c r="V50" s="2" t="n">
        <f aca="false">INDEX('Feature Data'!$P$2:$P$301,MATCH($A50,'Feature Data'!$A$2:$A$301,0))</f>
        <v>13</v>
      </c>
      <c r="W50" s="2" t="n">
        <f aca="false">INDEX(Segmentation!$R$2:$R$301,MATCH($A50,Segmentation!$A$2:$A$301,0))</f>
        <v>8</v>
      </c>
      <c r="X50" s="2" t="n">
        <f aca="false">INDEX(Segmentation!$S$2:$S$301,MATCH($A50,Segmentation!$A$2:$A$301,0))</f>
        <v>1</v>
      </c>
      <c r="Y50" s="10" t="b">
        <f aca="false">INDEX(Segmentation!$AG$2:$AG$301,MATCH($A50,Segmentation!$A$2:$A$301,0))</f>
        <v>0</v>
      </c>
      <c r="Z50" s="2" t="str">
        <f aca="false">INDEX(Segmentation!$AU$2:$AU$301,MATCH($A50,Segmentation!$A$2:$A$301,0))</f>
        <v>Not Eligible</v>
      </c>
      <c r="AA50" s="10" t="b">
        <f aca="false">INDEX(Segmentation!$Z$2:$Z$301,MATCH($A50,Segmentation!$A$2:$A$301,0))</f>
        <v>0</v>
      </c>
      <c r="AB50" s="10" t="b">
        <f aca="false">INDEX(Segmentation!$AH$2:$AH$301,MATCH($A50,Segmentation!$A$2:$A$301,0))</f>
        <v>0</v>
      </c>
      <c r="AC50" s="10" t="b">
        <f aca="false">INDEX(Segmentation!$AK$2:$AK$301,MATCH($A50,Segmentation!$A$2:$A$301,0))</f>
        <v>0</v>
      </c>
      <c r="AD50" s="10" t="b">
        <f aca="false">INDEX(Segmentation!$AQ$2:$AQ$301,MATCH($A50,Segmentation!$A$2:$A$301,0))</f>
        <v>0</v>
      </c>
      <c r="AE50" s="10" t="b">
        <f aca="false">INDEX(Segmentation!$AT$2:$AT$301,MATCH($A50,Segmentation!$A$2:$A$301,0))</f>
        <v>0</v>
      </c>
      <c r="AF50" s="10" t="b">
        <f aca="false">INDEX(Segmentation!$X$2:$X$301,MATCH($A50,Segmentation!$A$2:$A$301,0))</f>
        <v>0</v>
      </c>
      <c r="AG50" s="10" t="b">
        <f aca="false">AND(F50="Low",V50&gt;=Assumptions!$B$71,X50&lt;Assumptions!$B$72)</f>
        <v>0</v>
      </c>
      <c r="AH50" s="10" t="b">
        <f aca="false">AND(F50="Low",OR(G50="Growing",G50="Stable"),P50="Recently Active",V50&gt;=Assumptions!$B$58,K50&gt;=Assumptions!$B$73)</f>
        <v>0</v>
      </c>
      <c r="AI50" s="17" t="n">
        <f aca="false">IF(O50&gt;0,MAX(L50:N50)/O50,"")</f>
        <v>0.750745632722625</v>
      </c>
      <c r="AJ50" s="2" t="str">
        <f aca="false">IF(LEFT(D50,1)="1",IF(E50="Key","MIGRATION_KEY_SIGNOFF",IF(Z50="Ready","MIGRATION_PHASE1_READY",IF(Z50="Manual Review","MIGRATION_PHASE1_REVIEW","MIGRATION_PRE_ENTRY"))),IF(LEFT(D50,1)="2","DECLINING_KEY_CORE",IF(LEFT(D50,1)="3",IF(R50="Established Buyer Lapsed","LAPSED_ESTABLISHED","LAPSED_THIN_HISTORY"),IF(LEFT(D50,1)="4",IF(Q50="New Customer","NEW_CUSTOMER","RETURNED_CUSTOMER"),IF(LEFT(D50,1)="5",IF(P50="Recently Active","COST_TO_SERVE_ACTIVE","DORMANT_LOW_VALUE"),IF(LEFT(D50,1)="6",IF(P50="Recent Inactivity","RECENT_INACTIVITY",IF(AG50,"BROWSING_LOW_OFFERS","HEALTHY_STRONG_SELF_SERVE")),IF(LEFT(D50,1)="7",IF(P50="Recent Inactivity","RECENT_INACTIVITY",IF(Q50="New Customer","NEW_CUSTOMER","RETURNED_CUSTOMER")),IF(LEFT(D50,1)="8",IF(G50="Declining",IF(T50="Engaged but shrinking (Key/Core)","ENGAGED_BUT_SHRINKING","DECLINING_KEY_CORE"),IF(R50="Established Buyer Lapsed","LAPSED_ESTABLISHED","LAPSED_THIN_HISTORY")),IF(S50,IF(P50&lt;&gt;"Recently Active","DORMANT_LOW_VALUE",IF(AG50,"BROWSING_LOW_OFFERS",IF(AH50,"RISING_TAIL","RISING_TAIL_EARLY"))),IF(AND(AG50,P50="Recently Active",OR(G50="Growing",G50="Stable",G50="H2 Active / No H1 GMV"),I50&gt;=Assumptions!$B$74),"BROWSING_LOW_OFFERS","LONG_TAIL_STANDARD"))))))))))</f>
        <v>MIGRATION_PRE_ENTRY</v>
      </c>
      <c r="AK50" s="2" t="str">
        <f aca="false">INDEX('NBA Library'!$B$4:$B$21,MATCH(AJ50,'NBA Library'!$A$4:$A$21,0))</f>
        <v>Guided Self-Serve Migration</v>
      </c>
      <c r="AL50" s="2" t="str">
        <f aca="false">INDEX('NBA Library'!$C$4:$C$21,MATCH(AJ50,'NBA Library'!$A$4:$A$21,0))</f>
        <v>Human</v>
      </c>
      <c r="AM50" s="2" t="str">
        <f aca="false">IF(AA50,"HOLD — Critical Data Issue",IF(Y50,"Human Sign-Off Required",IF(Z50="Manual Review","Human Review Required",IF(AND(AL50="Automated",OR(AE50,AND(OR(AK50="Discovery-to-Offer Enablement",AK50="Reinforce Successful Behaviour"),OR(AC50,AB50)))),"Human Review Required",IF(AL50="Human","Ready — Human",IF(AL50="Hybrid","Ready — Hybrid","Ready — Automated"))))))</f>
        <v>Ready — Human</v>
      </c>
      <c r="AN50" s="2" t="str">
        <f aca="false">IF(AA50,"P0",IF(AND(AJ50="BROWSING_LOW_OFFERS",E50="Tail"),"P3",IF(AND(AM50="Human Review Required",INDEX('NBA Library'!$D$4:$D$21,MATCH(AJ50,'NBA Library'!$A$4:$A$21,0))="P4"),"P3",INDEX('NBA Library'!$D$4:$D$21,MATCH(AJ50,'NBA Library'!$A$4:$A$21,0)))))</f>
        <v>P3</v>
      </c>
      <c r="AO50" s="2" t="str">
        <f aca="false">E50&amp;" "&amp;C50&amp;" account ("&amp;B50&amp;"); "&amp;G50&amp;" momentum; "&amp;P50&amp;"; £"&amp;TEXT(H50,"#,##0")&amp;" 6m GMV. "&amp;INDEX('NBA Library'!$G$4:$G$21,MATCH(AJ50,'NBA Library'!$A$4:$A$21,0))&amp;IF(LEFT(D50,1)="1"," Baseline: "&amp;V50&amp;" PDP views, "&amp;W50&amp;" app days, "&amp;X50&amp;" offers, "&amp;TEXT(J50/I50,"0%")&amp;" of orders self-serve.","")&amp;IF(AA50," Execution on HOLD until the Duplicate status is resolved.","")&amp;IF(Y50," Key account: explicit AM/leadership sign-off required before any migration activity.","")&amp;IF(AE50," Implied broker % from order counts would move this account to a different segment; review before automating.","")</f>
        <v>Core Broker-Reliant account (Account Managed); Growing momentum; Recently Active; £3,111 6m GMV. Broker-reliant Core account with healthy spend but only one self-serve order. Not yet Phase 1 eligible. Baseline: 13 PDP views, 8 app days, 1 offers, 14% of orders self-serve.</v>
      </c>
      <c r="AP50" s="2" t="str">
        <f aca="false">INDEX('NBA Library'!$E$4:$E$21,MATCH(AJ50,'NBA Library'!$A$4:$A$21,0))&amp;IF(AND(AJ50="NEW_CUSTOMER",AG50),"; introduce Make-an-Offer on items already browsed","")</f>
        <v>AM encourages a second self-serve checkout (Phase 1 entry evidence) without reducing support</v>
      </c>
      <c r="AQ50" s="2" t="str">
        <f aca="false">INDEX('NBA Library'!$F$4:$F$21,MATCH(AJ50,'NBA Library'!$A$4:$A$21,0))</f>
        <v>2+ self-serve orders, then re-assess for Phase 1</v>
      </c>
      <c r="AR50" s="2" t="str">
        <f aca="false">IF(AND(F50="Low",OR(G50="Growing",G50="Stable"),P50="Recently Active",U50&lt;&gt;"Mixed",OR(AK50="Discovery-to-Offer Enablement",AK50="Reinforce Successful Behaviour"),AM50="Ready — Automated",OR(E50&lt;&gt;"Tail",S50)),"Range Expansion Test — trial "&amp;IF(U50="Bundle-only","handpick","bundles")&amp;" (experimental; not proven to lift GMV)","")</f>
        <v/>
      </c>
      <c r="AS50" s="2" t="str">
        <f aca="false">IF(AK50&lt;&gt;"Automated Nurture","",IF(AJ50="DORMANT_LOW_VALUE","Dormant",IF(AJ50="RISING_TAIL_EARLY","Rising tail – early pattern",IF(Q50="New Customer","New customer onboarding",IF(Q50="Returned Customer","Returned customer",IF(G50="Lapsed","Dormant",IF(T50="Engaged, not converting","Engaged, not converting",IF(T50="One-off low-touch buyer","One-off purchaser",IF(T50="Light-touch repeat buyer","Light-touch repeat buyer","Standard long tail")))))))))</f>
        <v/>
      </c>
      <c r="AT50" s="2" t="str">
        <f aca="false">IF(AA50,"CRITICAL_DATA_BLOCKER; ","")&amp;IF(Y50,"KEY_SIGNOFF; ","")&amp;IF(Z50="Manual Review","PHASE1_MANUAL_REVIEW; ","")&amp;IF(AND(LEFT(D50,1)="1",AZ50="Lumpy"),"LUMPY_CADENCE; ","")&amp;IF(AB50,"BORDERLINE_MOMENTUM; ","")&amp;IF(AC50,"FEB_SENSITIVE; ","")&amp;IF(AD50,"MATERIAL_BROKER_INCONSISTENCY"&amp;IF(AE50," (segment would change)","")&amp;"; ","")&amp;IF(AND(I50&gt;=3,O50&gt;0),IF(AI50&gt;=Assumptions!$B$75,"H2_SINGLE_MONTH_SPIKE; ",""),"")&amp;IF(AND(M50&gt;0,N50=0),"NO_FEB_GMV (Feb unconfirmed); ","")&amp;IF(AF50,"LOW_CONFIDENCE; ","")</f>
        <v/>
      </c>
      <c r="AU50" s="2" t="n">
        <f aca="false">IF(LEFT(D50,1)="1",V50,"")</f>
        <v>13</v>
      </c>
      <c r="AV50" s="10" t="b">
        <f aca="false">IF(LEFT(D50,1)="1",V50&gt;=Assumptions!$B$58,"")</f>
        <v>0</v>
      </c>
      <c r="AW50" s="2" t="n">
        <f aca="false">IF(LEFT(D50,1)="1",W50,"")</f>
        <v>8</v>
      </c>
      <c r="AX50" s="2" t="n">
        <f aca="false">IF(LEFT(D50,1)="1",X50,"")</f>
        <v>1</v>
      </c>
      <c r="AY50" s="17" t="n">
        <f aca="false">IF(LEFT(D50,1)="1",J50/I50,"")</f>
        <v>0.142857142857143</v>
      </c>
      <c r="AZ50" s="2" t="str">
        <f aca="false">IF(LEFT(D50,1)="1",IF(AND(K50&gt;=Assumptions!$B$83,I50&gt;=Assumptions!$B$84),"Regular","Lumpy"),"")</f>
        <v>Regular</v>
      </c>
      <c r="BA50" s="2" t="n">
        <f aca="false">IF(LEFT(D50,1)="1",ROUND(6/K50,0),"")</f>
        <v>1</v>
      </c>
      <c r="BB50" s="2" t="str">
        <f aca="false">IF(LEFT(D50,1)="1",IF(AZ50="Regular","Regular buyer: expected ~£"&amp;TEXT(H50/2,"#,##0")&amp;" per 90 days. At Risk if GMV to date &lt; "&amp;TEXT(Assumptions!$B$81,"0%")&amp;" of pro-rated expectation, checked from day "&amp;Assumptions!$B$82&amp;". Human-reviewed.","Irregular buyer ("&amp;I50&amp;" orders across "&amp;K50&amp;" months): no numeric GMV threshold. At Risk if no order within ~"&amp;BA50&amp;" month(s); AM reviews at day "&amp;Assumptions!$B$82&amp;" and "&amp;Assumptions!$B$85&amp;"."),"")</f>
        <v>Regular buyer: expected ~£1,556 per 90 days. At Risk if GMV to date &lt; 70% of pro-rated expectation, checked from day 45. Human-reviewed.</v>
      </c>
      <c r="BC50" s="18"/>
      <c r="BD50" s="18"/>
      <c r="BE50" s="18"/>
      <c r="BF50" s="18"/>
      <c r="BG50" s="18"/>
      <c r="BH50" s="18"/>
      <c r="BI50" s="18"/>
      <c r="BJ50" s="2" t="str">
        <f aca="false">IF(OR(NOT(LEFT(D50,1)="1"),BC50=""),"",IF(AZ50="Regular",AND(BC50&gt;=Assumptions!$B$82,N(BI50)&lt;Assumptions!$B$81*H50/180*BC50),AND(BC50&gt;=BA50*30,N(BG50)=0)))</f>
        <v/>
      </c>
      <c r="BK50" s="2" t="str">
        <f aca="false">IF(NOT(LEFT(D50,1)="1"),"N/A",IF(BC50="","Baseline",IF(BJ50,"At Risk",IF(AND(N(BD50)&gt;=Assumptions!$B$78,N(BE50)&gt;=Assumptions!$B$79,N(BH50)&gt;=1,N(BH50)/MAX(N(BG50),1)&gt;AY50),"Self-Serve Capability Demonstrated",IF(OR(N(BD50)&gt;=Assumptions!$B$76,N(BE50)&gt;=Assumptions!$B$77),"Progressing",IF(BC50&gt;=Assumptions!$B$85,"At Risk","Baseline"))))))</f>
        <v>Baseline</v>
      </c>
      <c r="BL50" s="2" t="n">
        <f aca="false">(AND(C50="Broker-Reliant",OR(AK50="Discovery-to-Offer Enablement",AK50="Reinforce Successful Behaviour")))*1+(AND(G50="Declining",E50&lt;&gt;"Tail",AL50="Automated"))*1+(AND(Y50,AM50&lt;&gt;"Human Sign-Off Required"))*1+(AND(AA50,AM50&lt;&gt;"HOLD — Critical Data Issue"))*1+(AND(P50="Recent Inactivity",OR(AK50="Discovery-to-Offer Enablement",AK50="Reinforce Successful Behaviour")))*1+(AND(OR(LEFT(D50,1)="2",LEFT(D50,1)="3",LEFT(D50,1)="8"),AL50="Automated"))*1+((LEFT(D50,1)="1")&lt;&gt;(AK50="Guided Self-Serve Migration"))*1+(AND(AR50&lt;&gt;"",OR(F50&lt;&gt;"Low",U50="Mixed",AND(G50&lt;&gt;"Growing",G50&lt;&gt;"Stable"))))*1+ISNUMBER(SEARCH("chat",AP50))*1+ISNUMBER(SEARCH("video",AP50))*1+(AND(AA50,AL50="Automated",AM50&lt;&gt;"HOLD — Critical Data Issue"))*1</f>
        <v>0</v>
      </c>
    </row>
    <row r="51" customFormat="false" ht="15" hidden="false" customHeight="false" outlineLevel="0" collapsed="false">
      <c r="A51" s="2" t="s">
        <v>275</v>
      </c>
      <c r="B51" s="2" t="str">
        <f aca="false">INDEX(Segmentation!$B$2:$B$301,MATCH($A51,Segmentation!$A$2:$A$301,0))</f>
        <v>Account Managed</v>
      </c>
      <c r="C51" s="2" t="str">
        <f aca="false">INDEX(Segmentation!$H$2:$H$301,MATCH($A51,Segmentation!$A$2:$A$301,0))</f>
        <v>Broker-Reliant</v>
      </c>
      <c r="D51" s="2" t="str">
        <f aca="false">INDEX(Segmentation!$T$2:$T$301,MATCH($A51,Segmentation!$A$2:$A$301,0))</f>
        <v>3. Win-Back / Verify</v>
      </c>
      <c r="E51" s="2" t="str">
        <f aca="false">INDEX(Segmentation!$J$2:$J$301,MATCH($A51,Segmentation!$A$2:$A$301,0))</f>
        <v>Core</v>
      </c>
      <c r="F51" s="2" t="str">
        <f aca="false">INDEX(Segmentation!$G$2:$G$301,MATCH($A51,Segmentation!$A$2:$A$301,0))</f>
        <v>Medium</v>
      </c>
      <c r="G51" s="2" t="str">
        <f aca="false">INDEX(Segmentation!$N$2:$N$301,MATCH($A51,Segmentation!$A$2:$A$301,0))</f>
        <v>Lapsed</v>
      </c>
      <c r="H51" s="9" t="n">
        <f aca="false">INDEX(Segmentation!$I$2:$I$301,MATCH($A51,Segmentation!$A$2:$A$301,0))</f>
        <v>3044</v>
      </c>
      <c r="I51" s="2" t="n">
        <f aca="false">INDEX(Segmentation!$O$2:$O$301,MATCH($A51,Segmentation!$A$2:$A$301,0))</f>
        <v>6</v>
      </c>
      <c r="J51" s="2" t="n">
        <f aca="false">INDEX(Segmentation!$Q$2:$Q$301,MATCH($A51,Segmentation!$A$2:$A$301,0))</f>
        <v>3</v>
      </c>
      <c r="K51" s="2" t="n">
        <f aca="false">INDEX(Segmentation!$W$2:$W$301,MATCH($A51,Segmentation!$A$2:$A$301,0))</f>
        <v>1</v>
      </c>
      <c r="L51" s="9" t="n">
        <f aca="false">INDEX('Commercial View'!$L$2:$L$301,MATCH($A51,'Commercial View'!$A$2:$A$301,0))</f>
        <v>0</v>
      </c>
      <c r="M51" s="9" t="n">
        <f aca="false">INDEX('Commercial View'!$M$2:$M$301,MATCH($A51,'Commercial View'!$A$2:$A$301,0))</f>
        <v>0</v>
      </c>
      <c r="N51" s="9" t="n">
        <f aca="false">INDEX('Commercial View'!$N$2:$N$301,MATCH($A51,'Commercial View'!$A$2:$A$301,0))</f>
        <v>0</v>
      </c>
      <c r="O51" s="9" t="n">
        <f aca="false">INDEX(Segmentation!$L$2:$L$301,MATCH($A51,Segmentation!$A$2:$A$301,0))</f>
        <v>0</v>
      </c>
      <c r="P51" s="2" t="str">
        <f aca="false">IF(OR(M51&gt;0,N51&gt;0),"Recently Active",IF(OR(I51&lt;=Assumptions!$B$48,K51&lt;=Assumptions!$B$49),"No Meaningful History","Recent Inactivity"))</f>
        <v>No Meaningful History</v>
      </c>
      <c r="Q51" s="2" t="str">
        <f aca="false">INDEX(Segmentation!$AF$2:$AF$301,MATCH($A51,Segmentation!$A$2:$A$301,0))</f>
        <v>Existing Customer</v>
      </c>
      <c r="R51" s="2" t="str">
        <f aca="false">INDEX(Segmentation!$AL$2:$AL$301,MATCH($A51,Segmentation!$A$2:$A$301,0))</f>
        <v>One-Off / Insufficient History — Verify</v>
      </c>
      <c r="S51" s="10" t="b">
        <f aca="false">INDEX(Segmentation!$AW$2:$AW$301,MATCH($A51,Segmentation!$A$2:$A$301,0))</f>
        <v>0</v>
      </c>
      <c r="T51" s="2" t="str">
        <f aca="false">INDEX('Feature Data'!$AD$2:$AD$301,MATCH($A51,'Feature Data'!$A$2:$A$301,0))</f>
        <v>Broker-led, product-blind</v>
      </c>
      <c r="U51" s="2" t="str">
        <f aca="false">INDEX('Feature Data'!$W$2:$W$301,MATCH($A51,'Feature Data'!$A$2:$A$301,0))</f>
        <v>Mixed</v>
      </c>
      <c r="V51" s="2" t="n">
        <f aca="false">INDEX('Feature Data'!$P$2:$P$301,MATCH($A51,'Feature Data'!$A$2:$A$301,0))</f>
        <v>9</v>
      </c>
      <c r="W51" s="2" t="n">
        <f aca="false">INDEX(Segmentation!$R$2:$R$301,MATCH($A51,Segmentation!$A$2:$A$301,0))</f>
        <v>5</v>
      </c>
      <c r="X51" s="2" t="n">
        <f aca="false">INDEX(Segmentation!$S$2:$S$301,MATCH($A51,Segmentation!$A$2:$A$301,0))</f>
        <v>1</v>
      </c>
      <c r="Y51" s="10" t="b">
        <f aca="false">INDEX(Segmentation!$AG$2:$AG$301,MATCH($A51,Segmentation!$A$2:$A$301,0))</f>
        <v>0</v>
      </c>
      <c r="Z51" s="2" t="str">
        <f aca="false">INDEX(Segmentation!$AU$2:$AU$301,MATCH($A51,Segmentation!$A$2:$A$301,0))</f>
        <v>Not Eligible</v>
      </c>
      <c r="AA51" s="10" t="b">
        <f aca="false">INDEX(Segmentation!$Z$2:$Z$301,MATCH($A51,Segmentation!$A$2:$A$301,0))</f>
        <v>0</v>
      </c>
      <c r="AB51" s="10" t="b">
        <f aca="false">INDEX(Segmentation!$AH$2:$AH$301,MATCH($A51,Segmentation!$A$2:$A$301,0))</f>
        <v>0</v>
      </c>
      <c r="AC51" s="10" t="b">
        <f aca="false">INDEX(Segmentation!$AK$2:$AK$301,MATCH($A51,Segmentation!$A$2:$A$301,0))</f>
        <v>0</v>
      </c>
      <c r="AD51" s="10" t="b">
        <f aca="false">INDEX(Segmentation!$AQ$2:$AQ$301,MATCH($A51,Segmentation!$A$2:$A$301,0))</f>
        <v>0</v>
      </c>
      <c r="AE51" s="10" t="b">
        <f aca="false">INDEX(Segmentation!$AT$2:$AT$301,MATCH($A51,Segmentation!$A$2:$A$301,0))</f>
        <v>0</v>
      </c>
      <c r="AF51" s="10" t="b">
        <f aca="false">INDEX(Segmentation!$X$2:$X$301,MATCH($A51,Segmentation!$A$2:$A$301,0))</f>
        <v>0</v>
      </c>
      <c r="AG51" s="10" t="b">
        <f aca="false">AND(F51="Low",V51&gt;=Assumptions!$B$71,X51&lt;Assumptions!$B$72)</f>
        <v>0</v>
      </c>
      <c r="AH51" s="10" t="b">
        <f aca="false">AND(F51="Low",OR(G51="Growing",G51="Stable"),P51="Recently Active",V51&gt;=Assumptions!$B$58,K51&gt;=Assumptions!$B$73)</f>
        <v>0</v>
      </c>
      <c r="AI51" s="17" t="str">
        <f aca="false">IF(O51&gt;0,MAX(L51:N51)/O51,"")</f>
        <v/>
      </c>
      <c r="AJ51" s="2" t="str">
        <f aca="false">IF(LEFT(D51,1)="1",IF(E51="Key","MIGRATION_KEY_SIGNOFF",IF(Z51="Ready","MIGRATION_PHASE1_READY",IF(Z51="Manual Review","MIGRATION_PHASE1_REVIEW","MIGRATION_PRE_ENTRY"))),IF(LEFT(D51,1)="2","DECLINING_KEY_CORE",IF(LEFT(D51,1)="3",IF(R51="Established Buyer Lapsed","LAPSED_ESTABLISHED","LAPSED_THIN_HISTORY"),IF(LEFT(D51,1)="4",IF(Q51="New Customer","NEW_CUSTOMER","RETURNED_CUSTOMER"),IF(LEFT(D51,1)="5",IF(P51="Recently Active","COST_TO_SERVE_ACTIVE","DORMANT_LOW_VALUE"),IF(LEFT(D51,1)="6",IF(P51="Recent Inactivity","RECENT_INACTIVITY",IF(AG51,"BROWSING_LOW_OFFERS","HEALTHY_STRONG_SELF_SERVE")),IF(LEFT(D51,1)="7",IF(P51="Recent Inactivity","RECENT_INACTIVITY",IF(Q51="New Customer","NEW_CUSTOMER","RETURNED_CUSTOMER")),IF(LEFT(D51,1)="8",IF(G51="Declining",IF(T51="Engaged but shrinking (Key/Core)","ENGAGED_BUT_SHRINKING","DECLINING_KEY_CORE"),IF(R51="Established Buyer Lapsed","LAPSED_ESTABLISHED","LAPSED_THIN_HISTORY")),IF(S51,IF(P51&lt;&gt;"Recently Active","DORMANT_LOW_VALUE",IF(AG51,"BROWSING_LOW_OFFERS",IF(AH51,"RISING_TAIL","RISING_TAIL_EARLY"))),IF(AND(AG51,P51="Recently Active",OR(G51="Growing",G51="Stable",G51="H2 Active / No H1 GMV"),I51&gt;=Assumptions!$B$74),"BROWSING_LOW_OFFERS","LONG_TAIL_STANDARD"))))))))))</f>
        <v>LAPSED_THIN_HISTORY</v>
      </c>
      <c r="AK51" s="2" t="str">
        <f aca="false">INDEX('NBA Library'!$B$4:$B$21,MATCH(AJ51,'NBA Library'!$A$4:$A$21,0))</f>
        <v>Verify Demand / Win-Back</v>
      </c>
      <c r="AL51" s="2" t="str">
        <f aca="false">INDEX('NBA Library'!$C$4:$C$21,MATCH(AJ51,'NBA Library'!$A$4:$A$21,0))</f>
        <v>Human</v>
      </c>
      <c r="AM51" s="2" t="str">
        <f aca="false">IF(AA51,"HOLD — Critical Data Issue",IF(Y51,"Human Sign-Off Required",IF(Z51="Manual Review","Human Review Required",IF(AND(AL51="Automated",OR(AE51,AND(OR(AK51="Discovery-to-Offer Enablement",AK51="Reinforce Successful Behaviour"),OR(AC51,AB51)))),"Human Review Required",IF(AL51="Human","Ready — Human",IF(AL51="Hybrid","Ready — Hybrid","Ready — Automated"))))))</f>
        <v>Ready — Human</v>
      </c>
      <c r="AN51" s="2" t="str">
        <f aca="false">IF(AA51,"P0",IF(AND(AJ51="BROWSING_LOW_OFFERS",E51="Tail"),"P3",IF(AND(AM51="Human Review Required",INDEX('NBA Library'!$D$4:$D$21,MATCH(AJ51,'NBA Library'!$A$4:$A$21,0))="P4"),"P3",INDEX('NBA Library'!$D$4:$D$21,MATCH(AJ51,'NBA Library'!$A$4:$A$21,0)))))</f>
        <v>P1</v>
      </c>
      <c r="AO51" s="2" t="str">
        <f aca="false">E51&amp;" "&amp;C51&amp;" account ("&amp;B51&amp;"); "&amp;G51&amp;" momentum; "&amp;P51&amp;"; £"&amp;TEXT(H51,"#,##0")&amp;" 6m GMV. "&amp;INDEX('NBA Library'!$G$4:$G$21,MATCH(AJ51,'NBA Library'!$A$4:$A$21,0))&amp;IF(LEFT(D51,1)="1"," Baseline: "&amp;V51&amp;" PDP views, "&amp;W51&amp;" app days, "&amp;X51&amp;" offers, "&amp;TEXT(J51/I51,"0%")&amp;" of orders self-serve.","")&amp;IF(AA51," Execution on HOLD until the Duplicate status is resolved.","")&amp;IF(Y51," Key account: explicit AM/leadership sign-off required before any migration activity.","")&amp;IF(AE51," Implied broker % from order counts would move this account to a different segment; review before automating.","")</f>
        <v>Core Broker-Reliant account (Account Managed); Lapsed momentum; No Meaningful History; £3,044 6m GMV. Apparent lapse rests on 1-2 orders or a single buying month. Verify cadence rather than treating as churn.</v>
      </c>
      <c r="AP51" s="2" t="str">
        <f aca="false">INDEX('NBA Library'!$E$4:$E$21,MATCH(AJ51,'NBA Library'!$A$4:$A$21,0))&amp;IF(AND(AJ51="NEW_CUSTOMER",AG51),"; introduce Make-an-Offer on items already browsed","")</f>
        <v>Confirm expected purchase cadence (one-off, seasonal, project buyer) before calling it churn</v>
      </c>
      <c r="AQ51" s="2" t="str">
        <f aca="false">INDEX('NBA Library'!$F$4:$F$21,MATCH(AJ51,'NBA Library'!$A$4:$A$21,0))</f>
        <v>Cadence recorded and account reclassified; order within the stated cadence window</v>
      </c>
      <c r="AR51" s="2" t="str">
        <f aca="false">IF(AND(F51="Low",OR(G51="Growing",G51="Stable"),P51="Recently Active",U51&lt;&gt;"Mixed",OR(AK51="Discovery-to-Offer Enablement",AK51="Reinforce Successful Behaviour"),AM51="Ready — Automated",OR(E51&lt;&gt;"Tail",S51)),"Range Expansion Test — trial "&amp;IF(U51="Bundle-only","handpick","bundles")&amp;" (experimental; not proven to lift GMV)","")</f>
        <v/>
      </c>
      <c r="AS51" s="2" t="str">
        <f aca="false">IF(AK51&lt;&gt;"Automated Nurture","",IF(AJ51="DORMANT_LOW_VALUE","Dormant",IF(AJ51="RISING_TAIL_EARLY","Rising tail – early pattern",IF(Q51="New Customer","New customer onboarding",IF(Q51="Returned Customer","Returned customer",IF(G51="Lapsed","Dormant",IF(T51="Engaged, not converting","Engaged, not converting",IF(T51="One-off low-touch buyer","One-off purchaser",IF(T51="Light-touch repeat buyer","Light-touch repeat buyer","Standard long tail")))))))))</f>
        <v/>
      </c>
      <c r="AT51" s="2" t="str">
        <f aca="false">IF(AA51,"CRITICAL_DATA_BLOCKER; ","")&amp;IF(Y51,"KEY_SIGNOFF; ","")&amp;IF(Z51="Manual Review","PHASE1_MANUAL_REVIEW; ","")&amp;IF(AND(LEFT(D51,1)="1",AZ51="Lumpy"),"LUMPY_CADENCE; ","")&amp;IF(AB51,"BORDERLINE_MOMENTUM; ","")&amp;IF(AC51,"FEB_SENSITIVE; ","")&amp;IF(AD51,"MATERIAL_BROKER_INCONSISTENCY"&amp;IF(AE51," (segment would change)","")&amp;"; ","")&amp;IF(AND(I51&gt;=3,O51&gt;0),IF(AI51&gt;=Assumptions!$B$75,"H2_SINGLE_MONTH_SPIKE; ",""),"")&amp;IF(AND(M51&gt;0,N51=0),"NO_FEB_GMV (Feb unconfirmed); ","")&amp;IF(AF51,"LOW_CONFIDENCE; ","")</f>
        <v/>
      </c>
      <c r="AU51" s="2" t="str">
        <f aca="false">IF(LEFT(D51,1)="1",V51,"")</f>
        <v/>
      </c>
      <c r="AV51" s="2" t="str">
        <f aca="false">IF(LEFT(D51,1)="1",V51&gt;=Assumptions!$B$58,"")</f>
        <v/>
      </c>
      <c r="AW51" s="2" t="str">
        <f aca="false">IF(LEFT(D51,1)="1",W51,"")</f>
        <v/>
      </c>
      <c r="AX51" s="2" t="str">
        <f aca="false">IF(LEFT(D51,1)="1",X51,"")</f>
        <v/>
      </c>
      <c r="AY51" s="17" t="str">
        <f aca="false">IF(LEFT(D51,1)="1",J51/I51,"")</f>
        <v/>
      </c>
      <c r="AZ51" s="2" t="str">
        <f aca="false">IF(LEFT(D51,1)="1",IF(AND(K51&gt;=Assumptions!$B$83,I51&gt;=Assumptions!$B$84),"Regular","Lumpy"),"")</f>
        <v/>
      </c>
      <c r="BA51" s="2" t="str">
        <f aca="false">IF(LEFT(D51,1)="1",ROUND(6/K51,0),"")</f>
        <v/>
      </c>
      <c r="BB51" s="2" t="str">
        <f aca="false">IF(LEFT(D51,1)="1",IF(AZ51="Regular","Regular buyer: expected ~£"&amp;TEXT(H51/2,"#,##0")&amp;" per 90 days. At Risk if GMV to date &lt; "&amp;TEXT(Assumptions!$B$81,"0%")&amp;" of pro-rated expectation, checked from day "&amp;Assumptions!$B$82&amp;". Human-reviewed.","Irregular buyer ("&amp;I51&amp;" orders across "&amp;K51&amp;" months): no numeric GMV threshold. At Risk if no order within ~"&amp;BA51&amp;" month(s); AM reviews at day "&amp;Assumptions!$B$82&amp;" and "&amp;Assumptions!$B$85&amp;"."),"")</f>
        <v/>
      </c>
      <c r="BC51" s="2"/>
      <c r="BD51" s="2"/>
      <c r="BE51" s="2"/>
      <c r="BF51" s="2"/>
      <c r="BG51" s="2"/>
      <c r="BH51" s="2"/>
      <c r="BI51" s="2"/>
      <c r="BJ51" s="2" t="str">
        <f aca="false">IF(OR(NOT(LEFT(D51,1)="1"),BC51=""),"",IF(AZ51="Regular",AND(BC51&gt;=Assumptions!$B$82,N(BI51)&lt;Assumptions!$B$81*H51/180*BC51),AND(BC51&gt;=BA51*30,N(BG51)=0)))</f>
        <v/>
      </c>
      <c r="BK51" s="2" t="str">
        <f aca="false">IF(NOT(LEFT(D51,1)="1"),"N/A",IF(BC51="","Baseline",IF(BJ51,"At Risk",IF(AND(N(BD51)&gt;=Assumptions!$B$78,N(BE51)&gt;=Assumptions!$B$79,N(BH51)&gt;=1,N(BH51)/MAX(N(BG51),1)&gt;AY51),"Self-Serve Capability Demonstrated",IF(OR(N(BD51)&gt;=Assumptions!$B$76,N(BE51)&gt;=Assumptions!$B$77),"Progressing",IF(BC51&gt;=Assumptions!$B$85,"At Risk","Baseline"))))))</f>
        <v>N/A</v>
      </c>
      <c r="BL51" s="2" t="n">
        <f aca="false">(AND(C51="Broker-Reliant",OR(AK51="Discovery-to-Offer Enablement",AK51="Reinforce Successful Behaviour")))*1+(AND(G51="Declining",E51&lt;&gt;"Tail",AL51="Automated"))*1+(AND(Y51,AM51&lt;&gt;"Human Sign-Off Required"))*1+(AND(AA51,AM51&lt;&gt;"HOLD — Critical Data Issue"))*1+(AND(P51="Recent Inactivity",OR(AK51="Discovery-to-Offer Enablement",AK51="Reinforce Successful Behaviour")))*1+(AND(OR(LEFT(D51,1)="2",LEFT(D51,1)="3",LEFT(D51,1)="8"),AL51="Automated"))*1+((LEFT(D51,1)="1")&lt;&gt;(AK51="Guided Self-Serve Migration"))*1+(AND(AR51&lt;&gt;"",OR(F51&lt;&gt;"Low",U51="Mixed",AND(G51&lt;&gt;"Growing",G51&lt;&gt;"Stable"))))*1+ISNUMBER(SEARCH("chat",AP51))*1+ISNUMBER(SEARCH("video",AP51))*1+(AND(AA51,AL51="Automated",AM51&lt;&gt;"HOLD — Critical Data Issue"))*1</f>
        <v>0</v>
      </c>
    </row>
    <row r="52" customFormat="false" ht="15" hidden="false" customHeight="false" outlineLevel="0" collapsed="false">
      <c r="A52" s="2" t="s">
        <v>278</v>
      </c>
      <c r="B52" s="2" t="str">
        <f aca="false">INDEX(Segmentation!$B$2:$B$301,MATCH($A52,Segmentation!$A$2:$A$301,0))</f>
        <v>Account Managed</v>
      </c>
      <c r="C52" s="2" t="str">
        <f aca="false">INDEX(Segmentation!$H$2:$H$301,MATCH($A52,Segmentation!$A$2:$A$301,0))</f>
        <v>AM-Owned / Self-Serving</v>
      </c>
      <c r="D52" s="2" t="str">
        <f aca="false">INDEX(Segmentation!$T$2:$T$301,MATCH($A52,Segmentation!$A$2:$A$301,0))</f>
        <v>8. Retention / Reactivation</v>
      </c>
      <c r="E52" s="2" t="str">
        <f aca="false">INDEX(Segmentation!$J$2:$J$301,MATCH($A52,Segmentation!$A$2:$A$301,0))</f>
        <v>Core</v>
      </c>
      <c r="F52" s="2" t="str">
        <f aca="false">INDEX(Segmentation!$G$2:$G$301,MATCH($A52,Segmentation!$A$2:$A$301,0))</f>
        <v>Low</v>
      </c>
      <c r="G52" s="2" t="str">
        <f aca="false">INDEX(Segmentation!$N$2:$N$301,MATCH($A52,Segmentation!$A$2:$A$301,0))</f>
        <v>Declining</v>
      </c>
      <c r="H52" s="9" t="n">
        <f aca="false">INDEX(Segmentation!$I$2:$I$301,MATCH($A52,Segmentation!$A$2:$A$301,0))</f>
        <v>2992</v>
      </c>
      <c r="I52" s="2" t="n">
        <f aca="false">INDEX(Segmentation!$O$2:$O$301,MATCH($A52,Segmentation!$A$2:$A$301,0))</f>
        <v>7</v>
      </c>
      <c r="J52" s="2" t="n">
        <f aca="false">INDEX(Segmentation!$Q$2:$Q$301,MATCH($A52,Segmentation!$A$2:$A$301,0))</f>
        <v>6</v>
      </c>
      <c r="K52" s="2" t="n">
        <f aca="false">INDEX(Segmentation!$W$2:$W$301,MATCH($A52,Segmentation!$A$2:$A$301,0))</f>
        <v>4</v>
      </c>
      <c r="L52" s="9" t="n">
        <f aca="false">INDEX('Commercial View'!$L$2:$L$301,MATCH($A52,'Commercial View'!$A$2:$A$301,0))</f>
        <v>453</v>
      </c>
      <c r="M52" s="9" t="n">
        <f aca="false">INDEX('Commercial View'!$M$2:$M$301,MATCH($A52,'Commercial View'!$A$2:$A$301,0))</f>
        <v>0</v>
      </c>
      <c r="N52" s="9" t="n">
        <f aca="false">INDEX('Commercial View'!$N$2:$N$301,MATCH($A52,'Commercial View'!$A$2:$A$301,0))</f>
        <v>815</v>
      </c>
      <c r="O52" s="9" t="n">
        <f aca="false">INDEX(Segmentation!$L$2:$L$301,MATCH($A52,Segmentation!$A$2:$A$301,0))</f>
        <v>1268</v>
      </c>
      <c r="P52" s="2" t="str">
        <f aca="false">IF(OR(M52&gt;0,N52&gt;0),"Recently Active",IF(OR(I52&lt;=Assumptions!$B$48,K52&lt;=Assumptions!$B$49),"No Meaningful History","Recent Inactivity"))</f>
        <v>Recently Active</v>
      </c>
      <c r="Q52" s="2" t="str">
        <f aca="false">INDEX(Segmentation!$AF$2:$AF$301,MATCH($A52,Segmentation!$A$2:$A$301,0))</f>
        <v>Existing Customer</v>
      </c>
      <c r="R52" s="2" t="str">
        <f aca="false">INDEX(Segmentation!$AL$2:$AL$301,MATCH($A52,Segmentation!$A$2:$A$301,0))</f>
        <v>N/A</v>
      </c>
      <c r="S52" s="10" t="b">
        <f aca="false">INDEX(Segmentation!$AW$2:$AW$301,MATCH($A52,Segmentation!$A$2:$A$301,0))</f>
        <v>0</v>
      </c>
      <c r="T52" s="2" t="str">
        <f aca="false">INDEX('Feature Data'!$AD$2:$AD$301,MATCH($A52,'Feature Data'!$A$2:$A$301,0))</f>
        <v>Engaged but shrinking (Key/Core)</v>
      </c>
      <c r="U52" s="2" t="str">
        <f aca="false">INDEX('Feature Data'!$W$2:$W$301,MATCH($A52,'Feature Data'!$A$2:$A$301,0))</f>
        <v>Mixed</v>
      </c>
      <c r="V52" s="2" t="n">
        <f aca="false">INDEX('Feature Data'!$P$2:$P$301,MATCH($A52,'Feature Data'!$A$2:$A$301,0))</f>
        <v>2403</v>
      </c>
      <c r="W52" s="2" t="n">
        <f aca="false">INDEX(Segmentation!$R$2:$R$301,MATCH($A52,Segmentation!$A$2:$A$301,0))</f>
        <v>113</v>
      </c>
      <c r="X52" s="2" t="n">
        <f aca="false">INDEX(Segmentation!$S$2:$S$301,MATCH($A52,Segmentation!$A$2:$A$301,0))</f>
        <v>4</v>
      </c>
      <c r="Y52" s="10" t="b">
        <f aca="false">INDEX(Segmentation!$AG$2:$AG$301,MATCH($A52,Segmentation!$A$2:$A$301,0))</f>
        <v>0</v>
      </c>
      <c r="Z52" s="2" t="str">
        <f aca="false">INDEX(Segmentation!$AU$2:$AU$301,MATCH($A52,Segmentation!$A$2:$A$301,0))</f>
        <v>Not Eligible</v>
      </c>
      <c r="AA52" s="10" t="b">
        <f aca="false">INDEX(Segmentation!$Z$2:$Z$301,MATCH($A52,Segmentation!$A$2:$A$301,0))</f>
        <v>0</v>
      </c>
      <c r="AB52" s="10" t="b">
        <f aca="false">INDEX(Segmentation!$AH$2:$AH$301,MATCH($A52,Segmentation!$A$2:$A$301,0))</f>
        <v>0</v>
      </c>
      <c r="AC52" s="10" t="b">
        <f aca="false">INDEX(Segmentation!$AK$2:$AK$301,MATCH($A52,Segmentation!$A$2:$A$301,0))</f>
        <v>0</v>
      </c>
      <c r="AD52" s="10" t="b">
        <f aca="false">INDEX(Segmentation!$AQ$2:$AQ$301,MATCH($A52,Segmentation!$A$2:$A$301,0))</f>
        <v>0</v>
      </c>
      <c r="AE52" s="10" t="b">
        <f aca="false">INDEX(Segmentation!$AT$2:$AT$301,MATCH($A52,Segmentation!$A$2:$A$301,0))</f>
        <v>0</v>
      </c>
      <c r="AF52" s="10" t="b">
        <f aca="false">INDEX(Segmentation!$X$2:$X$301,MATCH($A52,Segmentation!$A$2:$A$301,0))</f>
        <v>0</v>
      </c>
      <c r="AG52" s="10" t="b">
        <f aca="false">AND(F52="Low",V52&gt;=Assumptions!$B$71,X52&lt;Assumptions!$B$72)</f>
        <v>0</v>
      </c>
      <c r="AH52" s="10" t="b">
        <f aca="false">AND(F52="Low",OR(G52="Growing",G52="Stable"),P52="Recently Active",V52&gt;=Assumptions!$B$58,K52&gt;=Assumptions!$B$73)</f>
        <v>0</v>
      </c>
      <c r="AI52" s="17" t="n">
        <f aca="false">IF(O52&gt;0,MAX(L52:N52)/O52,"")</f>
        <v>0.642744479495268</v>
      </c>
      <c r="AJ52" s="2" t="str">
        <f aca="false">IF(LEFT(D52,1)="1",IF(E52="Key","MIGRATION_KEY_SIGNOFF",IF(Z52="Ready","MIGRATION_PHASE1_READY",IF(Z52="Manual Review","MIGRATION_PHASE1_REVIEW","MIGRATION_PRE_ENTRY"))),IF(LEFT(D52,1)="2","DECLINING_KEY_CORE",IF(LEFT(D52,1)="3",IF(R52="Established Buyer Lapsed","LAPSED_ESTABLISHED","LAPSED_THIN_HISTORY"),IF(LEFT(D52,1)="4",IF(Q52="New Customer","NEW_CUSTOMER","RETURNED_CUSTOMER"),IF(LEFT(D52,1)="5",IF(P52="Recently Active","COST_TO_SERVE_ACTIVE","DORMANT_LOW_VALUE"),IF(LEFT(D52,1)="6",IF(P52="Recent Inactivity","RECENT_INACTIVITY",IF(AG52,"BROWSING_LOW_OFFERS","HEALTHY_STRONG_SELF_SERVE")),IF(LEFT(D52,1)="7",IF(P52="Recent Inactivity","RECENT_INACTIVITY",IF(Q52="New Customer","NEW_CUSTOMER","RETURNED_CUSTOMER")),IF(LEFT(D52,1)="8",IF(G52="Declining",IF(T52="Engaged but shrinking (Key/Core)","ENGAGED_BUT_SHRINKING","DECLINING_KEY_CORE"),IF(R52="Established Buyer Lapsed","LAPSED_ESTABLISHED","LAPSED_THIN_HISTORY")),IF(S52,IF(P52&lt;&gt;"Recently Active","DORMANT_LOW_VALUE",IF(AG52,"BROWSING_LOW_OFFERS",IF(AH52,"RISING_TAIL","RISING_TAIL_EARLY"))),IF(AND(AG52,P52="Recently Active",OR(G52="Growing",G52="Stable",G52="H2 Active / No H1 GMV"),I52&gt;=Assumptions!$B$74),"BROWSING_LOW_OFFERS","LONG_TAIL_STANDARD"))))))))))</f>
        <v>ENGAGED_BUT_SHRINKING</v>
      </c>
      <c r="AK52" s="2" t="str">
        <f aca="false">INDEX('NBA Library'!$B$4:$B$21,MATCH(AJ52,'NBA Library'!$A$4:$A$21,0))</f>
        <v>Retention Conversation</v>
      </c>
      <c r="AL52" s="2" t="str">
        <f aca="false">INDEX('NBA Library'!$C$4:$C$21,MATCH(AJ52,'NBA Library'!$A$4:$A$21,0))</f>
        <v>Human</v>
      </c>
      <c r="AM52" s="2" t="str">
        <f aca="false">IF(AA52,"HOLD — Critical Data Issue",IF(Y52,"Human Sign-Off Required",IF(Z52="Manual Review","Human Review Required",IF(AND(AL52="Automated",OR(AE52,AND(OR(AK52="Discovery-to-Offer Enablement",AK52="Reinforce Successful Behaviour"),OR(AC52,AB52)))),"Human Review Required",IF(AL52="Human","Ready — Human",IF(AL52="Hybrid","Ready — Hybrid","Ready — Automated"))))))</f>
        <v>Ready — Human</v>
      </c>
      <c r="AN52" s="2" t="str">
        <f aca="false">IF(AA52,"P0",IF(AND(AJ52="BROWSING_LOW_OFFERS",E52="Tail"),"P3",IF(AND(AM52="Human Review Required",INDEX('NBA Library'!$D$4:$D$21,MATCH(AJ52,'NBA Library'!$A$4:$A$21,0))="P4"),"P3",INDEX('NBA Library'!$D$4:$D$21,MATCH(AJ52,'NBA Library'!$A$4:$A$21,0)))))</f>
        <v>P1</v>
      </c>
      <c r="AO52" s="2" t="str">
        <f aca="false">E52&amp;" "&amp;C52&amp;" account ("&amp;B52&amp;"); "&amp;G52&amp;" momentum; "&amp;P52&amp;"; £"&amp;TEXT(H52,"#,##0")&amp;" 6m GMV. "&amp;INDEX('NBA Library'!$G$4:$G$21,MATCH(AJ52,'NBA Library'!$A$4:$A$21,0))&amp;IF(LEFT(D52,1)="1"," Baseline: "&amp;V52&amp;" PDP views, "&amp;W52&amp;" app days, "&amp;X52&amp;" offers, "&amp;TEXT(J52/I52,"0%")&amp;" of orders self-serve.","")&amp;IF(AA52," Execution on HOLD until the Duplicate status is resolved.","")&amp;IF(Y52," Key account: explicit AM/leadership sign-off required before any migration activity.","")&amp;IF(AE52," Implied broker % from order counts would move this account to a different segment; review before automating.","")</f>
        <v>Core AM-Owned / Self-Serving account (Account Managed); Declining momentum; Recently Active; £2,992 6m GMV. Already heavily self-serving (high browsing / offers) but spend is falling. Product adoption is not the issue.</v>
      </c>
      <c r="AP52" s="2" t="str">
        <f aca="false">INDEX('NBA Library'!$E$4:$E$21,MATCH(AJ52,'NBA Library'!$A$4:$A$21,0))&amp;IF(AND(AJ52="NEW_CUSTOMER",AG52),"; introduce Make-an-Offer on items already browsed","")</f>
        <v>AM investigates supply, price, competition or conversion friction; no additional product nudges</v>
      </c>
      <c r="AQ52" s="2" t="str">
        <f aca="false">INDEX('NBA Library'!$F$4:$F$21,MATCH(AJ52,'NBA Library'!$A$4:$A$21,0))</f>
        <v>Root cause logged; next 90-day GMV back to at least the Sep-Nov (H1) level</v>
      </c>
      <c r="AR52" s="2" t="str">
        <f aca="false">IF(AND(F52="Low",OR(G52="Growing",G52="Stable"),P52="Recently Active",U52&lt;&gt;"Mixed",OR(AK52="Discovery-to-Offer Enablement",AK52="Reinforce Successful Behaviour"),AM52="Ready — Automated",OR(E52&lt;&gt;"Tail",S52)),"Range Expansion Test — trial "&amp;IF(U52="Bundle-only","handpick","bundles")&amp;" (experimental; not proven to lift GMV)","")</f>
        <v/>
      </c>
      <c r="AS52" s="2" t="str">
        <f aca="false">IF(AK52&lt;&gt;"Automated Nurture","",IF(AJ52="DORMANT_LOW_VALUE","Dormant",IF(AJ52="RISING_TAIL_EARLY","Rising tail – early pattern",IF(Q52="New Customer","New customer onboarding",IF(Q52="Returned Customer","Returned customer",IF(G52="Lapsed","Dormant",IF(T52="Engaged, not converting","Engaged, not converting",IF(T52="One-off low-touch buyer","One-off purchaser",IF(T52="Light-touch repeat buyer","Light-touch repeat buyer","Standard long tail")))))))))</f>
        <v/>
      </c>
      <c r="AT52" s="2" t="str">
        <f aca="false">IF(AA52,"CRITICAL_DATA_BLOCKER; ","")&amp;IF(Y52,"KEY_SIGNOFF; ","")&amp;IF(Z52="Manual Review","PHASE1_MANUAL_REVIEW; ","")&amp;IF(AND(LEFT(D52,1)="1",AZ52="Lumpy"),"LUMPY_CADENCE; ","")&amp;IF(AB52,"BORDERLINE_MOMENTUM; ","")&amp;IF(AC52,"FEB_SENSITIVE; ","")&amp;IF(AD52,"MATERIAL_BROKER_INCONSISTENCY"&amp;IF(AE52," (segment would change)","")&amp;"; ","")&amp;IF(AND(I52&gt;=3,O52&gt;0),IF(AI52&gt;=Assumptions!$B$75,"H2_SINGLE_MONTH_SPIKE; ",""),"")&amp;IF(AND(M52&gt;0,N52=0),"NO_FEB_GMV (Feb unconfirmed); ","")&amp;IF(AF52,"LOW_CONFIDENCE; ","")</f>
        <v/>
      </c>
      <c r="AU52" s="2" t="str">
        <f aca="false">IF(LEFT(D52,1)="1",V52,"")</f>
        <v/>
      </c>
      <c r="AV52" s="2" t="str">
        <f aca="false">IF(LEFT(D52,1)="1",V52&gt;=Assumptions!$B$58,"")</f>
        <v/>
      </c>
      <c r="AW52" s="2" t="str">
        <f aca="false">IF(LEFT(D52,1)="1",W52,"")</f>
        <v/>
      </c>
      <c r="AX52" s="2" t="str">
        <f aca="false">IF(LEFT(D52,1)="1",X52,"")</f>
        <v/>
      </c>
      <c r="AY52" s="17" t="str">
        <f aca="false">IF(LEFT(D52,1)="1",J52/I52,"")</f>
        <v/>
      </c>
      <c r="AZ52" s="2" t="str">
        <f aca="false">IF(LEFT(D52,1)="1",IF(AND(K52&gt;=Assumptions!$B$83,I52&gt;=Assumptions!$B$84),"Regular","Lumpy"),"")</f>
        <v/>
      </c>
      <c r="BA52" s="2" t="str">
        <f aca="false">IF(LEFT(D52,1)="1",ROUND(6/K52,0),"")</f>
        <v/>
      </c>
      <c r="BB52" s="2" t="str">
        <f aca="false">IF(LEFT(D52,1)="1",IF(AZ52="Regular","Regular buyer: expected ~£"&amp;TEXT(H52/2,"#,##0")&amp;" per 90 days. At Risk if GMV to date &lt; "&amp;TEXT(Assumptions!$B$81,"0%")&amp;" of pro-rated expectation, checked from day "&amp;Assumptions!$B$82&amp;". Human-reviewed.","Irregular buyer ("&amp;I52&amp;" orders across "&amp;K52&amp;" months): no numeric GMV threshold. At Risk if no order within ~"&amp;BA52&amp;" month(s); AM reviews at day "&amp;Assumptions!$B$82&amp;" and "&amp;Assumptions!$B$85&amp;"."),"")</f>
        <v/>
      </c>
      <c r="BC52" s="2"/>
      <c r="BD52" s="2"/>
      <c r="BE52" s="2"/>
      <c r="BF52" s="2"/>
      <c r="BG52" s="2"/>
      <c r="BH52" s="2"/>
      <c r="BI52" s="2"/>
      <c r="BJ52" s="2" t="str">
        <f aca="false">IF(OR(NOT(LEFT(D52,1)="1"),BC52=""),"",IF(AZ52="Regular",AND(BC52&gt;=Assumptions!$B$82,N(BI52)&lt;Assumptions!$B$81*H52/180*BC52),AND(BC52&gt;=BA52*30,N(BG52)=0)))</f>
        <v/>
      </c>
      <c r="BK52" s="2" t="str">
        <f aca="false">IF(NOT(LEFT(D52,1)="1"),"N/A",IF(BC52="","Baseline",IF(BJ52,"At Risk",IF(AND(N(BD52)&gt;=Assumptions!$B$78,N(BE52)&gt;=Assumptions!$B$79,N(BH52)&gt;=1,N(BH52)/MAX(N(BG52),1)&gt;AY52),"Self-Serve Capability Demonstrated",IF(OR(N(BD52)&gt;=Assumptions!$B$76,N(BE52)&gt;=Assumptions!$B$77),"Progressing",IF(BC52&gt;=Assumptions!$B$85,"At Risk","Baseline"))))))</f>
        <v>N/A</v>
      </c>
      <c r="BL52" s="2" t="n">
        <f aca="false">(AND(C52="Broker-Reliant",OR(AK52="Discovery-to-Offer Enablement",AK52="Reinforce Successful Behaviour")))*1+(AND(G52="Declining",E52&lt;&gt;"Tail",AL52="Automated"))*1+(AND(Y52,AM52&lt;&gt;"Human Sign-Off Required"))*1+(AND(AA52,AM52&lt;&gt;"HOLD — Critical Data Issue"))*1+(AND(P52="Recent Inactivity",OR(AK52="Discovery-to-Offer Enablement",AK52="Reinforce Successful Behaviour")))*1+(AND(OR(LEFT(D52,1)="2",LEFT(D52,1)="3",LEFT(D52,1)="8"),AL52="Automated"))*1+((LEFT(D52,1)="1")&lt;&gt;(AK52="Guided Self-Serve Migration"))*1+(AND(AR52&lt;&gt;"",OR(F52&lt;&gt;"Low",U52="Mixed",AND(G52&lt;&gt;"Growing",G52&lt;&gt;"Stable"))))*1+ISNUMBER(SEARCH("chat",AP52))*1+ISNUMBER(SEARCH("video",AP52))*1+(AND(AA52,AL52="Automated",AM52&lt;&gt;"HOLD — Critical Data Issue"))*1</f>
        <v>0</v>
      </c>
    </row>
    <row r="53" customFormat="false" ht="15" hidden="false" customHeight="false" outlineLevel="0" collapsed="false">
      <c r="A53" s="2" t="s">
        <v>281</v>
      </c>
      <c r="B53" s="2" t="str">
        <f aca="false">INDEX(Segmentation!$B$2:$B$301,MATCH($A53,Segmentation!$A$2:$A$301,0))</f>
        <v>Account Managed</v>
      </c>
      <c r="C53" s="2" t="str">
        <f aca="false">INDEX(Segmentation!$H$2:$H$301,MATCH($A53,Segmentation!$A$2:$A$301,0))</f>
        <v>Broker-Reliant</v>
      </c>
      <c r="D53" s="2" t="str">
        <f aca="false">INDEX(Segmentation!$T$2:$T$301,MATCH($A53,Segmentation!$A$2:$A$301,0))</f>
        <v>2. Protect / Retain First</v>
      </c>
      <c r="E53" s="2" t="str">
        <f aca="false">INDEX(Segmentation!$J$2:$J$301,MATCH($A53,Segmentation!$A$2:$A$301,0))</f>
        <v>Core</v>
      </c>
      <c r="F53" s="2" t="str">
        <f aca="false">INDEX(Segmentation!$G$2:$G$301,MATCH($A53,Segmentation!$A$2:$A$301,0))</f>
        <v>High</v>
      </c>
      <c r="G53" s="2" t="str">
        <f aca="false">INDEX(Segmentation!$N$2:$N$301,MATCH($A53,Segmentation!$A$2:$A$301,0))</f>
        <v>Declining</v>
      </c>
      <c r="H53" s="9" t="n">
        <f aca="false">INDEX(Segmentation!$I$2:$I$301,MATCH($A53,Segmentation!$A$2:$A$301,0))</f>
        <v>2952</v>
      </c>
      <c r="I53" s="2" t="n">
        <f aca="false">INDEX(Segmentation!$O$2:$O$301,MATCH($A53,Segmentation!$A$2:$A$301,0))</f>
        <v>8</v>
      </c>
      <c r="J53" s="2" t="n">
        <f aca="false">INDEX(Segmentation!$Q$2:$Q$301,MATCH($A53,Segmentation!$A$2:$A$301,0))</f>
        <v>3</v>
      </c>
      <c r="K53" s="2" t="n">
        <f aca="false">INDEX(Segmentation!$W$2:$W$301,MATCH($A53,Segmentation!$A$2:$A$301,0))</f>
        <v>3</v>
      </c>
      <c r="L53" s="9" t="n">
        <f aca="false">INDEX('Commercial View'!$L$2:$L$301,MATCH($A53,'Commercial View'!$A$2:$A$301,0))</f>
        <v>703</v>
      </c>
      <c r="M53" s="9" t="n">
        <f aca="false">INDEX('Commercial View'!$M$2:$M$301,MATCH($A53,'Commercial View'!$A$2:$A$301,0))</f>
        <v>0</v>
      </c>
      <c r="N53" s="9" t="n">
        <f aca="false">INDEX('Commercial View'!$N$2:$N$301,MATCH($A53,'Commercial View'!$A$2:$A$301,0))</f>
        <v>0</v>
      </c>
      <c r="O53" s="9" t="n">
        <f aca="false">INDEX(Segmentation!$L$2:$L$301,MATCH($A53,Segmentation!$A$2:$A$301,0))</f>
        <v>703</v>
      </c>
      <c r="P53" s="2" t="str">
        <f aca="false">IF(OR(M53&gt;0,N53&gt;0),"Recently Active",IF(OR(I53&lt;=Assumptions!$B$48,K53&lt;=Assumptions!$B$49),"No Meaningful History","Recent Inactivity"))</f>
        <v>Recent Inactivity</v>
      </c>
      <c r="Q53" s="2" t="str">
        <f aca="false">INDEX(Segmentation!$AF$2:$AF$301,MATCH($A53,Segmentation!$A$2:$A$301,0))</f>
        <v>Existing Customer</v>
      </c>
      <c r="R53" s="2" t="str">
        <f aca="false">INDEX(Segmentation!$AL$2:$AL$301,MATCH($A53,Segmentation!$A$2:$A$301,0))</f>
        <v>N/A</v>
      </c>
      <c r="S53" s="10" t="b">
        <f aca="false">INDEX(Segmentation!$AW$2:$AW$301,MATCH($A53,Segmentation!$A$2:$A$301,0))</f>
        <v>0</v>
      </c>
      <c r="T53" s="2" t="str">
        <f aca="false">INDEX('Feature Data'!$AD$2:$AD$301,MATCH($A53,'Feature Data'!$A$2:$A$301,0))</f>
        <v>Broker-led, product-blind</v>
      </c>
      <c r="U53" s="2" t="str">
        <f aca="false">INDEX('Feature Data'!$W$2:$W$301,MATCH($A53,'Feature Data'!$A$2:$A$301,0))</f>
        <v>Mixed</v>
      </c>
      <c r="V53" s="2" t="n">
        <f aca="false">INDEX('Feature Data'!$P$2:$P$301,MATCH($A53,'Feature Data'!$A$2:$A$301,0))</f>
        <v>8</v>
      </c>
      <c r="W53" s="2" t="n">
        <f aca="false">INDEX(Segmentation!$R$2:$R$301,MATCH($A53,Segmentation!$A$2:$A$301,0))</f>
        <v>6</v>
      </c>
      <c r="X53" s="2" t="n">
        <f aca="false">INDEX(Segmentation!$S$2:$S$301,MATCH($A53,Segmentation!$A$2:$A$301,0))</f>
        <v>2</v>
      </c>
      <c r="Y53" s="10" t="b">
        <f aca="false">INDEX(Segmentation!$AG$2:$AG$301,MATCH($A53,Segmentation!$A$2:$A$301,0))</f>
        <v>0</v>
      </c>
      <c r="Z53" s="2" t="str">
        <f aca="false">INDEX(Segmentation!$AU$2:$AU$301,MATCH($A53,Segmentation!$A$2:$A$301,0))</f>
        <v>Not Eligible</v>
      </c>
      <c r="AA53" s="10" t="b">
        <f aca="false">INDEX(Segmentation!$Z$2:$Z$301,MATCH($A53,Segmentation!$A$2:$A$301,0))</f>
        <v>0</v>
      </c>
      <c r="AB53" s="10" t="b">
        <f aca="false">INDEX(Segmentation!$AH$2:$AH$301,MATCH($A53,Segmentation!$A$2:$A$301,0))</f>
        <v>0</v>
      </c>
      <c r="AC53" s="10" t="b">
        <f aca="false">INDEX(Segmentation!$AK$2:$AK$301,MATCH($A53,Segmentation!$A$2:$A$301,0))</f>
        <v>0</v>
      </c>
      <c r="AD53" s="10" t="b">
        <f aca="false">INDEX(Segmentation!$AQ$2:$AQ$301,MATCH($A53,Segmentation!$A$2:$A$301,0))</f>
        <v>0</v>
      </c>
      <c r="AE53" s="10" t="b">
        <f aca="false">INDEX(Segmentation!$AT$2:$AT$301,MATCH($A53,Segmentation!$A$2:$A$301,0))</f>
        <v>0</v>
      </c>
      <c r="AF53" s="10" t="b">
        <f aca="false">INDEX(Segmentation!$X$2:$X$301,MATCH($A53,Segmentation!$A$2:$A$301,0))</f>
        <v>0</v>
      </c>
      <c r="AG53" s="10" t="b">
        <f aca="false">AND(F53="Low",V53&gt;=Assumptions!$B$71,X53&lt;Assumptions!$B$72)</f>
        <v>0</v>
      </c>
      <c r="AH53" s="10" t="b">
        <f aca="false">AND(F53="Low",OR(G53="Growing",G53="Stable"),P53="Recently Active",V53&gt;=Assumptions!$B$58,K53&gt;=Assumptions!$B$73)</f>
        <v>0</v>
      </c>
      <c r="AI53" s="17" t="n">
        <f aca="false">IF(O53&gt;0,MAX(L53:N53)/O53,"")</f>
        <v>1</v>
      </c>
      <c r="AJ53" s="2" t="str">
        <f aca="false">IF(LEFT(D53,1)="1",IF(E53="Key","MIGRATION_KEY_SIGNOFF",IF(Z53="Ready","MIGRATION_PHASE1_READY",IF(Z53="Manual Review","MIGRATION_PHASE1_REVIEW","MIGRATION_PRE_ENTRY"))),IF(LEFT(D53,1)="2","DECLINING_KEY_CORE",IF(LEFT(D53,1)="3",IF(R53="Established Buyer Lapsed","LAPSED_ESTABLISHED","LAPSED_THIN_HISTORY"),IF(LEFT(D53,1)="4",IF(Q53="New Customer","NEW_CUSTOMER","RETURNED_CUSTOMER"),IF(LEFT(D53,1)="5",IF(P53="Recently Active","COST_TO_SERVE_ACTIVE","DORMANT_LOW_VALUE"),IF(LEFT(D53,1)="6",IF(P53="Recent Inactivity","RECENT_INACTIVITY",IF(AG53,"BROWSING_LOW_OFFERS","HEALTHY_STRONG_SELF_SERVE")),IF(LEFT(D53,1)="7",IF(P53="Recent Inactivity","RECENT_INACTIVITY",IF(Q53="New Customer","NEW_CUSTOMER","RETURNED_CUSTOMER")),IF(LEFT(D53,1)="8",IF(G53="Declining",IF(T53="Engaged but shrinking (Key/Core)","ENGAGED_BUT_SHRINKING","DECLINING_KEY_CORE"),IF(R53="Established Buyer Lapsed","LAPSED_ESTABLISHED","LAPSED_THIN_HISTORY")),IF(S53,IF(P53&lt;&gt;"Recently Active","DORMANT_LOW_VALUE",IF(AG53,"BROWSING_LOW_OFFERS",IF(AH53,"RISING_TAIL","RISING_TAIL_EARLY"))),IF(AND(AG53,P53="Recently Active",OR(G53="Growing",G53="Stable",G53="H2 Active / No H1 GMV"),I53&gt;=Assumptions!$B$74),"BROWSING_LOW_OFFERS","LONG_TAIL_STANDARD"))))))))))</f>
        <v>DECLINING_KEY_CORE</v>
      </c>
      <c r="AK53" s="2" t="str">
        <f aca="false">INDEX('NBA Library'!$B$4:$B$21,MATCH(AJ53,'NBA Library'!$A$4:$A$21,0))</f>
        <v>Retention Conversation</v>
      </c>
      <c r="AL53" s="2" t="str">
        <f aca="false">INDEX('NBA Library'!$C$4:$C$21,MATCH(AJ53,'NBA Library'!$A$4:$A$21,0))</f>
        <v>Human</v>
      </c>
      <c r="AM53" s="2" t="str">
        <f aca="false">IF(AA53,"HOLD — Critical Data Issue",IF(Y53,"Human Sign-Off Required",IF(Z53="Manual Review","Human Review Required",IF(AND(AL53="Automated",OR(AE53,AND(OR(AK53="Discovery-to-Offer Enablement",AK53="Reinforce Successful Behaviour"),OR(AC53,AB53)))),"Human Review Required",IF(AL53="Human","Ready — Human",IF(AL53="Hybrid","Ready — Hybrid","Ready — Automated"))))))</f>
        <v>Ready — Human</v>
      </c>
      <c r="AN53" s="2" t="str">
        <f aca="false">IF(AA53,"P0",IF(AND(AJ53="BROWSING_LOW_OFFERS",E53="Tail"),"P3",IF(AND(AM53="Human Review Required",INDEX('NBA Library'!$D$4:$D$21,MATCH(AJ53,'NBA Library'!$A$4:$A$21,0))="P4"),"P3",INDEX('NBA Library'!$D$4:$D$21,MATCH(AJ53,'NBA Library'!$A$4:$A$21,0)))))</f>
        <v>P1</v>
      </c>
      <c r="AO53" s="2" t="str">
        <f aca="false">E53&amp;" "&amp;C53&amp;" account ("&amp;B53&amp;"); "&amp;G53&amp;" momentum; "&amp;P53&amp;"; £"&amp;TEXT(H53,"#,##0")&amp;" 6m GMV. "&amp;INDEX('NBA Library'!$G$4:$G$21,MATCH(AJ53,'NBA Library'!$A$4:$A$21,0))&amp;IF(LEFT(D53,1)="1"," Baseline: "&amp;V53&amp;" PDP views, "&amp;W53&amp;" app days, "&amp;X53&amp;" offers, "&amp;TEXT(J53/I53,"0%")&amp;" of orders self-serve.","")&amp;IF(AA53," Execution on HOLD until the Duplicate status is resolved.","")&amp;IF(Y53," Key account: explicit AM/leadership sign-off required before any migration activity.","")&amp;IF(AE53," Implied broker % from order counts would move this account to a different segment; review before automating.","")</f>
        <v>Core Broker-Reliant account (Account Managed); Declining momentum; Recent Inactivity; £2,952 6m GMV. Broker-led spend is falling. Keep human support in place; AM to diagnose the cause before any migration or product nudge.</v>
      </c>
      <c r="AP53" s="2" t="str">
        <f aca="false">INDEX('NBA Library'!$E$4:$E$21,MATCH(AJ53,'NBA Library'!$A$4:$A$21,0))&amp;IF(AND(AJ53="NEW_CUSTOMER",AG53),"; introduce Make-an-Offer on items already browsed","")</f>
        <v>AM diagnoses the cause of falling spend (supply, price, service, competitor) and agrees a recovery plan; keep human support in place</v>
      </c>
      <c r="AQ53" s="2" t="str">
        <f aca="false">INDEX('NBA Library'!$F$4:$F$21,MATCH(AJ53,'NBA Library'!$A$4:$A$21,0))</f>
        <v>Next 90-day GMV back to at least the Sep-Nov (H1) level, or decline arrested; root cause logged</v>
      </c>
      <c r="AR53" s="2" t="str">
        <f aca="false">IF(AND(F53="Low",OR(G53="Growing",G53="Stable"),P53="Recently Active",U53&lt;&gt;"Mixed",OR(AK53="Discovery-to-Offer Enablement",AK53="Reinforce Successful Behaviour"),AM53="Ready — Automated",OR(E53&lt;&gt;"Tail",S53)),"Range Expansion Test — trial "&amp;IF(U53="Bundle-only","handpick","bundles")&amp;" (experimental; not proven to lift GMV)","")</f>
        <v/>
      </c>
      <c r="AS53" s="2" t="str">
        <f aca="false">IF(AK53&lt;&gt;"Automated Nurture","",IF(AJ53="DORMANT_LOW_VALUE","Dormant",IF(AJ53="RISING_TAIL_EARLY","Rising tail – early pattern",IF(Q53="New Customer","New customer onboarding",IF(Q53="Returned Customer","Returned customer",IF(G53="Lapsed","Dormant",IF(T53="Engaged, not converting","Engaged, not converting",IF(T53="One-off low-touch buyer","One-off purchaser",IF(T53="Light-touch repeat buyer","Light-touch repeat buyer","Standard long tail")))))))))</f>
        <v/>
      </c>
      <c r="AT53" s="2" t="str">
        <f aca="false">IF(AA53,"CRITICAL_DATA_BLOCKER; ","")&amp;IF(Y53,"KEY_SIGNOFF; ","")&amp;IF(Z53="Manual Review","PHASE1_MANUAL_REVIEW; ","")&amp;IF(AND(LEFT(D53,1)="1",AZ53="Lumpy"),"LUMPY_CADENCE; ","")&amp;IF(AB53,"BORDERLINE_MOMENTUM; ","")&amp;IF(AC53,"FEB_SENSITIVE; ","")&amp;IF(AD53,"MATERIAL_BROKER_INCONSISTENCY"&amp;IF(AE53," (segment would change)","")&amp;"; ","")&amp;IF(AND(I53&gt;=3,O53&gt;0),IF(AI53&gt;=Assumptions!$B$75,"H2_SINGLE_MONTH_SPIKE; ",""),"")&amp;IF(AND(M53&gt;0,N53=0),"NO_FEB_GMV (Feb unconfirmed); ","")&amp;IF(AF53,"LOW_CONFIDENCE; ","")</f>
        <v>H2_SINGLE_MONTH_SPIKE; </v>
      </c>
      <c r="AU53" s="2" t="str">
        <f aca="false">IF(LEFT(D53,1)="1",V53,"")</f>
        <v/>
      </c>
      <c r="AV53" s="2" t="str">
        <f aca="false">IF(LEFT(D53,1)="1",V53&gt;=Assumptions!$B$58,"")</f>
        <v/>
      </c>
      <c r="AW53" s="2" t="str">
        <f aca="false">IF(LEFT(D53,1)="1",W53,"")</f>
        <v/>
      </c>
      <c r="AX53" s="2" t="str">
        <f aca="false">IF(LEFT(D53,1)="1",X53,"")</f>
        <v/>
      </c>
      <c r="AY53" s="17" t="str">
        <f aca="false">IF(LEFT(D53,1)="1",J53/I53,"")</f>
        <v/>
      </c>
      <c r="AZ53" s="2" t="str">
        <f aca="false">IF(LEFT(D53,1)="1",IF(AND(K53&gt;=Assumptions!$B$83,I53&gt;=Assumptions!$B$84),"Regular","Lumpy"),"")</f>
        <v/>
      </c>
      <c r="BA53" s="2" t="str">
        <f aca="false">IF(LEFT(D53,1)="1",ROUND(6/K53,0),"")</f>
        <v/>
      </c>
      <c r="BB53" s="2" t="str">
        <f aca="false">IF(LEFT(D53,1)="1",IF(AZ53="Regular","Regular buyer: expected ~£"&amp;TEXT(H53/2,"#,##0")&amp;" per 90 days. At Risk if GMV to date &lt; "&amp;TEXT(Assumptions!$B$81,"0%")&amp;" of pro-rated expectation, checked from day "&amp;Assumptions!$B$82&amp;". Human-reviewed.","Irregular buyer ("&amp;I53&amp;" orders across "&amp;K53&amp;" months): no numeric GMV threshold. At Risk if no order within ~"&amp;BA53&amp;" month(s); AM reviews at day "&amp;Assumptions!$B$82&amp;" and "&amp;Assumptions!$B$85&amp;"."),"")</f>
        <v/>
      </c>
      <c r="BC53" s="2"/>
      <c r="BD53" s="2"/>
      <c r="BE53" s="2"/>
      <c r="BF53" s="2"/>
      <c r="BG53" s="2"/>
      <c r="BH53" s="2"/>
      <c r="BI53" s="2"/>
      <c r="BJ53" s="2" t="str">
        <f aca="false">IF(OR(NOT(LEFT(D53,1)="1"),BC53=""),"",IF(AZ53="Regular",AND(BC53&gt;=Assumptions!$B$82,N(BI53)&lt;Assumptions!$B$81*H53/180*BC53),AND(BC53&gt;=BA53*30,N(BG53)=0)))</f>
        <v/>
      </c>
      <c r="BK53" s="2" t="str">
        <f aca="false">IF(NOT(LEFT(D53,1)="1"),"N/A",IF(BC53="","Baseline",IF(BJ53,"At Risk",IF(AND(N(BD53)&gt;=Assumptions!$B$78,N(BE53)&gt;=Assumptions!$B$79,N(BH53)&gt;=1,N(BH53)/MAX(N(BG53),1)&gt;AY53),"Self-Serve Capability Demonstrated",IF(OR(N(BD53)&gt;=Assumptions!$B$76,N(BE53)&gt;=Assumptions!$B$77),"Progressing",IF(BC53&gt;=Assumptions!$B$85,"At Risk","Baseline"))))))</f>
        <v>N/A</v>
      </c>
      <c r="BL53" s="2" t="n">
        <f aca="false">(AND(C53="Broker-Reliant",OR(AK53="Discovery-to-Offer Enablement",AK53="Reinforce Successful Behaviour")))*1+(AND(G53="Declining",E53&lt;&gt;"Tail",AL53="Automated"))*1+(AND(Y53,AM53&lt;&gt;"Human Sign-Off Required"))*1+(AND(AA53,AM53&lt;&gt;"HOLD — Critical Data Issue"))*1+(AND(P53="Recent Inactivity",OR(AK53="Discovery-to-Offer Enablement",AK53="Reinforce Successful Behaviour")))*1+(AND(OR(LEFT(D53,1)="2",LEFT(D53,1)="3",LEFT(D53,1)="8"),AL53="Automated"))*1+((LEFT(D53,1)="1")&lt;&gt;(AK53="Guided Self-Serve Migration"))*1+(AND(AR53&lt;&gt;"",OR(F53&lt;&gt;"Low",U53="Mixed",AND(G53&lt;&gt;"Growing",G53&lt;&gt;"Stable"))))*1+ISNUMBER(SEARCH("chat",AP53))*1+ISNUMBER(SEARCH("video",AP53))*1+(AND(AA53,AL53="Automated",AM53&lt;&gt;"HOLD — Critical Data Issue"))*1</f>
        <v>0</v>
      </c>
    </row>
    <row r="54" customFormat="false" ht="15" hidden="false" customHeight="false" outlineLevel="0" collapsed="false">
      <c r="A54" s="2" t="s">
        <v>284</v>
      </c>
      <c r="B54" s="2" t="str">
        <f aca="false">INDEX(Segmentation!$B$2:$B$301,MATCH($A54,Segmentation!$A$2:$A$301,0))</f>
        <v>Account Managed</v>
      </c>
      <c r="C54" s="2" t="str">
        <f aca="false">INDEX(Segmentation!$H$2:$H$301,MATCH($A54,Segmentation!$A$2:$A$301,0))</f>
        <v>Broker-Reliant</v>
      </c>
      <c r="D54" s="2" t="str">
        <f aca="false">INDEX(Segmentation!$T$2:$T$301,MATCH($A54,Segmentation!$A$2:$A$301,0))</f>
        <v>2. Protect / Retain First</v>
      </c>
      <c r="E54" s="2" t="str">
        <f aca="false">INDEX(Segmentation!$J$2:$J$301,MATCH($A54,Segmentation!$A$2:$A$301,0))</f>
        <v>Core</v>
      </c>
      <c r="F54" s="2" t="str">
        <f aca="false">INDEX(Segmentation!$G$2:$G$301,MATCH($A54,Segmentation!$A$2:$A$301,0))</f>
        <v>High</v>
      </c>
      <c r="G54" s="2" t="str">
        <f aca="false">INDEX(Segmentation!$N$2:$N$301,MATCH($A54,Segmentation!$A$2:$A$301,0))</f>
        <v>Declining</v>
      </c>
      <c r="H54" s="9" t="n">
        <f aca="false">INDEX(Segmentation!$I$2:$I$301,MATCH($A54,Segmentation!$A$2:$A$301,0))</f>
        <v>2581</v>
      </c>
      <c r="I54" s="2" t="n">
        <f aca="false">INDEX(Segmentation!$O$2:$O$301,MATCH($A54,Segmentation!$A$2:$A$301,0))</f>
        <v>7</v>
      </c>
      <c r="J54" s="2" t="n">
        <f aca="false">INDEX(Segmentation!$Q$2:$Q$301,MATCH($A54,Segmentation!$A$2:$A$301,0))</f>
        <v>1</v>
      </c>
      <c r="K54" s="2" t="n">
        <f aca="false">INDEX(Segmentation!$W$2:$W$301,MATCH($A54,Segmentation!$A$2:$A$301,0))</f>
        <v>4</v>
      </c>
      <c r="L54" s="9" t="n">
        <f aca="false">INDEX('Commercial View'!$L$2:$L$301,MATCH($A54,'Commercial View'!$A$2:$A$301,0))</f>
        <v>0</v>
      </c>
      <c r="M54" s="9" t="n">
        <f aca="false">INDEX('Commercial View'!$M$2:$M$301,MATCH($A54,'Commercial View'!$A$2:$A$301,0))</f>
        <v>0</v>
      </c>
      <c r="N54" s="9" t="n">
        <f aca="false">INDEX('Commercial View'!$N$2:$N$301,MATCH($A54,'Commercial View'!$A$2:$A$301,0))</f>
        <v>87</v>
      </c>
      <c r="O54" s="9" t="n">
        <f aca="false">INDEX(Segmentation!$L$2:$L$301,MATCH($A54,Segmentation!$A$2:$A$301,0))</f>
        <v>87</v>
      </c>
      <c r="P54" s="2" t="str">
        <f aca="false">IF(OR(M54&gt;0,N54&gt;0),"Recently Active",IF(OR(I54&lt;=Assumptions!$B$48,K54&lt;=Assumptions!$B$49),"No Meaningful History","Recent Inactivity"))</f>
        <v>Recently Active</v>
      </c>
      <c r="Q54" s="2" t="str">
        <f aca="false">INDEX(Segmentation!$AF$2:$AF$301,MATCH($A54,Segmentation!$A$2:$A$301,0))</f>
        <v>Existing Customer</v>
      </c>
      <c r="R54" s="2" t="str">
        <f aca="false">INDEX(Segmentation!$AL$2:$AL$301,MATCH($A54,Segmentation!$A$2:$A$301,0))</f>
        <v>N/A</v>
      </c>
      <c r="S54" s="10" t="b">
        <f aca="false">INDEX(Segmentation!$AW$2:$AW$301,MATCH($A54,Segmentation!$A$2:$A$301,0))</f>
        <v>0</v>
      </c>
      <c r="T54" s="2" t="str">
        <f aca="false">INDEX('Feature Data'!$AD$2:$AD$301,MATCH($A54,'Feature Data'!$A$2:$A$301,0))</f>
        <v>Broker-led, product-blind</v>
      </c>
      <c r="U54" s="2" t="str">
        <f aca="false">INDEX('Feature Data'!$W$2:$W$301,MATCH($A54,'Feature Data'!$A$2:$A$301,0))</f>
        <v>Mixed</v>
      </c>
      <c r="V54" s="2" t="n">
        <f aca="false">INDEX('Feature Data'!$P$2:$P$301,MATCH($A54,'Feature Data'!$A$2:$A$301,0))</f>
        <v>3</v>
      </c>
      <c r="W54" s="2" t="n">
        <f aca="false">INDEX(Segmentation!$R$2:$R$301,MATCH($A54,Segmentation!$A$2:$A$301,0))</f>
        <v>7</v>
      </c>
      <c r="X54" s="2" t="n">
        <f aca="false">INDEX(Segmentation!$S$2:$S$301,MATCH($A54,Segmentation!$A$2:$A$301,0))</f>
        <v>1</v>
      </c>
      <c r="Y54" s="10" t="b">
        <f aca="false">INDEX(Segmentation!$AG$2:$AG$301,MATCH($A54,Segmentation!$A$2:$A$301,0))</f>
        <v>0</v>
      </c>
      <c r="Z54" s="2" t="str">
        <f aca="false">INDEX(Segmentation!$AU$2:$AU$301,MATCH($A54,Segmentation!$A$2:$A$301,0))</f>
        <v>Not Eligible</v>
      </c>
      <c r="AA54" s="10" t="b">
        <f aca="false">INDEX(Segmentation!$Z$2:$Z$301,MATCH($A54,Segmentation!$A$2:$A$301,0))</f>
        <v>0</v>
      </c>
      <c r="AB54" s="10" t="b">
        <f aca="false">INDEX(Segmentation!$AH$2:$AH$301,MATCH($A54,Segmentation!$A$2:$A$301,0))</f>
        <v>0</v>
      </c>
      <c r="AC54" s="10" t="b">
        <f aca="false">INDEX(Segmentation!$AK$2:$AK$301,MATCH($A54,Segmentation!$A$2:$A$301,0))</f>
        <v>1</v>
      </c>
      <c r="AD54" s="10" t="b">
        <f aca="false">INDEX(Segmentation!$AQ$2:$AQ$301,MATCH($A54,Segmentation!$A$2:$A$301,0))</f>
        <v>0</v>
      </c>
      <c r="AE54" s="10" t="b">
        <f aca="false">INDEX(Segmentation!$AT$2:$AT$301,MATCH($A54,Segmentation!$A$2:$A$301,0))</f>
        <v>0</v>
      </c>
      <c r="AF54" s="10" t="b">
        <f aca="false">INDEX(Segmentation!$X$2:$X$301,MATCH($A54,Segmentation!$A$2:$A$301,0))</f>
        <v>0</v>
      </c>
      <c r="AG54" s="10" t="b">
        <f aca="false">AND(F54="Low",V54&gt;=Assumptions!$B$71,X54&lt;Assumptions!$B$72)</f>
        <v>0</v>
      </c>
      <c r="AH54" s="10" t="b">
        <f aca="false">AND(F54="Low",OR(G54="Growing",G54="Stable"),P54="Recently Active",V54&gt;=Assumptions!$B$58,K54&gt;=Assumptions!$B$73)</f>
        <v>0</v>
      </c>
      <c r="AI54" s="17" t="n">
        <f aca="false">IF(O54&gt;0,MAX(L54:N54)/O54,"")</f>
        <v>1</v>
      </c>
      <c r="AJ54" s="2" t="str">
        <f aca="false">IF(LEFT(D54,1)="1",IF(E54="Key","MIGRATION_KEY_SIGNOFF",IF(Z54="Ready","MIGRATION_PHASE1_READY",IF(Z54="Manual Review","MIGRATION_PHASE1_REVIEW","MIGRATION_PRE_ENTRY"))),IF(LEFT(D54,1)="2","DECLINING_KEY_CORE",IF(LEFT(D54,1)="3",IF(R54="Established Buyer Lapsed","LAPSED_ESTABLISHED","LAPSED_THIN_HISTORY"),IF(LEFT(D54,1)="4",IF(Q54="New Customer","NEW_CUSTOMER","RETURNED_CUSTOMER"),IF(LEFT(D54,1)="5",IF(P54="Recently Active","COST_TO_SERVE_ACTIVE","DORMANT_LOW_VALUE"),IF(LEFT(D54,1)="6",IF(P54="Recent Inactivity","RECENT_INACTIVITY",IF(AG54,"BROWSING_LOW_OFFERS","HEALTHY_STRONG_SELF_SERVE")),IF(LEFT(D54,1)="7",IF(P54="Recent Inactivity","RECENT_INACTIVITY",IF(Q54="New Customer","NEW_CUSTOMER","RETURNED_CUSTOMER")),IF(LEFT(D54,1)="8",IF(G54="Declining",IF(T54="Engaged but shrinking (Key/Core)","ENGAGED_BUT_SHRINKING","DECLINING_KEY_CORE"),IF(R54="Established Buyer Lapsed","LAPSED_ESTABLISHED","LAPSED_THIN_HISTORY")),IF(S54,IF(P54&lt;&gt;"Recently Active","DORMANT_LOW_VALUE",IF(AG54,"BROWSING_LOW_OFFERS",IF(AH54,"RISING_TAIL","RISING_TAIL_EARLY"))),IF(AND(AG54,P54="Recently Active",OR(G54="Growing",G54="Stable",G54="H2 Active / No H1 GMV"),I54&gt;=Assumptions!$B$74),"BROWSING_LOW_OFFERS","LONG_TAIL_STANDARD"))))))))))</f>
        <v>DECLINING_KEY_CORE</v>
      </c>
      <c r="AK54" s="2" t="str">
        <f aca="false">INDEX('NBA Library'!$B$4:$B$21,MATCH(AJ54,'NBA Library'!$A$4:$A$21,0))</f>
        <v>Retention Conversation</v>
      </c>
      <c r="AL54" s="2" t="str">
        <f aca="false">INDEX('NBA Library'!$C$4:$C$21,MATCH(AJ54,'NBA Library'!$A$4:$A$21,0))</f>
        <v>Human</v>
      </c>
      <c r="AM54" s="2" t="str">
        <f aca="false">IF(AA54,"HOLD — Critical Data Issue",IF(Y54,"Human Sign-Off Required",IF(Z54="Manual Review","Human Review Required",IF(AND(AL54="Automated",OR(AE54,AND(OR(AK54="Discovery-to-Offer Enablement",AK54="Reinforce Successful Behaviour"),OR(AC54,AB54)))),"Human Review Required",IF(AL54="Human","Ready — Human",IF(AL54="Hybrid","Ready — Hybrid","Ready — Automated"))))))</f>
        <v>Ready — Human</v>
      </c>
      <c r="AN54" s="2" t="str">
        <f aca="false">IF(AA54,"P0",IF(AND(AJ54="BROWSING_LOW_OFFERS",E54="Tail"),"P3",IF(AND(AM54="Human Review Required",INDEX('NBA Library'!$D$4:$D$21,MATCH(AJ54,'NBA Library'!$A$4:$A$21,0))="P4"),"P3",INDEX('NBA Library'!$D$4:$D$21,MATCH(AJ54,'NBA Library'!$A$4:$A$21,0)))))</f>
        <v>P1</v>
      </c>
      <c r="AO54" s="2" t="str">
        <f aca="false">E54&amp;" "&amp;C54&amp;" account ("&amp;B54&amp;"); "&amp;G54&amp;" momentum; "&amp;P54&amp;"; £"&amp;TEXT(H54,"#,##0")&amp;" 6m GMV. "&amp;INDEX('NBA Library'!$G$4:$G$21,MATCH(AJ54,'NBA Library'!$A$4:$A$21,0))&amp;IF(LEFT(D54,1)="1"," Baseline: "&amp;V54&amp;" PDP views, "&amp;W54&amp;" app days, "&amp;X54&amp;" offers, "&amp;TEXT(J54/I54,"0%")&amp;" of orders self-serve.","")&amp;IF(AA54," Execution on HOLD until the Duplicate status is resolved.","")&amp;IF(Y54," Key account: explicit AM/leadership sign-off required before any migration activity.","")&amp;IF(AE54," Implied broker % from order counts would move this account to a different segment; review before automating.","")</f>
        <v>Core Broker-Reliant account (Account Managed); Declining momentum; Recently Active; £2,581 6m GMV. Broker-led spend is falling. Keep human support in place; AM to diagnose the cause before any migration or product nudge.</v>
      </c>
      <c r="AP54" s="2" t="str">
        <f aca="false">INDEX('NBA Library'!$E$4:$E$21,MATCH(AJ54,'NBA Library'!$A$4:$A$21,0))&amp;IF(AND(AJ54="NEW_CUSTOMER",AG54),"; introduce Make-an-Offer on items already browsed","")</f>
        <v>AM diagnoses the cause of falling spend (supply, price, service, competitor) and agrees a recovery plan; keep human support in place</v>
      </c>
      <c r="AQ54" s="2" t="str">
        <f aca="false">INDEX('NBA Library'!$F$4:$F$21,MATCH(AJ54,'NBA Library'!$A$4:$A$21,0))</f>
        <v>Next 90-day GMV back to at least the Sep-Nov (H1) level, or decline arrested; root cause logged</v>
      </c>
      <c r="AR54" s="2" t="str">
        <f aca="false">IF(AND(F54="Low",OR(G54="Growing",G54="Stable"),P54="Recently Active",U54&lt;&gt;"Mixed",OR(AK54="Discovery-to-Offer Enablement",AK54="Reinforce Successful Behaviour"),AM54="Ready — Automated",OR(E54&lt;&gt;"Tail",S54)),"Range Expansion Test — trial "&amp;IF(U54="Bundle-only","handpick","bundles")&amp;" (experimental; not proven to lift GMV)","")</f>
        <v/>
      </c>
      <c r="AS54" s="2" t="str">
        <f aca="false">IF(AK54&lt;&gt;"Automated Nurture","",IF(AJ54="DORMANT_LOW_VALUE","Dormant",IF(AJ54="RISING_TAIL_EARLY","Rising tail – early pattern",IF(Q54="New Customer","New customer onboarding",IF(Q54="Returned Customer","Returned customer",IF(G54="Lapsed","Dormant",IF(T54="Engaged, not converting","Engaged, not converting",IF(T54="One-off low-touch buyer","One-off purchaser",IF(T54="Light-touch repeat buyer","Light-touch repeat buyer","Standard long tail")))))))))</f>
        <v/>
      </c>
      <c r="AT54" s="2" t="str">
        <f aca="false">IF(AA54,"CRITICAL_DATA_BLOCKER; ","")&amp;IF(Y54,"KEY_SIGNOFF; ","")&amp;IF(Z54="Manual Review","PHASE1_MANUAL_REVIEW; ","")&amp;IF(AND(LEFT(D54,1)="1",AZ54="Lumpy"),"LUMPY_CADENCE; ","")&amp;IF(AB54,"BORDERLINE_MOMENTUM; ","")&amp;IF(AC54,"FEB_SENSITIVE; ","")&amp;IF(AD54,"MATERIAL_BROKER_INCONSISTENCY"&amp;IF(AE54," (segment would change)","")&amp;"; ","")&amp;IF(AND(I54&gt;=3,O54&gt;0),IF(AI54&gt;=Assumptions!$B$75,"H2_SINGLE_MONTH_SPIKE; ",""),"")&amp;IF(AND(M54&gt;0,N54=0),"NO_FEB_GMV (Feb unconfirmed); ","")&amp;IF(AF54,"LOW_CONFIDENCE; ","")</f>
        <v>FEB_SENSITIVE; H2_SINGLE_MONTH_SPIKE; </v>
      </c>
      <c r="AU54" s="2" t="str">
        <f aca="false">IF(LEFT(D54,1)="1",V54,"")</f>
        <v/>
      </c>
      <c r="AV54" s="2" t="str">
        <f aca="false">IF(LEFT(D54,1)="1",V54&gt;=Assumptions!$B$58,"")</f>
        <v/>
      </c>
      <c r="AW54" s="2" t="str">
        <f aca="false">IF(LEFT(D54,1)="1",W54,"")</f>
        <v/>
      </c>
      <c r="AX54" s="2" t="str">
        <f aca="false">IF(LEFT(D54,1)="1",X54,"")</f>
        <v/>
      </c>
      <c r="AY54" s="17" t="str">
        <f aca="false">IF(LEFT(D54,1)="1",J54/I54,"")</f>
        <v/>
      </c>
      <c r="AZ54" s="2" t="str">
        <f aca="false">IF(LEFT(D54,1)="1",IF(AND(K54&gt;=Assumptions!$B$83,I54&gt;=Assumptions!$B$84),"Regular","Lumpy"),"")</f>
        <v/>
      </c>
      <c r="BA54" s="2" t="str">
        <f aca="false">IF(LEFT(D54,1)="1",ROUND(6/K54,0),"")</f>
        <v/>
      </c>
      <c r="BB54" s="2" t="str">
        <f aca="false">IF(LEFT(D54,1)="1",IF(AZ54="Regular","Regular buyer: expected ~£"&amp;TEXT(H54/2,"#,##0")&amp;" per 90 days. At Risk if GMV to date &lt; "&amp;TEXT(Assumptions!$B$81,"0%")&amp;" of pro-rated expectation, checked from day "&amp;Assumptions!$B$82&amp;". Human-reviewed.","Irregular buyer ("&amp;I54&amp;" orders across "&amp;K54&amp;" months): no numeric GMV threshold. At Risk if no order within ~"&amp;BA54&amp;" month(s); AM reviews at day "&amp;Assumptions!$B$82&amp;" and "&amp;Assumptions!$B$85&amp;"."),"")</f>
        <v/>
      </c>
      <c r="BC54" s="2"/>
      <c r="BD54" s="2"/>
      <c r="BE54" s="2"/>
      <c r="BF54" s="2"/>
      <c r="BG54" s="2"/>
      <c r="BH54" s="2"/>
      <c r="BI54" s="2"/>
      <c r="BJ54" s="2" t="str">
        <f aca="false">IF(OR(NOT(LEFT(D54,1)="1"),BC54=""),"",IF(AZ54="Regular",AND(BC54&gt;=Assumptions!$B$82,N(BI54)&lt;Assumptions!$B$81*H54/180*BC54),AND(BC54&gt;=BA54*30,N(BG54)=0)))</f>
        <v/>
      </c>
      <c r="BK54" s="2" t="str">
        <f aca="false">IF(NOT(LEFT(D54,1)="1"),"N/A",IF(BC54="","Baseline",IF(BJ54,"At Risk",IF(AND(N(BD54)&gt;=Assumptions!$B$78,N(BE54)&gt;=Assumptions!$B$79,N(BH54)&gt;=1,N(BH54)/MAX(N(BG54),1)&gt;AY54),"Self-Serve Capability Demonstrated",IF(OR(N(BD54)&gt;=Assumptions!$B$76,N(BE54)&gt;=Assumptions!$B$77),"Progressing",IF(BC54&gt;=Assumptions!$B$85,"At Risk","Baseline"))))))</f>
        <v>N/A</v>
      </c>
      <c r="BL54" s="2" t="n">
        <f aca="false">(AND(C54="Broker-Reliant",OR(AK54="Discovery-to-Offer Enablement",AK54="Reinforce Successful Behaviour")))*1+(AND(G54="Declining",E54&lt;&gt;"Tail",AL54="Automated"))*1+(AND(Y54,AM54&lt;&gt;"Human Sign-Off Required"))*1+(AND(AA54,AM54&lt;&gt;"HOLD — Critical Data Issue"))*1+(AND(P54="Recent Inactivity",OR(AK54="Discovery-to-Offer Enablement",AK54="Reinforce Successful Behaviour")))*1+(AND(OR(LEFT(D54,1)="2",LEFT(D54,1)="3",LEFT(D54,1)="8"),AL54="Automated"))*1+((LEFT(D54,1)="1")&lt;&gt;(AK54="Guided Self-Serve Migration"))*1+(AND(AR54&lt;&gt;"",OR(F54&lt;&gt;"Low",U54="Mixed",AND(G54&lt;&gt;"Growing",G54&lt;&gt;"Stable"))))*1+ISNUMBER(SEARCH("chat",AP54))*1+ISNUMBER(SEARCH("video",AP54))*1+(AND(AA54,AL54="Automated",AM54&lt;&gt;"HOLD — Critical Data Issue"))*1</f>
        <v>0</v>
      </c>
    </row>
    <row r="55" customFormat="false" ht="15" hidden="false" customHeight="false" outlineLevel="0" collapsed="false">
      <c r="A55" s="2" t="s">
        <v>287</v>
      </c>
      <c r="B55" s="2" t="str">
        <f aca="false">INDEX(Segmentation!$B$2:$B$301,MATCH($A55,Segmentation!$A$2:$A$301,0))</f>
        <v>Account Managed</v>
      </c>
      <c r="C55" s="2" t="str">
        <f aca="false">INDEX(Segmentation!$H$2:$H$301,MATCH($A55,Segmentation!$A$2:$A$301,0))</f>
        <v>Broker-Reliant</v>
      </c>
      <c r="D55" s="2" t="str">
        <f aca="false">INDEX(Segmentation!$T$2:$T$301,MATCH($A55,Segmentation!$A$2:$A$301,0))</f>
        <v>2. Protect / Retain First</v>
      </c>
      <c r="E55" s="2" t="str">
        <f aca="false">INDEX(Segmentation!$J$2:$J$301,MATCH($A55,Segmentation!$A$2:$A$301,0))</f>
        <v>Core</v>
      </c>
      <c r="F55" s="2" t="str">
        <f aca="false">INDEX(Segmentation!$G$2:$G$301,MATCH($A55,Segmentation!$A$2:$A$301,0))</f>
        <v>High</v>
      </c>
      <c r="G55" s="2" t="str">
        <f aca="false">INDEX(Segmentation!$N$2:$N$301,MATCH($A55,Segmentation!$A$2:$A$301,0))</f>
        <v>Declining</v>
      </c>
      <c r="H55" s="9" t="n">
        <f aca="false">INDEX(Segmentation!$I$2:$I$301,MATCH($A55,Segmentation!$A$2:$A$301,0))</f>
        <v>2516</v>
      </c>
      <c r="I55" s="2" t="n">
        <f aca="false">INDEX(Segmentation!$O$2:$O$301,MATCH($A55,Segmentation!$A$2:$A$301,0))</f>
        <v>9</v>
      </c>
      <c r="J55" s="2" t="n">
        <f aca="false">INDEX(Segmentation!$Q$2:$Q$301,MATCH($A55,Segmentation!$A$2:$A$301,0))</f>
        <v>2</v>
      </c>
      <c r="K55" s="2" t="n">
        <f aca="false">INDEX(Segmentation!$W$2:$W$301,MATCH($A55,Segmentation!$A$2:$A$301,0))</f>
        <v>5</v>
      </c>
      <c r="L55" s="9" t="n">
        <f aca="false">INDEX('Commercial View'!$L$2:$L$301,MATCH($A55,'Commercial View'!$A$2:$A$301,0))</f>
        <v>0</v>
      </c>
      <c r="M55" s="9" t="n">
        <f aca="false">INDEX('Commercial View'!$M$2:$M$301,MATCH($A55,'Commercial View'!$A$2:$A$301,0))</f>
        <v>188</v>
      </c>
      <c r="N55" s="9" t="n">
        <f aca="false">INDEX('Commercial View'!$N$2:$N$301,MATCH($A55,'Commercial View'!$A$2:$A$301,0))</f>
        <v>211</v>
      </c>
      <c r="O55" s="9" t="n">
        <f aca="false">INDEX(Segmentation!$L$2:$L$301,MATCH($A55,Segmentation!$A$2:$A$301,0))</f>
        <v>399</v>
      </c>
      <c r="P55" s="2" t="str">
        <f aca="false">IF(OR(M55&gt;0,N55&gt;0),"Recently Active",IF(OR(I55&lt;=Assumptions!$B$48,K55&lt;=Assumptions!$B$49),"No Meaningful History","Recent Inactivity"))</f>
        <v>Recently Active</v>
      </c>
      <c r="Q55" s="2" t="str">
        <f aca="false">INDEX(Segmentation!$AF$2:$AF$301,MATCH($A55,Segmentation!$A$2:$A$301,0))</f>
        <v>Existing Customer</v>
      </c>
      <c r="R55" s="2" t="str">
        <f aca="false">INDEX(Segmentation!$AL$2:$AL$301,MATCH($A55,Segmentation!$A$2:$A$301,0))</f>
        <v>N/A</v>
      </c>
      <c r="S55" s="10" t="b">
        <f aca="false">INDEX(Segmentation!$AW$2:$AW$301,MATCH($A55,Segmentation!$A$2:$A$301,0))</f>
        <v>0</v>
      </c>
      <c r="T55" s="2" t="str">
        <f aca="false">INDEX('Feature Data'!$AD$2:$AD$301,MATCH($A55,'Feature Data'!$A$2:$A$301,0))</f>
        <v>Broker-led, product-blind</v>
      </c>
      <c r="U55" s="2" t="str">
        <f aca="false">INDEX('Feature Data'!$W$2:$W$301,MATCH($A55,'Feature Data'!$A$2:$A$301,0))</f>
        <v>Mixed</v>
      </c>
      <c r="V55" s="2" t="n">
        <f aca="false">INDEX('Feature Data'!$P$2:$P$301,MATCH($A55,'Feature Data'!$A$2:$A$301,0))</f>
        <v>4</v>
      </c>
      <c r="W55" s="2" t="n">
        <f aca="false">INDEX(Segmentation!$R$2:$R$301,MATCH($A55,Segmentation!$A$2:$A$301,0))</f>
        <v>3</v>
      </c>
      <c r="X55" s="2" t="n">
        <f aca="false">INDEX(Segmentation!$S$2:$S$301,MATCH($A55,Segmentation!$A$2:$A$301,0))</f>
        <v>1</v>
      </c>
      <c r="Y55" s="10" t="b">
        <f aca="false">INDEX(Segmentation!$AG$2:$AG$301,MATCH($A55,Segmentation!$A$2:$A$301,0))</f>
        <v>0</v>
      </c>
      <c r="Z55" s="2" t="str">
        <f aca="false">INDEX(Segmentation!$AU$2:$AU$301,MATCH($A55,Segmentation!$A$2:$A$301,0))</f>
        <v>Not Eligible</v>
      </c>
      <c r="AA55" s="10" t="b">
        <f aca="false">INDEX(Segmentation!$Z$2:$Z$301,MATCH($A55,Segmentation!$A$2:$A$301,0))</f>
        <v>0</v>
      </c>
      <c r="AB55" s="10" t="b">
        <f aca="false">INDEX(Segmentation!$AH$2:$AH$301,MATCH($A55,Segmentation!$A$2:$A$301,0))</f>
        <v>0</v>
      </c>
      <c r="AC55" s="10" t="b">
        <f aca="false">INDEX(Segmentation!$AK$2:$AK$301,MATCH($A55,Segmentation!$A$2:$A$301,0))</f>
        <v>0</v>
      </c>
      <c r="AD55" s="10" t="b">
        <f aca="false">INDEX(Segmentation!$AQ$2:$AQ$301,MATCH($A55,Segmentation!$A$2:$A$301,0))</f>
        <v>0</v>
      </c>
      <c r="AE55" s="10" t="b">
        <f aca="false">INDEX(Segmentation!$AT$2:$AT$301,MATCH($A55,Segmentation!$A$2:$A$301,0))</f>
        <v>0</v>
      </c>
      <c r="AF55" s="10" t="b">
        <f aca="false">INDEX(Segmentation!$X$2:$X$301,MATCH($A55,Segmentation!$A$2:$A$301,0))</f>
        <v>0</v>
      </c>
      <c r="AG55" s="10" t="b">
        <f aca="false">AND(F55="Low",V55&gt;=Assumptions!$B$71,X55&lt;Assumptions!$B$72)</f>
        <v>0</v>
      </c>
      <c r="AH55" s="10" t="b">
        <f aca="false">AND(F55="Low",OR(G55="Growing",G55="Stable"),P55="Recently Active",V55&gt;=Assumptions!$B$58,K55&gt;=Assumptions!$B$73)</f>
        <v>0</v>
      </c>
      <c r="AI55" s="17" t="n">
        <f aca="false">IF(O55&gt;0,MAX(L55:N55)/O55,"")</f>
        <v>0.528822055137845</v>
      </c>
      <c r="AJ55" s="2" t="str">
        <f aca="false">IF(LEFT(D55,1)="1",IF(E55="Key","MIGRATION_KEY_SIGNOFF",IF(Z55="Ready","MIGRATION_PHASE1_READY",IF(Z55="Manual Review","MIGRATION_PHASE1_REVIEW","MIGRATION_PRE_ENTRY"))),IF(LEFT(D55,1)="2","DECLINING_KEY_CORE",IF(LEFT(D55,1)="3",IF(R55="Established Buyer Lapsed","LAPSED_ESTABLISHED","LAPSED_THIN_HISTORY"),IF(LEFT(D55,1)="4",IF(Q55="New Customer","NEW_CUSTOMER","RETURNED_CUSTOMER"),IF(LEFT(D55,1)="5",IF(P55="Recently Active","COST_TO_SERVE_ACTIVE","DORMANT_LOW_VALUE"),IF(LEFT(D55,1)="6",IF(P55="Recent Inactivity","RECENT_INACTIVITY",IF(AG55,"BROWSING_LOW_OFFERS","HEALTHY_STRONG_SELF_SERVE")),IF(LEFT(D55,1)="7",IF(P55="Recent Inactivity","RECENT_INACTIVITY",IF(Q55="New Customer","NEW_CUSTOMER","RETURNED_CUSTOMER")),IF(LEFT(D55,1)="8",IF(G55="Declining",IF(T55="Engaged but shrinking (Key/Core)","ENGAGED_BUT_SHRINKING","DECLINING_KEY_CORE"),IF(R55="Established Buyer Lapsed","LAPSED_ESTABLISHED","LAPSED_THIN_HISTORY")),IF(S55,IF(P55&lt;&gt;"Recently Active","DORMANT_LOW_VALUE",IF(AG55,"BROWSING_LOW_OFFERS",IF(AH55,"RISING_TAIL","RISING_TAIL_EARLY"))),IF(AND(AG55,P55="Recently Active",OR(G55="Growing",G55="Stable",G55="H2 Active / No H1 GMV"),I55&gt;=Assumptions!$B$74),"BROWSING_LOW_OFFERS","LONG_TAIL_STANDARD"))))))))))</f>
        <v>DECLINING_KEY_CORE</v>
      </c>
      <c r="AK55" s="2" t="str">
        <f aca="false">INDEX('NBA Library'!$B$4:$B$21,MATCH(AJ55,'NBA Library'!$A$4:$A$21,0))</f>
        <v>Retention Conversation</v>
      </c>
      <c r="AL55" s="2" t="str">
        <f aca="false">INDEX('NBA Library'!$C$4:$C$21,MATCH(AJ55,'NBA Library'!$A$4:$A$21,0))</f>
        <v>Human</v>
      </c>
      <c r="AM55" s="2" t="str">
        <f aca="false">IF(AA55,"HOLD — Critical Data Issue",IF(Y55,"Human Sign-Off Required",IF(Z55="Manual Review","Human Review Required",IF(AND(AL55="Automated",OR(AE55,AND(OR(AK55="Discovery-to-Offer Enablement",AK55="Reinforce Successful Behaviour"),OR(AC55,AB55)))),"Human Review Required",IF(AL55="Human","Ready — Human",IF(AL55="Hybrid","Ready — Hybrid","Ready — Automated"))))))</f>
        <v>Ready — Human</v>
      </c>
      <c r="AN55" s="2" t="str">
        <f aca="false">IF(AA55,"P0",IF(AND(AJ55="BROWSING_LOW_OFFERS",E55="Tail"),"P3",IF(AND(AM55="Human Review Required",INDEX('NBA Library'!$D$4:$D$21,MATCH(AJ55,'NBA Library'!$A$4:$A$21,0))="P4"),"P3",INDEX('NBA Library'!$D$4:$D$21,MATCH(AJ55,'NBA Library'!$A$4:$A$21,0)))))</f>
        <v>P1</v>
      </c>
      <c r="AO55" s="2" t="str">
        <f aca="false">E55&amp;" "&amp;C55&amp;" account ("&amp;B55&amp;"); "&amp;G55&amp;" momentum; "&amp;P55&amp;"; £"&amp;TEXT(H55,"#,##0")&amp;" 6m GMV. "&amp;INDEX('NBA Library'!$G$4:$G$21,MATCH(AJ55,'NBA Library'!$A$4:$A$21,0))&amp;IF(LEFT(D55,1)="1"," Baseline: "&amp;V55&amp;" PDP views, "&amp;W55&amp;" app days, "&amp;X55&amp;" offers, "&amp;TEXT(J55/I55,"0%")&amp;" of orders self-serve.","")&amp;IF(AA55," Execution on HOLD until the Duplicate status is resolved.","")&amp;IF(Y55," Key account: explicit AM/leadership sign-off required before any migration activity.","")&amp;IF(AE55," Implied broker % from order counts would move this account to a different segment; review before automating.","")</f>
        <v>Core Broker-Reliant account (Account Managed); Declining momentum; Recently Active; £2,516 6m GMV. Broker-led spend is falling. Keep human support in place; AM to diagnose the cause before any migration or product nudge.</v>
      </c>
      <c r="AP55" s="2" t="str">
        <f aca="false">INDEX('NBA Library'!$E$4:$E$21,MATCH(AJ55,'NBA Library'!$A$4:$A$21,0))&amp;IF(AND(AJ55="NEW_CUSTOMER",AG55),"; introduce Make-an-Offer on items already browsed","")</f>
        <v>AM diagnoses the cause of falling spend (supply, price, service, competitor) and agrees a recovery plan; keep human support in place</v>
      </c>
      <c r="AQ55" s="2" t="str">
        <f aca="false">INDEX('NBA Library'!$F$4:$F$21,MATCH(AJ55,'NBA Library'!$A$4:$A$21,0))</f>
        <v>Next 90-day GMV back to at least the Sep-Nov (H1) level, or decline arrested; root cause logged</v>
      </c>
      <c r="AR55" s="2" t="str">
        <f aca="false">IF(AND(F55="Low",OR(G55="Growing",G55="Stable"),P55="Recently Active",U55&lt;&gt;"Mixed",OR(AK55="Discovery-to-Offer Enablement",AK55="Reinforce Successful Behaviour"),AM55="Ready — Automated",OR(E55&lt;&gt;"Tail",S55)),"Range Expansion Test — trial "&amp;IF(U55="Bundle-only","handpick","bundles")&amp;" (experimental; not proven to lift GMV)","")</f>
        <v/>
      </c>
      <c r="AS55" s="2" t="str">
        <f aca="false">IF(AK55&lt;&gt;"Automated Nurture","",IF(AJ55="DORMANT_LOW_VALUE","Dormant",IF(AJ55="RISING_TAIL_EARLY","Rising tail – early pattern",IF(Q55="New Customer","New customer onboarding",IF(Q55="Returned Customer","Returned customer",IF(G55="Lapsed","Dormant",IF(T55="Engaged, not converting","Engaged, not converting",IF(T55="One-off low-touch buyer","One-off purchaser",IF(T55="Light-touch repeat buyer","Light-touch repeat buyer","Standard long tail")))))))))</f>
        <v/>
      </c>
      <c r="AT55" s="2" t="str">
        <f aca="false">IF(AA55,"CRITICAL_DATA_BLOCKER; ","")&amp;IF(Y55,"KEY_SIGNOFF; ","")&amp;IF(Z55="Manual Review","PHASE1_MANUAL_REVIEW; ","")&amp;IF(AND(LEFT(D55,1)="1",AZ55="Lumpy"),"LUMPY_CADENCE; ","")&amp;IF(AB55,"BORDERLINE_MOMENTUM; ","")&amp;IF(AC55,"FEB_SENSITIVE; ","")&amp;IF(AD55,"MATERIAL_BROKER_INCONSISTENCY"&amp;IF(AE55," (segment would change)","")&amp;"; ","")&amp;IF(AND(I55&gt;=3,O55&gt;0),IF(AI55&gt;=Assumptions!$B$75,"H2_SINGLE_MONTH_SPIKE; ",""),"")&amp;IF(AND(M55&gt;0,N55=0),"NO_FEB_GMV (Feb unconfirmed); ","")&amp;IF(AF55,"LOW_CONFIDENCE; ","")</f>
        <v/>
      </c>
      <c r="AU55" s="2" t="str">
        <f aca="false">IF(LEFT(D55,1)="1",V55,"")</f>
        <v/>
      </c>
      <c r="AV55" s="2" t="str">
        <f aca="false">IF(LEFT(D55,1)="1",V55&gt;=Assumptions!$B$58,"")</f>
        <v/>
      </c>
      <c r="AW55" s="2" t="str">
        <f aca="false">IF(LEFT(D55,1)="1",W55,"")</f>
        <v/>
      </c>
      <c r="AX55" s="2" t="str">
        <f aca="false">IF(LEFT(D55,1)="1",X55,"")</f>
        <v/>
      </c>
      <c r="AY55" s="17" t="str">
        <f aca="false">IF(LEFT(D55,1)="1",J55/I55,"")</f>
        <v/>
      </c>
      <c r="AZ55" s="2" t="str">
        <f aca="false">IF(LEFT(D55,1)="1",IF(AND(K55&gt;=Assumptions!$B$83,I55&gt;=Assumptions!$B$84),"Regular","Lumpy"),"")</f>
        <v/>
      </c>
      <c r="BA55" s="2" t="str">
        <f aca="false">IF(LEFT(D55,1)="1",ROUND(6/K55,0),"")</f>
        <v/>
      </c>
      <c r="BB55" s="2" t="str">
        <f aca="false">IF(LEFT(D55,1)="1",IF(AZ55="Regular","Regular buyer: expected ~£"&amp;TEXT(H55/2,"#,##0")&amp;" per 90 days. At Risk if GMV to date &lt; "&amp;TEXT(Assumptions!$B$81,"0%")&amp;" of pro-rated expectation, checked from day "&amp;Assumptions!$B$82&amp;". Human-reviewed.","Irregular buyer ("&amp;I55&amp;" orders across "&amp;K55&amp;" months): no numeric GMV threshold. At Risk if no order within ~"&amp;BA55&amp;" month(s); AM reviews at day "&amp;Assumptions!$B$82&amp;" and "&amp;Assumptions!$B$85&amp;"."),"")</f>
        <v/>
      </c>
      <c r="BC55" s="2"/>
      <c r="BD55" s="2"/>
      <c r="BE55" s="2"/>
      <c r="BF55" s="2"/>
      <c r="BG55" s="2"/>
      <c r="BH55" s="2"/>
      <c r="BI55" s="2"/>
      <c r="BJ55" s="2" t="str">
        <f aca="false">IF(OR(NOT(LEFT(D55,1)="1"),BC55=""),"",IF(AZ55="Regular",AND(BC55&gt;=Assumptions!$B$82,N(BI55)&lt;Assumptions!$B$81*H55/180*BC55),AND(BC55&gt;=BA55*30,N(BG55)=0)))</f>
        <v/>
      </c>
      <c r="BK55" s="2" t="str">
        <f aca="false">IF(NOT(LEFT(D55,1)="1"),"N/A",IF(BC55="","Baseline",IF(BJ55,"At Risk",IF(AND(N(BD55)&gt;=Assumptions!$B$78,N(BE55)&gt;=Assumptions!$B$79,N(BH55)&gt;=1,N(BH55)/MAX(N(BG55),1)&gt;AY55),"Self-Serve Capability Demonstrated",IF(OR(N(BD55)&gt;=Assumptions!$B$76,N(BE55)&gt;=Assumptions!$B$77),"Progressing",IF(BC55&gt;=Assumptions!$B$85,"At Risk","Baseline"))))))</f>
        <v>N/A</v>
      </c>
      <c r="BL55" s="2" t="n">
        <f aca="false">(AND(C55="Broker-Reliant",OR(AK55="Discovery-to-Offer Enablement",AK55="Reinforce Successful Behaviour")))*1+(AND(G55="Declining",E55&lt;&gt;"Tail",AL55="Automated"))*1+(AND(Y55,AM55&lt;&gt;"Human Sign-Off Required"))*1+(AND(AA55,AM55&lt;&gt;"HOLD — Critical Data Issue"))*1+(AND(P55="Recent Inactivity",OR(AK55="Discovery-to-Offer Enablement",AK55="Reinforce Successful Behaviour")))*1+(AND(OR(LEFT(D55,1)="2",LEFT(D55,1)="3",LEFT(D55,1)="8"),AL55="Automated"))*1+((LEFT(D55,1)="1")&lt;&gt;(AK55="Guided Self-Serve Migration"))*1+(AND(AR55&lt;&gt;"",OR(F55&lt;&gt;"Low",U55="Mixed",AND(G55&lt;&gt;"Growing",G55&lt;&gt;"Stable"))))*1+ISNUMBER(SEARCH("chat",AP55))*1+ISNUMBER(SEARCH("video",AP55))*1+(AND(AA55,AL55="Automated",AM55&lt;&gt;"HOLD — Critical Data Issue"))*1</f>
        <v>0</v>
      </c>
    </row>
    <row r="56" customFormat="false" ht="15" hidden="false" customHeight="false" outlineLevel="0" collapsed="false">
      <c r="A56" s="2" t="s">
        <v>290</v>
      </c>
      <c r="B56" s="2" t="str">
        <f aca="false">INDEX(Segmentation!$B$2:$B$301,MATCH($A56,Segmentation!$A$2:$A$301,0))</f>
        <v>Account Managed</v>
      </c>
      <c r="C56" s="2" t="str">
        <f aca="false">INDEX(Segmentation!$H$2:$H$301,MATCH($A56,Segmentation!$A$2:$A$301,0))</f>
        <v>Broker-Reliant</v>
      </c>
      <c r="D56" s="2" t="str">
        <f aca="false">INDEX(Segmentation!$T$2:$T$301,MATCH($A56,Segmentation!$A$2:$A$301,0))</f>
        <v>2. Protect / Retain First</v>
      </c>
      <c r="E56" s="2" t="str">
        <f aca="false">INDEX(Segmentation!$J$2:$J$301,MATCH($A56,Segmentation!$A$2:$A$301,0))</f>
        <v>Core</v>
      </c>
      <c r="F56" s="2" t="str">
        <f aca="false">INDEX(Segmentation!$G$2:$G$301,MATCH($A56,Segmentation!$A$2:$A$301,0))</f>
        <v>High</v>
      </c>
      <c r="G56" s="2" t="str">
        <f aca="false">INDEX(Segmentation!$N$2:$N$301,MATCH($A56,Segmentation!$A$2:$A$301,0))</f>
        <v>Declining</v>
      </c>
      <c r="H56" s="9" t="n">
        <f aca="false">INDEX(Segmentation!$I$2:$I$301,MATCH($A56,Segmentation!$A$2:$A$301,0))</f>
        <v>2514</v>
      </c>
      <c r="I56" s="2" t="n">
        <f aca="false">INDEX(Segmentation!$O$2:$O$301,MATCH($A56,Segmentation!$A$2:$A$301,0))</f>
        <v>12</v>
      </c>
      <c r="J56" s="2" t="n">
        <f aca="false">INDEX(Segmentation!$Q$2:$Q$301,MATCH($A56,Segmentation!$A$2:$A$301,0))</f>
        <v>3</v>
      </c>
      <c r="K56" s="2" t="n">
        <f aca="false">INDEX(Segmentation!$W$2:$W$301,MATCH($A56,Segmentation!$A$2:$A$301,0))</f>
        <v>5</v>
      </c>
      <c r="L56" s="9" t="n">
        <f aca="false">INDEX('Commercial View'!$L$2:$L$301,MATCH($A56,'Commercial View'!$A$2:$A$301,0))</f>
        <v>0</v>
      </c>
      <c r="M56" s="9" t="n">
        <f aca="false">INDEX('Commercial View'!$M$2:$M$301,MATCH($A56,'Commercial View'!$A$2:$A$301,0))</f>
        <v>194</v>
      </c>
      <c r="N56" s="9" t="n">
        <f aca="false">INDEX('Commercial View'!$N$2:$N$301,MATCH($A56,'Commercial View'!$A$2:$A$301,0))</f>
        <v>99</v>
      </c>
      <c r="O56" s="9" t="n">
        <f aca="false">INDEX(Segmentation!$L$2:$L$301,MATCH($A56,Segmentation!$A$2:$A$301,0))</f>
        <v>293</v>
      </c>
      <c r="P56" s="2" t="str">
        <f aca="false">IF(OR(M56&gt;0,N56&gt;0),"Recently Active",IF(OR(I56&lt;=Assumptions!$B$48,K56&lt;=Assumptions!$B$49),"No Meaningful History","Recent Inactivity"))</f>
        <v>Recently Active</v>
      </c>
      <c r="Q56" s="2" t="str">
        <f aca="false">INDEX(Segmentation!$AF$2:$AF$301,MATCH($A56,Segmentation!$A$2:$A$301,0))</f>
        <v>Existing Customer</v>
      </c>
      <c r="R56" s="2" t="str">
        <f aca="false">INDEX(Segmentation!$AL$2:$AL$301,MATCH($A56,Segmentation!$A$2:$A$301,0))</f>
        <v>N/A</v>
      </c>
      <c r="S56" s="10" t="b">
        <f aca="false">INDEX(Segmentation!$AW$2:$AW$301,MATCH($A56,Segmentation!$A$2:$A$301,0))</f>
        <v>0</v>
      </c>
      <c r="T56" s="2" t="str">
        <f aca="false">INDEX('Feature Data'!$AD$2:$AD$301,MATCH($A56,'Feature Data'!$A$2:$A$301,0))</f>
        <v>Broker-led, product-blind</v>
      </c>
      <c r="U56" s="2" t="str">
        <f aca="false">INDEX('Feature Data'!$W$2:$W$301,MATCH($A56,'Feature Data'!$A$2:$A$301,0))</f>
        <v>Bundle-only</v>
      </c>
      <c r="V56" s="2" t="n">
        <f aca="false">INDEX('Feature Data'!$P$2:$P$301,MATCH($A56,'Feature Data'!$A$2:$A$301,0))</f>
        <v>14</v>
      </c>
      <c r="W56" s="2" t="n">
        <f aca="false">INDEX(Segmentation!$R$2:$R$301,MATCH($A56,Segmentation!$A$2:$A$301,0))</f>
        <v>5</v>
      </c>
      <c r="X56" s="2" t="n">
        <f aca="false">INDEX(Segmentation!$S$2:$S$301,MATCH($A56,Segmentation!$A$2:$A$301,0))</f>
        <v>2</v>
      </c>
      <c r="Y56" s="10" t="b">
        <f aca="false">INDEX(Segmentation!$AG$2:$AG$301,MATCH($A56,Segmentation!$A$2:$A$301,0))</f>
        <v>0</v>
      </c>
      <c r="Z56" s="2" t="str">
        <f aca="false">INDEX(Segmentation!$AU$2:$AU$301,MATCH($A56,Segmentation!$A$2:$A$301,0))</f>
        <v>Not Eligible</v>
      </c>
      <c r="AA56" s="10" t="b">
        <f aca="false">INDEX(Segmentation!$Z$2:$Z$301,MATCH($A56,Segmentation!$A$2:$A$301,0))</f>
        <v>0</v>
      </c>
      <c r="AB56" s="10" t="b">
        <f aca="false">INDEX(Segmentation!$AH$2:$AH$301,MATCH($A56,Segmentation!$A$2:$A$301,0))</f>
        <v>0</v>
      </c>
      <c r="AC56" s="10" t="b">
        <f aca="false">INDEX(Segmentation!$AK$2:$AK$301,MATCH($A56,Segmentation!$A$2:$A$301,0))</f>
        <v>0</v>
      </c>
      <c r="AD56" s="10" t="b">
        <f aca="false">INDEX(Segmentation!$AQ$2:$AQ$301,MATCH($A56,Segmentation!$A$2:$A$301,0))</f>
        <v>0</v>
      </c>
      <c r="AE56" s="10" t="b">
        <f aca="false">INDEX(Segmentation!$AT$2:$AT$301,MATCH($A56,Segmentation!$A$2:$A$301,0))</f>
        <v>0</v>
      </c>
      <c r="AF56" s="10" t="b">
        <f aca="false">INDEX(Segmentation!$X$2:$X$301,MATCH($A56,Segmentation!$A$2:$A$301,0))</f>
        <v>0</v>
      </c>
      <c r="AG56" s="10" t="b">
        <f aca="false">AND(F56="Low",V56&gt;=Assumptions!$B$71,X56&lt;Assumptions!$B$72)</f>
        <v>0</v>
      </c>
      <c r="AH56" s="10" t="b">
        <f aca="false">AND(F56="Low",OR(G56="Growing",G56="Stable"),P56="Recently Active",V56&gt;=Assumptions!$B$58,K56&gt;=Assumptions!$B$73)</f>
        <v>0</v>
      </c>
      <c r="AI56" s="17" t="n">
        <f aca="false">IF(O56&gt;0,MAX(L56:N56)/O56,"")</f>
        <v>0.662116040955631</v>
      </c>
      <c r="AJ56" s="2" t="str">
        <f aca="false">IF(LEFT(D56,1)="1",IF(E56="Key","MIGRATION_KEY_SIGNOFF",IF(Z56="Ready","MIGRATION_PHASE1_READY",IF(Z56="Manual Review","MIGRATION_PHASE1_REVIEW","MIGRATION_PRE_ENTRY"))),IF(LEFT(D56,1)="2","DECLINING_KEY_CORE",IF(LEFT(D56,1)="3",IF(R56="Established Buyer Lapsed","LAPSED_ESTABLISHED","LAPSED_THIN_HISTORY"),IF(LEFT(D56,1)="4",IF(Q56="New Customer","NEW_CUSTOMER","RETURNED_CUSTOMER"),IF(LEFT(D56,1)="5",IF(P56="Recently Active","COST_TO_SERVE_ACTIVE","DORMANT_LOW_VALUE"),IF(LEFT(D56,1)="6",IF(P56="Recent Inactivity","RECENT_INACTIVITY",IF(AG56,"BROWSING_LOW_OFFERS","HEALTHY_STRONG_SELF_SERVE")),IF(LEFT(D56,1)="7",IF(P56="Recent Inactivity","RECENT_INACTIVITY",IF(Q56="New Customer","NEW_CUSTOMER","RETURNED_CUSTOMER")),IF(LEFT(D56,1)="8",IF(G56="Declining",IF(T56="Engaged but shrinking (Key/Core)","ENGAGED_BUT_SHRINKING","DECLINING_KEY_CORE"),IF(R56="Established Buyer Lapsed","LAPSED_ESTABLISHED","LAPSED_THIN_HISTORY")),IF(S56,IF(P56&lt;&gt;"Recently Active","DORMANT_LOW_VALUE",IF(AG56,"BROWSING_LOW_OFFERS",IF(AH56,"RISING_TAIL","RISING_TAIL_EARLY"))),IF(AND(AG56,P56="Recently Active",OR(G56="Growing",G56="Stable",G56="H2 Active / No H1 GMV"),I56&gt;=Assumptions!$B$74),"BROWSING_LOW_OFFERS","LONG_TAIL_STANDARD"))))))))))</f>
        <v>DECLINING_KEY_CORE</v>
      </c>
      <c r="AK56" s="2" t="str">
        <f aca="false">INDEX('NBA Library'!$B$4:$B$21,MATCH(AJ56,'NBA Library'!$A$4:$A$21,0))</f>
        <v>Retention Conversation</v>
      </c>
      <c r="AL56" s="2" t="str">
        <f aca="false">INDEX('NBA Library'!$C$4:$C$21,MATCH(AJ56,'NBA Library'!$A$4:$A$21,0))</f>
        <v>Human</v>
      </c>
      <c r="AM56" s="2" t="str">
        <f aca="false">IF(AA56,"HOLD — Critical Data Issue",IF(Y56,"Human Sign-Off Required",IF(Z56="Manual Review","Human Review Required",IF(AND(AL56="Automated",OR(AE56,AND(OR(AK56="Discovery-to-Offer Enablement",AK56="Reinforce Successful Behaviour"),OR(AC56,AB56)))),"Human Review Required",IF(AL56="Human","Ready — Human",IF(AL56="Hybrid","Ready — Hybrid","Ready — Automated"))))))</f>
        <v>Ready — Human</v>
      </c>
      <c r="AN56" s="2" t="str">
        <f aca="false">IF(AA56,"P0",IF(AND(AJ56="BROWSING_LOW_OFFERS",E56="Tail"),"P3",IF(AND(AM56="Human Review Required",INDEX('NBA Library'!$D$4:$D$21,MATCH(AJ56,'NBA Library'!$A$4:$A$21,0))="P4"),"P3",INDEX('NBA Library'!$D$4:$D$21,MATCH(AJ56,'NBA Library'!$A$4:$A$21,0)))))</f>
        <v>P1</v>
      </c>
      <c r="AO56" s="2" t="str">
        <f aca="false">E56&amp;" "&amp;C56&amp;" account ("&amp;B56&amp;"); "&amp;G56&amp;" momentum; "&amp;P56&amp;"; £"&amp;TEXT(H56,"#,##0")&amp;" 6m GMV. "&amp;INDEX('NBA Library'!$G$4:$G$21,MATCH(AJ56,'NBA Library'!$A$4:$A$21,0))&amp;IF(LEFT(D56,1)="1"," Baseline: "&amp;V56&amp;" PDP views, "&amp;W56&amp;" app days, "&amp;X56&amp;" offers, "&amp;TEXT(J56/I56,"0%")&amp;" of orders self-serve.","")&amp;IF(AA56," Execution on HOLD until the Duplicate status is resolved.","")&amp;IF(Y56," Key account: explicit AM/leadership sign-off required before any migration activity.","")&amp;IF(AE56," Implied broker % from order counts would move this account to a different segment; review before automating.","")</f>
        <v>Core Broker-Reliant account (Account Managed); Declining momentum; Recently Active; £2,514 6m GMV. Broker-led spend is falling. Keep human support in place; AM to diagnose the cause before any migration or product nudge.</v>
      </c>
      <c r="AP56" s="2" t="str">
        <f aca="false">INDEX('NBA Library'!$E$4:$E$21,MATCH(AJ56,'NBA Library'!$A$4:$A$21,0))&amp;IF(AND(AJ56="NEW_CUSTOMER",AG56),"; introduce Make-an-Offer on items already browsed","")</f>
        <v>AM diagnoses the cause of falling spend (supply, price, service, competitor) and agrees a recovery plan; keep human support in place</v>
      </c>
      <c r="AQ56" s="2" t="str">
        <f aca="false">INDEX('NBA Library'!$F$4:$F$21,MATCH(AJ56,'NBA Library'!$A$4:$A$21,0))</f>
        <v>Next 90-day GMV back to at least the Sep-Nov (H1) level, or decline arrested; root cause logged</v>
      </c>
      <c r="AR56" s="2" t="str">
        <f aca="false">IF(AND(F56="Low",OR(G56="Growing",G56="Stable"),P56="Recently Active",U56&lt;&gt;"Mixed",OR(AK56="Discovery-to-Offer Enablement",AK56="Reinforce Successful Behaviour"),AM56="Ready — Automated",OR(E56&lt;&gt;"Tail",S56)),"Range Expansion Test — trial "&amp;IF(U56="Bundle-only","handpick","bundles")&amp;" (experimental; not proven to lift GMV)","")</f>
        <v/>
      </c>
      <c r="AS56" s="2" t="str">
        <f aca="false">IF(AK56&lt;&gt;"Automated Nurture","",IF(AJ56="DORMANT_LOW_VALUE","Dormant",IF(AJ56="RISING_TAIL_EARLY","Rising tail – early pattern",IF(Q56="New Customer","New customer onboarding",IF(Q56="Returned Customer","Returned customer",IF(G56="Lapsed","Dormant",IF(T56="Engaged, not converting","Engaged, not converting",IF(T56="One-off low-touch buyer","One-off purchaser",IF(T56="Light-touch repeat buyer","Light-touch repeat buyer","Standard long tail")))))))))</f>
        <v/>
      </c>
      <c r="AT56" s="2" t="str">
        <f aca="false">IF(AA56,"CRITICAL_DATA_BLOCKER; ","")&amp;IF(Y56,"KEY_SIGNOFF; ","")&amp;IF(Z56="Manual Review","PHASE1_MANUAL_REVIEW; ","")&amp;IF(AND(LEFT(D56,1)="1",AZ56="Lumpy"),"LUMPY_CADENCE; ","")&amp;IF(AB56,"BORDERLINE_MOMENTUM; ","")&amp;IF(AC56,"FEB_SENSITIVE; ","")&amp;IF(AD56,"MATERIAL_BROKER_INCONSISTENCY"&amp;IF(AE56," (segment would change)","")&amp;"; ","")&amp;IF(AND(I56&gt;=3,O56&gt;0),IF(AI56&gt;=Assumptions!$B$75,"H2_SINGLE_MONTH_SPIKE; ",""),"")&amp;IF(AND(M56&gt;0,N56=0),"NO_FEB_GMV (Feb unconfirmed); ","")&amp;IF(AF56,"LOW_CONFIDENCE; ","")</f>
        <v/>
      </c>
      <c r="AU56" s="2" t="str">
        <f aca="false">IF(LEFT(D56,1)="1",V56,"")</f>
        <v/>
      </c>
      <c r="AV56" s="2" t="str">
        <f aca="false">IF(LEFT(D56,1)="1",V56&gt;=Assumptions!$B$58,"")</f>
        <v/>
      </c>
      <c r="AW56" s="2" t="str">
        <f aca="false">IF(LEFT(D56,1)="1",W56,"")</f>
        <v/>
      </c>
      <c r="AX56" s="2" t="str">
        <f aca="false">IF(LEFT(D56,1)="1",X56,"")</f>
        <v/>
      </c>
      <c r="AY56" s="17" t="str">
        <f aca="false">IF(LEFT(D56,1)="1",J56/I56,"")</f>
        <v/>
      </c>
      <c r="AZ56" s="2" t="str">
        <f aca="false">IF(LEFT(D56,1)="1",IF(AND(K56&gt;=Assumptions!$B$83,I56&gt;=Assumptions!$B$84),"Regular","Lumpy"),"")</f>
        <v/>
      </c>
      <c r="BA56" s="2" t="str">
        <f aca="false">IF(LEFT(D56,1)="1",ROUND(6/K56,0),"")</f>
        <v/>
      </c>
      <c r="BB56" s="2" t="str">
        <f aca="false">IF(LEFT(D56,1)="1",IF(AZ56="Regular","Regular buyer: expected ~£"&amp;TEXT(H56/2,"#,##0")&amp;" per 90 days. At Risk if GMV to date &lt; "&amp;TEXT(Assumptions!$B$81,"0%")&amp;" of pro-rated expectation, checked from day "&amp;Assumptions!$B$82&amp;". Human-reviewed.","Irregular buyer ("&amp;I56&amp;" orders across "&amp;K56&amp;" months): no numeric GMV threshold. At Risk if no order within ~"&amp;BA56&amp;" month(s); AM reviews at day "&amp;Assumptions!$B$82&amp;" and "&amp;Assumptions!$B$85&amp;"."),"")</f>
        <v/>
      </c>
      <c r="BC56" s="2"/>
      <c r="BD56" s="2"/>
      <c r="BE56" s="2"/>
      <c r="BF56" s="2"/>
      <c r="BG56" s="2"/>
      <c r="BH56" s="2"/>
      <c r="BI56" s="2"/>
      <c r="BJ56" s="2" t="str">
        <f aca="false">IF(OR(NOT(LEFT(D56,1)="1"),BC56=""),"",IF(AZ56="Regular",AND(BC56&gt;=Assumptions!$B$82,N(BI56)&lt;Assumptions!$B$81*H56/180*BC56),AND(BC56&gt;=BA56*30,N(BG56)=0)))</f>
        <v/>
      </c>
      <c r="BK56" s="2" t="str">
        <f aca="false">IF(NOT(LEFT(D56,1)="1"),"N/A",IF(BC56="","Baseline",IF(BJ56,"At Risk",IF(AND(N(BD56)&gt;=Assumptions!$B$78,N(BE56)&gt;=Assumptions!$B$79,N(BH56)&gt;=1,N(BH56)/MAX(N(BG56),1)&gt;AY56),"Self-Serve Capability Demonstrated",IF(OR(N(BD56)&gt;=Assumptions!$B$76,N(BE56)&gt;=Assumptions!$B$77),"Progressing",IF(BC56&gt;=Assumptions!$B$85,"At Risk","Baseline"))))))</f>
        <v>N/A</v>
      </c>
      <c r="BL56" s="2" t="n">
        <f aca="false">(AND(C56="Broker-Reliant",OR(AK56="Discovery-to-Offer Enablement",AK56="Reinforce Successful Behaviour")))*1+(AND(G56="Declining",E56&lt;&gt;"Tail",AL56="Automated"))*1+(AND(Y56,AM56&lt;&gt;"Human Sign-Off Required"))*1+(AND(AA56,AM56&lt;&gt;"HOLD — Critical Data Issue"))*1+(AND(P56="Recent Inactivity",OR(AK56="Discovery-to-Offer Enablement",AK56="Reinforce Successful Behaviour")))*1+(AND(OR(LEFT(D56,1)="2",LEFT(D56,1)="3",LEFT(D56,1)="8"),AL56="Automated"))*1+((LEFT(D56,1)="1")&lt;&gt;(AK56="Guided Self-Serve Migration"))*1+(AND(AR56&lt;&gt;"",OR(F56&lt;&gt;"Low",U56="Mixed",AND(G56&lt;&gt;"Growing",G56&lt;&gt;"Stable"))))*1+ISNUMBER(SEARCH("chat",AP56))*1+ISNUMBER(SEARCH("video",AP56))*1+(AND(AA56,AL56="Automated",AM56&lt;&gt;"HOLD — Critical Data Issue"))*1</f>
        <v>0</v>
      </c>
    </row>
    <row r="57" customFormat="false" ht="15" hidden="false" customHeight="false" outlineLevel="0" collapsed="false">
      <c r="A57" s="2" t="s">
        <v>442</v>
      </c>
      <c r="B57" s="2" t="str">
        <f aca="false">INDEX(Segmentation!$B$2:$B$301,MATCH($A57,Segmentation!$A$2:$A$301,0))</f>
        <v>Account Managed</v>
      </c>
      <c r="C57" s="2" t="str">
        <f aca="false">INDEX(Segmentation!$H$2:$H$301,MATCH($A57,Segmentation!$A$2:$A$301,0))</f>
        <v>Broker-Reliant</v>
      </c>
      <c r="D57" s="2" t="str">
        <f aca="false">INDEX(Segmentation!$T$2:$T$301,MATCH($A57,Segmentation!$A$2:$A$301,0))</f>
        <v>1. Migration Candidate</v>
      </c>
      <c r="E57" s="2" t="str">
        <f aca="false">INDEX(Segmentation!$J$2:$J$301,MATCH($A57,Segmentation!$A$2:$A$301,0))</f>
        <v>Core</v>
      </c>
      <c r="F57" s="2" t="str">
        <f aca="false">INDEX(Segmentation!$G$2:$G$301,MATCH($A57,Segmentation!$A$2:$A$301,0))</f>
        <v>Medium</v>
      </c>
      <c r="G57" s="2" t="str">
        <f aca="false">INDEX(Segmentation!$N$2:$N$301,MATCH($A57,Segmentation!$A$2:$A$301,0))</f>
        <v>Stable</v>
      </c>
      <c r="H57" s="9" t="n">
        <f aca="false">INDEX(Segmentation!$I$2:$I$301,MATCH($A57,Segmentation!$A$2:$A$301,0))</f>
        <v>2380</v>
      </c>
      <c r="I57" s="2" t="n">
        <f aca="false">INDEX(Segmentation!$O$2:$O$301,MATCH($A57,Segmentation!$A$2:$A$301,0))</f>
        <v>5</v>
      </c>
      <c r="J57" s="2" t="n">
        <f aca="false">INDEX(Segmentation!$Q$2:$Q$301,MATCH($A57,Segmentation!$A$2:$A$301,0))</f>
        <v>2</v>
      </c>
      <c r="K57" s="2" t="n">
        <f aca="false">INDEX(Segmentation!$W$2:$W$301,MATCH($A57,Segmentation!$A$2:$A$301,0))</f>
        <v>3</v>
      </c>
      <c r="L57" s="9" t="n">
        <f aca="false">INDEX('Commercial View'!$L$2:$L$301,MATCH($A57,'Commercial View'!$A$2:$A$301,0))</f>
        <v>491</v>
      </c>
      <c r="M57" s="9" t="n">
        <f aca="false">INDEX('Commercial View'!$M$2:$M$301,MATCH($A57,'Commercial View'!$A$2:$A$301,0))</f>
        <v>800</v>
      </c>
      <c r="N57" s="9" t="n">
        <f aca="false">INDEX('Commercial View'!$N$2:$N$301,MATCH($A57,'Commercial View'!$A$2:$A$301,0))</f>
        <v>0</v>
      </c>
      <c r="O57" s="9" t="n">
        <f aca="false">INDEX(Segmentation!$L$2:$L$301,MATCH($A57,Segmentation!$A$2:$A$301,0))</f>
        <v>1291</v>
      </c>
      <c r="P57" s="2" t="str">
        <f aca="false">IF(OR(M57&gt;0,N57&gt;0),"Recently Active",IF(OR(I57&lt;=Assumptions!$B$48,K57&lt;=Assumptions!$B$49),"No Meaningful History","Recent Inactivity"))</f>
        <v>Recently Active</v>
      </c>
      <c r="Q57" s="2" t="str">
        <f aca="false">INDEX(Segmentation!$AF$2:$AF$301,MATCH($A57,Segmentation!$A$2:$A$301,0))</f>
        <v>Existing Customer</v>
      </c>
      <c r="R57" s="2" t="str">
        <f aca="false">INDEX(Segmentation!$AL$2:$AL$301,MATCH($A57,Segmentation!$A$2:$A$301,0))</f>
        <v>N/A</v>
      </c>
      <c r="S57" s="10" t="b">
        <f aca="false">INDEX(Segmentation!$AW$2:$AW$301,MATCH($A57,Segmentation!$A$2:$A$301,0))</f>
        <v>0</v>
      </c>
      <c r="T57" s="2" t="str">
        <f aca="false">INDEX('Feature Data'!$AD$2:$AD$301,MATCH($A57,'Feature Data'!$A$2:$A$301,0))</f>
        <v>Broker-led, product-blind</v>
      </c>
      <c r="U57" s="2" t="str">
        <f aca="false">INDEX('Feature Data'!$W$2:$W$301,MATCH($A57,'Feature Data'!$A$2:$A$301,0))</f>
        <v>Mixed</v>
      </c>
      <c r="V57" s="2" t="n">
        <f aca="false">INDEX('Feature Data'!$P$2:$P$301,MATCH($A57,'Feature Data'!$A$2:$A$301,0))</f>
        <v>9</v>
      </c>
      <c r="W57" s="2" t="n">
        <f aca="false">INDEX(Segmentation!$R$2:$R$301,MATCH($A57,Segmentation!$A$2:$A$301,0))</f>
        <v>7</v>
      </c>
      <c r="X57" s="2" t="n">
        <f aca="false">INDEX(Segmentation!$S$2:$S$301,MATCH($A57,Segmentation!$A$2:$A$301,0))</f>
        <v>1</v>
      </c>
      <c r="Y57" s="10" t="b">
        <f aca="false">INDEX(Segmentation!$AG$2:$AG$301,MATCH($A57,Segmentation!$A$2:$A$301,0))</f>
        <v>0</v>
      </c>
      <c r="Z57" s="2" t="str">
        <f aca="false">INDEX(Segmentation!$AU$2:$AU$301,MATCH($A57,Segmentation!$A$2:$A$301,0))</f>
        <v>Manual Review</v>
      </c>
      <c r="AA57" s="10" t="b">
        <f aca="false">INDEX(Segmentation!$Z$2:$Z$301,MATCH($A57,Segmentation!$A$2:$A$301,0))</f>
        <v>0</v>
      </c>
      <c r="AB57" s="10" t="b">
        <f aca="false">INDEX(Segmentation!$AH$2:$AH$301,MATCH($A57,Segmentation!$A$2:$A$301,0))</f>
        <v>1</v>
      </c>
      <c r="AC57" s="10" t="b">
        <f aca="false">INDEX(Segmentation!$AK$2:$AK$301,MATCH($A57,Segmentation!$A$2:$A$301,0))</f>
        <v>0</v>
      </c>
      <c r="AD57" s="10" t="b">
        <f aca="false">INDEX(Segmentation!$AQ$2:$AQ$301,MATCH($A57,Segmentation!$A$2:$A$301,0))</f>
        <v>1</v>
      </c>
      <c r="AE57" s="10" t="b">
        <f aca="false">INDEX(Segmentation!$AT$2:$AT$301,MATCH($A57,Segmentation!$A$2:$A$301,0))</f>
        <v>0</v>
      </c>
      <c r="AF57" s="10" t="b">
        <f aca="false">INDEX(Segmentation!$X$2:$X$301,MATCH($A57,Segmentation!$A$2:$A$301,0))</f>
        <v>0</v>
      </c>
      <c r="AG57" s="10" t="b">
        <f aca="false">AND(F57="Low",V57&gt;=Assumptions!$B$71,X57&lt;Assumptions!$B$72)</f>
        <v>0</v>
      </c>
      <c r="AH57" s="10" t="b">
        <f aca="false">AND(F57="Low",OR(G57="Growing",G57="Stable"),P57="Recently Active",V57&gt;=Assumptions!$B$58,K57&gt;=Assumptions!$B$73)</f>
        <v>0</v>
      </c>
      <c r="AI57" s="17" t="n">
        <f aca="false">IF(O57&gt;0,MAX(L57:N57)/O57,"")</f>
        <v>0.619674670797831</v>
      </c>
      <c r="AJ57" s="2" t="str">
        <f aca="false">IF(LEFT(D57,1)="1",IF(E57="Key","MIGRATION_KEY_SIGNOFF",IF(Z57="Ready","MIGRATION_PHASE1_READY",IF(Z57="Manual Review","MIGRATION_PHASE1_REVIEW","MIGRATION_PRE_ENTRY"))),IF(LEFT(D57,1)="2","DECLINING_KEY_CORE",IF(LEFT(D57,1)="3",IF(R57="Established Buyer Lapsed","LAPSED_ESTABLISHED","LAPSED_THIN_HISTORY"),IF(LEFT(D57,1)="4",IF(Q57="New Customer","NEW_CUSTOMER","RETURNED_CUSTOMER"),IF(LEFT(D57,1)="5",IF(P57="Recently Active","COST_TO_SERVE_ACTIVE","DORMANT_LOW_VALUE"),IF(LEFT(D57,1)="6",IF(P57="Recent Inactivity","RECENT_INACTIVITY",IF(AG57,"BROWSING_LOW_OFFERS","HEALTHY_STRONG_SELF_SERVE")),IF(LEFT(D57,1)="7",IF(P57="Recent Inactivity","RECENT_INACTIVITY",IF(Q57="New Customer","NEW_CUSTOMER","RETURNED_CUSTOMER")),IF(LEFT(D57,1)="8",IF(G57="Declining",IF(T57="Engaged but shrinking (Key/Core)","ENGAGED_BUT_SHRINKING","DECLINING_KEY_CORE"),IF(R57="Established Buyer Lapsed","LAPSED_ESTABLISHED","LAPSED_THIN_HISTORY")),IF(S57,IF(P57&lt;&gt;"Recently Active","DORMANT_LOW_VALUE",IF(AG57,"BROWSING_LOW_OFFERS",IF(AH57,"RISING_TAIL","RISING_TAIL_EARLY"))),IF(AND(AG57,P57="Recently Active",OR(G57="Growing",G57="Stable",G57="H2 Active / No H1 GMV"),I57&gt;=Assumptions!$B$74),"BROWSING_LOW_OFFERS","LONG_TAIL_STANDARD"))))))))))</f>
        <v>MIGRATION_PHASE1_REVIEW</v>
      </c>
      <c r="AK57" s="2" t="str">
        <f aca="false">INDEX('NBA Library'!$B$4:$B$21,MATCH(AJ57,'NBA Library'!$A$4:$A$21,0))</f>
        <v>Guided Self-Serve Migration</v>
      </c>
      <c r="AL57" s="2" t="str">
        <f aca="false">INDEX('NBA Library'!$C$4:$C$21,MATCH(AJ57,'NBA Library'!$A$4:$A$21,0))</f>
        <v>Hybrid</v>
      </c>
      <c r="AM57" s="2" t="str">
        <f aca="false">IF(AA57,"HOLD — Critical Data Issue",IF(Y57,"Human Sign-Off Required",IF(Z57="Manual Review","Human Review Required",IF(AND(AL57="Automated",OR(AE57,AND(OR(AK57="Discovery-to-Offer Enablement",AK57="Reinforce Successful Behaviour"),OR(AC57,AB57)))),"Human Review Required",IF(AL57="Human","Ready — Human",IF(AL57="Hybrid","Ready — Hybrid","Ready — Automated"))))))</f>
        <v>Human Review Required</v>
      </c>
      <c r="AN57" s="2" t="str">
        <f aca="false">IF(AA57,"P0",IF(AND(AJ57="BROWSING_LOW_OFFERS",E57="Tail"),"P3",IF(AND(AM57="Human Review Required",INDEX('NBA Library'!$D$4:$D$21,MATCH(AJ57,'NBA Library'!$A$4:$A$21,0))="P4"),"P3",INDEX('NBA Library'!$D$4:$D$21,MATCH(AJ57,'NBA Library'!$A$4:$A$21,0)))))</f>
        <v>P2</v>
      </c>
      <c r="AO57" s="2" t="str">
        <f aca="false">E57&amp;" "&amp;C57&amp;" account ("&amp;B57&amp;"); "&amp;G57&amp;" momentum; "&amp;P57&amp;"; £"&amp;TEXT(H57,"#,##0")&amp;" 6m GMV. "&amp;INDEX('NBA Library'!$G$4:$G$21,MATCH(AJ57,'NBA Library'!$A$4:$A$21,0))&amp;IF(LEFT(D57,1)="1"," Baseline: "&amp;V57&amp;" PDP views, "&amp;W57&amp;" app days, "&amp;X57&amp;" offers, "&amp;TEXT(J57/I57,"0%")&amp;" of orders self-serve.","")&amp;IF(AA57," Execution on HOLD until the Duplicate status is resolved.","")&amp;IF(Y57," Key account: explicit AM/leadership sign-off required before any migration activity.","")&amp;IF(AE57," Implied broker % from order counts would move this account to a different segment; review before automating.","")</f>
        <v>Core Broker-Reliant account (Account Managed); Stable momentum; Recently Active; £2,380 6m GMV. Meets Phase 1 entry criteria but carries a guardrail warning (borderline/February-sensitive momentum, lumpy cadence or broker % inconsistency). Resolve before starting migration. Baseline: 9 PDP views, 7 app days, 1 offers, 40% of orders self-serve.</v>
      </c>
      <c r="AP57" s="2" t="str">
        <f aca="false">INDEX('NBA Library'!$E$4:$E$21,MATCH(AJ57,'NBA Library'!$A$4:$A$21,0))&amp;IF(AND(AJ57="NEW_CUSTOMER",AG57),"; introduce Make-an-Offer on items already browsed","")</f>
        <v>As Phase 1 Ready once the guardrail warning is resolved</v>
      </c>
      <c r="AQ57" s="2" t="str">
        <f aca="false">INDEX('NBA Library'!$F$4:$F$21,MATCH(AJ57,'NBA Library'!$A$4:$A$21,0))</f>
        <v>Warning resolved; then as Phase 1 Ready</v>
      </c>
      <c r="AR57" s="2" t="str">
        <f aca="false">IF(AND(F57="Low",OR(G57="Growing",G57="Stable"),P57="Recently Active",U57&lt;&gt;"Mixed",OR(AK57="Discovery-to-Offer Enablement",AK57="Reinforce Successful Behaviour"),AM57="Ready — Automated",OR(E57&lt;&gt;"Tail",S57)),"Range Expansion Test — trial "&amp;IF(U57="Bundle-only","handpick","bundles")&amp;" (experimental; not proven to lift GMV)","")</f>
        <v/>
      </c>
      <c r="AS57" s="2" t="str">
        <f aca="false">IF(AK57&lt;&gt;"Automated Nurture","",IF(AJ57="DORMANT_LOW_VALUE","Dormant",IF(AJ57="RISING_TAIL_EARLY","Rising tail – early pattern",IF(Q57="New Customer","New customer onboarding",IF(Q57="Returned Customer","Returned customer",IF(G57="Lapsed","Dormant",IF(T57="Engaged, not converting","Engaged, not converting",IF(T57="One-off low-touch buyer","One-off purchaser",IF(T57="Light-touch repeat buyer","Light-touch repeat buyer","Standard long tail")))))))))</f>
        <v/>
      </c>
      <c r="AT57" s="2" t="str">
        <f aca="false">IF(AA57,"CRITICAL_DATA_BLOCKER; ","")&amp;IF(Y57,"KEY_SIGNOFF; ","")&amp;IF(Z57="Manual Review","PHASE1_MANUAL_REVIEW; ","")&amp;IF(AND(LEFT(D57,1)="1",AZ57="Lumpy"),"LUMPY_CADENCE; ","")&amp;IF(AB57,"BORDERLINE_MOMENTUM; ","")&amp;IF(AC57,"FEB_SENSITIVE; ","")&amp;IF(AD57,"MATERIAL_BROKER_INCONSISTENCY"&amp;IF(AE57," (segment would change)","")&amp;"; ","")&amp;IF(AND(I57&gt;=3,O57&gt;0),IF(AI57&gt;=Assumptions!$B$75,"H2_SINGLE_MONTH_SPIKE; ",""),"")&amp;IF(AND(M57&gt;0,N57=0),"NO_FEB_GMV (Feb unconfirmed); ","")&amp;IF(AF57,"LOW_CONFIDENCE; ","")</f>
        <v>PHASE1_MANUAL_REVIEW; BORDERLINE_MOMENTUM; MATERIAL_BROKER_INCONSISTENCY; NO_FEB_GMV (Feb unconfirmed); </v>
      </c>
      <c r="AU57" s="2" t="n">
        <f aca="false">IF(LEFT(D57,1)="1",V57,"")</f>
        <v>9</v>
      </c>
      <c r="AV57" s="10" t="b">
        <f aca="false">IF(LEFT(D57,1)="1",V57&gt;=Assumptions!$B$58,"")</f>
        <v>0</v>
      </c>
      <c r="AW57" s="2" t="n">
        <f aca="false">IF(LEFT(D57,1)="1",W57,"")</f>
        <v>7</v>
      </c>
      <c r="AX57" s="2" t="n">
        <f aca="false">IF(LEFT(D57,1)="1",X57,"")</f>
        <v>1</v>
      </c>
      <c r="AY57" s="17" t="n">
        <f aca="false">IF(LEFT(D57,1)="1",J57/I57,"")</f>
        <v>0.4</v>
      </c>
      <c r="AZ57" s="2" t="str">
        <f aca="false">IF(LEFT(D57,1)="1",IF(AND(K57&gt;=Assumptions!$B$83,I57&gt;=Assumptions!$B$84),"Regular","Lumpy"),"")</f>
        <v>Regular</v>
      </c>
      <c r="BA57" s="2" t="n">
        <f aca="false">IF(LEFT(D57,1)="1",ROUND(6/K57,0),"")</f>
        <v>2</v>
      </c>
      <c r="BB57" s="2" t="str">
        <f aca="false">IF(LEFT(D57,1)="1",IF(AZ57="Regular","Regular buyer: expected ~£"&amp;TEXT(H57/2,"#,##0")&amp;" per 90 days. At Risk if GMV to date &lt; "&amp;TEXT(Assumptions!$B$81,"0%")&amp;" of pro-rated expectation, checked from day "&amp;Assumptions!$B$82&amp;". Human-reviewed.","Irregular buyer ("&amp;I57&amp;" orders across "&amp;K57&amp;" months): no numeric GMV threshold. At Risk if no order within ~"&amp;BA57&amp;" month(s); AM reviews at day "&amp;Assumptions!$B$82&amp;" and "&amp;Assumptions!$B$85&amp;"."),"")</f>
        <v>Regular buyer: expected ~£1,190 per 90 days. At Risk if GMV to date &lt; 70% of pro-rated expectation, checked from day 45. Human-reviewed.</v>
      </c>
      <c r="BC57" s="18"/>
      <c r="BD57" s="18"/>
      <c r="BE57" s="18"/>
      <c r="BF57" s="18"/>
      <c r="BG57" s="18"/>
      <c r="BH57" s="18"/>
      <c r="BI57" s="18"/>
      <c r="BJ57" s="2" t="str">
        <f aca="false">IF(OR(NOT(LEFT(D57,1)="1"),BC57=""),"",IF(AZ57="Regular",AND(BC57&gt;=Assumptions!$B$82,N(BI57)&lt;Assumptions!$B$81*H57/180*BC57),AND(BC57&gt;=BA57*30,N(BG57)=0)))</f>
        <v/>
      </c>
      <c r="BK57" s="2" t="str">
        <f aca="false">IF(NOT(LEFT(D57,1)="1"),"N/A",IF(BC57="","Baseline",IF(BJ57,"At Risk",IF(AND(N(BD57)&gt;=Assumptions!$B$78,N(BE57)&gt;=Assumptions!$B$79,N(BH57)&gt;=1,N(BH57)/MAX(N(BG57),1)&gt;AY57),"Self-Serve Capability Demonstrated",IF(OR(N(BD57)&gt;=Assumptions!$B$76,N(BE57)&gt;=Assumptions!$B$77),"Progressing",IF(BC57&gt;=Assumptions!$B$85,"At Risk","Baseline"))))))</f>
        <v>Baseline</v>
      </c>
      <c r="BL57" s="2" t="n">
        <f aca="false">(AND(C57="Broker-Reliant",OR(AK57="Discovery-to-Offer Enablement",AK57="Reinforce Successful Behaviour")))*1+(AND(G57="Declining",E57&lt;&gt;"Tail",AL57="Automated"))*1+(AND(Y57,AM57&lt;&gt;"Human Sign-Off Required"))*1+(AND(AA57,AM57&lt;&gt;"HOLD — Critical Data Issue"))*1+(AND(P57="Recent Inactivity",OR(AK57="Discovery-to-Offer Enablement",AK57="Reinforce Successful Behaviour")))*1+(AND(OR(LEFT(D57,1)="2",LEFT(D57,1)="3",LEFT(D57,1)="8"),AL57="Automated"))*1+((LEFT(D57,1)="1")&lt;&gt;(AK57="Guided Self-Serve Migration"))*1+(AND(AR57&lt;&gt;"",OR(F57&lt;&gt;"Low",U57="Mixed",AND(G57&lt;&gt;"Growing",G57&lt;&gt;"Stable"))))*1+ISNUMBER(SEARCH("chat",AP57))*1+ISNUMBER(SEARCH("video",AP57))*1+(AND(AA57,AL57="Automated",AM57&lt;&gt;"HOLD — Critical Data Issue"))*1</f>
        <v>0</v>
      </c>
    </row>
    <row r="58" customFormat="false" ht="15" hidden="false" customHeight="false" outlineLevel="0" collapsed="false">
      <c r="A58" s="2" t="s">
        <v>469</v>
      </c>
      <c r="B58" s="2" t="str">
        <f aca="false">INDEX(Segmentation!$B$2:$B$301,MATCH($A58,Segmentation!$A$2:$A$301,0))</f>
        <v>Account Managed</v>
      </c>
      <c r="C58" s="2" t="str">
        <f aca="false">INDEX(Segmentation!$H$2:$H$301,MATCH($A58,Segmentation!$A$2:$A$301,0))</f>
        <v>Broker-Reliant</v>
      </c>
      <c r="D58" s="2" t="str">
        <f aca="false">INDEX(Segmentation!$T$2:$T$301,MATCH($A58,Segmentation!$A$2:$A$301,0))</f>
        <v>1. Migration Candidate</v>
      </c>
      <c r="E58" s="2" t="str">
        <f aca="false">INDEX(Segmentation!$J$2:$J$301,MATCH($A58,Segmentation!$A$2:$A$301,0))</f>
        <v>Core</v>
      </c>
      <c r="F58" s="2" t="str">
        <f aca="false">INDEX(Segmentation!$G$2:$G$301,MATCH($A58,Segmentation!$A$2:$A$301,0))</f>
        <v>High</v>
      </c>
      <c r="G58" s="2" t="str">
        <f aca="false">INDEX(Segmentation!$N$2:$N$301,MATCH($A58,Segmentation!$A$2:$A$301,0))</f>
        <v>Stable</v>
      </c>
      <c r="H58" s="9" t="n">
        <f aca="false">INDEX(Segmentation!$I$2:$I$301,MATCH($A58,Segmentation!$A$2:$A$301,0))</f>
        <v>2366</v>
      </c>
      <c r="I58" s="2" t="n">
        <f aca="false">INDEX(Segmentation!$O$2:$O$301,MATCH($A58,Segmentation!$A$2:$A$301,0))</f>
        <v>3</v>
      </c>
      <c r="J58" s="2" t="n">
        <f aca="false">INDEX(Segmentation!$Q$2:$Q$301,MATCH($A58,Segmentation!$A$2:$A$301,0))</f>
        <v>1</v>
      </c>
      <c r="K58" s="2" t="n">
        <f aca="false">INDEX(Segmentation!$W$2:$W$301,MATCH($A58,Segmentation!$A$2:$A$301,0))</f>
        <v>3</v>
      </c>
      <c r="L58" s="9" t="n">
        <f aca="false">INDEX('Commercial View'!$L$2:$L$301,MATCH($A58,'Commercial View'!$A$2:$A$301,0))</f>
        <v>1199</v>
      </c>
      <c r="M58" s="9" t="n">
        <f aca="false">INDEX('Commercial View'!$M$2:$M$301,MATCH($A58,'Commercial View'!$A$2:$A$301,0))</f>
        <v>0</v>
      </c>
      <c r="N58" s="9" t="n">
        <f aca="false">INDEX('Commercial View'!$N$2:$N$301,MATCH($A58,'Commercial View'!$A$2:$A$301,0))</f>
        <v>0</v>
      </c>
      <c r="O58" s="9" t="n">
        <f aca="false">INDEX(Segmentation!$L$2:$L$301,MATCH($A58,Segmentation!$A$2:$A$301,0))</f>
        <v>1199</v>
      </c>
      <c r="P58" s="2" t="str">
        <f aca="false">IF(OR(M58&gt;0,N58&gt;0),"Recently Active",IF(OR(I58&lt;=Assumptions!$B$48,K58&lt;=Assumptions!$B$49),"No Meaningful History","Recent Inactivity"))</f>
        <v>Recent Inactivity</v>
      </c>
      <c r="Q58" s="2" t="str">
        <f aca="false">INDEX(Segmentation!$AF$2:$AF$301,MATCH($A58,Segmentation!$A$2:$A$301,0))</f>
        <v>Existing Customer</v>
      </c>
      <c r="R58" s="2" t="str">
        <f aca="false">INDEX(Segmentation!$AL$2:$AL$301,MATCH($A58,Segmentation!$A$2:$A$301,0))</f>
        <v>N/A</v>
      </c>
      <c r="S58" s="10" t="b">
        <f aca="false">INDEX(Segmentation!$AW$2:$AW$301,MATCH($A58,Segmentation!$A$2:$A$301,0))</f>
        <v>0</v>
      </c>
      <c r="T58" s="2" t="str">
        <f aca="false">INDEX('Feature Data'!$AD$2:$AD$301,MATCH($A58,'Feature Data'!$A$2:$A$301,0))</f>
        <v>Broker-led, product-blind</v>
      </c>
      <c r="U58" s="2" t="str">
        <f aca="false">INDEX('Feature Data'!$W$2:$W$301,MATCH($A58,'Feature Data'!$A$2:$A$301,0))</f>
        <v>Bundle-only</v>
      </c>
      <c r="V58" s="2" t="n">
        <f aca="false">INDEX('Feature Data'!$P$2:$P$301,MATCH($A58,'Feature Data'!$A$2:$A$301,0))</f>
        <v>4</v>
      </c>
      <c r="W58" s="2" t="n">
        <f aca="false">INDEX(Segmentation!$R$2:$R$301,MATCH($A58,Segmentation!$A$2:$A$301,0))</f>
        <v>4</v>
      </c>
      <c r="X58" s="2" t="n">
        <f aca="false">INDEX(Segmentation!$S$2:$S$301,MATCH($A58,Segmentation!$A$2:$A$301,0))</f>
        <v>1</v>
      </c>
      <c r="Y58" s="10" t="b">
        <f aca="false">INDEX(Segmentation!$AG$2:$AG$301,MATCH($A58,Segmentation!$A$2:$A$301,0))</f>
        <v>0</v>
      </c>
      <c r="Z58" s="2" t="str">
        <f aca="false">INDEX(Segmentation!$AU$2:$AU$301,MATCH($A58,Segmentation!$A$2:$A$301,0))</f>
        <v>Not Eligible</v>
      </c>
      <c r="AA58" s="10" t="b">
        <f aca="false">INDEX(Segmentation!$Z$2:$Z$301,MATCH($A58,Segmentation!$A$2:$A$301,0))</f>
        <v>0</v>
      </c>
      <c r="AB58" s="10" t="b">
        <f aca="false">INDEX(Segmentation!$AH$2:$AH$301,MATCH($A58,Segmentation!$A$2:$A$301,0))</f>
        <v>0</v>
      </c>
      <c r="AC58" s="10" t="b">
        <f aca="false">INDEX(Segmentation!$AK$2:$AK$301,MATCH($A58,Segmentation!$A$2:$A$301,0))</f>
        <v>0</v>
      </c>
      <c r="AD58" s="10" t="b">
        <f aca="false">INDEX(Segmentation!$AQ$2:$AQ$301,MATCH($A58,Segmentation!$A$2:$A$301,0))</f>
        <v>0</v>
      </c>
      <c r="AE58" s="10" t="b">
        <f aca="false">INDEX(Segmentation!$AT$2:$AT$301,MATCH($A58,Segmentation!$A$2:$A$301,0))</f>
        <v>0</v>
      </c>
      <c r="AF58" s="10" t="b">
        <f aca="false">INDEX(Segmentation!$X$2:$X$301,MATCH($A58,Segmentation!$A$2:$A$301,0))</f>
        <v>0</v>
      </c>
      <c r="AG58" s="10" t="b">
        <f aca="false">AND(F58="Low",V58&gt;=Assumptions!$B$71,X58&lt;Assumptions!$B$72)</f>
        <v>0</v>
      </c>
      <c r="AH58" s="10" t="b">
        <f aca="false">AND(F58="Low",OR(G58="Growing",G58="Stable"),P58="Recently Active",V58&gt;=Assumptions!$B$58,K58&gt;=Assumptions!$B$73)</f>
        <v>0</v>
      </c>
      <c r="AI58" s="17" t="n">
        <f aca="false">IF(O58&gt;0,MAX(L58:N58)/O58,"")</f>
        <v>1</v>
      </c>
      <c r="AJ58" s="2" t="str">
        <f aca="false">IF(LEFT(D58,1)="1",IF(E58="Key","MIGRATION_KEY_SIGNOFF",IF(Z58="Ready","MIGRATION_PHASE1_READY",IF(Z58="Manual Review","MIGRATION_PHASE1_REVIEW","MIGRATION_PRE_ENTRY"))),IF(LEFT(D58,1)="2","DECLINING_KEY_CORE",IF(LEFT(D58,1)="3",IF(R58="Established Buyer Lapsed","LAPSED_ESTABLISHED","LAPSED_THIN_HISTORY"),IF(LEFT(D58,1)="4",IF(Q58="New Customer","NEW_CUSTOMER","RETURNED_CUSTOMER"),IF(LEFT(D58,1)="5",IF(P58="Recently Active","COST_TO_SERVE_ACTIVE","DORMANT_LOW_VALUE"),IF(LEFT(D58,1)="6",IF(P58="Recent Inactivity","RECENT_INACTIVITY",IF(AG58,"BROWSING_LOW_OFFERS","HEALTHY_STRONG_SELF_SERVE")),IF(LEFT(D58,1)="7",IF(P58="Recent Inactivity","RECENT_INACTIVITY",IF(Q58="New Customer","NEW_CUSTOMER","RETURNED_CUSTOMER")),IF(LEFT(D58,1)="8",IF(G58="Declining",IF(T58="Engaged but shrinking (Key/Core)","ENGAGED_BUT_SHRINKING","DECLINING_KEY_CORE"),IF(R58="Established Buyer Lapsed","LAPSED_ESTABLISHED","LAPSED_THIN_HISTORY")),IF(S58,IF(P58&lt;&gt;"Recently Active","DORMANT_LOW_VALUE",IF(AG58,"BROWSING_LOW_OFFERS",IF(AH58,"RISING_TAIL","RISING_TAIL_EARLY"))),IF(AND(AG58,P58="Recently Active",OR(G58="Growing",G58="Stable",G58="H2 Active / No H1 GMV"),I58&gt;=Assumptions!$B$74),"BROWSING_LOW_OFFERS","LONG_TAIL_STANDARD"))))))))))</f>
        <v>MIGRATION_PRE_ENTRY</v>
      </c>
      <c r="AK58" s="2" t="str">
        <f aca="false">INDEX('NBA Library'!$B$4:$B$21,MATCH(AJ58,'NBA Library'!$A$4:$A$21,0))</f>
        <v>Guided Self-Serve Migration</v>
      </c>
      <c r="AL58" s="2" t="str">
        <f aca="false">INDEX('NBA Library'!$C$4:$C$21,MATCH(AJ58,'NBA Library'!$A$4:$A$21,0))</f>
        <v>Human</v>
      </c>
      <c r="AM58" s="2" t="str">
        <f aca="false">IF(AA58,"HOLD — Critical Data Issue",IF(Y58,"Human Sign-Off Required",IF(Z58="Manual Review","Human Review Required",IF(AND(AL58="Automated",OR(AE58,AND(OR(AK58="Discovery-to-Offer Enablement",AK58="Reinforce Successful Behaviour"),OR(AC58,AB58)))),"Human Review Required",IF(AL58="Human","Ready — Human",IF(AL58="Hybrid","Ready — Hybrid","Ready — Automated"))))))</f>
        <v>Ready — Human</v>
      </c>
      <c r="AN58" s="2" t="str">
        <f aca="false">IF(AA58,"P0",IF(AND(AJ58="BROWSING_LOW_OFFERS",E58="Tail"),"P3",IF(AND(AM58="Human Review Required",INDEX('NBA Library'!$D$4:$D$21,MATCH(AJ58,'NBA Library'!$A$4:$A$21,0))="P4"),"P3",INDEX('NBA Library'!$D$4:$D$21,MATCH(AJ58,'NBA Library'!$A$4:$A$21,0)))))</f>
        <v>P3</v>
      </c>
      <c r="AO58" s="2" t="str">
        <f aca="false">E58&amp;" "&amp;C58&amp;" account ("&amp;B58&amp;"); "&amp;G58&amp;" momentum; "&amp;P58&amp;"; £"&amp;TEXT(H58,"#,##0")&amp;" 6m GMV. "&amp;INDEX('NBA Library'!$G$4:$G$21,MATCH(AJ58,'NBA Library'!$A$4:$A$21,0))&amp;IF(LEFT(D58,1)="1"," Baseline: "&amp;V58&amp;" PDP views, "&amp;W58&amp;" app days, "&amp;X58&amp;" offers, "&amp;TEXT(J58/I58,"0%")&amp;" of orders self-serve.","")&amp;IF(AA58," Execution on HOLD until the Duplicate status is resolved.","")&amp;IF(Y58," Key account: explicit AM/leadership sign-off required before any migration activity.","")&amp;IF(AE58," Implied broker % from order counts would move this account to a different segment; review before automating.","")</f>
        <v>Core Broker-Reliant account (Account Managed); Stable momentum; Recent Inactivity; £2,366 6m GMV. Broker-reliant Core account with healthy spend but only one self-serve order. Not yet Phase 1 eligible. Baseline: 4 PDP views, 4 app days, 1 offers, 33% of orders self-serve.</v>
      </c>
      <c r="AP58" s="2" t="str">
        <f aca="false">INDEX('NBA Library'!$E$4:$E$21,MATCH(AJ58,'NBA Library'!$A$4:$A$21,0))&amp;IF(AND(AJ58="NEW_CUSTOMER",AG58),"; introduce Make-an-Offer on items already browsed","")</f>
        <v>AM encourages a second self-serve checkout (Phase 1 entry evidence) without reducing support</v>
      </c>
      <c r="AQ58" s="2" t="str">
        <f aca="false">INDEX('NBA Library'!$F$4:$F$21,MATCH(AJ58,'NBA Library'!$A$4:$A$21,0))</f>
        <v>2+ self-serve orders, then re-assess for Phase 1</v>
      </c>
      <c r="AR58" s="2" t="str">
        <f aca="false">IF(AND(F58="Low",OR(G58="Growing",G58="Stable"),P58="Recently Active",U58&lt;&gt;"Mixed",OR(AK58="Discovery-to-Offer Enablement",AK58="Reinforce Successful Behaviour"),AM58="Ready — Automated",OR(E58&lt;&gt;"Tail",S58)),"Range Expansion Test — trial "&amp;IF(U58="Bundle-only","handpick","bundles")&amp;" (experimental; not proven to lift GMV)","")</f>
        <v/>
      </c>
      <c r="AS58" s="2" t="str">
        <f aca="false">IF(AK58&lt;&gt;"Automated Nurture","",IF(AJ58="DORMANT_LOW_VALUE","Dormant",IF(AJ58="RISING_TAIL_EARLY","Rising tail – early pattern",IF(Q58="New Customer","New customer onboarding",IF(Q58="Returned Customer","Returned customer",IF(G58="Lapsed","Dormant",IF(T58="Engaged, not converting","Engaged, not converting",IF(T58="One-off low-touch buyer","One-off purchaser",IF(T58="Light-touch repeat buyer","Light-touch repeat buyer","Standard long tail")))))))))</f>
        <v/>
      </c>
      <c r="AT58" s="2" t="str">
        <f aca="false">IF(AA58,"CRITICAL_DATA_BLOCKER; ","")&amp;IF(Y58,"KEY_SIGNOFF; ","")&amp;IF(Z58="Manual Review","PHASE1_MANUAL_REVIEW; ","")&amp;IF(AND(LEFT(D58,1)="1",AZ58="Lumpy"),"LUMPY_CADENCE; ","")&amp;IF(AB58,"BORDERLINE_MOMENTUM; ","")&amp;IF(AC58,"FEB_SENSITIVE; ","")&amp;IF(AD58,"MATERIAL_BROKER_INCONSISTENCY"&amp;IF(AE58," (segment would change)","")&amp;"; ","")&amp;IF(AND(I58&gt;=3,O58&gt;0),IF(AI58&gt;=Assumptions!$B$75,"H2_SINGLE_MONTH_SPIKE; ",""),"")&amp;IF(AND(M58&gt;0,N58=0),"NO_FEB_GMV (Feb unconfirmed); ","")&amp;IF(AF58,"LOW_CONFIDENCE; ","")</f>
        <v>LUMPY_CADENCE; H2_SINGLE_MONTH_SPIKE; </v>
      </c>
      <c r="AU58" s="2" t="n">
        <f aca="false">IF(LEFT(D58,1)="1",V58,"")</f>
        <v>4</v>
      </c>
      <c r="AV58" s="10" t="b">
        <f aca="false">IF(LEFT(D58,1)="1",V58&gt;=Assumptions!$B$58,"")</f>
        <v>0</v>
      </c>
      <c r="AW58" s="2" t="n">
        <f aca="false">IF(LEFT(D58,1)="1",W58,"")</f>
        <v>4</v>
      </c>
      <c r="AX58" s="2" t="n">
        <f aca="false">IF(LEFT(D58,1)="1",X58,"")</f>
        <v>1</v>
      </c>
      <c r="AY58" s="17" t="n">
        <f aca="false">IF(LEFT(D58,1)="1",J58/I58,"")</f>
        <v>0.333333333333333</v>
      </c>
      <c r="AZ58" s="2" t="str">
        <f aca="false">IF(LEFT(D58,1)="1",IF(AND(K58&gt;=Assumptions!$B$83,I58&gt;=Assumptions!$B$84),"Regular","Lumpy"),"")</f>
        <v>Lumpy</v>
      </c>
      <c r="BA58" s="2" t="n">
        <f aca="false">IF(LEFT(D58,1)="1",ROUND(6/K58,0),"")</f>
        <v>2</v>
      </c>
      <c r="BB58" s="2" t="str">
        <f aca="false">IF(LEFT(D58,1)="1",IF(AZ58="Regular","Regular buyer: expected ~£"&amp;TEXT(H58/2,"#,##0")&amp;" per 90 days. At Risk if GMV to date &lt; "&amp;TEXT(Assumptions!$B$81,"0%")&amp;" of pro-rated expectation, checked from day "&amp;Assumptions!$B$82&amp;". Human-reviewed.","Irregular buyer ("&amp;I58&amp;" orders across "&amp;K58&amp;" months): no numeric GMV threshold. At Risk if no order within ~"&amp;BA58&amp;" month(s); AM reviews at day "&amp;Assumptions!$B$82&amp;" and "&amp;Assumptions!$B$85&amp;"."),"")</f>
        <v>Irregular buyer (3 orders across 3 months): no numeric GMV threshold. At Risk if no order within ~2 month(s); AM reviews at day 45 and 90.</v>
      </c>
      <c r="BC58" s="18"/>
      <c r="BD58" s="18"/>
      <c r="BE58" s="18"/>
      <c r="BF58" s="18"/>
      <c r="BG58" s="18"/>
      <c r="BH58" s="18"/>
      <c r="BI58" s="18"/>
      <c r="BJ58" s="2" t="str">
        <f aca="false">IF(OR(NOT(LEFT(D58,1)="1"),BC58=""),"",IF(AZ58="Regular",AND(BC58&gt;=Assumptions!$B$82,N(BI58)&lt;Assumptions!$B$81*H58/180*BC58),AND(BC58&gt;=BA58*30,N(BG58)=0)))</f>
        <v/>
      </c>
      <c r="BK58" s="2" t="str">
        <f aca="false">IF(NOT(LEFT(D58,1)="1"),"N/A",IF(BC58="","Baseline",IF(BJ58,"At Risk",IF(AND(N(BD58)&gt;=Assumptions!$B$78,N(BE58)&gt;=Assumptions!$B$79,N(BH58)&gt;=1,N(BH58)/MAX(N(BG58),1)&gt;AY58),"Self-Serve Capability Demonstrated",IF(OR(N(BD58)&gt;=Assumptions!$B$76,N(BE58)&gt;=Assumptions!$B$77),"Progressing",IF(BC58&gt;=Assumptions!$B$85,"At Risk","Baseline"))))))</f>
        <v>Baseline</v>
      </c>
      <c r="BL58" s="2" t="n">
        <f aca="false">(AND(C58="Broker-Reliant",OR(AK58="Discovery-to-Offer Enablement",AK58="Reinforce Successful Behaviour")))*1+(AND(G58="Declining",E58&lt;&gt;"Tail",AL58="Automated"))*1+(AND(Y58,AM58&lt;&gt;"Human Sign-Off Required"))*1+(AND(AA58,AM58&lt;&gt;"HOLD — Critical Data Issue"))*1+(AND(P58="Recent Inactivity",OR(AK58="Discovery-to-Offer Enablement",AK58="Reinforce Successful Behaviour")))*1+(AND(OR(LEFT(D58,1)="2",LEFT(D58,1)="3",LEFT(D58,1)="8"),AL58="Automated"))*1+((LEFT(D58,1)="1")&lt;&gt;(AK58="Guided Self-Serve Migration"))*1+(AND(AR58&lt;&gt;"",OR(F58&lt;&gt;"Low",U58="Mixed",AND(G58&lt;&gt;"Growing",G58&lt;&gt;"Stable"))))*1+ISNUMBER(SEARCH("chat",AP58))*1+ISNUMBER(SEARCH("video",AP58))*1+(AND(AA58,AL58="Automated",AM58&lt;&gt;"HOLD — Critical Data Issue"))*1</f>
        <v>0</v>
      </c>
    </row>
    <row r="59" customFormat="false" ht="15" hidden="false" customHeight="false" outlineLevel="0" collapsed="false">
      <c r="A59" s="2" t="s">
        <v>446</v>
      </c>
      <c r="B59" s="2" t="str">
        <f aca="false">INDEX(Segmentation!$B$2:$B$301,MATCH($A59,Segmentation!$A$2:$A$301,0))</f>
        <v>Account Managed</v>
      </c>
      <c r="C59" s="2" t="str">
        <f aca="false">INDEX(Segmentation!$H$2:$H$301,MATCH($A59,Segmentation!$A$2:$A$301,0))</f>
        <v>Broker-Reliant</v>
      </c>
      <c r="D59" s="2" t="str">
        <f aca="false">INDEX(Segmentation!$T$2:$T$301,MATCH($A59,Segmentation!$A$2:$A$301,0))</f>
        <v>1. Migration Candidate</v>
      </c>
      <c r="E59" s="2" t="str">
        <f aca="false">INDEX(Segmentation!$J$2:$J$301,MATCH($A59,Segmentation!$A$2:$A$301,0))</f>
        <v>Core</v>
      </c>
      <c r="F59" s="2" t="str">
        <f aca="false">INDEX(Segmentation!$G$2:$G$301,MATCH($A59,Segmentation!$A$2:$A$301,0))</f>
        <v>Medium</v>
      </c>
      <c r="G59" s="2" t="str">
        <f aca="false">INDEX(Segmentation!$N$2:$N$301,MATCH($A59,Segmentation!$A$2:$A$301,0))</f>
        <v>Growing</v>
      </c>
      <c r="H59" s="9" t="n">
        <f aca="false">INDEX(Segmentation!$I$2:$I$301,MATCH($A59,Segmentation!$A$2:$A$301,0))</f>
        <v>2277</v>
      </c>
      <c r="I59" s="2" t="n">
        <f aca="false">INDEX(Segmentation!$O$2:$O$301,MATCH($A59,Segmentation!$A$2:$A$301,0))</f>
        <v>8</v>
      </c>
      <c r="J59" s="2" t="n">
        <f aca="false">INDEX(Segmentation!$Q$2:$Q$301,MATCH($A59,Segmentation!$A$2:$A$301,0))</f>
        <v>4</v>
      </c>
      <c r="K59" s="2" t="n">
        <f aca="false">INDEX(Segmentation!$W$2:$W$301,MATCH($A59,Segmentation!$A$2:$A$301,0))</f>
        <v>2</v>
      </c>
      <c r="L59" s="9" t="n">
        <f aca="false">INDEX('Commercial View'!$L$2:$L$301,MATCH($A59,'Commercial View'!$A$2:$A$301,0))</f>
        <v>0</v>
      </c>
      <c r="M59" s="9" t="n">
        <f aca="false">INDEX('Commercial View'!$M$2:$M$301,MATCH($A59,'Commercial View'!$A$2:$A$301,0))</f>
        <v>0</v>
      </c>
      <c r="N59" s="9" t="n">
        <f aca="false">INDEX('Commercial View'!$N$2:$N$301,MATCH($A59,'Commercial View'!$A$2:$A$301,0))</f>
        <v>1295</v>
      </c>
      <c r="O59" s="9" t="n">
        <f aca="false">INDEX(Segmentation!$L$2:$L$301,MATCH($A59,Segmentation!$A$2:$A$301,0))</f>
        <v>1295</v>
      </c>
      <c r="P59" s="2" t="str">
        <f aca="false">IF(OR(M59&gt;0,N59&gt;0),"Recently Active",IF(OR(I59&lt;=Assumptions!$B$48,K59&lt;=Assumptions!$B$49),"No Meaningful History","Recent Inactivity"))</f>
        <v>Recently Active</v>
      </c>
      <c r="Q59" s="2" t="str">
        <f aca="false">INDEX(Segmentation!$AF$2:$AF$301,MATCH($A59,Segmentation!$A$2:$A$301,0))</f>
        <v>Existing Customer</v>
      </c>
      <c r="R59" s="2" t="str">
        <f aca="false">INDEX(Segmentation!$AL$2:$AL$301,MATCH($A59,Segmentation!$A$2:$A$301,0))</f>
        <v>N/A</v>
      </c>
      <c r="S59" s="10" t="b">
        <f aca="false">INDEX(Segmentation!$AW$2:$AW$301,MATCH($A59,Segmentation!$A$2:$A$301,0))</f>
        <v>0</v>
      </c>
      <c r="T59" s="2" t="str">
        <f aca="false">INDEX('Feature Data'!$AD$2:$AD$301,MATCH($A59,'Feature Data'!$A$2:$A$301,0))</f>
        <v>Broker-led, product-blind</v>
      </c>
      <c r="U59" s="2" t="str">
        <f aca="false">INDEX('Feature Data'!$W$2:$W$301,MATCH($A59,'Feature Data'!$A$2:$A$301,0))</f>
        <v>Mixed</v>
      </c>
      <c r="V59" s="2" t="n">
        <f aca="false">INDEX('Feature Data'!$P$2:$P$301,MATCH($A59,'Feature Data'!$A$2:$A$301,0))</f>
        <v>3</v>
      </c>
      <c r="W59" s="2" t="n">
        <f aca="false">INDEX(Segmentation!$R$2:$R$301,MATCH($A59,Segmentation!$A$2:$A$301,0))</f>
        <v>5</v>
      </c>
      <c r="X59" s="2" t="n">
        <f aca="false">INDEX(Segmentation!$S$2:$S$301,MATCH($A59,Segmentation!$A$2:$A$301,0))</f>
        <v>0</v>
      </c>
      <c r="Y59" s="10" t="b">
        <f aca="false">INDEX(Segmentation!$AG$2:$AG$301,MATCH($A59,Segmentation!$A$2:$A$301,0))</f>
        <v>0</v>
      </c>
      <c r="Z59" s="2" t="str">
        <f aca="false">INDEX(Segmentation!$AU$2:$AU$301,MATCH($A59,Segmentation!$A$2:$A$301,0))</f>
        <v>Manual Review</v>
      </c>
      <c r="AA59" s="10" t="b">
        <f aca="false">INDEX(Segmentation!$Z$2:$Z$301,MATCH($A59,Segmentation!$A$2:$A$301,0))</f>
        <v>0</v>
      </c>
      <c r="AB59" s="10" t="b">
        <f aca="false">INDEX(Segmentation!$AH$2:$AH$301,MATCH($A59,Segmentation!$A$2:$A$301,0))</f>
        <v>0</v>
      </c>
      <c r="AC59" s="10" t="b">
        <f aca="false">INDEX(Segmentation!$AK$2:$AK$301,MATCH($A59,Segmentation!$A$2:$A$301,0))</f>
        <v>1</v>
      </c>
      <c r="AD59" s="10" t="b">
        <f aca="false">INDEX(Segmentation!$AQ$2:$AQ$301,MATCH($A59,Segmentation!$A$2:$A$301,0))</f>
        <v>0</v>
      </c>
      <c r="AE59" s="10" t="b">
        <f aca="false">INDEX(Segmentation!$AT$2:$AT$301,MATCH($A59,Segmentation!$A$2:$A$301,0))</f>
        <v>0</v>
      </c>
      <c r="AF59" s="10" t="b">
        <f aca="false">INDEX(Segmentation!$X$2:$X$301,MATCH($A59,Segmentation!$A$2:$A$301,0))</f>
        <v>0</v>
      </c>
      <c r="AG59" s="10" t="b">
        <f aca="false">AND(F59="Low",V59&gt;=Assumptions!$B$71,X59&lt;Assumptions!$B$72)</f>
        <v>0</v>
      </c>
      <c r="AH59" s="10" t="b">
        <f aca="false">AND(F59="Low",OR(G59="Growing",G59="Stable"),P59="Recently Active",V59&gt;=Assumptions!$B$58,K59&gt;=Assumptions!$B$73)</f>
        <v>0</v>
      </c>
      <c r="AI59" s="17" t="n">
        <f aca="false">IF(O59&gt;0,MAX(L59:N59)/O59,"")</f>
        <v>1</v>
      </c>
      <c r="AJ59" s="2" t="str">
        <f aca="false">IF(LEFT(D59,1)="1",IF(E59="Key","MIGRATION_KEY_SIGNOFF",IF(Z59="Ready","MIGRATION_PHASE1_READY",IF(Z59="Manual Review","MIGRATION_PHASE1_REVIEW","MIGRATION_PRE_ENTRY"))),IF(LEFT(D59,1)="2","DECLINING_KEY_CORE",IF(LEFT(D59,1)="3",IF(R59="Established Buyer Lapsed","LAPSED_ESTABLISHED","LAPSED_THIN_HISTORY"),IF(LEFT(D59,1)="4",IF(Q59="New Customer","NEW_CUSTOMER","RETURNED_CUSTOMER"),IF(LEFT(D59,1)="5",IF(P59="Recently Active","COST_TO_SERVE_ACTIVE","DORMANT_LOW_VALUE"),IF(LEFT(D59,1)="6",IF(P59="Recent Inactivity","RECENT_INACTIVITY",IF(AG59,"BROWSING_LOW_OFFERS","HEALTHY_STRONG_SELF_SERVE")),IF(LEFT(D59,1)="7",IF(P59="Recent Inactivity","RECENT_INACTIVITY",IF(Q59="New Customer","NEW_CUSTOMER","RETURNED_CUSTOMER")),IF(LEFT(D59,1)="8",IF(G59="Declining",IF(T59="Engaged but shrinking (Key/Core)","ENGAGED_BUT_SHRINKING","DECLINING_KEY_CORE"),IF(R59="Established Buyer Lapsed","LAPSED_ESTABLISHED","LAPSED_THIN_HISTORY")),IF(S59,IF(P59&lt;&gt;"Recently Active","DORMANT_LOW_VALUE",IF(AG59,"BROWSING_LOW_OFFERS",IF(AH59,"RISING_TAIL","RISING_TAIL_EARLY"))),IF(AND(AG59,P59="Recently Active",OR(G59="Growing",G59="Stable",G59="H2 Active / No H1 GMV"),I59&gt;=Assumptions!$B$74),"BROWSING_LOW_OFFERS","LONG_TAIL_STANDARD"))))))))))</f>
        <v>MIGRATION_PHASE1_REVIEW</v>
      </c>
      <c r="AK59" s="2" t="str">
        <f aca="false">INDEX('NBA Library'!$B$4:$B$21,MATCH(AJ59,'NBA Library'!$A$4:$A$21,0))</f>
        <v>Guided Self-Serve Migration</v>
      </c>
      <c r="AL59" s="2" t="str">
        <f aca="false">INDEX('NBA Library'!$C$4:$C$21,MATCH(AJ59,'NBA Library'!$A$4:$A$21,0))</f>
        <v>Hybrid</v>
      </c>
      <c r="AM59" s="2" t="str">
        <f aca="false">IF(AA59,"HOLD — Critical Data Issue",IF(Y59,"Human Sign-Off Required",IF(Z59="Manual Review","Human Review Required",IF(AND(AL59="Automated",OR(AE59,AND(OR(AK59="Discovery-to-Offer Enablement",AK59="Reinforce Successful Behaviour"),OR(AC59,AB59)))),"Human Review Required",IF(AL59="Human","Ready — Human",IF(AL59="Hybrid","Ready — Hybrid","Ready — Automated"))))))</f>
        <v>Human Review Required</v>
      </c>
      <c r="AN59" s="2" t="str">
        <f aca="false">IF(AA59,"P0",IF(AND(AJ59="BROWSING_LOW_OFFERS",E59="Tail"),"P3",IF(AND(AM59="Human Review Required",INDEX('NBA Library'!$D$4:$D$21,MATCH(AJ59,'NBA Library'!$A$4:$A$21,0))="P4"),"P3",INDEX('NBA Library'!$D$4:$D$21,MATCH(AJ59,'NBA Library'!$A$4:$A$21,0)))))</f>
        <v>P2</v>
      </c>
      <c r="AO59" s="2" t="str">
        <f aca="false">E59&amp;" "&amp;C59&amp;" account ("&amp;B59&amp;"); "&amp;G59&amp;" momentum; "&amp;P59&amp;"; £"&amp;TEXT(H59,"#,##0")&amp;" 6m GMV. "&amp;INDEX('NBA Library'!$G$4:$G$21,MATCH(AJ59,'NBA Library'!$A$4:$A$21,0))&amp;IF(LEFT(D59,1)="1"," Baseline: "&amp;V59&amp;" PDP views, "&amp;W59&amp;" app days, "&amp;X59&amp;" offers, "&amp;TEXT(J59/I59,"0%")&amp;" of orders self-serve.","")&amp;IF(AA59," Execution on HOLD until the Duplicate status is resolved.","")&amp;IF(Y59," Key account: explicit AM/leadership sign-off required before any migration activity.","")&amp;IF(AE59," Implied broker % from order counts would move this account to a different segment; review before automating.","")</f>
        <v>Core Broker-Reliant account (Account Managed); Growing momentum; Recently Active; £2,277 6m GMV. Meets Phase 1 entry criteria but carries a guardrail warning (borderline/February-sensitive momentum, lumpy cadence or broker % inconsistency). Resolve before starting migration. Baseline: 3 PDP views, 5 app days, 0 offers, 50% of orders self-serve.</v>
      </c>
      <c r="AP59" s="2" t="str">
        <f aca="false">INDEX('NBA Library'!$E$4:$E$21,MATCH(AJ59,'NBA Library'!$A$4:$A$21,0))&amp;IF(AND(AJ59="NEW_CUSTOMER",AG59),"; introduce Make-an-Offer on items already browsed","")</f>
        <v>As Phase 1 Ready once the guardrail warning is resolved</v>
      </c>
      <c r="AQ59" s="2" t="str">
        <f aca="false">INDEX('NBA Library'!$F$4:$F$21,MATCH(AJ59,'NBA Library'!$A$4:$A$21,0))</f>
        <v>Warning resolved; then as Phase 1 Ready</v>
      </c>
      <c r="AR59" s="2" t="str">
        <f aca="false">IF(AND(F59="Low",OR(G59="Growing",G59="Stable"),P59="Recently Active",U59&lt;&gt;"Mixed",OR(AK59="Discovery-to-Offer Enablement",AK59="Reinforce Successful Behaviour"),AM59="Ready — Automated",OR(E59&lt;&gt;"Tail",S59)),"Range Expansion Test — trial "&amp;IF(U59="Bundle-only","handpick","bundles")&amp;" (experimental; not proven to lift GMV)","")</f>
        <v/>
      </c>
      <c r="AS59" s="2" t="str">
        <f aca="false">IF(AK59&lt;&gt;"Automated Nurture","",IF(AJ59="DORMANT_LOW_VALUE","Dormant",IF(AJ59="RISING_TAIL_EARLY","Rising tail – early pattern",IF(Q59="New Customer","New customer onboarding",IF(Q59="Returned Customer","Returned customer",IF(G59="Lapsed","Dormant",IF(T59="Engaged, not converting","Engaged, not converting",IF(T59="One-off low-touch buyer","One-off purchaser",IF(T59="Light-touch repeat buyer","Light-touch repeat buyer","Standard long tail")))))))))</f>
        <v/>
      </c>
      <c r="AT59" s="2" t="str">
        <f aca="false">IF(AA59,"CRITICAL_DATA_BLOCKER; ","")&amp;IF(Y59,"KEY_SIGNOFF; ","")&amp;IF(Z59="Manual Review","PHASE1_MANUAL_REVIEW; ","")&amp;IF(AND(LEFT(D59,1)="1",AZ59="Lumpy"),"LUMPY_CADENCE; ","")&amp;IF(AB59,"BORDERLINE_MOMENTUM; ","")&amp;IF(AC59,"FEB_SENSITIVE; ","")&amp;IF(AD59,"MATERIAL_BROKER_INCONSISTENCY"&amp;IF(AE59," (segment would change)","")&amp;"; ","")&amp;IF(AND(I59&gt;=3,O59&gt;0),IF(AI59&gt;=Assumptions!$B$75,"H2_SINGLE_MONTH_SPIKE; ",""),"")&amp;IF(AND(M59&gt;0,N59=0),"NO_FEB_GMV (Feb unconfirmed); ","")&amp;IF(AF59,"LOW_CONFIDENCE; ","")</f>
        <v>PHASE1_MANUAL_REVIEW; LUMPY_CADENCE; FEB_SENSITIVE; H2_SINGLE_MONTH_SPIKE; </v>
      </c>
      <c r="AU59" s="2" t="n">
        <f aca="false">IF(LEFT(D59,1)="1",V59,"")</f>
        <v>3</v>
      </c>
      <c r="AV59" s="10" t="b">
        <f aca="false">IF(LEFT(D59,1)="1",V59&gt;=Assumptions!$B$58,"")</f>
        <v>0</v>
      </c>
      <c r="AW59" s="2" t="n">
        <f aca="false">IF(LEFT(D59,1)="1",W59,"")</f>
        <v>5</v>
      </c>
      <c r="AX59" s="2" t="n">
        <f aca="false">IF(LEFT(D59,1)="1",X59,"")</f>
        <v>0</v>
      </c>
      <c r="AY59" s="17" t="n">
        <f aca="false">IF(LEFT(D59,1)="1",J59/I59,"")</f>
        <v>0.5</v>
      </c>
      <c r="AZ59" s="2" t="str">
        <f aca="false">IF(LEFT(D59,1)="1",IF(AND(K59&gt;=Assumptions!$B$83,I59&gt;=Assumptions!$B$84),"Regular","Lumpy"),"")</f>
        <v>Lumpy</v>
      </c>
      <c r="BA59" s="2" t="n">
        <f aca="false">IF(LEFT(D59,1)="1",ROUND(6/K59,0),"")</f>
        <v>3</v>
      </c>
      <c r="BB59" s="2" t="str">
        <f aca="false">IF(LEFT(D59,1)="1",IF(AZ59="Regular","Regular buyer: expected ~£"&amp;TEXT(H59/2,"#,##0")&amp;" per 90 days. At Risk if GMV to date &lt; "&amp;TEXT(Assumptions!$B$81,"0%")&amp;" of pro-rated expectation, checked from day "&amp;Assumptions!$B$82&amp;". Human-reviewed.","Irregular buyer ("&amp;I59&amp;" orders across "&amp;K59&amp;" months): no numeric GMV threshold. At Risk if no order within ~"&amp;BA59&amp;" month(s); AM reviews at day "&amp;Assumptions!$B$82&amp;" and "&amp;Assumptions!$B$85&amp;"."),"")</f>
        <v>Irregular buyer (8 orders across 2 months): no numeric GMV threshold. At Risk if no order within ~3 month(s); AM reviews at day 45 and 90.</v>
      </c>
      <c r="BC59" s="18"/>
      <c r="BD59" s="18"/>
      <c r="BE59" s="18"/>
      <c r="BF59" s="18"/>
      <c r="BG59" s="18"/>
      <c r="BH59" s="18"/>
      <c r="BI59" s="18"/>
      <c r="BJ59" s="2" t="str">
        <f aca="false">IF(OR(NOT(LEFT(D59,1)="1"),BC59=""),"",IF(AZ59="Regular",AND(BC59&gt;=Assumptions!$B$82,N(BI59)&lt;Assumptions!$B$81*H59/180*BC59),AND(BC59&gt;=BA59*30,N(BG59)=0)))</f>
        <v/>
      </c>
      <c r="BK59" s="2" t="str">
        <f aca="false">IF(NOT(LEFT(D59,1)="1"),"N/A",IF(BC59="","Baseline",IF(BJ59,"At Risk",IF(AND(N(BD59)&gt;=Assumptions!$B$78,N(BE59)&gt;=Assumptions!$B$79,N(BH59)&gt;=1,N(BH59)/MAX(N(BG59),1)&gt;AY59),"Self-Serve Capability Demonstrated",IF(OR(N(BD59)&gt;=Assumptions!$B$76,N(BE59)&gt;=Assumptions!$B$77),"Progressing",IF(BC59&gt;=Assumptions!$B$85,"At Risk","Baseline"))))))</f>
        <v>Baseline</v>
      </c>
      <c r="BL59" s="2" t="n">
        <f aca="false">(AND(C59="Broker-Reliant",OR(AK59="Discovery-to-Offer Enablement",AK59="Reinforce Successful Behaviour")))*1+(AND(G59="Declining",E59&lt;&gt;"Tail",AL59="Automated"))*1+(AND(Y59,AM59&lt;&gt;"Human Sign-Off Required"))*1+(AND(AA59,AM59&lt;&gt;"HOLD — Critical Data Issue"))*1+(AND(P59="Recent Inactivity",OR(AK59="Discovery-to-Offer Enablement",AK59="Reinforce Successful Behaviour")))*1+(AND(OR(LEFT(D59,1)="2",LEFT(D59,1)="3",LEFT(D59,1)="8"),AL59="Automated"))*1+((LEFT(D59,1)="1")&lt;&gt;(AK59="Guided Self-Serve Migration"))*1+(AND(AR59&lt;&gt;"",OR(F59&lt;&gt;"Low",U59="Mixed",AND(G59&lt;&gt;"Growing",G59&lt;&gt;"Stable"))))*1+ISNUMBER(SEARCH("chat",AP59))*1+ISNUMBER(SEARCH("video",AP59))*1+(AND(AA59,AL59="Automated",AM59&lt;&gt;"HOLD — Critical Data Issue"))*1</f>
        <v>0</v>
      </c>
    </row>
    <row r="60" customFormat="false" ht="15" hidden="false" customHeight="false" outlineLevel="0" collapsed="false">
      <c r="A60" s="2" t="s">
        <v>293</v>
      </c>
      <c r="B60" s="2" t="str">
        <f aca="false">INDEX(Segmentation!$B$2:$B$301,MATCH($A60,Segmentation!$A$2:$A$301,0))</f>
        <v>Account Managed</v>
      </c>
      <c r="C60" s="2" t="str">
        <f aca="false">INDEX(Segmentation!$H$2:$H$301,MATCH($A60,Segmentation!$A$2:$A$301,0))</f>
        <v>Broker-Reliant</v>
      </c>
      <c r="D60" s="2" t="str">
        <f aca="false">INDEX(Segmentation!$T$2:$T$301,MATCH($A60,Segmentation!$A$2:$A$301,0))</f>
        <v>2. Protect / Retain First</v>
      </c>
      <c r="E60" s="2" t="str">
        <f aca="false">INDEX(Segmentation!$J$2:$J$301,MATCH($A60,Segmentation!$A$2:$A$301,0))</f>
        <v>Core</v>
      </c>
      <c r="F60" s="2" t="str">
        <f aca="false">INDEX(Segmentation!$G$2:$G$301,MATCH($A60,Segmentation!$A$2:$A$301,0))</f>
        <v>High</v>
      </c>
      <c r="G60" s="2" t="str">
        <f aca="false">INDEX(Segmentation!$N$2:$N$301,MATCH($A60,Segmentation!$A$2:$A$301,0))</f>
        <v>Declining</v>
      </c>
      <c r="H60" s="9" t="n">
        <f aca="false">INDEX(Segmentation!$I$2:$I$301,MATCH($A60,Segmentation!$A$2:$A$301,0))</f>
        <v>2262</v>
      </c>
      <c r="I60" s="2" t="n">
        <f aca="false">INDEX(Segmentation!$O$2:$O$301,MATCH($A60,Segmentation!$A$2:$A$301,0))</f>
        <v>3</v>
      </c>
      <c r="J60" s="2" t="n">
        <f aca="false">INDEX(Segmentation!$Q$2:$Q$301,MATCH($A60,Segmentation!$A$2:$A$301,0))</f>
        <v>1</v>
      </c>
      <c r="K60" s="2" t="n">
        <f aca="false">INDEX(Segmentation!$W$2:$W$301,MATCH($A60,Segmentation!$A$2:$A$301,0))</f>
        <v>3</v>
      </c>
      <c r="L60" s="9" t="n">
        <f aca="false">INDEX('Commercial View'!$L$2:$L$301,MATCH($A60,'Commercial View'!$A$2:$A$301,0))</f>
        <v>995</v>
      </c>
      <c r="M60" s="9" t="n">
        <f aca="false">INDEX('Commercial View'!$M$2:$M$301,MATCH($A60,'Commercial View'!$A$2:$A$301,0))</f>
        <v>0</v>
      </c>
      <c r="N60" s="9" t="n">
        <f aca="false">INDEX('Commercial View'!$N$2:$N$301,MATCH($A60,'Commercial View'!$A$2:$A$301,0))</f>
        <v>0</v>
      </c>
      <c r="O60" s="9" t="n">
        <f aca="false">INDEX(Segmentation!$L$2:$L$301,MATCH($A60,Segmentation!$A$2:$A$301,0))</f>
        <v>995</v>
      </c>
      <c r="P60" s="2" t="str">
        <f aca="false">IF(OR(M60&gt;0,N60&gt;0),"Recently Active",IF(OR(I60&lt;=Assumptions!$B$48,K60&lt;=Assumptions!$B$49),"No Meaningful History","Recent Inactivity"))</f>
        <v>Recent Inactivity</v>
      </c>
      <c r="Q60" s="2" t="str">
        <f aca="false">INDEX(Segmentation!$AF$2:$AF$301,MATCH($A60,Segmentation!$A$2:$A$301,0))</f>
        <v>Existing Customer</v>
      </c>
      <c r="R60" s="2" t="str">
        <f aca="false">INDEX(Segmentation!$AL$2:$AL$301,MATCH($A60,Segmentation!$A$2:$A$301,0))</f>
        <v>N/A</v>
      </c>
      <c r="S60" s="10" t="b">
        <f aca="false">INDEX(Segmentation!$AW$2:$AW$301,MATCH($A60,Segmentation!$A$2:$A$301,0))</f>
        <v>0</v>
      </c>
      <c r="T60" s="2" t="str">
        <f aca="false">INDEX('Feature Data'!$AD$2:$AD$301,MATCH($A60,'Feature Data'!$A$2:$A$301,0))</f>
        <v>Broker-led, product-blind</v>
      </c>
      <c r="U60" s="2" t="str">
        <f aca="false">INDEX('Feature Data'!$W$2:$W$301,MATCH($A60,'Feature Data'!$A$2:$A$301,0))</f>
        <v>Handpick-only</v>
      </c>
      <c r="V60" s="2" t="n">
        <f aca="false">INDEX('Feature Data'!$P$2:$P$301,MATCH($A60,'Feature Data'!$A$2:$A$301,0))</f>
        <v>8</v>
      </c>
      <c r="W60" s="2" t="n">
        <f aca="false">INDEX(Segmentation!$R$2:$R$301,MATCH($A60,Segmentation!$A$2:$A$301,0))</f>
        <v>1</v>
      </c>
      <c r="X60" s="2" t="n">
        <f aca="false">INDEX(Segmentation!$S$2:$S$301,MATCH($A60,Segmentation!$A$2:$A$301,0))</f>
        <v>1</v>
      </c>
      <c r="Y60" s="10" t="b">
        <f aca="false">INDEX(Segmentation!$AG$2:$AG$301,MATCH($A60,Segmentation!$A$2:$A$301,0))</f>
        <v>0</v>
      </c>
      <c r="Z60" s="2" t="str">
        <f aca="false">INDEX(Segmentation!$AU$2:$AU$301,MATCH($A60,Segmentation!$A$2:$A$301,0))</f>
        <v>Not Eligible</v>
      </c>
      <c r="AA60" s="10" t="b">
        <f aca="false">INDEX(Segmentation!$Z$2:$Z$301,MATCH($A60,Segmentation!$A$2:$A$301,0))</f>
        <v>0</v>
      </c>
      <c r="AB60" s="10" t="b">
        <f aca="false">INDEX(Segmentation!$AH$2:$AH$301,MATCH($A60,Segmentation!$A$2:$A$301,0))</f>
        <v>1</v>
      </c>
      <c r="AC60" s="10" t="b">
        <f aca="false">INDEX(Segmentation!$AK$2:$AK$301,MATCH($A60,Segmentation!$A$2:$A$301,0))</f>
        <v>1</v>
      </c>
      <c r="AD60" s="10" t="b">
        <f aca="false">INDEX(Segmentation!$AQ$2:$AQ$301,MATCH($A60,Segmentation!$A$2:$A$301,0))</f>
        <v>0</v>
      </c>
      <c r="AE60" s="10" t="b">
        <f aca="false">INDEX(Segmentation!$AT$2:$AT$301,MATCH($A60,Segmentation!$A$2:$A$301,0))</f>
        <v>0</v>
      </c>
      <c r="AF60" s="10" t="b">
        <f aca="false">INDEX(Segmentation!$X$2:$X$301,MATCH($A60,Segmentation!$A$2:$A$301,0))</f>
        <v>0</v>
      </c>
      <c r="AG60" s="10" t="b">
        <f aca="false">AND(F60="Low",V60&gt;=Assumptions!$B$71,X60&lt;Assumptions!$B$72)</f>
        <v>0</v>
      </c>
      <c r="AH60" s="10" t="b">
        <f aca="false">AND(F60="Low",OR(G60="Growing",G60="Stable"),P60="Recently Active",V60&gt;=Assumptions!$B$58,K60&gt;=Assumptions!$B$73)</f>
        <v>0</v>
      </c>
      <c r="AI60" s="17" t="n">
        <f aca="false">IF(O60&gt;0,MAX(L60:N60)/O60,"")</f>
        <v>1</v>
      </c>
      <c r="AJ60" s="2" t="str">
        <f aca="false">IF(LEFT(D60,1)="1",IF(E60="Key","MIGRATION_KEY_SIGNOFF",IF(Z60="Ready","MIGRATION_PHASE1_READY",IF(Z60="Manual Review","MIGRATION_PHASE1_REVIEW","MIGRATION_PRE_ENTRY"))),IF(LEFT(D60,1)="2","DECLINING_KEY_CORE",IF(LEFT(D60,1)="3",IF(R60="Established Buyer Lapsed","LAPSED_ESTABLISHED","LAPSED_THIN_HISTORY"),IF(LEFT(D60,1)="4",IF(Q60="New Customer","NEW_CUSTOMER","RETURNED_CUSTOMER"),IF(LEFT(D60,1)="5",IF(P60="Recently Active","COST_TO_SERVE_ACTIVE","DORMANT_LOW_VALUE"),IF(LEFT(D60,1)="6",IF(P60="Recent Inactivity","RECENT_INACTIVITY",IF(AG60,"BROWSING_LOW_OFFERS","HEALTHY_STRONG_SELF_SERVE")),IF(LEFT(D60,1)="7",IF(P60="Recent Inactivity","RECENT_INACTIVITY",IF(Q60="New Customer","NEW_CUSTOMER","RETURNED_CUSTOMER")),IF(LEFT(D60,1)="8",IF(G60="Declining",IF(T60="Engaged but shrinking (Key/Core)","ENGAGED_BUT_SHRINKING","DECLINING_KEY_CORE"),IF(R60="Established Buyer Lapsed","LAPSED_ESTABLISHED","LAPSED_THIN_HISTORY")),IF(S60,IF(P60&lt;&gt;"Recently Active","DORMANT_LOW_VALUE",IF(AG60,"BROWSING_LOW_OFFERS",IF(AH60,"RISING_TAIL","RISING_TAIL_EARLY"))),IF(AND(AG60,P60="Recently Active",OR(G60="Growing",G60="Stable",G60="H2 Active / No H1 GMV"),I60&gt;=Assumptions!$B$74),"BROWSING_LOW_OFFERS","LONG_TAIL_STANDARD"))))))))))</f>
        <v>DECLINING_KEY_CORE</v>
      </c>
      <c r="AK60" s="2" t="str">
        <f aca="false">INDEX('NBA Library'!$B$4:$B$21,MATCH(AJ60,'NBA Library'!$A$4:$A$21,0))</f>
        <v>Retention Conversation</v>
      </c>
      <c r="AL60" s="2" t="str">
        <f aca="false">INDEX('NBA Library'!$C$4:$C$21,MATCH(AJ60,'NBA Library'!$A$4:$A$21,0))</f>
        <v>Human</v>
      </c>
      <c r="AM60" s="2" t="str">
        <f aca="false">IF(AA60,"HOLD — Critical Data Issue",IF(Y60,"Human Sign-Off Required",IF(Z60="Manual Review","Human Review Required",IF(AND(AL60="Automated",OR(AE60,AND(OR(AK60="Discovery-to-Offer Enablement",AK60="Reinforce Successful Behaviour"),OR(AC60,AB60)))),"Human Review Required",IF(AL60="Human","Ready — Human",IF(AL60="Hybrid","Ready — Hybrid","Ready — Automated"))))))</f>
        <v>Ready — Human</v>
      </c>
      <c r="AN60" s="2" t="str">
        <f aca="false">IF(AA60,"P0",IF(AND(AJ60="BROWSING_LOW_OFFERS",E60="Tail"),"P3",IF(AND(AM60="Human Review Required",INDEX('NBA Library'!$D$4:$D$21,MATCH(AJ60,'NBA Library'!$A$4:$A$21,0))="P4"),"P3",INDEX('NBA Library'!$D$4:$D$21,MATCH(AJ60,'NBA Library'!$A$4:$A$21,0)))))</f>
        <v>P1</v>
      </c>
      <c r="AO60" s="2" t="str">
        <f aca="false">E60&amp;" "&amp;C60&amp;" account ("&amp;B60&amp;"); "&amp;G60&amp;" momentum; "&amp;P60&amp;"; £"&amp;TEXT(H60,"#,##0")&amp;" 6m GMV. "&amp;INDEX('NBA Library'!$G$4:$G$21,MATCH(AJ60,'NBA Library'!$A$4:$A$21,0))&amp;IF(LEFT(D60,1)="1"," Baseline: "&amp;V60&amp;" PDP views, "&amp;W60&amp;" app days, "&amp;X60&amp;" offers, "&amp;TEXT(J60/I60,"0%")&amp;" of orders self-serve.","")&amp;IF(AA60," Execution on HOLD until the Duplicate status is resolved.","")&amp;IF(Y60," Key account: explicit AM/leadership sign-off required before any migration activity.","")&amp;IF(AE60," Implied broker % from order counts would move this account to a different segment; review before automating.","")</f>
        <v>Core Broker-Reliant account (Account Managed); Declining momentum; Recent Inactivity; £2,262 6m GMV. Broker-led spend is falling. Keep human support in place; AM to diagnose the cause before any migration or product nudge.</v>
      </c>
      <c r="AP60" s="2" t="str">
        <f aca="false">INDEX('NBA Library'!$E$4:$E$21,MATCH(AJ60,'NBA Library'!$A$4:$A$21,0))&amp;IF(AND(AJ60="NEW_CUSTOMER",AG60),"; introduce Make-an-Offer on items already browsed","")</f>
        <v>AM diagnoses the cause of falling spend (supply, price, service, competitor) and agrees a recovery plan; keep human support in place</v>
      </c>
      <c r="AQ60" s="2" t="str">
        <f aca="false">INDEX('NBA Library'!$F$4:$F$21,MATCH(AJ60,'NBA Library'!$A$4:$A$21,0))</f>
        <v>Next 90-day GMV back to at least the Sep-Nov (H1) level, or decline arrested; root cause logged</v>
      </c>
      <c r="AR60" s="2" t="str">
        <f aca="false">IF(AND(F60="Low",OR(G60="Growing",G60="Stable"),P60="Recently Active",U60&lt;&gt;"Mixed",OR(AK60="Discovery-to-Offer Enablement",AK60="Reinforce Successful Behaviour"),AM60="Ready — Automated",OR(E60&lt;&gt;"Tail",S60)),"Range Expansion Test — trial "&amp;IF(U60="Bundle-only","handpick","bundles")&amp;" (experimental; not proven to lift GMV)","")</f>
        <v/>
      </c>
      <c r="AS60" s="2" t="str">
        <f aca="false">IF(AK60&lt;&gt;"Automated Nurture","",IF(AJ60="DORMANT_LOW_VALUE","Dormant",IF(AJ60="RISING_TAIL_EARLY","Rising tail – early pattern",IF(Q60="New Customer","New customer onboarding",IF(Q60="Returned Customer","Returned customer",IF(G60="Lapsed","Dormant",IF(T60="Engaged, not converting","Engaged, not converting",IF(T60="One-off low-touch buyer","One-off purchaser",IF(T60="Light-touch repeat buyer","Light-touch repeat buyer","Standard long tail")))))))))</f>
        <v/>
      </c>
      <c r="AT60" s="2" t="str">
        <f aca="false">IF(AA60,"CRITICAL_DATA_BLOCKER; ","")&amp;IF(Y60,"KEY_SIGNOFF; ","")&amp;IF(Z60="Manual Review","PHASE1_MANUAL_REVIEW; ","")&amp;IF(AND(LEFT(D60,1)="1",AZ60="Lumpy"),"LUMPY_CADENCE; ","")&amp;IF(AB60,"BORDERLINE_MOMENTUM; ","")&amp;IF(AC60,"FEB_SENSITIVE; ","")&amp;IF(AD60,"MATERIAL_BROKER_INCONSISTENCY"&amp;IF(AE60," (segment would change)","")&amp;"; ","")&amp;IF(AND(I60&gt;=3,O60&gt;0),IF(AI60&gt;=Assumptions!$B$75,"H2_SINGLE_MONTH_SPIKE; ",""),"")&amp;IF(AND(M60&gt;0,N60=0),"NO_FEB_GMV (Feb unconfirmed); ","")&amp;IF(AF60,"LOW_CONFIDENCE; ","")</f>
        <v>BORDERLINE_MOMENTUM; FEB_SENSITIVE; H2_SINGLE_MONTH_SPIKE; </v>
      </c>
      <c r="AU60" s="2" t="str">
        <f aca="false">IF(LEFT(D60,1)="1",V60,"")</f>
        <v/>
      </c>
      <c r="AV60" s="2" t="str">
        <f aca="false">IF(LEFT(D60,1)="1",V60&gt;=Assumptions!$B$58,"")</f>
        <v/>
      </c>
      <c r="AW60" s="2" t="str">
        <f aca="false">IF(LEFT(D60,1)="1",W60,"")</f>
        <v/>
      </c>
      <c r="AX60" s="2" t="str">
        <f aca="false">IF(LEFT(D60,1)="1",X60,"")</f>
        <v/>
      </c>
      <c r="AY60" s="17" t="str">
        <f aca="false">IF(LEFT(D60,1)="1",J60/I60,"")</f>
        <v/>
      </c>
      <c r="AZ60" s="2" t="str">
        <f aca="false">IF(LEFT(D60,1)="1",IF(AND(K60&gt;=Assumptions!$B$83,I60&gt;=Assumptions!$B$84),"Regular","Lumpy"),"")</f>
        <v/>
      </c>
      <c r="BA60" s="2" t="str">
        <f aca="false">IF(LEFT(D60,1)="1",ROUND(6/K60,0),"")</f>
        <v/>
      </c>
      <c r="BB60" s="2" t="str">
        <f aca="false">IF(LEFT(D60,1)="1",IF(AZ60="Regular","Regular buyer: expected ~£"&amp;TEXT(H60/2,"#,##0")&amp;" per 90 days. At Risk if GMV to date &lt; "&amp;TEXT(Assumptions!$B$81,"0%")&amp;" of pro-rated expectation, checked from day "&amp;Assumptions!$B$82&amp;". Human-reviewed.","Irregular buyer ("&amp;I60&amp;" orders across "&amp;K60&amp;" months): no numeric GMV threshold. At Risk if no order within ~"&amp;BA60&amp;" month(s); AM reviews at day "&amp;Assumptions!$B$82&amp;" and "&amp;Assumptions!$B$85&amp;"."),"")</f>
        <v/>
      </c>
      <c r="BC60" s="2"/>
      <c r="BD60" s="2"/>
      <c r="BE60" s="2"/>
      <c r="BF60" s="2"/>
      <c r="BG60" s="2"/>
      <c r="BH60" s="2"/>
      <c r="BI60" s="2"/>
      <c r="BJ60" s="2" t="str">
        <f aca="false">IF(OR(NOT(LEFT(D60,1)="1"),BC60=""),"",IF(AZ60="Regular",AND(BC60&gt;=Assumptions!$B$82,N(BI60)&lt;Assumptions!$B$81*H60/180*BC60),AND(BC60&gt;=BA60*30,N(BG60)=0)))</f>
        <v/>
      </c>
      <c r="BK60" s="2" t="str">
        <f aca="false">IF(NOT(LEFT(D60,1)="1"),"N/A",IF(BC60="","Baseline",IF(BJ60,"At Risk",IF(AND(N(BD60)&gt;=Assumptions!$B$78,N(BE60)&gt;=Assumptions!$B$79,N(BH60)&gt;=1,N(BH60)/MAX(N(BG60),1)&gt;AY60),"Self-Serve Capability Demonstrated",IF(OR(N(BD60)&gt;=Assumptions!$B$76,N(BE60)&gt;=Assumptions!$B$77),"Progressing",IF(BC60&gt;=Assumptions!$B$85,"At Risk","Baseline"))))))</f>
        <v>N/A</v>
      </c>
      <c r="BL60" s="2" t="n">
        <f aca="false">(AND(C60="Broker-Reliant",OR(AK60="Discovery-to-Offer Enablement",AK60="Reinforce Successful Behaviour")))*1+(AND(G60="Declining",E60&lt;&gt;"Tail",AL60="Automated"))*1+(AND(Y60,AM60&lt;&gt;"Human Sign-Off Required"))*1+(AND(AA60,AM60&lt;&gt;"HOLD — Critical Data Issue"))*1+(AND(P60="Recent Inactivity",OR(AK60="Discovery-to-Offer Enablement",AK60="Reinforce Successful Behaviour")))*1+(AND(OR(LEFT(D60,1)="2",LEFT(D60,1)="3",LEFT(D60,1)="8"),AL60="Automated"))*1+((LEFT(D60,1)="1")&lt;&gt;(AK60="Guided Self-Serve Migration"))*1+(AND(AR60&lt;&gt;"",OR(F60&lt;&gt;"Low",U60="Mixed",AND(G60&lt;&gt;"Growing",G60&lt;&gt;"Stable"))))*1+ISNUMBER(SEARCH("chat",AP60))*1+ISNUMBER(SEARCH("video",AP60))*1+(AND(AA60,AL60="Automated",AM60&lt;&gt;"HOLD — Critical Data Issue"))*1</f>
        <v>0</v>
      </c>
    </row>
    <row r="61" customFormat="false" ht="15" hidden="false" customHeight="false" outlineLevel="0" collapsed="false">
      <c r="A61" s="2" t="s">
        <v>297</v>
      </c>
      <c r="B61" s="2" t="str">
        <f aca="false">INDEX(Segmentation!$B$2:$B$301,MATCH($A61,Segmentation!$A$2:$A$301,0))</f>
        <v>Account Managed</v>
      </c>
      <c r="C61" s="2" t="str">
        <f aca="false">INDEX(Segmentation!$H$2:$H$301,MATCH($A61,Segmentation!$A$2:$A$301,0))</f>
        <v>Broker-Reliant</v>
      </c>
      <c r="D61" s="2" t="str">
        <f aca="false">INDEX(Segmentation!$T$2:$T$301,MATCH($A61,Segmentation!$A$2:$A$301,0))</f>
        <v>3. Win-Back / Verify</v>
      </c>
      <c r="E61" s="2" t="str">
        <f aca="false">INDEX(Segmentation!$J$2:$J$301,MATCH($A61,Segmentation!$A$2:$A$301,0))</f>
        <v>Core</v>
      </c>
      <c r="F61" s="2" t="str">
        <f aca="false">INDEX(Segmentation!$G$2:$G$301,MATCH($A61,Segmentation!$A$2:$A$301,0))</f>
        <v>High</v>
      </c>
      <c r="G61" s="2" t="str">
        <f aca="false">INDEX(Segmentation!$N$2:$N$301,MATCH($A61,Segmentation!$A$2:$A$301,0))</f>
        <v>Lapsed</v>
      </c>
      <c r="H61" s="9" t="n">
        <f aca="false">INDEX(Segmentation!$I$2:$I$301,MATCH($A61,Segmentation!$A$2:$A$301,0))</f>
        <v>2214</v>
      </c>
      <c r="I61" s="2" t="n">
        <f aca="false">INDEX(Segmentation!$O$2:$O$301,MATCH($A61,Segmentation!$A$2:$A$301,0))</f>
        <v>3</v>
      </c>
      <c r="J61" s="2" t="n">
        <f aca="false">INDEX(Segmentation!$Q$2:$Q$301,MATCH($A61,Segmentation!$A$2:$A$301,0))</f>
        <v>1</v>
      </c>
      <c r="K61" s="2" t="n">
        <f aca="false">INDEX(Segmentation!$W$2:$W$301,MATCH($A61,Segmentation!$A$2:$A$301,0))</f>
        <v>1</v>
      </c>
      <c r="L61" s="9" t="n">
        <f aca="false">INDEX('Commercial View'!$L$2:$L$301,MATCH($A61,'Commercial View'!$A$2:$A$301,0))</f>
        <v>0</v>
      </c>
      <c r="M61" s="9" t="n">
        <f aca="false">INDEX('Commercial View'!$M$2:$M$301,MATCH($A61,'Commercial View'!$A$2:$A$301,0))</f>
        <v>0</v>
      </c>
      <c r="N61" s="9" t="n">
        <f aca="false">INDEX('Commercial View'!$N$2:$N$301,MATCH($A61,'Commercial View'!$A$2:$A$301,0))</f>
        <v>0</v>
      </c>
      <c r="O61" s="9" t="n">
        <f aca="false">INDEX(Segmentation!$L$2:$L$301,MATCH($A61,Segmentation!$A$2:$A$301,0))</f>
        <v>0</v>
      </c>
      <c r="P61" s="2" t="str">
        <f aca="false">IF(OR(M61&gt;0,N61&gt;0),"Recently Active",IF(OR(I61&lt;=Assumptions!$B$48,K61&lt;=Assumptions!$B$49),"No Meaningful History","Recent Inactivity"))</f>
        <v>No Meaningful History</v>
      </c>
      <c r="Q61" s="2" t="str">
        <f aca="false">INDEX(Segmentation!$AF$2:$AF$301,MATCH($A61,Segmentation!$A$2:$A$301,0))</f>
        <v>Existing Customer</v>
      </c>
      <c r="R61" s="2" t="str">
        <f aca="false">INDEX(Segmentation!$AL$2:$AL$301,MATCH($A61,Segmentation!$A$2:$A$301,0))</f>
        <v>One-Off / Insufficient History — Verify</v>
      </c>
      <c r="S61" s="10" t="b">
        <f aca="false">INDEX(Segmentation!$AW$2:$AW$301,MATCH($A61,Segmentation!$A$2:$A$301,0))</f>
        <v>0</v>
      </c>
      <c r="T61" s="2" t="str">
        <f aca="false">INDEX('Feature Data'!$AD$2:$AD$301,MATCH($A61,'Feature Data'!$A$2:$A$301,0))</f>
        <v>Broker-led, product-blind</v>
      </c>
      <c r="U61" s="2" t="str">
        <f aca="false">INDEX('Feature Data'!$W$2:$W$301,MATCH($A61,'Feature Data'!$A$2:$A$301,0))</f>
        <v>Bundle-only</v>
      </c>
      <c r="V61" s="2" t="n">
        <f aca="false">INDEX('Feature Data'!$P$2:$P$301,MATCH($A61,'Feature Data'!$A$2:$A$301,0))</f>
        <v>1</v>
      </c>
      <c r="W61" s="2" t="n">
        <f aca="false">INDEX(Segmentation!$R$2:$R$301,MATCH($A61,Segmentation!$A$2:$A$301,0))</f>
        <v>4</v>
      </c>
      <c r="X61" s="2" t="n">
        <f aca="false">INDEX(Segmentation!$S$2:$S$301,MATCH($A61,Segmentation!$A$2:$A$301,0))</f>
        <v>1</v>
      </c>
      <c r="Y61" s="10" t="b">
        <f aca="false">INDEX(Segmentation!$AG$2:$AG$301,MATCH($A61,Segmentation!$A$2:$A$301,0))</f>
        <v>0</v>
      </c>
      <c r="Z61" s="2" t="str">
        <f aca="false">INDEX(Segmentation!$AU$2:$AU$301,MATCH($A61,Segmentation!$A$2:$A$301,0))</f>
        <v>Not Eligible</v>
      </c>
      <c r="AA61" s="10" t="b">
        <f aca="false">INDEX(Segmentation!$Z$2:$Z$301,MATCH($A61,Segmentation!$A$2:$A$301,0))</f>
        <v>0</v>
      </c>
      <c r="AB61" s="10" t="b">
        <f aca="false">INDEX(Segmentation!$AH$2:$AH$301,MATCH($A61,Segmentation!$A$2:$A$301,0))</f>
        <v>0</v>
      </c>
      <c r="AC61" s="10" t="b">
        <f aca="false">INDEX(Segmentation!$AK$2:$AK$301,MATCH($A61,Segmentation!$A$2:$A$301,0))</f>
        <v>0</v>
      </c>
      <c r="AD61" s="10" t="b">
        <f aca="false">INDEX(Segmentation!$AQ$2:$AQ$301,MATCH($A61,Segmentation!$A$2:$A$301,0))</f>
        <v>1</v>
      </c>
      <c r="AE61" s="10" t="b">
        <f aca="false">INDEX(Segmentation!$AT$2:$AT$301,MATCH($A61,Segmentation!$A$2:$A$301,0))</f>
        <v>0</v>
      </c>
      <c r="AF61" s="10" t="b">
        <f aca="false">INDEX(Segmentation!$X$2:$X$301,MATCH($A61,Segmentation!$A$2:$A$301,0))</f>
        <v>0</v>
      </c>
      <c r="AG61" s="10" t="b">
        <f aca="false">AND(F61="Low",V61&gt;=Assumptions!$B$71,X61&lt;Assumptions!$B$72)</f>
        <v>0</v>
      </c>
      <c r="AH61" s="10" t="b">
        <f aca="false">AND(F61="Low",OR(G61="Growing",G61="Stable"),P61="Recently Active",V61&gt;=Assumptions!$B$58,K61&gt;=Assumptions!$B$73)</f>
        <v>0</v>
      </c>
      <c r="AI61" s="17" t="str">
        <f aca="false">IF(O61&gt;0,MAX(L61:N61)/O61,"")</f>
        <v/>
      </c>
      <c r="AJ61" s="2" t="str">
        <f aca="false">IF(LEFT(D61,1)="1",IF(E61="Key","MIGRATION_KEY_SIGNOFF",IF(Z61="Ready","MIGRATION_PHASE1_READY",IF(Z61="Manual Review","MIGRATION_PHASE1_REVIEW","MIGRATION_PRE_ENTRY"))),IF(LEFT(D61,1)="2","DECLINING_KEY_CORE",IF(LEFT(D61,1)="3",IF(R61="Established Buyer Lapsed","LAPSED_ESTABLISHED","LAPSED_THIN_HISTORY"),IF(LEFT(D61,1)="4",IF(Q61="New Customer","NEW_CUSTOMER","RETURNED_CUSTOMER"),IF(LEFT(D61,1)="5",IF(P61="Recently Active","COST_TO_SERVE_ACTIVE","DORMANT_LOW_VALUE"),IF(LEFT(D61,1)="6",IF(P61="Recent Inactivity","RECENT_INACTIVITY",IF(AG61,"BROWSING_LOW_OFFERS","HEALTHY_STRONG_SELF_SERVE")),IF(LEFT(D61,1)="7",IF(P61="Recent Inactivity","RECENT_INACTIVITY",IF(Q61="New Customer","NEW_CUSTOMER","RETURNED_CUSTOMER")),IF(LEFT(D61,1)="8",IF(G61="Declining",IF(T61="Engaged but shrinking (Key/Core)","ENGAGED_BUT_SHRINKING","DECLINING_KEY_CORE"),IF(R61="Established Buyer Lapsed","LAPSED_ESTABLISHED","LAPSED_THIN_HISTORY")),IF(S61,IF(P61&lt;&gt;"Recently Active","DORMANT_LOW_VALUE",IF(AG61,"BROWSING_LOW_OFFERS",IF(AH61,"RISING_TAIL","RISING_TAIL_EARLY"))),IF(AND(AG61,P61="Recently Active",OR(G61="Growing",G61="Stable",G61="H2 Active / No H1 GMV"),I61&gt;=Assumptions!$B$74),"BROWSING_LOW_OFFERS","LONG_TAIL_STANDARD"))))))))))</f>
        <v>LAPSED_THIN_HISTORY</v>
      </c>
      <c r="AK61" s="2" t="str">
        <f aca="false">INDEX('NBA Library'!$B$4:$B$21,MATCH(AJ61,'NBA Library'!$A$4:$A$21,0))</f>
        <v>Verify Demand / Win-Back</v>
      </c>
      <c r="AL61" s="2" t="str">
        <f aca="false">INDEX('NBA Library'!$C$4:$C$21,MATCH(AJ61,'NBA Library'!$A$4:$A$21,0))</f>
        <v>Human</v>
      </c>
      <c r="AM61" s="2" t="str">
        <f aca="false">IF(AA61,"HOLD — Critical Data Issue",IF(Y61,"Human Sign-Off Required",IF(Z61="Manual Review","Human Review Required",IF(AND(AL61="Automated",OR(AE61,AND(OR(AK61="Discovery-to-Offer Enablement",AK61="Reinforce Successful Behaviour"),OR(AC61,AB61)))),"Human Review Required",IF(AL61="Human","Ready — Human",IF(AL61="Hybrid","Ready — Hybrid","Ready — Automated"))))))</f>
        <v>Ready — Human</v>
      </c>
      <c r="AN61" s="2" t="str">
        <f aca="false">IF(AA61,"P0",IF(AND(AJ61="BROWSING_LOW_OFFERS",E61="Tail"),"P3",IF(AND(AM61="Human Review Required",INDEX('NBA Library'!$D$4:$D$21,MATCH(AJ61,'NBA Library'!$A$4:$A$21,0))="P4"),"P3",INDEX('NBA Library'!$D$4:$D$21,MATCH(AJ61,'NBA Library'!$A$4:$A$21,0)))))</f>
        <v>P1</v>
      </c>
      <c r="AO61" s="2" t="str">
        <f aca="false">E61&amp;" "&amp;C61&amp;" account ("&amp;B61&amp;"); "&amp;G61&amp;" momentum; "&amp;P61&amp;"; £"&amp;TEXT(H61,"#,##0")&amp;" 6m GMV. "&amp;INDEX('NBA Library'!$G$4:$G$21,MATCH(AJ61,'NBA Library'!$A$4:$A$21,0))&amp;IF(LEFT(D61,1)="1"," Baseline: "&amp;V61&amp;" PDP views, "&amp;W61&amp;" app days, "&amp;X61&amp;" offers, "&amp;TEXT(J61/I61,"0%")&amp;" of orders self-serve.","")&amp;IF(AA61," Execution on HOLD until the Duplicate status is resolved.","")&amp;IF(Y61," Key account: explicit AM/leadership sign-off required before any migration activity.","")&amp;IF(AE61," Implied broker % from order counts would move this account to a different segment; review before automating.","")</f>
        <v>Core Broker-Reliant account (Account Managed); Lapsed momentum; No Meaningful History; £2,214 6m GMV. Apparent lapse rests on 1-2 orders or a single buying month. Verify cadence rather than treating as churn.</v>
      </c>
      <c r="AP61" s="2" t="str">
        <f aca="false">INDEX('NBA Library'!$E$4:$E$21,MATCH(AJ61,'NBA Library'!$A$4:$A$21,0))&amp;IF(AND(AJ61="NEW_CUSTOMER",AG61),"; introduce Make-an-Offer on items already browsed","")</f>
        <v>Confirm expected purchase cadence (one-off, seasonal, project buyer) before calling it churn</v>
      </c>
      <c r="AQ61" s="2" t="str">
        <f aca="false">INDEX('NBA Library'!$F$4:$F$21,MATCH(AJ61,'NBA Library'!$A$4:$A$21,0))</f>
        <v>Cadence recorded and account reclassified; order within the stated cadence window</v>
      </c>
      <c r="AR61" s="2" t="str">
        <f aca="false">IF(AND(F61="Low",OR(G61="Growing",G61="Stable"),P61="Recently Active",U61&lt;&gt;"Mixed",OR(AK61="Discovery-to-Offer Enablement",AK61="Reinforce Successful Behaviour"),AM61="Ready — Automated",OR(E61&lt;&gt;"Tail",S61)),"Range Expansion Test — trial "&amp;IF(U61="Bundle-only","handpick","bundles")&amp;" (experimental; not proven to lift GMV)","")</f>
        <v/>
      </c>
      <c r="AS61" s="2" t="str">
        <f aca="false">IF(AK61&lt;&gt;"Automated Nurture","",IF(AJ61="DORMANT_LOW_VALUE","Dormant",IF(AJ61="RISING_TAIL_EARLY","Rising tail – early pattern",IF(Q61="New Customer","New customer onboarding",IF(Q61="Returned Customer","Returned customer",IF(G61="Lapsed","Dormant",IF(T61="Engaged, not converting","Engaged, not converting",IF(T61="One-off low-touch buyer","One-off purchaser",IF(T61="Light-touch repeat buyer","Light-touch repeat buyer","Standard long tail")))))))))</f>
        <v/>
      </c>
      <c r="AT61" s="2" t="str">
        <f aca="false">IF(AA61,"CRITICAL_DATA_BLOCKER; ","")&amp;IF(Y61,"KEY_SIGNOFF; ","")&amp;IF(Z61="Manual Review","PHASE1_MANUAL_REVIEW; ","")&amp;IF(AND(LEFT(D61,1)="1",AZ61="Lumpy"),"LUMPY_CADENCE; ","")&amp;IF(AB61,"BORDERLINE_MOMENTUM; ","")&amp;IF(AC61,"FEB_SENSITIVE; ","")&amp;IF(AD61,"MATERIAL_BROKER_INCONSISTENCY"&amp;IF(AE61," (segment would change)","")&amp;"; ","")&amp;IF(AND(I61&gt;=3,O61&gt;0),IF(AI61&gt;=Assumptions!$B$75,"H2_SINGLE_MONTH_SPIKE; ",""),"")&amp;IF(AND(M61&gt;0,N61=0),"NO_FEB_GMV (Feb unconfirmed); ","")&amp;IF(AF61,"LOW_CONFIDENCE; ","")</f>
        <v>MATERIAL_BROKER_INCONSISTENCY; </v>
      </c>
      <c r="AU61" s="2" t="str">
        <f aca="false">IF(LEFT(D61,1)="1",V61,"")</f>
        <v/>
      </c>
      <c r="AV61" s="2" t="str">
        <f aca="false">IF(LEFT(D61,1)="1",V61&gt;=Assumptions!$B$58,"")</f>
        <v/>
      </c>
      <c r="AW61" s="2" t="str">
        <f aca="false">IF(LEFT(D61,1)="1",W61,"")</f>
        <v/>
      </c>
      <c r="AX61" s="2" t="str">
        <f aca="false">IF(LEFT(D61,1)="1",X61,"")</f>
        <v/>
      </c>
      <c r="AY61" s="17" t="str">
        <f aca="false">IF(LEFT(D61,1)="1",J61/I61,"")</f>
        <v/>
      </c>
      <c r="AZ61" s="2" t="str">
        <f aca="false">IF(LEFT(D61,1)="1",IF(AND(K61&gt;=Assumptions!$B$83,I61&gt;=Assumptions!$B$84),"Regular","Lumpy"),"")</f>
        <v/>
      </c>
      <c r="BA61" s="2" t="str">
        <f aca="false">IF(LEFT(D61,1)="1",ROUND(6/K61,0),"")</f>
        <v/>
      </c>
      <c r="BB61" s="2" t="str">
        <f aca="false">IF(LEFT(D61,1)="1",IF(AZ61="Regular","Regular buyer: expected ~£"&amp;TEXT(H61/2,"#,##0")&amp;" per 90 days. At Risk if GMV to date &lt; "&amp;TEXT(Assumptions!$B$81,"0%")&amp;" of pro-rated expectation, checked from day "&amp;Assumptions!$B$82&amp;". Human-reviewed.","Irregular buyer ("&amp;I61&amp;" orders across "&amp;K61&amp;" months): no numeric GMV threshold. At Risk if no order within ~"&amp;BA61&amp;" month(s); AM reviews at day "&amp;Assumptions!$B$82&amp;" and "&amp;Assumptions!$B$85&amp;"."),"")</f>
        <v/>
      </c>
      <c r="BC61" s="2"/>
      <c r="BD61" s="2"/>
      <c r="BE61" s="2"/>
      <c r="BF61" s="2"/>
      <c r="BG61" s="2"/>
      <c r="BH61" s="2"/>
      <c r="BI61" s="2"/>
      <c r="BJ61" s="2" t="str">
        <f aca="false">IF(OR(NOT(LEFT(D61,1)="1"),BC61=""),"",IF(AZ61="Regular",AND(BC61&gt;=Assumptions!$B$82,N(BI61)&lt;Assumptions!$B$81*H61/180*BC61),AND(BC61&gt;=BA61*30,N(BG61)=0)))</f>
        <v/>
      </c>
      <c r="BK61" s="2" t="str">
        <f aca="false">IF(NOT(LEFT(D61,1)="1"),"N/A",IF(BC61="","Baseline",IF(BJ61,"At Risk",IF(AND(N(BD61)&gt;=Assumptions!$B$78,N(BE61)&gt;=Assumptions!$B$79,N(BH61)&gt;=1,N(BH61)/MAX(N(BG61),1)&gt;AY61),"Self-Serve Capability Demonstrated",IF(OR(N(BD61)&gt;=Assumptions!$B$76,N(BE61)&gt;=Assumptions!$B$77),"Progressing",IF(BC61&gt;=Assumptions!$B$85,"At Risk","Baseline"))))))</f>
        <v>N/A</v>
      </c>
      <c r="BL61" s="2" t="n">
        <f aca="false">(AND(C61="Broker-Reliant",OR(AK61="Discovery-to-Offer Enablement",AK61="Reinforce Successful Behaviour")))*1+(AND(G61="Declining",E61&lt;&gt;"Tail",AL61="Automated"))*1+(AND(Y61,AM61&lt;&gt;"Human Sign-Off Required"))*1+(AND(AA61,AM61&lt;&gt;"HOLD — Critical Data Issue"))*1+(AND(P61="Recent Inactivity",OR(AK61="Discovery-to-Offer Enablement",AK61="Reinforce Successful Behaviour")))*1+(AND(OR(LEFT(D61,1)="2",LEFT(D61,1)="3",LEFT(D61,1)="8"),AL61="Automated"))*1+((LEFT(D61,1)="1")&lt;&gt;(AK61="Guided Self-Serve Migration"))*1+(AND(AR61&lt;&gt;"",OR(F61&lt;&gt;"Low",U61="Mixed",AND(G61&lt;&gt;"Growing",G61&lt;&gt;"Stable"))))*1+ISNUMBER(SEARCH("chat",AP61))*1+ISNUMBER(SEARCH("video",AP61))*1+(AND(AA61,AL61="Automated",AM61&lt;&gt;"HOLD — Critical Data Issue"))*1</f>
        <v>0</v>
      </c>
    </row>
    <row r="62" customFormat="false" ht="15" hidden="false" customHeight="false" outlineLevel="0" collapsed="false">
      <c r="A62" s="2" t="s">
        <v>301</v>
      </c>
      <c r="B62" s="2" t="str">
        <f aca="false">INDEX(Segmentation!$B$2:$B$301,MATCH($A62,Segmentation!$A$2:$A$301,0))</f>
        <v>Account Managed</v>
      </c>
      <c r="C62" s="2" t="str">
        <f aca="false">INDEX(Segmentation!$H$2:$H$301,MATCH($A62,Segmentation!$A$2:$A$301,0))</f>
        <v>Broker-Reliant</v>
      </c>
      <c r="D62" s="2" t="str">
        <f aca="false">INDEX(Segmentation!$T$2:$T$301,MATCH($A62,Segmentation!$A$2:$A$301,0))</f>
        <v>2. Protect / Retain First</v>
      </c>
      <c r="E62" s="2" t="str">
        <f aca="false">INDEX(Segmentation!$J$2:$J$301,MATCH($A62,Segmentation!$A$2:$A$301,0))</f>
        <v>Core</v>
      </c>
      <c r="F62" s="2" t="str">
        <f aca="false">INDEX(Segmentation!$G$2:$G$301,MATCH($A62,Segmentation!$A$2:$A$301,0))</f>
        <v>High</v>
      </c>
      <c r="G62" s="2" t="str">
        <f aca="false">INDEX(Segmentation!$N$2:$N$301,MATCH($A62,Segmentation!$A$2:$A$301,0))</f>
        <v>Declining</v>
      </c>
      <c r="H62" s="9" t="n">
        <f aca="false">INDEX(Segmentation!$I$2:$I$301,MATCH($A62,Segmentation!$A$2:$A$301,0))</f>
        <v>2116</v>
      </c>
      <c r="I62" s="2" t="n">
        <f aca="false">INDEX(Segmentation!$O$2:$O$301,MATCH($A62,Segmentation!$A$2:$A$301,0))</f>
        <v>4</v>
      </c>
      <c r="J62" s="2" t="n">
        <f aca="false">INDEX(Segmentation!$Q$2:$Q$301,MATCH($A62,Segmentation!$A$2:$A$301,0))</f>
        <v>1</v>
      </c>
      <c r="K62" s="2" t="n">
        <f aca="false">INDEX(Segmentation!$W$2:$W$301,MATCH($A62,Segmentation!$A$2:$A$301,0))</f>
        <v>3</v>
      </c>
      <c r="L62" s="9" t="n">
        <f aca="false">INDEX('Commercial View'!$L$2:$L$301,MATCH($A62,'Commercial View'!$A$2:$A$301,0))</f>
        <v>563</v>
      </c>
      <c r="M62" s="9" t="n">
        <f aca="false">INDEX('Commercial View'!$M$2:$M$301,MATCH($A62,'Commercial View'!$A$2:$A$301,0))</f>
        <v>0</v>
      </c>
      <c r="N62" s="9" t="n">
        <f aca="false">INDEX('Commercial View'!$N$2:$N$301,MATCH($A62,'Commercial View'!$A$2:$A$301,0))</f>
        <v>0</v>
      </c>
      <c r="O62" s="9" t="n">
        <f aca="false">INDEX(Segmentation!$L$2:$L$301,MATCH($A62,Segmentation!$A$2:$A$301,0))</f>
        <v>563</v>
      </c>
      <c r="P62" s="2" t="str">
        <f aca="false">IF(OR(M62&gt;0,N62&gt;0),"Recently Active",IF(OR(I62&lt;=Assumptions!$B$48,K62&lt;=Assumptions!$B$49),"No Meaningful History","Recent Inactivity"))</f>
        <v>Recent Inactivity</v>
      </c>
      <c r="Q62" s="2" t="str">
        <f aca="false">INDEX(Segmentation!$AF$2:$AF$301,MATCH($A62,Segmentation!$A$2:$A$301,0))</f>
        <v>Existing Customer</v>
      </c>
      <c r="R62" s="2" t="str">
        <f aca="false">INDEX(Segmentation!$AL$2:$AL$301,MATCH($A62,Segmentation!$A$2:$A$301,0))</f>
        <v>N/A</v>
      </c>
      <c r="S62" s="10" t="b">
        <f aca="false">INDEX(Segmentation!$AW$2:$AW$301,MATCH($A62,Segmentation!$A$2:$A$301,0))</f>
        <v>0</v>
      </c>
      <c r="T62" s="2" t="str">
        <f aca="false">INDEX('Feature Data'!$AD$2:$AD$301,MATCH($A62,'Feature Data'!$A$2:$A$301,0))</f>
        <v>Broker-led, product-blind</v>
      </c>
      <c r="U62" s="2" t="str">
        <f aca="false">INDEX('Feature Data'!$W$2:$W$301,MATCH($A62,'Feature Data'!$A$2:$A$301,0))</f>
        <v>Bundle-only</v>
      </c>
      <c r="V62" s="2" t="n">
        <f aca="false">INDEX('Feature Data'!$P$2:$P$301,MATCH($A62,'Feature Data'!$A$2:$A$301,0))</f>
        <v>11</v>
      </c>
      <c r="W62" s="2" t="n">
        <f aca="false">INDEX(Segmentation!$R$2:$R$301,MATCH($A62,Segmentation!$A$2:$A$301,0))</f>
        <v>3</v>
      </c>
      <c r="X62" s="2" t="n">
        <f aca="false">INDEX(Segmentation!$S$2:$S$301,MATCH($A62,Segmentation!$A$2:$A$301,0))</f>
        <v>1</v>
      </c>
      <c r="Y62" s="10" t="b">
        <f aca="false">INDEX(Segmentation!$AG$2:$AG$301,MATCH($A62,Segmentation!$A$2:$A$301,0))</f>
        <v>0</v>
      </c>
      <c r="Z62" s="2" t="str">
        <f aca="false">INDEX(Segmentation!$AU$2:$AU$301,MATCH($A62,Segmentation!$A$2:$A$301,0))</f>
        <v>Not Eligible</v>
      </c>
      <c r="AA62" s="10" t="b">
        <f aca="false">INDEX(Segmentation!$Z$2:$Z$301,MATCH($A62,Segmentation!$A$2:$A$301,0))</f>
        <v>0</v>
      </c>
      <c r="AB62" s="10" t="b">
        <f aca="false">INDEX(Segmentation!$AH$2:$AH$301,MATCH($A62,Segmentation!$A$2:$A$301,0))</f>
        <v>0</v>
      </c>
      <c r="AC62" s="10" t="b">
        <f aca="false">INDEX(Segmentation!$AK$2:$AK$301,MATCH($A62,Segmentation!$A$2:$A$301,0))</f>
        <v>0</v>
      </c>
      <c r="AD62" s="10" t="b">
        <f aca="false">INDEX(Segmentation!$AQ$2:$AQ$301,MATCH($A62,Segmentation!$A$2:$A$301,0))</f>
        <v>0</v>
      </c>
      <c r="AE62" s="10" t="b">
        <f aca="false">INDEX(Segmentation!$AT$2:$AT$301,MATCH($A62,Segmentation!$A$2:$A$301,0))</f>
        <v>0</v>
      </c>
      <c r="AF62" s="10" t="b">
        <f aca="false">INDEX(Segmentation!$X$2:$X$301,MATCH($A62,Segmentation!$A$2:$A$301,0))</f>
        <v>0</v>
      </c>
      <c r="AG62" s="10" t="b">
        <f aca="false">AND(F62="Low",V62&gt;=Assumptions!$B$71,X62&lt;Assumptions!$B$72)</f>
        <v>0</v>
      </c>
      <c r="AH62" s="10" t="b">
        <f aca="false">AND(F62="Low",OR(G62="Growing",G62="Stable"),P62="Recently Active",V62&gt;=Assumptions!$B$58,K62&gt;=Assumptions!$B$73)</f>
        <v>0</v>
      </c>
      <c r="AI62" s="17" t="n">
        <f aca="false">IF(O62&gt;0,MAX(L62:N62)/O62,"")</f>
        <v>1</v>
      </c>
      <c r="AJ62" s="2" t="str">
        <f aca="false">IF(LEFT(D62,1)="1",IF(E62="Key","MIGRATION_KEY_SIGNOFF",IF(Z62="Ready","MIGRATION_PHASE1_READY",IF(Z62="Manual Review","MIGRATION_PHASE1_REVIEW","MIGRATION_PRE_ENTRY"))),IF(LEFT(D62,1)="2","DECLINING_KEY_CORE",IF(LEFT(D62,1)="3",IF(R62="Established Buyer Lapsed","LAPSED_ESTABLISHED","LAPSED_THIN_HISTORY"),IF(LEFT(D62,1)="4",IF(Q62="New Customer","NEW_CUSTOMER","RETURNED_CUSTOMER"),IF(LEFT(D62,1)="5",IF(P62="Recently Active","COST_TO_SERVE_ACTIVE","DORMANT_LOW_VALUE"),IF(LEFT(D62,1)="6",IF(P62="Recent Inactivity","RECENT_INACTIVITY",IF(AG62,"BROWSING_LOW_OFFERS","HEALTHY_STRONG_SELF_SERVE")),IF(LEFT(D62,1)="7",IF(P62="Recent Inactivity","RECENT_INACTIVITY",IF(Q62="New Customer","NEW_CUSTOMER","RETURNED_CUSTOMER")),IF(LEFT(D62,1)="8",IF(G62="Declining",IF(T62="Engaged but shrinking (Key/Core)","ENGAGED_BUT_SHRINKING","DECLINING_KEY_CORE"),IF(R62="Established Buyer Lapsed","LAPSED_ESTABLISHED","LAPSED_THIN_HISTORY")),IF(S62,IF(P62&lt;&gt;"Recently Active","DORMANT_LOW_VALUE",IF(AG62,"BROWSING_LOW_OFFERS",IF(AH62,"RISING_TAIL","RISING_TAIL_EARLY"))),IF(AND(AG62,P62="Recently Active",OR(G62="Growing",G62="Stable",G62="H2 Active / No H1 GMV"),I62&gt;=Assumptions!$B$74),"BROWSING_LOW_OFFERS","LONG_TAIL_STANDARD"))))))))))</f>
        <v>DECLINING_KEY_CORE</v>
      </c>
      <c r="AK62" s="2" t="str">
        <f aca="false">INDEX('NBA Library'!$B$4:$B$21,MATCH(AJ62,'NBA Library'!$A$4:$A$21,0))</f>
        <v>Retention Conversation</v>
      </c>
      <c r="AL62" s="2" t="str">
        <f aca="false">INDEX('NBA Library'!$C$4:$C$21,MATCH(AJ62,'NBA Library'!$A$4:$A$21,0))</f>
        <v>Human</v>
      </c>
      <c r="AM62" s="2" t="str">
        <f aca="false">IF(AA62,"HOLD — Critical Data Issue",IF(Y62,"Human Sign-Off Required",IF(Z62="Manual Review","Human Review Required",IF(AND(AL62="Automated",OR(AE62,AND(OR(AK62="Discovery-to-Offer Enablement",AK62="Reinforce Successful Behaviour"),OR(AC62,AB62)))),"Human Review Required",IF(AL62="Human","Ready — Human",IF(AL62="Hybrid","Ready — Hybrid","Ready — Automated"))))))</f>
        <v>Ready — Human</v>
      </c>
      <c r="AN62" s="2" t="str">
        <f aca="false">IF(AA62,"P0",IF(AND(AJ62="BROWSING_LOW_OFFERS",E62="Tail"),"P3",IF(AND(AM62="Human Review Required",INDEX('NBA Library'!$D$4:$D$21,MATCH(AJ62,'NBA Library'!$A$4:$A$21,0))="P4"),"P3",INDEX('NBA Library'!$D$4:$D$21,MATCH(AJ62,'NBA Library'!$A$4:$A$21,0)))))</f>
        <v>P1</v>
      </c>
      <c r="AO62" s="2" t="str">
        <f aca="false">E62&amp;" "&amp;C62&amp;" account ("&amp;B62&amp;"); "&amp;G62&amp;" momentum; "&amp;P62&amp;"; £"&amp;TEXT(H62,"#,##0")&amp;" 6m GMV. "&amp;INDEX('NBA Library'!$G$4:$G$21,MATCH(AJ62,'NBA Library'!$A$4:$A$21,0))&amp;IF(LEFT(D62,1)="1"," Baseline: "&amp;V62&amp;" PDP views, "&amp;W62&amp;" app days, "&amp;X62&amp;" offers, "&amp;TEXT(J62/I62,"0%")&amp;" of orders self-serve.","")&amp;IF(AA62," Execution on HOLD until the Duplicate status is resolved.","")&amp;IF(Y62," Key account: explicit AM/leadership sign-off required before any migration activity.","")&amp;IF(AE62," Implied broker % from order counts would move this account to a different segment; review before automating.","")</f>
        <v>Core Broker-Reliant account (Account Managed); Declining momentum; Recent Inactivity; £2,116 6m GMV. Broker-led spend is falling. Keep human support in place; AM to diagnose the cause before any migration or product nudge.</v>
      </c>
      <c r="AP62" s="2" t="str">
        <f aca="false">INDEX('NBA Library'!$E$4:$E$21,MATCH(AJ62,'NBA Library'!$A$4:$A$21,0))&amp;IF(AND(AJ62="NEW_CUSTOMER",AG62),"; introduce Make-an-Offer on items already browsed","")</f>
        <v>AM diagnoses the cause of falling spend (supply, price, service, competitor) and agrees a recovery plan; keep human support in place</v>
      </c>
      <c r="AQ62" s="2" t="str">
        <f aca="false">INDEX('NBA Library'!$F$4:$F$21,MATCH(AJ62,'NBA Library'!$A$4:$A$21,0))</f>
        <v>Next 90-day GMV back to at least the Sep-Nov (H1) level, or decline arrested; root cause logged</v>
      </c>
      <c r="AR62" s="2" t="str">
        <f aca="false">IF(AND(F62="Low",OR(G62="Growing",G62="Stable"),P62="Recently Active",U62&lt;&gt;"Mixed",OR(AK62="Discovery-to-Offer Enablement",AK62="Reinforce Successful Behaviour"),AM62="Ready — Automated",OR(E62&lt;&gt;"Tail",S62)),"Range Expansion Test — trial "&amp;IF(U62="Bundle-only","handpick","bundles")&amp;" (experimental; not proven to lift GMV)","")</f>
        <v/>
      </c>
      <c r="AS62" s="2" t="str">
        <f aca="false">IF(AK62&lt;&gt;"Automated Nurture","",IF(AJ62="DORMANT_LOW_VALUE","Dormant",IF(AJ62="RISING_TAIL_EARLY","Rising tail – early pattern",IF(Q62="New Customer","New customer onboarding",IF(Q62="Returned Customer","Returned customer",IF(G62="Lapsed","Dormant",IF(T62="Engaged, not converting","Engaged, not converting",IF(T62="One-off low-touch buyer","One-off purchaser",IF(T62="Light-touch repeat buyer","Light-touch repeat buyer","Standard long tail")))))))))</f>
        <v/>
      </c>
      <c r="AT62" s="2" t="str">
        <f aca="false">IF(AA62,"CRITICAL_DATA_BLOCKER; ","")&amp;IF(Y62,"KEY_SIGNOFF; ","")&amp;IF(Z62="Manual Review","PHASE1_MANUAL_REVIEW; ","")&amp;IF(AND(LEFT(D62,1)="1",AZ62="Lumpy"),"LUMPY_CADENCE; ","")&amp;IF(AB62,"BORDERLINE_MOMENTUM; ","")&amp;IF(AC62,"FEB_SENSITIVE; ","")&amp;IF(AD62,"MATERIAL_BROKER_INCONSISTENCY"&amp;IF(AE62," (segment would change)","")&amp;"; ","")&amp;IF(AND(I62&gt;=3,O62&gt;0),IF(AI62&gt;=Assumptions!$B$75,"H2_SINGLE_MONTH_SPIKE; ",""),"")&amp;IF(AND(M62&gt;0,N62=0),"NO_FEB_GMV (Feb unconfirmed); ","")&amp;IF(AF62,"LOW_CONFIDENCE; ","")</f>
        <v>H2_SINGLE_MONTH_SPIKE; </v>
      </c>
      <c r="AU62" s="2" t="str">
        <f aca="false">IF(LEFT(D62,1)="1",V62,"")</f>
        <v/>
      </c>
      <c r="AV62" s="2" t="str">
        <f aca="false">IF(LEFT(D62,1)="1",V62&gt;=Assumptions!$B$58,"")</f>
        <v/>
      </c>
      <c r="AW62" s="2" t="str">
        <f aca="false">IF(LEFT(D62,1)="1",W62,"")</f>
        <v/>
      </c>
      <c r="AX62" s="2" t="str">
        <f aca="false">IF(LEFT(D62,1)="1",X62,"")</f>
        <v/>
      </c>
      <c r="AY62" s="17" t="str">
        <f aca="false">IF(LEFT(D62,1)="1",J62/I62,"")</f>
        <v/>
      </c>
      <c r="AZ62" s="2" t="str">
        <f aca="false">IF(LEFT(D62,1)="1",IF(AND(K62&gt;=Assumptions!$B$83,I62&gt;=Assumptions!$B$84),"Regular","Lumpy"),"")</f>
        <v/>
      </c>
      <c r="BA62" s="2" t="str">
        <f aca="false">IF(LEFT(D62,1)="1",ROUND(6/K62,0),"")</f>
        <v/>
      </c>
      <c r="BB62" s="2" t="str">
        <f aca="false">IF(LEFT(D62,1)="1",IF(AZ62="Regular","Regular buyer: expected ~£"&amp;TEXT(H62/2,"#,##0")&amp;" per 90 days. At Risk if GMV to date &lt; "&amp;TEXT(Assumptions!$B$81,"0%")&amp;" of pro-rated expectation, checked from day "&amp;Assumptions!$B$82&amp;". Human-reviewed.","Irregular buyer ("&amp;I62&amp;" orders across "&amp;K62&amp;" months): no numeric GMV threshold. At Risk if no order within ~"&amp;BA62&amp;" month(s); AM reviews at day "&amp;Assumptions!$B$82&amp;" and "&amp;Assumptions!$B$85&amp;"."),"")</f>
        <v/>
      </c>
      <c r="BC62" s="2"/>
      <c r="BD62" s="2"/>
      <c r="BE62" s="2"/>
      <c r="BF62" s="2"/>
      <c r="BG62" s="2"/>
      <c r="BH62" s="2"/>
      <c r="BI62" s="2"/>
      <c r="BJ62" s="2" t="str">
        <f aca="false">IF(OR(NOT(LEFT(D62,1)="1"),BC62=""),"",IF(AZ62="Regular",AND(BC62&gt;=Assumptions!$B$82,N(BI62)&lt;Assumptions!$B$81*H62/180*BC62),AND(BC62&gt;=BA62*30,N(BG62)=0)))</f>
        <v/>
      </c>
      <c r="BK62" s="2" t="str">
        <f aca="false">IF(NOT(LEFT(D62,1)="1"),"N/A",IF(BC62="","Baseline",IF(BJ62,"At Risk",IF(AND(N(BD62)&gt;=Assumptions!$B$78,N(BE62)&gt;=Assumptions!$B$79,N(BH62)&gt;=1,N(BH62)/MAX(N(BG62),1)&gt;AY62),"Self-Serve Capability Demonstrated",IF(OR(N(BD62)&gt;=Assumptions!$B$76,N(BE62)&gt;=Assumptions!$B$77),"Progressing",IF(BC62&gt;=Assumptions!$B$85,"At Risk","Baseline"))))))</f>
        <v>N/A</v>
      </c>
      <c r="BL62" s="2" t="n">
        <f aca="false">(AND(C62="Broker-Reliant",OR(AK62="Discovery-to-Offer Enablement",AK62="Reinforce Successful Behaviour")))*1+(AND(G62="Declining",E62&lt;&gt;"Tail",AL62="Automated"))*1+(AND(Y62,AM62&lt;&gt;"Human Sign-Off Required"))*1+(AND(AA62,AM62&lt;&gt;"HOLD — Critical Data Issue"))*1+(AND(P62="Recent Inactivity",OR(AK62="Discovery-to-Offer Enablement",AK62="Reinforce Successful Behaviour")))*1+(AND(OR(LEFT(D62,1)="2",LEFT(D62,1)="3",LEFT(D62,1)="8"),AL62="Automated"))*1+((LEFT(D62,1)="1")&lt;&gt;(AK62="Guided Self-Serve Migration"))*1+(AND(AR62&lt;&gt;"",OR(F62&lt;&gt;"Low",U62="Mixed",AND(G62&lt;&gt;"Growing",G62&lt;&gt;"Stable"))))*1+ISNUMBER(SEARCH("chat",AP62))*1+ISNUMBER(SEARCH("video",AP62))*1+(AND(AA62,AL62="Automated",AM62&lt;&gt;"HOLD — Critical Data Issue"))*1</f>
        <v>0</v>
      </c>
    </row>
    <row r="63" customFormat="false" ht="15" hidden="false" customHeight="false" outlineLevel="0" collapsed="false">
      <c r="A63" s="2" t="s">
        <v>304</v>
      </c>
      <c r="B63" s="2" t="str">
        <f aca="false">INDEX(Segmentation!$B$2:$B$301,MATCH($A63,Segmentation!$A$2:$A$301,0))</f>
        <v>Account Managed</v>
      </c>
      <c r="C63" s="2" t="str">
        <f aca="false">INDEX(Segmentation!$H$2:$H$301,MATCH($A63,Segmentation!$A$2:$A$301,0))</f>
        <v>Broker-Reliant</v>
      </c>
      <c r="D63" s="2" t="str">
        <f aca="false">INDEX(Segmentation!$T$2:$T$301,MATCH($A63,Segmentation!$A$2:$A$301,0))</f>
        <v>3. Win-Back / Verify</v>
      </c>
      <c r="E63" s="2" t="str">
        <f aca="false">INDEX(Segmentation!$J$2:$J$301,MATCH($A63,Segmentation!$A$2:$A$301,0))</f>
        <v>Core</v>
      </c>
      <c r="F63" s="2" t="str">
        <f aca="false">INDEX(Segmentation!$G$2:$G$301,MATCH($A63,Segmentation!$A$2:$A$301,0))</f>
        <v>Medium</v>
      </c>
      <c r="G63" s="2" t="str">
        <f aca="false">INDEX(Segmentation!$N$2:$N$301,MATCH($A63,Segmentation!$A$2:$A$301,0))</f>
        <v>Lapsed</v>
      </c>
      <c r="H63" s="9" t="n">
        <f aca="false">INDEX(Segmentation!$I$2:$I$301,MATCH($A63,Segmentation!$A$2:$A$301,0))</f>
        <v>2031</v>
      </c>
      <c r="I63" s="2" t="n">
        <f aca="false">INDEX(Segmentation!$O$2:$O$301,MATCH($A63,Segmentation!$A$2:$A$301,0))</f>
        <v>5</v>
      </c>
      <c r="J63" s="2" t="n">
        <f aca="false">INDEX(Segmentation!$Q$2:$Q$301,MATCH($A63,Segmentation!$A$2:$A$301,0))</f>
        <v>3</v>
      </c>
      <c r="K63" s="2" t="n">
        <f aca="false">INDEX(Segmentation!$W$2:$W$301,MATCH($A63,Segmentation!$A$2:$A$301,0))</f>
        <v>3</v>
      </c>
      <c r="L63" s="9" t="n">
        <f aca="false">INDEX('Commercial View'!$L$2:$L$301,MATCH($A63,'Commercial View'!$A$2:$A$301,0))</f>
        <v>0</v>
      </c>
      <c r="M63" s="9" t="n">
        <f aca="false">INDEX('Commercial View'!$M$2:$M$301,MATCH($A63,'Commercial View'!$A$2:$A$301,0))</f>
        <v>0</v>
      </c>
      <c r="N63" s="9" t="n">
        <f aca="false">INDEX('Commercial View'!$N$2:$N$301,MATCH($A63,'Commercial View'!$A$2:$A$301,0))</f>
        <v>0</v>
      </c>
      <c r="O63" s="9" t="n">
        <f aca="false">INDEX(Segmentation!$L$2:$L$301,MATCH($A63,Segmentation!$A$2:$A$301,0))</f>
        <v>0</v>
      </c>
      <c r="P63" s="2" t="str">
        <f aca="false">IF(OR(M63&gt;0,N63&gt;0),"Recently Active",IF(OR(I63&lt;=Assumptions!$B$48,K63&lt;=Assumptions!$B$49),"No Meaningful History","Recent Inactivity"))</f>
        <v>Recent Inactivity</v>
      </c>
      <c r="Q63" s="2" t="str">
        <f aca="false">INDEX(Segmentation!$AF$2:$AF$301,MATCH($A63,Segmentation!$A$2:$A$301,0))</f>
        <v>Existing Customer</v>
      </c>
      <c r="R63" s="2" t="str">
        <f aca="false">INDEX(Segmentation!$AL$2:$AL$301,MATCH($A63,Segmentation!$A$2:$A$301,0))</f>
        <v>Established Buyer Lapsed</v>
      </c>
      <c r="S63" s="10" t="b">
        <f aca="false">INDEX(Segmentation!$AW$2:$AW$301,MATCH($A63,Segmentation!$A$2:$A$301,0))</f>
        <v>0</v>
      </c>
      <c r="T63" s="2" t="str">
        <f aca="false">INDEX('Feature Data'!$AD$2:$AD$301,MATCH($A63,'Feature Data'!$A$2:$A$301,0))</f>
        <v>Broker-led, product-blind</v>
      </c>
      <c r="U63" s="2" t="str">
        <f aca="false">INDEX('Feature Data'!$W$2:$W$301,MATCH($A63,'Feature Data'!$A$2:$A$301,0))</f>
        <v>Bundle-only</v>
      </c>
      <c r="V63" s="2" t="n">
        <f aca="false">INDEX('Feature Data'!$P$2:$P$301,MATCH($A63,'Feature Data'!$A$2:$A$301,0))</f>
        <v>0</v>
      </c>
      <c r="W63" s="2" t="n">
        <f aca="false">INDEX(Segmentation!$R$2:$R$301,MATCH($A63,Segmentation!$A$2:$A$301,0))</f>
        <v>6</v>
      </c>
      <c r="X63" s="2" t="n">
        <f aca="false">INDEX(Segmentation!$S$2:$S$301,MATCH($A63,Segmentation!$A$2:$A$301,0))</f>
        <v>0</v>
      </c>
      <c r="Y63" s="10" t="b">
        <f aca="false">INDEX(Segmentation!$AG$2:$AG$301,MATCH($A63,Segmentation!$A$2:$A$301,0))</f>
        <v>0</v>
      </c>
      <c r="Z63" s="2" t="str">
        <f aca="false">INDEX(Segmentation!$AU$2:$AU$301,MATCH($A63,Segmentation!$A$2:$A$301,0))</f>
        <v>Not Eligible</v>
      </c>
      <c r="AA63" s="10" t="b">
        <f aca="false">INDEX(Segmentation!$Z$2:$Z$301,MATCH($A63,Segmentation!$A$2:$A$301,0))</f>
        <v>0</v>
      </c>
      <c r="AB63" s="10" t="b">
        <f aca="false">INDEX(Segmentation!$AH$2:$AH$301,MATCH($A63,Segmentation!$A$2:$A$301,0))</f>
        <v>0</v>
      </c>
      <c r="AC63" s="10" t="b">
        <f aca="false">INDEX(Segmentation!$AK$2:$AK$301,MATCH($A63,Segmentation!$A$2:$A$301,0))</f>
        <v>0</v>
      </c>
      <c r="AD63" s="10" t="b">
        <f aca="false">INDEX(Segmentation!$AQ$2:$AQ$301,MATCH($A63,Segmentation!$A$2:$A$301,0))</f>
        <v>0</v>
      </c>
      <c r="AE63" s="10" t="b">
        <f aca="false">INDEX(Segmentation!$AT$2:$AT$301,MATCH($A63,Segmentation!$A$2:$A$301,0))</f>
        <v>0</v>
      </c>
      <c r="AF63" s="10" t="b">
        <f aca="false">INDEX(Segmentation!$X$2:$X$301,MATCH($A63,Segmentation!$A$2:$A$301,0))</f>
        <v>0</v>
      </c>
      <c r="AG63" s="10" t="b">
        <f aca="false">AND(F63="Low",V63&gt;=Assumptions!$B$71,X63&lt;Assumptions!$B$72)</f>
        <v>0</v>
      </c>
      <c r="AH63" s="10" t="b">
        <f aca="false">AND(F63="Low",OR(G63="Growing",G63="Stable"),P63="Recently Active",V63&gt;=Assumptions!$B$58,K63&gt;=Assumptions!$B$73)</f>
        <v>0</v>
      </c>
      <c r="AI63" s="17" t="str">
        <f aca="false">IF(O63&gt;0,MAX(L63:N63)/O63,"")</f>
        <v/>
      </c>
      <c r="AJ63" s="2" t="str">
        <f aca="false">IF(LEFT(D63,1)="1",IF(E63="Key","MIGRATION_KEY_SIGNOFF",IF(Z63="Ready","MIGRATION_PHASE1_READY",IF(Z63="Manual Review","MIGRATION_PHASE1_REVIEW","MIGRATION_PRE_ENTRY"))),IF(LEFT(D63,1)="2","DECLINING_KEY_CORE",IF(LEFT(D63,1)="3",IF(R63="Established Buyer Lapsed","LAPSED_ESTABLISHED","LAPSED_THIN_HISTORY"),IF(LEFT(D63,1)="4",IF(Q63="New Customer","NEW_CUSTOMER","RETURNED_CUSTOMER"),IF(LEFT(D63,1)="5",IF(P63="Recently Active","COST_TO_SERVE_ACTIVE","DORMANT_LOW_VALUE"),IF(LEFT(D63,1)="6",IF(P63="Recent Inactivity","RECENT_INACTIVITY",IF(AG63,"BROWSING_LOW_OFFERS","HEALTHY_STRONG_SELF_SERVE")),IF(LEFT(D63,1)="7",IF(P63="Recent Inactivity","RECENT_INACTIVITY",IF(Q63="New Customer","NEW_CUSTOMER","RETURNED_CUSTOMER")),IF(LEFT(D63,1)="8",IF(G63="Declining",IF(T63="Engaged but shrinking (Key/Core)","ENGAGED_BUT_SHRINKING","DECLINING_KEY_CORE"),IF(R63="Established Buyer Lapsed","LAPSED_ESTABLISHED","LAPSED_THIN_HISTORY")),IF(S63,IF(P63&lt;&gt;"Recently Active","DORMANT_LOW_VALUE",IF(AG63,"BROWSING_LOW_OFFERS",IF(AH63,"RISING_TAIL","RISING_TAIL_EARLY"))),IF(AND(AG63,P63="Recently Active",OR(G63="Growing",G63="Stable",G63="H2 Active / No H1 GMV"),I63&gt;=Assumptions!$B$74),"BROWSING_LOW_OFFERS","LONG_TAIL_STANDARD"))))))))))</f>
        <v>LAPSED_ESTABLISHED</v>
      </c>
      <c r="AK63" s="2" t="str">
        <f aca="false">INDEX('NBA Library'!$B$4:$B$21,MATCH(AJ63,'NBA Library'!$A$4:$A$21,0))</f>
        <v>Verify Demand / Win-Back</v>
      </c>
      <c r="AL63" s="2" t="str">
        <f aca="false">INDEX('NBA Library'!$C$4:$C$21,MATCH(AJ63,'NBA Library'!$A$4:$A$21,0))</f>
        <v>Human</v>
      </c>
      <c r="AM63" s="2" t="str">
        <f aca="false">IF(AA63,"HOLD — Critical Data Issue",IF(Y63,"Human Sign-Off Required",IF(Z63="Manual Review","Human Review Required",IF(AND(AL63="Automated",OR(AE63,AND(OR(AK63="Discovery-to-Offer Enablement",AK63="Reinforce Successful Behaviour"),OR(AC63,AB63)))),"Human Review Required",IF(AL63="Human","Ready — Human",IF(AL63="Hybrid","Ready — Hybrid","Ready — Automated"))))))</f>
        <v>Ready — Human</v>
      </c>
      <c r="AN63" s="2" t="str">
        <f aca="false">IF(AA63,"P0",IF(AND(AJ63="BROWSING_LOW_OFFERS",E63="Tail"),"P3",IF(AND(AM63="Human Review Required",INDEX('NBA Library'!$D$4:$D$21,MATCH(AJ63,'NBA Library'!$A$4:$A$21,0))="P4"),"P3",INDEX('NBA Library'!$D$4:$D$21,MATCH(AJ63,'NBA Library'!$A$4:$A$21,0)))))</f>
        <v>P1</v>
      </c>
      <c r="AO63" s="2" t="str">
        <f aca="false">E63&amp;" "&amp;C63&amp;" account ("&amp;B63&amp;"); "&amp;G63&amp;" momentum; "&amp;P63&amp;"; £"&amp;TEXT(H63,"#,##0")&amp;" 6m GMV. "&amp;INDEX('NBA Library'!$G$4:$G$21,MATCH(AJ63,'NBA Library'!$A$4:$A$21,0))&amp;IF(LEFT(D63,1)="1"," Baseline: "&amp;V63&amp;" PDP views, "&amp;W63&amp;" app days, "&amp;X63&amp;" offers, "&amp;TEXT(J63/I63,"0%")&amp;" of orders self-serve.","")&amp;IF(AA63," Execution on HOLD until the Duplicate status is resolved.","")&amp;IF(Y63," Key account: explicit AM/leadership sign-off required before any migration activity.","")&amp;IF(AE63," Implied broker % from order counts would move this account to a different segment; review before automating.","")</f>
        <v>Core Broker-Reliant account (Account Managed); Lapsed momentum; Recent Inactivity; £2,031 6m GMV. Had a repeat buying pattern (3+ orders across 2+ months) and has stopped buying. Genuine win-back case.</v>
      </c>
      <c r="AP63" s="2" t="str">
        <f aca="false">INDEX('NBA Library'!$E$4:$E$21,MATCH(AJ63,'NBA Library'!$A$4:$A$21,0))&amp;IF(AND(AJ63="NEW_CUSTOMER",AG63),"; introduce Make-an-Offer on items already browsed","")</f>
        <v>Win-back conversation: understand why buying stopped and what would restart it</v>
      </c>
      <c r="AQ63" s="2" t="str">
        <f aca="false">INDEX('NBA Library'!$F$4:$F$21,MATCH(AJ63,'NBA Library'!$A$4:$A$21,0))</f>
        <v>New order within 90 days, or churn reason logged</v>
      </c>
      <c r="AR63" s="2" t="str">
        <f aca="false">IF(AND(F63="Low",OR(G63="Growing",G63="Stable"),P63="Recently Active",U63&lt;&gt;"Mixed",OR(AK63="Discovery-to-Offer Enablement",AK63="Reinforce Successful Behaviour"),AM63="Ready — Automated",OR(E63&lt;&gt;"Tail",S63)),"Range Expansion Test — trial "&amp;IF(U63="Bundle-only","handpick","bundles")&amp;" (experimental; not proven to lift GMV)","")</f>
        <v/>
      </c>
      <c r="AS63" s="2" t="str">
        <f aca="false">IF(AK63&lt;&gt;"Automated Nurture","",IF(AJ63="DORMANT_LOW_VALUE","Dormant",IF(AJ63="RISING_TAIL_EARLY","Rising tail – early pattern",IF(Q63="New Customer","New customer onboarding",IF(Q63="Returned Customer","Returned customer",IF(G63="Lapsed","Dormant",IF(T63="Engaged, not converting","Engaged, not converting",IF(T63="One-off low-touch buyer","One-off purchaser",IF(T63="Light-touch repeat buyer","Light-touch repeat buyer","Standard long tail")))))))))</f>
        <v/>
      </c>
      <c r="AT63" s="2" t="str">
        <f aca="false">IF(AA63,"CRITICAL_DATA_BLOCKER; ","")&amp;IF(Y63,"KEY_SIGNOFF; ","")&amp;IF(Z63="Manual Review","PHASE1_MANUAL_REVIEW; ","")&amp;IF(AND(LEFT(D63,1)="1",AZ63="Lumpy"),"LUMPY_CADENCE; ","")&amp;IF(AB63,"BORDERLINE_MOMENTUM; ","")&amp;IF(AC63,"FEB_SENSITIVE; ","")&amp;IF(AD63,"MATERIAL_BROKER_INCONSISTENCY"&amp;IF(AE63," (segment would change)","")&amp;"; ","")&amp;IF(AND(I63&gt;=3,O63&gt;0),IF(AI63&gt;=Assumptions!$B$75,"H2_SINGLE_MONTH_SPIKE; ",""),"")&amp;IF(AND(M63&gt;0,N63=0),"NO_FEB_GMV (Feb unconfirmed); ","")&amp;IF(AF63,"LOW_CONFIDENCE; ","")</f>
        <v/>
      </c>
      <c r="AU63" s="2" t="str">
        <f aca="false">IF(LEFT(D63,1)="1",V63,"")</f>
        <v/>
      </c>
      <c r="AV63" s="2" t="str">
        <f aca="false">IF(LEFT(D63,1)="1",V63&gt;=Assumptions!$B$58,"")</f>
        <v/>
      </c>
      <c r="AW63" s="2" t="str">
        <f aca="false">IF(LEFT(D63,1)="1",W63,"")</f>
        <v/>
      </c>
      <c r="AX63" s="2" t="str">
        <f aca="false">IF(LEFT(D63,1)="1",X63,"")</f>
        <v/>
      </c>
      <c r="AY63" s="17" t="str">
        <f aca="false">IF(LEFT(D63,1)="1",J63/I63,"")</f>
        <v/>
      </c>
      <c r="AZ63" s="2" t="str">
        <f aca="false">IF(LEFT(D63,1)="1",IF(AND(K63&gt;=Assumptions!$B$83,I63&gt;=Assumptions!$B$84),"Regular","Lumpy"),"")</f>
        <v/>
      </c>
      <c r="BA63" s="2" t="str">
        <f aca="false">IF(LEFT(D63,1)="1",ROUND(6/K63,0),"")</f>
        <v/>
      </c>
      <c r="BB63" s="2" t="str">
        <f aca="false">IF(LEFT(D63,1)="1",IF(AZ63="Regular","Regular buyer: expected ~£"&amp;TEXT(H63/2,"#,##0")&amp;" per 90 days. At Risk if GMV to date &lt; "&amp;TEXT(Assumptions!$B$81,"0%")&amp;" of pro-rated expectation, checked from day "&amp;Assumptions!$B$82&amp;". Human-reviewed.","Irregular buyer ("&amp;I63&amp;" orders across "&amp;K63&amp;" months): no numeric GMV threshold. At Risk if no order within ~"&amp;BA63&amp;" month(s); AM reviews at day "&amp;Assumptions!$B$82&amp;" and "&amp;Assumptions!$B$85&amp;"."),"")</f>
        <v/>
      </c>
      <c r="BC63" s="2"/>
      <c r="BD63" s="2"/>
      <c r="BE63" s="2"/>
      <c r="BF63" s="2"/>
      <c r="BG63" s="2"/>
      <c r="BH63" s="2"/>
      <c r="BI63" s="2"/>
      <c r="BJ63" s="2" t="str">
        <f aca="false">IF(OR(NOT(LEFT(D63,1)="1"),BC63=""),"",IF(AZ63="Regular",AND(BC63&gt;=Assumptions!$B$82,N(BI63)&lt;Assumptions!$B$81*H63/180*BC63),AND(BC63&gt;=BA63*30,N(BG63)=0)))</f>
        <v/>
      </c>
      <c r="BK63" s="2" t="str">
        <f aca="false">IF(NOT(LEFT(D63,1)="1"),"N/A",IF(BC63="","Baseline",IF(BJ63,"At Risk",IF(AND(N(BD63)&gt;=Assumptions!$B$78,N(BE63)&gt;=Assumptions!$B$79,N(BH63)&gt;=1,N(BH63)/MAX(N(BG63),1)&gt;AY63),"Self-Serve Capability Demonstrated",IF(OR(N(BD63)&gt;=Assumptions!$B$76,N(BE63)&gt;=Assumptions!$B$77),"Progressing",IF(BC63&gt;=Assumptions!$B$85,"At Risk","Baseline"))))))</f>
        <v>N/A</v>
      </c>
      <c r="BL63" s="2" t="n">
        <f aca="false">(AND(C63="Broker-Reliant",OR(AK63="Discovery-to-Offer Enablement",AK63="Reinforce Successful Behaviour")))*1+(AND(G63="Declining",E63&lt;&gt;"Tail",AL63="Automated"))*1+(AND(Y63,AM63&lt;&gt;"Human Sign-Off Required"))*1+(AND(AA63,AM63&lt;&gt;"HOLD — Critical Data Issue"))*1+(AND(P63="Recent Inactivity",OR(AK63="Discovery-to-Offer Enablement",AK63="Reinforce Successful Behaviour")))*1+(AND(OR(LEFT(D63,1)="2",LEFT(D63,1)="3",LEFT(D63,1)="8"),AL63="Automated"))*1+((LEFT(D63,1)="1")&lt;&gt;(AK63="Guided Self-Serve Migration"))*1+(AND(AR63&lt;&gt;"",OR(F63&lt;&gt;"Low",U63="Mixed",AND(G63&lt;&gt;"Growing",G63&lt;&gt;"Stable"))))*1+ISNUMBER(SEARCH("chat",AP63))*1+ISNUMBER(SEARCH("video",AP63))*1+(AND(AA63,AL63="Automated",AM63&lt;&gt;"HOLD — Critical Data Issue"))*1</f>
        <v>0</v>
      </c>
    </row>
    <row r="64" customFormat="false" ht="15" hidden="false" customHeight="false" outlineLevel="0" collapsed="false">
      <c r="A64" s="2" t="s">
        <v>568</v>
      </c>
      <c r="B64" s="2" t="str">
        <f aca="false">INDEX(Segmentation!$B$2:$B$301,MATCH($A64,Segmentation!$A$2:$A$301,0))</f>
        <v>Account Managed</v>
      </c>
      <c r="C64" s="2" t="str">
        <f aca="false">INDEX(Segmentation!$H$2:$H$301,MATCH($A64,Segmentation!$A$2:$A$301,0))</f>
        <v>AM-Owned / Self-Serving</v>
      </c>
      <c r="D64" s="2" t="str">
        <f aca="false">INDEX(Segmentation!$T$2:$T$301,MATCH($A64,Segmentation!$A$2:$A$301,0))</f>
        <v>9. Long-Tail Automated Nurture</v>
      </c>
      <c r="E64" s="2" t="str">
        <f aca="false">INDEX(Segmentation!$J$2:$J$301,MATCH($A64,Segmentation!$A$2:$A$301,0))</f>
        <v>Tail</v>
      </c>
      <c r="F64" s="2" t="str">
        <f aca="false">INDEX(Segmentation!$G$2:$G$301,MATCH($A64,Segmentation!$A$2:$A$301,0))</f>
        <v>Low</v>
      </c>
      <c r="G64" s="2" t="str">
        <f aca="false">INDEX(Segmentation!$N$2:$N$301,MATCH($A64,Segmentation!$A$2:$A$301,0))</f>
        <v>Lapsed</v>
      </c>
      <c r="H64" s="9" t="n">
        <f aca="false">INDEX(Segmentation!$I$2:$I$301,MATCH($A64,Segmentation!$A$2:$A$301,0))</f>
        <v>1963</v>
      </c>
      <c r="I64" s="2" t="n">
        <f aca="false">INDEX(Segmentation!$O$2:$O$301,MATCH($A64,Segmentation!$A$2:$A$301,0))</f>
        <v>1</v>
      </c>
      <c r="J64" s="2" t="n">
        <f aca="false">INDEX(Segmentation!$Q$2:$Q$301,MATCH($A64,Segmentation!$A$2:$A$301,0))</f>
        <v>1</v>
      </c>
      <c r="K64" s="2" t="n">
        <f aca="false">INDEX(Segmentation!$W$2:$W$301,MATCH($A64,Segmentation!$A$2:$A$301,0))</f>
        <v>1</v>
      </c>
      <c r="L64" s="9" t="n">
        <f aca="false">INDEX('Commercial View'!$L$2:$L$301,MATCH($A64,'Commercial View'!$A$2:$A$301,0))</f>
        <v>0</v>
      </c>
      <c r="M64" s="9" t="n">
        <f aca="false">INDEX('Commercial View'!$M$2:$M$301,MATCH($A64,'Commercial View'!$A$2:$A$301,0))</f>
        <v>0</v>
      </c>
      <c r="N64" s="9" t="n">
        <f aca="false">INDEX('Commercial View'!$N$2:$N$301,MATCH($A64,'Commercial View'!$A$2:$A$301,0))</f>
        <v>0</v>
      </c>
      <c r="O64" s="9" t="n">
        <f aca="false">INDEX(Segmentation!$L$2:$L$301,MATCH($A64,Segmentation!$A$2:$A$301,0))</f>
        <v>0</v>
      </c>
      <c r="P64" s="2" t="str">
        <f aca="false">IF(OR(M64&gt;0,N64&gt;0),"Recently Active",IF(OR(I64&lt;=Assumptions!$B$48,K64&lt;=Assumptions!$B$49),"No Meaningful History","Recent Inactivity"))</f>
        <v>No Meaningful History</v>
      </c>
      <c r="Q64" s="2" t="str">
        <f aca="false">INDEX(Segmentation!$AF$2:$AF$301,MATCH($A64,Segmentation!$A$2:$A$301,0))</f>
        <v>Existing Customer</v>
      </c>
      <c r="R64" s="2" t="str">
        <f aca="false">INDEX(Segmentation!$AL$2:$AL$301,MATCH($A64,Segmentation!$A$2:$A$301,0))</f>
        <v>One-Off / Insufficient History — Verify</v>
      </c>
      <c r="S64" s="10" t="b">
        <f aca="false">INDEX(Segmentation!$AW$2:$AW$301,MATCH($A64,Segmentation!$A$2:$A$301,0))</f>
        <v>0</v>
      </c>
      <c r="T64" s="2" t="str">
        <f aca="false">INDEX('Feature Data'!$AD$2:$AD$301,MATCH($A64,'Feature Data'!$A$2:$A$301,0))</f>
        <v>Engaged, not converting</v>
      </c>
      <c r="U64" s="2" t="str">
        <f aca="false">INDEX('Feature Data'!$W$2:$W$301,MATCH($A64,'Feature Data'!$A$2:$A$301,0))</f>
        <v>Bundle-only</v>
      </c>
      <c r="V64" s="2" t="n">
        <f aca="false">INDEX('Feature Data'!$P$2:$P$301,MATCH($A64,'Feature Data'!$A$2:$A$301,0))</f>
        <v>445</v>
      </c>
      <c r="W64" s="2" t="n">
        <f aca="false">INDEX(Segmentation!$R$2:$R$301,MATCH($A64,Segmentation!$A$2:$A$301,0))</f>
        <v>26</v>
      </c>
      <c r="X64" s="2" t="n">
        <f aca="false">INDEX(Segmentation!$S$2:$S$301,MATCH($A64,Segmentation!$A$2:$A$301,0))</f>
        <v>1</v>
      </c>
      <c r="Y64" s="10" t="b">
        <f aca="false">INDEX(Segmentation!$AG$2:$AG$301,MATCH($A64,Segmentation!$A$2:$A$301,0))</f>
        <v>0</v>
      </c>
      <c r="Z64" s="2" t="str">
        <f aca="false">INDEX(Segmentation!$AU$2:$AU$301,MATCH($A64,Segmentation!$A$2:$A$301,0))</f>
        <v>Not Eligible</v>
      </c>
      <c r="AA64" s="10" t="b">
        <f aca="false">INDEX(Segmentation!$Z$2:$Z$301,MATCH($A64,Segmentation!$A$2:$A$301,0))</f>
        <v>0</v>
      </c>
      <c r="AB64" s="10" t="b">
        <f aca="false">INDEX(Segmentation!$AH$2:$AH$301,MATCH($A64,Segmentation!$A$2:$A$301,0))</f>
        <v>0</v>
      </c>
      <c r="AC64" s="10" t="b">
        <f aca="false">INDEX(Segmentation!$AK$2:$AK$301,MATCH($A64,Segmentation!$A$2:$A$301,0))</f>
        <v>0</v>
      </c>
      <c r="AD64" s="10" t="b">
        <f aca="false">INDEX(Segmentation!$AQ$2:$AQ$301,MATCH($A64,Segmentation!$A$2:$A$301,0))</f>
        <v>0</v>
      </c>
      <c r="AE64" s="10" t="b">
        <f aca="false">INDEX(Segmentation!$AT$2:$AT$301,MATCH($A64,Segmentation!$A$2:$A$301,0))</f>
        <v>0</v>
      </c>
      <c r="AF64" s="10" t="b">
        <f aca="false">INDEX(Segmentation!$X$2:$X$301,MATCH($A64,Segmentation!$A$2:$A$301,0))</f>
        <v>1</v>
      </c>
      <c r="AG64" s="10" t="b">
        <f aca="false">AND(F64="Low",V64&gt;=Assumptions!$B$71,X64&lt;Assumptions!$B$72)</f>
        <v>1</v>
      </c>
      <c r="AH64" s="10" t="b">
        <f aca="false">AND(F64="Low",OR(G64="Growing",G64="Stable"),P64="Recently Active",V64&gt;=Assumptions!$B$58,K64&gt;=Assumptions!$B$73)</f>
        <v>0</v>
      </c>
      <c r="AI64" s="17" t="str">
        <f aca="false">IF(O64&gt;0,MAX(L64:N64)/O64,"")</f>
        <v/>
      </c>
      <c r="AJ64" s="2" t="str">
        <f aca="false">IF(LEFT(D64,1)="1",IF(E64="Key","MIGRATION_KEY_SIGNOFF",IF(Z64="Ready","MIGRATION_PHASE1_READY",IF(Z64="Manual Review","MIGRATION_PHASE1_REVIEW","MIGRATION_PRE_ENTRY"))),IF(LEFT(D64,1)="2","DECLINING_KEY_CORE",IF(LEFT(D64,1)="3",IF(R64="Established Buyer Lapsed","LAPSED_ESTABLISHED","LAPSED_THIN_HISTORY"),IF(LEFT(D64,1)="4",IF(Q64="New Customer","NEW_CUSTOMER","RETURNED_CUSTOMER"),IF(LEFT(D64,1)="5",IF(P64="Recently Active","COST_TO_SERVE_ACTIVE","DORMANT_LOW_VALUE"),IF(LEFT(D64,1)="6",IF(P64="Recent Inactivity","RECENT_INACTIVITY",IF(AG64,"BROWSING_LOW_OFFERS","HEALTHY_STRONG_SELF_SERVE")),IF(LEFT(D64,1)="7",IF(P64="Recent Inactivity","RECENT_INACTIVITY",IF(Q64="New Customer","NEW_CUSTOMER","RETURNED_CUSTOMER")),IF(LEFT(D64,1)="8",IF(G64="Declining",IF(T64="Engaged but shrinking (Key/Core)","ENGAGED_BUT_SHRINKING","DECLINING_KEY_CORE"),IF(R64="Established Buyer Lapsed","LAPSED_ESTABLISHED","LAPSED_THIN_HISTORY")),IF(S64,IF(P64&lt;&gt;"Recently Active","DORMANT_LOW_VALUE",IF(AG64,"BROWSING_LOW_OFFERS",IF(AH64,"RISING_TAIL","RISING_TAIL_EARLY"))),IF(AND(AG64,P64="Recently Active",OR(G64="Growing",G64="Stable",G64="H2 Active / No H1 GMV"),I64&gt;=Assumptions!$B$74),"BROWSING_LOW_OFFERS","LONG_TAIL_STANDARD"))))))))))</f>
        <v>LONG_TAIL_STANDARD</v>
      </c>
      <c r="AK64" s="2" t="str">
        <f aca="false">INDEX('NBA Library'!$B$4:$B$21,MATCH(AJ64,'NBA Library'!$A$4:$A$21,0))</f>
        <v>Automated Nurture</v>
      </c>
      <c r="AL64" s="2" t="str">
        <f aca="false">INDEX('NBA Library'!$C$4:$C$21,MATCH(AJ64,'NBA Library'!$A$4:$A$21,0))</f>
        <v>Automated</v>
      </c>
      <c r="AM64" s="2" t="str">
        <f aca="false">IF(AA64,"HOLD — Critical Data Issue",IF(Y64,"Human Sign-Off Required",IF(Z64="Manual Review","Human Review Required",IF(AND(AL64="Automated",OR(AE64,AND(OR(AK64="Discovery-to-Offer Enablement",AK64="Reinforce Successful Behaviour"),OR(AC64,AB64)))),"Human Review Required",IF(AL64="Human","Ready — Human",IF(AL64="Hybrid","Ready — Hybrid","Ready — Automated"))))))</f>
        <v>Ready — Automated</v>
      </c>
      <c r="AN64" s="2" t="str">
        <f aca="false">IF(AA64,"P0",IF(AND(AJ64="BROWSING_LOW_OFFERS",E64="Tail"),"P3",IF(AND(AM64="Human Review Required",INDEX('NBA Library'!$D$4:$D$21,MATCH(AJ64,'NBA Library'!$A$4:$A$21,0))="P4"),"P3",INDEX('NBA Library'!$D$4:$D$21,MATCH(AJ64,'NBA Library'!$A$4:$A$21,0)))))</f>
        <v>P4</v>
      </c>
      <c r="AO64" s="2" t="str">
        <f aca="false">E64&amp;" "&amp;C64&amp;" account ("&amp;B64&amp;"); "&amp;G64&amp;" momentum; "&amp;P64&amp;"; £"&amp;TEXT(H64,"#,##0")&amp;" 6m GMV. "&amp;INDEX('NBA Library'!$G$4:$G$21,MATCH(AJ64,'NBA Library'!$A$4:$A$21,0))&amp;IF(LEFT(D64,1)="1"," Baseline: "&amp;V64&amp;" PDP views, "&amp;W64&amp;" app days, "&amp;X64&amp;" offers, "&amp;TEXT(J64/I64,"0%")&amp;" of orders self-serve.","")&amp;IF(AA64," Execution on HOLD until the Duplicate status is resolved.","")&amp;IF(Y64," Key account: explicit AM/leadership sign-off required before any migration activity.","")&amp;IF(AE64," Implied broker % from order counts would move this account to a different segment; review before automating.","")</f>
        <v>Tail AM-Owned / Self-Serving account (Account Managed); Lapsed momentum; No Meaningful History; £1,963 6m GMV. Low-value, low-dependency account. Scalable automated engagement.</v>
      </c>
      <c r="AP64" s="2" t="str">
        <f aca="false">INDEX('NBA Library'!$E$4:$E$21,MATCH(AJ64,'NBA Library'!$A$4:$A$21,0))&amp;IF(AND(AJ64="NEW_CUSTOMER",AG64),"; introduce Make-an-Offer on items already browsed","")</f>
        <v>Scalable automated engagement matched to nurture sub-context</v>
      </c>
      <c r="AQ64" s="2" t="str">
        <f aca="false">INDEX('NBA Library'!$F$4:$F$21,MATCH(AJ64,'NBA Library'!$A$4:$A$21,0))</f>
        <v>Any repeat order within 90 days</v>
      </c>
      <c r="AR64" s="2" t="str">
        <f aca="false">IF(AND(F64="Low",OR(G64="Growing",G64="Stable"),P64="Recently Active",U64&lt;&gt;"Mixed",OR(AK64="Discovery-to-Offer Enablement",AK64="Reinforce Successful Behaviour"),AM64="Ready — Automated",OR(E64&lt;&gt;"Tail",S64)),"Range Expansion Test — trial "&amp;IF(U64="Bundle-only","handpick","bundles")&amp;" (experimental; not proven to lift GMV)","")</f>
        <v/>
      </c>
      <c r="AS64" s="2" t="str">
        <f aca="false">IF(AK64&lt;&gt;"Automated Nurture","",IF(AJ64="DORMANT_LOW_VALUE","Dormant",IF(AJ64="RISING_TAIL_EARLY","Rising tail – early pattern",IF(Q64="New Customer","New customer onboarding",IF(Q64="Returned Customer","Returned customer",IF(G64="Lapsed","Dormant",IF(T64="Engaged, not converting","Engaged, not converting",IF(T64="One-off low-touch buyer","One-off purchaser",IF(T64="Light-touch repeat buyer","Light-touch repeat buyer","Standard long tail")))))))))</f>
        <v>Dormant</v>
      </c>
      <c r="AT64" s="2" t="str">
        <f aca="false">IF(AA64,"CRITICAL_DATA_BLOCKER; ","")&amp;IF(Y64,"KEY_SIGNOFF; ","")&amp;IF(Z64="Manual Review","PHASE1_MANUAL_REVIEW; ","")&amp;IF(AND(LEFT(D64,1)="1",AZ64="Lumpy"),"LUMPY_CADENCE; ","")&amp;IF(AB64,"BORDERLINE_MOMENTUM; ","")&amp;IF(AC64,"FEB_SENSITIVE; ","")&amp;IF(AD64,"MATERIAL_BROKER_INCONSISTENCY"&amp;IF(AE64," (segment would change)","")&amp;"; ","")&amp;IF(AND(I64&gt;=3,O64&gt;0),IF(AI64&gt;=Assumptions!$B$75,"H2_SINGLE_MONTH_SPIKE; ",""),"")&amp;IF(AND(M64&gt;0,N64=0),"NO_FEB_GMV (Feb unconfirmed); ","")&amp;IF(AF64,"LOW_CONFIDENCE; ","")</f>
        <v>LOW_CONFIDENCE; </v>
      </c>
      <c r="AU64" s="2" t="str">
        <f aca="false">IF(LEFT(D64,1)="1",V64,"")</f>
        <v/>
      </c>
      <c r="AV64" s="2" t="str">
        <f aca="false">IF(LEFT(D64,1)="1",V64&gt;=Assumptions!$B$58,"")</f>
        <v/>
      </c>
      <c r="AW64" s="2" t="str">
        <f aca="false">IF(LEFT(D64,1)="1",W64,"")</f>
        <v/>
      </c>
      <c r="AX64" s="2" t="str">
        <f aca="false">IF(LEFT(D64,1)="1",X64,"")</f>
        <v/>
      </c>
      <c r="AY64" s="17" t="str">
        <f aca="false">IF(LEFT(D64,1)="1",J64/I64,"")</f>
        <v/>
      </c>
      <c r="AZ64" s="2" t="str">
        <f aca="false">IF(LEFT(D64,1)="1",IF(AND(K64&gt;=Assumptions!$B$83,I64&gt;=Assumptions!$B$84),"Regular","Lumpy"),"")</f>
        <v/>
      </c>
      <c r="BA64" s="2" t="str">
        <f aca="false">IF(LEFT(D64,1)="1",ROUND(6/K64,0),"")</f>
        <v/>
      </c>
      <c r="BB64" s="2" t="str">
        <f aca="false">IF(LEFT(D64,1)="1",IF(AZ64="Regular","Regular buyer: expected ~£"&amp;TEXT(H64/2,"#,##0")&amp;" per 90 days. At Risk if GMV to date &lt; "&amp;TEXT(Assumptions!$B$81,"0%")&amp;" of pro-rated expectation, checked from day "&amp;Assumptions!$B$82&amp;". Human-reviewed.","Irregular buyer ("&amp;I64&amp;" orders across "&amp;K64&amp;" months): no numeric GMV threshold. At Risk if no order within ~"&amp;BA64&amp;" month(s); AM reviews at day "&amp;Assumptions!$B$82&amp;" and "&amp;Assumptions!$B$85&amp;"."),"")</f>
        <v/>
      </c>
      <c r="BC64" s="2"/>
      <c r="BD64" s="2"/>
      <c r="BE64" s="2"/>
      <c r="BF64" s="2"/>
      <c r="BG64" s="2"/>
      <c r="BH64" s="2"/>
      <c r="BI64" s="2"/>
      <c r="BJ64" s="2" t="str">
        <f aca="false">IF(OR(NOT(LEFT(D64,1)="1"),BC64=""),"",IF(AZ64="Regular",AND(BC64&gt;=Assumptions!$B$82,N(BI64)&lt;Assumptions!$B$81*H64/180*BC64),AND(BC64&gt;=BA64*30,N(BG64)=0)))</f>
        <v/>
      </c>
      <c r="BK64" s="2" t="str">
        <f aca="false">IF(NOT(LEFT(D64,1)="1"),"N/A",IF(BC64="","Baseline",IF(BJ64,"At Risk",IF(AND(N(BD64)&gt;=Assumptions!$B$78,N(BE64)&gt;=Assumptions!$B$79,N(BH64)&gt;=1,N(BH64)/MAX(N(BG64),1)&gt;AY64),"Self-Serve Capability Demonstrated",IF(OR(N(BD64)&gt;=Assumptions!$B$76,N(BE64)&gt;=Assumptions!$B$77),"Progressing",IF(BC64&gt;=Assumptions!$B$85,"At Risk","Baseline"))))))</f>
        <v>N/A</v>
      </c>
      <c r="BL64" s="2" t="n">
        <f aca="false">(AND(C64="Broker-Reliant",OR(AK64="Discovery-to-Offer Enablement",AK64="Reinforce Successful Behaviour")))*1+(AND(G64="Declining",E64&lt;&gt;"Tail",AL64="Automated"))*1+(AND(Y64,AM64&lt;&gt;"Human Sign-Off Required"))*1+(AND(AA64,AM64&lt;&gt;"HOLD — Critical Data Issue"))*1+(AND(P64="Recent Inactivity",OR(AK64="Discovery-to-Offer Enablement",AK64="Reinforce Successful Behaviour")))*1+(AND(OR(LEFT(D64,1)="2",LEFT(D64,1)="3",LEFT(D64,1)="8"),AL64="Automated"))*1+((LEFT(D64,1)="1")&lt;&gt;(AK64="Guided Self-Serve Migration"))*1+(AND(AR64&lt;&gt;"",OR(F64&lt;&gt;"Low",U64="Mixed",AND(G64&lt;&gt;"Growing",G64&lt;&gt;"Stable"))))*1+ISNUMBER(SEARCH("chat",AP64))*1+ISNUMBER(SEARCH("video",AP64))*1+(AND(AA64,AL64="Automated",AM64&lt;&gt;"HOLD — Critical Data Issue"))*1</f>
        <v>0</v>
      </c>
    </row>
    <row r="65" customFormat="false" ht="15" hidden="false" customHeight="false" outlineLevel="0" collapsed="false">
      <c r="A65" s="2" t="s">
        <v>473</v>
      </c>
      <c r="B65" s="2" t="str">
        <f aca="false">INDEX(Segmentation!$B$2:$B$301,MATCH($A65,Segmentation!$A$2:$A$301,0))</f>
        <v>Account Managed</v>
      </c>
      <c r="C65" s="2" t="str">
        <f aca="false">INDEX(Segmentation!$H$2:$H$301,MATCH($A65,Segmentation!$A$2:$A$301,0))</f>
        <v>Broker-Reliant</v>
      </c>
      <c r="D65" s="2" t="str">
        <f aca="false">INDEX(Segmentation!$T$2:$T$301,MATCH($A65,Segmentation!$A$2:$A$301,0))</f>
        <v>5. Cost-to-Serve / Low-Touch</v>
      </c>
      <c r="E65" s="2" t="str">
        <f aca="false">INDEX(Segmentation!$J$2:$J$301,MATCH($A65,Segmentation!$A$2:$A$301,0))</f>
        <v>Tail</v>
      </c>
      <c r="F65" s="2" t="str">
        <f aca="false">INDEX(Segmentation!$G$2:$G$301,MATCH($A65,Segmentation!$A$2:$A$301,0))</f>
        <v>High</v>
      </c>
      <c r="G65" s="2" t="str">
        <f aca="false">INDEX(Segmentation!$N$2:$N$301,MATCH($A65,Segmentation!$A$2:$A$301,0))</f>
        <v>Stable</v>
      </c>
      <c r="H65" s="9" t="n">
        <f aca="false">INDEX(Segmentation!$I$2:$I$301,MATCH($A65,Segmentation!$A$2:$A$301,0))</f>
        <v>1911</v>
      </c>
      <c r="I65" s="2" t="n">
        <f aca="false">INDEX(Segmentation!$O$2:$O$301,MATCH($A65,Segmentation!$A$2:$A$301,0))</f>
        <v>15</v>
      </c>
      <c r="J65" s="2" t="n">
        <f aca="false">INDEX(Segmentation!$Q$2:$Q$301,MATCH($A65,Segmentation!$A$2:$A$301,0))</f>
        <v>5</v>
      </c>
      <c r="K65" s="2" t="n">
        <f aca="false">INDEX(Segmentation!$W$2:$W$301,MATCH($A65,Segmentation!$A$2:$A$301,0))</f>
        <v>5</v>
      </c>
      <c r="L65" s="9" t="n">
        <f aca="false">INDEX('Commercial View'!$L$2:$L$301,MATCH($A65,'Commercial View'!$A$2:$A$301,0))</f>
        <v>131</v>
      </c>
      <c r="M65" s="9" t="n">
        <f aca="false">INDEX('Commercial View'!$M$2:$M$301,MATCH($A65,'Commercial View'!$A$2:$A$301,0))</f>
        <v>393</v>
      </c>
      <c r="N65" s="9" t="n">
        <f aca="false">INDEX('Commercial View'!$N$2:$N$301,MATCH($A65,'Commercial View'!$A$2:$A$301,0))</f>
        <v>345</v>
      </c>
      <c r="O65" s="9" t="n">
        <f aca="false">INDEX(Segmentation!$L$2:$L$301,MATCH($A65,Segmentation!$A$2:$A$301,0))</f>
        <v>869</v>
      </c>
      <c r="P65" s="2" t="str">
        <f aca="false">IF(OR(M65&gt;0,N65&gt;0),"Recently Active",IF(OR(I65&lt;=Assumptions!$B$48,K65&lt;=Assumptions!$B$49),"No Meaningful History","Recent Inactivity"))</f>
        <v>Recently Active</v>
      </c>
      <c r="Q65" s="2" t="str">
        <f aca="false">INDEX(Segmentation!$AF$2:$AF$301,MATCH($A65,Segmentation!$A$2:$A$301,0))</f>
        <v>Existing Customer</v>
      </c>
      <c r="R65" s="2" t="str">
        <f aca="false">INDEX(Segmentation!$AL$2:$AL$301,MATCH($A65,Segmentation!$A$2:$A$301,0))</f>
        <v>N/A</v>
      </c>
      <c r="S65" s="10" t="b">
        <f aca="false">INDEX(Segmentation!$AW$2:$AW$301,MATCH($A65,Segmentation!$A$2:$A$301,0))</f>
        <v>0</v>
      </c>
      <c r="T65" s="2" t="str">
        <f aca="false">INDEX('Feature Data'!$AD$2:$AD$301,MATCH($A65,'Feature Data'!$A$2:$A$301,0))</f>
        <v>Broker-led, product-blind</v>
      </c>
      <c r="U65" s="2" t="str">
        <f aca="false">INDEX('Feature Data'!$W$2:$W$301,MATCH($A65,'Feature Data'!$A$2:$A$301,0))</f>
        <v>Bundle-only</v>
      </c>
      <c r="V65" s="2" t="n">
        <f aca="false">INDEX('Feature Data'!$P$2:$P$301,MATCH($A65,'Feature Data'!$A$2:$A$301,0))</f>
        <v>14</v>
      </c>
      <c r="W65" s="2" t="n">
        <f aca="false">INDEX(Segmentation!$R$2:$R$301,MATCH($A65,Segmentation!$A$2:$A$301,0))</f>
        <v>4</v>
      </c>
      <c r="X65" s="2" t="n">
        <f aca="false">INDEX(Segmentation!$S$2:$S$301,MATCH($A65,Segmentation!$A$2:$A$301,0))</f>
        <v>2</v>
      </c>
      <c r="Y65" s="10" t="b">
        <f aca="false">INDEX(Segmentation!$AG$2:$AG$301,MATCH($A65,Segmentation!$A$2:$A$301,0))</f>
        <v>0</v>
      </c>
      <c r="Z65" s="2" t="str">
        <f aca="false">INDEX(Segmentation!$AU$2:$AU$301,MATCH($A65,Segmentation!$A$2:$A$301,0))</f>
        <v>Not Eligible</v>
      </c>
      <c r="AA65" s="10" t="b">
        <f aca="false">INDEX(Segmentation!$Z$2:$Z$301,MATCH($A65,Segmentation!$A$2:$A$301,0))</f>
        <v>0</v>
      </c>
      <c r="AB65" s="10" t="b">
        <f aca="false">INDEX(Segmentation!$AH$2:$AH$301,MATCH($A65,Segmentation!$A$2:$A$301,0))</f>
        <v>1</v>
      </c>
      <c r="AC65" s="10" t="b">
        <f aca="false">INDEX(Segmentation!$AK$2:$AK$301,MATCH($A65,Segmentation!$A$2:$A$301,0))</f>
        <v>1</v>
      </c>
      <c r="AD65" s="10" t="b">
        <f aca="false">INDEX(Segmentation!$AQ$2:$AQ$301,MATCH($A65,Segmentation!$A$2:$A$301,0))</f>
        <v>0</v>
      </c>
      <c r="AE65" s="10" t="b">
        <f aca="false">INDEX(Segmentation!$AT$2:$AT$301,MATCH($A65,Segmentation!$A$2:$A$301,0))</f>
        <v>0</v>
      </c>
      <c r="AF65" s="10" t="b">
        <f aca="false">INDEX(Segmentation!$X$2:$X$301,MATCH($A65,Segmentation!$A$2:$A$301,0))</f>
        <v>0</v>
      </c>
      <c r="AG65" s="10" t="b">
        <f aca="false">AND(F65="Low",V65&gt;=Assumptions!$B$71,X65&lt;Assumptions!$B$72)</f>
        <v>0</v>
      </c>
      <c r="AH65" s="10" t="b">
        <f aca="false">AND(F65="Low",OR(G65="Growing",G65="Stable"),P65="Recently Active",V65&gt;=Assumptions!$B$58,K65&gt;=Assumptions!$B$73)</f>
        <v>0</v>
      </c>
      <c r="AI65" s="17" t="n">
        <f aca="false">IF(O65&gt;0,MAX(L65:N65)/O65,"")</f>
        <v>0.452243958573073</v>
      </c>
      <c r="AJ65" s="2" t="str">
        <f aca="false">IF(LEFT(D65,1)="1",IF(E65="Key","MIGRATION_KEY_SIGNOFF",IF(Z65="Ready","MIGRATION_PHASE1_READY",IF(Z65="Manual Review","MIGRATION_PHASE1_REVIEW","MIGRATION_PRE_ENTRY"))),IF(LEFT(D65,1)="2","DECLINING_KEY_CORE",IF(LEFT(D65,1)="3",IF(R65="Established Buyer Lapsed","LAPSED_ESTABLISHED","LAPSED_THIN_HISTORY"),IF(LEFT(D65,1)="4",IF(Q65="New Customer","NEW_CUSTOMER","RETURNED_CUSTOMER"),IF(LEFT(D65,1)="5",IF(P65="Recently Active","COST_TO_SERVE_ACTIVE","DORMANT_LOW_VALUE"),IF(LEFT(D65,1)="6",IF(P65="Recent Inactivity","RECENT_INACTIVITY",IF(AG65,"BROWSING_LOW_OFFERS","HEALTHY_STRONG_SELF_SERVE")),IF(LEFT(D65,1)="7",IF(P65="Recent Inactivity","RECENT_INACTIVITY",IF(Q65="New Customer","NEW_CUSTOMER","RETURNED_CUSTOMER")),IF(LEFT(D65,1)="8",IF(G65="Declining",IF(T65="Engaged but shrinking (Key/Core)","ENGAGED_BUT_SHRINKING","DECLINING_KEY_CORE"),IF(R65="Established Buyer Lapsed","LAPSED_ESTABLISHED","LAPSED_THIN_HISTORY")),IF(S65,IF(P65&lt;&gt;"Recently Active","DORMANT_LOW_VALUE",IF(AG65,"BROWSING_LOW_OFFERS",IF(AH65,"RISING_TAIL","RISING_TAIL_EARLY"))),IF(AND(AG65,P65="Recently Active",OR(G65="Growing",G65="Stable",G65="H2 Active / No H1 GMV"),I65&gt;=Assumptions!$B$74),"BROWSING_LOW_OFFERS","LONG_TAIL_STANDARD"))))))))))</f>
        <v>COST_TO_SERVE_ACTIVE</v>
      </c>
      <c r="AK65" s="2" t="str">
        <f aca="false">INDEX('NBA Library'!$B$4:$B$21,MATCH(AJ65,'NBA Library'!$A$4:$A$21,0))</f>
        <v>Service Model Review</v>
      </c>
      <c r="AL65" s="2" t="str">
        <f aca="false">INDEX('NBA Library'!$C$4:$C$21,MATCH(AJ65,'NBA Library'!$A$4:$A$21,0))</f>
        <v>Human</v>
      </c>
      <c r="AM65" s="2" t="str">
        <f aca="false">IF(AA65,"HOLD — Critical Data Issue",IF(Y65,"Human Sign-Off Required",IF(Z65="Manual Review","Human Review Required",IF(AND(AL65="Automated",OR(AE65,AND(OR(AK65="Discovery-to-Offer Enablement",AK65="Reinforce Successful Behaviour"),OR(AC65,AB65)))),"Human Review Required",IF(AL65="Human","Ready — Human",IF(AL65="Hybrid","Ready — Hybrid","Ready — Automated"))))))</f>
        <v>Ready — Human</v>
      </c>
      <c r="AN65" s="2" t="str">
        <f aca="false">IF(AA65,"P0",IF(AND(AJ65="BROWSING_LOW_OFFERS",E65="Tail"),"P3",IF(AND(AM65="Human Review Required",INDEX('NBA Library'!$D$4:$D$21,MATCH(AJ65,'NBA Library'!$A$4:$A$21,0))="P4"),"P3",INDEX('NBA Library'!$D$4:$D$21,MATCH(AJ65,'NBA Library'!$A$4:$A$21,0)))))</f>
        <v>P3</v>
      </c>
      <c r="AO65" s="2" t="str">
        <f aca="false">E65&amp;" "&amp;C65&amp;" account ("&amp;B65&amp;"); "&amp;G65&amp;" momentum; "&amp;P65&amp;"; £"&amp;TEXT(H65,"#,##0")&amp;" 6m GMV. "&amp;INDEX('NBA Library'!$G$4:$G$21,MATCH(AJ65,'NBA Library'!$A$4:$A$21,0))&amp;IF(LEFT(D65,1)="1"," Baseline: "&amp;V65&amp;" PDP views, "&amp;W65&amp;" app days, "&amp;X65&amp;" offers, "&amp;TEXT(J65/I65,"0%")&amp;" of orders self-serve.","")&amp;IF(AA65," Execution on HOLD until the Duplicate status is resolved.","")&amp;IF(Y65," Key account: explicit AM/leadership sign-off required before any migration activity.","")&amp;IF(AE65," Implied broker % from order counts would move this account to a different segment; review before automating.","")</f>
        <v>Tail Broker-Reliant account (Account Managed); Stable momentum; Recently Active; £1,911 6m GMV. Broker-reliant but low value and still buying. Decide whether continued AM/broker effort is justified.</v>
      </c>
      <c r="AP65" s="2" t="str">
        <f aca="false">INDEX('NBA Library'!$E$4:$E$21,MATCH(AJ65,'NBA Library'!$A$4:$A$21,0))&amp;IF(AND(AJ65="NEW_CUSTOMER",AG65),"; introduce Make-an-Offer on items already browsed","")</f>
        <v>Internal decision: keep AM coverage, move to low-touch, or automate re-ordering</v>
      </c>
      <c r="AQ65" s="2" t="str">
        <f aca="false">INDEX('NBA Library'!$F$4:$F$21,MATCH(AJ65,'NBA Library'!$A$4:$A$21,0))</f>
        <v>Decision logged; broker effort reduced without GMV loss</v>
      </c>
      <c r="AR65" s="2" t="str">
        <f aca="false">IF(AND(F65="Low",OR(G65="Growing",G65="Stable"),P65="Recently Active",U65&lt;&gt;"Mixed",OR(AK65="Discovery-to-Offer Enablement",AK65="Reinforce Successful Behaviour"),AM65="Ready — Automated",OR(E65&lt;&gt;"Tail",S65)),"Range Expansion Test — trial "&amp;IF(U65="Bundle-only","handpick","bundles")&amp;" (experimental; not proven to lift GMV)","")</f>
        <v/>
      </c>
      <c r="AS65" s="2" t="str">
        <f aca="false">IF(AK65&lt;&gt;"Automated Nurture","",IF(AJ65="DORMANT_LOW_VALUE","Dormant",IF(AJ65="RISING_TAIL_EARLY","Rising tail – early pattern",IF(Q65="New Customer","New customer onboarding",IF(Q65="Returned Customer","Returned customer",IF(G65="Lapsed","Dormant",IF(T65="Engaged, not converting","Engaged, not converting",IF(T65="One-off low-touch buyer","One-off purchaser",IF(T65="Light-touch repeat buyer","Light-touch repeat buyer","Standard long tail")))))))))</f>
        <v/>
      </c>
      <c r="AT65" s="2" t="str">
        <f aca="false">IF(AA65,"CRITICAL_DATA_BLOCKER; ","")&amp;IF(Y65,"KEY_SIGNOFF; ","")&amp;IF(Z65="Manual Review","PHASE1_MANUAL_REVIEW; ","")&amp;IF(AND(LEFT(D65,1)="1",AZ65="Lumpy"),"LUMPY_CADENCE; ","")&amp;IF(AB65,"BORDERLINE_MOMENTUM; ","")&amp;IF(AC65,"FEB_SENSITIVE; ","")&amp;IF(AD65,"MATERIAL_BROKER_INCONSISTENCY"&amp;IF(AE65," (segment would change)","")&amp;"; ","")&amp;IF(AND(I65&gt;=3,O65&gt;0),IF(AI65&gt;=Assumptions!$B$75,"H2_SINGLE_MONTH_SPIKE; ",""),"")&amp;IF(AND(M65&gt;0,N65=0),"NO_FEB_GMV (Feb unconfirmed); ","")&amp;IF(AF65,"LOW_CONFIDENCE; ","")</f>
        <v>BORDERLINE_MOMENTUM; FEB_SENSITIVE; </v>
      </c>
      <c r="AU65" s="2" t="str">
        <f aca="false">IF(LEFT(D65,1)="1",V65,"")</f>
        <v/>
      </c>
      <c r="AV65" s="2" t="str">
        <f aca="false">IF(LEFT(D65,1)="1",V65&gt;=Assumptions!$B$58,"")</f>
        <v/>
      </c>
      <c r="AW65" s="2" t="str">
        <f aca="false">IF(LEFT(D65,1)="1",W65,"")</f>
        <v/>
      </c>
      <c r="AX65" s="2" t="str">
        <f aca="false">IF(LEFT(D65,1)="1",X65,"")</f>
        <v/>
      </c>
      <c r="AY65" s="17" t="str">
        <f aca="false">IF(LEFT(D65,1)="1",J65/I65,"")</f>
        <v/>
      </c>
      <c r="AZ65" s="2" t="str">
        <f aca="false">IF(LEFT(D65,1)="1",IF(AND(K65&gt;=Assumptions!$B$83,I65&gt;=Assumptions!$B$84),"Regular","Lumpy"),"")</f>
        <v/>
      </c>
      <c r="BA65" s="2" t="str">
        <f aca="false">IF(LEFT(D65,1)="1",ROUND(6/K65,0),"")</f>
        <v/>
      </c>
      <c r="BB65" s="2" t="str">
        <f aca="false">IF(LEFT(D65,1)="1",IF(AZ65="Regular","Regular buyer: expected ~£"&amp;TEXT(H65/2,"#,##0")&amp;" per 90 days. At Risk if GMV to date &lt; "&amp;TEXT(Assumptions!$B$81,"0%")&amp;" of pro-rated expectation, checked from day "&amp;Assumptions!$B$82&amp;". Human-reviewed.","Irregular buyer ("&amp;I65&amp;" orders across "&amp;K65&amp;" months): no numeric GMV threshold. At Risk if no order within ~"&amp;BA65&amp;" month(s); AM reviews at day "&amp;Assumptions!$B$82&amp;" and "&amp;Assumptions!$B$85&amp;"."),"")</f>
        <v/>
      </c>
      <c r="BC65" s="2"/>
      <c r="BD65" s="2"/>
      <c r="BE65" s="2"/>
      <c r="BF65" s="2"/>
      <c r="BG65" s="2"/>
      <c r="BH65" s="2"/>
      <c r="BI65" s="2"/>
      <c r="BJ65" s="2" t="str">
        <f aca="false">IF(OR(NOT(LEFT(D65,1)="1"),BC65=""),"",IF(AZ65="Regular",AND(BC65&gt;=Assumptions!$B$82,N(BI65)&lt;Assumptions!$B$81*H65/180*BC65),AND(BC65&gt;=BA65*30,N(BG65)=0)))</f>
        <v/>
      </c>
      <c r="BK65" s="2" t="str">
        <f aca="false">IF(NOT(LEFT(D65,1)="1"),"N/A",IF(BC65="","Baseline",IF(BJ65,"At Risk",IF(AND(N(BD65)&gt;=Assumptions!$B$78,N(BE65)&gt;=Assumptions!$B$79,N(BH65)&gt;=1,N(BH65)/MAX(N(BG65),1)&gt;AY65),"Self-Serve Capability Demonstrated",IF(OR(N(BD65)&gt;=Assumptions!$B$76,N(BE65)&gt;=Assumptions!$B$77),"Progressing",IF(BC65&gt;=Assumptions!$B$85,"At Risk","Baseline"))))))</f>
        <v>N/A</v>
      </c>
      <c r="BL65" s="2" t="n">
        <f aca="false">(AND(C65="Broker-Reliant",OR(AK65="Discovery-to-Offer Enablement",AK65="Reinforce Successful Behaviour")))*1+(AND(G65="Declining",E65&lt;&gt;"Tail",AL65="Automated"))*1+(AND(Y65,AM65&lt;&gt;"Human Sign-Off Required"))*1+(AND(AA65,AM65&lt;&gt;"HOLD — Critical Data Issue"))*1+(AND(P65="Recent Inactivity",OR(AK65="Discovery-to-Offer Enablement",AK65="Reinforce Successful Behaviour")))*1+(AND(OR(LEFT(D65,1)="2",LEFT(D65,1)="3",LEFT(D65,1)="8"),AL65="Automated"))*1+((LEFT(D65,1)="1")&lt;&gt;(AK65="Guided Self-Serve Migration"))*1+(AND(AR65&lt;&gt;"",OR(F65&lt;&gt;"Low",U65="Mixed",AND(G65&lt;&gt;"Growing",G65&lt;&gt;"Stable"))))*1+ISNUMBER(SEARCH("chat",AP65))*1+ISNUMBER(SEARCH("video",AP65))*1+(AND(AA65,AL65="Automated",AM65&lt;&gt;"HOLD — Critical Data Issue"))*1</f>
        <v>0</v>
      </c>
    </row>
    <row r="66" customFormat="false" ht="15" hidden="false" customHeight="false" outlineLevel="0" collapsed="false">
      <c r="A66" s="2" t="s">
        <v>490</v>
      </c>
      <c r="B66" s="2" t="str">
        <f aca="false">INDEX(Segmentation!$B$2:$B$301,MATCH($A66,Segmentation!$A$2:$A$301,0))</f>
        <v>Account Managed</v>
      </c>
      <c r="C66" s="2" t="str">
        <f aca="false">INDEX(Segmentation!$H$2:$H$301,MATCH($A66,Segmentation!$A$2:$A$301,0))</f>
        <v>AM-Owned / Self-Serving</v>
      </c>
      <c r="D66" s="2" t="str">
        <f aca="false">INDEX(Segmentation!$T$2:$T$301,MATCH($A66,Segmentation!$A$2:$A$301,0))</f>
        <v>9. Long-Tail Automated Nurture</v>
      </c>
      <c r="E66" s="2" t="str">
        <f aca="false">INDEX(Segmentation!$J$2:$J$301,MATCH($A66,Segmentation!$A$2:$A$301,0))</f>
        <v>Tail</v>
      </c>
      <c r="F66" s="2" t="str">
        <f aca="false">INDEX(Segmentation!$G$2:$G$301,MATCH($A66,Segmentation!$A$2:$A$301,0))</f>
        <v>Low</v>
      </c>
      <c r="G66" s="2" t="str">
        <f aca="false">INDEX(Segmentation!$N$2:$N$301,MATCH($A66,Segmentation!$A$2:$A$301,0))</f>
        <v>H2 Active / No H1 GMV</v>
      </c>
      <c r="H66" s="9" t="n">
        <f aca="false">INDEX(Segmentation!$I$2:$I$301,MATCH($A66,Segmentation!$A$2:$A$301,0))</f>
        <v>1812</v>
      </c>
      <c r="I66" s="2" t="n">
        <f aca="false">INDEX(Segmentation!$O$2:$O$301,MATCH($A66,Segmentation!$A$2:$A$301,0))</f>
        <v>5</v>
      </c>
      <c r="J66" s="2" t="n">
        <f aca="false">INDEX(Segmentation!$Q$2:$Q$301,MATCH($A66,Segmentation!$A$2:$A$301,0))</f>
        <v>5</v>
      </c>
      <c r="K66" s="2" t="n">
        <f aca="false">INDEX(Segmentation!$W$2:$W$301,MATCH($A66,Segmentation!$A$2:$A$301,0))</f>
        <v>2</v>
      </c>
      <c r="L66" s="9" t="n">
        <f aca="false">INDEX('Commercial View'!$L$2:$L$301,MATCH($A66,'Commercial View'!$A$2:$A$301,0))</f>
        <v>657</v>
      </c>
      <c r="M66" s="9" t="n">
        <f aca="false">INDEX('Commercial View'!$M$2:$M$301,MATCH($A66,'Commercial View'!$A$2:$A$301,0))</f>
        <v>1154</v>
      </c>
      <c r="N66" s="9" t="n">
        <f aca="false">INDEX('Commercial View'!$N$2:$N$301,MATCH($A66,'Commercial View'!$A$2:$A$301,0))</f>
        <v>0</v>
      </c>
      <c r="O66" s="9" t="n">
        <f aca="false">INDEX(Segmentation!$L$2:$L$301,MATCH($A66,Segmentation!$A$2:$A$301,0))</f>
        <v>1811</v>
      </c>
      <c r="P66" s="2" t="str">
        <f aca="false">IF(OR(M66&gt;0,N66&gt;0),"Recently Active",IF(OR(I66&lt;=Assumptions!$B$48,K66&lt;=Assumptions!$B$49),"No Meaningful History","Recent Inactivity"))</f>
        <v>Recently Active</v>
      </c>
      <c r="Q66" s="2" t="str">
        <f aca="false">INDEX(Segmentation!$AF$2:$AF$301,MATCH($A66,Segmentation!$A$2:$A$301,0))</f>
        <v>Returned Customer</v>
      </c>
      <c r="R66" s="2" t="str">
        <f aca="false">INDEX(Segmentation!$AL$2:$AL$301,MATCH($A66,Segmentation!$A$2:$A$301,0))</f>
        <v>N/A</v>
      </c>
      <c r="S66" s="10" t="b">
        <f aca="false">INDEX(Segmentation!$AW$2:$AW$301,MATCH($A66,Segmentation!$A$2:$A$301,0))</f>
        <v>1</v>
      </c>
      <c r="T66" s="2" t="str">
        <f aca="false">INDEX('Feature Data'!$AD$2:$AD$301,MATCH($A66,'Feature Data'!$A$2:$A$301,0))</f>
        <v>Independent browser-buyer</v>
      </c>
      <c r="U66" s="2" t="str">
        <f aca="false">INDEX('Feature Data'!$W$2:$W$301,MATCH($A66,'Feature Data'!$A$2:$A$301,0))</f>
        <v>Bundle-only</v>
      </c>
      <c r="V66" s="2" t="n">
        <f aca="false">INDEX('Feature Data'!$P$2:$P$301,MATCH($A66,'Feature Data'!$A$2:$A$301,0))</f>
        <v>675</v>
      </c>
      <c r="W66" s="2" t="n">
        <f aca="false">INDEX(Segmentation!$R$2:$R$301,MATCH($A66,Segmentation!$A$2:$A$301,0))</f>
        <v>55</v>
      </c>
      <c r="X66" s="2" t="n">
        <f aca="false">INDEX(Segmentation!$S$2:$S$301,MATCH($A66,Segmentation!$A$2:$A$301,0))</f>
        <v>4</v>
      </c>
      <c r="Y66" s="10" t="b">
        <f aca="false">INDEX(Segmentation!$AG$2:$AG$301,MATCH($A66,Segmentation!$A$2:$A$301,0))</f>
        <v>0</v>
      </c>
      <c r="Z66" s="2" t="str">
        <f aca="false">INDEX(Segmentation!$AU$2:$AU$301,MATCH($A66,Segmentation!$A$2:$A$301,0))</f>
        <v>Not Eligible</v>
      </c>
      <c r="AA66" s="10" t="b">
        <f aca="false">INDEX(Segmentation!$Z$2:$Z$301,MATCH($A66,Segmentation!$A$2:$A$301,0))</f>
        <v>0</v>
      </c>
      <c r="AB66" s="10" t="b">
        <f aca="false">INDEX(Segmentation!$AH$2:$AH$301,MATCH($A66,Segmentation!$A$2:$A$301,0))</f>
        <v>0</v>
      </c>
      <c r="AC66" s="10" t="b">
        <f aca="false">INDEX(Segmentation!$AK$2:$AK$301,MATCH($A66,Segmentation!$A$2:$A$301,0))</f>
        <v>0</v>
      </c>
      <c r="AD66" s="10" t="b">
        <f aca="false">INDEX(Segmentation!$AQ$2:$AQ$301,MATCH($A66,Segmentation!$A$2:$A$301,0))</f>
        <v>0</v>
      </c>
      <c r="AE66" s="10" t="b">
        <f aca="false">INDEX(Segmentation!$AT$2:$AT$301,MATCH($A66,Segmentation!$A$2:$A$301,0))</f>
        <v>0</v>
      </c>
      <c r="AF66" s="10" t="b">
        <f aca="false">INDEX(Segmentation!$X$2:$X$301,MATCH($A66,Segmentation!$A$2:$A$301,0))</f>
        <v>0</v>
      </c>
      <c r="AG66" s="10" t="b">
        <f aca="false">AND(F66="Low",V66&gt;=Assumptions!$B$71,X66&lt;Assumptions!$B$72)</f>
        <v>0</v>
      </c>
      <c r="AH66" s="10" t="b">
        <f aca="false">AND(F66="Low",OR(G66="Growing",G66="Stable"),P66="Recently Active",V66&gt;=Assumptions!$B$58,K66&gt;=Assumptions!$B$73)</f>
        <v>0</v>
      </c>
      <c r="AI66" s="17" t="n">
        <f aca="false">IF(O66&gt;0,MAX(L66:N66)/O66,"")</f>
        <v>0.637217007178355</v>
      </c>
      <c r="AJ66" s="2" t="str">
        <f aca="false">IF(LEFT(D66,1)="1",IF(E66="Key","MIGRATION_KEY_SIGNOFF",IF(Z66="Ready","MIGRATION_PHASE1_READY",IF(Z66="Manual Review","MIGRATION_PHASE1_REVIEW","MIGRATION_PRE_ENTRY"))),IF(LEFT(D66,1)="2","DECLINING_KEY_CORE",IF(LEFT(D66,1)="3",IF(R66="Established Buyer Lapsed","LAPSED_ESTABLISHED","LAPSED_THIN_HISTORY"),IF(LEFT(D66,1)="4",IF(Q66="New Customer","NEW_CUSTOMER","RETURNED_CUSTOMER"),IF(LEFT(D66,1)="5",IF(P66="Recently Active","COST_TO_SERVE_ACTIVE","DORMANT_LOW_VALUE"),IF(LEFT(D66,1)="6",IF(P66="Recent Inactivity","RECENT_INACTIVITY",IF(AG66,"BROWSING_LOW_OFFERS","HEALTHY_STRONG_SELF_SERVE")),IF(LEFT(D66,1)="7",IF(P66="Recent Inactivity","RECENT_INACTIVITY",IF(Q66="New Customer","NEW_CUSTOMER","RETURNED_CUSTOMER")),IF(LEFT(D66,1)="8",IF(G66="Declining",IF(T66="Engaged but shrinking (Key/Core)","ENGAGED_BUT_SHRINKING","DECLINING_KEY_CORE"),IF(R66="Established Buyer Lapsed","LAPSED_ESTABLISHED","LAPSED_THIN_HISTORY")),IF(S66,IF(P66&lt;&gt;"Recently Active","DORMANT_LOW_VALUE",IF(AG66,"BROWSING_LOW_OFFERS",IF(AH66,"RISING_TAIL","RISING_TAIL_EARLY"))),IF(AND(AG66,P66="Recently Active",OR(G66="Growing",G66="Stable",G66="H2 Active / No H1 GMV"),I66&gt;=Assumptions!$B$74),"BROWSING_LOW_OFFERS","LONG_TAIL_STANDARD"))))))))))</f>
        <v>RISING_TAIL_EARLY</v>
      </c>
      <c r="AK66" s="2" t="str">
        <f aca="false">INDEX('NBA Library'!$B$4:$B$21,MATCH(AJ66,'NBA Library'!$A$4:$A$21,0))</f>
        <v>Automated Nurture</v>
      </c>
      <c r="AL66" s="2" t="str">
        <f aca="false">INDEX('NBA Library'!$C$4:$C$21,MATCH(AJ66,'NBA Library'!$A$4:$A$21,0))</f>
        <v>Automated</v>
      </c>
      <c r="AM66" s="2" t="str">
        <f aca="false">IF(AA66,"HOLD — Critical Data Issue",IF(Y66,"Human Sign-Off Required",IF(Z66="Manual Review","Human Review Required",IF(AND(AL66="Automated",OR(AE66,AND(OR(AK66="Discovery-to-Offer Enablement",AK66="Reinforce Successful Behaviour"),OR(AC66,AB66)))),"Human Review Required",IF(AL66="Human","Ready — Human",IF(AL66="Hybrid","Ready — Hybrid","Ready — Automated"))))))</f>
        <v>Ready — Automated</v>
      </c>
      <c r="AN66" s="2" t="str">
        <f aca="false">IF(AA66,"P0",IF(AND(AJ66="BROWSING_LOW_OFFERS",E66="Tail"),"P3",IF(AND(AM66="Human Review Required",INDEX('NBA Library'!$D$4:$D$21,MATCH(AJ66,'NBA Library'!$A$4:$A$21,0))="P4"),"P3",INDEX('NBA Library'!$D$4:$D$21,MATCH(AJ66,'NBA Library'!$A$4:$A$21,0)))))</f>
        <v>P3</v>
      </c>
      <c r="AO66" s="2" t="str">
        <f aca="false">E66&amp;" "&amp;C66&amp;" account ("&amp;B66&amp;"); "&amp;G66&amp;" momentum; "&amp;P66&amp;"; £"&amp;TEXT(H66,"#,##0")&amp;" 6m GMV. "&amp;INDEX('NBA Library'!$G$4:$G$21,MATCH(AJ66,'NBA Library'!$A$4:$A$21,0))&amp;IF(LEFT(D66,1)="1"," Baseline: "&amp;V66&amp;" PDP views, "&amp;W66&amp;" app days, "&amp;X66&amp;" offers, "&amp;TEXT(J66/I66,"0%")&amp;" of orders self-serve.","")&amp;IF(AA66," Execution on HOLD until the Duplicate status is resolved.","")&amp;IF(Y66," Key account: explicit AM/leadership sign-off required before any migration activity.","")&amp;IF(AE66," Implied broker % from order counts would move this account to a different segment; review before automating.","")</f>
        <v>Tail AM-Owned / Self-Serving account (Account Managed); H2 Active / No H1 GMV momentum; Recently Active; £1,812 6m GMV. Tail account on the Rising Tail watchlist whose buying pattern is not yet established.</v>
      </c>
      <c r="AP66" s="2" t="str">
        <f aca="false">INDEX('NBA Library'!$E$4:$E$21,MATCH(AJ66,'NBA Library'!$A$4:$A$21,0))&amp;IF(AND(AJ66="NEW_CUSTOMER",AG66),"; introduce Make-an-Offer on items already browsed","")</f>
        <v>Repeat purchase in a third month to establish a pattern</v>
      </c>
      <c r="AQ66" s="2" t="str">
        <f aca="false">INDEX('NBA Library'!$F$4:$F$21,MATCH(AJ66,'NBA Library'!$A$4:$A$21,0))</f>
        <v>Order in a new month within 90 days; re-check watchlist next run</v>
      </c>
      <c r="AR66" s="2" t="str">
        <f aca="false">IF(AND(F66="Low",OR(G66="Growing",G66="Stable"),P66="Recently Active",U66&lt;&gt;"Mixed",OR(AK66="Discovery-to-Offer Enablement",AK66="Reinforce Successful Behaviour"),AM66="Ready — Automated",OR(E66&lt;&gt;"Tail",S66)),"Range Expansion Test — trial "&amp;IF(U66="Bundle-only","handpick","bundles")&amp;" (experimental; not proven to lift GMV)","")</f>
        <v/>
      </c>
      <c r="AS66" s="2" t="str">
        <f aca="false">IF(AK66&lt;&gt;"Automated Nurture","",IF(AJ66="DORMANT_LOW_VALUE","Dormant",IF(AJ66="RISING_TAIL_EARLY","Rising tail – early pattern",IF(Q66="New Customer","New customer onboarding",IF(Q66="Returned Customer","Returned customer",IF(G66="Lapsed","Dormant",IF(T66="Engaged, not converting","Engaged, not converting",IF(T66="One-off low-touch buyer","One-off purchaser",IF(T66="Light-touch repeat buyer","Light-touch repeat buyer","Standard long tail")))))))))</f>
        <v>Rising tail – early pattern</v>
      </c>
      <c r="AT66" s="2" t="str">
        <f aca="false">IF(AA66,"CRITICAL_DATA_BLOCKER; ","")&amp;IF(Y66,"KEY_SIGNOFF; ","")&amp;IF(Z66="Manual Review","PHASE1_MANUAL_REVIEW; ","")&amp;IF(AND(LEFT(D66,1)="1",AZ66="Lumpy"),"LUMPY_CADENCE; ","")&amp;IF(AB66,"BORDERLINE_MOMENTUM; ","")&amp;IF(AC66,"FEB_SENSITIVE; ","")&amp;IF(AD66,"MATERIAL_BROKER_INCONSISTENCY"&amp;IF(AE66," (segment would change)","")&amp;"; ","")&amp;IF(AND(I66&gt;=3,O66&gt;0),IF(AI66&gt;=Assumptions!$B$75,"H2_SINGLE_MONTH_SPIKE; ",""),"")&amp;IF(AND(M66&gt;0,N66=0),"NO_FEB_GMV (Feb unconfirmed); ","")&amp;IF(AF66,"LOW_CONFIDENCE; ","")</f>
        <v>NO_FEB_GMV (Feb unconfirmed); </v>
      </c>
      <c r="AU66" s="2" t="str">
        <f aca="false">IF(LEFT(D66,1)="1",V66,"")</f>
        <v/>
      </c>
      <c r="AV66" s="2" t="str">
        <f aca="false">IF(LEFT(D66,1)="1",V66&gt;=Assumptions!$B$58,"")</f>
        <v/>
      </c>
      <c r="AW66" s="2" t="str">
        <f aca="false">IF(LEFT(D66,1)="1",W66,"")</f>
        <v/>
      </c>
      <c r="AX66" s="2" t="str">
        <f aca="false">IF(LEFT(D66,1)="1",X66,"")</f>
        <v/>
      </c>
      <c r="AY66" s="17" t="str">
        <f aca="false">IF(LEFT(D66,1)="1",J66/I66,"")</f>
        <v/>
      </c>
      <c r="AZ66" s="2" t="str">
        <f aca="false">IF(LEFT(D66,1)="1",IF(AND(K66&gt;=Assumptions!$B$83,I66&gt;=Assumptions!$B$84),"Regular","Lumpy"),"")</f>
        <v/>
      </c>
      <c r="BA66" s="2" t="str">
        <f aca="false">IF(LEFT(D66,1)="1",ROUND(6/K66,0),"")</f>
        <v/>
      </c>
      <c r="BB66" s="2" t="str">
        <f aca="false">IF(LEFT(D66,1)="1",IF(AZ66="Regular","Regular buyer: expected ~£"&amp;TEXT(H66/2,"#,##0")&amp;" per 90 days. At Risk if GMV to date &lt; "&amp;TEXT(Assumptions!$B$81,"0%")&amp;" of pro-rated expectation, checked from day "&amp;Assumptions!$B$82&amp;". Human-reviewed.","Irregular buyer ("&amp;I66&amp;" orders across "&amp;K66&amp;" months): no numeric GMV threshold. At Risk if no order within ~"&amp;BA66&amp;" month(s); AM reviews at day "&amp;Assumptions!$B$82&amp;" and "&amp;Assumptions!$B$85&amp;"."),"")</f>
        <v/>
      </c>
      <c r="BC66" s="2"/>
      <c r="BD66" s="2"/>
      <c r="BE66" s="2"/>
      <c r="BF66" s="2"/>
      <c r="BG66" s="2"/>
      <c r="BH66" s="2"/>
      <c r="BI66" s="2"/>
      <c r="BJ66" s="2" t="str">
        <f aca="false">IF(OR(NOT(LEFT(D66,1)="1"),BC66=""),"",IF(AZ66="Regular",AND(BC66&gt;=Assumptions!$B$82,N(BI66)&lt;Assumptions!$B$81*H66/180*BC66),AND(BC66&gt;=BA66*30,N(BG66)=0)))</f>
        <v/>
      </c>
      <c r="BK66" s="2" t="str">
        <f aca="false">IF(NOT(LEFT(D66,1)="1"),"N/A",IF(BC66="","Baseline",IF(BJ66,"At Risk",IF(AND(N(BD66)&gt;=Assumptions!$B$78,N(BE66)&gt;=Assumptions!$B$79,N(BH66)&gt;=1,N(BH66)/MAX(N(BG66),1)&gt;AY66),"Self-Serve Capability Demonstrated",IF(OR(N(BD66)&gt;=Assumptions!$B$76,N(BE66)&gt;=Assumptions!$B$77),"Progressing",IF(BC66&gt;=Assumptions!$B$85,"At Risk","Baseline"))))))</f>
        <v>N/A</v>
      </c>
      <c r="BL66" s="2" t="n">
        <f aca="false">(AND(C66="Broker-Reliant",OR(AK66="Discovery-to-Offer Enablement",AK66="Reinforce Successful Behaviour")))*1+(AND(G66="Declining",E66&lt;&gt;"Tail",AL66="Automated"))*1+(AND(Y66,AM66&lt;&gt;"Human Sign-Off Required"))*1+(AND(AA66,AM66&lt;&gt;"HOLD — Critical Data Issue"))*1+(AND(P66="Recent Inactivity",OR(AK66="Discovery-to-Offer Enablement",AK66="Reinforce Successful Behaviour")))*1+(AND(OR(LEFT(D66,1)="2",LEFT(D66,1)="3",LEFT(D66,1)="8"),AL66="Automated"))*1+((LEFT(D66,1)="1")&lt;&gt;(AK66="Guided Self-Serve Migration"))*1+(AND(AR66&lt;&gt;"",OR(F66&lt;&gt;"Low",U66="Mixed",AND(G66&lt;&gt;"Growing",G66&lt;&gt;"Stable"))))*1+ISNUMBER(SEARCH("chat",AP66))*1+ISNUMBER(SEARCH("video",AP66))*1+(AND(AA66,AL66="Automated",AM66&lt;&gt;"HOLD — Critical Data Issue"))*1</f>
        <v>0</v>
      </c>
    </row>
    <row r="67" customFormat="false" ht="15" hidden="false" customHeight="false" outlineLevel="0" collapsed="false">
      <c r="A67" s="2" t="s">
        <v>574</v>
      </c>
      <c r="B67" s="2" t="str">
        <f aca="false">INDEX(Segmentation!$B$2:$B$301,MATCH($A67,Segmentation!$A$2:$A$301,0))</f>
        <v>Account Managed</v>
      </c>
      <c r="C67" s="2" t="str">
        <f aca="false">INDEX(Segmentation!$H$2:$H$301,MATCH($A67,Segmentation!$A$2:$A$301,0))</f>
        <v>AM-Owned / Self-Serving</v>
      </c>
      <c r="D67" s="2" t="str">
        <f aca="false">INDEX(Segmentation!$T$2:$T$301,MATCH($A67,Segmentation!$A$2:$A$301,0))</f>
        <v>9. Long-Tail Automated Nurture</v>
      </c>
      <c r="E67" s="2" t="str">
        <f aca="false">INDEX(Segmentation!$J$2:$J$301,MATCH($A67,Segmentation!$A$2:$A$301,0))</f>
        <v>Tail</v>
      </c>
      <c r="F67" s="2" t="str">
        <f aca="false">INDEX(Segmentation!$G$2:$G$301,MATCH($A67,Segmentation!$A$2:$A$301,0))</f>
        <v>Low</v>
      </c>
      <c r="G67" s="2" t="str">
        <f aca="false">INDEX(Segmentation!$N$2:$N$301,MATCH($A67,Segmentation!$A$2:$A$301,0))</f>
        <v>Lapsed</v>
      </c>
      <c r="H67" s="9" t="n">
        <f aca="false">INDEX(Segmentation!$I$2:$I$301,MATCH($A67,Segmentation!$A$2:$A$301,0))</f>
        <v>1791</v>
      </c>
      <c r="I67" s="2" t="n">
        <f aca="false">INDEX(Segmentation!$O$2:$O$301,MATCH($A67,Segmentation!$A$2:$A$301,0))</f>
        <v>3</v>
      </c>
      <c r="J67" s="2" t="n">
        <f aca="false">INDEX(Segmentation!$Q$2:$Q$301,MATCH($A67,Segmentation!$A$2:$A$301,0))</f>
        <v>3</v>
      </c>
      <c r="K67" s="2" t="n">
        <f aca="false">INDEX(Segmentation!$W$2:$W$301,MATCH($A67,Segmentation!$A$2:$A$301,0))</f>
        <v>3</v>
      </c>
      <c r="L67" s="9" t="n">
        <f aca="false">INDEX('Commercial View'!$L$2:$L$301,MATCH($A67,'Commercial View'!$A$2:$A$301,0))</f>
        <v>0</v>
      </c>
      <c r="M67" s="9" t="n">
        <f aca="false">INDEX('Commercial View'!$M$2:$M$301,MATCH($A67,'Commercial View'!$A$2:$A$301,0))</f>
        <v>0</v>
      </c>
      <c r="N67" s="9" t="n">
        <f aca="false">INDEX('Commercial View'!$N$2:$N$301,MATCH($A67,'Commercial View'!$A$2:$A$301,0))</f>
        <v>0</v>
      </c>
      <c r="O67" s="9" t="n">
        <f aca="false">INDEX(Segmentation!$L$2:$L$301,MATCH($A67,Segmentation!$A$2:$A$301,0))</f>
        <v>0</v>
      </c>
      <c r="P67" s="2" t="str">
        <f aca="false">IF(OR(M67&gt;0,N67&gt;0),"Recently Active",IF(OR(I67&lt;=Assumptions!$B$48,K67&lt;=Assumptions!$B$49),"No Meaningful History","Recent Inactivity"))</f>
        <v>Recent Inactivity</v>
      </c>
      <c r="Q67" s="2" t="str">
        <f aca="false">INDEX(Segmentation!$AF$2:$AF$301,MATCH($A67,Segmentation!$A$2:$A$301,0))</f>
        <v>Existing Customer</v>
      </c>
      <c r="R67" s="2" t="str">
        <f aca="false">INDEX(Segmentation!$AL$2:$AL$301,MATCH($A67,Segmentation!$A$2:$A$301,0))</f>
        <v>Established Buyer Lapsed</v>
      </c>
      <c r="S67" s="10" t="b">
        <f aca="false">INDEX(Segmentation!$AW$2:$AW$301,MATCH($A67,Segmentation!$A$2:$A$301,0))</f>
        <v>0</v>
      </c>
      <c r="T67" s="2" t="str">
        <f aca="false">INDEX('Feature Data'!$AD$2:$AD$301,MATCH($A67,'Feature Data'!$A$2:$A$301,0))</f>
        <v>Light-touch repeat buyer</v>
      </c>
      <c r="U67" s="2" t="str">
        <f aca="false">INDEX('Feature Data'!$W$2:$W$301,MATCH($A67,'Feature Data'!$A$2:$A$301,0))</f>
        <v>Mixed</v>
      </c>
      <c r="V67" s="2" t="n">
        <f aca="false">INDEX('Feature Data'!$P$2:$P$301,MATCH($A67,'Feature Data'!$A$2:$A$301,0))</f>
        <v>462</v>
      </c>
      <c r="W67" s="2" t="n">
        <f aca="false">INDEX(Segmentation!$R$2:$R$301,MATCH($A67,Segmentation!$A$2:$A$301,0))</f>
        <v>32</v>
      </c>
      <c r="X67" s="2" t="n">
        <f aca="false">INDEX(Segmentation!$S$2:$S$301,MATCH($A67,Segmentation!$A$2:$A$301,0))</f>
        <v>1</v>
      </c>
      <c r="Y67" s="10" t="b">
        <f aca="false">INDEX(Segmentation!$AG$2:$AG$301,MATCH($A67,Segmentation!$A$2:$A$301,0))</f>
        <v>0</v>
      </c>
      <c r="Z67" s="2" t="str">
        <f aca="false">INDEX(Segmentation!$AU$2:$AU$301,MATCH($A67,Segmentation!$A$2:$A$301,0))</f>
        <v>Not Eligible</v>
      </c>
      <c r="AA67" s="10" t="b">
        <f aca="false">INDEX(Segmentation!$Z$2:$Z$301,MATCH($A67,Segmentation!$A$2:$A$301,0))</f>
        <v>0</v>
      </c>
      <c r="AB67" s="10" t="b">
        <f aca="false">INDEX(Segmentation!$AH$2:$AH$301,MATCH($A67,Segmentation!$A$2:$A$301,0))</f>
        <v>0</v>
      </c>
      <c r="AC67" s="10" t="b">
        <f aca="false">INDEX(Segmentation!$AK$2:$AK$301,MATCH($A67,Segmentation!$A$2:$A$301,0))</f>
        <v>0</v>
      </c>
      <c r="AD67" s="10" t="b">
        <f aca="false">INDEX(Segmentation!$AQ$2:$AQ$301,MATCH($A67,Segmentation!$A$2:$A$301,0))</f>
        <v>0</v>
      </c>
      <c r="AE67" s="10" t="b">
        <f aca="false">INDEX(Segmentation!$AT$2:$AT$301,MATCH($A67,Segmentation!$A$2:$A$301,0))</f>
        <v>0</v>
      </c>
      <c r="AF67" s="10" t="b">
        <f aca="false">INDEX(Segmentation!$X$2:$X$301,MATCH($A67,Segmentation!$A$2:$A$301,0))</f>
        <v>0</v>
      </c>
      <c r="AG67" s="10" t="b">
        <f aca="false">AND(F67="Low",V67&gt;=Assumptions!$B$71,X67&lt;Assumptions!$B$72)</f>
        <v>1</v>
      </c>
      <c r="AH67" s="10" t="b">
        <f aca="false">AND(F67="Low",OR(G67="Growing",G67="Stable"),P67="Recently Active",V67&gt;=Assumptions!$B$58,K67&gt;=Assumptions!$B$73)</f>
        <v>0</v>
      </c>
      <c r="AI67" s="17" t="str">
        <f aca="false">IF(O67&gt;0,MAX(L67:N67)/O67,"")</f>
        <v/>
      </c>
      <c r="AJ67" s="2" t="str">
        <f aca="false">IF(LEFT(D67,1)="1",IF(E67="Key","MIGRATION_KEY_SIGNOFF",IF(Z67="Ready","MIGRATION_PHASE1_READY",IF(Z67="Manual Review","MIGRATION_PHASE1_REVIEW","MIGRATION_PRE_ENTRY"))),IF(LEFT(D67,1)="2","DECLINING_KEY_CORE",IF(LEFT(D67,1)="3",IF(R67="Established Buyer Lapsed","LAPSED_ESTABLISHED","LAPSED_THIN_HISTORY"),IF(LEFT(D67,1)="4",IF(Q67="New Customer","NEW_CUSTOMER","RETURNED_CUSTOMER"),IF(LEFT(D67,1)="5",IF(P67="Recently Active","COST_TO_SERVE_ACTIVE","DORMANT_LOW_VALUE"),IF(LEFT(D67,1)="6",IF(P67="Recent Inactivity","RECENT_INACTIVITY",IF(AG67,"BROWSING_LOW_OFFERS","HEALTHY_STRONG_SELF_SERVE")),IF(LEFT(D67,1)="7",IF(P67="Recent Inactivity","RECENT_INACTIVITY",IF(Q67="New Customer","NEW_CUSTOMER","RETURNED_CUSTOMER")),IF(LEFT(D67,1)="8",IF(G67="Declining",IF(T67="Engaged but shrinking (Key/Core)","ENGAGED_BUT_SHRINKING","DECLINING_KEY_CORE"),IF(R67="Established Buyer Lapsed","LAPSED_ESTABLISHED","LAPSED_THIN_HISTORY")),IF(S67,IF(P67&lt;&gt;"Recently Active","DORMANT_LOW_VALUE",IF(AG67,"BROWSING_LOW_OFFERS",IF(AH67,"RISING_TAIL","RISING_TAIL_EARLY"))),IF(AND(AG67,P67="Recently Active",OR(G67="Growing",G67="Stable",G67="H2 Active / No H1 GMV"),I67&gt;=Assumptions!$B$74),"BROWSING_LOW_OFFERS","LONG_TAIL_STANDARD"))))))))))</f>
        <v>LONG_TAIL_STANDARD</v>
      </c>
      <c r="AK67" s="2" t="str">
        <f aca="false">INDEX('NBA Library'!$B$4:$B$21,MATCH(AJ67,'NBA Library'!$A$4:$A$21,0))</f>
        <v>Automated Nurture</v>
      </c>
      <c r="AL67" s="2" t="str">
        <f aca="false">INDEX('NBA Library'!$C$4:$C$21,MATCH(AJ67,'NBA Library'!$A$4:$A$21,0))</f>
        <v>Automated</v>
      </c>
      <c r="AM67" s="2" t="str">
        <f aca="false">IF(AA67,"HOLD — Critical Data Issue",IF(Y67,"Human Sign-Off Required",IF(Z67="Manual Review","Human Review Required",IF(AND(AL67="Automated",OR(AE67,AND(OR(AK67="Discovery-to-Offer Enablement",AK67="Reinforce Successful Behaviour"),OR(AC67,AB67)))),"Human Review Required",IF(AL67="Human","Ready — Human",IF(AL67="Hybrid","Ready — Hybrid","Ready — Automated"))))))</f>
        <v>Ready — Automated</v>
      </c>
      <c r="AN67" s="2" t="str">
        <f aca="false">IF(AA67,"P0",IF(AND(AJ67="BROWSING_LOW_OFFERS",E67="Tail"),"P3",IF(AND(AM67="Human Review Required",INDEX('NBA Library'!$D$4:$D$21,MATCH(AJ67,'NBA Library'!$A$4:$A$21,0))="P4"),"P3",INDEX('NBA Library'!$D$4:$D$21,MATCH(AJ67,'NBA Library'!$A$4:$A$21,0)))))</f>
        <v>P4</v>
      </c>
      <c r="AO67" s="2" t="str">
        <f aca="false">E67&amp;" "&amp;C67&amp;" account ("&amp;B67&amp;"); "&amp;G67&amp;" momentum; "&amp;P67&amp;"; £"&amp;TEXT(H67,"#,##0")&amp;" 6m GMV. "&amp;INDEX('NBA Library'!$G$4:$G$21,MATCH(AJ67,'NBA Library'!$A$4:$A$21,0))&amp;IF(LEFT(D67,1)="1"," Baseline: "&amp;V67&amp;" PDP views, "&amp;W67&amp;" app days, "&amp;X67&amp;" offers, "&amp;TEXT(J67/I67,"0%")&amp;" of orders self-serve.","")&amp;IF(AA67," Execution on HOLD until the Duplicate status is resolved.","")&amp;IF(Y67," Key account: explicit AM/leadership sign-off required before any migration activity.","")&amp;IF(AE67," Implied broker % from order counts would move this account to a different segment; review before automating.","")</f>
        <v>Tail AM-Owned / Self-Serving account (Account Managed); Lapsed momentum; Recent Inactivity; £1,791 6m GMV. Low-value, low-dependency account. Scalable automated engagement.</v>
      </c>
      <c r="AP67" s="2" t="str">
        <f aca="false">INDEX('NBA Library'!$E$4:$E$21,MATCH(AJ67,'NBA Library'!$A$4:$A$21,0))&amp;IF(AND(AJ67="NEW_CUSTOMER",AG67),"; introduce Make-an-Offer on items already browsed","")</f>
        <v>Scalable automated engagement matched to nurture sub-context</v>
      </c>
      <c r="AQ67" s="2" t="str">
        <f aca="false">INDEX('NBA Library'!$F$4:$F$21,MATCH(AJ67,'NBA Library'!$A$4:$A$21,0))</f>
        <v>Any repeat order within 90 days</v>
      </c>
      <c r="AR67" s="2" t="str">
        <f aca="false">IF(AND(F67="Low",OR(G67="Growing",G67="Stable"),P67="Recently Active",U67&lt;&gt;"Mixed",OR(AK67="Discovery-to-Offer Enablement",AK67="Reinforce Successful Behaviour"),AM67="Ready — Automated",OR(E67&lt;&gt;"Tail",S67)),"Range Expansion Test — trial "&amp;IF(U67="Bundle-only","handpick","bundles")&amp;" (experimental; not proven to lift GMV)","")</f>
        <v/>
      </c>
      <c r="AS67" s="2" t="str">
        <f aca="false">IF(AK67&lt;&gt;"Automated Nurture","",IF(AJ67="DORMANT_LOW_VALUE","Dormant",IF(AJ67="RISING_TAIL_EARLY","Rising tail – early pattern",IF(Q67="New Customer","New customer onboarding",IF(Q67="Returned Customer","Returned customer",IF(G67="Lapsed","Dormant",IF(T67="Engaged, not converting","Engaged, not converting",IF(T67="One-off low-touch buyer","One-off purchaser",IF(T67="Light-touch repeat buyer","Light-touch repeat buyer","Standard long tail")))))))))</f>
        <v>Dormant</v>
      </c>
      <c r="AT67" s="2" t="str">
        <f aca="false">IF(AA67,"CRITICAL_DATA_BLOCKER; ","")&amp;IF(Y67,"KEY_SIGNOFF; ","")&amp;IF(Z67="Manual Review","PHASE1_MANUAL_REVIEW; ","")&amp;IF(AND(LEFT(D67,1)="1",AZ67="Lumpy"),"LUMPY_CADENCE; ","")&amp;IF(AB67,"BORDERLINE_MOMENTUM; ","")&amp;IF(AC67,"FEB_SENSITIVE; ","")&amp;IF(AD67,"MATERIAL_BROKER_INCONSISTENCY"&amp;IF(AE67," (segment would change)","")&amp;"; ","")&amp;IF(AND(I67&gt;=3,O67&gt;0),IF(AI67&gt;=Assumptions!$B$75,"H2_SINGLE_MONTH_SPIKE; ",""),"")&amp;IF(AND(M67&gt;0,N67=0),"NO_FEB_GMV (Feb unconfirmed); ","")&amp;IF(AF67,"LOW_CONFIDENCE; ","")</f>
        <v/>
      </c>
      <c r="AU67" s="2" t="str">
        <f aca="false">IF(LEFT(D67,1)="1",V67,"")</f>
        <v/>
      </c>
      <c r="AV67" s="2" t="str">
        <f aca="false">IF(LEFT(D67,1)="1",V67&gt;=Assumptions!$B$58,"")</f>
        <v/>
      </c>
      <c r="AW67" s="2" t="str">
        <f aca="false">IF(LEFT(D67,1)="1",W67,"")</f>
        <v/>
      </c>
      <c r="AX67" s="2" t="str">
        <f aca="false">IF(LEFT(D67,1)="1",X67,"")</f>
        <v/>
      </c>
      <c r="AY67" s="17" t="str">
        <f aca="false">IF(LEFT(D67,1)="1",J67/I67,"")</f>
        <v/>
      </c>
      <c r="AZ67" s="2" t="str">
        <f aca="false">IF(LEFT(D67,1)="1",IF(AND(K67&gt;=Assumptions!$B$83,I67&gt;=Assumptions!$B$84),"Regular","Lumpy"),"")</f>
        <v/>
      </c>
      <c r="BA67" s="2" t="str">
        <f aca="false">IF(LEFT(D67,1)="1",ROUND(6/K67,0),"")</f>
        <v/>
      </c>
      <c r="BB67" s="2" t="str">
        <f aca="false">IF(LEFT(D67,1)="1",IF(AZ67="Regular","Regular buyer: expected ~£"&amp;TEXT(H67/2,"#,##0")&amp;" per 90 days. At Risk if GMV to date &lt; "&amp;TEXT(Assumptions!$B$81,"0%")&amp;" of pro-rated expectation, checked from day "&amp;Assumptions!$B$82&amp;". Human-reviewed.","Irregular buyer ("&amp;I67&amp;" orders across "&amp;K67&amp;" months): no numeric GMV threshold. At Risk if no order within ~"&amp;BA67&amp;" month(s); AM reviews at day "&amp;Assumptions!$B$82&amp;" and "&amp;Assumptions!$B$85&amp;"."),"")</f>
        <v/>
      </c>
      <c r="BC67" s="2"/>
      <c r="BD67" s="2"/>
      <c r="BE67" s="2"/>
      <c r="BF67" s="2"/>
      <c r="BG67" s="2"/>
      <c r="BH67" s="2"/>
      <c r="BI67" s="2"/>
      <c r="BJ67" s="2" t="str">
        <f aca="false">IF(OR(NOT(LEFT(D67,1)="1"),BC67=""),"",IF(AZ67="Regular",AND(BC67&gt;=Assumptions!$B$82,N(BI67)&lt;Assumptions!$B$81*H67/180*BC67),AND(BC67&gt;=BA67*30,N(BG67)=0)))</f>
        <v/>
      </c>
      <c r="BK67" s="2" t="str">
        <f aca="false">IF(NOT(LEFT(D67,1)="1"),"N/A",IF(BC67="","Baseline",IF(BJ67,"At Risk",IF(AND(N(BD67)&gt;=Assumptions!$B$78,N(BE67)&gt;=Assumptions!$B$79,N(BH67)&gt;=1,N(BH67)/MAX(N(BG67),1)&gt;AY67),"Self-Serve Capability Demonstrated",IF(OR(N(BD67)&gt;=Assumptions!$B$76,N(BE67)&gt;=Assumptions!$B$77),"Progressing",IF(BC67&gt;=Assumptions!$B$85,"At Risk","Baseline"))))))</f>
        <v>N/A</v>
      </c>
      <c r="BL67" s="2" t="n">
        <f aca="false">(AND(C67="Broker-Reliant",OR(AK67="Discovery-to-Offer Enablement",AK67="Reinforce Successful Behaviour")))*1+(AND(G67="Declining",E67&lt;&gt;"Tail",AL67="Automated"))*1+(AND(Y67,AM67&lt;&gt;"Human Sign-Off Required"))*1+(AND(AA67,AM67&lt;&gt;"HOLD — Critical Data Issue"))*1+(AND(P67="Recent Inactivity",OR(AK67="Discovery-to-Offer Enablement",AK67="Reinforce Successful Behaviour")))*1+(AND(OR(LEFT(D67,1)="2",LEFT(D67,1)="3",LEFT(D67,1)="8"),AL67="Automated"))*1+((LEFT(D67,1)="1")&lt;&gt;(AK67="Guided Self-Serve Migration"))*1+(AND(AR67&lt;&gt;"",OR(F67&lt;&gt;"Low",U67="Mixed",AND(G67&lt;&gt;"Growing",G67&lt;&gt;"Stable"))))*1+ISNUMBER(SEARCH("chat",AP67))*1+ISNUMBER(SEARCH("video",AP67))*1+(AND(AA67,AL67="Automated",AM67&lt;&gt;"HOLD — Critical Data Issue"))*1</f>
        <v>0</v>
      </c>
    </row>
    <row r="68" customFormat="false" ht="15" hidden="false" customHeight="false" outlineLevel="0" collapsed="false">
      <c r="A68" s="2" t="s">
        <v>504</v>
      </c>
      <c r="B68" s="2" t="str">
        <f aca="false">INDEX(Segmentation!$B$2:$B$301,MATCH($A68,Segmentation!$A$2:$A$301,0))</f>
        <v>Account Managed</v>
      </c>
      <c r="C68" s="2" t="str">
        <f aca="false">INDEX(Segmentation!$H$2:$H$301,MATCH($A68,Segmentation!$A$2:$A$301,0))</f>
        <v>Broker-Reliant</v>
      </c>
      <c r="D68" s="2" t="str">
        <f aca="false">INDEX(Segmentation!$T$2:$T$301,MATCH($A68,Segmentation!$A$2:$A$301,0))</f>
        <v>5. Cost-to-Serve / Low-Touch</v>
      </c>
      <c r="E68" s="2" t="str">
        <f aca="false">INDEX(Segmentation!$J$2:$J$301,MATCH($A68,Segmentation!$A$2:$A$301,0))</f>
        <v>Tail</v>
      </c>
      <c r="F68" s="2" t="str">
        <f aca="false">INDEX(Segmentation!$G$2:$G$301,MATCH($A68,Segmentation!$A$2:$A$301,0))</f>
        <v>High</v>
      </c>
      <c r="G68" s="2" t="str">
        <f aca="false">INDEX(Segmentation!$N$2:$N$301,MATCH($A68,Segmentation!$A$2:$A$301,0))</f>
        <v>Growing</v>
      </c>
      <c r="H68" s="9" t="n">
        <f aca="false">INDEX(Segmentation!$I$2:$I$301,MATCH($A68,Segmentation!$A$2:$A$301,0))</f>
        <v>1759</v>
      </c>
      <c r="I68" s="2" t="n">
        <f aca="false">INDEX(Segmentation!$O$2:$O$301,MATCH($A68,Segmentation!$A$2:$A$301,0))</f>
        <v>9</v>
      </c>
      <c r="J68" s="2" t="n">
        <f aca="false">INDEX(Segmentation!$Q$2:$Q$301,MATCH($A68,Segmentation!$A$2:$A$301,0))</f>
        <v>3</v>
      </c>
      <c r="K68" s="2" t="n">
        <f aca="false">INDEX(Segmentation!$W$2:$W$301,MATCH($A68,Segmentation!$A$2:$A$301,0))</f>
        <v>5</v>
      </c>
      <c r="L68" s="9" t="n">
        <f aca="false">INDEX('Commercial View'!$L$2:$L$301,MATCH($A68,'Commercial View'!$A$2:$A$301,0))</f>
        <v>368</v>
      </c>
      <c r="M68" s="9" t="n">
        <f aca="false">INDEX('Commercial View'!$M$2:$M$301,MATCH($A68,'Commercial View'!$A$2:$A$301,0))</f>
        <v>548</v>
      </c>
      <c r="N68" s="9" t="n">
        <f aca="false">INDEX('Commercial View'!$N$2:$N$301,MATCH($A68,'Commercial View'!$A$2:$A$301,0))</f>
        <v>188</v>
      </c>
      <c r="O68" s="9" t="n">
        <f aca="false">INDEX(Segmentation!$L$2:$L$301,MATCH($A68,Segmentation!$A$2:$A$301,0))</f>
        <v>1104</v>
      </c>
      <c r="P68" s="2" t="str">
        <f aca="false">IF(OR(M68&gt;0,N68&gt;0),"Recently Active",IF(OR(I68&lt;=Assumptions!$B$48,K68&lt;=Assumptions!$B$49),"No Meaningful History","Recent Inactivity"))</f>
        <v>Recently Active</v>
      </c>
      <c r="Q68" s="2" t="str">
        <f aca="false">INDEX(Segmentation!$AF$2:$AF$301,MATCH($A68,Segmentation!$A$2:$A$301,0))</f>
        <v>Existing Customer</v>
      </c>
      <c r="R68" s="2" t="str">
        <f aca="false">INDEX(Segmentation!$AL$2:$AL$301,MATCH($A68,Segmentation!$A$2:$A$301,0))</f>
        <v>N/A</v>
      </c>
      <c r="S68" s="10" t="b">
        <f aca="false">INDEX(Segmentation!$AW$2:$AW$301,MATCH($A68,Segmentation!$A$2:$A$301,0))</f>
        <v>0</v>
      </c>
      <c r="T68" s="2" t="str">
        <f aca="false">INDEX('Feature Data'!$AD$2:$AD$301,MATCH($A68,'Feature Data'!$A$2:$A$301,0))</f>
        <v>Broker-led, product-blind</v>
      </c>
      <c r="U68" s="2" t="str">
        <f aca="false">INDEX('Feature Data'!$W$2:$W$301,MATCH($A68,'Feature Data'!$A$2:$A$301,0))</f>
        <v>Mixed</v>
      </c>
      <c r="V68" s="2" t="n">
        <f aca="false">INDEX('Feature Data'!$P$2:$P$301,MATCH($A68,'Feature Data'!$A$2:$A$301,0))</f>
        <v>7</v>
      </c>
      <c r="W68" s="2" t="n">
        <f aca="false">INDEX(Segmentation!$R$2:$R$301,MATCH($A68,Segmentation!$A$2:$A$301,0))</f>
        <v>2</v>
      </c>
      <c r="X68" s="2" t="n">
        <f aca="false">INDEX(Segmentation!$S$2:$S$301,MATCH($A68,Segmentation!$A$2:$A$301,0))</f>
        <v>2</v>
      </c>
      <c r="Y68" s="10" t="b">
        <f aca="false">INDEX(Segmentation!$AG$2:$AG$301,MATCH($A68,Segmentation!$A$2:$A$301,0))</f>
        <v>0</v>
      </c>
      <c r="Z68" s="2" t="str">
        <f aca="false">INDEX(Segmentation!$AU$2:$AU$301,MATCH($A68,Segmentation!$A$2:$A$301,0))</f>
        <v>Not Eligible</v>
      </c>
      <c r="AA68" s="10" t="b">
        <f aca="false">INDEX(Segmentation!$Z$2:$Z$301,MATCH($A68,Segmentation!$A$2:$A$301,0))</f>
        <v>0</v>
      </c>
      <c r="AB68" s="10" t="b">
        <f aca="false">INDEX(Segmentation!$AH$2:$AH$301,MATCH($A68,Segmentation!$A$2:$A$301,0))</f>
        <v>0</v>
      </c>
      <c r="AC68" s="10" t="b">
        <f aca="false">INDEX(Segmentation!$AK$2:$AK$301,MATCH($A68,Segmentation!$A$2:$A$301,0))</f>
        <v>0</v>
      </c>
      <c r="AD68" s="10" t="b">
        <f aca="false">INDEX(Segmentation!$AQ$2:$AQ$301,MATCH($A68,Segmentation!$A$2:$A$301,0))</f>
        <v>0</v>
      </c>
      <c r="AE68" s="10" t="b">
        <f aca="false">INDEX(Segmentation!$AT$2:$AT$301,MATCH($A68,Segmentation!$A$2:$A$301,0))</f>
        <v>0</v>
      </c>
      <c r="AF68" s="10" t="b">
        <f aca="false">INDEX(Segmentation!$X$2:$X$301,MATCH($A68,Segmentation!$A$2:$A$301,0))</f>
        <v>0</v>
      </c>
      <c r="AG68" s="10" t="b">
        <f aca="false">AND(F68="Low",V68&gt;=Assumptions!$B$71,X68&lt;Assumptions!$B$72)</f>
        <v>0</v>
      </c>
      <c r="AH68" s="10" t="b">
        <f aca="false">AND(F68="Low",OR(G68="Growing",G68="Stable"),P68="Recently Active",V68&gt;=Assumptions!$B$58,K68&gt;=Assumptions!$B$73)</f>
        <v>0</v>
      </c>
      <c r="AI68" s="17" t="n">
        <f aca="false">IF(O68&gt;0,MAX(L68:N68)/O68,"")</f>
        <v>0.496376811594203</v>
      </c>
      <c r="AJ68" s="2" t="str">
        <f aca="false">IF(LEFT(D68,1)="1",IF(E68="Key","MIGRATION_KEY_SIGNOFF",IF(Z68="Ready","MIGRATION_PHASE1_READY",IF(Z68="Manual Review","MIGRATION_PHASE1_REVIEW","MIGRATION_PRE_ENTRY"))),IF(LEFT(D68,1)="2","DECLINING_KEY_CORE",IF(LEFT(D68,1)="3",IF(R68="Established Buyer Lapsed","LAPSED_ESTABLISHED","LAPSED_THIN_HISTORY"),IF(LEFT(D68,1)="4",IF(Q68="New Customer","NEW_CUSTOMER","RETURNED_CUSTOMER"),IF(LEFT(D68,1)="5",IF(P68="Recently Active","COST_TO_SERVE_ACTIVE","DORMANT_LOW_VALUE"),IF(LEFT(D68,1)="6",IF(P68="Recent Inactivity","RECENT_INACTIVITY",IF(AG68,"BROWSING_LOW_OFFERS","HEALTHY_STRONG_SELF_SERVE")),IF(LEFT(D68,1)="7",IF(P68="Recent Inactivity","RECENT_INACTIVITY",IF(Q68="New Customer","NEW_CUSTOMER","RETURNED_CUSTOMER")),IF(LEFT(D68,1)="8",IF(G68="Declining",IF(T68="Engaged but shrinking (Key/Core)","ENGAGED_BUT_SHRINKING","DECLINING_KEY_CORE"),IF(R68="Established Buyer Lapsed","LAPSED_ESTABLISHED","LAPSED_THIN_HISTORY")),IF(S68,IF(P68&lt;&gt;"Recently Active","DORMANT_LOW_VALUE",IF(AG68,"BROWSING_LOW_OFFERS",IF(AH68,"RISING_TAIL","RISING_TAIL_EARLY"))),IF(AND(AG68,P68="Recently Active",OR(G68="Growing",G68="Stable",G68="H2 Active / No H1 GMV"),I68&gt;=Assumptions!$B$74),"BROWSING_LOW_OFFERS","LONG_TAIL_STANDARD"))))))))))</f>
        <v>COST_TO_SERVE_ACTIVE</v>
      </c>
      <c r="AK68" s="2" t="str">
        <f aca="false">INDEX('NBA Library'!$B$4:$B$21,MATCH(AJ68,'NBA Library'!$A$4:$A$21,0))</f>
        <v>Service Model Review</v>
      </c>
      <c r="AL68" s="2" t="str">
        <f aca="false">INDEX('NBA Library'!$C$4:$C$21,MATCH(AJ68,'NBA Library'!$A$4:$A$21,0))</f>
        <v>Human</v>
      </c>
      <c r="AM68" s="2" t="str">
        <f aca="false">IF(AA68,"HOLD — Critical Data Issue",IF(Y68,"Human Sign-Off Required",IF(Z68="Manual Review","Human Review Required",IF(AND(AL68="Automated",OR(AE68,AND(OR(AK68="Discovery-to-Offer Enablement",AK68="Reinforce Successful Behaviour"),OR(AC68,AB68)))),"Human Review Required",IF(AL68="Human","Ready — Human",IF(AL68="Hybrid","Ready — Hybrid","Ready — Automated"))))))</f>
        <v>Ready — Human</v>
      </c>
      <c r="AN68" s="2" t="str">
        <f aca="false">IF(AA68,"P0",IF(AND(AJ68="BROWSING_LOW_OFFERS",E68="Tail"),"P3",IF(AND(AM68="Human Review Required",INDEX('NBA Library'!$D$4:$D$21,MATCH(AJ68,'NBA Library'!$A$4:$A$21,0))="P4"),"P3",INDEX('NBA Library'!$D$4:$D$21,MATCH(AJ68,'NBA Library'!$A$4:$A$21,0)))))</f>
        <v>P3</v>
      </c>
      <c r="AO68" s="2" t="str">
        <f aca="false">E68&amp;" "&amp;C68&amp;" account ("&amp;B68&amp;"); "&amp;G68&amp;" momentum; "&amp;P68&amp;"; £"&amp;TEXT(H68,"#,##0")&amp;" 6m GMV. "&amp;INDEX('NBA Library'!$G$4:$G$21,MATCH(AJ68,'NBA Library'!$A$4:$A$21,0))&amp;IF(LEFT(D68,1)="1"," Baseline: "&amp;V68&amp;" PDP views, "&amp;W68&amp;" app days, "&amp;X68&amp;" offers, "&amp;TEXT(J68/I68,"0%")&amp;" of orders self-serve.","")&amp;IF(AA68," Execution on HOLD until the Duplicate status is resolved.","")&amp;IF(Y68," Key account: explicit AM/leadership sign-off required before any migration activity.","")&amp;IF(AE68," Implied broker % from order counts would move this account to a different segment; review before automating.","")</f>
        <v>Tail Broker-Reliant account (Account Managed); Growing momentum; Recently Active; £1,759 6m GMV. Broker-reliant but low value and still buying. Decide whether continued AM/broker effort is justified.</v>
      </c>
      <c r="AP68" s="2" t="str">
        <f aca="false">INDEX('NBA Library'!$E$4:$E$21,MATCH(AJ68,'NBA Library'!$A$4:$A$21,0))&amp;IF(AND(AJ68="NEW_CUSTOMER",AG68),"; introduce Make-an-Offer on items already browsed","")</f>
        <v>Internal decision: keep AM coverage, move to low-touch, or automate re-ordering</v>
      </c>
      <c r="AQ68" s="2" t="str">
        <f aca="false">INDEX('NBA Library'!$F$4:$F$21,MATCH(AJ68,'NBA Library'!$A$4:$A$21,0))</f>
        <v>Decision logged; broker effort reduced without GMV loss</v>
      </c>
      <c r="AR68" s="2" t="str">
        <f aca="false">IF(AND(F68="Low",OR(G68="Growing",G68="Stable"),P68="Recently Active",U68&lt;&gt;"Mixed",OR(AK68="Discovery-to-Offer Enablement",AK68="Reinforce Successful Behaviour"),AM68="Ready — Automated",OR(E68&lt;&gt;"Tail",S68)),"Range Expansion Test — trial "&amp;IF(U68="Bundle-only","handpick","bundles")&amp;" (experimental; not proven to lift GMV)","")</f>
        <v/>
      </c>
      <c r="AS68" s="2" t="str">
        <f aca="false">IF(AK68&lt;&gt;"Automated Nurture","",IF(AJ68="DORMANT_LOW_VALUE","Dormant",IF(AJ68="RISING_TAIL_EARLY","Rising tail – early pattern",IF(Q68="New Customer","New customer onboarding",IF(Q68="Returned Customer","Returned customer",IF(G68="Lapsed","Dormant",IF(T68="Engaged, not converting","Engaged, not converting",IF(T68="One-off low-touch buyer","One-off purchaser",IF(T68="Light-touch repeat buyer","Light-touch repeat buyer","Standard long tail")))))))))</f>
        <v/>
      </c>
      <c r="AT68" s="2" t="str">
        <f aca="false">IF(AA68,"CRITICAL_DATA_BLOCKER; ","")&amp;IF(Y68,"KEY_SIGNOFF; ","")&amp;IF(Z68="Manual Review","PHASE1_MANUAL_REVIEW; ","")&amp;IF(AND(LEFT(D68,1)="1",AZ68="Lumpy"),"LUMPY_CADENCE; ","")&amp;IF(AB68,"BORDERLINE_MOMENTUM; ","")&amp;IF(AC68,"FEB_SENSITIVE; ","")&amp;IF(AD68,"MATERIAL_BROKER_INCONSISTENCY"&amp;IF(AE68," (segment would change)","")&amp;"; ","")&amp;IF(AND(I68&gt;=3,O68&gt;0),IF(AI68&gt;=Assumptions!$B$75,"H2_SINGLE_MONTH_SPIKE; ",""),"")&amp;IF(AND(M68&gt;0,N68=0),"NO_FEB_GMV (Feb unconfirmed); ","")&amp;IF(AF68,"LOW_CONFIDENCE; ","")</f>
        <v/>
      </c>
      <c r="AU68" s="2" t="str">
        <f aca="false">IF(LEFT(D68,1)="1",V68,"")</f>
        <v/>
      </c>
      <c r="AV68" s="2" t="str">
        <f aca="false">IF(LEFT(D68,1)="1",V68&gt;=Assumptions!$B$58,"")</f>
        <v/>
      </c>
      <c r="AW68" s="2" t="str">
        <f aca="false">IF(LEFT(D68,1)="1",W68,"")</f>
        <v/>
      </c>
      <c r="AX68" s="2" t="str">
        <f aca="false">IF(LEFT(D68,1)="1",X68,"")</f>
        <v/>
      </c>
      <c r="AY68" s="17" t="str">
        <f aca="false">IF(LEFT(D68,1)="1",J68/I68,"")</f>
        <v/>
      </c>
      <c r="AZ68" s="2" t="str">
        <f aca="false">IF(LEFT(D68,1)="1",IF(AND(K68&gt;=Assumptions!$B$83,I68&gt;=Assumptions!$B$84),"Regular","Lumpy"),"")</f>
        <v/>
      </c>
      <c r="BA68" s="2" t="str">
        <f aca="false">IF(LEFT(D68,1)="1",ROUND(6/K68,0),"")</f>
        <v/>
      </c>
      <c r="BB68" s="2" t="str">
        <f aca="false">IF(LEFT(D68,1)="1",IF(AZ68="Regular","Regular buyer: expected ~£"&amp;TEXT(H68/2,"#,##0")&amp;" per 90 days. At Risk if GMV to date &lt; "&amp;TEXT(Assumptions!$B$81,"0%")&amp;" of pro-rated expectation, checked from day "&amp;Assumptions!$B$82&amp;". Human-reviewed.","Irregular buyer ("&amp;I68&amp;" orders across "&amp;K68&amp;" months): no numeric GMV threshold. At Risk if no order within ~"&amp;BA68&amp;" month(s); AM reviews at day "&amp;Assumptions!$B$82&amp;" and "&amp;Assumptions!$B$85&amp;"."),"")</f>
        <v/>
      </c>
      <c r="BC68" s="2"/>
      <c r="BD68" s="2"/>
      <c r="BE68" s="2"/>
      <c r="BF68" s="2"/>
      <c r="BG68" s="2"/>
      <c r="BH68" s="2"/>
      <c r="BI68" s="2"/>
      <c r="BJ68" s="2" t="str">
        <f aca="false">IF(OR(NOT(LEFT(D68,1)="1"),BC68=""),"",IF(AZ68="Regular",AND(BC68&gt;=Assumptions!$B$82,N(BI68)&lt;Assumptions!$B$81*H68/180*BC68),AND(BC68&gt;=BA68*30,N(BG68)=0)))</f>
        <v/>
      </c>
      <c r="BK68" s="2" t="str">
        <f aca="false">IF(NOT(LEFT(D68,1)="1"),"N/A",IF(BC68="","Baseline",IF(BJ68,"At Risk",IF(AND(N(BD68)&gt;=Assumptions!$B$78,N(BE68)&gt;=Assumptions!$B$79,N(BH68)&gt;=1,N(BH68)/MAX(N(BG68),1)&gt;AY68),"Self-Serve Capability Demonstrated",IF(OR(N(BD68)&gt;=Assumptions!$B$76,N(BE68)&gt;=Assumptions!$B$77),"Progressing",IF(BC68&gt;=Assumptions!$B$85,"At Risk","Baseline"))))))</f>
        <v>N/A</v>
      </c>
      <c r="BL68" s="2" t="n">
        <f aca="false">(AND(C68="Broker-Reliant",OR(AK68="Discovery-to-Offer Enablement",AK68="Reinforce Successful Behaviour")))*1+(AND(G68="Declining",E68&lt;&gt;"Tail",AL68="Automated"))*1+(AND(Y68,AM68&lt;&gt;"Human Sign-Off Required"))*1+(AND(AA68,AM68&lt;&gt;"HOLD — Critical Data Issue"))*1+(AND(P68="Recent Inactivity",OR(AK68="Discovery-to-Offer Enablement",AK68="Reinforce Successful Behaviour")))*1+(AND(OR(LEFT(D68,1)="2",LEFT(D68,1)="3",LEFT(D68,1)="8"),AL68="Automated"))*1+((LEFT(D68,1)="1")&lt;&gt;(AK68="Guided Self-Serve Migration"))*1+(AND(AR68&lt;&gt;"",OR(F68&lt;&gt;"Low",U68="Mixed",AND(G68&lt;&gt;"Growing",G68&lt;&gt;"Stable"))))*1+ISNUMBER(SEARCH("chat",AP68))*1+ISNUMBER(SEARCH("video",AP68))*1+(AND(AA68,AL68="Automated",AM68&lt;&gt;"HOLD — Critical Data Issue"))*1</f>
        <v>0</v>
      </c>
    </row>
    <row r="69" customFormat="false" ht="15" hidden="false" customHeight="false" outlineLevel="0" collapsed="false">
      <c r="A69" s="2" t="s">
        <v>507</v>
      </c>
      <c r="B69" s="2" t="str">
        <f aca="false">INDEX(Segmentation!$B$2:$B$301,MATCH($A69,Segmentation!$A$2:$A$301,0))</f>
        <v>Account Managed</v>
      </c>
      <c r="C69" s="2" t="str">
        <f aca="false">INDEX(Segmentation!$H$2:$H$301,MATCH($A69,Segmentation!$A$2:$A$301,0))</f>
        <v>AM-Owned / Self-Serving</v>
      </c>
      <c r="D69" s="2" t="str">
        <f aca="false">INDEX(Segmentation!$T$2:$T$301,MATCH($A69,Segmentation!$A$2:$A$301,0))</f>
        <v>9. Long-Tail Automated Nurture</v>
      </c>
      <c r="E69" s="2" t="str">
        <f aca="false">INDEX(Segmentation!$J$2:$J$301,MATCH($A69,Segmentation!$A$2:$A$301,0))</f>
        <v>Tail</v>
      </c>
      <c r="F69" s="2" t="str">
        <f aca="false">INDEX(Segmentation!$G$2:$G$301,MATCH($A69,Segmentation!$A$2:$A$301,0))</f>
        <v>Low</v>
      </c>
      <c r="G69" s="2" t="str">
        <f aca="false">INDEX(Segmentation!$N$2:$N$301,MATCH($A69,Segmentation!$A$2:$A$301,0))</f>
        <v>Growing</v>
      </c>
      <c r="H69" s="9" t="n">
        <f aca="false">INDEX(Segmentation!$I$2:$I$301,MATCH($A69,Segmentation!$A$2:$A$301,0))</f>
        <v>1706</v>
      </c>
      <c r="I69" s="2" t="n">
        <f aca="false">INDEX(Segmentation!$O$2:$O$301,MATCH($A69,Segmentation!$A$2:$A$301,0))</f>
        <v>5</v>
      </c>
      <c r="J69" s="2" t="n">
        <f aca="false">INDEX(Segmentation!$Q$2:$Q$301,MATCH($A69,Segmentation!$A$2:$A$301,0))</f>
        <v>5</v>
      </c>
      <c r="K69" s="2" t="n">
        <f aca="false">INDEX(Segmentation!$W$2:$W$301,MATCH($A69,Segmentation!$A$2:$A$301,0))</f>
        <v>3</v>
      </c>
      <c r="L69" s="9" t="n">
        <f aca="false">INDEX('Commercial View'!$L$2:$L$301,MATCH($A69,'Commercial View'!$A$2:$A$301,0))</f>
        <v>563</v>
      </c>
      <c r="M69" s="9" t="n">
        <f aca="false">INDEX('Commercial View'!$M$2:$M$301,MATCH($A69,'Commercial View'!$A$2:$A$301,0))</f>
        <v>0</v>
      </c>
      <c r="N69" s="9" t="n">
        <f aca="false">INDEX('Commercial View'!$N$2:$N$301,MATCH($A69,'Commercial View'!$A$2:$A$301,0))</f>
        <v>792</v>
      </c>
      <c r="O69" s="9" t="n">
        <f aca="false">INDEX(Segmentation!$L$2:$L$301,MATCH($A69,Segmentation!$A$2:$A$301,0))</f>
        <v>1355</v>
      </c>
      <c r="P69" s="2" t="str">
        <f aca="false">IF(OR(M69&gt;0,N69&gt;0),"Recently Active",IF(OR(I69&lt;=Assumptions!$B$48,K69&lt;=Assumptions!$B$49),"No Meaningful History","Recent Inactivity"))</f>
        <v>Recently Active</v>
      </c>
      <c r="Q69" s="2" t="str">
        <f aca="false">INDEX(Segmentation!$AF$2:$AF$301,MATCH($A69,Segmentation!$A$2:$A$301,0))</f>
        <v>Existing Customer</v>
      </c>
      <c r="R69" s="2" t="str">
        <f aca="false">INDEX(Segmentation!$AL$2:$AL$301,MATCH($A69,Segmentation!$A$2:$A$301,0))</f>
        <v>N/A</v>
      </c>
      <c r="S69" s="10" t="b">
        <f aca="false">INDEX(Segmentation!$AW$2:$AW$301,MATCH($A69,Segmentation!$A$2:$A$301,0))</f>
        <v>1</v>
      </c>
      <c r="T69" s="2" t="str">
        <f aca="false">INDEX('Feature Data'!$AD$2:$AD$301,MATCH($A69,'Feature Data'!$A$2:$A$301,0))</f>
        <v>Light-touch repeat buyer</v>
      </c>
      <c r="U69" s="2" t="str">
        <f aca="false">INDEX('Feature Data'!$W$2:$W$301,MATCH($A69,'Feature Data'!$A$2:$A$301,0))</f>
        <v>Mixed</v>
      </c>
      <c r="V69" s="2" t="n">
        <f aca="false">INDEX('Feature Data'!$P$2:$P$301,MATCH($A69,'Feature Data'!$A$2:$A$301,0))</f>
        <v>157</v>
      </c>
      <c r="W69" s="2" t="n">
        <f aca="false">INDEX(Segmentation!$R$2:$R$301,MATCH($A69,Segmentation!$A$2:$A$301,0))</f>
        <v>31</v>
      </c>
      <c r="X69" s="2" t="n">
        <f aca="false">INDEX(Segmentation!$S$2:$S$301,MATCH($A69,Segmentation!$A$2:$A$301,0))</f>
        <v>5</v>
      </c>
      <c r="Y69" s="10" t="b">
        <f aca="false">INDEX(Segmentation!$AG$2:$AG$301,MATCH($A69,Segmentation!$A$2:$A$301,0))</f>
        <v>0</v>
      </c>
      <c r="Z69" s="2" t="str">
        <f aca="false">INDEX(Segmentation!$AU$2:$AU$301,MATCH($A69,Segmentation!$A$2:$A$301,0))</f>
        <v>Not Eligible</v>
      </c>
      <c r="AA69" s="10" t="b">
        <f aca="false">INDEX(Segmentation!$Z$2:$Z$301,MATCH($A69,Segmentation!$A$2:$A$301,0))</f>
        <v>0</v>
      </c>
      <c r="AB69" s="10" t="b">
        <f aca="false">INDEX(Segmentation!$AH$2:$AH$301,MATCH($A69,Segmentation!$A$2:$A$301,0))</f>
        <v>0</v>
      </c>
      <c r="AC69" s="10" t="b">
        <f aca="false">INDEX(Segmentation!$AK$2:$AK$301,MATCH($A69,Segmentation!$A$2:$A$301,0))</f>
        <v>0</v>
      </c>
      <c r="AD69" s="10" t="b">
        <f aca="false">INDEX(Segmentation!$AQ$2:$AQ$301,MATCH($A69,Segmentation!$A$2:$A$301,0))</f>
        <v>0</v>
      </c>
      <c r="AE69" s="10" t="b">
        <f aca="false">INDEX(Segmentation!$AT$2:$AT$301,MATCH($A69,Segmentation!$A$2:$A$301,0))</f>
        <v>0</v>
      </c>
      <c r="AF69" s="10" t="b">
        <f aca="false">INDEX(Segmentation!$X$2:$X$301,MATCH($A69,Segmentation!$A$2:$A$301,0))</f>
        <v>0</v>
      </c>
      <c r="AG69" s="10" t="b">
        <f aca="false">AND(F69="Low",V69&gt;=Assumptions!$B$71,X69&lt;Assumptions!$B$72)</f>
        <v>0</v>
      </c>
      <c r="AH69" s="10" t="b">
        <f aca="false">AND(F69="Low",OR(G69="Growing",G69="Stable"),P69="Recently Active",V69&gt;=Assumptions!$B$58,K69&gt;=Assumptions!$B$73)</f>
        <v>1</v>
      </c>
      <c r="AI69" s="17" t="n">
        <f aca="false">IF(O69&gt;0,MAX(L69:N69)/O69,"")</f>
        <v>0.58450184501845</v>
      </c>
      <c r="AJ69" s="2" t="str">
        <f aca="false">IF(LEFT(D69,1)="1",IF(E69="Key","MIGRATION_KEY_SIGNOFF",IF(Z69="Ready","MIGRATION_PHASE1_READY",IF(Z69="Manual Review","MIGRATION_PHASE1_REVIEW","MIGRATION_PRE_ENTRY"))),IF(LEFT(D69,1)="2","DECLINING_KEY_CORE",IF(LEFT(D69,1)="3",IF(R69="Established Buyer Lapsed","LAPSED_ESTABLISHED","LAPSED_THIN_HISTORY"),IF(LEFT(D69,1)="4",IF(Q69="New Customer","NEW_CUSTOMER","RETURNED_CUSTOMER"),IF(LEFT(D69,1)="5",IF(P69="Recently Active","COST_TO_SERVE_ACTIVE","DORMANT_LOW_VALUE"),IF(LEFT(D69,1)="6",IF(P69="Recent Inactivity","RECENT_INACTIVITY",IF(AG69,"BROWSING_LOW_OFFERS","HEALTHY_STRONG_SELF_SERVE")),IF(LEFT(D69,1)="7",IF(P69="Recent Inactivity","RECENT_INACTIVITY",IF(Q69="New Customer","NEW_CUSTOMER","RETURNED_CUSTOMER")),IF(LEFT(D69,1)="8",IF(G69="Declining",IF(T69="Engaged but shrinking (Key/Core)","ENGAGED_BUT_SHRINKING","DECLINING_KEY_CORE"),IF(R69="Established Buyer Lapsed","LAPSED_ESTABLISHED","LAPSED_THIN_HISTORY")),IF(S69,IF(P69&lt;&gt;"Recently Active","DORMANT_LOW_VALUE",IF(AG69,"BROWSING_LOW_OFFERS",IF(AH69,"RISING_TAIL","RISING_TAIL_EARLY"))),IF(AND(AG69,P69="Recently Active",OR(G69="Growing",G69="Stable",G69="H2 Active / No H1 GMV"),I69&gt;=Assumptions!$B$74),"BROWSING_LOW_OFFERS","LONG_TAIL_STANDARD"))))))))))</f>
        <v>RISING_TAIL</v>
      </c>
      <c r="AK69" s="2" t="str">
        <f aca="false">INDEX('NBA Library'!$B$4:$B$21,MATCH(AJ69,'NBA Library'!$A$4:$A$21,0))</f>
        <v>Reinforce Successful Behaviour</v>
      </c>
      <c r="AL69" s="2" t="str">
        <f aca="false">INDEX('NBA Library'!$C$4:$C$21,MATCH(AJ69,'NBA Library'!$A$4:$A$21,0))</f>
        <v>Automated</v>
      </c>
      <c r="AM69" s="2" t="str">
        <f aca="false">IF(AA69,"HOLD — Critical Data Issue",IF(Y69,"Human Sign-Off Required",IF(Z69="Manual Review","Human Review Required",IF(AND(AL69="Automated",OR(AE69,AND(OR(AK69="Discovery-to-Offer Enablement",AK69="Reinforce Successful Behaviour"),OR(AC69,AB69)))),"Human Review Required",IF(AL69="Human","Ready — Human",IF(AL69="Hybrid","Ready — Hybrid","Ready — Automated"))))))</f>
        <v>Ready — Automated</v>
      </c>
      <c r="AN69" s="2" t="str">
        <f aca="false">IF(AA69,"P0",IF(AND(AJ69="BROWSING_LOW_OFFERS",E69="Tail"),"P3",IF(AND(AM69="Human Review Required",INDEX('NBA Library'!$D$4:$D$21,MATCH(AJ69,'NBA Library'!$A$4:$A$21,0))="P4"),"P3",INDEX('NBA Library'!$D$4:$D$21,MATCH(AJ69,'NBA Library'!$A$4:$A$21,0)))))</f>
        <v>P3</v>
      </c>
      <c r="AO69" s="2" t="str">
        <f aca="false">E69&amp;" "&amp;C69&amp;" account ("&amp;B69&amp;"); "&amp;G69&amp;" momentum; "&amp;P69&amp;"; £"&amp;TEXT(H69,"#,##0")&amp;" 6m GMV. "&amp;INDEX('NBA Library'!$G$4:$G$21,MATCH(AJ69,'NBA Library'!$A$4:$A$21,0))&amp;IF(LEFT(D69,1)="1"," Baseline: "&amp;V69&amp;" PDP views, "&amp;W69&amp;" app days, "&amp;X69&amp;" offers, "&amp;TEXT(J69/I69,"0%")&amp;" of orders self-serve.","")&amp;IF(AA69," Execution on HOLD until the Duplicate status is resolved.","")&amp;IF(Y69," Key account: explicit AM/leadership sign-off required before any migration activity.","")&amp;IF(AE69," Implied broker % from order counts would move this account to a different segment; review before automating.","")</f>
        <v>Tail AM-Owned / Self-Serving account (Account Managed); Growing momentum; Recently Active; £1,706 6m GMV. Tail account on the Rising Tail watchlist with an established, recent self-serve pattern.</v>
      </c>
      <c r="AP69" s="2" t="str">
        <f aca="false">INDEX('NBA Library'!$E$4:$E$21,MATCH(AJ69,'NBA Library'!$A$4:$A$21,0))&amp;IF(AND(AJ69="NEW_CUSTOMER",AG69),"; introduce Make-an-Offer on items already browsed","")</f>
        <v>Maintain current browsing and purchasing; light-touch reinforcement</v>
      </c>
      <c r="AQ69" s="2" t="str">
        <f aca="false">INDEX('NBA Library'!$F$4:$F$21,MATCH(AJ69,'NBA Library'!$A$4:$A$21,0))</f>
        <v>Continued monthly purchasing; crosses £2k Core line within 6 months</v>
      </c>
      <c r="AR69" s="2" t="str">
        <f aca="false">IF(AND(F69="Low",OR(G69="Growing",G69="Stable"),P69="Recently Active",U69&lt;&gt;"Mixed",OR(AK69="Discovery-to-Offer Enablement",AK69="Reinforce Successful Behaviour"),AM69="Ready — Automated",OR(E69&lt;&gt;"Tail",S69)),"Range Expansion Test — trial "&amp;IF(U69="Bundle-only","handpick","bundles")&amp;" (experimental; not proven to lift GMV)","")</f>
        <v/>
      </c>
      <c r="AS69" s="2" t="str">
        <f aca="false">IF(AK69&lt;&gt;"Automated Nurture","",IF(AJ69="DORMANT_LOW_VALUE","Dormant",IF(AJ69="RISING_TAIL_EARLY","Rising tail – early pattern",IF(Q69="New Customer","New customer onboarding",IF(Q69="Returned Customer","Returned customer",IF(G69="Lapsed","Dormant",IF(T69="Engaged, not converting","Engaged, not converting",IF(T69="One-off low-touch buyer","One-off purchaser",IF(T69="Light-touch repeat buyer","Light-touch repeat buyer","Standard long tail")))))))))</f>
        <v/>
      </c>
      <c r="AT69" s="2" t="str">
        <f aca="false">IF(AA69,"CRITICAL_DATA_BLOCKER; ","")&amp;IF(Y69,"KEY_SIGNOFF; ","")&amp;IF(Z69="Manual Review","PHASE1_MANUAL_REVIEW; ","")&amp;IF(AND(LEFT(D69,1)="1",AZ69="Lumpy"),"LUMPY_CADENCE; ","")&amp;IF(AB69,"BORDERLINE_MOMENTUM; ","")&amp;IF(AC69,"FEB_SENSITIVE; ","")&amp;IF(AD69,"MATERIAL_BROKER_INCONSISTENCY"&amp;IF(AE69," (segment would change)","")&amp;"; ","")&amp;IF(AND(I69&gt;=3,O69&gt;0),IF(AI69&gt;=Assumptions!$B$75,"H2_SINGLE_MONTH_SPIKE; ",""),"")&amp;IF(AND(M69&gt;0,N69=0),"NO_FEB_GMV (Feb unconfirmed); ","")&amp;IF(AF69,"LOW_CONFIDENCE; ","")</f>
        <v/>
      </c>
      <c r="AU69" s="2" t="str">
        <f aca="false">IF(LEFT(D69,1)="1",V69,"")</f>
        <v/>
      </c>
      <c r="AV69" s="2" t="str">
        <f aca="false">IF(LEFT(D69,1)="1",V69&gt;=Assumptions!$B$58,"")</f>
        <v/>
      </c>
      <c r="AW69" s="2" t="str">
        <f aca="false">IF(LEFT(D69,1)="1",W69,"")</f>
        <v/>
      </c>
      <c r="AX69" s="2" t="str">
        <f aca="false">IF(LEFT(D69,1)="1",X69,"")</f>
        <v/>
      </c>
      <c r="AY69" s="17" t="str">
        <f aca="false">IF(LEFT(D69,1)="1",J69/I69,"")</f>
        <v/>
      </c>
      <c r="AZ69" s="2" t="str">
        <f aca="false">IF(LEFT(D69,1)="1",IF(AND(K69&gt;=Assumptions!$B$83,I69&gt;=Assumptions!$B$84),"Regular","Lumpy"),"")</f>
        <v/>
      </c>
      <c r="BA69" s="2" t="str">
        <f aca="false">IF(LEFT(D69,1)="1",ROUND(6/K69,0),"")</f>
        <v/>
      </c>
      <c r="BB69" s="2" t="str">
        <f aca="false">IF(LEFT(D69,1)="1",IF(AZ69="Regular","Regular buyer: expected ~£"&amp;TEXT(H69/2,"#,##0")&amp;" per 90 days. At Risk if GMV to date &lt; "&amp;TEXT(Assumptions!$B$81,"0%")&amp;" of pro-rated expectation, checked from day "&amp;Assumptions!$B$82&amp;". Human-reviewed.","Irregular buyer ("&amp;I69&amp;" orders across "&amp;K69&amp;" months): no numeric GMV threshold. At Risk if no order within ~"&amp;BA69&amp;" month(s); AM reviews at day "&amp;Assumptions!$B$82&amp;" and "&amp;Assumptions!$B$85&amp;"."),"")</f>
        <v/>
      </c>
      <c r="BC69" s="2"/>
      <c r="BD69" s="2"/>
      <c r="BE69" s="2"/>
      <c r="BF69" s="2"/>
      <c r="BG69" s="2"/>
      <c r="BH69" s="2"/>
      <c r="BI69" s="2"/>
      <c r="BJ69" s="2" t="str">
        <f aca="false">IF(OR(NOT(LEFT(D69,1)="1"),BC69=""),"",IF(AZ69="Regular",AND(BC69&gt;=Assumptions!$B$82,N(BI69)&lt;Assumptions!$B$81*H69/180*BC69),AND(BC69&gt;=BA69*30,N(BG69)=0)))</f>
        <v/>
      </c>
      <c r="BK69" s="2" t="str">
        <f aca="false">IF(NOT(LEFT(D69,1)="1"),"N/A",IF(BC69="","Baseline",IF(BJ69,"At Risk",IF(AND(N(BD69)&gt;=Assumptions!$B$78,N(BE69)&gt;=Assumptions!$B$79,N(BH69)&gt;=1,N(BH69)/MAX(N(BG69),1)&gt;AY69),"Self-Serve Capability Demonstrated",IF(OR(N(BD69)&gt;=Assumptions!$B$76,N(BE69)&gt;=Assumptions!$B$77),"Progressing",IF(BC69&gt;=Assumptions!$B$85,"At Risk","Baseline"))))))</f>
        <v>N/A</v>
      </c>
      <c r="BL69" s="2" t="n">
        <f aca="false">(AND(C69="Broker-Reliant",OR(AK69="Discovery-to-Offer Enablement",AK69="Reinforce Successful Behaviour")))*1+(AND(G69="Declining",E69&lt;&gt;"Tail",AL69="Automated"))*1+(AND(Y69,AM69&lt;&gt;"Human Sign-Off Required"))*1+(AND(AA69,AM69&lt;&gt;"HOLD — Critical Data Issue"))*1+(AND(P69="Recent Inactivity",OR(AK69="Discovery-to-Offer Enablement",AK69="Reinforce Successful Behaviour")))*1+(AND(OR(LEFT(D69,1)="2",LEFT(D69,1)="3",LEFT(D69,1)="8"),AL69="Automated"))*1+((LEFT(D69,1)="1")&lt;&gt;(AK69="Guided Self-Serve Migration"))*1+(AND(AR69&lt;&gt;"",OR(F69&lt;&gt;"Low",U69="Mixed",AND(G69&lt;&gt;"Growing",G69&lt;&gt;"Stable"))))*1+ISNUMBER(SEARCH("chat",AP69))*1+ISNUMBER(SEARCH("video",AP69))*1+(AND(AA69,AL69="Automated",AM69&lt;&gt;"HOLD — Critical Data Issue"))*1</f>
        <v>0</v>
      </c>
    </row>
    <row r="70" customFormat="false" ht="15" hidden="false" customHeight="false" outlineLevel="0" collapsed="false">
      <c r="A70" s="2" t="s">
        <v>577</v>
      </c>
      <c r="B70" s="2" t="str">
        <f aca="false">INDEX(Segmentation!$B$2:$B$301,MATCH($A70,Segmentation!$A$2:$A$301,0))</f>
        <v>Account Managed</v>
      </c>
      <c r="C70" s="2" t="str">
        <f aca="false">INDEX(Segmentation!$H$2:$H$301,MATCH($A70,Segmentation!$A$2:$A$301,0))</f>
        <v>AM-Owned / Self-Serving</v>
      </c>
      <c r="D70" s="2" t="str">
        <f aca="false">INDEX(Segmentation!$T$2:$T$301,MATCH($A70,Segmentation!$A$2:$A$301,0))</f>
        <v>9. Long-Tail Automated Nurture</v>
      </c>
      <c r="E70" s="2" t="str">
        <f aca="false">INDEX(Segmentation!$J$2:$J$301,MATCH($A70,Segmentation!$A$2:$A$301,0))</f>
        <v>Tail</v>
      </c>
      <c r="F70" s="2" t="str">
        <f aca="false">INDEX(Segmentation!$G$2:$G$301,MATCH($A70,Segmentation!$A$2:$A$301,0))</f>
        <v>Low</v>
      </c>
      <c r="G70" s="2" t="str">
        <f aca="false">INDEX(Segmentation!$N$2:$N$301,MATCH($A70,Segmentation!$A$2:$A$301,0))</f>
        <v>Declining</v>
      </c>
      <c r="H70" s="9" t="n">
        <f aca="false">INDEX(Segmentation!$I$2:$I$301,MATCH($A70,Segmentation!$A$2:$A$301,0))</f>
        <v>1682</v>
      </c>
      <c r="I70" s="2" t="n">
        <f aca="false">INDEX(Segmentation!$O$2:$O$301,MATCH($A70,Segmentation!$A$2:$A$301,0))</f>
        <v>8</v>
      </c>
      <c r="J70" s="2" t="n">
        <f aca="false">INDEX(Segmentation!$Q$2:$Q$301,MATCH($A70,Segmentation!$A$2:$A$301,0))</f>
        <v>7</v>
      </c>
      <c r="K70" s="2" t="n">
        <f aca="false">INDEX(Segmentation!$W$2:$W$301,MATCH($A70,Segmentation!$A$2:$A$301,0))</f>
        <v>5</v>
      </c>
      <c r="L70" s="9" t="n">
        <f aca="false">INDEX('Commercial View'!$L$2:$L$301,MATCH($A70,'Commercial View'!$A$2:$A$301,0))</f>
        <v>222</v>
      </c>
      <c r="M70" s="9" t="n">
        <f aca="false">INDEX('Commercial View'!$M$2:$M$301,MATCH($A70,'Commercial View'!$A$2:$A$301,0))</f>
        <v>218</v>
      </c>
      <c r="N70" s="9" t="n">
        <f aca="false">INDEX('Commercial View'!$N$2:$N$301,MATCH($A70,'Commercial View'!$A$2:$A$301,0))</f>
        <v>192</v>
      </c>
      <c r="O70" s="9" t="n">
        <f aca="false">INDEX(Segmentation!$L$2:$L$301,MATCH($A70,Segmentation!$A$2:$A$301,0))</f>
        <v>632</v>
      </c>
      <c r="P70" s="2" t="str">
        <f aca="false">IF(OR(M70&gt;0,N70&gt;0),"Recently Active",IF(OR(I70&lt;=Assumptions!$B$48,K70&lt;=Assumptions!$B$49),"No Meaningful History","Recent Inactivity"))</f>
        <v>Recently Active</v>
      </c>
      <c r="Q70" s="2" t="str">
        <f aca="false">INDEX(Segmentation!$AF$2:$AF$301,MATCH($A70,Segmentation!$A$2:$A$301,0))</f>
        <v>Existing Customer</v>
      </c>
      <c r="R70" s="2" t="str">
        <f aca="false">INDEX(Segmentation!$AL$2:$AL$301,MATCH($A70,Segmentation!$A$2:$A$301,0))</f>
        <v>N/A</v>
      </c>
      <c r="S70" s="10" t="b">
        <f aca="false">INDEX(Segmentation!$AW$2:$AW$301,MATCH($A70,Segmentation!$A$2:$A$301,0))</f>
        <v>0</v>
      </c>
      <c r="T70" s="2" t="str">
        <f aca="false">INDEX('Feature Data'!$AD$2:$AD$301,MATCH($A70,'Feature Data'!$A$2:$A$301,0))</f>
        <v>Independent browser-buyer</v>
      </c>
      <c r="U70" s="2" t="str">
        <f aca="false">INDEX('Feature Data'!$W$2:$W$301,MATCH($A70,'Feature Data'!$A$2:$A$301,0))</f>
        <v>Mixed</v>
      </c>
      <c r="V70" s="2" t="n">
        <f aca="false">INDEX('Feature Data'!$P$2:$P$301,MATCH($A70,'Feature Data'!$A$2:$A$301,0))</f>
        <v>606</v>
      </c>
      <c r="W70" s="2" t="n">
        <f aca="false">INDEX(Segmentation!$R$2:$R$301,MATCH($A70,Segmentation!$A$2:$A$301,0))</f>
        <v>76</v>
      </c>
      <c r="X70" s="2" t="n">
        <f aca="false">INDEX(Segmentation!$S$2:$S$301,MATCH($A70,Segmentation!$A$2:$A$301,0))</f>
        <v>4</v>
      </c>
      <c r="Y70" s="10" t="b">
        <f aca="false">INDEX(Segmentation!$AG$2:$AG$301,MATCH($A70,Segmentation!$A$2:$A$301,0))</f>
        <v>0</v>
      </c>
      <c r="Z70" s="2" t="str">
        <f aca="false">INDEX(Segmentation!$AU$2:$AU$301,MATCH($A70,Segmentation!$A$2:$A$301,0))</f>
        <v>Not Eligible</v>
      </c>
      <c r="AA70" s="10" t="b">
        <f aca="false">INDEX(Segmentation!$Z$2:$Z$301,MATCH($A70,Segmentation!$A$2:$A$301,0))</f>
        <v>0</v>
      </c>
      <c r="AB70" s="10" t="b">
        <f aca="false">INDEX(Segmentation!$AH$2:$AH$301,MATCH($A70,Segmentation!$A$2:$A$301,0))</f>
        <v>0</v>
      </c>
      <c r="AC70" s="10" t="b">
        <f aca="false">INDEX(Segmentation!$AK$2:$AK$301,MATCH($A70,Segmentation!$A$2:$A$301,0))</f>
        <v>0</v>
      </c>
      <c r="AD70" s="10" t="b">
        <f aca="false">INDEX(Segmentation!$AQ$2:$AQ$301,MATCH($A70,Segmentation!$A$2:$A$301,0))</f>
        <v>0</v>
      </c>
      <c r="AE70" s="10" t="b">
        <f aca="false">INDEX(Segmentation!$AT$2:$AT$301,MATCH($A70,Segmentation!$A$2:$A$301,0))</f>
        <v>0</v>
      </c>
      <c r="AF70" s="10" t="b">
        <f aca="false">INDEX(Segmentation!$X$2:$X$301,MATCH($A70,Segmentation!$A$2:$A$301,0))</f>
        <v>0</v>
      </c>
      <c r="AG70" s="10" t="b">
        <f aca="false">AND(F70="Low",V70&gt;=Assumptions!$B$71,X70&lt;Assumptions!$B$72)</f>
        <v>0</v>
      </c>
      <c r="AH70" s="10" t="b">
        <f aca="false">AND(F70="Low",OR(G70="Growing",G70="Stable"),P70="Recently Active",V70&gt;=Assumptions!$B$58,K70&gt;=Assumptions!$B$73)</f>
        <v>0</v>
      </c>
      <c r="AI70" s="17" t="n">
        <f aca="false">IF(O70&gt;0,MAX(L70:N70)/O70,"")</f>
        <v>0.35126582278481</v>
      </c>
      <c r="AJ70" s="2" t="str">
        <f aca="false">IF(LEFT(D70,1)="1",IF(E70="Key","MIGRATION_KEY_SIGNOFF",IF(Z70="Ready","MIGRATION_PHASE1_READY",IF(Z70="Manual Review","MIGRATION_PHASE1_REVIEW","MIGRATION_PRE_ENTRY"))),IF(LEFT(D70,1)="2","DECLINING_KEY_CORE",IF(LEFT(D70,1)="3",IF(R70="Established Buyer Lapsed","LAPSED_ESTABLISHED","LAPSED_THIN_HISTORY"),IF(LEFT(D70,1)="4",IF(Q70="New Customer","NEW_CUSTOMER","RETURNED_CUSTOMER"),IF(LEFT(D70,1)="5",IF(P70="Recently Active","COST_TO_SERVE_ACTIVE","DORMANT_LOW_VALUE"),IF(LEFT(D70,1)="6",IF(P70="Recent Inactivity","RECENT_INACTIVITY",IF(AG70,"BROWSING_LOW_OFFERS","HEALTHY_STRONG_SELF_SERVE")),IF(LEFT(D70,1)="7",IF(P70="Recent Inactivity","RECENT_INACTIVITY",IF(Q70="New Customer","NEW_CUSTOMER","RETURNED_CUSTOMER")),IF(LEFT(D70,1)="8",IF(G70="Declining",IF(T70="Engaged but shrinking (Key/Core)","ENGAGED_BUT_SHRINKING","DECLINING_KEY_CORE"),IF(R70="Established Buyer Lapsed","LAPSED_ESTABLISHED","LAPSED_THIN_HISTORY")),IF(S70,IF(P70&lt;&gt;"Recently Active","DORMANT_LOW_VALUE",IF(AG70,"BROWSING_LOW_OFFERS",IF(AH70,"RISING_TAIL","RISING_TAIL_EARLY"))),IF(AND(AG70,P70="Recently Active",OR(G70="Growing",G70="Stable",G70="H2 Active / No H1 GMV"),I70&gt;=Assumptions!$B$74),"BROWSING_LOW_OFFERS","LONG_TAIL_STANDARD"))))))))))</f>
        <v>LONG_TAIL_STANDARD</v>
      </c>
      <c r="AK70" s="2" t="str">
        <f aca="false">INDEX('NBA Library'!$B$4:$B$21,MATCH(AJ70,'NBA Library'!$A$4:$A$21,0))</f>
        <v>Automated Nurture</v>
      </c>
      <c r="AL70" s="2" t="str">
        <f aca="false">INDEX('NBA Library'!$C$4:$C$21,MATCH(AJ70,'NBA Library'!$A$4:$A$21,0))</f>
        <v>Automated</v>
      </c>
      <c r="AM70" s="2" t="str">
        <f aca="false">IF(AA70,"HOLD — Critical Data Issue",IF(Y70,"Human Sign-Off Required",IF(Z70="Manual Review","Human Review Required",IF(AND(AL70="Automated",OR(AE70,AND(OR(AK70="Discovery-to-Offer Enablement",AK70="Reinforce Successful Behaviour"),OR(AC70,AB70)))),"Human Review Required",IF(AL70="Human","Ready — Human",IF(AL70="Hybrid","Ready — Hybrid","Ready — Automated"))))))</f>
        <v>Ready — Automated</v>
      </c>
      <c r="AN70" s="2" t="str">
        <f aca="false">IF(AA70,"P0",IF(AND(AJ70="BROWSING_LOW_OFFERS",E70="Tail"),"P3",IF(AND(AM70="Human Review Required",INDEX('NBA Library'!$D$4:$D$21,MATCH(AJ70,'NBA Library'!$A$4:$A$21,0))="P4"),"P3",INDEX('NBA Library'!$D$4:$D$21,MATCH(AJ70,'NBA Library'!$A$4:$A$21,0)))))</f>
        <v>P4</v>
      </c>
      <c r="AO70" s="2" t="str">
        <f aca="false">E70&amp;" "&amp;C70&amp;" account ("&amp;B70&amp;"); "&amp;G70&amp;" momentum; "&amp;P70&amp;"; £"&amp;TEXT(H70,"#,##0")&amp;" 6m GMV. "&amp;INDEX('NBA Library'!$G$4:$G$21,MATCH(AJ70,'NBA Library'!$A$4:$A$21,0))&amp;IF(LEFT(D70,1)="1"," Baseline: "&amp;V70&amp;" PDP views, "&amp;W70&amp;" app days, "&amp;X70&amp;" offers, "&amp;TEXT(J70/I70,"0%")&amp;" of orders self-serve.","")&amp;IF(AA70," Execution on HOLD until the Duplicate status is resolved.","")&amp;IF(Y70," Key account: explicit AM/leadership sign-off required before any migration activity.","")&amp;IF(AE70," Implied broker % from order counts would move this account to a different segment; review before automating.","")</f>
        <v>Tail AM-Owned / Self-Serving account (Account Managed); Declining momentum; Recently Active; £1,682 6m GMV. Low-value, low-dependency account. Scalable automated engagement.</v>
      </c>
      <c r="AP70" s="2" t="str">
        <f aca="false">INDEX('NBA Library'!$E$4:$E$21,MATCH(AJ70,'NBA Library'!$A$4:$A$21,0))&amp;IF(AND(AJ70="NEW_CUSTOMER",AG70),"; introduce Make-an-Offer on items already browsed","")</f>
        <v>Scalable automated engagement matched to nurture sub-context</v>
      </c>
      <c r="AQ70" s="2" t="str">
        <f aca="false">INDEX('NBA Library'!$F$4:$F$21,MATCH(AJ70,'NBA Library'!$A$4:$A$21,0))</f>
        <v>Any repeat order within 90 days</v>
      </c>
      <c r="AR70" s="2" t="str">
        <f aca="false">IF(AND(F70="Low",OR(G70="Growing",G70="Stable"),P70="Recently Active",U70&lt;&gt;"Mixed",OR(AK70="Discovery-to-Offer Enablement",AK70="Reinforce Successful Behaviour"),AM70="Ready — Automated",OR(E70&lt;&gt;"Tail",S70)),"Range Expansion Test — trial "&amp;IF(U70="Bundle-only","handpick","bundles")&amp;" (experimental; not proven to lift GMV)","")</f>
        <v/>
      </c>
      <c r="AS70" s="2" t="str">
        <f aca="false">IF(AK70&lt;&gt;"Automated Nurture","",IF(AJ70="DORMANT_LOW_VALUE","Dormant",IF(AJ70="RISING_TAIL_EARLY","Rising tail – early pattern",IF(Q70="New Customer","New customer onboarding",IF(Q70="Returned Customer","Returned customer",IF(G70="Lapsed","Dormant",IF(T70="Engaged, not converting","Engaged, not converting",IF(T70="One-off low-touch buyer","One-off purchaser",IF(T70="Light-touch repeat buyer","Light-touch repeat buyer","Standard long tail")))))))))</f>
        <v>Standard long tail</v>
      </c>
      <c r="AT70" s="2" t="str">
        <f aca="false">IF(AA70,"CRITICAL_DATA_BLOCKER; ","")&amp;IF(Y70,"KEY_SIGNOFF; ","")&amp;IF(Z70="Manual Review","PHASE1_MANUAL_REVIEW; ","")&amp;IF(AND(LEFT(D70,1)="1",AZ70="Lumpy"),"LUMPY_CADENCE; ","")&amp;IF(AB70,"BORDERLINE_MOMENTUM; ","")&amp;IF(AC70,"FEB_SENSITIVE; ","")&amp;IF(AD70,"MATERIAL_BROKER_INCONSISTENCY"&amp;IF(AE70," (segment would change)","")&amp;"; ","")&amp;IF(AND(I70&gt;=3,O70&gt;0),IF(AI70&gt;=Assumptions!$B$75,"H2_SINGLE_MONTH_SPIKE; ",""),"")&amp;IF(AND(M70&gt;0,N70=0),"NO_FEB_GMV (Feb unconfirmed); ","")&amp;IF(AF70,"LOW_CONFIDENCE; ","")</f>
        <v/>
      </c>
      <c r="AU70" s="2" t="str">
        <f aca="false">IF(LEFT(D70,1)="1",V70,"")</f>
        <v/>
      </c>
      <c r="AV70" s="2" t="str">
        <f aca="false">IF(LEFT(D70,1)="1",V70&gt;=Assumptions!$B$58,"")</f>
        <v/>
      </c>
      <c r="AW70" s="2" t="str">
        <f aca="false">IF(LEFT(D70,1)="1",W70,"")</f>
        <v/>
      </c>
      <c r="AX70" s="2" t="str">
        <f aca="false">IF(LEFT(D70,1)="1",X70,"")</f>
        <v/>
      </c>
      <c r="AY70" s="17" t="str">
        <f aca="false">IF(LEFT(D70,1)="1",J70/I70,"")</f>
        <v/>
      </c>
      <c r="AZ70" s="2" t="str">
        <f aca="false">IF(LEFT(D70,1)="1",IF(AND(K70&gt;=Assumptions!$B$83,I70&gt;=Assumptions!$B$84),"Regular","Lumpy"),"")</f>
        <v/>
      </c>
      <c r="BA70" s="2" t="str">
        <f aca="false">IF(LEFT(D70,1)="1",ROUND(6/K70,0),"")</f>
        <v/>
      </c>
      <c r="BB70" s="2" t="str">
        <f aca="false">IF(LEFT(D70,1)="1",IF(AZ70="Regular","Regular buyer: expected ~£"&amp;TEXT(H70/2,"#,##0")&amp;" per 90 days. At Risk if GMV to date &lt; "&amp;TEXT(Assumptions!$B$81,"0%")&amp;" of pro-rated expectation, checked from day "&amp;Assumptions!$B$82&amp;". Human-reviewed.","Irregular buyer ("&amp;I70&amp;" orders across "&amp;K70&amp;" months): no numeric GMV threshold. At Risk if no order within ~"&amp;BA70&amp;" month(s); AM reviews at day "&amp;Assumptions!$B$82&amp;" and "&amp;Assumptions!$B$85&amp;"."),"")</f>
        <v/>
      </c>
      <c r="BC70" s="2"/>
      <c r="BD70" s="2"/>
      <c r="BE70" s="2"/>
      <c r="BF70" s="2"/>
      <c r="BG70" s="2"/>
      <c r="BH70" s="2"/>
      <c r="BI70" s="2"/>
      <c r="BJ70" s="2" t="str">
        <f aca="false">IF(OR(NOT(LEFT(D70,1)="1"),BC70=""),"",IF(AZ70="Regular",AND(BC70&gt;=Assumptions!$B$82,N(BI70)&lt;Assumptions!$B$81*H70/180*BC70),AND(BC70&gt;=BA70*30,N(BG70)=0)))</f>
        <v/>
      </c>
      <c r="BK70" s="2" t="str">
        <f aca="false">IF(NOT(LEFT(D70,1)="1"),"N/A",IF(BC70="","Baseline",IF(BJ70,"At Risk",IF(AND(N(BD70)&gt;=Assumptions!$B$78,N(BE70)&gt;=Assumptions!$B$79,N(BH70)&gt;=1,N(BH70)/MAX(N(BG70),1)&gt;AY70),"Self-Serve Capability Demonstrated",IF(OR(N(BD70)&gt;=Assumptions!$B$76,N(BE70)&gt;=Assumptions!$B$77),"Progressing",IF(BC70&gt;=Assumptions!$B$85,"At Risk","Baseline"))))))</f>
        <v>N/A</v>
      </c>
      <c r="BL70" s="2" t="n">
        <f aca="false">(AND(C70="Broker-Reliant",OR(AK70="Discovery-to-Offer Enablement",AK70="Reinforce Successful Behaviour")))*1+(AND(G70="Declining",E70&lt;&gt;"Tail",AL70="Automated"))*1+(AND(Y70,AM70&lt;&gt;"Human Sign-Off Required"))*1+(AND(AA70,AM70&lt;&gt;"HOLD — Critical Data Issue"))*1+(AND(P70="Recent Inactivity",OR(AK70="Discovery-to-Offer Enablement",AK70="Reinforce Successful Behaviour")))*1+(AND(OR(LEFT(D70,1)="2",LEFT(D70,1)="3",LEFT(D70,1)="8"),AL70="Automated"))*1+((LEFT(D70,1)="1")&lt;&gt;(AK70="Guided Self-Serve Migration"))*1+(AND(AR70&lt;&gt;"",OR(F70&lt;&gt;"Low",U70="Mixed",AND(G70&lt;&gt;"Growing",G70&lt;&gt;"Stable"))))*1+ISNUMBER(SEARCH("chat",AP70))*1+ISNUMBER(SEARCH("video",AP70))*1+(AND(AA70,AL70="Automated",AM70&lt;&gt;"HOLD — Critical Data Issue"))*1</f>
        <v>0</v>
      </c>
    </row>
    <row r="71" customFormat="false" ht="15" hidden="false" customHeight="false" outlineLevel="0" collapsed="false">
      <c r="A71" s="2" t="s">
        <v>582</v>
      </c>
      <c r="B71" s="2" t="str">
        <f aca="false">INDEX(Segmentation!$B$2:$B$301,MATCH($A71,Segmentation!$A$2:$A$301,0))</f>
        <v>Account Managed</v>
      </c>
      <c r="C71" s="2" t="str">
        <f aca="false">INDEX(Segmentation!$H$2:$H$301,MATCH($A71,Segmentation!$A$2:$A$301,0))</f>
        <v>AM-Owned / Self-Serving</v>
      </c>
      <c r="D71" s="2" t="str">
        <f aca="false">INDEX(Segmentation!$T$2:$T$301,MATCH($A71,Segmentation!$A$2:$A$301,0))</f>
        <v>9. Long-Tail Automated Nurture</v>
      </c>
      <c r="E71" s="2" t="str">
        <f aca="false">INDEX(Segmentation!$J$2:$J$301,MATCH($A71,Segmentation!$A$2:$A$301,0))</f>
        <v>Tail</v>
      </c>
      <c r="F71" s="2" t="str">
        <f aca="false">INDEX(Segmentation!$G$2:$G$301,MATCH($A71,Segmentation!$A$2:$A$301,0))</f>
        <v>Low</v>
      </c>
      <c r="G71" s="2" t="str">
        <f aca="false">INDEX(Segmentation!$N$2:$N$301,MATCH($A71,Segmentation!$A$2:$A$301,0))</f>
        <v>Lapsed</v>
      </c>
      <c r="H71" s="9" t="n">
        <f aca="false">INDEX(Segmentation!$I$2:$I$301,MATCH($A71,Segmentation!$A$2:$A$301,0))</f>
        <v>1671</v>
      </c>
      <c r="I71" s="2" t="n">
        <f aca="false">INDEX(Segmentation!$O$2:$O$301,MATCH($A71,Segmentation!$A$2:$A$301,0))</f>
        <v>1</v>
      </c>
      <c r="J71" s="2" t="n">
        <f aca="false">INDEX(Segmentation!$Q$2:$Q$301,MATCH($A71,Segmentation!$A$2:$A$301,0))</f>
        <v>1</v>
      </c>
      <c r="K71" s="2" t="n">
        <f aca="false">INDEX(Segmentation!$W$2:$W$301,MATCH($A71,Segmentation!$A$2:$A$301,0))</f>
        <v>1</v>
      </c>
      <c r="L71" s="9" t="n">
        <f aca="false">INDEX('Commercial View'!$L$2:$L$301,MATCH($A71,'Commercial View'!$A$2:$A$301,0))</f>
        <v>0</v>
      </c>
      <c r="M71" s="9" t="n">
        <f aca="false">INDEX('Commercial View'!$M$2:$M$301,MATCH($A71,'Commercial View'!$A$2:$A$301,0))</f>
        <v>0</v>
      </c>
      <c r="N71" s="9" t="n">
        <f aca="false">INDEX('Commercial View'!$N$2:$N$301,MATCH($A71,'Commercial View'!$A$2:$A$301,0))</f>
        <v>0</v>
      </c>
      <c r="O71" s="9" t="n">
        <f aca="false">INDEX(Segmentation!$L$2:$L$301,MATCH($A71,Segmentation!$A$2:$A$301,0))</f>
        <v>0</v>
      </c>
      <c r="P71" s="2" t="str">
        <f aca="false">IF(OR(M71&gt;0,N71&gt;0),"Recently Active",IF(OR(I71&lt;=Assumptions!$B$48,K71&lt;=Assumptions!$B$49),"No Meaningful History","Recent Inactivity"))</f>
        <v>No Meaningful History</v>
      </c>
      <c r="Q71" s="2" t="str">
        <f aca="false">INDEX(Segmentation!$AF$2:$AF$301,MATCH($A71,Segmentation!$A$2:$A$301,0))</f>
        <v>Existing Customer</v>
      </c>
      <c r="R71" s="2" t="str">
        <f aca="false">INDEX(Segmentation!$AL$2:$AL$301,MATCH($A71,Segmentation!$A$2:$A$301,0))</f>
        <v>One-Off / Insufficient History — Verify</v>
      </c>
      <c r="S71" s="10" t="b">
        <f aca="false">INDEX(Segmentation!$AW$2:$AW$301,MATCH($A71,Segmentation!$A$2:$A$301,0))</f>
        <v>0</v>
      </c>
      <c r="T71" s="2" t="str">
        <f aca="false">INDEX('Feature Data'!$AD$2:$AD$301,MATCH($A71,'Feature Data'!$A$2:$A$301,0))</f>
        <v>Engaged, not converting</v>
      </c>
      <c r="U71" s="2" t="str">
        <f aca="false">INDEX('Feature Data'!$W$2:$W$301,MATCH($A71,'Feature Data'!$A$2:$A$301,0))</f>
        <v>Bundle-only</v>
      </c>
      <c r="V71" s="2" t="n">
        <f aca="false">INDEX('Feature Data'!$P$2:$P$301,MATCH($A71,'Feature Data'!$A$2:$A$301,0))</f>
        <v>201</v>
      </c>
      <c r="W71" s="2" t="n">
        <f aca="false">INDEX(Segmentation!$R$2:$R$301,MATCH($A71,Segmentation!$A$2:$A$301,0))</f>
        <v>11</v>
      </c>
      <c r="X71" s="2" t="n">
        <f aca="false">INDEX(Segmentation!$S$2:$S$301,MATCH($A71,Segmentation!$A$2:$A$301,0))</f>
        <v>10</v>
      </c>
      <c r="Y71" s="10" t="b">
        <f aca="false">INDEX(Segmentation!$AG$2:$AG$301,MATCH($A71,Segmentation!$A$2:$A$301,0))</f>
        <v>0</v>
      </c>
      <c r="Z71" s="2" t="str">
        <f aca="false">INDEX(Segmentation!$AU$2:$AU$301,MATCH($A71,Segmentation!$A$2:$A$301,0))</f>
        <v>Not Eligible</v>
      </c>
      <c r="AA71" s="10" t="b">
        <f aca="false">INDEX(Segmentation!$Z$2:$Z$301,MATCH($A71,Segmentation!$A$2:$A$301,0))</f>
        <v>0</v>
      </c>
      <c r="AB71" s="10" t="b">
        <f aca="false">INDEX(Segmentation!$AH$2:$AH$301,MATCH($A71,Segmentation!$A$2:$A$301,0))</f>
        <v>0</v>
      </c>
      <c r="AC71" s="10" t="b">
        <f aca="false">INDEX(Segmentation!$AK$2:$AK$301,MATCH($A71,Segmentation!$A$2:$A$301,0))</f>
        <v>0</v>
      </c>
      <c r="AD71" s="10" t="b">
        <f aca="false">INDEX(Segmentation!$AQ$2:$AQ$301,MATCH($A71,Segmentation!$A$2:$A$301,0))</f>
        <v>0</v>
      </c>
      <c r="AE71" s="10" t="b">
        <f aca="false">INDEX(Segmentation!$AT$2:$AT$301,MATCH($A71,Segmentation!$A$2:$A$301,0))</f>
        <v>0</v>
      </c>
      <c r="AF71" s="10" t="b">
        <f aca="false">INDEX(Segmentation!$X$2:$X$301,MATCH($A71,Segmentation!$A$2:$A$301,0))</f>
        <v>1</v>
      </c>
      <c r="AG71" s="10" t="b">
        <f aca="false">AND(F71="Low",V71&gt;=Assumptions!$B$71,X71&lt;Assumptions!$B$72)</f>
        <v>0</v>
      </c>
      <c r="AH71" s="10" t="b">
        <f aca="false">AND(F71="Low",OR(G71="Growing",G71="Stable"),P71="Recently Active",V71&gt;=Assumptions!$B$58,K71&gt;=Assumptions!$B$73)</f>
        <v>0</v>
      </c>
      <c r="AI71" s="17" t="str">
        <f aca="false">IF(O71&gt;0,MAX(L71:N71)/O71,"")</f>
        <v/>
      </c>
      <c r="AJ71" s="2" t="str">
        <f aca="false">IF(LEFT(D71,1)="1",IF(E71="Key","MIGRATION_KEY_SIGNOFF",IF(Z71="Ready","MIGRATION_PHASE1_READY",IF(Z71="Manual Review","MIGRATION_PHASE1_REVIEW","MIGRATION_PRE_ENTRY"))),IF(LEFT(D71,1)="2","DECLINING_KEY_CORE",IF(LEFT(D71,1)="3",IF(R71="Established Buyer Lapsed","LAPSED_ESTABLISHED","LAPSED_THIN_HISTORY"),IF(LEFT(D71,1)="4",IF(Q71="New Customer","NEW_CUSTOMER","RETURNED_CUSTOMER"),IF(LEFT(D71,1)="5",IF(P71="Recently Active","COST_TO_SERVE_ACTIVE","DORMANT_LOW_VALUE"),IF(LEFT(D71,1)="6",IF(P71="Recent Inactivity","RECENT_INACTIVITY",IF(AG71,"BROWSING_LOW_OFFERS","HEALTHY_STRONG_SELF_SERVE")),IF(LEFT(D71,1)="7",IF(P71="Recent Inactivity","RECENT_INACTIVITY",IF(Q71="New Customer","NEW_CUSTOMER","RETURNED_CUSTOMER")),IF(LEFT(D71,1)="8",IF(G71="Declining",IF(T71="Engaged but shrinking (Key/Core)","ENGAGED_BUT_SHRINKING","DECLINING_KEY_CORE"),IF(R71="Established Buyer Lapsed","LAPSED_ESTABLISHED","LAPSED_THIN_HISTORY")),IF(S71,IF(P71&lt;&gt;"Recently Active","DORMANT_LOW_VALUE",IF(AG71,"BROWSING_LOW_OFFERS",IF(AH71,"RISING_TAIL","RISING_TAIL_EARLY"))),IF(AND(AG71,P71="Recently Active",OR(G71="Growing",G71="Stable",G71="H2 Active / No H1 GMV"),I71&gt;=Assumptions!$B$74),"BROWSING_LOW_OFFERS","LONG_TAIL_STANDARD"))))))))))</f>
        <v>LONG_TAIL_STANDARD</v>
      </c>
      <c r="AK71" s="2" t="str">
        <f aca="false">INDEX('NBA Library'!$B$4:$B$21,MATCH(AJ71,'NBA Library'!$A$4:$A$21,0))</f>
        <v>Automated Nurture</v>
      </c>
      <c r="AL71" s="2" t="str">
        <f aca="false">INDEX('NBA Library'!$C$4:$C$21,MATCH(AJ71,'NBA Library'!$A$4:$A$21,0))</f>
        <v>Automated</v>
      </c>
      <c r="AM71" s="2" t="str">
        <f aca="false">IF(AA71,"HOLD — Critical Data Issue",IF(Y71,"Human Sign-Off Required",IF(Z71="Manual Review","Human Review Required",IF(AND(AL71="Automated",OR(AE71,AND(OR(AK71="Discovery-to-Offer Enablement",AK71="Reinforce Successful Behaviour"),OR(AC71,AB71)))),"Human Review Required",IF(AL71="Human","Ready — Human",IF(AL71="Hybrid","Ready — Hybrid","Ready — Automated"))))))</f>
        <v>Ready — Automated</v>
      </c>
      <c r="AN71" s="2" t="str">
        <f aca="false">IF(AA71,"P0",IF(AND(AJ71="BROWSING_LOW_OFFERS",E71="Tail"),"P3",IF(AND(AM71="Human Review Required",INDEX('NBA Library'!$D$4:$D$21,MATCH(AJ71,'NBA Library'!$A$4:$A$21,0))="P4"),"P3",INDEX('NBA Library'!$D$4:$D$21,MATCH(AJ71,'NBA Library'!$A$4:$A$21,0)))))</f>
        <v>P4</v>
      </c>
      <c r="AO71" s="2" t="str">
        <f aca="false">E71&amp;" "&amp;C71&amp;" account ("&amp;B71&amp;"); "&amp;G71&amp;" momentum; "&amp;P71&amp;"; £"&amp;TEXT(H71,"#,##0")&amp;" 6m GMV. "&amp;INDEX('NBA Library'!$G$4:$G$21,MATCH(AJ71,'NBA Library'!$A$4:$A$21,0))&amp;IF(LEFT(D71,1)="1"," Baseline: "&amp;V71&amp;" PDP views, "&amp;W71&amp;" app days, "&amp;X71&amp;" offers, "&amp;TEXT(J71/I71,"0%")&amp;" of orders self-serve.","")&amp;IF(AA71," Execution on HOLD until the Duplicate status is resolved.","")&amp;IF(Y71," Key account: explicit AM/leadership sign-off required before any migration activity.","")&amp;IF(AE71," Implied broker % from order counts would move this account to a different segment; review before automating.","")</f>
        <v>Tail AM-Owned / Self-Serving account (Account Managed); Lapsed momentum; No Meaningful History; £1,671 6m GMV. Low-value, low-dependency account. Scalable automated engagement.</v>
      </c>
      <c r="AP71" s="2" t="str">
        <f aca="false">INDEX('NBA Library'!$E$4:$E$21,MATCH(AJ71,'NBA Library'!$A$4:$A$21,0))&amp;IF(AND(AJ71="NEW_CUSTOMER",AG71),"; introduce Make-an-Offer on items already browsed","")</f>
        <v>Scalable automated engagement matched to nurture sub-context</v>
      </c>
      <c r="AQ71" s="2" t="str">
        <f aca="false">INDEX('NBA Library'!$F$4:$F$21,MATCH(AJ71,'NBA Library'!$A$4:$A$21,0))</f>
        <v>Any repeat order within 90 days</v>
      </c>
      <c r="AR71" s="2" t="str">
        <f aca="false">IF(AND(F71="Low",OR(G71="Growing",G71="Stable"),P71="Recently Active",U71&lt;&gt;"Mixed",OR(AK71="Discovery-to-Offer Enablement",AK71="Reinforce Successful Behaviour"),AM71="Ready — Automated",OR(E71&lt;&gt;"Tail",S71)),"Range Expansion Test — trial "&amp;IF(U71="Bundle-only","handpick","bundles")&amp;" (experimental; not proven to lift GMV)","")</f>
        <v/>
      </c>
      <c r="AS71" s="2" t="str">
        <f aca="false">IF(AK71&lt;&gt;"Automated Nurture","",IF(AJ71="DORMANT_LOW_VALUE","Dormant",IF(AJ71="RISING_TAIL_EARLY","Rising tail – early pattern",IF(Q71="New Customer","New customer onboarding",IF(Q71="Returned Customer","Returned customer",IF(G71="Lapsed","Dormant",IF(T71="Engaged, not converting","Engaged, not converting",IF(T71="One-off low-touch buyer","One-off purchaser",IF(T71="Light-touch repeat buyer","Light-touch repeat buyer","Standard long tail")))))))))</f>
        <v>Dormant</v>
      </c>
      <c r="AT71" s="2" t="str">
        <f aca="false">IF(AA71,"CRITICAL_DATA_BLOCKER; ","")&amp;IF(Y71,"KEY_SIGNOFF; ","")&amp;IF(Z71="Manual Review","PHASE1_MANUAL_REVIEW; ","")&amp;IF(AND(LEFT(D71,1)="1",AZ71="Lumpy"),"LUMPY_CADENCE; ","")&amp;IF(AB71,"BORDERLINE_MOMENTUM; ","")&amp;IF(AC71,"FEB_SENSITIVE; ","")&amp;IF(AD71,"MATERIAL_BROKER_INCONSISTENCY"&amp;IF(AE71," (segment would change)","")&amp;"; ","")&amp;IF(AND(I71&gt;=3,O71&gt;0),IF(AI71&gt;=Assumptions!$B$75,"H2_SINGLE_MONTH_SPIKE; ",""),"")&amp;IF(AND(M71&gt;0,N71=0),"NO_FEB_GMV (Feb unconfirmed); ","")&amp;IF(AF71,"LOW_CONFIDENCE; ","")</f>
        <v>LOW_CONFIDENCE; </v>
      </c>
      <c r="AU71" s="2" t="str">
        <f aca="false">IF(LEFT(D71,1)="1",V71,"")</f>
        <v/>
      </c>
      <c r="AV71" s="2" t="str">
        <f aca="false">IF(LEFT(D71,1)="1",V71&gt;=Assumptions!$B$58,"")</f>
        <v/>
      </c>
      <c r="AW71" s="2" t="str">
        <f aca="false">IF(LEFT(D71,1)="1",W71,"")</f>
        <v/>
      </c>
      <c r="AX71" s="2" t="str">
        <f aca="false">IF(LEFT(D71,1)="1",X71,"")</f>
        <v/>
      </c>
      <c r="AY71" s="17" t="str">
        <f aca="false">IF(LEFT(D71,1)="1",J71/I71,"")</f>
        <v/>
      </c>
      <c r="AZ71" s="2" t="str">
        <f aca="false">IF(LEFT(D71,1)="1",IF(AND(K71&gt;=Assumptions!$B$83,I71&gt;=Assumptions!$B$84),"Regular","Lumpy"),"")</f>
        <v/>
      </c>
      <c r="BA71" s="2" t="str">
        <f aca="false">IF(LEFT(D71,1)="1",ROUND(6/K71,0),"")</f>
        <v/>
      </c>
      <c r="BB71" s="2" t="str">
        <f aca="false">IF(LEFT(D71,1)="1",IF(AZ71="Regular","Regular buyer: expected ~£"&amp;TEXT(H71/2,"#,##0")&amp;" per 90 days. At Risk if GMV to date &lt; "&amp;TEXT(Assumptions!$B$81,"0%")&amp;" of pro-rated expectation, checked from day "&amp;Assumptions!$B$82&amp;". Human-reviewed.","Irregular buyer ("&amp;I71&amp;" orders across "&amp;K71&amp;" months): no numeric GMV threshold. At Risk if no order within ~"&amp;BA71&amp;" month(s); AM reviews at day "&amp;Assumptions!$B$82&amp;" and "&amp;Assumptions!$B$85&amp;"."),"")</f>
        <v/>
      </c>
      <c r="BC71" s="2"/>
      <c r="BD71" s="2"/>
      <c r="BE71" s="2"/>
      <c r="BF71" s="2"/>
      <c r="BG71" s="2"/>
      <c r="BH71" s="2"/>
      <c r="BI71" s="2"/>
      <c r="BJ71" s="2" t="str">
        <f aca="false">IF(OR(NOT(LEFT(D71,1)="1"),BC71=""),"",IF(AZ71="Regular",AND(BC71&gt;=Assumptions!$B$82,N(BI71)&lt;Assumptions!$B$81*H71/180*BC71),AND(BC71&gt;=BA71*30,N(BG71)=0)))</f>
        <v/>
      </c>
      <c r="BK71" s="2" t="str">
        <f aca="false">IF(NOT(LEFT(D71,1)="1"),"N/A",IF(BC71="","Baseline",IF(BJ71,"At Risk",IF(AND(N(BD71)&gt;=Assumptions!$B$78,N(BE71)&gt;=Assumptions!$B$79,N(BH71)&gt;=1,N(BH71)/MAX(N(BG71),1)&gt;AY71),"Self-Serve Capability Demonstrated",IF(OR(N(BD71)&gt;=Assumptions!$B$76,N(BE71)&gt;=Assumptions!$B$77),"Progressing",IF(BC71&gt;=Assumptions!$B$85,"At Risk","Baseline"))))))</f>
        <v>N/A</v>
      </c>
      <c r="BL71" s="2" t="n">
        <f aca="false">(AND(C71="Broker-Reliant",OR(AK71="Discovery-to-Offer Enablement",AK71="Reinforce Successful Behaviour")))*1+(AND(G71="Declining",E71&lt;&gt;"Tail",AL71="Automated"))*1+(AND(Y71,AM71&lt;&gt;"Human Sign-Off Required"))*1+(AND(AA71,AM71&lt;&gt;"HOLD — Critical Data Issue"))*1+(AND(P71="Recent Inactivity",OR(AK71="Discovery-to-Offer Enablement",AK71="Reinforce Successful Behaviour")))*1+(AND(OR(LEFT(D71,1)="2",LEFT(D71,1)="3",LEFT(D71,1)="8"),AL71="Automated"))*1+((LEFT(D71,1)="1")&lt;&gt;(AK71="Guided Self-Serve Migration"))*1+(AND(AR71&lt;&gt;"",OR(F71&lt;&gt;"Low",U71="Mixed",AND(G71&lt;&gt;"Growing",G71&lt;&gt;"Stable"))))*1+ISNUMBER(SEARCH("chat",AP71))*1+ISNUMBER(SEARCH("video",AP71))*1+(AND(AA71,AL71="Automated",AM71&lt;&gt;"HOLD — Critical Data Issue"))*1</f>
        <v>0</v>
      </c>
    </row>
    <row r="72" customFormat="false" ht="15" hidden="false" customHeight="false" outlineLevel="0" collapsed="false">
      <c r="A72" s="2" t="s">
        <v>510</v>
      </c>
      <c r="B72" s="2" t="str">
        <f aca="false">INDEX(Segmentation!$B$2:$B$301,MATCH($A72,Segmentation!$A$2:$A$301,0))</f>
        <v>Account Managed</v>
      </c>
      <c r="C72" s="2" t="str">
        <f aca="false">INDEX(Segmentation!$H$2:$H$301,MATCH($A72,Segmentation!$A$2:$A$301,0))</f>
        <v>Broker-Reliant</v>
      </c>
      <c r="D72" s="2" t="str">
        <f aca="false">INDEX(Segmentation!$T$2:$T$301,MATCH($A72,Segmentation!$A$2:$A$301,0))</f>
        <v>5. Cost-to-Serve / Low-Touch</v>
      </c>
      <c r="E72" s="2" t="str">
        <f aca="false">INDEX(Segmentation!$J$2:$J$301,MATCH($A72,Segmentation!$A$2:$A$301,0))</f>
        <v>Tail</v>
      </c>
      <c r="F72" s="2" t="str">
        <f aca="false">INDEX(Segmentation!$G$2:$G$301,MATCH($A72,Segmentation!$A$2:$A$301,0))</f>
        <v>High</v>
      </c>
      <c r="G72" s="2" t="str">
        <f aca="false">INDEX(Segmentation!$N$2:$N$301,MATCH($A72,Segmentation!$A$2:$A$301,0))</f>
        <v>Growing</v>
      </c>
      <c r="H72" s="9" t="n">
        <f aca="false">INDEX(Segmentation!$I$2:$I$301,MATCH($A72,Segmentation!$A$2:$A$301,0))</f>
        <v>1614</v>
      </c>
      <c r="I72" s="2" t="n">
        <f aca="false">INDEX(Segmentation!$O$2:$O$301,MATCH($A72,Segmentation!$A$2:$A$301,0))</f>
        <v>6</v>
      </c>
      <c r="J72" s="2" t="n">
        <f aca="false">INDEX(Segmentation!$Q$2:$Q$301,MATCH($A72,Segmentation!$A$2:$A$301,0))</f>
        <v>2</v>
      </c>
      <c r="K72" s="2" t="n">
        <f aca="false">INDEX(Segmentation!$W$2:$W$301,MATCH($A72,Segmentation!$A$2:$A$301,0))</f>
        <v>3</v>
      </c>
      <c r="L72" s="9" t="n">
        <f aca="false">INDEX('Commercial View'!$L$2:$L$301,MATCH($A72,'Commercial View'!$A$2:$A$301,0))</f>
        <v>0</v>
      </c>
      <c r="M72" s="9" t="n">
        <f aca="false">INDEX('Commercial View'!$M$2:$M$301,MATCH($A72,'Commercial View'!$A$2:$A$301,0))</f>
        <v>1246</v>
      </c>
      <c r="N72" s="9" t="n">
        <f aca="false">INDEX('Commercial View'!$N$2:$N$301,MATCH($A72,'Commercial View'!$A$2:$A$301,0))</f>
        <v>301</v>
      </c>
      <c r="O72" s="9" t="n">
        <f aca="false">INDEX(Segmentation!$L$2:$L$301,MATCH($A72,Segmentation!$A$2:$A$301,0))</f>
        <v>1547</v>
      </c>
      <c r="P72" s="2" t="str">
        <f aca="false">IF(OR(M72&gt;0,N72&gt;0),"Recently Active",IF(OR(I72&lt;=Assumptions!$B$48,K72&lt;=Assumptions!$B$49),"No Meaningful History","Recent Inactivity"))</f>
        <v>Recently Active</v>
      </c>
      <c r="Q72" s="2" t="str">
        <f aca="false">INDEX(Segmentation!$AF$2:$AF$301,MATCH($A72,Segmentation!$A$2:$A$301,0))</f>
        <v>Existing Customer</v>
      </c>
      <c r="R72" s="2" t="str">
        <f aca="false">INDEX(Segmentation!$AL$2:$AL$301,MATCH($A72,Segmentation!$A$2:$A$301,0))</f>
        <v>N/A</v>
      </c>
      <c r="S72" s="10" t="b">
        <f aca="false">INDEX(Segmentation!$AW$2:$AW$301,MATCH($A72,Segmentation!$A$2:$A$301,0))</f>
        <v>0</v>
      </c>
      <c r="T72" s="2" t="str">
        <f aca="false">INDEX('Feature Data'!$AD$2:$AD$301,MATCH($A72,'Feature Data'!$A$2:$A$301,0))</f>
        <v>Broker-led, product-blind</v>
      </c>
      <c r="U72" s="2" t="str">
        <f aca="false">INDEX('Feature Data'!$W$2:$W$301,MATCH($A72,'Feature Data'!$A$2:$A$301,0))</f>
        <v>Bundle-only</v>
      </c>
      <c r="V72" s="2" t="n">
        <f aca="false">INDEX('Feature Data'!$P$2:$P$301,MATCH($A72,'Feature Data'!$A$2:$A$301,0))</f>
        <v>3</v>
      </c>
      <c r="W72" s="2" t="n">
        <f aca="false">INDEX(Segmentation!$R$2:$R$301,MATCH($A72,Segmentation!$A$2:$A$301,0))</f>
        <v>6</v>
      </c>
      <c r="X72" s="2" t="n">
        <f aca="false">INDEX(Segmentation!$S$2:$S$301,MATCH($A72,Segmentation!$A$2:$A$301,0))</f>
        <v>1</v>
      </c>
      <c r="Y72" s="10" t="b">
        <f aca="false">INDEX(Segmentation!$AG$2:$AG$301,MATCH($A72,Segmentation!$A$2:$A$301,0))</f>
        <v>0</v>
      </c>
      <c r="Z72" s="2" t="str">
        <f aca="false">INDEX(Segmentation!$AU$2:$AU$301,MATCH($A72,Segmentation!$A$2:$A$301,0))</f>
        <v>Not Eligible</v>
      </c>
      <c r="AA72" s="10" t="b">
        <f aca="false">INDEX(Segmentation!$Z$2:$Z$301,MATCH($A72,Segmentation!$A$2:$A$301,0))</f>
        <v>0</v>
      </c>
      <c r="AB72" s="10" t="b">
        <f aca="false">INDEX(Segmentation!$AH$2:$AH$301,MATCH($A72,Segmentation!$A$2:$A$301,0))</f>
        <v>0</v>
      </c>
      <c r="AC72" s="10" t="b">
        <f aca="false">INDEX(Segmentation!$AK$2:$AK$301,MATCH($A72,Segmentation!$A$2:$A$301,0))</f>
        <v>0</v>
      </c>
      <c r="AD72" s="10" t="b">
        <f aca="false">INDEX(Segmentation!$AQ$2:$AQ$301,MATCH($A72,Segmentation!$A$2:$A$301,0))</f>
        <v>0</v>
      </c>
      <c r="AE72" s="10" t="b">
        <f aca="false">INDEX(Segmentation!$AT$2:$AT$301,MATCH($A72,Segmentation!$A$2:$A$301,0))</f>
        <v>0</v>
      </c>
      <c r="AF72" s="10" t="b">
        <f aca="false">INDEX(Segmentation!$X$2:$X$301,MATCH($A72,Segmentation!$A$2:$A$301,0))</f>
        <v>0</v>
      </c>
      <c r="AG72" s="10" t="b">
        <f aca="false">AND(F72="Low",V72&gt;=Assumptions!$B$71,X72&lt;Assumptions!$B$72)</f>
        <v>0</v>
      </c>
      <c r="AH72" s="10" t="b">
        <f aca="false">AND(F72="Low",OR(G72="Growing",G72="Stable"),P72="Recently Active",V72&gt;=Assumptions!$B$58,K72&gt;=Assumptions!$B$73)</f>
        <v>0</v>
      </c>
      <c r="AI72" s="17" t="n">
        <f aca="false">IF(O72&gt;0,MAX(L72:N72)/O72,"")</f>
        <v>0.805429864253394</v>
      </c>
      <c r="AJ72" s="2" t="str">
        <f aca="false">IF(LEFT(D72,1)="1",IF(E72="Key","MIGRATION_KEY_SIGNOFF",IF(Z72="Ready","MIGRATION_PHASE1_READY",IF(Z72="Manual Review","MIGRATION_PHASE1_REVIEW","MIGRATION_PRE_ENTRY"))),IF(LEFT(D72,1)="2","DECLINING_KEY_CORE",IF(LEFT(D72,1)="3",IF(R72="Established Buyer Lapsed","LAPSED_ESTABLISHED","LAPSED_THIN_HISTORY"),IF(LEFT(D72,1)="4",IF(Q72="New Customer","NEW_CUSTOMER","RETURNED_CUSTOMER"),IF(LEFT(D72,1)="5",IF(P72="Recently Active","COST_TO_SERVE_ACTIVE","DORMANT_LOW_VALUE"),IF(LEFT(D72,1)="6",IF(P72="Recent Inactivity","RECENT_INACTIVITY",IF(AG72,"BROWSING_LOW_OFFERS","HEALTHY_STRONG_SELF_SERVE")),IF(LEFT(D72,1)="7",IF(P72="Recent Inactivity","RECENT_INACTIVITY",IF(Q72="New Customer","NEW_CUSTOMER","RETURNED_CUSTOMER")),IF(LEFT(D72,1)="8",IF(G72="Declining",IF(T72="Engaged but shrinking (Key/Core)","ENGAGED_BUT_SHRINKING","DECLINING_KEY_CORE"),IF(R72="Established Buyer Lapsed","LAPSED_ESTABLISHED","LAPSED_THIN_HISTORY")),IF(S72,IF(P72&lt;&gt;"Recently Active","DORMANT_LOW_VALUE",IF(AG72,"BROWSING_LOW_OFFERS",IF(AH72,"RISING_TAIL","RISING_TAIL_EARLY"))),IF(AND(AG72,P72="Recently Active",OR(G72="Growing",G72="Stable",G72="H2 Active / No H1 GMV"),I72&gt;=Assumptions!$B$74),"BROWSING_LOW_OFFERS","LONG_TAIL_STANDARD"))))))))))</f>
        <v>COST_TO_SERVE_ACTIVE</v>
      </c>
      <c r="AK72" s="2" t="str">
        <f aca="false">INDEX('NBA Library'!$B$4:$B$21,MATCH(AJ72,'NBA Library'!$A$4:$A$21,0))</f>
        <v>Service Model Review</v>
      </c>
      <c r="AL72" s="2" t="str">
        <f aca="false">INDEX('NBA Library'!$C$4:$C$21,MATCH(AJ72,'NBA Library'!$A$4:$A$21,0))</f>
        <v>Human</v>
      </c>
      <c r="AM72" s="2" t="str">
        <f aca="false">IF(AA72,"HOLD — Critical Data Issue",IF(Y72,"Human Sign-Off Required",IF(Z72="Manual Review","Human Review Required",IF(AND(AL72="Automated",OR(AE72,AND(OR(AK72="Discovery-to-Offer Enablement",AK72="Reinforce Successful Behaviour"),OR(AC72,AB72)))),"Human Review Required",IF(AL72="Human","Ready — Human",IF(AL72="Hybrid","Ready — Hybrid","Ready — Automated"))))))</f>
        <v>Ready — Human</v>
      </c>
      <c r="AN72" s="2" t="str">
        <f aca="false">IF(AA72,"P0",IF(AND(AJ72="BROWSING_LOW_OFFERS",E72="Tail"),"P3",IF(AND(AM72="Human Review Required",INDEX('NBA Library'!$D$4:$D$21,MATCH(AJ72,'NBA Library'!$A$4:$A$21,0))="P4"),"P3",INDEX('NBA Library'!$D$4:$D$21,MATCH(AJ72,'NBA Library'!$A$4:$A$21,0)))))</f>
        <v>P3</v>
      </c>
      <c r="AO72" s="2" t="str">
        <f aca="false">E72&amp;" "&amp;C72&amp;" account ("&amp;B72&amp;"); "&amp;G72&amp;" momentum; "&amp;P72&amp;"; £"&amp;TEXT(H72,"#,##0")&amp;" 6m GMV. "&amp;INDEX('NBA Library'!$G$4:$G$21,MATCH(AJ72,'NBA Library'!$A$4:$A$21,0))&amp;IF(LEFT(D72,1)="1"," Baseline: "&amp;V72&amp;" PDP views, "&amp;W72&amp;" app days, "&amp;X72&amp;" offers, "&amp;TEXT(J72/I72,"0%")&amp;" of orders self-serve.","")&amp;IF(AA72," Execution on HOLD until the Duplicate status is resolved.","")&amp;IF(Y72," Key account: explicit AM/leadership sign-off required before any migration activity.","")&amp;IF(AE72," Implied broker % from order counts would move this account to a different segment; review before automating.","")</f>
        <v>Tail Broker-Reliant account (Account Managed); Growing momentum; Recently Active; £1,614 6m GMV. Broker-reliant but low value and still buying. Decide whether continued AM/broker effort is justified.</v>
      </c>
      <c r="AP72" s="2" t="str">
        <f aca="false">INDEX('NBA Library'!$E$4:$E$21,MATCH(AJ72,'NBA Library'!$A$4:$A$21,0))&amp;IF(AND(AJ72="NEW_CUSTOMER",AG72),"; introduce Make-an-Offer on items already browsed","")</f>
        <v>Internal decision: keep AM coverage, move to low-touch, or automate re-ordering</v>
      </c>
      <c r="AQ72" s="2" t="str">
        <f aca="false">INDEX('NBA Library'!$F$4:$F$21,MATCH(AJ72,'NBA Library'!$A$4:$A$21,0))</f>
        <v>Decision logged; broker effort reduced without GMV loss</v>
      </c>
      <c r="AR72" s="2" t="str">
        <f aca="false">IF(AND(F72="Low",OR(G72="Growing",G72="Stable"),P72="Recently Active",U72&lt;&gt;"Mixed",OR(AK72="Discovery-to-Offer Enablement",AK72="Reinforce Successful Behaviour"),AM72="Ready — Automated",OR(E72&lt;&gt;"Tail",S72)),"Range Expansion Test — trial "&amp;IF(U72="Bundle-only","handpick","bundles")&amp;" (experimental; not proven to lift GMV)","")</f>
        <v/>
      </c>
      <c r="AS72" s="2" t="str">
        <f aca="false">IF(AK72&lt;&gt;"Automated Nurture","",IF(AJ72="DORMANT_LOW_VALUE","Dormant",IF(AJ72="RISING_TAIL_EARLY","Rising tail – early pattern",IF(Q72="New Customer","New customer onboarding",IF(Q72="Returned Customer","Returned customer",IF(G72="Lapsed","Dormant",IF(T72="Engaged, not converting","Engaged, not converting",IF(T72="One-off low-touch buyer","One-off purchaser",IF(T72="Light-touch repeat buyer","Light-touch repeat buyer","Standard long tail")))))))))</f>
        <v/>
      </c>
      <c r="AT72" s="2" t="str">
        <f aca="false">IF(AA72,"CRITICAL_DATA_BLOCKER; ","")&amp;IF(Y72,"KEY_SIGNOFF; ","")&amp;IF(Z72="Manual Review","PHASE1_MANUAL_REVIEW; ","")&amp;IF(AND(LEFT(D72,1)="1",AZ72="Lumpy"),"LUMPY_CADENCE; ","")&amp;IF(AB72,"BORDERLINE_MOMENTUM; ","")&amp;IF(AC72,"FEB_SENSITIVE; ","")&amp;IF(AD72,"MATERIAL_BROKER_INCONSISTENCY"&amp;IF(AE72," (segment would change)","")&amp;"; ","")&amp;IF(AND(I72&gt;=3,O72&gt;0),IF(AI72&gt;=Assumptions!$B$75,"H2_SINGLE_MONTH_SPIKE; ",""),"")&amp;IF(AND(M72&gt;0,N72=0),"NO_FEB_GMV (Feb unconfirmed); ","")&amp;IF(AF72,"LOW_CONFIDENCE; ","")</f>
        <v>H2_SINGLE_MONTH_SPIKE; </v>
      </c>
      <c r="AU72" s="2" t="str">
        <f aca="false">IF(LEFT(D72,1)="1",V72,"")</f>
        <v/>
      </c>
      <c r="AV72" s="2" t="str">
        <f aca="false">IF(LEFT(D72,1)="1",V72&gt;=Assumptions!$B$58,"")</f>
        <v/>
      </c>
      <c r="AW72" s="2" t="str">
        <f aca="false">IF(LEFT(D72,1)="1",W72,"")</f>
        <v/>
      </c>
      <c r="AX72" s="2" t="str">
        <f aca="false">IF(LEFT(D72,1)="1",X72,"")</f>
        <v/>
      </c>
      <c r="AY72" s="17" t="str">
        <f aca="false">IF(LEFT(D72,1)="1",J72/I72,"")</f>
        <v/>
      </c>
      <c r="AZ72" s="2" t="str">
        <f aca="false">IF(LEFT(D72,1)="1",IF(AND(K72&gt;=Assumptions!$B$83,I72&gt;=Assumptions!$B$84),"Regular","Lumpy"),"")</f>
        <v/>
      </c>
      <c r="BA72" s="2" t="str">
        <f aca="false">IF(LEFT(D72,1)="1",ROUND(6/K72,0),"")</f>
        <v/>
      </c>
      <c r="BB72" s="2" t="str">
        <f aca="false">IF(LEFT(D72,1)="1",IF(AZ72="Regular","Regular buyer: expected ~£"&amp;TEXT(H72/2,"#,##0")&amp;" per 90 days. At Risk if GMV to date &lt; "&amp;TEXT(Assumptions!$B$81,"0%")&amp;" of pro-rated expectation, checked from day "&amp;Assumptions!$B$82&amp;". Human-reviewed.","Irregular buyer ("&amp;I72&amp;" orders across "&amp;K72&amp;" months): no numeric GMV threshold. At Risk if no order within ~"&amp;BA72&amp;" month(s); AM reviews at day "&amp;Assumptions!$B$82&amp;" and "&amp;Assumptions!$B$85&amp;"."),"")</f>
        <v/>
      </c>
      <c r="BC72" s="2"/>
      <c r="BD72" s="2"/>
      <c r="BE72" s="2"/>
      <c r="BF72" s="2"/>
      <c r="BG72" s="2"/>
      <c r="BH72" s="2"/>
      <c r="BI72" s="2"/>
      <c r="BJ72" s="2" t="str">
        <f aca="false">IF(OR(NOT(LEFT(D72,1)="1"),BC72=""),"",IF(AZ72="Regular",AND(BC72&gt;=Assumptions!$B$82,N(BI72)&lt;Assumptions!$B$81*H72/180*BC72),AND(BC72&gt;=BA72*30,N(BG72)=0)))</f>
        <v/>
      </c>
      <c r="BK72" s="2" t="str">
        <f aca="false">IF(NOT(LEFT(D72,1)="1"),"N/A",IF(BC72="","Baseline",IF(BJ72,"At Risk",IF(AND(N(BD72)&gt;=Assumptions!$B$78,N(BE72)&gt;=Assumptions!$B$79,N(BH72)&gt;=1,N(BH72)/MAX(N(BG72),1)&gt;AY72),"Self-Serve Capability Demonstrated",IF(OR(N(BD72)&gt;=Assumptions!$B$76,N(BE72)&gt;=Assumptions!$B$77),"Progressing",IF(BC72&gt;=Assumptions!$B$85,"At Risk","Baseline"))))))</f>
        <v>N/A</v>
      </c>
      <c r="BL72" s="2" t="n">
        <f aca="false">(AND(C72="Broker-Reliant",OR(AK72="Discovery-to-Offer Enablement",AK72="Reinforce Successful Behaviour")))*1+(AND(G72="Declining",E72&lt;&gt;"Tail",AL72="Automated"))*1+(AND(Y72,AM72&lt;&gt;"Human Sign-Off Required"))*1+(AND(AA72,AM72&lt;&gt;"HOLD — Critical Data Issue"))*1+(AND(P72="Recent Inactivity",OR(AK72="Discovery-to-Offer Enablement",AK72="Reinforce Successful Behaviour")))*1+(AND(OR(LEFT(D72,1)="2",LEFT(D72,1)="3",LEFT(D72,1)="8"),AL72="Automated"))*1+((LEFT(D72,1)="1")&lt;&gt;(AK72="Guided Self-Serve Migration"))*1+(AND(AR72&lt;&gt;"",OR(F72&lt;&gt;"Low",U72="Mixed",AND(G72&lt;&gt;"Growing",G72&lt;&gt;"Stable"))))*1+ISNUMBER(SEARCH("chat",AP72))*1+ISNUMBER(SEARCH("video",AP72))*1+(AND(AA72,AL72="Automated",AM72&lt;&gt;"HOLD — Critical Data Issue"))*1</f>
        <v>0</v>
      </c>
    </row>
    <row r="73" customFormat="false" ht="15" hidden="false" customHeight="false" outlineLevel="0" collapsed="false">
      <c r="A73" s="2" t="s">
        <v>584</v>
      </c>
      <c r="B73" s="2" t="str">
        <f aca="false">INDEX(Segmentation!$B$2:$B$301,MATCH($A73,Segmentation!$A$2:$A$301,0))</f>
        <v>Account Managed</v>
      </c>
      <c r="C73" s="2" t="str">
        <f aca="false">INDEX(Segmentation!$H$2:$H$301,MATCH($A73,Segmentation!$A$2:$A$301,0))</f>
        <v>AM-Owned / Self-Serving</v>
      </c>
      <c r="D73" s="2" t="str">
        <f aca="false">INDEX(Segmentation!$T$2:$T$301,MATCH($A73,Segmentation!$A$2:$A$301,0))</f>
        <v>9. Long-Tail Automated Nurture</v>
      </c>
      <c r="E73" s="2" t="str">
        <f aca="false">INDEX(Segmentation!$J$2:$J$301,MATCH($A73,Segmentation!$A$2:$A$301,0))</f>
        <v>Tail</v>
      </c>
      <c r="F73" s="2" t="str">
        <f aca="false">INDEX(Segmentation!$G$2:$G$301,MATCH($A73,Segmentation!$A$2:$A$301,0))</f>
        <v>Low</v>
      </c>
      <c r="G73" s="2" t="str">
        <f aca="false">INDEX(Segmentation!$N$2:$N$301,MATCH($A73,Segmentation!$A$2:$A$301,0))</f>
        <v>Declining</v>
      </c>
      <c r="H73" s="9" t="n">
        <f aca="false">INDEX(Segmentation!$I$2:$I$301,MATCH($A73,Segmentation!$A$2:$A$301,0))</f>
        <v>1542</v>
      </c>
      <c r="I73" s="2" t="n">
        <f aca="false">INDEX(Segmentation!$O$2:$O$301,MATCH($A73,Segmentation!$A$2:$A$301,0))</f>
        <v>5</v>
      </c>
      <c r="J73" s="2" t="n">
        <f aca="false">INDEX(Segmentation!$Q$2:$Q$301,MATCH($A73,Segmentation!$A$2:$A$301,0))</f>
        <v>4</v>
      </c>
      <c r="K73" s="2" t="n">
        <f aca="false">INDEX(Segmentation!$W$2:$W$301,MATCH($A73,Segmentation!$A$2:$A$301,0))</f>
        <v>3</v>
      </c>
      <c r="L73" s="9" t="n">
        <f aca="false">INDEX('Commercial View'!$L$2:$L$301,MATCH($A73,'Commercial View'!$A$2:$A$301,0))</f>
        <v>0</v>
      </c>
      <c r="M73" s="9" t="n">
        <f aca="false">INDEX('Commercial View'!$M$2:$M$301,MATCH($A73,'Commercial View'!$A$2:$A$301,0))</f>
        <v>244</v>
      </c>
      <c r="N73" s="9" t="n">
        <f aca="false">INDEX('Commercial View'!$N$2:$N$301,MATCH($A73,'Commercial View'!$A$2:$A$301,0))</f>
        <v>0</v>
      </c>
      <c r="O73" s="9" t="n">
        <f aca="false">INDEX(Segmentation!$L$2:$L$301,MATCH($A73,Segmentation!$A$2:$A$301,0))</f>
        <v>244</v>
      </c>
      <c r="P73" s="2" t="str">
        <f aca="false">IF(OR(M73&gt;0,N73&gt;0),"Recently Active",IF(OR(I73&lt;=Assumptions!$B$48,K73&lt;=Assumptions!$B$49),"No Meaningful History","Recent Inactivity"))</f>
        <v>Recently Active</v>
      </c>
      <c r="Q73" s="2" t="str">
        <f aca="false">INDEX(Segmentation!$AF$2:$AF$301,MATCH($A73,Segmentation!$A$2:$A$301,0))</f>
        <v>Existing Customer</v>
      </c>
      <c r="R73" s="2" t="str">
        <f aca="false">INDEX(Segmentation!$AL$2:$AL$301,MATCH($A73,Segmentation!$A$2:$A$301,0))</f>
        <v>N/A</v>
      </c>
      <c r="S73" s="10" t="b">
        <f aca="false">INDEX(Segmentation!$AW$2:$AW$301,MATCH($A73,Segmentation!$A$2:$A$301,0))</f>
        <v>0</v>
      </c>
      <c r="T73" s="2" t="str">
        <f aca="false">INDEX('Feature Data'!$AD$2:$AD$301,MATCH($A73,'Feature Data'!$A$2:$A$301,0))</f>
        <v>Independent browser-buyer</v>
      </c>
      <c r="U73" s="2" t="str">
        <f aca="false">INDEX('Feature Data'!$W$2:$W$301,MATCH($A73,'Feature Data'!$A$2:$A$301,0))</f>
        <v>Mixed</v>
      </c>
      <c r="V73" s="2" t="n">
        <f aca="false">INDEX('Feature Data'!$P$2:$P$301,MATCH($A73,'Feature Data'!$A$2:$A$301,0))</f>
        <v>827</v>
      </c>
      <c r="W73" s="2" t="n">
        <f aca="false">INDEX(Segmentation!$R$2:$R$301,MATCH($A73,Segmentation!$A$2:$A$301,0))</f>
        <v>77</v>
      </c>
      <c r="X73" s="2" t="n">
        <f aca="false">INDEX(Segmentation!$S$2:$S$301,MATCH($A73,Segmentation!$A$2:$A$301,0))</f>
        <v>17</v>
      </c>
      <c r="Y73" s="10" t="b">
        <f aca="false">INDEX(Segmentation!$AG$2:$AG$301,MATCH($A73,Segmentation!$A$2:$A$301,0))</f>
        <v>0</v>
      </c>
      <c r="Z73" s="2" t="str">
        <f aca="false">INDEX(Segmentation!$AU$2:$AU$301,MATCH($A73,Segmentation!$A$2:$A$301,0))</f>
        <v>Not Eligible</v>
      </c>
      <c r="AA73" s="10" t="b">
        <f aca="false">INDEX(Segmentation!$Z$2:$Z$301,MATCH($A73,Segmentation!$A$2:$A$301,0))</f>
        <v>0</v>
      </c>
      <c r="AB73" s="10" t="b">
        <f aca="false">INDEX(Segmentation!$AH$2:$AH$301,MATCH($A73,Segmentation!$A$2:$A$301,0))</f>
        <v>0</v>
      </c>
      <c r="AC73" s="10" t="b">
        <f aca="false">INDEX(Segmentation!$AK$2:$AK$301,MATCH($A73,Segmentation!$A$2:$A$301,0))</f>
        <v>0</v>
      </c>
      <c r="AD73" s="10" t="b">
        <f aca="false">INDEX(Segmentation!$AQ$2:$AQ$301,MATCH($A73,Segmentation!$A$2:$A$301,0))</f>
        <v>0</v>
      </c>
      <c r="AE73" s="10" t="b">
        <f aca="false">INDEX(Segmentation!$AT$2:$AT$301,MATCH($A73,Segmentation!$A$2:$A$301,0))</f>
        <v>0</v>
      </c>
      <c r="AF73" s="10" t="b">
        <f aca="false">INDEX(Segmentation!$X$2:$X$301,MATCH($A73,Segmentation!$A$2:$A$301,0))</f>
        <v>0</v>
      </c>
      <c r="AG73" s="10" t="b">
        <f aca="false">AND(F73="Low",V73&gt;=Assumptions!$B$71,X73&lt;Assumptions!$B$72)</f>
        <v>0</v>
      </c>
      <c r="AH73" s="10" t="b">
        <f aca="false">AND(F73="Low",OR(G73="Growing",G73="Stable"),P73="Recently Active",V73&gt;=Assumptions!$B$58,K73&gt;=Assumptions!$B$73)</f>
        <v>0</v>
      </c>
      <c r="AI73" s="17" t="n">
        <f aca="false">IF(O73&gt;0,MAX(L73:N73)/O73,"")</f>
        <v>1</v>
      </c>
      <c r="AJ73" s="2" t="str">
        <f aca="false">IF(LEFT(D73,1)="1",IF(E73="Key","MIGRATION_KEY_SIGNOFF",IF(Z73="Ready","MIGRATION_PHASE1_READY",IF(Z73="Manual Review","MIGRATION_PHASE1_REVIEW","MIGRATION_PRE_ENTRY"))),IF(LEFT(D73,1)="2","DECLINING_KEY_CORE",IF(LEFT(D73,1)="3",IF(R73="Established Buyer Lapsed","LAPSED_ESTABLISHED","LAPSED_THIN_HISTORY"),IF(LEFT(D73,1)="4",IF(Q73="New Customer","NEW_CUSTOMER","RETURNED_CUSTOMER"),IF(LEFT(D73,1)="5",IF(P73="Recently Active","COST_TO_SERVE_ACTIVE","DORMANT_LOW_VALUE"),IF(LEFT(D73,1)="6",IF(P73="Recent Inactivity","RECENT_INACTIVITY",IF(AG73,"BROWSING_LOW_OFFERS","HEALTHY_STRONG_SELF_SERVE")),IF(LEFT(D73,1)="7",IF(P73="Recent Inactivity","RECENT_INACTIVITY",IF(Q73="New Customer","NEW_CUSTOMER","RETURNED_CUSTOMER")),IF(LEFT(D73,1)="8",IF(G73="Declining",IF(T73="Engaged but shrinking (Key/Core)","ENGAGED_BUT_SHRINKING","DECLINING_KEY_CORE"),IF(R73="Established Buyer Lapsed","LAPSED_ESTABLISHED","LAPSED_THIN_HISTORY")),IF(S73,IF(P73&lt;&gt;"Recently Active","DORMANT_LOW_VALUE",IF(AG73,"BROWSING_LOW_OFFERS",IF(AH73,"RISING_TAIL","RISING_TAIL_EARLY"))),IF(AND(AG73,P73="Recently Active",OR(G73="Growing",G73="Stable",G73="H2 Active / No H1 GMV"),I73&gt;=Assumptions!$B$74),"BROWSING_LOW_OFFERS","LONG_TAIL_STANDARD"))))))))))</f>
        <v>LONG_TAIL_STANDARD</v>
      </c>
      <c r="AK73" s="2" t="str">
        <f aca="false">INDEX('NBA Library'!$B$4:$B$21,MATCH(AJ73,'NBA Library'!$A$4:$A$21,0))</f>
        <v>Automated Nurture</v>
      </c>
      <c r="AL73" s="2" t="str">
        <f aca="false">INDEX('NBA Library'!$C$4:$C$21,MATCH(AJ73,'NBA Library'!$A$4:$A$21,0))</f>
        <v>Automated</v>
      </c>
      <c r="AM73" s="2" t="str">
        <f aca="false">IF(AA73,"HOLD — Critical Data Issue",IF(Y73,"Human Sign-Off Required",IF(Z73="Manual Review","Human Review Required",IF(AND(AL73="Automated",OR(AE73,AND(OR(AK73="Discovery-to-Offer Enablement",AK73="Reinforce Successful Behaviour"),OR(AC73,AB73)))),"Human Review Required",IF(AL73="Human","Ready — Human",IF(AL73="Hybrid","Ready — Hybrid","Ready — Automated"))))))</f>
        <v>Ready — Automated</v>
      </c>
      <c r="AN73" s="2" t="str">
        <f aca="false">IF(AA73,"P0",IF(AND(AJ73="BROWSING_LOW_OFFERS",E73="Tail"),"P3",IF(AND(AM73="Human Review Required",INDEX('NBA Library'!$D$4:$D$21,MATCH(AJ73,'NBA Library'!$A$4:$A$21,0))="P4"),"P3",INDEX('NBA Library'!$D$4:$D$21,MATCH(AJ73,'NBA Library'!$A$4:$A$21,0)))))</f>
        <v>P4</v>
      </c>
      <c r="AO73" s="2" t="str">
        <f aca="false">E73&amp;" "&amp;C73&amp;" account ("&amp;B73&amp;"); "&amp;G73&amp;" momentum; "&amp;P73&amp;"; £"&amp;TEXT(H73,"#,##0")&amp;" 6m GMV. "&amp;INDEX('NBA Library'!$G$4:$G$21,MATCH(AJ73,'NBA Library'!$A$4:$A$21,0))&amp;IF(LEFT(D73,1)="1"," Baseline: "&amp;V73&amp;" PDP views, "&amp;W73&amp;" app days, "&amp;X73&amp;" offers, "&amp;TEXT(J73/I73,"0%")&amp;" of orders self-serve.","")&amp;IF(AA73," Execution on HOLD until the Duplicate status is resolved.","")&amp;IF(Y73," Key account: explicit AM/leadership sign-off required before any migration activity.","")&amp;IF(AE73," Implied broker % from order counts would move this account to a different segment; review before automating.","")</f>
        <v>Tail AM-Owned / Self-Serving account (Account Managed); Declining momentum; Recently Active; £1,542 6m GMV. Low-value, low-dependency account. Scalable automated engagement.</v>
      </c>
      <c r="AP73" s="2" t="str">
        <f aca="false">INDEX('NBA Library'!$E$4:$E$21,MATCH(AJ73,'NBA Library'!$A$4:$A$21,0))&amp;IF(AND(AJ73="NEW_CUSTOMER",AG73),"; introduce Make-an-Offer on items already browsed","")</f>
        <v>Scalable automated engagement matched to nurture sub-context</v>
      </c>
      <c r="AQ73" s="2" t="str">
        <f aca="false">INDEX('NBA Library'!$F$4:$F$21,MATCH(AJ73,'NBA Library'!$A$4:$A$21,0))</f>
        <v>Any repeat order within 90 days</v>
      </c>
      <c r="AR73" s="2" t="str">
        <f aca="false">IF(AND(F73="Low",OR(G73="Growing",G73="Stable"),P73="Recently Active",U73&lt;&gt;"Mixed",OR(AK73="Discovery-to-Offer Enablement",AK73="Reinforce Successful Behaviour"),AM73="Ready — Automated",OR(E73&lt;&gt;"Tail",S73)),"Range Expansion Test — trial "&amp;IF(U73="Bundle-only","handpick","bundles")&amp;" (experimental; not proven to lift GMV)","")</f>
        <v/>
      </c>
      <c r="AS73" s="2" t="str">
        <f aca="false">IF(AK73&lt;&gt;"Automated Nurture","",IF(AJ73="DORMANT_LOW_VALUE","Dormant",IF(AJ73="RISING_TAIL_EARLY","Rising tail – early pattern",IF(Q73="New Customer","New customer onboarding",IF(Q73="Returned Customer","Returned customer",IF(G73="Lapsed","Dormant",IF(T73="Engaged, not converting","Engaged, not converting",IF(T73="One-off low-touch buyer","One-off purchaser",IF(T73="Light-touch repeat buyer","Light-touch repeat buyer","Standard long tail")))))))))</f>
        <v>Standard long tail</v>
      </c>
      <c r="AT73" s="2" t="str">
        <f aca="false">IF(AA73,"CRITICAL_DATA_BLOCKER; ","")&amp;IF(Y73,"KEY_SIGNOFF; ","")&amp;IF(Z73="Manual Review","PHASE1_MANUAL_REVIEW; ","")&amp;IF(AND(LEFT(D73,1)="1",AZ73="Lumpy"),"LUMPY_CADENCE; ","")&amp;IF(AB73,"BORDERLINE_MOMENTUM; ","")&amp;IF(AC73,"FEB_SENSITIVE; ","")&amp;IF(AD73,"MATERIAL_BROKER_INCONSISTENCY"&amp;IF(AE73," (segment would change)","")&amp;"; ","")&amp;IF(AND(I73&gt;=3,O73&gt;0),IF(AI73&gt;=Assumptions!$B$75,"H2_SINGLE_MONTH_SPIKE; ",""),"")&amp;IF(AND(M73&gt;0,N73=0),"NO_FEB_GMV (Feb unconfirmed); ","")&amp;IF(AF73,"LOW_CONFIDENCE; ","")</f>
        <v>H2_SINGLE_MONTH_SPIKE; NO_FEB_GMV (Feb unconfirmed); </v>
      </c>
      <c r="AU73" s="2" t="str">
        <f aca="false">IF(LEFT(D73,1)="1",V73,"")</f>
        <v/>
      </c>
      <c r="AV73" s="2" t="str">
        <f aca="false">IF(LEFT(D73,1)="1",V73&gt;=Assumptions!$B$58,"")</f>
        <v/>
      </c>
      <c r="AW73" s="2" t="str">
        <f aca="false">IF(LEFT(D73,1)="1",W73,"")</f>
        <v/>
      </c>
      <c r="AX73" s="2" t="str">
        <f aca="false">IF(LEFT(D73,1)="1",X73,"")</f>
        <v/>
      </c>
      <c r="AY73" s="17" t="str">
        <f aca="false">IF(LEFT(D73,1)="1",J73/I73,"")</f>
        <v/>
      </c>
      <c r="AZ73" s="2" t="str">
        <f aca="false">IF(LEFT(D73,1)="1",IF(AND(K73&gt;=Assumptions!$B$83,I73&gt;=Assumptions!$B$84),"Regular","Lumpy"),"")</f>
        <v/>
      </c>
      <c r="BA73" s="2" t="str">
        <f aca="false">IF(LEFT(D73,1)="1",ROUND(6/K73,0),"")</f>
        <v/>
      </c>
      <c r="BB73" s="2" t="str">
        <f aca="false">IF(LEFT(D73,1)="1",IF(AZ73="Regular","Regular buyer: expected ~£"&amp;TEXT(H73/2,"#,##0")&amp;" per 90 days. At Risk if GMV to date &lt; "&amp;TEXT(Assumptions!$B$81,"0%")&amp;" of pro-rated expectation, checked from day "&amp;Assumptions!$B$82&amp;". Human-reviewed.","Irregular buyer ("&amp;I73&amp;" orders across "&amp;K73&amp;" months): no numeric GMV threshold. At Risk if no order within ~"&amp;BA73&amp;" month(s); AM reviews at day "&amp;Assumptions!$B$82&amp;" and "&amp;Assumptions!$B$85&amp;"."),"")</f>
        <v/>
      </c>
      <c r="BC73" s="2"/>
      <c r="BD73" s="2"/>
      <c r="BE73" s="2"/>
      <c r="BF73" s="2"/>
      <c r="BG73" s="2"/>
      <c r="BH73" s="2"/>
      <c r="BI73" s="2"/>
      <c r="BJ73" s="2" t="str">
        <f aca="false">IF(OR(NOT(LEFT(D73,1)="1"),BC73=""),"",IF(AZ73="Regular",AND(BC73&gt;=Assumptions!$B$82,N(BI73)&lt;Assumptions!$B$81*H73/180*BC73),AND(BC73&gt;=BA73*30,N(BG73)=0)))</f>
        <v/>
      </c>
      <c r="BK73" s="2" t="str">
        <f aca="false">IF(NOT(LEFT(D73,1)="1"),"N/A",IF(BC73="","Baseline",IF(BJ73,"At Risk",IF(AND(N(BD73)&gt;=Assumptions!$B$78,N(BE73)&gt;=Assumptions!$B$79,N(BH73)&gt;=1,N(BH73)/MAX(N(BG73),1)&gt;AY73),"Self-Serve Capability Demonstrated",IF(OR(N(BD73)&gt;=Assumptions!$B$76,N(BE73)&gt;=Assumptions!$B$77),"Progressing",IF(BC73&gt;=Assumptions!$B$85,"At Risk","Baseline"))))))</f>
        <v>N/A</v>
      </c>
      <c r="BL73" s="2" t="n">
        <f aca="false">(AND(C73="Broker-Reliant",OR(AK73="Discovery-to-Offer Enablement",AK73="Reinforce Successful Behaviour")))*1+(AND(G73="Declining",E73&lt;&gt;"Tail",AL73="Automated"))*1+(AND(Y73,AM73&lt;&gt;"Human Sign-Off Required"))*1+(AND(AA73,AM73&lt;&gt;"HOLD — Critical Data Issue"))*1+(AND(P73="Recent Inactivity",OR(AK73="Discovery-to-Offer Enablement",AK73="Reinforce Successful Behaviour")))*1+(AND(OR(LEFT(D73,1)="2",LEFT(D73,1)="3",LEFT(D73,1)="8"),AL73="Automated"))*1+((LEFT(D73,1)="1")&lt;&gt;(AK73="Guided Self-Serve Migration"))*1+(AND(AR73&lt;&gt;"",OR(F73&lt;&gt;"Low",U73="Mixed",AND(G73&lt;&gt;"Growing",G73&lt;&gt;"Stable"))))*1+ISNUMBER(SEARCH("chat",AP73))*1+ISNUMBER(SEARCH("video",AP73))*1+(AND(AA73,AL73="Automated",AM73&lt;&gt;"HOLD — Critical Data Issue"))*1</f>
        <v>0</v>
      </c>
    </row>
    <row r="74" customFormat="false" ht="15" hidden="false" customHeight="false" outlineLevel="0" collapsed="false">
      <c r="A74" s="2" t="s">
        <v>586</v>
      </c>
      <c r="B74" s="2" t="str">
        <f aca="false">INDEX(Segmentation!$B$2:$B$301,MATCH($A74,Segmentation!$A$2:$A$301,0))</f>
        <v>Account Managed</v>
      </c>
      <c r="C74" s="2" t="str">
        <f aca="false">INDEX(Segmentation!$H$2:$H$301,MATCH($A74,Segmentation!$A$2:$A$301,0))</f>
        <v>AM-Owned / Self-Serving</v>
      </c>
      <c r="D74" s="2" t="str">
        <f aca="false">INDEX(Segmentation!$T$2:$T$301,MATCH($A74,Segmentation!$A$2:$A$301,0))</f>
        <v>9. Long-Tail Automated Nurture</v>
      </c>
      <c r="E74" s="2" t="str">
        <f aca="false">INDEX(Segmentation!$J$2:$J$301,MATCH($A74,Segmentation!$A$2:$A$301,0))</f>
        <v>Tail</v>
      </c>
      <c r="F74" s="2" t="str">
        <f aca="false">INDEX(Segmentation!$G$2:$G$301,MATCH($A74,Segmentation!$A$2:$A$301,0))</f>
        <v>Low</v>
      </c>
      <c r="G74" s="2" t="str">
        <f aca="false">INDEX(Segmentation!$N$2:$N$301,MATCH($A74,Segmentation!$A$2:$A$301,0))</f>
        <v>H2 Active / No H1 GMV</v>
      </c>
      <c r="H74" s="9" t="n">
        <f aca="false">INDEX(Segmentation!$I$2:$I$301,MATCH($A74,Segmentation!$A$2:$A$301,0))</f>
        <v>1501</v>
      </c>
      <c r="I74" s="2" t="n">
        <f aca="false">INDEX(Segmentation!$O$2:$O$301,MATCH($A74,Segmentation!$A$2:$A$301,0))</f>
        <v>1</v>
      </c>
      <c r="J74" s="2" t="n">
        <f aca="false">INDEX(Segmentation!$Q$2:$Q$301,MATCH($A74,Segmentation!$A$2:$A$301,0))</f>
        <v>1</v>
      </c>
      <c r="K74" s="2" t="n">
        <f aca="false">INDEX(Segmentation!$W$2:$W$301,MATCH($A74,Segmentation!$A$2:$A$301,0))</f>
        <v>1</v>
      </c>
      <c r="L74" s="9" t="n">
        <f aca="false">INDEX('Commercial View'!$L$2:$L$301,MATCH($A74,'Commercial View'!$A$2:$A$301,0))</f>
        <v>1501</v>
      </c>
      <c r="M74" s="9" t="n">
        <f aca="false">INDEX('Commercial View'!$M$2:$M$301,MATCH($A74,'Commercial View'!$A$2:$A$301,0))</f>
        <v>0</v>
      </c>
      <c r="N74" s="9" t="n">
        <f aca="false">INDEX('Commercial View'!$N$2:$N$301,MATCH($A74,'Commercial View'!$A$2:$A$301,0))</f>
        <v>0</v>
      </c>
      <c r="O74" s="9" t="n">
        <f aca="false">INDEX(Segmentation!$L$2:$L$301,MATCH($A74,Segmentation!$A$2:$A$301,0))</f>
        <v>1501</v>
      </c>
      <c r="P74" s="2" t="str">
        <f aca="false">IF(OR(M74&gt;0,N74&gt;0),"Recently Active",IF(OR(I74&lt;=Assumptions!$B$48,K74&lt;=Assumptions!$B$49),"No Meaningful History","Recent Inactivity"))</f>
        <v>No Meaningful History</v>
      </c>
      <c r="Q74" s="2" t="str">
        <f aca="false">INDEX(Segmentation!$AF$2:$AF$301,MATCH($A74,Segmentation!$A$2:$A$301,0))</f>
        <v>Returned Customer</v>
      </c>
      <c r="R74" s="2" t="str">
        <f aca="false">INDEX(Segmentation!$AL$2:$AL$301,MATCH($A74,Segmentation!$A$2:$A$301,0))</f>
        <v>N/A</v>
      </c>
      <c r="S74" s="10" t="b">
        <f aca="false">INDEX(Segmentation!$AW$2:$AW$301,MATCH($A74,Segmentation!$A$2:$A$301,0))</f>
        <v>0</v>
      </c>
      <c r="T74" s="2" t="str">
        <f aca="false">INDEX('Feature Data'!$AD$2:$AD$301,MATCH($A74,'Feature Data'!$A$2:$A$301,0))</f>
        <v>One-off low-touch buyer</v>
      </c>
      <c r="U74" s="2" t="str">
        <f aca="false">INDEX('Feature Data'!$W$2:$W$301,MATCH($A74,'Feature Data'!$A$2:$A$301,0))</f>
        <v>Handpick-only</v>
      </c>
      <c r="V74" s="2" t="n">
        <f aca="false">INDEX('Feature Data'!$P$2:$P$301,MATCH($A74,'Feature Data'!$A$2:$A$301,0))</f>
        <v>93</v>
      </c>
      <c r="W74" s="2" t="n">
        <f aca="false">INDEX(Segmentation!$R$2:$R$301,MATCH($A74,Segmentation!$A$2:$A$301,0))</f>
        <v>11</v>
      </c>
      <c r="X74" s="2" t="n">
        <f aca="false">INDEX(Segmentation!$S$2:$S$301,MATCH($A74,Segmentation!$A$2:$A$301,0))</f>
        <v>0</v>
      </c>
      <c r="Y74" s="10" t="b">
        <f aca="false">INDEX(Segmentation!$AG$2:$AG$301,MATCH($A74,Segmentation!$A$2:$A$301,0))</f>
        <v>0</v>
      </c>
      <c r="Z74" s="2" t="str">
        <f aca="false">INDEX(Segmentation!$AU$2:$AU$301,MATCH($A74,Segmentation!$A$2:$A$301,0))</f>
        <v>Not Eligible</v>
      </c>
      <c r="AA74" s="10" t="b">
        <f aca="false">INDEX(Segmentation!$Z$2:$Z$301,MATCH($A74,Segmentation!$A$2:$A$301,0))</f>
        <v>0</v>
      </c>
      <c r="AB74" s="10" t="b">
        <f aca="false">INDEX(Segmentation!$AH$2:$AH$301,MATCH($A74,Segmentation!$A$2:$A$301,0))</f>
        <v>0</v>
      </c>
      <c r="AC74" s="10" t="b">
        <f aca="false">INDEX(Segmentation!$AK$2:$AK$301,MATCH($A74,Segmentation!$A$2:$A$301,0))</f>
        <v>0</v>
      </c>
      <c r="AD74" s="10" t="b">
        <f aca="false">INDEX(Segmentation!$AQ$2:$AQ$301,MATCH($A74,Segmentation!$A$2:$A$301,0))</f>
        <v>0</v>
      </c>
      <c r="AE74" s="10" t="b">
        <f aca="false">INDEX(Segmentation!$AT$2:$AT$301,MATCH($A74,Segmentation!$A$2:$A$301,0))</f>
        <v>0</v>
      </c>
      <c r="AF74" s="10" t="b">
        <f aca="false">INDEX(Segmentation!$X$2:$X$301,MATCH($A74,Segmentation!$A$2:$A$301,0))</f>
        <v>1</v>
      </c>
      <c r="AG74" s="10" t="b">
        <f aca="false">AND(F74="Low",V74&gt;=Assumptions!$B$71,X74&lt;Assumptions!$B$72)</f>
        <v>1</v>
      </c>
      <c r="AH74" s="10" t="b">
        <f aca="false">AND(F74="Low",OR(G74="Growing",G74="Stable"),P74="Recently Active",V74&gt;=Assumptions!$B$58,K74&gt;=Assumptions!$B$73)</f>
        <v>0</v>
      </c>
      <c r="AI74" s="17" t="n">
        <f aca="false">IF(O74&gt;0,MAX(L74:N74)/O74,"")</f>
        <v>1</v>
      </c>
      <c r="AJ74" s="2" t="str">
        <f aca="false">IF(LEFT(D74,1)="1",IF(E74="Key","MIGRATION_KEY_SIGNOFF",IF(Z74="Ready","MIGRATION_PHASE1_READY",IF(Z74="Manual Review","MIGRATION_PHASE1_REVIEW","MIGRATION_PRE_ENTRY"))),IF(LEFT(D74,1)="2","DECLINING_KEY_CORE",IF(LEFT(D74,1)="3",IF(R74="Established Buyer Lapsed","LAPSED_ESTABLISHED","LAPSED_THIN_HISTORY"),IF(LEFT(D74,1)="4",IF(Q74="New Customer","NEW_CUSTOMER","RETURNED_CUSTOMER"),IF(LEFT(D74,1)="5",IF(P74="Recently Active","COST_TO_SERVE_ACTIVE","DORMANT_LOW_VALUE"),IF(LEFT(D74,1)="6",IF(P74="Recent Inactivity","RECENT_INACTIVITY",IF(AG74,"BROWSING_LOW_OFFERS","HEALTHY_STRONG_SELF_SERVE")),IF(LEFT(D74,1)="7",IF(P74="Recent Inactivity","RECENT_INACTIVITY",IF(Q74="New Customer","NEW_CUSTOMER","RETURNED_CUSTOMER")),IF(LEFT(D74,1)="8",IF(G74="Declining",IF(T74="Engaged but shrinking (Key/Core)","ENGAGED_BUT_SHRINKING","DECLINING_KEY_CORE"),IF(R74="Established Buyer Lapsed","LAPSED_ESTABLISHED","LAPSED_THIN_HISTORY")),IF(S74,IF(P74&lt;&gt;"Recently Active","DORMANT_LOW_VALUE",IF(AG74,"BROWSING_LOW_OFFERS",IF(AH74,"RISING_TAIL","RISING_TAIL_EARLY"))),IF(AND(AG74,P74="Recently Active",OR(G74="Growing",G74="Stable",G74="H2 Active / No H1 GMV"),I74&gt;=Assumptions!$B$74),"BROWSING_LOW_OFFERS","LONG_TAIL_STANDARD"))))))))))</f>
        <v>LONG_TAIL_STANDARD</v>
      </c>
      <c r="AK74" s="2" t="str">
        <f aca="false">INDEX('NBA Library'!$B$4:$B$21,MATCH(AJ74,'NBA Library'!$A$4:$A$21,0))</f>
        <v>Automated Nurture</v>
      </c>
      <c r="AL74" s="2" t="str">
        <f aca="false">INDEX('NBA Library'!$C$4:$C$21,MATCH(AJ74,'NBA Library'!$A$4:$A$21,0))</f>
        <v>Automated</v>
      </c>
      <c r="AM74" s="2" t="str">
        <f aca="false">IF(AA74,"HOLD — Critical Data Issue",IF(Y74,"Human Sign-Off Required",IF(Z74="Manual Review","Human Review Required",IF(AND(AL74="Automated",OR(AE74,AND(OR(AK74="Discovery-to-Offer Enablement",AK74="Reinforce Successful Behaviour"),OR(AC74,AB74)))),"Human Review Required",IF(AL74="Human","Ready — Human",IF(AL74="Hybrid","Ready — Hybrid","Ready — Automated"))))))</f>
        <v>Ready — Automated</v>
      </c>
      <c r="AN74" s="2" t="str">
        <f aca="false">IF(AA74,"P0",IF(AND(AJ74="BROWSING_LOW_OFFERS",E74="Tail"),"P3",IF(AND(AM74="Human Review Required",INDEX('NBA Library'!$D$4:$D$21,MATCH(AJ74,'NBA Library'!$A$4:$A$21,0))="P4"),"P3",INDEX('NBA Library'!$D$4:$D$21,MATCH(AJ74,'NBA Library'!$A$4:$A$21,0)))))</f>
        <v>P4</v>
      </c>
      <c r="AO74" s="2" t="str">
        <f aca="false">E74&amp;" "&amp;C74&amp;" account ("&amp;B74&amp;"); "&amp;G74&amp;" momentum; "&amp;P74&amp;"; £"&amp;TEXT(H74,"#,##0")&amp;" 6m GMV. "&amp;INDEX('NBA Library'!$G$4:$G$21,MATCH(AJ74,'NBA Library'!$A$4:$A$21,0))&amp;IF(LEFT(D74,1)="1"," Baseline: "&amp;V74&amp;" PDP views, "&amp;W74&amp;" app days, "&amp;X74&amp;" offers, "&amp;TEXT(J74/I74,"0%")&amp;" of orders self-serve.","")&amp;IF(AA74," Execution on HOLD until the Duplicate status is resolved.","")&amp;IF(Y74," Key account: explicit AM/leadership sign-off required before any migration activity.","")&amp;IF(AE74," Implied broker % from order counts would move this account to a different segment; review before automating.","")</f>
        <v>Tail AM-Owned / Self-Serving account (Account Managed); H2 Active / No H1 GMV momentum; No Meaningful History; £1,501 6m GMV. Low-value, low-dependency account. Scalable automated engagement.</v>
      </c>
      <c r="AP74" s="2" t="str">
        <f aca="false">INDEX('NBA Library'!$E$4:$E$21,MATCH(AJ74,'NBA Library'!$A$4:$A$21,0))&amp;IF(AND(AJ74="NEW_CUSTOMER",AG74),"; introduce Make-an-Offer on items already browsed","")</f>
        <v>Scalable automated engagement matched to nurture sub-context</v>
      </c>
      <c r="AQ74" s="2" t="str">
        <f aca="false">INDEX('NBA Library'!$F$4:$F$21,MATCH(AJ74,'NBA Library'!$A$4:$A$21,0))</f>
        <v>Any repeat order within 90 days</v>
      </c>
      <c r="AR74" s="2" t="str">
        <f aca="false">IF(AND(F74="Low",OR(G74="Growing",G74="Stable"),P74="Recently Active",U74&lt;&gt;"Mixed",OR(AK74="Discovery-to-Offer Enablement",AK74="Reinforce Successful Behaviour"),AM74="Ready — Automated",OR(E74&lt;&gt;"Tail",S74)),"Range Expansion Test — trial "&amp;IF(U74="Bundle-only","handpick","bundles")&amp;" (experimental; not proven to lift GMV)","")</f>
        <v/>
      </c>
      <c r="AS74" s="2" t="str">
        <f aca="false">IF(AK74&lt;&gt;"Automated Nurture","",IF(AJ74="DORMANT_LOW_VALUE","Dormant",IF(AJ74="RISING_TAIL_EARLY","Rising tail – early pattern",IF(Q74="New Customer","New customer onboarding",IF(Q74="Returned Customer","Returned customer",IF(G74="Lapsed","Dormant",IF(T74="Engaged, not converting","Engaged, not converting",IF(T74="One-off low-touch buyer","One-off purchaser",IF(T74="Light-touch repeat buyer","Light-touch repeat buyer","Standard long tail")))))))))</f>
        <v>Returned customer</v>
      </c>
      <c r="AT74" s="2" t="str">
        <f aca="false">IF(AA74,"CRITICAL_DATA_BLOCKER; ","")&amp;IF(Y74,"KEY_SIGNOFF; ","")&amp;IF(Z74="Manual Review","PHASE1_MANUAL_REVIEW; ","")&amp;IF(AND(LEFT(D74,1)="1",AZ74="Lumpy"),"LUMPY_CADENCE; ","")&amp;IF(AB74,"BORDERLINE_MOMENTUM; ","")&amp;IF(AC74,"FEB_SENSITIVE; ","")&amp;IF(AD74,"MATERIAL_BROKER_INCONSISTENCY"&amp;IF(AE74," (segment would change)","")&amp;"; ","")&amp;IF(AND(I74&gt;=3,O74&gt;0),IF(AI74&gt;=Assumptions!$B$75,"H2_SINGLE_MONTH_SPIKE; ",""),"")&amp;IF(AND(M74&gt;0,N74=0),"NO_FEB_GMV (Feb unconfirmed); ","")&amp;IF(AF74,"LOW_CONFIDENCE; ","")</f>
        <v>LOW_CONFIDENCE; </v>
      </c>
      <c r="AU74" s="2" t="str">
        <f aca="false">IF(LEFT(D74,1)="1",V74,"")</f>
        <v/>
      </c>
      <c r="AV74" s="2" t="str">
        <f aca="false">IF(LEFT(D74,1)="1",V74&gt;=Assumptions!$B$58,"")</f>
        <v/>
      </c>
      <c r="AW74" s="2" t="str">
        <f aca="false">IF(LEFT(D74,1)="1",W74,"")</f>
        <v/>
      </c>
      <c r="AX74" s="2" t="str">
        <f aca="false">IF(LEFT(D74,1)="1",X74,"")</f>
        <v/>
      </c>
      <c r="AY74" s="17" t="str">
        <f aca="false">IF(LEFT(D74,1)="1",J74/I74,"")</f>
        <v/>
      </c>
      <c r="AZ74" s="2" t="str">
        <f aca="false">IF(LEFT(D74,1)="1",IF(AND(K74&gt;=Assumptions!$B$83,I74&gt;=Assumptions!$B$84),"Regular","Lumpy"),"")</f>
        <v/>
      </c>
      <c r="BA74" s="2" t="str">
        <f aca="false">IF(LEFT(D74,1)="1",ROUND(6/K74,0),"")</f>
        <v/>
      </c>
      <c r="BB74" s="2" t="str">
        <f aca="false">IF(LEFT(D74,1)="1",IF(AZ74="Regular","Regular buyer: expected ~£"&amp;TEXT(H74/2,"#,##0")&amp;" per 90 days. At Risk if GMV to date &lt; "&amp;TEXT(Assumptions!$B$81,"0%")&amp;" of pro-rated expectation, checked from day "&amp;Assumptions!$B$82&amp;". Human-reviewed.","Irregular buyer ("&amp;I74&amp;" orders across "&amp;K74&amp;" months): no numeric GMV threshold. At Risk if no order within ~"&amp;BA74&amp;" month(s); AM reviews at day "&amp;Assumptions!$B$82&amp;" and "&amp;Assumptions!$B$85&amp;"."),"")</f>
        <v/>
      </c>
      <c r="BC74" s="2"/>
      <c r="BD74" s="2"/>
      <c r="BE74" s="2"/>
      <c r="BF74" s="2"/>
      <c r="BG74" s="2"/>
      <c r="BH74" s="2"/>
      <c r="BI74" s="2"/>
      <c r="BJ74" s="2" t="str">
        <f aca="false">IF(OR(NOT(LEFT(D74,1)="1"),BC74=""),"",IF(AZ74="Regular",AND(BC74&gt;=Assumptions!$B$82,N(BI74)&lt;Assumptions!$B$81*H74/180*BC74),AND(BC74&gt;=BA74*30,N(BG74)=0)))</f>
        <v/>
      </c>
      <c r="BK74" s="2" t="str">
        <f aca="false">IF(NOT(LEFT(D74,1)="1"),"N/A",IF(BC74="","Baseline",IF(BJ74,"At Risk",IF(AND(N(BD74)&gt;=Assumptions!$B$78,N(BE74)&gt;=Assumptions!$B$79,N(BH74)&gt;=1,N(BH74)/MAX(N(BG74),1)&gt;AY74),"Self-Serve Capability Demonstrated",IF(OR(N(BD74)&gt;=Assumptions!$B$76,N(BE74)&gt;=Assumptions!$B$77),"Progressing",IF(BC74&gt;=Assumptions!$B$85,"At Risk","Baseline"))))))</f>
        <v>N/A</v>
      </c>
      <c r="BL74" s="2" t="n">
        <f aca="false">(AND(C74="Broker-Reliant",OR(AK74="Discovery-to-Offer Enablement",AK74="Reinforce Successful Behaviour")))*1+(AND(G74="Declining",E74&lt;&gt;"Tail",AL74="Automated"))*1+(AND(Y74,AM74&lt;&gt;"Human Sign-Off Required"))*1+(AND(AA74,AM74&lt;&gt;"HOLD — Critical Data Issue"))*1+(AND(P74="Recent Inactivity",OR(AK74="Discovery-to-Offer Enablement",AK74="Reinforce Successful Behaviour")))*1+(AND(OR(LEFT(D74,1)="2",LEFT(D74,1)="3",LEFT(D74,1)="8"),AL74="Automated"))*1+((LEFT(D74,1)="1")&lt;&gt;(AK74="Guided Self-Serve Migration"))*1+(AND(AR74&lt;&gt;"",OR(F74&lt;&gt;"Low",U74="Mixed",AND(G74&lt;&gt;"Growing",G74&lt;&gt;"Stable"))))*1+ISNUMBER(SEARCH("chat",AP74))*1+ISNUMBER(SEARCH("video",AP74))*1+(AND(AA74,AL74="Automated",AM74&lt;&gt;"HOLD — Critical Data Issue"))*1</f>
        <v>0</v>
      </c>
    </row>
    <row r="75" customFormat="false" ht="15" hidden="false" customHeight="false" outlineLevel="0" collapsed="false">
      <c r="A75" s="2" t="s">
        <v>513</v>
      </c>
      <c r="B75" s="2" t="str">
        <f aca="false">INDEX(Segmentation!$B$2:$B$301,MATCH($A75,Segmentation!$A$2:$A$301,0))</f>
        <v>Account Managed</v>
      </c>
      <c r="C75" s="2" t="str">
        <f aca="false">INDEX(Segmentation!$H$2:$H$301,MATCH($A75,Segmentation!$A$2:$A$301,0))</f>
        <v>Broker-Reliant</v>
      </c>
      <c r="D75" s="2" t="str">
        <f aca="false">INDEX(Segmentation!$T$2:$T$301,MATCH($A75,Segmentation!$A$2:$A$301,0))</f>
        <v>5. Cost-to-Serve / Low-Touch</v>
      </c>
      <c r="E75" s="2" t="str">
        <f aca="false">INDEX(Segmentation!$J$2:$J$301,MATCH($A75,Segmentation!$A$2:$A$301,0))</f>
        <v>Tail</v>
      </c>
      <c r="F75" s="2" t="str">
        <f aca="false">INDEX(Segmentation!$G$2:$G$301,MATCH($A75,Segmentation!$A$2:$A$301,0))</f>
        <v>High</v>
      </c>
      <c r="G75" s="2" t="str">
        <f aca="false">INDEX(Segmentation!$N$2:$N$301,MATCH($A75,Segmentation!$A$2:$A$301,0))</f>
        <v>H2 Active / No H1 GMV</v>
      </c>
      <c r="H75" s="9" t="n">
        <f aca="false">INDEX(Segmentation!$I$2:$I$301,MATCH($A75,Segmentation!$A$2:$A$301,0))</f>
        <v>1448</v>
      </c>
      <c r="I75" s="2" t="n">
        <f aca="false">INDEX(Segmentation!$O$2:$O$301,MATCH($A75,Segmentation!$A$2:$A$301,0))</f>
        <v>2</v>
      </c>
      <c r="J75" s="2" t="n">
        <f aca="false">INDEX(Segmentation!$Q$2:$Q$301,MATCH($A75,Segmentation!$A$2:$A$301,0))</f>
        <v>1</v>
      </c>
      <c r="K75" s="2" t="n">
        <f aca="false">INDEX(Segmentation!$W$2:$W$301,MATCH($A75,Segmentation!$A$2:$A$301,0))</f>
        <v>1</v>
      </c>
      <c r="L75" s="9" t="n">
        <f aca="false">INDEX('Commercial View'!$L$2:$L$301,MATCH($A75,'Commercial View'!$A$2:$A$301,0))</f>
        <v>0</v>
      </c>
      <c r="M75" s="9" t="n">
        <f aca="false">INDEX('Commercial View'!$M$2:$M$301,MATCH($A75,'Commercial View'!$A$2:$A$301,0))</f>
        <v>1448</v>
      </c>
      <c r="N75" s="9" t="n">
        <f aca="false">INDEX('Commercial View'!$N$2:$N$301,MATCH($A75,'Commercial View'!$A$2:$A$301,0))</f>
        <v>0</v>
      </c>
      <c r="O75" s="9" t="n">
        <f aca="false">INDEX(Segmentation!$L$2:$L$301,MATCH($A75,Segmentation!$A$2:$A$301,0))</f>
        <v>1448</v>
      </c>
      <c r="P75" s="2" t="str">
        <f aca="false">IF(OR(M75&gt;0,N75&gt;0),"Recently Active",IF(OR(I75&lt;=Assumptions!$B$48,K75&lt;=Assumptions!$B$49),"No Meaningful History","Recent Inactivity"))</f>
        <v>Recently Active</v>
      </c>
      <c r="Q75" s="2" t="str">
        <f aca="false">INDEX(Segmentation!$AF$2:$AF$301,MATCH($A75,Segmentation!$A$2:$A$301,0))</f>
        <v>Returned Customer</v>
      </c>
      <c r="R75" s="2" t="str">
        <f aca="false">INDEX(Segmentation!$AL$2:$AL$301,MATCH($A75,Segmentation!$A$2:$A$301,0))</f>
        <v>N/A</v>
      </c>
      <c r="S75" s="10" t="b">
        <f aca="false">INDEX(Segmentation!$AW$2:$AW$301,MATCH($A75,Segmentation!$A$2:$A$301,0))</f>
        <v>0</v>
      </c>
      <c r="T75" s="2" t="str">
        <f aca="false">INDEX('Feature Data'!$AD$2:$AD$301,MATCH($A75,'Feature Data'!$A$2:$A$301,0))</f>
        <v>Broker-led, product-blind</v>
      </c>
      <c r="U75" s="2" t="str">
        <f aca="false">INDEX('Feature Data'!$W$2:$W$301,MATCH($A75,'Feature Data'!$A$2:$A$301,0))</f>
        <v>Handpick-only</v>
      </c>
      <c r="V75" s="2" t="n">
        <f aca="false">INDEX('Feature Data'!$P$2:$P$301,MATCH($A75,'Feature Data'!$A$2:$A$301,0))</f>
        <v>5</v>
      </c>
      <c r="W75" s="2" t="n">
        <f aca="false">INDEX(Segmentation!$R$2:$R$301,MATCH($A75,Segmentation!$A$2:$A$301,0))</f>
        <v>8</v>
      </c>
      <c r="X75" s="2" t="n">
        <f aca="false">INDEX(Segmentation!$S$2:$S$301,MATCH($A75,Segmentation!$A$2:$A$301,0))</f>
        <v>0</v>
      </c>
      <c r="Y75" s="10" t="b">
        <f aca="false">INDEX(Segmentation!$AG$2:$AG$301,MATCH($A75,Segmentation!$A$2:$A$301,0))</f>
        <v>0</v>
      </c>
      <c r="Z75" s="2" t="str">
        <f aca="false">INDEX(Segmentation!$AU$2:$AU$301,MATCH($A75,Segmentation!$A$2:$A$301,0))</f>
        <v>Not Eligible</v>
      </c>
      <c r="AA75" s="10" t="b">
        <f aca="false">INDEX(Segmentation!$Z$2:$Z$301,MATCH($A75,Segmentation!$A$2:$A$301,0))</f>
        <v>0</v>
      </c>
      <c r="AB75" s="10" t="b">
        <f aca="false">INDEX(Segmentation!$AH$2:$AH$301,MATCH($A75,Segmentation!$A$2:$A$301,0))</f>
        <v>0</v>
      </c>
      <c r="AC75" s="10" t="b">
        <f aca="false">INDEX(Segmentation!$AK$2:$AK$301,MATCH($A75,Segmentation!$A$2:$A$301,0))</f>
        <v>0</v>
      </c>
      <c r="AD75" s="10" t="b">
        <f aca="false">INDEX(Segmentation!$AQ$2:$AQ$301,MATCH($A75,Segmentation!$A$2:$A$301,0))</f>
        <v>1</v>
      </c>
      <c r="AE75" s="10" t="b">
        <f aca="false">INDEX(Segmentation!$AT$2:$AT$301,MATCH($A75,Segmentation!$A$2:$A$301,0))</f>
        <v>0</v>
      </c>
      <c r="AF75" s="10" t="b">
        <f aca="false">INDEX(Segmentation!$X$2:$X$301,MATCH($A75,Segmentation!$A$2:$A$301,0))</f>
        <v>1</v>
      </c>
      <c r="AG75" s="10" t="b">
        <f aca="false">AND(F75="Low",V75&gt;=Assumptions!$B$71,X75&lt;Assumptions!$B$72)</f>
        <v>0</v>
      </c>
      <c r="AH75" s="10" t="b">
        <f aca="false">AND(F75="Low",OR(G75="Growing",G75="Stable"),P75="Recently Active",V75&gt;=Assumptions!$B$58,K75&gt;=Assumptions!$B$73)</f>
        <v>0</v>
      </c>
      <c r="AI75" s="17" t="n">
        <f aca="false">IF(O75&gt;0,MAX(L75:N75)/O75,"")</f>
        <v>1</v>
      </c>
      <c r="AJ75" s="2" t="str">
        <f aca="false">IF(LEFT(D75,1)="1",IF(E75="Key","MIGRATION_KEY_SIGNOFF",IF(Z75="Ready","MIGRATION_PHASE1_READY",IF(Z75="Manual Review","MIGRATION_PHASE1_REVIEW","MIGRATION_PRE_ENTRY"))),IF(LEFT(D75,1)="2","DECLINING_KEY_CORE",IF(LEFT(D75,1)="3",IF(R75="Established Buyer Lapsed","LAPSED_ESTABLISHED","LAPSED_THIN_HISTORY"),IF(LEFT(D75,1)="4",IF(Q75="New Customer","NEW_CUSTOMER","RETURNED_CUSTOMER"),IF(LEFT(D75,1)="5",IF(P75="Recently Active","COST_TO_SERVE_ACTIVE","DORMANT_LOW_VALUE"),IF(LEFT(D75,1)="6",IF(P75="Recent Inactivity","RECENT_INACTIVITY",IF(AG75,"BROWSING_LOW_OFFERS","HEALTHY_STRONG_SELF_SERVE")),IF(LEFT(D75,1)="7",IF(P75="Recent Inactivity","RECENT_INACTIVITY",IF(Q75="New Customer","NEW_CUSTOMER","RETURNED_CUSTOMER")),IF(LEFT(D75,1)="8",IF(G75="Declining",IF(T75="Engaged but shrinking (Key/Core)","ENGAGED_BUT_SHRINKING","DECLINING_KEY_CORE"),IF(R75="Established Buyer Lapsed","LAPSED_ESTABLISHED","LAPSED_THIN_HISTORY")),IF(S75,IF(P75&lt;&gt;"Recently Active","DORMANT_LOW_VALUE",IF(AG75,"BROWSING_LOW_OFFERS",IF(AH75,"RISING_TAIL","RISING_TAIL_EARLY"))),IF(AND(AG75,P75="Recently Active",OR(G75="Growing",G75="Stable",G75="H2 Active / No H1 GMV"),I75&gt;=Assumptions!$B$74),"BROWSING_LOW_OFFERS","LONG_TAIL_STANDARD"))))))))))</f>
        <v>COST_TO_SERVE_ACTIVE</v>
      </c>
      <c r="AK75" s="2" t="str">
        <f aca="false">INDEX('NBA Library'!$B$4:$B$21,MATCH(AJ75,'NBA Library'!$A$4:$A$21,0))</f>
        <v>Service Model Review</v>
      </c>
      <c r="AL75" s="2" t="str">
        <f aca="false">INDEX('NBA Library'!$C$4:$C$21,MATCH(AJ75,'NBA Library'!$A$4:$A$21,0))</f>
        <v>Human</v>
      </c>
      <c r="AM75" s="2" t="str">
        <f aca="false">IF(AA75,"HOLD — Critical Data Issue",IF(Y75,"Human Sign-Off Required",IF(Z75="Manual Review","Human Review Required",IF(AND(AL75="Automated",OR(AE75,AND(OR(AK75="Discovery-to-Offer Enablement",AK75="Reinforce Successful Behaviour"),OR(AC75,AB75)))),"Human Review Required",IF(AL75="Human","Ready — Human",IF(AL75="Hybrid","Ready — Hybrid","Ready — Automated"))))))</f>
        <v>Ready — Human</v>
      </c>
      <c r="AN75" s="2" t="str">
        <f aca="false">IF(AA75,"P0",IF(AND(AJ75="BROWSING_LOW_OFFERS",E75="Tail"),"P3",IF(AND(AM75="Human Review Required",INDEX('NBA Library'!$D$4:$D$21,MATCH(AJ75,'NBA Library'!$A$4:$A$21,0))="P4"),"P3",INDEX('NBA Library'!$D$4:$D$21,MATCH(AJ75,'NBA Library'!$A$4:$A$21,0)))))</f>
        <v>P3</v>
      </c>
      <c r="AO75" s="2" t="str">
        <f aca="false">E75&amp;" "&amp;C75&amp;" account ("&amp;B75&amp;"); "&amp;G75&amp;" momentum; "&amp;P75&amp;"; £"&amp;TEXT(H75,"#,##0")&amp;" 6m GMV. "&amp;INDEX('NBA Library'!$G$4:$G$21,MATCH(AJ75,'NBA Library'!$A$4:$A$21,0))&amp;IF(LEFT(D75,1)="1"," Baseline: "&amp;V75&amp;" PDP views, "&amp;W75&amp;" app days, "&amp;X75&amp;" offers, "&amp;TEXT(J75/I75,"0%")&amp;" of orders self-serve.","")&amp;IF(AA75," Execution on HOLD until the Duplicate status is resolved.","")&amp;IF(Y75," Key account: explicit AM/leadership sign-off required before any migration activity.","")&amp;IF(AE75," Implied broker % from order counts would move this account to a different segment; review before automating.","")</f>
        <v>Tail Broker-Reliant account (Account Managed); H2 Active / No H1 GMV momentum; Recently Active; £1,448 6m GMV. Broker-reliant but low value and still buying. Decide whether continued AM/broker effort is justified.</v>
      </c>
      <c r="AP75" s="2" t="str">
        <f aca="false">INDEX('NBA Library'!$E$4:$E$21,MATCH(AJ75,'NBA Library'!$A$4:$A$21,0))&amp;IF(AND(AJ75="NEW_CUSTOMER",AG75),"; introduce Make-an-Offer on items already browsed","")</f>
        <v>Internal decision: keep AM coverage, move to low-touch, or automate re-ordering</v>
      </c>
      <c r="AQ75" s="2" t="str">
        <f aca="false">INDEX('NBA Library'!$F$4:$F$21,MATCH(AJ75,'NBA Library'!$A$4:$A$21,0))</f>
        <v>Decision logged; broker effort reduced without GMV loss</v>
      </c>
      <c r="AR75" s="2" t="str">
        <f aca="false">IF(AND(F75="Low",OR(G75="Growing",G75="Stable"),P75="Recently Active",U75&lt;&gt;"Mixed",OR(AK75="Discovery-to-Offer Enablement",AK75="Reinforce Successful Behaviour"),AM75="Ready — Automated",OR(E75&lt;&gt;"Tail",S75)),"Range Expansion Test — trial "&amp;IF(U75="Bundle-only","handpick","bundles")&amp;" (experimental; not proven to lift GMV)","")</f>
        <v/>
      </c>
      <c r="AS75" s="2" t="str">
        <f aca="false">IF(AK75&lt;&gt;"Automated Nurture","",IF(AJ75="DORMANT_LOW_VALUE","Dormant",IF(AJ75="RISING_TAIL_EARLY","Rising tail – early pattern",IF(Q75="New Customer","New customer onboarding",IF(Q75="Returned Customer","Returned customer",IF(G75="Lapsed","Dormant",IF(T75="Engaged, not converting","Engaged, not converting",IF(T75="One-off low-touch buyer","One-off purchaser",IF(T75="Light-touch repeat buyer","Light-touch repeat buyer","Standard long tail")))))))))</f>
        <v/>
      </c>
      <c r="AT75" s="2" t="str">
        <f aca="false">IF(AA75,"CRITICAL_DATA_BLOCKER; ","")&amp;IF(Y75,"KEY_SIGNOFF; ","")&amp;IF(Z75="Manual Review","PHASE1_MANUAL_REVIEW; ","")&amp;IF(AND(LEFT(D75,1)="1",AZ75="Lumpy"),"LUMPY_CADENCE; ","")&amp;IF(AB75,"BORDERLINE_MOMENTUM; ","")&amp;IF(AC75,"FEB_SENSITIVE; ","")&amp;IF(AD75,"MATERIAL_BROKER_INCONSISTENCY"&amp;IF(AE75," (segment would change)","")&amp;"; ","")&amp;IF(AND(I75&gt;=3,O75&gt;0),IF(AI75&gt;=Assumptions!$B$75,"H2_SINGLE_MONTH_SPIKE; ",""),"")&amp;IF(AND(M75&gt;0,N75=0),"NO_FEB_GMV (Feb unconfirmed); ","")&amp;IF(AF75,"LOW_CONFIDENCE; ","")</f>
        <v>MATERIAL_BROKER_INCONSISTENCY; NO_FEB_GMV (Feb unconfirmed); LOW_CONFIDENCE; </v>
      </c>
      <c r="AU75" s="2" t="str">
        <f aca="false">IF(LEFT(D75,1)="1",V75,"")</f>
        <v/>
      </c>
      <c r="AV75" s="2" t="str">
        <f aca="false">IF(LEFT(D75,1)="1",V75&gt;=Assumptions!$B$58,"")</f>
        <v/>
      </c>
      <c r="AW75" s="2" t="str">
        <f aca="false">IF(LEFT(D75,1)="1",W75,"")</f>
        <v/>
      </c>
      <c r="AX75" s="2" t="str">
        <f aca="false">IF(LEFT(D75,1)="1",X75,"")</f>
        <v/>
      </c>
      <c r="AY75" s="17" t="str">
        <f aca="false">IF(LEFT(D75,1)="1",J75/I75,"")</f>
        <v/>
      </c>
      <c r="AZ75" s="2" t="str">
        <f aca="false">IF(LEFT(D75,1)="1",IF(AND(K75&gt;=Assumptions!$B$83,I75&gt;=Assumptions!$B$84),"Regular","Lumpy"),"")</f>
        <v/>
      </c>
      <c r="BA75" s="2" t="str">
        <f aca="false">IF(LEFT(D75,1)="1",ROUND(6/K75,0),"")</f>
        <v/>
      </c>
      <c r="BB75" s="2" t="str">
        <f aca="false">IF(LEFT(D75,1)="1",IF(AZ75="Regular","Regular buyer: expected ~£"&amp;TEXT(H75/2,"#,##0")&amp;" per 90 days. At Risk if GMV to date &lt; "&amp;TEXT(Assumptions!$B$81,"0%")&amp;" of pro-rated expectation, checked from day "&amp;Assumptions!$B$82&amp;". Human-reviewed.","Irregular buyer ("&amp;I75&amp;" orders across "&amp;K75&amp;" months): no numeric GMV threshold. At Risk if no order within ~"&amp;BA75&amp;" month(s); AM reviews at day "&amp;Assumptions!$B$82&amp;" and "&amp;Assumptions!$B$85&amp;"."),"")</f>
        <v/>
      </c>
      <c r="BC75" s="2"/>
      <c r="BD75" s="2"/>
      <c r="BE75" s="2"/>
      <c r="BF75" s="2"/>
      <c r="BG75" s="2"/>
      <c r="BH75" s="2"/>
      <c r="BI75" s="2"/>
      <c r="BJ75" s="2" t="str">
        <f aca="false">IF(OR(NOT(LEFT(D75,1)="1"),BC75=""),"",IF(AZ75="Regular",AND(BC75&gt;=Assumptions!$B$82,N(BI75)&lt;Assumptions!$B$81*H75/180*BC75),AND(BC75&gt;=BA75*30,N(BG75)=0)))</f>
        <v/>
      </c>
      <c r="BK75" s="2" t="str">
        <f aca="false">IF(NOT(LEFT(D75,1)="1"),"N/A",IF(BC75="","Baseline",IF(BJ75,"At Risk",IF(AND(N(BD75)&gt;=Assumptions!$B$78,N(BE75)&gt;=Assumptions!$B$79,N(BH75)&gt;=1,N(BH75)/MAX(N(BG75),1)&gt;AY75),"Self-Serve Capability Demonstrated",IF(OR(N(BD75)&gt;=Assumptions!$B$76,N(BE75)&gt;=Assumptions!$B$77),"Progressing",IF(BC75&gt;=Assumptions!$B$85,"At Risk","Baseline"))))))</f>
        <v>N/A</v>
      </c>
      <c r="BL75" s="2" t="n">
        <f aca="false">(AND(C75="Broker-Reliant",OR(AK75="Discovery-to-Offer Enablement",AK75="Reinforce Successful Behaviour")))*1+(AND(G75="Declining",E75&lt;&gt;"Tail",AL75="Automated"))*1+(AND(Y75,AM75&lt;&gt;"Human Sign-Off Required"))*1+(AND(AA75,AM75&lt;&gt;"HOLD — Critical Data Issue"))*1+(AND(P75="Recent Inactivity",OR(AK75="Discovery-to-Offer Enablement",AK75="Reinforce Successful Behaviour")))*1+(AND(OR(LEFT(D75,1)="2",LEFT(D75,1)="3",LEFT(D75,1)="8"),AL75="Automated"))*1+((LEFT(D75,1)="1")&lt;&gt;(AK75="Guided Self-Serve Migration"))*1+(AND(AR75&lt;&gt;"",OR(F75&lt;&gt;"Low",U75="Mixed",AND(G75&lt;&gt;"Growing",G75&lt;&gt;"Stable"))))*1+ISNUMBER(SEARCH("chat",AP75))*1+ISNUMBER(SEARCH("video",AP75))*1+(AND(AA75,AL75="Automated",AM75&lt;&gt;"HOLD — Critical Data Issue"))*1</f>
        <v>0</v>
      </c>
    </row>
    <row r="76" customFormat="false" ht="15" hidden="false" customHeight="false" outlineLevel="0" collapsed="false">
      <c r="A76" s="2" t="s">
        <v>517</v>
      </c>
      <c r="B76" s="2" t="str">
        <f aca="false">INDEX(Segmentation!$B$2:$B$301,MATCH($A76,Segmentation!$A$2:$A$301,0))</f>
        <v>Account Managed</v>
      </c>
      <c r="C76" s="2" t="str">
        <f aca="false">INDEX(Segmentation!$H$2:$H$301,MATCH($A76,Segmentation!$A$2:$A$301,0))</f>
        <v>Broker-Reliant</v>
      </c>
      <c r="D76" s="2" t="str">
        <f aca="false">INDEX(Segmentation!$T$2:$T$301,MATCH($A76,Segmentation!$A$2:$A$301,0))</f>
        <v>5. Cost-to-Serve / Low-Touch</v>
      </c>
      <c r="E76" s="2" t="str">
        <f aca="false">INDEX(Segmentation!$J$2:$J$301,MATCH($A76,Segmentation!$A$2:$A$301,0))</f>
        <v>Tail</v>
      </c>
      <c r="F76" s="2" t="str">
        <f aca="false">INDEX(Segmentation!$G$2:$G$301,MATCH($A76,Segmentation!$A$2:$A$301,0))</f>
        <v>High</v>
      </c>
      <c r="G76" s="2" t="str">
        <f aca="false">INDEX(Segmentation!$N$2:$N$301,MATCH($A76,Segmentation!$A$2:$A$301,0))</f>
        <v>Stable</v>
      </c>
      <c r="H76" s="9" t="n">
        <f aca="false">INDEX(Segmentation!$I$2:$I$301,MATCH($A76,Segmentation!$A$2:$A$301,0))</f>
        <v>1422</v>
      </c>
      <c r="I76" s="2" t="n">
        <f aca="false">INDEX(Segmentation!$O$2:$O$301,MATCH($A76,Segmentation!$A$2:$A$301,0))</f>
        <v>3</v>
      </c>
      <c r="J76" s="2" t="n">
        <f aca="false">INDEX(Segmentation!$Q$2:$Q$301,MATCH($A76,Segmentation!$A$2:$A$301,0))</f>
        <v>1</v>
      </c>
      <c r="K76" s="2" t="n">
        <f aca="false">INDEX(Segmentation!$W$2:$W$301,MATCH($A76,Segmentation!$A$2:$A$301,0))</f>
        <v>3</v>
      </c>
      <c r="L76" s="9" t="n">
        <f aca="false">INDEX('Commercial View'!$L$2:$L$301,MATCH($A76,'Commercial View'!$A$2:$A$301,0))</f>
        <v>0</v>
      </c>
      <c r="M76" s="9" t="n">
        <f aca="false">INDEX('Commercial View'!$M$2:$M$301,MATCH($A76,'Commercial View'!$A$2:$A$301,0))</f>
        <v>731</v>
      </c>
      <c r="N76" s="9" t="n">
        <f aca="false">INDEX('Commercial View'!$N$2:$N$301,MATCH($A76,'Commercial View'!$A$2:$A$301,0))</f>
        <v>0</v>
      </c>
      <c r="O76" s="9" t="n">
        <f aca="false">INDEX(Segmentation!$L$2:$L$301,MATCH($A76,Segmentation!$A$2:$A$301,0))</f>
        <v>731</v>
      </c>
      <c r="P76" s="2" t="str">
        <f aca="false">IF(OR(M76&gt;0,N76&gt;0),"Recently Active",IF(OR(I76&lt;=Assumptions!$B$48,K76&lt;=Assumptions!$B$49),"No Meaningful History","Recent Inactivity"))</f>
        <v>Recently Active</v>
      </c>
      <c r="Q76" s="2" t="str">
        <f aca="false">INDEX(Segmentation!$AF$2:$AF$301,MATCH($A76,Segmentation!$A$2:$A$301,0))</f>
        <v>Existing Customer</v>
      </c>
      <c r="R76" s="2" t="str">
        <f aca="false">INDEX(Segmentation!$AL$2:$AL$301,MATCH($A76,Segmentation!$A$2:$A$301,0))</f>
        <v>N/A</v>
      </c>
      <c r="S76" s="10" t="b">
        <f aca="false">INDEX(Segmentation!$AW$2:$AW$301,MATCH($A76,Segmentation!$A$2:$A$301,0))</f>
        <v>0</v>
      </c>
      <c r="T76" s="2" t="str">
        <f aca="false">INDEX('Feature Data'!$AD$2:$AD$301,MATCH($A76,'Feature Data'!$A$2:$A$301,0))</f>
        <v>Broker-led, product-blind</v>
      </c>
      <c r="U76" s="2" t="str">
        <f aca="false">INDEX('Feature Data'!$W$2:$W$301,MATCH($A76,'Feature Data'!$A$2:$A$301,0))</f>
        <v>Bundle-only</v>
      </c>
      <c r="V76" s="2" t="n">
        <f aca="false">INDEX('Feature Data'!$P$2:$P$301,MATCH($A76,'Feature Data'!$A$2:$A$301,0))</f>
        <v>13</v>
      </c>
      <c r="W76" s="2" t="n">
        <f aca="false">INDEX(Segmentation!$R$2:$R$301,MATCH($A76,Segmentation!$A$2:$A$301,0))</f>
        <v>1</v>
      </c>
      <c r="X76" s="2" t="n">
        <f aca="false">INDEX(Segmentation!$S$2:$S$301,MATCH($A76,Segmentation!$A$2:$A$301,0))</f>
        <v>2</v>
      </c>
      <c r="Y76" s="10" t="b">
        <f aca="false">INDEX(Segmentation!$AG$2:$AG$301,MATCH($A76,Segmentation!$A$2:$A$301,0))</f>
        <v>0</v>
      </c>
      <c r="Z76" s="2" t="str">
        <f aca="false">INDEX(Segmentation!$AU$2:$AU$301,MATCH($A76,Segmentation!$A$2:$A$301,0))</f>
        <v>Not Eligible</v>
      </c>
      <c r="AA76" s="10" t="b">
        <f aca="false">INDEX(Segmentation!$Z$2:$Z$301,MATCH($A76,Segmentation!$A$2:$A$301,0))</f>
        <v>0</v>
      </c>
      <c r="AB76" s="10" t="b">
        <f aca="false">INDEX(Segmentation!$AH$2:$AH$301,MATCH($A76,Segmentation!$A$2:$A$301,0))</f>
        <v>0</v>
      </c>
      <c r="AC76" s="10" t="b">
        <f aca="false">INDEX(Segmentation!$AK$2:$AK$301,MATCH($A76,Segmentation!$A$2:$A$301,0))</f>
        <v>0</v>
      </c>
      <c r="AD76" s="10" t="b">
        <f aca="false">INDEX(Segmentation!$AQ$2:$AQ$301,MATCH($A76,Segmentation!$A$2:$A$301,0))</f>
        <v>0</v>
      </c>
      <c r="AE76" s="10" t="b">
        <f aca="false">INDEX(Segmentation!$AT$2:$AT$301,MATCH($A76,Segmentation!$A$2:$A$301,0))</f>
        <v>0</v>
      </c>
      <c r="AF76" s="10" t="b">
        <f aca="false">INDEX(Segmentation!$X$2:$X$301,MATCH($A76,Segmentation!$A$2:$A$301,0))</f>
        <v>0</v>
      </c>
      <c r="AG76" s="10" t="b">
        <f aca="false">AND(F76="Low",V76&gt;=Assumptions!$B$71,X76&lt;Assumptions!$B$72)</f>
        <v>0</v>
      </c>
      <c r="AH76" s="10" t="b">
        <f aca="false">AND(F76="Low",OR(G76="Growing",G76="Stable"),P76="Recently Active",V76&gt;=Assumptions!$B$58,K76&gt;=Assumptions!$B$73)</f>
        <v>0</v>
      </c>
      <c r="AI76" s="17" t="n">
        <f aca="false">IF(O76&gt;0,MAX(L76:N76)/O76,"")</f>
        <v>1</v>
      </c>
      <c r="AJ76" s="2" t="str">
        <f aca="false">IF(LEFT(D76,1)="1",IF(E76="Key","MIGRATION_KEY_SIGNOFF",IF(Z76="Ready","MIGRATION_PHASE1_READY",IF(Z76="Manual Review","MIGRATION_PHASE1_REVIEW","MIGRATION_PRE_ENTRY"))),IF(LEFT(D76,1)="2","DECLINING_KEY_CORE",IF(LEFT(D76,1)="3",IF(R76="Established Buyer Lapsed","LAPSED_ESTABLISHED","LAPSED_THIN_HISTORY"),IF(LEFT(D76,1)="4",IF(Q76="New Customer","NEW_CUSTOMER","RETURNED_CUSTOMER"),IF(LEFT(D76,1)="5",IF(P76="Recently Active","COST_TO_SERVE_ACTIVE","DORMANT_LOW_VALUE"),IF(LEFT(D76,1)="6",IF(P76="Recent Inactivity","RECENT_INACTIVITY",IF(AG76,"BROWSING_LOW_OFFERS","HEALTHY_STRONG_SELF_SERVE")),IF(LEFT(D76,1)="7",IF(P76="Recent Inactivity","RECENT_INACTIVITY",IF(Q76="New Customer","NEW_CUSTOMER","RETURNED_CUSTOMER")),IF(LEFT(D76,1)="8",IF(G76="Declining",IF(T76="Engaged but shrinking (Key/Core)","ENGAGED_BUT_SHRINKING","DECLINING_KEY_CORE"),IF(R76="Established Buyer Lapsed","LAPSED_ESTABLISHED","LAPSED_THIN_HISTORY")),IF(S76,IF(P76&lt;&gt;"Recently Active","DORMANT_LOW_VALUE",IF(AG76,"BROWSING_LOW_OFFERS",IF(AH76,"RISING_TAIL","RISING_TAIL_EARLY"))),IF(AND(AG76,P76="Recently Active",OR(G76="Growing",G76="Stable",G76="H2 Active / No H1 GMV"),I76&gt;=Assumptions!$B$74),"BROWSING_LOW_OFFERS","LONG_TAIL_STANDARD"))))))))))</f>
        <v>COST_TO_SERVE_ACTIVE</v>
      </c>
      <c r="AK76" s="2" t="str">
        <f aca="false">INDEX('NBA Library'!$B$4:$B$21,MATCH(AJ76,'NBA Library'!$A$4:$A$21,0))</f>
        <v>Service Model Review</v>
      </c>
      <c r="AL76" s="2" t="str">
        <f aca="false">INDEX('NBA Library'!$C$4:$C$21,MATCH(AJ76,'NBA Library'!$A$4:$A$21,0))</f>
        <v>Human</v>
      </c>
      <c r="AM76" s="2" t="str">
        <f aca="false">IF(AA76,"HOLD — Critical Data Issue",IF(Y76,"Human Sign-Off Required",IF(Z76="Manual Review","Human Review Required",IF(AND(AL76="Automated",OR(AE76,AND(OR(AK76="Discovery-to-Offer Enablement",AK76="Reinforce Successful Behaviour"),OR(AC76,AB76)))),"Human Review Required",IF(AL76="Human","Ready — Human",IF(AL76="Hybrid","Ready — Hybrid","Ready — Automated"))))))</f>
        <v>Ready — Human</v>
      </c>
      <c r="AN76" s="2" t="str">
        <f aca="false">IF(AA76,"P0",IF(AND(AJ76="BROWSING_LOW_OFFERS",E76="Tail"),"P3",IF(AND(AM76="Human Review Required",INDEX('NBA Library'!$D$4:$D$21,MATCH(AJ76,'NBA Library'!$A$4:$A$21,0))="P4"),"P3",INDEX('NBA Library'!$D$4:$D$21,MATCH(AJ76,'NBA Library'!$A$4:$A$21,0)))))</f>
        <v>P3</v>
      </c>
      <c r="AO76" s="2" t="str">
        <f aca="false">E76&amp;" "&amp;C76&amp;" account ("&amp;B76&amp;"); "&amp;G76&amp;" momentum; "&amp;P76&amp;"; £"&amp;TEXT(H76,"#,##0")&amp;" 6m GMV. "&amp;INDEX('NBA Library'!$G$4:$G$21,MATCH(AJ76,'NBA Library'!$A$4:$A$21,0))&amp;IF(LEFT(D76,1)="1"," Baseline: "&amp;V76&amp;" PDP views, "&amp;W76&amp;" app days, "&amp;X76&amp;" offers, "&amp;TEXT(J76/I76,"0%")&amp;" of orders self-serve.","")&amp;IF(AA76," Execution on HOLD until the Duplicate status is resolved.","")&amp;IF(Y76," Key account: explicit AM/leadership sign-off required before any migration activity.","")&amp;IF(AE76," Implied broker % from order counts would move this account to a different segment; review before automating.","")</f>
        <v>Tail Broker-Reliant account (Account Managed); Stable momentum; Recently Active; £1,422 6m GMV. Broker-reliant but low value and still buying. Decide whether continued AM/broker effort is justified.</v>
      </c>
      <c r="AP76" s="2" t="str">
        <f aca="false">INDEX('NBA Library'!$E$4:$E$21,MATCH(AJ76,'NBA Library'!$A$4:$A$21,0))&amp;IF(AND(AJ76="NEW_CUSTOMER",AG76),"; introduce Make-an-Offer on items already browsed","")</f>
        <v>Internal decision: keep AM coverage, move to low-touch, or automate re-ordering</v>
      </c>
      <c r="AQ76" s="2" t="str">
        <f aca="false">INDEX('NBA Library'!$F$4:$F$21,MATCH(AJ76,'NBA Library'!$A$4:$A$21,0))</f>
        <v>Decision logged; broker effort reduced without GMV loss</v>
      </c>
      <c r="AR76" s="2" t="str">
        <f aca="false">IF(AND(F76="Low",OR(G76="Growing",G76="Stable"),P76="Recently Active",U76&lt;&gt;"Mixed",OR(AK76="Discovery-to-Offer Enablement",AK76="Reinforce Successful Behaviour"),AM76="Ready — Automated",OR(E76&lt;&gt;"Tail",S76)),"Range Expansion Test — trial "&amp;IF(U76="Bundle-only","handpick","bundles")&amp;" (experimental; not proven to lift GMV)","")</f>
        <v/>
      </c>
      <c r="AS76" s="2" t="str">
        <f aca="false">IF(AK76&lt;&gt;"Automated Nurture","",IF(AJ76="DORMANT_LOW_VALUE","Dormant",IF(AJ76="RISING_TAIL_EARLY","Rising tail – early pattern",IF(Q76="New Customer","New customer onboarding",IF(Q76="Returned Customer","Returned customer",IF(G76="Lapsed","Dormant",IF(T76="Engaged, not converting","Engaged, not converting",IF(T76="One-off low-touch buyer","One-off purchaser",IF(T76="Light-touch repeat buyer","Light-touch repeat buyer","Standard long tail")))))))))</f>
        <v/>
      </c>
      <c r="AT76" s="2" t="str">
        <f aca="false">IF(AA76,"CRITICAL_DATA_BLOCKER; ","")&amp;IF(Y76,"KEY_SIGNOFF; ","")&amp;IF(Z76="Manual Review","PHASE1_MANUAL_REVIEW; ","")&amp;IF(AND(LEFT(D76,1)="1",AZ76="Lumpy"),"LUMPY_CADENCE; ","")&amp;IF(AB76,"BORDERLINE_MOMENTUM; ","")&amp;IF(AC76,"FEB_SENSITIVE; ","")&amp;IF(AD76,"MATERIAL_BROKER_INCONSISTENCY"&amp;IF(AE76," (segment would change)","")&amp;"; ","")&amp;IF(AND(I76&gt;=3,O76&gt;0),IF(AI76&gt;=Assumptions!$B$75,"H2_SINGLE_MONTH_SPIKE; ",""),"")&amp;IF(AND(M76&gt;0,N76=0),"NO_FEB_GMV (Feb unconfirmed); ","")&amp;IF(AF76,"LOW_CONFIDENCE; ","")</f>
        <v>H2_SINGLE_MONTH_SPIKE; NO_FEB_GMV (Feb unconfirmed); </v>
      </c>
      <c r="AU76" s="2" t="str">
        <f aca="false">IF(LEFT(D76,1)="1",V76,"")</f>
        <v/>
      </c>
      <c r="AV76" s="2" t="str">
        <f aca="false">IF(LEFT(D76,1)="1",V76&gt;=Assumptions!$B$58,"")</f>
        <v/>
      </c>
      <c r="AW76" s="2" t="str">
        <f aca="false">IF(LEFT(D76,1)="1",W76,"")</f>
        <v/>
      </c>
      <c r="AX76" s="2" t="str">
        <f aca="false">IF(LEFT(D76,1)="1",X76,"")</f>
        <v/>
      </c>
      <c r="AY76" s="17" t="str">
        <f aca="false">IF(LEFT(D76,1)="1",J76/I76,"")</f>
        <v/>
      </c>
      <c r="AZ76" s="2" t="str">
        <f aca="false">IF(LEFT(D76,1)="1",IF(AND(K76&gt;=Assumptions!$B$83,I76&gt;=Assumptions!$B$84),"Regular","Lumpy"),"")</f>
        <v/>
      </c>
      <c r="BA76" s="2" t="str">
        <f aca="false">IF(LEFT(D76,1)="1",ROUND(6/K76,0),"")</f>
        <v/>
      </c>
      <c r="BB76" s="2" t="str">
        <f aca="false">IF(LEFT(D76,1)="1",IF(AZ76="Regular","Regular buyer: expected ~£"&amp;TEXT(H76/2,"#,##0")&amp;" per 90 days. At Risk if GMV to date &lt; "&amp;TEXT(Assumptions!$B$81,"0%")&amp;" of pro-rated expectation, checked from day "&amp;Assumptions!$B$82&amp;". Human-reviewed.","Irregular buyer ("&amp;I76&amp;" orders across "&amp;K76&amp;" months): no numeric GMV threshold. At Risk if no order within ~"&amp;BA76&amp;" month(s); AM reviews at day "&amp;Assumptions!$B$82&amp;" and "&amp;Assumptions!$B$85&amp;"."),"")</f>
        <v/>
      </c>
      <c r="BC76" s="2"/>
      <c r="BD76" s="2"/>
      <c r="BE76" s="2"/>
      <c r="BF76" s="2"/>
      <c r="BG76" s="2"/>
      <c r="BH76" s="2"/>
      <c r="BI76" s="2"/>
      <c r="BJ76" s="2" t="str">
        <f aca="false">IF(OR(NOT(LEFT(D76,1)="1"),BC76=""),"",IF(AZ76="Regular",AND(BC76&gt;=Assumptions!$B$82,N(BI76)&lt;Assumptions!$B$81*H76/180*BC76),AND(BC76&gt;=BA76*30,N(BG76)=0)))</f>
        <v/>
      </c>
      <c r="BK76" s="2" t="str">
        <f aca="false">IF(NOT(LEFT(D76,1)="1"),"N/A",IF(BC76="","Baseline",IF(BJ76,"At Risk",IF(AND(N(BD76)&gt;=Assumptions!$B$78,N(BE76)&gt;=Assumptions!$B$79,N(BH76)&gt;=1,N(BH76)/MAX(N(BG76),1)&gt;AY76),"Self-Serve Capability Demonstrated",IF(OR(N(BD76)&gt;=Assumptions!$B$76,N(BE76)&gt;=Assumptions!$B$77),"Progressing",IF(BC76&gt;=Assumptions!$B$85,"At Risk","Baseline"))))))</f>
        <v>N/A</v>
      </c>
      <c r="BL76" s="2" t="n">
        <f aca="false">(AND(C76="Broker-Reliant",OR(AK76="Discovery-to-Offer Enablement",AK76="Reinforce Successful Behaviour")))*1+(AND(G76="Declining",E76&lt;&gt;"Tail",AL76="Automated"))*1+(AND(Y76,AM76&lt;&gt;"Human Sign-Off Required"))*1+(AND(AA76,AM76&lt;&gt;"HOLD — Critical Data Issue"))*1+(AND(P76="Recent Inactivity",OR(AK76="Discovery-to-Offer Enablement",AK76="Reinforce Successful Behaviour")))*1+(AND(OR(LEFT(D76,1)="2",LEFT(D76,1)="3",LEFT(D76,1)="8"),AL76="Automated"))*1+((LEFT(D76,1)="1")&lt;&gt;(AK76="Guided Self-Serve Migration"))*1+(AND(AR76&lt;&gt;"",OR(F76&lt;&gt;"Low",U76="Mixed",AND(G76&lt;&gt;"Growing",G76&lt;&gt;"Stable"))))*1+ISNUMBER(SEARCH("chat",AP76))*1+ISNUMBER(SEARCH("video",AP76))*1+(AND(AA76,AL76="Automated",AM76&lt;&gt;"HOLD — Critical Data Issue"))*1</f>
        <v>0</v>
      </c>
    </row>
    <row r="77" customFormat="false" ht="15" hidden="false" customHeight="false" outlineLevel="0" collapsed="false">
      <c r="A77" s="2" t="s">
        <v>591</v>
      </c>
      <c r="B77" s="2" t="str">
        <f aca="false">INDEX(Segmentation!$B$2:$B$301,MATCH($A77,Segmentation!$A$2:$A$301,0))</f>
        <v>Account Managed</v>
      </c>
      <c r="C77" s="2" t="str">
        <f aca="false">INDEX(Segmentation!$H$2:$H$301,MATCH($A77,Segmentation!$A$2:$A$301,0))</f>
        <v>AM-Owned / Self-Serving</v>
      </c>
      <c r="D77" s="2" t="str">
        <f aca="false">INDEX(Segmentation!$T$2:$T$301,MATCH($A77,Segmentation!$A$2:$A$301,0))</f>
        <v>9. Long-Tail Automated Nurture</v>
      </c>
      <c r="E77" s="2" t="str">
        <f aca="false">INDEX(Segmentation!$J$2:$J$301,MATCH($A77,Segmentation!$A$2:$A$301,0))</f>
        <v>Tail</v>
      </c>
      <c r="F77" s="2" t="str">
        <f aca="false">INDEX(Segmentation!$G$2:$G$301,MATCH($A77,Segmentation!$A$2:$A$301,0))</f>
        <v>Low</v>
      </c>
      <c r="G77" s="2" t="str">
        <f aca="false">INDEX(Segmentation!$N$2:$N$301,MATCH($A77,Segmentation!$A$2:$A$301,0))</f>
        <v>Lapsed</v>
      </c>
      <c r="H77" s="9" t="n">
        <f aca="false">INDEX(Segmentation!$I$2:$I$301,MATCH($A77,Segmentation!$A$2:$A$301,0))</f>
        <v>1422</v>
      </c>
      <c r="I77" s="2" t="n">
        <f aca="false">INDEX(Segmentation!$O$2:$O$301,MATCH($A77,Segmentation!$A$2:$A$301,0))</f>
        <v>1</v>
      </c>
      <c r="J77" s="2" t="n">
        <f aca="false">INDEX(Segmentation!$Q$2:$Q$301,MATCH($A77,Segmentation!$A$2:$A$301,0))</f>
        <v>1</v>
      </c>
      <c r="K77" s="2" t="n">
        <f aca="false">INDEX(Segmentation!$W$2:$W$301,MATCH($A77,Segmentation!$A$2:$A$301,0))</f>
        <v>1</v>
      </c>
      <c r="L77" s="9" t="n">
        <f aca="false">INDEX('Commercial View'!$L$2:$L$301,MATCH($A77,'Commercial View'!$A$2:$A$301,0))</f>
        <v>0</v>
      </c>
      <c r="M77" s="9" t="n">
        <f aca="false">INDEX('Commercial View'!$M$2:$M$301,MATCH($A77,'Commercial View'!$A$2:$A$301,0))</f>
        <v>0</v>
      </c>
      <c r="N77" s="9" t="n">
        <f aca="false">INDEX('Commercial View'!$N$2:$N$301,MATCH($A77,'Commercial View'!$A$2:$A$301,0))</f>
        <v>0</v>
      </c>
      <c r="O77" s="9" t="n">
        <f aca="false">INDEX(Segmentation!$L$2:$L$301,MATCH($A77,Segmentation!$A$2:$A$301,0))</f>
        <v>0</v>
      </c>
      <c r="P77" s="2" t="str">
        <f aca="false">IF(OR(M77&gt;0,N77&gt;0),"Recently Active",IF(OR(I77&lt;=Assumptions!$B$48,K77&lt;=Assumptions!$B$49),"No Meaningful History","Recent Inactivity"))</f>
        <v>No Meaningful History</v>
      </c>
      <c r="Q77" s="2" t="str">
        <f aca="false">INDEX(Segmentation!$AF$2:$AF$301,MATCH($A77,Segmentation!$A$2:$A$301,0))</f>
        <v>Existing Customer</v>
      </c>
      <c r="R77" s="2" t="str">
        <f aca="false">INDEX(Segmentation!$AL$2:$AL$301,MATCH($A77,Segmentation!$A$2:$A$301,0))</f>
        <v>One-Off / Insufficient History — Verify</v>
      </c>
      <c r="S77" s="10" t="b">
        <f aca="false">INDEX(Segmentation!$AW$2:$AW$301,MATCH($A77,Segmentation!$A$2:$A$301,0))</f>
        <v>0</v>
      </c>
      <c r="T77" s="2" t="str">
        <f aca="false">INDEX('Feature Data'!$AD$2:$AD$301,MATCH($A77,'Feature Data'!$A$2:$A$301,0))</f>
        <v>One-off low-touch buyer</v>
      </c>
      <c r="U77" s="2" t="str">
        <f aca="false">INDEX('Feature Data'!$W$2:$W$301,MATCH($A77,'Feature Data'!$A$2:$A$301,0))</f>
        <v>Handpick-only</v>
      </c>
      <c r="V77" s="2" t="n">
        <f aca="false">INDEX('Feature Data'!$P$2:$P$301,MATCH($A77,'Feature Data'!$A$2:$A$301,0))</f>
        <v>20</v>
      </c>
      <c r="W77" s="2" t="n">
        <f aca="false">INDEX(Segmentation!$R$2:$R$301,MATCH($A77,Segmentation!$A$2:$A$301,0))</f>
        <v>4</v>
      </c>
      <c r="X77" s="2" t="n">
        <f aca="false">INDEX(Segmentation!$S$2:$S$301,MATCH($A77,Segmentation!$A$2:$A$301,0))</f>
        <v>0</v>
      </c>
      <c r="Y77" s="10" t="b">
        <f aca="false">INDEX(Segmentation!$AG$2:$AG$301,MATCH($A77,Segmentation!$A$2:$A$301,0))</f>
        <v>0</v>
      </c>
      <c r="Z77" s="2" t="str">
        <f aca="false">INDEX(Segmentation!$AU$2:$AU$301,MATCH($A77,Segmentation!$A$2:$A$301,0))</f>
        <v>Not Eligible</v>
      </c>
      <c r="AA77" s="10" t="b">
        <f aca="false">INDEX(Segmentation!$Z$2:$Z$301,MATCH($A77,Segmentation!$A$2:$A$301,0))</f>
        <v>0</v>
      </c>
      <c r="AB77" s="10" t="b">
        <f aca="false">INDEX(Segmentation!$AH$2:$AH$301,MATCH($A77,Segmentation!$A$2:$A$301,0))</f>
        <v>0</v>
      </c>
      <c r="AC77" s="10" t="b">
        <f aca="false">INDEX(Segmentation!$AK$2:$AK$301,MATCH($A77,Segmentation!$A$2:$A$301,0))</f>
        <v>0</v>
      </c>
      <c r="AD77" s="10" t="b">
        <f aca="false">INDEX(Segmentation!$AQ$2:$AQ$301,MATCH($A77,Segmentation!$A$2:$A$301,0))</f>
        <v>0</v>
      </c>
      <c r="AE77" s="10" t="b">
        <f aca="false">INDEX(Segmentation!$AT$2:$AT$301,MATCH($A77,Segmentation!$A$2:$A$301,0))</f>
        <v>0</v>
      </c>
      <c r="AF77" s="10" t="b">
        <f aca="false">INDEX(Segmentation!$X$2:$X$301,MATCH($A77,Segmentation!$A$2:$A$301,0))</f>
        <v>1</v>
      </c>
      <c r="AG77" s="10" t="b">
        <f aca="false">AND(F77="Low",V77&gt;=Assumptions!$B$71,X77&lt;Assumptions!$B$72)</f>
        <v>0</v>
      </c>
      <c r="AH77" s="10" t="b">
        <f aca="false">AND(F77="Low",OR(G77="Growing",G77="Stable"),P77="Recently Active",V77&gt;=Assumptions!$B$58,K77&gt;=Assumptions!$B$73)</f>
        <v>0</v>
      </c>
      <c r="AI77" s="17" t="str">
        <f aca="false">IF(O77&gt;0,MAX(L77:N77)/O77,"")</f>
        <v/>
      </c>
      <c r="AJ77" s="2" t="str">
        <f aca="false">IF(LEFT(D77,1)="1",IF(E77="Key","MIGRATION_KEY_SIGNOFF",IF(Z77="Ready","MIGRATION_PHASE1_READY",IF(Z77="Manual Review","MIGRATION_PHASE1_REVIEW","MIGRATION_PRE_ENTRY"))),IF(LEFT(D77,1)="2","DECLINING_KEY_CORE",IF(LEFT(D77,1)="3",IF(R77="Established Buyer Lapsed","LAPSED_ESTABLISHED","LAPSED_THIN_HISTORY"),IF(LEFT(D77,1)="4",IF(Q77="New Customer","NEW_CUSTOMER","RETURNED_CUSTOMER"),IF(LEFT(D77,1)="5",IF(P77="Recently Active","COST_TO_SERVE_ACTIVE","DORMANT_LOW_VALUE"),IF(LEFT(D77,1)="6",IF(P77="Recent Inactivity","RECENT_INACTIVITY",IF(AG77,"BROWSING_LOW_OFFERS","HEALTHY_STRONG_SELF_SERVE")),IF(LEFT(D77,1)="7",IF(P77="Recent Inactivity","RECENT_INACTIVITY",IF(Q77="New Customer","NEW_CUSTOMER","RETURNED_CUSTOMER")),IF(LEFT(D77,1)="8",IF(G77="Declining",IF(T77="Engaged but shrinking (Key/Core)","ENGAGED_BUT_SHRINKING","DECLINING_KEY_CORE"),IF(R77="Established Buyer Lapsed","LAPSED_ESTABLISHED","LAPSED_THIN_HISTORY")),IF(S77,IF(P77&lt;&gt;"Recently Active","DORMANT_LOW_VALUE",IF(AG77,"BROWSING_LOW_OFFERS",IF(AH77,"RISING_TAIL","RISING_TAIL_EARLY"))),IF(AND(AG77,P77="Recently Active",OR(G77="Growing",G77="Stable",G77="H2 Active / No H1 GMV"),I77&gt;=Assumptions!$B$74),"BROWSING_LOW_OFFERS","LONG_TAIL_STANDARD"))))))))))</f>
        <v>LONG_TAIL_STANDARD</v>
      </c>
      <c r="AK77" s="2" t="str">
        <f aca="false">INDEX('NBA Library'!$B$4:$B$21,MATCH(AJ77,'NBA Library'!$A$4:$A$21,0))</f>
        <v>Automated Nurture</v>
      </c>
      <c r="AL77" s="2" t="str">
        <f aca="false">INDEX('NBA Library'!$C$4:$C$21,MATCH(AJ77,'NBA Library'!$A$4:$A$21,0))</f>
        <v>Automated</v>
      </c>
      <c r="AM77" s="2" t="str">
        <f aca="false">IF(AA77,"HOLD — Critical Data Issue",IF(Y77,"Human Sign-Off Required",IF(Z77="Manual Review","Human Review Required",IF(AND(AL77="Automated",OR(AE77,AND(OR(AK77="Discovery-to-Offer Enablement",AK77="Reinforce Successful Behaviour"),OR(AC77,AB77)))),"Human Review Required",IF(AL77="Human","Ready — Human",IF(AL77="Hybrid","Ready — Hybrid","Ready — Automated"))))))</f>
        <v>Ready — Automated</v>
      </c>
      <c r="AN77" s="2" t="str">
        <f aca="false">IF(AA77,"P0",IF(AND(AJ77="BROWSING_LOW_OFFERS",E77="Tail"),"P3",IF(AND(AM77="Human Review Required",INDEX('NBA Library'!$D$4:$D$21,MATCH(AJ77,'NBA Library'!$A$4:$A$21,0))="P4"),"P3",INDEX('NBA Library'!$D$4:$D$21,MATCH(AJ77,'NBA Library'!$A$4:$A$21,0)))))</f>
        <v>P4</v>
      </c>
      <c r="AO77" s="2" t="str">
        <f aca="false">E77&amp;" "&amp;C77&amp;" account ("&amp;B77&amp;"); "&amp;G77&amp;" momentum; "&amp;P77&amp;"; £"&amp;TEXT(H77,"#,##0")&amp;" 6m GMV. "&amp;INDEX('NBA Library'!$G$4:$G$21,MATCH(AJ77,'NBA Library'!$A$4:$A$21,0))&amp;IF(LEFT(D77,1)="1"," Baseline: "&amp;V77&amp;" PDP views, "&amp;W77&amp;" app days, "&amp;X77&amp;" offers, "&amp;TEXT(J77/I77,"0%")&amp;" of orders self-serve.","")&amp;IF(AA77," Execution on HOLD until the Duplicate status is resolved.","")&amp;IF(Y77," Key account: explicit AM/leadership sign-off required before any migration activity.","")&amp;IF(AE77," Implied broker % from order counts would move this account to a different segment; review before automating.","")</f>
        <v>Tail AM-Owned / Self-Serving account (Account Managed); Lapsed momentum; No Meaningful History; £1,422 6m GMV. Low-value, low-dependency account. Scalable automated engagement.</v>
      </c>
      <c r="AP77" s="2" t="str">
        <f aca="false">INDEX('NBA Library'!$E$4:$E$21,MATCH(AJ77,'NBA Library'!$A$4:$A$21,0))&amp;IF(AND(AJ77="NEW_CUSTOMER",AG77),"; introduce Make-an-Offer on items already browsed","")</f>
        <v>Scalable automated engagement matched to nurture sub-context</v>
      </c>
      <c r="AQ77" s="2" t="str">
        <f aca="false">INDEX('NBA Library'!$F$4:$F$21,MATCH(AJ77,'NBA Library'!$A$4:$A$21,0))</f>
        <v>Any repeat order within 90 days</v>
      </c>
      <c r="AR77" s="2" t="str">
        <f aca="false">IF(AND(F77="Low",OR(G77="Growing",G77="Stable"),P77="Recently Active",U77&lt;&gt;"Mixed",OR(AK77="Discovery-to-Offer Enablement",AK77="Reinforce Successful Behaviour"),AM77="Ready — Automated",OR(E77&lt;&gt;"Tail",S77)),"Range Expansion Test — trial "&amp;IF(U77="Bundle-only","handpick","bundles")&amp;" (experimental; not proven to lift GMV)","")</f>
        <v/>
      </c>
      <c r="AS77" s="2" t="str">
        <f aca="false">IF(AK77&lt;&gt;"Automated Nurture","",IF(AJ77="DORMANT_LOW_VALUE","Dormant",IF(AJ77="RISING_TAIL_EARLY","Rising tail – early pattern",IF(Q77="New Customer","New customer onboarding",IF(Q77="Returned Customer","Returned customer",IF(G77="Lapsed","Dormant",IF(T77="Engaged, not converting","Engaged, not converting",IF(T77="One-off low-touch buyer","One-off purchaser",IF(T77="Light-touch repeat buyer","Light-touch repeat buyer","Standard long tail")))))))))</f>
        <v>Dormant</v>
      </c>
      <c r="AT77" s="2" t="str">
        <f aca="false">IF(AA77,"CRITICAL_DATA_BLOCKER; ","")&amp;IF(Y77,"KEY_SIGNOFF; ","")&amp;IF(Z77="Manual Review","PHASE1_MANUAL_REVIEW; ","")&amp;IF(AND(LEFT(D77,1)="1",AZ77="Lumpy"),"LUMPY_CADENCE; ","")&amp;IF(AB77,"BORDERLINE_MOMENTUM; ","")&amp;IF(AC77,"FEB_SENSITIVE; ","")&amp;IF(AD77,"MATERIAL_BROKER_INCONSISTENCY"&amp;IF(AE77," (segment would change)","")&amp;"; ","")&amp;IF(AND(I77&gt;=3,O77&gt;0),IF(AI77&gt;=Assumptions!$B$75,"H2_SINGLE_MONTH_SPIKE; ",""),"")&amp;IF(AND(M77&gt;0,N77=0),"NO_FEB_GMV (Feb unconfirmed); ","")&amp;IF(AF77,"LOW_CONFIDENCE; ","")</f>
        <v>LOW_CONFIDENCE; </v>
      </c>
      <c r="AU77" s="2" t="str">
        <f aca="false">IF(LEFT(D77,1)="1",V77,"")</f>
        <v/>
      </c>
      <c r="AV77" s="2" t="str">
        <f aca="false">IF(LEFT(D77,1)="1",V77&gt;=Assumptions!$B$58,"")</f>
        <v/>
      </c>
      <c r="AW77" s="2" t="str">
        <f aca="false">IF(LEFT(D77,1)="1",W77,"")</f>
        <v/>
      </c>
      <c r="AX77" s="2" t="str">
        <f aca="false">IF(LEFT(D77,1)="1",X77,"")</f>
        <v/>
      </c>
      <c r="AY77" s="17" t="str">
        <f aca="false">IF(LEFT(D77,1)="1",J77/I77,"")</f>
        <v/>
      </c>
      <c r="AZ77" s="2" t="str">
        <f aca="false">IF(LEFT(D77,1)="1",IF(AND(K77&gt;=Assumptions!$B$83,I77&gt;=Assumptions!$B$84),"Regular","Lumpy"),"")</f>
        <v/>
      </c>
      <c r="BA77" s="2" t="str">
        <f aca="false">IF(LEFT(D77,1)="1",ROUND(6/K77,0),"")</f>
        <v/>
      </c>
      <c r="BB77" s="2" t="str">
        <f aca="false">IF(LEFT(D77,1)="1",IF(AZ77="Regular","Regular buyer: expected ~£"&amp;TEXT(H77/2,"#,##0")&amp;" per 90 days. At Risk if GMV to date &lt; "&amp;TEXT(Assumptions!$B$81,"0%")&amp;" of pro-rated expectation, checked from day "&amp;Assumptions!$B$82&amp;". Human-reviewed.","Irregular buyer ("&amp;I77&amp;" orders across "&amp;K77&amp;" months): no numeric GMV threshold. At Risk if no order within ~"&amp;BA77&amp;" month(s); AM reviews at day "&amp;Assumptions!$B$82&amp;" and "&amp;Assumptions!$B$85&amp;"."),"")</f>
        <v/>
      </c>
      <c r="BC77" s="2"/>
      <c r="BD77" s="2"/>
      <c r="BE77" s="2"/>
      <c r="BF77" s="2"/>
      <c r="BG77" s="2"/>
      <c r="BH77" s="2"/>
      <c r="BI77" s="2"/>
      <c r="BJ77" s="2" t="str">
        <f aca="false">IF(OR(NOT(LEFT(D77,1)="1"),BC77=""),"",IF(AZ77="Regular",AND(BC77&gt;=Assumptions!$B$82,N(BI77)&lt;Assumptions!$B$81*H77/180*BC77),AND(BC77&gt;=BA77*30,N(BG77)=0)))</f>
        <v/>
      </c>
      <c r="BK77" s="2" t="str">
        <f aca="false">IF(NOT(LEFT(D77,1)="1"),"N/A",IF(BC77="","Baseline",IF(BJ77,"At Risk",IF(AND(N(BD77)&gt;=Assumptions!$B$78,N(BE77)&gt;=Assumptions!$B$79,N(BH77)&gt;=1,N(BH77)/MAX(N(BG77),1)&gt;AY77),"Self-Serve Capability Demonstrated",IF(OR(N(BD77)&gt;=Assumptions!$B$76,N(BE77)&gt;=Assumptions!$B$77),"Progressing",IF(BC77&gt;=Assumptions!$B$85,"At Risk","Baseline"))))))</f>
        <v>N/A</v>
      </c>
      <c r="BL77" s="2" t="n">
        <f aca="false">(AND(C77="Broker-Reliant",OR(AK77="Discovery-to-Offer Enablement",AK77="Reinforce Successful Behaviour")))*1+(AND(G77="Declining",E77&lt;&gt;"Tail",AL77="Automated"))*1+(AND(Y77,AM77&lt;&gt;"Human Sign-Off Required"))*1+(AND(AA77,AM77&lt;&gt;"HOLD — Critical Data Issue"))*1+(AND(P77="Recent Inactivity",OR(AK77="Discovery-to-Offer Enablement",AK77="Reinforce Successful Behaviour")))*1+(AND(OR(LEFT(D77,1)="2",LEFT(D77,1)="3",LEFT(D77,1)="8"),AL77="Automated"))*1+((LEFT(D77,1)="1")&lt;&gt;(AK77="Guided Self-Serve Migration"))*1+(AND(AR77&lt;&gt;"",OR(F77&lt;&gt;"Low",U77="Mixed",AND(G77&lt;&gt;"Growing",G77&lt;&gt;"Stable"))))*1+ISNUMBER(SEARCH("chat",AP77))*1+ISNUMBER(SEARCH("video",AP77))*1+(AND(AA77,AL77="Automated",AM77&lt;&gt;"HOLD — Critical Data Issue"))*1</f>
        <v>0</v>
      </c>
    </row>
    <row r="78" customFormat="false" ht="15" hidden="false" customHeight="false" outlineLevel="0" collapsed="false">
      <c r="A78" s="2" t="s">
        <v>520</v>
      </c>
      <c r="B78" s="2" t="str">
        <f aca="false">INDEX(Segmentation!$B$2:$B$301,MATCH($A78,Segmentation!$A$2:$A$301,0))</f>
        <v>Account Managed</v>
      </c>
      <c r="C78" s="2" t="str">
        <f aca="false">INDEX(Segmentation!$H$2:$H$301,MATCH($A78,Segmentation!$A$2:$A$301,0))</f>
        <v>Broker-Reliant</v>
      </c>
      <c r="D78" s="2" t="str">
        <f aca="false">INDEX(Segmentation!$T$2:$T$301,MATCH($A78,Segmentation!$A$2:$A$301,0))</f>
        <v>5. Cost-to-Serve / Low-Touch</v>
      </c>
      <c r="E78" s="2" t="str">
        <f aca="false">INDEX(Segmentation!$J$2:$J$301,MATCH($A78,Segmentation!$A$2:$A$301,0))</f>
        <v>Tail</v>
      </c>
      <c r="F78" s="2" t="str">
        <f aca="false">INDEX(Segmentation!$G$2:$G$301,MATCH($A78,Segmentation!$A$2:$A$301,0))</f>
        <v>High</v>
      </c>
      <c r="G78" s="2" t="str">
        <f aca="false">INDEX(Segmentation!$N$2:$N$301,MATCH($A78,Segmentation!$A$2:$A$301,0))</f>
        <v>Declining</v>
      </c>
      <c r="H78" s="9" t="n">
        <f aca="false">INDEX(Segmentation!$I$2:$I$301,MATCH($A78,Segmentation!$A$2:$A$301,0))</f>
        <v>1401</v>
      </c>
      <c r="I78" s="2" t="n">
        <f aca="false">INDEX(Segmentation!$O$2:$O$301,MATCH($A78,Segmentation!$A$2:$A$301,0))</f>
        <v>5</v>
      </c>
      <c r="J78" s="2" t="n">
        <f aca="false">INDEX(Segmentation!$Q$2:$Q$301,MATCH($A78,Segmentation!$A$2:$A$301,0))</f>
        <v>1</v>
      </c>
      <c r="K78" s="2" t="n">
        <f aca="false">INDEX(Segmentation!$W$2:$W$301,MATCH($A78,Segmentation!$A$2:$A$301,0))</f>
        <v>3</v>
      </c>
      <c r="L78" s="9" t="n">
        <f aca="false">INDEX('Commercial View'!$L$2:$L$301,MATCH($A78,'Commercial View'!$A$2:$A$301,0))</f>
        <v>0</v>
      </c>
      <c r="M78" s="9" t="n">
        <f aca="false">INDEX('Commercial View'!$M$2:$M$301,MATCH($A78,'Commercial View'!$A$2:$A$301,0))</f>
        <v>0</v>
      </c>
      <c r="N78" s="9" t="n">
        <f aca="false">INDEX('Commercial View'!$N$2:$N$301,MATCH($A78,'Commercial View'!$A$2:$A$301,0))</f>
        <v>272</v>
      </c>
      <c r="O78" s="9" t="n">
        <f aca="false">INDEX(Segmentation!$L$2:$L$301,MATCH($A78,Segmentation!$A$2:$A$301,0))</f>
        <v>272</v>
      </c>
      <c r="P78" s="2" t="str">
        <f aca="false">IF(OR(M78&gt;0,N78&gt;0),"Recently Active",IF(OR(I78&lt;=Assumptions!$B$48,K78&lt;=Assumptions!$B$49),"No Meaningful History","Recent Inactivity"))</f>
        <v>Recently Active</v>
      </c>
      <c r="Q78" s="2" t="str">
        <f aca="false">INDEX(Segmentation!$AF$2:$AF$301,MATCH($A78,Segmentation!$A$2:$A$301,0))</f>
        <v>Existing Customer</v>
      </c>
      <c r="R78" s="2" t="str">
        <f aca="false">INDEX(Segmentation!$AL$2:$AL$301,MATCH($A78,Segmentation!$A$2:$A$301,0))</f>
        <v>N/A</v>
      </c>
      <c r="S78" s="10" t="b">
        <f aca="false">INDEX(Segmentation!$AW$2:$AW$301,MATCH($A78,Segmentation!$A$2:$A$301,0))</f>
        <v>0</v>
      </c>
      <c r="T78" s="2" t="str">
        <f aca="false">INDEX('Feature Data'!$AD$2:$AD$301,MATCH($A78,'Feature Data'!$A$2:$A$301,0))</f>
        <v>Broker-led, product-blind</v>
      </c>
      <c r="U78" s="2" t="str">
        <f aca="false">INDEX('Feature Data'!$W$2:$W$301,MATCH($A78,'Feature Data'!$A$2:$A$301,0))</f>
        <v>Mixed</v>
      </c>
      <c r="V78" s="2" t="n">
        <f aca="false">INDEX('Feature Data'!$P$2:$P$301,MATCH($A78,'Feature Data'!$A$2:$A$301,0))</f>
        <v>10</v>
      </c>
      <c r="W78" s="2" t="n">
        <f aca="false">INDEX(Segmentation!$R$2:$R$301,MATCH($A78,Segmentation!$A$2:$A$301,0))</f>
        <v>4</v>
      </c>
      <c r="X78" s="2" t="n">
        <f aca="false">INDEX(Segmentation!$S$2:$S$301,MATCH($A78,Segmentation!$A$2:$A$301,0))</f>
        <v>1</v>
      </c>
      <c r="Y78" s="10" t="b">
        <f aca="false">INDEX(Segmentation!$AG$2:$AG$301,MATCH($A78,Segmentation!$A$2:$A$301,0))</f>
        <v>0</v>
      </c>
      <c r="Z78" s="2" t="str">
        <f aca="false">INDEX(Segmentation!$AU$2:$AU$301,MATCH($A78,Segmentation!$A$2:$A$301,0))</f>
        <v>Not Eligible</v>
      </c>
      <c r="AA78" s="10" t="b">
        <f aca="false">INDEX(Segmentation!$Z$2:$Z$301,MATCH($A78,Segmentation!$A$2:$A$301,0))</f>
        <v>0</v>
      </c>
      <c r="AB78" s="10" t="b">
        <f aca="false">INDEX(Segmentation!$AH$2:$AH$301,MATCH($A78,Segmentation!$A$2:$A$301,0))</f>
        <v>0</v>
      </c>
      <c r="AC78" s="10" t="b">
        <f aca="false">INDEX(Segmentation!$AK$2:$AK$301,MATCH($A78,Segmentation!$A$2:$A$301,0))</f>
        <v>1</v>
      </c>
      <c r="AD78" s="10" t="b">
        <f aca="false">INDEX(Segmentation!$AQ$2:$AQ$301,MATCH($A78,Segmentation!$A$2:$A$301,0))</f>
        <v>0</v>
      </c>
      <c r="AE78" s="10" t="b">
        <f aca="false">INDEX(Segmentation!$AT$2:$AT$301,MATCH($A78,Segmentation!$A$2:$A$301,0))</f>
        <v>0</v>
      </c>
      <c r="AF78" s="10" t="b">
        <f aca="false">INDEX(Segmentation!$X$2:$X$301,MATCH($A78,Segmentation!$A$2:$A$301,0))</f>
        <v>0</v>
      </c>
      <c r="AG78" s="10" t="b">
        <f aca="false">AND(F78="Low",V78&gt;=Assumptions!$B$71,X78&lt;Assumptions!$B$72)</f>
        <v>0</v>
      </c>
      <c r="AH78" s="10" t="b">
        <f aca="false">AND(F78="Low",OR(G78="Growing",G78="Stable"),P78="Recently Active",V78&gt;=Assumptions!$B$58,K78&gt;=Assumptions!$B$73)</f>
        <v>0</v>
      </c>
      <c r="AI78" s="17" t="n">
        <f aca="false">IF(O78&gt;0,MAX(L78:N78)/O78,"")</f>
        <v>1</v>
      </c>
      <c r="AJ78" s="2" t="str">
        <f aca="false">IF(LEFT(D78,1)="1",IF(E78="Key","MIGRATION_KEY_SIGNOFF",IF(Z78="Ready","MIGRATION_PHASE1_READY",IF(Z78="Manual Review","MIGRATION_PHASE1_REVIEW","MIGRATION_PRE_ENTRY"))),IF(LEFT(D78,1)="2","DECLINING_KEY_CORE",IF(LEFT(D78,1)="3",IF(R78="Established Buyer Lapsed","LAPSED_ESTABLISHED","LAPSED_THIN_HISTORY"),IF(LEFT(D78,1)="4",IF(Q78="New Customer","NEW_CUSTOMER","RETURNED_CUSTOMER"),IF(LEFT(D78,1)="5",IF(P78="Recently Active","COST_TO_SERVE_ACTIVE","DORMANT_LOW_VALUE"),IF(LEFT(D78,1)="6",IF(P78="Recent Inactivity","RECENT_INACTIVITY",IF(AG78,"BROWSING_LOW_OFFERS","HEALTHY_STRONG_SELF_SERVE")),IF(LEFT(D78,1)="7",IF(P78="Recent Inactivity","RECENT_INACTIVITY",IF(Q78="New Customer","NEW_CUSTOMER","RETURNED_CUSTOMER")),IF(LEFT(D78,1)="8",IF(G78="Declining",IF(T78="Engaged but shrinking (Key/Core)","ENGAGED_BUT_SHRINKING","DECLINING_KEY_CORE"),IF(R78="Established Buyer Lapsed","LAPSED_ESTABLISHED","LAPSED_THIN_HISTORY")),IF(S78,IF(P78&lt;&gt;"Recently Active","DORMANT_LOW_VALUE",IF(AG78,"BROWSING_LOW_OFFERS",IF(AH78,"RISING_TAIL","RISING_TAIL_EARLY"))),IF(AND(AG78,P78="Recently Active",OR(G78="Growing",G78="Stable",G78="H2 Active / No H1 GMV"),I78&gt;=Assumptions!$B$74),"BROWSING_LOW_OFFERS","LONG_TAIL_STANDARD"))))))))))</f>
        <v>COST_TO_SERVE_ACTIVE</v>
      </c>
      <c r="AK78" s="2" t="str">
        <f aca="false">INDEX('NBA Library'!$B$4:$B$21,MATCH(AJ78,'NBA Library'!$A$4:$A$21,0))</f>
        <v>Service Model Review</v>
      </c>
      <c r="AL78" s="2" t="str">
        <f aca="false">INDEX('NBA Library'!$C$4:$C$21,MATCH(AJ78,'NBA Library'!$A$4:$A$21,0))</f>
        <v>Human</v>
      </c>
      <c r="AM78" s="2" t="str">
        <f aca="false">IF(AA78,"HOLD — Critical Data Issue",IF(Y78,"Human Sign-Off Required",IF(Z78="Manual Review","Human Review Required",IF(AND(AL78="Automated",OR(AE78,AND(OR(AK78="Discovery-to-Offer Enablement",AK78="Reinforce Successful Behaviour"),OR(AC78,AB78)))),"Human Review Required",IF(AL78="Human","Ready — Human",IF(AL78="Hybrid","Ready — Hybrid","Ready — Automated"))))))</f>
        <v>Ready — Human</v>
      </c>
      <c r="AN78" s="2" t="str">
        <f aca="false">IF(AA78,"P0",IF(AND(AJ78="BROWSING_LOW_OFFERS",E78="Tail"),"P3",IF(AND(AM78="Human Review Required",INDEX('NBA Library'!$D$4:$D$21,MATCH(AJ78,'NBA Library'!$A$4:$A$21,0))="P4"),"P3",INDEX('NBA Library'!$D$4:$D$21,MATCH(AJ78,'NBA Library'!$A$4:$A$21,0)))))</f>
        <v>P3</v>
      </c>
      <c r="AO78" s="2" t="str">
        <f aca="false">E78&amp;" "&amp;C78&amp;" account ("&amp;B78&amp;"); "&amp;G78&amp;" momentum; "&amp;P78&amp;"; £"&amp;TEXT(H78,"#,##0")&amp;" 6m GMV. "&amp;INDEX('NBA Library'!$G$4:$G$21,MATCH(AJ78,'NBA Library'!$A$4:$A$21,0))&amp;IF(LEFT(D78,1)="1"," Baseline: "&amp;V78&amp;" PDP views, "&amp;W78&amp;" app days, "&amp;X78&amp;" offers, "&amp;TEXT(J78/I78,"0%")&amp;" of orders self-serve.","")&amp;IF(AA78," Execution on HOLD until the Duplicate status is resolved.","")&amp;IF(Y78," Key account: explicit AM/leadership sign-off required before any migration activity.","")&amp;IF(AE78," Implied broker % from order counts would move this account to a different segment; review before automating.","")</f>
        <v>Tail Broker-Reliant account (Account Managed); Declining momentum; Recently Active; £1,401 6m GMV. Broker-reliant but low value and still buying. Decide whether continued AM/broker effort is justified.</v>
      </c>
      <c r="AP78" s="2" t="str">
        <f aca="false">INDEX('NBA Library'!$E$4:$E$21,MATCH(AJ78,'NBA Library'!$A$4:$A$21,0))&amp;IF(AND(AJ78="NEW_CUSTOMER",AG78),"; introduce Make-an-Offer on items already browsed","")</f>
        <v>Internal decision: keep AM coverage, move to low-touch, or automate re-ordering</v>
      </c>
      <c r="AQ78" s="2" t="str">
        <f aca="false">INDEX('NBA Library'!$F$4:$F$21,MATCH(AJ78,'NBA Library'!$A$4:$A$21,0))</f>
        <v>Decision logged; broker effort reduced without GMV loss</v>
      </c>
      <c r="AR78" s="2" t="str">
        <f aca="false">IF(AND(F78="Low",OR(G78="Growing",G78="Stable"),P78="Recently Active",U78&lt;&gt;"Mixed",OR(AK78="Discovery-to-Offer Enablement",AK78="Reinforce Successful Behaviour"),AM78="Ready — Automated",OR(E78&lt;&gt;"Tail",S78)),"Range Expansion Test — trial "&amp;IF(U78="Bundle-only","handpick","bundles")&amp;" (experimental; not proven to lift GMV)","")</f>
        <v/>
      </c>
      <c r="AS78" s="2" t="str">
        <f aca="false">IF(AK78&lt;&gt;"Automated Nurture","",IF(AJ78="DORMANT_LOW_VALUE","Dormant",IF(AJ78="RISING_TAIL_EARLY","Rising tail – early pattern",IF(Q78="New Customer","New customer onboarding",IF(Q78="Returned Customer","Returned customer",IF(G78="Lapsed","Dormant",IF(T78="Engaged, not converting","Engaged, not converting",IF(T78="One-off low-touch buyer","One-off purchaser",IF(T78="Light-touch repeat buyer","Light-touch repeat buyer","Standard long tail")))))))))</f>
        <v/>
      </c>
      <c r="AT78" s="2" t="str">
        <f aca="false">IF(AA78,"CRITICAL_DATA_BLOCKER; ","")&amp;IF(Y78,"KEY_SIGNOFF; ","")&amp;IF(Z78="Manual Review","PHASE1_MANUAL_REVIEW; ","")&amp;IF(AND(LEFT(D78,1)="1",AZ78="Lumpy"),"LUMPY_CADENCE; ","")&amp;IF(AB78,"BORDERLINE_MOMENTUM; ","")&amp;IF(AC78,"FEB_SENSITIVE; ","")&amp;IF(AD78,"MATERIAL_BROKER_INCONSISTENCY"&amp;IF(AE78," (segment would change)","")&amp;"; ","")&amp;IF(AND(I78&gt;=3,O78&gt;0),IF(AI78&gt;=Assumptions!$B$75,"H2_SINGLE_MONTH_SPIKE; ",""),"")&amp;IF(AND(M78&gt;0,N78=0),"NO_FEB_GMV (Feb unconfirmed); ","")&amp;IF(AF78,"LOW_CONFIDENCE; ","")</f>
        <v>FEB_SENSITIVE; H2_SINGLE_MONTH_SPIKE; </v>
      </c>
      <c r="AU78" s="2" t="str">
        <f aca="false">IF(LEFT(D78,1)="1",V78,"")</f>
        <v/>
      </c>
      <c r="AV78" s="2" t="str">
        <f aca="false">IF(LEFT(D78,1)="1",V78&gt;=Assumptions!$B$58,"")</f>
        <v/>
      </c>
      <c r="AW78" s="2" t="str">
        <f aca="false">IF(LEFT(D78,1)="1",W78,"")</f>
        <v/>
      </c>
      <c r="AX78" s="2" t="str">
        <f aca="false">IF(LEFT(D78,1)="1",X78,"")</f>
        <v/>
      </c>
      <c r="AY78" s="17" t="str">
        <f aca="false">IF(LEFT(D78,1)="1",J78/I78,"")</f>
        <v/>
      </c>
      <c r="AZ78" s="2" t="str">
        <f aca="false">IF(LEFT(D78,1)="1",IF(AND(K78&gt;=Assumptions!$B$83,I78&gt;=Assumptions!$B$84),"Regular","Lumpy"),"")</f>
        <v/>
      </c>
      <c r="BA78" s="2" t="str">
        <f aca="false">IF(LEFT(D78,1)="1",ROUND(6/K78,0),"")</f>
        <v/>
      </c>
      <c r="BB78" s="2" t="str">
        <f aca="false">IF(LEFT(D78,1)="1",IF(AZ78="Regular","Regular buyer: expected ~£"&amp;TEXT(H78/2,"#,##0")&amp;" per 90 days. At Risk if GMV to date &lt; "&amp;TEXT(Assumptions!$B$81,"0%")&amp;" of pro-rated expectation, checked from day "&amp;Assumptions!$B$82&amp;". Human-reviewed.","Irregular buyer ("&amp;I78&amp;" orders across "&amp;K78&amp;" months): no numeric GMV threshold. At Risk if no order within ~"&amp;BA78&amp;" month(s); AM reviews at day "&amp;Assumptions!$B$82&amp;" and "&amp;Assumptions!$B$85&amp;"."),"")</f>
        <v/>
      </c>
      <c r="BC78" s="2"/>
      <c r="BD78" s="2"/>
      <c r="BE78" s="2"/>
      <c r="BF78" s="2"/>
      <c r="BG78" s="2"/>
      <c r="BH78" s="2"/>
      <c r="BI78" s="2"/>
      <c r="BJ78" s="2" t="str">
        <f aca="false">IF(OR(NOT(LEFT(D78,1)="1"),BC78=""),"",IF(AZ78="Regular",AND(BC78&gt;=Assumptions!$B$82,N(BI78)&lt;Assumptions!$B$81*H78/180*BC78),AND(BC78&gt;=BA78*30,N(BG78)=0)))</f>
        <v/>
      </c>
      <c r="BK78" s="2" t="str">
        <f aca="false">IF(NOT(LEFT(D78,1)="1"),"N/A",IF(BC78="","Baseline",IF(BJ78,"At Risk",IF(AND(N(BD78)&gt;=Assumptions!$B$78,N(BE78)&gt;=Assumptions!$B$79,N(BH78)&gt;=1,N(BH78)/MAX(N(BG78),1)&gt;AY78),"Self-Serve Capability Demonstrated",IF(OR(N(BD78)&gt;=Assumptions!$B$76,N(BE78)&gt;=Assumptions!$B$77),"Progressing",IF(BC78&gt;=Assumptions!$B$85,"At Risk","Baseline"))))))</f>
        <v>N/A</v>
      </c>
      <c r="BL78" s="2" t="n">
        <f aca="false">(AND(C78="Broker-Reliant",OR(AK78="Discovery-to-Offer Enablement",AK78="Reinforce Successful Behaviour")))*1+(AND(G78="Declining",E78&lt;&gt;"Tail",AL78="Automated"))*1+(AND(Y78,AM78&lt;&gt;"Human Sign-Off Required"))*1+(AND(AA78,AM78&lt;&gt;"HOLD — Critical Data Issue"))*1+(AND(P78="Recent Inactivity",OR(AK78="Discovery-to-Offer Enablement",AK78="Reinforce Successful Behaviour")))*1+(AND(OR(LEFT(D78,1)="2",LEFT(D78,1)="3",LEFT(D78,1)="8"),AL78="Automated"))*1+((LEFT(D78,1)="1")&lt;&gt;(AK78="Guided Self-Serve Migration"))*1+(AND(AR78&lt;&gt;"",OR(F78&lt;&gt;"Low",U78="Mixed",AND(G78&lt;&gt;"Growing",G78&lt;&gt;"Stable"))))*1+ISNUMBER(SEARCH("chat",AP78))*1+ISNUMBER(SEARCH("video",AP78))*1+(AND(AA78,AL78="Automated",AM78&lt;&gt;"HOLD — Critical Data Issue"))*1</f>
        <v>0</v>
      </c>
    </row>
    <row r="79" customFormat="false" ht="15" hidden="false" customHeight="false" outlineLevel="0" collapsed="false">
      <c r="A79" s="2" t="s">
        <v>523</v>
      </c>
      <c r="B79" s="2" t="str">
        <f aca="false">INDEX(Segmentation!$B$2:$B$301,MATCH($A79,Segmentation!$A$2:$A$301,0))</f>
        <v>Account Managed</v>
      </c>
      <c r="C79" s="2" t="str">
        <f aca="false">INDEX(Segmentation!$H$2:$H$301,MATCH($A79,Segmentation!$A$2:$A$301,0))</f>
        <v>AM-Owned / Self-Serving</v>
      </c>
      <c r="D79" s="2" t="str">
        <f aca="false">INDEX(Segmentation!$T$2:$T$301,MATCH($A79,Segmentation!$A$2:$A$301,0))</f>
        <v>9. Long-Tail Automated Nurture</v>
      </c>
      <c r="E79" s="2" t="str">
        <f aca="false">INDEX(Segmentation!$J$2:$J$301,MATCH($A79,Segmentation!$A$2:$A$301,0))</f>
        <v>Tail</v>
      </c>
      <c r="F79" s="2" t="str">
        <f aca="false">INDEX(Segmentation!$G$2:$G$301,MATCH($A79,Segmentation!$A$2:$A$301,0))</f>
        <v>Low</v>
      </c>
      <c r="G79" s="2" t="str">
        <f aca="false">INDEX(Segmentation!$N$2:$N$301,MATCH($A79,Segmentation!$A$2:$A$301,0))</f>
        <v>Stable</v>
      </c>
      <c r="H79" s="9" t="n">
        <f aca="false">INDEX(Segmentation!$I$2:$I$301,MATCH($A79,Segmentation!$A$2:$A$301,0))</f>
        <v>1366</v>
      </c>
      <c r="I79" s="2" t="n">
        <f aca="false">INDEX(Segmentation!$O$2:$O$301,MATCH($A79,Segmentation!$A$2:$A$301,0))</f>
        <v>4</v>
      </c>
      <c r="J79" s="2" t="n">
        <f aca="false">INDEX(Segmentation!$Q$2:$Q$301,MATCH($A79,Segmentation!$A$2:$A$301,0))</f>
        <v>3</v>
      </c>
      <c r="K79" s="2" t="n">
        <f aca="false">INDEX(Segmentation!$W$2:$W$301,MATCH($A79,Segmentation!$A$2:$A$301,0))</f>
        <v>2</v>
      </c>
      <c r="L79" s="9" t="n">
        <f aca="false">INDEX('Commercial View'!$L$2:$L$301,MATCH($A79,'Commercial View'!$A$2:$A$301,0))</f>
        <v>704</v>
      </c>
      <c r="M79" s="9" t="n">
        <f aca="false">INDEX('Commercial View'!$M$2:$M$301,MATCH($A79,'Commercial View'!$A$2:$A$301,0))</f>
        <v>0</v>
      </c>
      <c r="N79" s="9" t="n">
        <f aca="false">INDEX('Commercial View'!$N$2:$N$301,MATCH($A79,'Commercial View'!$A$2:$A$301,0))</f>
        <v>0</v>
      </c>
      <c r="O79" s="9" t="n">
        <f aca="false">INDEX(Segmentation!$L$2:$L$301,MATCH($A79,Segmentation!$A$2:$A$301,0))</f>
        <v>704</v>
      </c>
      <c r="P79" s="2" t="str">
        <f aca="false">IF(OR(M79&gt;0,N79&gt;0),"Recently Active",IF(OR(I79&lt;=Assumptions!$B$48,K79&lt;=Assumptions!$B$49),"No Meaningful History","Recent Inactivity"))</f>
        <v>Recent Inactivity</v>
      </c>
      <c r="Q79" s="2" t="str">
        <f aca="false">INDEX(Segmentation!$AF$2:$AF$301,MATCH($A79,Segmentation!$A$2:$A$301,0))</f>
        <v>Existing Customer</v>
      </c>
      <c r="R79" s="2" t="str">
        <f aca="false">INDEX(Segmentation!$AL$2:$AL$301,MATCH($A79,Segmentation!$A$2:$A$301,0))</f>
        <v>N/A</v>
      </c>
      <c r="S79" s="10" t="b">
        <f aca="false">INDEX(Segmentation!$AW$2:$AW$301,MATCH($A79,Segmentation!$A$2:$A$301,0))</f>
        <v>0</v>
      </c>
      <c r="T79" s="2" t="str">
        <f aca="false">INDEX('Feature Data'!$AD$2:$AD$301,MATCH($A79,'Feature Data'!$A$2:$A$301,0))</f>
        <v>Light-touch repeat buyer</v>
      </c>
      <c r="U79" s="2" t="str">
        <f aca="false">INDEX('Feature Data'!$W$2:$W$301,MATCH($A79,'Feature Data'!$A$2:$A$301,0))</f>
        <v>Handpick-only</v>
      </c>
      <c r="V79" s="2" t="n">
        <f aca="false">INDEX('Feature Data'!$P$2:$P$301,MATCH($A79,'Feature Data'!$A$2:$A$301,0))</f>
        <v>24</v>
      </c>
      <c r="W79" s="2" t="n">
        <f aca="false">INDEX(Segmentation!$R$2:$R$301,MATCH($A79,Segmentation!$A$2:$A$301,0))</f>
        <v>10</v>
      </c>
      <c r="X79" s="2" t="n">
        <f aca="false">INDEX(Segmentation!$S$2:$S$301,MATCH($A79,Segmentation!$A$2:$A$301,0))</f>
        <v>0</v>
      </c>
      <c r="Y79" s="10" t="b">
        <f aca="false">INDEX(Segmentation!$AG$2:$AG$301,MATCH($A79,Segmentation!$A$2:$A$301,0))</f>
        <v>0</v>
      </c>
      <c r="Z79" s="2" t="str">
        <f aca="false">INDEX(Segmentation!$AU$2:$AU$301,MATCH($A79,Segmentation!$A$2:$A$301,0))</f>
        <v>Not Eligible</v>
      </c>
      <c r="AA79" s="10" t="b">
        <f aca="false">INDEX(Segmentation!$Z$2:$Z$301,MATCH($A79,Segmentation!$A$2:$A$301,0))</f>
        <v>0</v>
      </c>
      <c r="AB79" s="10" t="b">
        <f aca="false">INDEX(Segmentation!$AH$2:$AH$301,MATCH($A79,Segmentation!$A$2:$A$301,0))</f>
        <v>0</v>
      </c>
      <c r="AC79" s="10" t="b">
        <f aca="false">INDEX(Segmentation!$AK$2:$AK$301,MATCH($A79,Segmentation!$A$2:$A$301,0))</f>
        <v>0</v>
      </c>
      <c r="AD79" s="10" t="b">
        <f aca="false">INDEX(Segmentation!$AQ$2:$AQ$301,MATCH($A79,Segmentation!$A$2:$A$301,0))</f>
        <v>1</v>
      </c>
      <c r="AE79" s="10" t="b">
        <f aca="false">INDEX(Segmentation!$AT$2:$AT$301,MATCH($A79,Segmentation!$A$2:$A$301,0))</f>
        <v>1</v>
      </c>
      <c r="AF79" s="10" t="b">
        <f aca="false">INDEX(Segmentation!$X$2:$X$301,MATCH($A79,Segmentation!$A$2:$A$301,0))</f>
        <v>0</v>
      </c>
      <c r="AG79" s="10" t="b">
        <f aca="false">AND(F79="Low",V79&gt;=Assumptions!$B$71,X79&lt;Assumptions!$B$72)</f>
        <v>0</v>
      </c>
      <c r="AH79" s="10" t="b">
        <f aca="false">AND(F79="Low",OR(G79="Growing",G79="Stable"),P79="Recently Active",V79&gt;=Assumptions!$B$58,K79&gt;=Assumptions!$B$73)</f>
        <v>0</v>
      </c>
      <c r="AI79" s="17" t="n">
        <f aca="false">IF(O79&gt;0,MAX(L79:N79)/O79,"")</f>
        <v>1</v>
      </c>
      <c r="AJ79" s="2" t="str">
        <f aca="false">IF(LEFT(D79,1)="1",IF(E79="Key","MIGRATION_KEY_SIGNOFF",IF(Z79="Ready","MIGRATION_PHASE1_READY",IF(Z79="Manual Review","MIGRATION_PHASE1_REVIEW","MIGRATION_PRE_ENTRY"))),IF(LEFT(D79,1)="2","DECLINING_KEY_CORE",IF(LEFT(D79,1)="3",IF(R79="Established Buyer Lapsed","LAPSED_ESTABLISHED","LAPSED_THIN_HISTORY"),IF(LEFT(D79,1)="4",IF(Q79="New Customer","NEW_CUSTOMER","RETURNED_CUSTOMER"),IF(LEFT(D79,1)="5",IF(P79="Recently Active","COST_TO_SERVE_ACTIVE","DORMANT_LOW_VALUE"),IF(LEFT(D79,1)="6",IF(P79="Recent Inactivity","RECENT_INACTIVITY",IF(AG79,"BROWSING_LOW_OFFERS","HEALTHY_STRONG_SELF_SERVE")),IF(LEFT(D79,1)="7",IF(P79="Recent Inactivity","RECENT_INACTIVITY",IF(Q79="New Customer","NEW_CUSTOMER","RETURNED_CUSTOMER")),IF(LEFT(D79,1)="8",IF(G79="Declining",IF(T79="Engaged but shrinking (Key/Core)","ENGAGED_BUT_SHRINKING","DECLINING_KEY_CORE"),IF(R79="Established Buyer Lapsed","LAPSED_ESTABLISHED","LAPSED_THIN_HISTORY")),IF(S79,IF(P79&lt;&gt;"Recently Active","DORMANT_LOW_VALUE",IF(AG79,"BROWSING_LOW_OFFERS",IF(AH79,"RISING_TAIL","RISING_TAIL_EARLY"))),IF(AND(AG79,P79="Recently Active",OR(G79="Growing",G79="Stable",G79="H2 Active / No H1 GMV"),I79&gt;=Assumptions!$B$74),"BROWSING_LOW_OFFERS","LONG_TAIL_STANDARD"))))))))))</f>
        <v>LONG_TAIL_STANDARD</v>
      </c>
      <c r="AK79" s="2" t="str">
        <f aca="false">INDEX('NBA Library'!$B$4:$B$21,MATCH(AJ79,'NBA Library'!$A$4:$A$21,0))</f>
        <v>Automated Nurture</v>
      </c>
      <c r="AL79" s="2" t="str">
        <f aca="false">INDEX('NBA Library'!$C$4:$C$21,MATCH(AJ79,'NBA Library'!$A$4:$A$21,0))</f>
        <v>Automated</v>
      </c>
      <c r="AM79" s="2" t="str">
        <f aca="false">IF(AA79,"HOLD — Critical Data Issue",IF(Y79,"Human Sign-Off Required",IF(Z79="Manual Review","Human Review Required",IF(AND(AL79="Automated",OR(AE79,AND(OR(AK79="Discovery-to-Offer Enablement",AK79="Reinforce Successful Behaviour"),OR(AC79,AB79)))),"Human Review Required",IF(AL79="Human","Ready — Human",IF(AL79="Hybrid","Ready — Hybrid","Ready — Automated"))))))</f>
        <v>Human Review Required</v>
      </c>
      <c r="AN79" s="2" t="str">
        <f aca="false">IF(AA79,"P0",IF(AND(AJ79="BROWSING_LOW_OFFERS",E79="Tail"),"P3",IF(AND(AM79="Human Review Required",INDEX('NBA Library'!$D$4:$D$21,MATCH(AJ79,'NBA Library'!$A$4:$A$21,0))="P4"),"P3",INDEX('NBA Library'!$D$4:$D$21,MATCH(AJ79,'NBA Library'!$A$4:$A$21,0)))))</f>
        <v>P3</v>
      </c>
      <c r="AO79" s="2" t="str">
        <f aca="false">E79&amp;" "&amp;C79&amp;" account ("&amp;B79&amp;"); "&amp;G79&amp;" momentum; "&amp;P79&amp;"; £"&amp;TEXT(H79,"#,##0")&amp;" 6m GMV. "&amp;INDEX('NBA Library'!$G$4:$G$21,MATCH(AJ79,'NBA Library'!$A$4:$A$21,0))&amp;IF(LEFT(D79,1)="1"," Baseline: "&amp;V79&amp;" PDP views, "&amp;W79&amp;" app days, "&amp;X79&amp;" offers, "&amp;TEXT(J79/I79,"0%")&amp;" of orders self-serve.","")&amp;IF(AA79," Execution on HOLD until the Duplicate status is resolved.","")&amp;IF(Y79," Key account: explicit AM/leadership sign-off required before any migration activity.","")&amp;IF(AE79," Implied broker % from order counts would move this account to a different segment; review before automating.","")</f>
        <v>Tail AM-Owned / Self-Serving account (Account Managed); Stable momentum; Recent Inactivity; £1,366 6m GMV. Low-value, low-dependency account. Scalable automated engagement. Implied broker % from order counts would move this account to a different segment; review before automating.</v>
      </c>
      <c r="AP79" s="2" t="str">
        <f aca="false">INDEX('NBA Library'!$E$4:$E$21,MATCH(AJ79,'NBA Library'!$A$4:$A$21,0))&amp;IF(AND(AJ79="NEW_CUSTOMER",AG79),"; introduce Make-an-Offer on items already browsed","")</f>
        <v>Scalable automated engagement matched to nurture sub-context</v>
      </c>
      <c r="AQ79" s="2" t="str">
        <f aca="false">INDEX('NBA Library'!$F$4:$F$21,MATCH(AJ79,'NBA Library'!$A$4:$A$21,0))</f>
        <v>Any repeat order within 90 days</v>
      </c>
      <c r="AR79" s="2" t="str">
        <f aca="false">IF(AND(F79="Low",OR(G79="Growing",G79="Stable"),P79="Recently Active",U79&lt;&gt;"Mixed",OR(AK79="Discovery-to-Offer Enablement",AK79="Reinforce Successful Behaviour"),AM79="Ready — Automated",OR(E79&lt;&gt;"Tail",S79)),"Range Expansion Test — trial "&amp;IF(U79="Bundle-only","handpick","bundles")&amp;" (experimental; not proven to lift GMV)","")</f>
        <v/>
      </c>
      <c r="AS79" s="2" t="str">
        <f aca="false">IF(AK79&lt;&gt;"Automated Nurture","",IF(AJ79="DORMANT_LOW_VALUE","Dormant",IF(AJ79="RISING_TAIL_EARLY","Rising tail – early pattern",IF(Q79="New Customer","New customer onboarding",IF(Q79="Returned Customer","Returned customer",IF(G79="Lapsed","Dormant",IF(T79="Engaged, not converting","Engaged, not converting",IF(T79="One-off low-touch buyer","One-off purchaser",IF(T79="Light-touch repeat buyer","Light-touch repeat buyer","Standard long tail")))))))))</f>
        <v>Light-touch repeat buyer</v>
      </c>
      <c r="AT79" s="2" t="str">
        <f aca="false">IF(AA79,"CRITICAL_DATA_BLOCKER; ","")&amp;IF(Y79,"KEY_SIGNOFF; ","")&amp;IF(Z79="Manual Review","PHASE1_MANUAL_REVIEW; ","")&amp;IF(AND(LEFT(D79,1)="1",AZ79="Lumpy"),"LUMPY_CADENCE; ","")&amp;IF(AB79,"BORDERLINE_MOMENTUM; ","")&amp;IF(AC79,"FEB_SENSITIVE; ","")&amp;IF(AD79,"MATERIAL_BROKER_INCONSISTENCY"&amp;IF(AE79," (segment would change)","")&amp;"; ","")&amp;IF(AND(I79&gt;=3,O79&gt;0),IF(AI79&gt;=Assumptions!$B$75,"H2_SINGLE_MONTH_SPIKE; ",""),"")&amp;IF(AND(M79&gt;0,N79=0),"NO_FEB_GMV (Feb unconfirmed); ","")&amp;IF(AF79,"LOW_CONFIDENCE; ","")</f>
        <v>MATERIAL_BROKER_INCONSISTENCY (segment would change); H2_SINGLE_MONTH_SPIKE; </v>
      </c>
      <c r="AU79" s="2" t="str">
        <f aca="false">IF(LEFT(D79,1)="1",V79,"")</f>
        <v/>
      </c>
      <c r="AV79" s="2" t="str">
        <f aca="false">IF(LEFT(D79,1)="1",V79&gt;=Assumptions!$B$58,"")</f>
        <v/>
      </c>
      <c r="AW79" s="2" t="str">
        <f aca="false">IF(LEFT(D79,1)="1",W79,"")</f>
        <v/>
      </c>
      <c r="AX79" s="2" t="str">
        <f aca="false">IF(LEFT(D79,1)="1",X79,"")</f>
        <v/>
      </c>
      <c r="AY79" s="17" t="str">
        <f aca="false">IF(LEFT(D79,1)="1",J79/I79,"")</f>
        <v/>
      </c>
      <c r="AZ79" s="2" t="str">
        <f aca="false">IF(LEFT(D79,1)="1",IF(AND(K79&gt;=Assumptions!$B$83,I79&gt;=Assumptions!$B$84),"Regular","Lumpy"),"")</f>
        <v/>
      </c>
      <c r="BA79" s="2" t="str">
        <f aca="false">IF(LEFT(D79,1)="1",ROUND(6/K79,0),"")</f>
        <v/>
      </c>
      <c r="BB79" s="2" t="str">
        <f aca="false">IF(LEFT(D79,1)="1",IF(AZ79="Regular","Regular buyer: expected ~£"&amp;TEXT(H79/2,"#,##0")&amp;" per 90 days. At Risk if GMV to date &lt; "&amp;TEXT(Assumptions!$B$81,"0%")&amp;" of pro-rated expectation, checked from day "&amp;Assumptions!$B$82&amp;". Human-reviewed.","Irregular buyer ("&amp;I79&amp;" orders across "&amp;K79&amp;" months): no numeric GMV threshold. At Risk if no order within ~"&amp;BA79&amp;" month(s); AM reviews at day "&amp;Assumptions!$B$82&amp;" and "&amp;Assumptions!$B$85&amp;"."),"")</f>
        <v/>
      </c>
      <c r="BC79" s="2"/>
      <c r="BD79" s="2"/>
      <c r="BE79" s="2"/>
      <c r="BF79" s="2"/>
      <c r="BG79" s="2"/>
      <c r="BH79" s="2"/>
      <c r="BI79" s="2"/>
      <c r="BJ79" s="2" t="str">
        <f aca="false">IF(OR(NOT(LEFT(D79,1)="1"),BC79=""),"",IF(AZ79="Regular",AND(BC79&gt;=Assumptions!$B$82,N(BI79)&lt;Assumptions!$B$81*H79/180*BC79),AND(BC79&gt;=BA79*30,N(BG79)=0)))</f>
        <v/>
      </c>
      <c r="BK79" s="2" t="str">
        <f aca="false">IF(NOT(LEFT(D79,1)="1"),"N/A",IF(BC79="","Baseline",IF(BJ79,"At Risk",IF(AND(N(BD79)&gt;=Assumptions!$B$78,N(BE79)&gt;=Assumptions!$B$79,N(BH79)&gt;=1,N(BH79)/MAX(N(BG79),1)&gt;AY79),"Self-Serve Capability Demonstrated",IF(OR(N(BD79)&gt;=Assumptions!$B$76,N(BE79)&gt;=Assumptions!$B$77),"Progressing",IF(BC79&gt;=Assumptions!$B$85,"At Risk","Baseline"))))))</f>
        <v>N/A</v>
      </c>
      <c r="BL79" s="2" t="n">
        <f aca="false">(AND(C79="Broker-Reliant",OR(AK79="Discovery-to-Offer Enablement",AK79="Reinforce Successful Behaviour")))*1+(AND(G79="Declining",E79&lt;&gt;"Tail",AL79="Automated"))*1+(AND(Y79,AM79&lt;&gt;"Human Sign-Off Required"))*1+(AND(AA79,AM79&lt;&gt;"HOLD — Critical Data Issue"))*1+(AND(P79="Recent Inactivity",OR(AK79="Discovery-to-Offer Enablement",AK79="Reinforce Successful Behaviour")))*1+(AND(OR(LEFT(D79,1)="2",LEFT(D79,1)="3",LEFT(D79,1)="8"),AL79="Automated"))*1+((LEFT(D79,1)="1")&lt;&gt;(AK79="Guided Self-Serve Migration"))*1+(AND(AR79&lt;&gt;"",OR(F79&lt;&gt;"Low",U79="Mixed",AND(G79&lt;&gt;"Growing",G79&lt;&gt;"Stable"))))*1+ISNUMBER(SEARCH("chat",AP79))*1+ISNUMBER(SEARCH("video",AP79))*1+(AND(AA79,AL79="Automated",AM79&lt;&gt;"HOLD — Critical Data Issue"))*1</f>
        <v>0</v>
      </c>
    </row>
    <row r="80" customFormat="false" ht="15" hidden="false" customHeight="false" outlineLevel="0" collapsed="false">
      <c r="A80" s="2" t="s">
        <v>594</v>
      </c>
      <c r="B80" s="2" t="str">
        <f aca="false">INDEX(Segmentation!$B$2:$B$301,MATCH($A80,Segmentation!$A$2:$A$301,0))</f>
        <v>Account Managed</v>
      </c>
      <c r="C80" s="2" t="str">
        <f aca="false">INDEX(Segmentation!$H$2:$H$301,MATCH($A80,Segmentation!$A$2:$A$301,0))</f>
        <v>Broker-Reliant</v>
      </c>
      <c r="D80" s="2" t="str">
        <f aca="false">INDEX(Segmentation!$T$2:$T$301,MATCH($A80,Segmentation!$A$2:$A$301,0))</f>
        <v>5. Cost-to-Serve / Low-Touch</v>
      </c>
      <c r="E80" s="2" t="str">
        <f aca="false">INDEX(Segmentation!$J$2:$J$301,MATCH($A80,Segmentation!$A$2:$A$301,0))</f>
        <v>Tail</v>
      </c>
      <c r="F80" s="2" t="str">
        <f aca="false">INDEX(Segmentation!$G$2:$G$301,MATCH($A80,Segmentation!$A$2:$A$301,0))</f>
        <v>High</v>
      </c>
      <c r="G80" s="2" t="str">
        <f aca="false">INDEX(Segmentation!$N$2:$N$301,MATCH($A80,Segmentation!$A$2:$A$301,0))</f>
        <v>Lapsed</v>
      </c>
      <c r="H80" s="9" t="n">
        <f aca="false">INDEX(Segmentation!$I$2:$I$301,MATCH($A80,Segmentation!$A$2:$A$301,0))</f>
        <v>1342</v>
      </c>
      <c r="I80" s="2" t="n">
        <f aca="false">INDEX(Segmentation!$O$2:$O$301,MATCH($A80,Segmentation!$A$2:$A$301,0))</f>
        <v>3</v>
      </c>
      <c r="J80" s="2" t="n">
        <f aca="false">INDEX(Segmentation!$Q$2:$Q$301,MATCH($A80,Segmentation!$A$2:$A$301,0))</f>
        <v>1</v>
      </c>
      <c r="K80" s="2" t="n">
        <f aca="false">INDEX(Segmentation!$W$2:$W$301,MATCH($A80,Segmentation!$A$2:$A$301,0))</f>
        <v>1</v>
      </c>
      <c r="L80" s="9" t="n">
        <f aca="false">INDEX('Commercial View'!$L$2:$L$301,MATCH($A80,'Commercial View'!$A$2:$A$301,0))</f>
        <v>0</v>
      </c>
      <c r="M80" s="9" t="n">
        <f aca="false">INDEX('Commercial View'!$M$2:$M$301,MATCH($A80,'Commercial View'!$A$2:$A$301,0))</f>
        <v>0</v>
      </c>
      <c r="N80" s="9" t="n">
        <f aca="false">INDEX('Commercial View'!$N$2:$N$301,MATCH($A80,'Commercial View'!$A$2:$A$301,0))</f>
        <v>0</v>
      </c>
      <c r="O80" s="9" t="n">
        <f aca="false">INDEX(Segmentation!$L$2:$L$301,MATCH($A80,Segmentation!$A$2:$A$301,0))</f>
        <v>0</v>
      </c>
      <c r="P80" s="2" t="str">
        <f aca="false">IF(OR(M80&gt;0,N80&gt;0),"Recently Active",IF(OR(I80&lt;=Assumptions!$B$48,K80&lt;=Assumptions!$B$49),"No Meaningful History","Recent Inactivity"))</f>
        <v>No Meaningful History</v>
      </c>
      <c r="Q80" s="2" t="str">
        <f aca="false">INDEX(Segmentation!$AF$2:$AF$301,MATCH($A80,Segmentation!$A$2:$A$301,0))</f>
        <v>Existing Customer</v>
      </c>
      <c r="R80" s="2" t="str">
        <f aca="false">INDEX(Segmentation!$AL$2:$AL$301,MATCH($A80,Segmentation!$A$2:$A$301,0))</f>
        <v>One-Off / Insufficient History — Verify</v>
      </c>
      <c r="S80" s="10" t="b">
        <f aca="false">INDEX(Segmentation!$AW$2:$AW$301,MATCH($A80,Segmentation!$A$2:$A$301,0))</f>
        <v>0</v>
      </c>
      <c r="T80" s="2" t="str">
        <f aca="false">INDEX('Feature Data'!$AD$2:$AD$301,MATCH($A80,'Feature Data'!$A$2:$A$301,0))</f>
        <v>Broker-led, product-blind</v>
      </c>
      <c r="U80" s="2" t="str">
        <f aca="false">INDEX('Feature Data'!$W$2:$W$301,MATCH($A80,'Feature Data'!$A$2:$A$301,0))</f>
        <v>Bundle-only</v>
      </c>
      <c r="V80" s="2" t="n">
        <f aca="false">INDEX('Feature Data'!$P$2:$P$301,MATCH($A80,'Feature Data'!$A$2:$A$301,0))</f>
        <v>3</v>
      </c>
      <c r="W80" s="2" t="n">
        <f aca="false">INDEX(Segmentation!$R$2:$R$301,MATCH($A80,Segmentation!$A$2:$A$301,0))</f>
        <v>1</v>
      </c>
      <c r="X80" s="2" t="n">
        <f aca="false">INDEX(Segmentation!$S$2:$S$301,MATCH($A80,Segmentation!$A$2:$A$301,0))</f>
        <v>1</v>
      </c>
      <c r="Y80" s="10" t="b">
        <f aca="false">INDEX(Segmentation!$AG$2:$AG$301,MATCH($A80,Segmentation!$A$2:$A$301,0))</f>
        <v>0</v>
      </c>
      <c r="Z80" s="2" t="str">
        <f aca="false">INDEX(Segmentation!$AU$2:$AU$301,MATCH($A80,Segmentation!$A$2:$A$301,0))</f>
        <v>Not Eligible</v>
      </c>
      <c r="AA80" s="10" t="b">
        <f aca="false">INDEX(Segmentation!$Z$2:$Z$301,MATCH($A80,Segmentation!$A$2:$A$301,0))</f>
        <v>0</v>
      </c>
      <c r="AB80" s="10" t="b">
        <f aca="false">INDEX(Segmentation!$AH$2:$AH$301,MATCH($A80,Segmentation!$A$2:$A$301,0))</f>
        <v>0</v>
      </c>
      <c r="AC80" s="10" t="b">
        <f aca="false">INDEX(Segmentation!$AK$2:$AK$301,MATCH($A80,Segmentation!$A$2:$A$301,0))</f>
        <v>0</v>
      </c>
      <c r="AD80" s="10" t="b">
        <f aca="false">INDEX(Segmentation!$AQ$2:$AQ$301,MATCH($A80,Segmentation!$A$2:$A$301,0))</f>
        <v>1</v>
      </c>
      <c r="AE80" s="10" t="b">
        <f aca="false">INDEX(Segmentation!$AT$2:$AT$301,MATCH($A80,Segmentation!$A$2:$A$301,0))</f>
        <v>0</v>
      </c>
      <c r="AF80" s="10" t="b">
        <f aca="false">INDEX(Segmentation!$X$2:$X$301,MATCH($A80,Segmentation!$A$2:$A$301,0))</f>
        <v>0</v>
      </c>
      <c r="AG80" s="10" t="b">
        <f aca="false">AND(F80="Low",V80&gt;=Assumptions!$B$71,X80&lt;Assumptions!$B$72)</f>
        <v>0</v>
      </c>
      <c r="AH80" s="10" t="b">
        <f aca="false">AND(F80="Low",OR(G80="Growing",G80="Stable"),P80="Recently Active",V80&gt;=Assumptions!$B$58,K80&gt;=Assumptions!$B$73)</f>
        <v>0</v>
      </c>
      <c r="AI80" s="17" t="str">
        <f aca="false">IF(O80&gt;0,MAX(L80:N80)/O80,"")</f>
        <v/>
      </c>
      <c r="AJ80" s="2" t="str">
        <f aca="false">IF(LEFT(D80,1)="1",IF(E80="Key","MIGRATION_KEY_SIGNOFF",IF(Z80="Ready","MIGRATION_PHASE1_READY",IF(Z80="Manual Review","MIGRATION_PHASE1_REVIEW","MIGRATION_PRE_ENTRY"))),IF(LEFT(D80,1)="2","DECLINING_KEY_CORE",IF(LEFT(D80,1)="3",IF(R80="Established Buyer Lapsed","LAPSED_ESTABLISHED","LAPSED_THIN_HISTORY"),IF(LEFT(D80,1)="4",IF(Q80="New Customer","NEW_CUSTOMER","RETURNED_CUSTOMER"),IF(LEFT(D80,1)="5",IF(P80="Recently Active","COST_TO_SERVE_ACTIVE","DORMANT_LOW_VALUE"),IF(LEFT(D80,1)="6",IF(P80="Recent Inactivity","RECENT_INACTIVITY",IF(AG80,"BROWSING_LOW_OFFERS","HEALTHY_STRONG_SELF_SERVE")),IF(LEFT(D80,1)="7",IF(P80="Recent Inactivity","RECENT_INACTIVITY",IF(Q80="New Customer","NEW_CUSTOMER","RETURNED_CUSTOMER")),IF(LEFT(D80,1)="8",IF(G80="Declining",IF(T80="Engaged but shrinking (Key/Core)","ENGAGED_BUT_SHRINKING","DECLINING_KEY_CORE"),IF(R80="Established Buyer Lapsed","LAPSED_ESTABLISHED","LAPSED_THIN_HISTORY")),IF(S80,IF(P80&lt;&gt;"Recently Active","DORMANT_LOW_VALUE",IF(AG80,"BROWSING_LOW_OFFERS",IF(AH80,"RISING_TAIL","RISING_TAIL_EARLY"))),IF(AND(AG80,P80="Recently Active",OR(G80="Growing",G80="Stable",G80="H2 Active / No H1 GMV"),I80&gt;=Assumptions!$B$74),"BROWSING_LOW_OFFERS","LONG_TAIL_STANDARD"))))))))))</f>
        <v>DORMANT_LOW_VALUE</v>
      </c>
      <c r="AK80" s="2" t="str">
        <f aca="false">INDEX('NBA Library'!$B$4:$B$21,MATCH(AJ80,'NBA Library'!$A$4:$A$21,0))</f>
        <v>Automated Nurture</v>
      </c>
      <c r="AL80" s="2" t="str">
        <f aca="false">INDEX('NBA Library'!$C$4:$C$21,MATCH(AJ80,'NBA Library'!$A$4:$A$21,0))</f>
        <v>Automated</v>
      </c>
      <c r="AM80" s="2" t="str">
        <f aca="false">IF(AA80,"HOLD — Critical Data Issue",IF(Y80,"Human Sign-Off Required",IF(Z80="Manual Review","Human Review Required",IF(AND(AL80="Automated",OR(AE80,AND(OR(AK80="Discovery-to-Offer Enablement",AK80="Reinforce Successful Behaviour"),OR(AC80,AB80)))),"Human Review Required",IF(AL80="Human","Ready — Human",IF(AL80="Hybrid","Ready — Hybrid","Ready — Automated"))))))</f>
        <v>Ready — Automated</v>
      </c>
      <c r="AN80" s="2" t="str">
        <f aca="false">IF(AA80,"P0",IF(AND(AJ80="BROWSING_LOW_OFFERS",E80="Tail"),"P3",IF(AND(AM80="Human Review Required",INDEX('NBA Library'!$D$4:$D$21,MATCH(AJ80,'NBA Library'!$A$4:$A$21,0))="P4"),"P3",INDEX('NBA Library'!$D$4:$D$21,MATCH(AJ80,'NBA Library'!$A$4:$A$21,0)))))</f>
        <v>P4</v>
      </c>
      <c r="AO80" s="2" t="str">
        <f aca="false">E80&amp;" "&amp;C80&amp;" account ("&amp;B80&amp;"); "&amp;G80&amp;" momentum; "&amp;P80&amp;"; £"&amp;TEXT(H80,"#,##0")&amp;" 6m GMV. "&amp;INDEX('NBA Library'!$G$4:$G$21,MATCH(AJ80,'NBA Library'!$A$4:$A$21,0))&amp;IF(LEFT(D80,1)="1"," Baseline: "&amp;V80&amp;" PDP views, "&amp;W80&amp;" app days, "&amp;X80&amp;" offers, "&amp;TEXT(J80/I80,"0%")&amp;" of orders self-serve.","")&amp;IF(AA80," Execution on HOLD until the Duplicate status is resolved.","")&amp;IF(Y80," Key account: explicit AM/leadership sign-off required before any migration activity.","")&amp;IF(AE80," Implied broker % from order counts would move this account to a different segment; review before automating.","")</f>
        <v>Tail Broker-Reliant account (Account Managed); Lapsed momentum; No Meaningful History; £1,342 6m GMV. Low-value account with no recent GMV. Avoid human time.</v>
      </c>
      <c r="AP80" s="2" t="str">
        <f aca="false">INDEX('NBA Library'!$E$4:$E$21,MATCH(AJ80,'NBA Library'!$A$4:$A$21,0))&amp;IF(AND(AJ80="NEW_CUSTOMER",AG80),"; introduce Make-an-Offer on items already browsed","")</f>
        <v>Automated reactivation only; no human time</v>
      </c>
      <c r="AQ80" s="2" t="str">
        <f aca="false">INDEX('NBA Library'!$F$4:$F$21,MATCH(AJ80,'NBA Library'!$A$4:$A$21,0))</f>
        <v>Any order within 90 days</v>
      </c>
      <c r="AR80" s="2" t="str">
        <f aca="false">IF(AND(F80="Low",OR(G80="Growing",G80="Stable"),P80="Recently Active",U80&lt;&gt;"Mixed",OR(AK80="Discovery-to-Offer Enablement",AK80="Reinforce Successful Behaviour"),AM80="Ready — Automated",OR(E80&lt;&gt;"Tail",S80)),"Range Expansion Test — trial "&amp;IF(U80="Bundle-only","handpick","bundles")&amp;" (experimental; not proven to lift GMV)","")</f>
        <v/>
      </c>
      <c r="AS80" s="2" t="str">
        <f aca="false">IF(AK80&lt;&gt;"Automated Nurture","",IF(AJ80="DORMANT_LOW_VALUE","Dormant",IF(AJ80="RISING_TAIL_EARLY","Rising tail – early pattern",IF(Q80="New Customer","New customer onboarding",IF(Q80="Returned Customer","Returned customer",IF(G80="Lapsed","Dormant",IF(T80="Engaged, not converting","Engaged, not converting",IF(T80="One-off low-touch buyer","One-off purchaser",IF(T80="Light-touch repeat buyer","Light-touch repeat buyer","Standard long tail")))))))))</f>
        <v>Dormant</v>
      </c>
      <c r="AT80" s="2" t="str">
        <f aca="false">IF(AA80,"CRITICAL_DATA_BLOCKER; ","")&amp;IF(Y80,"KEY_SIGNOFF; ","")&amp;IF(Z80="Manual Review","PHASE1_MANUAL_REVIEW; ","")&amp;IF(AND(LEFT(D80,1)="1",AZ80="Lumpy"),"LUMPY_CADENCE; ","")&amp;IF(AB80,"BORDERLINE_MOMENTUM; ","")&amp;IF(AC80,"FEB_SENSITIVE; ","")&amp;IF(AD80,"MATERIAL_BROKER_INCONSISTENCY"&amp;IF(AE80," (segment would change)","")&amp;"; ","")&amp;IF(AND(I80&gt;=3,O80&gt;0),IF(AI80&gt;=Assumptions!$B$75,"H2_SINGLE_MONTH_SPIKE; ",""),"")&amp;IF(AND(M80&gt;0,N80=0),"NO_FEB_GMV (Feb unconfirmed); ","")&amp;IF(AF80,"LOW_CONFIDENCE; ","")</f>
        <v>MATERIAL_BROKER_INCONSISTENCY; </v>
      </c>
      <c r="AU80" s="2" t="str">
        <f aca="false">IF(LEFT(D80,1)="1",V80,"")</f>
        <v/>
      </c>
      <c r="AV80" s="2" t="str">
        <f aca="false">IF(LEFT(D80,1)="1",V80&gt;=Assumptions!$B$58,"")</f>
        <v/>
      </c>
      <c r="AW80" s="2" t="str">
        <f aca="false">IF(LEFT(D80,1)="1",W80,"")</f>
        <v/>
      </c>
      <c r="AX80" s="2" t="str">
        <f aca="false">IF(LEFT(D80,1)="1",X80,"")</f>
        <v/>
      </c>
      <c r="AY80" s="17" t="str">
        <f aca="false">IF(LEFT(D80,1)="1",J80/I80,"")</f>
        <v/>
      </c>
      <c r="AZ80" s="2" t="str">
        <f aca="false">IF(LEFT(D80,1)="1",IF(AND(K80&gt;=Assumptions!$B$83,I80&gt;=Assumptions!$B$84),"Regular","Lumpy"),"")</f>
        <v/>
      </c>
      <c r="BA80" s="2" t="str">
        <f aca="false">IF(LEFT(D80,1)="1",ROUND(6/K80,0),"")</f>
        <v/>
      </c>
      <c r="BB80" s="2" t="str">
        <f aca="false">IF(LEFT(D80,1)="1",IF(AZ80="Regular","Regular buyer: expected ~£"&amp;TEXT(H80/2,"#,##0")&amp;" per 90 days. At Risk if GMV to date &lt; "&amp;TEXT(Assumptions!$B$81,"0%")&amp;" of pro-rated expectation, checked from day "&amp;Assumptions!$B$82&amp;". Human-reviewed.","Irregular buyer ("&amp;I80&amp;" orders across "&amp;K80&amp;" months): no numeric GMV threshold. At Risk if no order within ~"&amp;BA80&amp;" month(s); AM reviews at day "&amp;Assumptions!$B$82&amp;" and "&amp;Assumptions!$B$85&amp;"."),"")</f>
        <v/>
      </c>
      <c r="BC80" s="2"/>
      <c r="BD80" s="2"/>
      <c r="BE80" s="2"/>
      <c r="BF80" s="2"/>
      <c r="BG80" s="2"/>
      <c r="BH80" s="2"/>
      <c r="BI80" s="2"/>
      <c r="BJ80" s="2" t="str">
        <f aca="false">IF(OR(NOT(LEFT(D80,1)="1"),BC80=""),"",IF(AZ80="Regular",AND(BC80&gt;=Assumptions!$B$82,N(BI80)&lt;Assumptions!$B$81*H80/180*BC80),AND(BC80&gt;=BA80*30,N(BG80)=0)))</f>
        <v/>
      </c>
      <c r="BK80" s="2" t="str">
        <f aca="false">IF(NOT(LEFT(D80,1)="1"),"N/A",IF(BC80="","Baseline",IF(BJ80,"At Risk",IF(AND(N(BD80)&gt;=Assumptions!$B$78,N(BE80)&gt;=Assumptions!$B$79,N(BH80)&gt;=1,N(BH80)/MAX(N(BG80),1)&gt;AY80),"Self-Serve Capability Demonstrated",IF(OR(N(BD80)&gt;=Assumptions!$B$76,N(BE80)&gt;=Assumptions!$B$77),"Progressing",IF(BC80&gt;=Assumptions!$B$85,"At Risk","Baseline"))))))</f>
        <v>N/A</v>
      </c>
      <c r="BL80" s="2" t="n">
        <f aca="false">(AND(C80="Broker-Reliant",OR(AK80="Discovery-to-Offer Enablement",AK80="Reinforce Successful Behaviour")))*1+(AND(G80="Declining",E80&lt;&gt;"Tail",AL80="Automated"))*1+(AND(Y80,AM80&lt;&gt;"Human Sign-Off Required"))*1+(AND(AA80,AM80&lt;&gt;"HOLD — Critical Data Issue"))*1+(AND(P80="Recent Inactivity",OR(AK80="Discovery-to-Offer Enablement",AK80="Reinforce Successful Behaviour")))*1+(AND(OR(LEFT(D80,1)="2",LEFT(D80,1)="3",LEFT(D80,1)="8"),AL80="Automated"))*1+((LEFT(D80,1)="1")&lt;&gt;(AK80="Guided Self-Serve Migration"))*1+(AND(AR80&lt;&gt;"",OR(F80&lt;&gt;"Low",U80="Mixed",AND(G80&lt;&gt;"Growing",G80&lt;&gt;"Stable"))))*1+ISNUMBER(SEARCH("chat",AP80))*1+ISNUMBER(SEARCH("video",AP80))*1+(AND(AA80,AL80="Automated",AM80&lt;&gt;"HOLD — Critical Data Issue"))*1</f>
        <v>0</v>
      </c>
    </row>
    <row r="81" customFormat="false" ht="15" hidden="false" customHeight="false" outlineLevel="0" collapsed="false">
      <c r="A81" s="2" t="s">
        <v>530</v>
      </c>
      <c r="B81" s="2" t="str">
        <f aca="false">INDEX(Segmentation!$B$2:$B$301,MATCH($A81,Segmentation!$A$2:$A$301,0))</f>
        <v>Account Managed</v>
      </c>
      <c r="C81" s="2" t="str">
        <f aca="false">INDEX(Segmentation!$H$2:$H$301,MATCH($A81,Segmentation!$A$2:$A$301,0))</f>
        <v>Broker-Reliant</v>
      </c>
      <c r="D81" s="2" t="str">
        <f aca="false">INDEX(Segmentation!$T$2:$T$301,MATCH($A81,Segmentation!$A$2:$A$301,0))</f>
        <v>5. Cost-to-Serve / Low-Touch</v>
      </c>
      <c r="E81" s="2" t="str">
        <f aca="false">INDEX(Segmentation!$J$2:$J$301,MATCH($A81,Segmentation!$A$2:$A$301,0))</f>
        <v>Tail</v>
      </c>
      <c r="F81" s="2" t="str">
        <f aca="false">INDEX(Segmentation!$G$2:$G$301,MATCH($A81,Segmentation!$A$2:$A$301,0))</f>
        <v>High</v>
      </c>
      <c r="G81" s="2" t="str">
        <f aca="false">INDEX(Segmentation!$N$2:$N$301,MATCH($A81,Segmentation!$A$2:$A$301,0))</f>
        <v>H2 Active / No H1 GMV</v>
      </c>
      <c r="H81" s="9" t="n">
        <f aca="false">INDEX(Segmentation!$I$2:$I$301,MATCH($A81,Segmentation!$A$2:$A$301,0))</f>
        <v>1342</v>
      </c>
      <c r="I81" s="2" t="n">
        <f aca="false">INDEX(Segmentation!$O$2:$O$301,MATCH($A81,Segmentation!$A$2:$A$301,0))</f>
        <v>7</v>
      </c>
      <c r="J81" s="2" t="n">
        <f aca="false">INDEX(Segmentation!$Q$2:$Q$301,MATCH($A81,Segmentation!$A$2:$A$301,0))</f>
        <v>3</v>
      </c>
      <c r="K81" s="2" t="n">
        <f aca="false">INDEX(Segmentation!$W$2:$W$301,MATCH($A81,Segmentation!$A$2:$A$301,0))</f>
        <v>2</v>
      </c>
      <c r="L81" s="9" t="n">
        <f aca="false">INDEX('Commercial View'!$L$2:$L$301,MATCH($A81,'Commercial View'!$A$2:$A$301,0))</f>
        <v>0</v>
      </c>
      <c r="M81" s="9" t="n">
        <f aca="false">INDEX('Commercial View'!$M$2:$M$301,MATCH($A81,'Commercial View'!$A$2:$A$301,0))</f>
        <v>434</v>
      </c>
      <c r="N81" s="9" t="n">
        <f aca="false">INDEX('Commercial View'!$N$2:$N$301,MATCH($A81,'Commercial View'!$A$2:$A$301,0))</f>
        <v>908</v>
      </c>
      <c r="O81" s="9" t="n">
        <f aca="false">INDEX(Segmentation!$L$2:$L$301,MATCH($A81,Segmentation!$A$2:$A$301,0))</f>
        <v>1342</v>
      </c>
      <c r="P81" s="2" t="str">
        <f aca="false">IF(OR(M81&gt;0,N81&gt;0),"Recently Active",IF(OR(I81&lt;=Assumptions!$B$48,K81&lt;=Assumptions!$B$49),"No Meaningful History","Recent Inactivity"))</f>
        <v>Recently Active</v>
      </c>
      <c r="Q81" s="2" t="str">
        <f aca="false">INDEX(Segmentation!$AF$2:$AF$301,MATCH($A81,Segmentation!$A$2:$A$301,0))</f>
        <v>Returned Customer</v>
      </c>
      <c r="R81" s="2" t="str">
        <f aca="false">INDEX(Segmentation!$AL$2:$AL$301,MATCH($A81,Segmentation!$A$2:$A$301,0))</f>
        <v>N/A</v>
      </c>
      <c r="S81" s="10" t="b">
        <f aca="false">INDEX(Segmentation!$AW$2:$AW$301,MATCH($A81,Segmentation!$A$2:$A$301,0))</f>
        <v>0</v>
      </c>
      <c r="T81" s="2" t="str">
        <f aca="false">INDEX('Feature Data'!$AD$2:$AD$301,MATCH($A81,'Feature Data'!$A$2:$A$301,0))</f>
        <v>Broker-led, product-blind</v>
      </c>
      <c r="U81" s="2" t="str">
        <f aca="false">INDEX('Feature Data'!$W$2:$W$301,MATCH($A81,'Feature Data'!$A$2:$A$301,0))</f>
        <v>Mixed</v>
      </c>
      <c r="V81" s="2" t="n">
        <f aca="false">INDEX('Feature Data'!$P$2:$P$301,MATCH($A81,'Feature Data'!$A$2:$A$301,0))</f>
        <v>13</v>
      </c>
      <c r="W81" s="2" t="n">
        <f aca="false">INDEX(Segmentation!$R$2:$R$301,MATCH($A81,Segmentation!$A$2:$A$301,0))</f>
        <v>3</v>
      </c>
      <c r="X81" s="2" t="n">
        <f aca="false">INDEX(Segmentation!$S$2:$S$301,MATCH($A81,Segmentation!$A$2:$A$301,0))</f>
        <v>1</v>
      </c>
      <c r="Y81" s="10" t="b">
        <f aca="false">INDEX(Segmentation!$AG$2:$AG$301,MATCH($A81,Segmentation!$A$2:$A$301,0))</f>
        <v>0</v>
      </c>
      <c r="Z81" s="2" t="str">
        <f aca="false">INDEX(Segmentation!$AU$2:$AU$301,MATCH($A81,Segmentation!$A$2:$A$301,0))</f>
        <v>Not Eligible</v>
      </c>
      <c r="AA81" s="10" t="b">
        <f aca="false">INDEX(Segmentation!$Z$2:$Z$301,MATCH($A81,Segmentation!$A$2:$A$301,0))</f>
        <v>0</v>
      </c>
      <c r="AB81" s="10" t="b">
        <f aca="false">INDEX(Segmentation!$AH$2:$AH$301,MATCH($A81,Segmentation!$A$2:$A$301,0))</f>
        <v>0</v>
      </c>
      <c r="AC81" s="10" t="b">
        <f aca="false">INDEX(Segmentation!$AK$2:$AK$301,MATCH($A81,Segmentation!$A$2:$A$301,0))</f>
        <v>0</v>
      </c>
      <c r="AD81" s="10" t="b">
        <f aca="false">INDEX(Segmentation!$AQ$2:$AQ$301,MATCH($A81,Segmentation!$A$2:$A$301,0))</f>
        <v>0</v>
      </c>
      <c r="AE81" s="10" t="b">
        <f aca="false">INDEX(Segmentation!$AT$2:$AT$301,MATCH($A81,Segmentation!$A$2:$A$301,0))</f>
        <v>0</v>
      </c>
      <c r="AF81" s="10" t="b">
        <f aca="false">INDEX(Segmentation!$X$2:$X$301,MATCH($A81,Segmentation!$A$2:$A$301,0))</f>
        <v>0</v>
      </c>
      <c r="AG81" s="10" t="b">
        <f aca="false">AND(F81="Low",V81&gt;=Assumptions!$B$71,X81&lt;Assumptions!$B$72)</f>
        <v>0</v>
      </c>
      <c r="AH81" s="10" t="b">
        <f aca="false">AND(F81="Low",OR(G81="Growing",G81="Stable"),P81="Recently Active",V81&gt;=Assumptions!$B$58,K81&gt;=Assumptions!$B$73)</f>
        <v>0</v>
      </c>
      <c r="AI81" s="17" t="n">
        <f aca="false">IF(O81&gt;0,MAX(L81:N81)/O81,"")</f>
        <v>0.676602086438152</v>
      </c>
      <c r="AJ81" s="2" t="str">
        <f aca="false">IF(LEFT(D81,1)="1",IF(E81="Key","MIGRATION_KEY_SIGNOFF",IF(Z81="Ready","MIGRATION_PHASE1_READY",IF(Z81="Manual Review","MIGRATION_PHASE1_REVIEW","MIGRATION_PRE_ENTRY"))),IF(LEFT(D81,1)="2","DECLINING_KEY_CORE",IF(LEFT(D81,1)="3",IF(R81="Established Buyer Lapsed","LAPSED_ESTABLISHED","LAPSED_THIN_HISTORY"),IF(LEFT(D81,1)="4",IF(Q81="New Customer","NEW_CUSTOMER","RETURNED_CUSTOMER"),IF(LEFT(D81,1)="5",IF(P81="Recently Active","COST_TO_SERVE_ACTIVE","DORMANT_LOW_VALUE"),IF(LEFT(D81,1)="6",IF(P81="Recent Inactivity","RECENT_INACTIVITY",IF(AG81,"BROWSING_LOW_OFFERS","HEALTHY_STRONG_SELF_SERVE")),IF(LEFT(D81,1)="7",IF(P81="Recent Inactivity","RECENT_INACTIVITY",IF(Q81="New Customer","NEW_CUSTOMER","RETURNED_CUSTOMER")),IF(LEFT(D81,1)="8",IF(G81="Declining",IF(T81="Engaged but shrinking (Key/Core)","ENGAGED_BUT_SHRINKING","DECLINING_KEY_CORE"),IF(R81="Established Buyer Lapsed","LAPSED_ESTABLISHED","LAPSED_THIN_HISTORY")),IF(S81,IF(P81&lt;&gt;"Recently Active","DORMANT_LOW_VALUE",IF(AG81,"BROWSING_LOW_OFFERS",IF(AH81,"RISING_TAIL","RISING_TAIL_EARLY"))),IF(AND(AG81,P81="Recently Active",OR(G81="Growing",G81="Stable",G81="H2 Active / No H1 GMV"),I81&gt;=Assumptions!$B$74),"BROWSING_LOW_OFFERS","LONG_TAIL_STANDARD"))))))))))</f>
        <v>COST_TO_SERVE_ACTIVE</v>
      </c>
      <c r="AK81" s="2" t="str">
        <f aca="false">INDEX('NBA Library'!$B$4:$B$21,MATCH(AJ81,'NBA Library'!$A$4:$A$21,0))</f>
        <v>Service Model Review</v>
      </c>
      <c r="AL81" s="2" t="str">
        <f aca="false">INDEX('NBA Library'!$C$4:$C$21,MATCH(AJ81,'NBA Library'!$A$4:$A$21,0))</f>
        <v>Human</v>
      </c>
      <c r="AM81" s="2" t="str">
        <f aca="false">IF(AA81,"HOLD — Critical Data Issue",IF(Y81,"Human Sign-Off Required",IF(Z81="Manual Review","Human Review Required",IF(AND(AL81="Automated",OR(AE81,AND(OR(AK81="Discovery-to-Offer Enablement",AK81="Reinforce Successful Behaviour"),OR(AC81,AB81)))),"Human Review Required",IF(AL81="Human","Ready — Human",IF(AL81="Hybrid","Ready — Hybrid","Ready — Automated"))))))</f>
        <v>Ready — Human</v>
      </c>
      <c r="AN81" s="2" t="str">
        <f aca="false">IF(AA81,"P0",IF(AND(AJ81="BROWSING_LOW_OFFERS",E81="Tail"),"P3",IF(AND(AM81="Human Review Required",INDEX('NBA Library'!$D$4:$D$21,MATCH(AJ81,'NBA Library'!$A$4:$A$21,0))="P4"),"P3",INDEX('NBA Library'!$D$4:$D$21,MATCH(AJ81,'NBA Library'!$A$4:$A$21,0)))))</f>
        <v>P3</v>
      </c>
      <c r="AO81" s="2" t="str">
        <f aca="false">E81&amp;" "&amp;C81&amp;" account ("&amp;B81&amp;"); "&amp;G81&amp;" momentum; "&amp;P81&amp;"; £"&amp;TEXT(H81,"#,##0")&amp;" 6m GMV. "&amp;INDEX('NBA Library'!$G$4:$G$21,MATCH(AJ81,'NBA Library'!$A$4:$A$21,0))&amp;IF(LEFT(D81,1)="1"," Baseline: "&amp;V81&amp;" PDP views, "&amp;W81&amp;" app days, "&amp;X81&amp;" offers, "&amp;TEXT(J81/I81,"0%")&amp;" of orders self-serve.","")&amp;IF(AA81," Execution on HOLD until the Duplicate status is resolved.","")&amp;IF(Y81," Key account: explicit AM/leadership sign-off required before any migration activity.","")&amp;IF(AE81," Implied broker % from order counts would move this account to a different segment; review before automating.","")</f>
        <v>Tail Broker-Reliant account (Account Managed); H2 Active / No H1 GMV momentum; Recently Active; £1,342 6m GMV. Broker-reliant but low value and still buying. Decide whether continued AM/broker effort is justified.</v>
      </c>
      <c r="AP81" s="2" t="str">
        <f aca="false">INDEX('NBA Library'!$E$4:$E$21,MATCH(AJ81,'NBA Library'!$A$4:$A$21,0))&amp;IF(AND(AJ81="NEW_CUSTOMER",AG81),"; introduce Make-an-Offer on items already browsed","")</f>
        <v>Internal decision: keep AM coverage, move to low-touch, or automate re-ordering</v>
      </c>
      <c r="AQ81" s="2" t="str">
        <f aca="false">INDEX('NBA Library'!$F$4:$F$21,MATCH(AJ81,'NBA Library'!$A$4:$A$21,0))</f>
        <v>Decision logged; broker effort reduced without GMV loss</v>
      </c>
      <c r="AR81" s="2" t="str">
        <f aca="false">IF(AND(F81="Low",OR(G81="Growing",G81="Stable"),P81="Recently Active",U81&lt;&gt;"Mixed",OR(AK81="Discovery-to-Offer Enablement",AK81="Reinforce Successful Behaviour"),AM81="Ready — Automated",OR(E81&lt;&gt;"Tail",S81)),"Range Expansion Test — trial "&amp;IF(U81="Bundle-only","handpick","bundles")&amp;" (experimental; not proven to lift GMV)","")</f>
        <v/>
      </c>
      <c r="AS81" s="2" t="str">
        <f aca="false">IF(AK81&lt;&gt;"Automated Nurture","",IF(AJ81="DORMANT_LOW_VALUE","Dormant",IF(AJ81="RISING_TAIL_EARLY","Rising tail – early pattern",IF(Q81="New Customer","New customer onboarding",IF(Q81="Returned Customer","Returned customer",IF(G81="Lapsed","Dormant",IF(T81="Engaged, not converting","Engaged, not converting",IF(T81="One-off low-touch buyer","One-off purchaser",IF(T81="Light-touch repeat buyer","Light-touch repeat buyer","Standard long tail")))))))))</f>
        <v/>
      </c>
      <c r="AT81" s="2" t="str">
        <f aca="false">IF(AA81,"CRITICAL_DATA_BLOCKER; ","")&amp;IF(Y81,"KEY_SIGNOFF; ","")&amp;IF(Z81="Manual Review","PHASE1_MANUAL_REVIEW; ","")&amp;IF(AND(LEFT(D81,1)="1",AZ81="Lumpy"),"LUMPY_CADENCE; ","")&amp;IF(AB81,"BORDERLINE_MOMENTUM; ","")&amp;IF(AC81,"FEB_SENSITIVE; ","")&amp;IF(AD81,"MATERIAL_BROKER_INCONSISTENCY"&amp;IF(AE81," (segment would change)","")&amp;"; ","")&amp;IF(AND(I81&gt;=3,O81&gt;0),IF(AI81&gt;=Assumptions!$B$75,"H2_SINGLE_MONTH_SPIKE; ",""),"")&amp;IF(AND(M81&gt;0,N81=0),"NO_FEB_GMV (Feb unconfirmed); ","")&amp;IF(AF81,"LOW_CONFIDENCE; ","")</f>
        <v/>
      </c>
      <c r="AU81" s="2" t="str">
        <f aca="false">IF(LEFT(D81,1)="1",V81,"")</f>
        <v/>
      </c>
      <c r="AV81" s="2" t="str">
        <f aca="false">IF(LEFT(D81,1)="1",V81&gt;=Assumptions!$B$58,"")</f>
        <v/>
      </c>
      <c r="AW81" s="2" t="str">
        <f aca="false">IF(LEFT(D81,1)="1",W81,"")</f>
        <v/>
      </c>
      <c r="AX81" s="2" t="str">
        <f aca="false">IF(LEFT(D81,1)="1",X81,"")</f>
        <v/>
      </c>
      <c r="AY81" s="17" t="str">
        <f aca="false">IF(LEFT(D81,1)="1",J81/I81,"")</f>
        <v/>
      </c>
      <c r="AZ81" s="2" t="str">
        <f aca="false">IF(LEFT(D81,1)="1",IF(AND(K81&gt;=Assumptions!$B$83,I81&gt;=Assumptions!$B$84),"Regular","Lumpy"),"")</f>
        <v/>
      </c>
      <c r="BA81" s="2" t="str">
        <f aca="false">IF(LEFT(D81,1)="1",ROUND(6/K81,0),"")</f>
        <v/>
      </c>
      <c r="BB81" s="2" t="str">
        <f aca="false">IF(LEFT(D81,1)="1",IF(AZ81="Regular","Regular buyer: expected ~£"&amp;TEXT(H81/2,"#,##0")&amp;" per 90 days. At Risk if GMV to date &lt; "&amp;TEXT(Assumptions!$B$81,"0%")&amp;" of pro-rated expectation, checked from day "&amp;Assumptions!$B$82&amp;". Human-reviewed.","Irregular buyer ("&amp;I81&amp;" orders across "&amp;K81&amp;" months): no numeric GMV threshold. At Risk if no order within ~"&amp;BA81&amp;" month(s); AM reviews at day "&amp;Assumptions!$B$82&amp;" and "&amp;Assumptions!$B$85&amp;"."),"")</f>
        <v/>
      </c>
      <c r="BC81" s="2"/>
      <c r="BD81" s="2"/>
      <c r="BE81" s="2"/>
      <c r="BF81" s="2"/>
      <c r="BG81" s="2"/>
      <c r="BH81" s="2"/>
      <c r="BI81" s="2"/>
      <c r="BJ81" s="2" t="str">
        <f aca="false">IF(OR(NOT(LEFT(D81,1)="1"),BC81=""),"",IF(AZ81="Regular",AND(BC81&gt;=Assumptions!$B$82,N(BI81)&lt;Assumptions!$B$81*H81/180*BC81),AND(BC81&gt;=BA81*30,N(BG81)=0)))</f>
        <v/>
      </c>
      <c r="BK81" s="2" t="str">
        <f aca="false">IF(NOT(LEFT(D81,1)="1"),"N/A",IF(BC81="","Baseline",IF(BJ81,"At Risk",IF(AND(N(BD81)&gt;=Assumptions!$B$78,N(BE81)&gt;=Assumptions!$B$79,N(BH81)&gt;=1,N(BH81)/MAX(N(BG81),1)&gt;AY81),"Self-Serve Capability Demonstrated",IF(OR(N(BD81)&gt;=Assumptions!$B$76,N(BE81)&gt;=Assumptions!$B$77),"Progressing",IF(BC81&gt;=Assumptions!$B$85,"At Risk","Baseline"))))))</f>
        <v>N/A</v>
      </c>
      <c r="BL81" s="2" t="n">
        <f aca="false">(AND(C81="Broker-Reliant",OR(AK81="Discovery-to-Offer Enablement",AK81="Reinforce Successful Behaviour")))*1+(AND(G81="Declining",E81&lt;&gt;"Tail",AL81="Automated"))*1+(AND(Y81,AM81&lt;&gt;"Human Sign-Off Required"))*1+(AND(AA81,AM81&lt;&gt;"HOLD — Critical Data Issue"))*1+(AND(P81="Recent Inactivity",OR(AK81="Discovery-to-Offer Enablement",AK81="Reinforce Successful Behaviour")))*1+(AND(OR(LEFT(D81,1)="2",LEFT(D81,1)="3",LEFT(D81,1)="8"),AL81="Automated"))*1+((LEFT(D81,1)="1")&lt;&gt;(AK81="Guided Self-Serve Migration"))*1+(AND(AR81&lt;&gt;"",OR(F81&lt;&gt;"Low",U81="Mixed",AND(G81&lt;&gt;"Growing",G81&lt;&gt;"Stable"))))*1+ISNUMBER(SEARCH("chat",AP81))*1+ISNUMBER(SEARCH("video",AP81))*1+(AND(AA81,AL81="Automated",AM81&lt;&gt;"HOLD — Critical Data Issue"))*1</f>
        <v>0</v>
      </c>
    </row>
    <row r="82" customFormat="false" ht="15" hidden="false" customHeight="false" outlineLevel="0" collapsed="false">
      <c r="A82" s="2" t="s">
        <v>597</v>
      </c>
      <c r="B82" s="2" t="str">
        <f aca="false">INDEX(Segmentation!$B$2:$B$301,MATCH($A82,Segmentation!$A$2:$A$301,0))</f>
        <v>Account Managed</v>
      </c>
      <c r="C82" s="2" t="str">
        <f aca="false">INDEX(Segmentation!$H$2:$H$301,MATCH($A82,Segmentation!$A$2:$A$301,0))</f>
        <v>Broker-Reliant</v>
      </c>
      <c r="D82" s="2" t="str">
        <f aca="false">INDEX(Segmentation!$T$2:$T$301,MATCH($A82,Segmentation!$A$2:$A$301,0))</f>
        <v>5. Cost-to-Serve / Low-Touch</v>
      </c>
      <c r="E82" s="2" t="str">
        <f aca="false">INDEX(Segmentation!$J$2:$J$301,MATCH($A82,Segmentation!$A$2:$A$301,0))</f>
        <v>Tail</v>
      </c>
      <c r="F82" s="2" t="str">
        <f aca="false">INDEX(Segmentation!$G$2:$G$301,MATCH($A82,Segmentation!$A$2:$A$301,0))</f>
        <v>High</v>
      </c>
      <c r="G82" s="2" t="str">
        <f aca="false">INDEX(Segmentation!$N$2:$N$301,MATCH($A82,Segmentation!$A$2:$A$301,0))</f>
        <v>Lapsed</v>
      </c>
      <c r="H82" s="9" t="n">
        <f aca="false">INDEX(Segmentation!$I$2:$I$301,MATCH($A82,Segmentation!$A$2:$A$301,0))</f>
        <v>1289</v>
      </c>
      <c r="I82" s="2" t="n">
        <f aca="false">INDEX(Segmentation!$O$2:$O$301,MATCH($A82,Segmentation!$A$2:$A$301,0))</f>
        <v>4</v>
      </c>
      <c r="J82" s="2" t="n">
        <f aca="false">INDEX(Segmentation!$Q$2:$Q$301,MATCH($A82,Segmentation!$A$2:$A$301,0))</f>
        <v>1</v>
      </c>
      <c r="K82" s="2" t="n">
        <f aca="false">INDEX(Segmentation!$W$2:$W$301,MATCH($A82,Segmentation!$A$2:$A$301,0))</f>
        <v>2</v>
      </c>
      <c r="L82" s="9" t="n">
        <f aca="false">INDEX('Commercial View'!$L$2:$L$301,MATCH($A82,'Commercial View'!$A$2:$A$301,0))</f>
        <v>0</v>
      </c>
      <c r="M82" s="9" t="n">
        <f aca="false">INDEX('Commercial View'!$M$2:$M$301,MATCH($A82,'Commercial View'!$A$2:$A$301,0))</f>
        <v>0</v>
      </c>
      <c r="N82" s="9" t="n">
        <f aca="false">INDEX('Commercial View'!$N$2:$N$301,MATCH($A82,'Commercial View'!$A$2:$A$301,0))</f>
        <v>0</v>
      </c>
      <c r="O82" s="9" t="n">
        <f aca="false">INDEX(Segmentation!$L$2:$L$301,MATCH($A82,Segmentation!$A$2:$A$301,0))</f>
        <v>0</v>
      </c>
      <c r="P82" s="2" t="str">
        <f aca="false">IF(OR(M82&gt;0,N82&gt;0),"Recently Active",IF(OR(I82&lt;=Assumptions!$B$48,K82&lt;=Assumptions!$B$49),"No Meaningful History","Recent Inactivity"))</f>
        <v>Recent Inactivity</v>
      </c>
      <c r="Q82" s="2" t="str">
        <f aca="false">INDEX(Segmentation!$AF$2:$AF$301,MATCH($A82,Segmentation!$A$2:$A$301,0))</f>
        <v>Existing Customer</v>
      </c>
      <c r="R82" s="2" t="str">
        <f aca="false">INDEX(Segmentation!$AL$2:$AL$301,MATCH($A82,Segmentation!$A$2:$A$301,0))</f>
        <v>Established Buyer Lapsed</v>
      </c>
      <c r="S82" s="10" t="b">
        <f aca="false">INDEX(Segmentation!$AW$2:$AW$301,MATCH($A82,Segmentation!$A$2:$A$301,0))</f>
        <v>0</v>
      </c>
      <c r="T82" s="2" t="str">
        <f aca="false">INDEX('Feature Data'!$AD$2:$AD$301,MATCH($A82,'Feature Data'!$A$2:$A$301,0))</f>
        <v>Broker-led, product-blind</v>
      </c>
      <c r="U82" s="2" t="str">
        <f aca="false">INDEX('Feature Data'!$W$2:$W$301,MATCH($A82,'Feature Data'!$A$2:$A$301,0))</f>
        <v>Handpick-only</v>
      </c>
      <c r="V82" s="2" t="n">
        <f aca="false">INDEX('Feature Data'!$P$2:$P$301,MATCH($A82,'Feature Data'!$A$2:$A$301,0))</f>
        <v>5</v>
      </c>
      <c r="W82" s="2" t="n">
        <f aca="false">INDEX(Segmentation!$R$2:$R$301,MATCH($A82,Segmentation!$A$2:$A$301,0))</f>
        <v>5</v>
      </c>
      <c r="X82" s="2" t="n">
        <f aca="false">INDEX(Segmentation!$S$2:$S$301,MATCH($A82,Segmentation!$A$2:$A$301,0))</f>
        <v>1</v>
      </c>
      <c r="Y82" s="10" t="b">
        <f aca="false">INDEX(Segmentation!$AG$2:$AG$301,MATCH($A82,Segmentation!$A$2:$A$301,0))</f>
        <v>0</v>
      </c>
      <c r="Z82" s="2" t="str">
        <f aca="false">INDEX(Segmentation!$AU$2:$AU$301,MATCH($A82,Segmentation!$A$2:$A$301,0))</f>
        <v>Not Eligible</v>
      </c>
      <c r="AA82" s="10" t="b">
        <f aca="false">INDEX(Segmentation!$Z$2:$Z$301,MATCH($A82,Segmentation!$A$2:$A$301,0))</f>
        <v>0</v>
      </c>
      <c r="AB82" s="10" t="b">
        <f aca="false">INDEX(Segmentation!$AH$2:$AH$301,MATCH($A82,Segmentation!$A$2:$A$301,0))</f>
        <v>0</v>
      </c>
      <c r="AC82" s="10" t="b">
        <f aca="false">INDEX(Segmentation!$AK$2:$AK$301,MATCH($A82,Segmentation!$A$2:$A$301,0))</f>
        <v>0</v>
      </c>
      <c r="AD82" s="10" t="b">
        <f aca="false">INDEX(Segmentation!$AQ$2:$AQ$301,MATCH($A82,Segmentation!$A$2:$A$301,0))</f>
        <v>0</v>
      </c>
      <c r="AE82" s="10" t="b">
        <f aca="false">INDEX(Segmentation!$AT$2:$AT$301,MATCH($A82,Segmentation!$A$2:$A$301,0))</f>
        <v>0</v>
      </c>
      <c r="AF82" s="10" t="b">
        <f aca="false">INDEX(Segmentation!$X$2:$X$301,MATCH($A82,Segmentation!$A$2:$A$301,0))</f>
        <v>0</v>
      </c>
      <c r="AG82" s="10" t="b">
        <f aca="false">AND(F82="Low",V82&gt;=Assumptions!$B$71,X82&lt;Assumptions!$B$72)</f>
        <v>0</v>
      </c>
      <c r="AH82" s="10" t="b">
        <f aca="false">AND(F82="Low",OR(G82="Growing",G82="Stable"),P82="Recently Active",V82&gt;=Assumptions!$B$58,K82&gt;=Assumptions!$B$73)</f>
        <v>0</v>
      </c>
      <c r="AI82" s="17" t="str">
        <f aca="false">IF(O82&gt;0,MAX(L82:N82)/O82,"")</f>
        <v/>
      </c>
      <c r="AJ82" s="2" t="str">
        <f aca="false">IF(LEFT(D82,1)="1",IF(E82="Key","MIGRATION_KEY_SIGNOFF",IF(Z82="Ready","MIGRATION_PHASE1_READY",IF(Z82="Manual Review","MIGRATION_PHASE1_REVIEW","MIGRATION_PRE_ENTRY"))),IF(LEFT(D82,1)="2","DECLINING_KEY_CORE",IF(LEFT(D82,1)="3",IF(R82="Established Buyer Lapsed","LAPSED_ESTABLISHED","LAPSED_THIN_HISTORY"),IF(LEFT(D82,1)="4",IF(Q82="New Customer","NEW_CUSTOMER","RETURNED_CUSTOMER"),IF(LEFT(D82,1)="5",IF(P82="Recently Active","COST_TO_SERVE_ACTIVE","DORMANT_LOW_VALUE"),IF(LEFT(D82,1)="6",IF(P82="Recent Inactivity","RECENT_INACTIVITY",IF(AG82,"BROWSING_LOW_OFFERS","HEALTHY_STRONG_SELF_SERVE")),IF(LEFT(D82,1)="7",IF(P82="Recent Inactivity","RECENT_INACTIVITY",IF(Q82="New Customer","NEW_CUSTOMER","RETURNED_CUSTOMER")),IF(LEFT(D82,1)="8",IF(G82="Declining",IF(T82="Engaged but shrinking (Key/Core)","ENGAGED_BUT_SHRINKING","DECLINING_KEY_CORE"),IF(R82="Established Buyer Lapsed","LAPSED_ESTABLISHED","LAPSED_THIN_HISTORY")),IF(S82,IF(P82&lt;&gt;"Recently Active","DORMANT_LOW_VALUE",IF(AG82,"BROWSING_LOW_OFFERS",IF(AH82,"RISING_TAIL","RISING_TAIL_EARLY"))),IF(AND(AG82,P82="Recently Active",OR(G82="Growing",G82="Stable",G82="H2 Active / No H1 GMV"),I82&gt;=Assumptions!$B$74),"BROWSING_LOW_OFFERS","LONG_TAIL_STANDARD"))))))))))</f>
        <v>DORMANT_LOW_VALUE</v>
      </c>
      <c r="AK82" s="2" t="str">
        <f aca="false">INDEX('NBA Library'!$B$4:$B$21,MATCH(AJ82,'NBA Library'!$A$4:$A$21,0))</f>
        <v>Automated Nurture</v>
      </c>
      <c r="AL82" s="2" t="str">
        <f aca="false">INDEX('NBA Library'!$C$4:$C$21,MATCH(AJ82,'NBA Library'!$A$4:$A$21,0))</f>
        <v>Automated</v>
      </c>
      <c r="AM82" s="2" t="str">
        <f aca="false">IF(AA82,"HOLD — Critical Data Issue",IF(Y82,"Human Sign-Off Required",IF(Z82="Manual Review","Human Review Required",IF(AND(AL82="Automated",OR(AE82,AND(OR(AK82="Discovery-to-Offer Enablement",AK82="Reinforce Successful Behaviour"),OR(AC82,AB82)))),"Human Review Required",IF(AL82="Human","Ready — Human",IF(AL82="Hybrid","Ready — Hybrid","Ready — Automated"))))))</f>
        <v>Ready — Automated</v>
      </c>
      <c r="AN82" s="2" t="str">
        <f aca="false">IF(AA82,"P0",IF(AND(AJ82="BROWSING_LOW_OFFERS",E82="Tail"),"P3",IF(AND(AM82="Human Review Required",INDEX('NBA Library'!$D$4:$D$21,MATCH(AJ82,'NBA Library'!$A$4:$A$21,0))="P4"),"P3",INDEX('NBA Library'!$D$4:$D$21,MATCH(AJ82,'NBA Library'!$A$4:$A$21,0)))))</f>
        <v>P4</v>
      </c>
      <c r="AO82" s="2" t="str">
        <f aca="false">E82&amp;" "&amp;C82&amp;" account ("&amp;B82&amp;"); "&amp;G82&amp;" momentum; "&amp;P82&amp;"; £"&amp;TEXT(H82,"#,##0")&amp;" 6m GMV. "&amp;INDEX('NBA Library'!$G$4:$G$21,MATCH(AJ82,'NBA Library'!$A$4:$A$21,0))&amp;IF(LEFT(D82,1)="1"," Baseline: "&amp;V82&amp;" PDP views, "&amp;W82&amp;" app days, "&amp;X82&amp;" offers, "&amp;TEXT(J82/I82,"0%")&amp;" of orders self-serve.","")&amp;IF(AA82," Execution on HOLD until the Duplicate status is resolved.","")&amp;IF(Y82," Key account: explicit AM/leadership sign-off required before any migration activity.","")&amp;IF(AE82," Implied broker % from order counts would move this account to a different segment; review before automating.","")</f>
        <v>Tail Broker-Reliant account (Account Managed); Lapsed momentum; Recent Inactivity; £1,289 6m GMV. Low-value account with no recent GMV. Avoid human time.</v>
      </c>
      <c r="AP82" s="2" t="str">
        <f aca="false">INDEX('NBA Library'!$E$4:$E$21,MATCH(AJ82,'NBA Library'!$A$4:$A$21,0))&amp;IF(AND(AJ82="NEW_CUSTOMER",AG82),"; introduce Make-an-Offer on items already browsed","")</f>
        <v>Automated reactivation only; no human time</v>
      </c>
      <c r="AQ82" s="2" t="str">
        <f aca="false">INDEX('NBA Library'!$F$4:$F$21,MATCH(AJ82,'NBA Library'!$A$4:$A$21,0))</f>
        <v>Any order within 90 days</v>
      </c>
      <c r="AR82" s="2" t="str">
        <f aca="false">IF(AND(F82="Low",OR(G82="Growing",G82="Stable"),P82="Recently Active",U82&lt;&gt;"Mixed",OR(AK82="Discovery-to-Offer Enablement",AK82="Reinforce Successful Behaviour"),AM82="Ready — Automated",OR(E82&lt;&gt;"Tail",S82)),"Range Expansion Test — trial "&amp;IF(U82="Bundle-only","handpick","bundles")&amp;" (experimental; not proven to lift GMV)","")</f>
        <v/>
      </c>
      <c r="AS82" s="2" t="str">
        <f aca="false">IF(AK82&lt;&gt;"Automated Nurture","",IF(AJ82="DORMANT_LOW_VALUE","Dormant",IF(AJ82="RISING_TAIL_EARLY","Rising tail – early pattern",IF(Q82="New Customer","New customer onboarding",IF(Q82="Returned Customer","Returned customer",IF(G82="Lapsed","Dormant",IF(T82="Engaged, not converting","Engaged, not converting",IF(T82="One-off low-touch buyer","One-off purchaser",IF(T82="Light-touch repeat buyer","Light-touch repeat buyer","Standard long tail")))))))))</f>
        <v>Dormant</v>
      </c>
      <c r="AT82" s="2" t="str">
        <f aca="false">IF(AA82,"CRITICAL_DATA_BLOCKER; ","")&amp;IF(Y82,"KEY_SIGNOFF; ","")&amp;IF(Z82="Manual Review","PHASE1_MANUAL_REVIEW; ","")&amp;IF(AND(LEFT(D82,1)="1",AZ82="Lumpy"),"LUMPY_CADENCE; ","")&amp;IF(AB82,"BORDERLINE_MOMENTUM; ","")&amp;IF(AC82,"FEB_SENSITIVE; ","")&amp;IF(AD82,"MATERIAL_BROKER_INCONSISTENCY"&amp;IF(AE82," (segment would change)","")&amp;"; ","")&amp;IF(AND(I82&gt;=3,O82&gt;0),IF(AI82&gt;=Assumptions!$B$75,"H2_SINGLE_MONTH_SPIKE; ",""),"")&amp;IF(AND(M82&gt;0,N82=0),"NO_FEB_GMV (Feb unconfirmed); ","")&amp;IF(AF82,"LOW_CONFIDENCE; ","")</f>
        <v/>
      </c>
      <c r="AU82" s="2" t="str">
        <f aca="false">IF(LEFT(D82,1)="1",V82,"")</f>
        <v/>
      </c>
      <c r="AV82" s="2" t="str">
        <f aca="false">IF(LEFT(D82,1)="1",V82&gt;=Assumptions!$B$58,"")</f>
        <v/>
      </c>
      <c r="AW82" s="2" t="str">
        <f aca="false">IF(LEFT(D82,1)="1",W82,"")</f>
        <v/>
      </c>
      <c r="AX82" s="2" t="str">
        <f aca="false">IF(LEFT(D82,1)="1",X82,"")</f>
        <v/>
      </c>
      <c r="AY82" s="17" t="str">
        <f aca="false">IF(LEFT(D82,1)="1",J82/I82,"")</f>
        <v/>
      </c>
      <c r="AZ82" s="2" t="str">
        <f aca="false">IF(LEFT(D82,1)="1",IF(AND(K82&gt;=Assumptions!$B$83,I82&gt;=Assumptions!$B$84),"Regular","Lumpy"),"")</f>
        <v/>
      </c>
      <c r="BA82" s="2" t="str">
        <f aca="false">IF(LEFT(D82,1)="1",ROUND(6/K82,0),"")</f>
        <v/>
      </c>
      <c r="BB82" s="2" t="str">
        <f aca="false">IF(LEFT(D82,1)="1",IF(AZ82="Regular","Regular buyer: expected ~£"&amp;TEXT(H82/2,"#,##0")&amp;" per 90 days. At Risk if GMV to date &lt; "&amp;TEXT(Assumptions!$B$81,"0%")&amp;" of pro-rated expectation, checked from day "&amp;Assumptions!$B$82&amp;". Human-reviewed.","Irregular buyer ("&amp;I82&amp;" orders across "&amp;K82&amp;" months): no numeric GMV threshold. At Risk if no order within ~"&amp;BA82&amp;" month(s); AM reviews at day "&amp;Assumptions!$B$82&amp;" and "&amp;Assumptions!$B$85&amp;"."),"")</f>
        <v/>
      </c>
      <c r="BC82" s="2"/>
      <c r="BD82" s="2"/>
      <c r="BE82" s="2"/>
      <c r="BF82" s="2"/>
      <c r="BG82" s="2"/>
      <c r="BH82" s="2"/>
      <c r="BI82" s="2"/>
      <c r="BJ82" s="2" t="str">
        <f aca="false">IF(OR(NOT(LEFT(D82,1)="1"),BC82=""),"",IF(AZ82="Regular",AND(BC82&gt;=Assumptions!$B$82,N(BI82)&lt;Assumptions!$B$81*H82/180*BC82),AND(BC82&gt;=BA82*30,N(BG82)=0)))</f>
        <v/>
      </c>
      <c r="BK82" s="2" t="str">
        <f aca="false">IF(NOT(LEFT(D82,1)="1"),"N/A",IF(BC82="","Baseline",IF(BJ82,"At Risk",IF(AND(N(BD82)&gt;=Assumptions!$B$78,N(BE82)&gt;=Assumptions!$B$79,N(BH82)&gt;=1,N(BH82)/MAX(N(BG82),1)&gt;AY82),"Self-Serve Capability Demonstrated",IF(OR(N(BD82)&gt;=Assumptions!$B$76,N(BE82)&gt;=Assumptions!$B$77),"Progressing",IF(BC82&gt;=Assumptions!$B$85,"At Risk","Baseline"))))))</f>
        <v>N/A</v>
      </c>
      <c r="BL82" s="2" t="n">
        <f aca="false">(AND(C82="Broker-Reliant",OR(AK82="Discovery-to-Offer Enablement",AK82="Reinforce Successful Behaviour")))*1+(AND(G82="Declining",E82&lt;&gt;"Tail",AL82="Automated"))*1+(AND(Y82,AM82&lt;&gt;"Human Sign-Off Required"))*1+(AND(AA82,AM82&lt;&gt;"HOLD — Critical Data Issue"))*1+(AND(P82="Recent Inactivity",OR(AK82="Discovery-to-Offer Enablement",AK82="Reinforce Successful Behaviour")))*1+(AND(OR(LEFT(D82,1)="2",LEFT(D82,1)="3",LEFT(D82,1)="8"),AL82="Automated"))*1+((LEFT(D82,1)="1")&lt;&gt;(AK82="Guided Self-Serve Migration"))*1+(AND(AR82&lt;&gt;"",OR(F82&lt;&gt;"Low",U82="Mixed",AND(G82&lt;&gt;"Growing",G82&lt;&gt;"Stable"))))*1+ISNUMBER(SEARCH("chat",AP82))*1+ISNUMBER(SEARCH("video",AP82))*1+(AND(AA82,AL82="Automated",AM82&lt;&gt;"HOLD — Critical Data Issue"))*1</f>
        <v>0</v>
      </c>
    </row>
    <row r="83" customFormat="false" ht="15" hidden="false" customHeight="false" outlineLevel="0" collapsed="false">
      <c r="A83" s="2" t="s">
        <v>599</v>
      </c>
      <c r="B83" s="2" t="str">
        <f aca="false">INDEX(Segmentation!$B$2:$B$301,MATCH($A83,Segmentation!$A$2:$A$301,0))</f>
        <v>Account Managed</v>
      </c>
      <c r="C83" s="2" t="str">
        <f aca="false">INDEX(Segmentation!$H$2:$H$301,MATCH($A83,Segmentation!$A$2:$A$301,0))</f>
        <v>AM-Owned / Self-Serving</v>
      </c>
      <c r="D83" s="2" t="str">
        <f aca="false">INDEX(Segmentation!$T$2:$T$301,MATCH($A83,Segmentation!$A$2:$A$301,0))</f>
        <v>9. Long-Tail Automated Nurture</v>
      </c>
      <c r="E83" s="2" t="str">
        <f aca="false">INDEX(Segmentation!$J$2:$J$301,MATCH($A83,Segmentation!$A$2:$A$301,0))</f>
        <v>Tail</v>
      </c>
      <c r="F83" s="2" t="str">
        <f aca="false">INDEX(Segmentation!$G$2:$G$301,MATCH($A83,Segmentation!$A$2:$A$301,0))</f>
        <v>Low</v>
      </c>
      <c r="G83" s="2" t="str">
        <f aca="false">INDEX(Segmentation!$N$2:$N$301,MATCH($A83,Segmentation!$A$2:$A$301,0))</f>
        <v>Lapsed</v>
      </c>
      <c r="H83" s="9" t="n">
        <f aca="false">INDEX(Segmentation!$I$2:$I$301,MATCH($A83,Segmentation!$A$2:$A$301,0))</f>
        <v>1263</v>
      </c>
      <c r="I83" s="2" t="n">
        <f aca="false">INDEX(Segmentation!$O$2:$O$301,MATCH($A83,Segmentation!$A$2:$A$301,0))</f>
        <v>4</v>
      </c>
      <c r="J83" s="2" t="n">
        <f aca="false">INDEX(Segmentation!$Q$2:$Q$301,MATCH($A83,Segmentation!$A$2:$A$301,0))</f>
        <v>4</v>
      </c>
      <c r="K83" s="2" t="n">
        <f aca="false">INDEX(Segmentation!$W$2:$W$301,MATCH($A83,Segmentation!$A$2:$A$301,0))</f>
        <v>3</v>
      </c>
      <c r="L83" s="9" t="n">
        <f aca="false">INDEX('Commercial View'!$L$2:$L$301,MATCH($A83,'Commercial View'!$A$2:$A$301,0))</f>
        <v>0</v>
      </c>
      <c r="M83" s="9" t="n">
        <f aca="false">INDEX('Commercial View'!$M$2:$M$301,MATCH($A83,'Commercial View'!$A$2:$A$301,0))</f>
        <v>0</v>
      </c>
      <c r="N83" s="9" t="n">
        <f aca="false">INDEX('Commercial View'!$N$2:$N$301,MATCH($A83,'Commercial View'!$A$2:$A$301,0))</f>
        <v>0</v>
      </c>
      <c r="O83" s="9" t="n">
        <f aca="false">INDEX(Segmentation!$L$2:$L$301,MATCH($A83,Segmentation!$A$2:$A$301,0))</f>
        <v>0</v>
      </c>
      <c r="P83" s="2" t="str">
        <f aca="false">IF(OR(M83&gt;0,N83&gt;0),"Recently Active",IF(OR(I83&lt;=Assumptions!$B$48,K83&lt;=Assumptions!$B$49),"No Meaningful History","Recent Inactivity"))</f>
        <v>Recent Inactivity</v>
      </c>
      <c r="Q83" s="2" t="str">
        <f aca="false">INDEX(Segmentation!$AF$2:$AF$301,MATCH($A83,Segmentation!$A$2:$A$301,0))</f>
        <v>Existing Customer</v>
      </c>
      <c r="R83" s="2" t="str">
        <f aca="false">INDEX(Segmentation!$AL$2:$AL$301,MATCH($A83,Segmentation!$A$2:$A$301,0))</f>
        <v>Established Buyer Lapsed</v>
      </c>
      <c r="S83" s="10" t="b">
        <f aca="false">INDEX(Segmentation!$AW$2:$AW$301,MATCH($A83,Segmentation!$A$2:$A$301,0))</f>
        <v>0</v>
      </c>
      <c r="T83" s="2" t="str">
        <f aca="false">INDEX('Feature Data'!$AD$2:$AD$301,MATCH($A83,'Feature Data'!$A$2:$A$301,0))</f>
        <v>Independent browser-buyer</v>
      </c>
      <c r="U83" s="2" t="str">
        <f aca="false">INDEX('Feature Data'!$W$2:$W$301,MATCH($A83,'Feature Data'!$A$2:$A$301,0))</f>
        <v>Bundle-only</v>
      </c>
      <c r="V83" s="2" t="n">
        <f aca="false">INDEX('Feature Data'!$P$2:$P$301,MATCH($A83,'Feature Data'!$A$2:$A$301,0))</f>
        <v>515</v>
      </c>
      <c r="W83" s="2" t="n">
        <f aca="false">INDEX(Segmentation!$R$2:$R$301,MATCH($A83,Segmentation!$A$2:$A$301,0))</f>
        <v>53</v>
      </c>
      <c r="X83" s="2" t="n">
        <f aca="false">INDEX(Segmentation!$S$2:$S$301,MATCH($A83,Segmentation!$A$2:$A$301,0))</f>
        <v>3</v>
      </c>
      <c r="Y83" s="10" t="b">
        <f aca="false">INDEX(Segmentation!$AG$2:$AG$301,MATCH($A83,Segmentation!$A$2:$A$301,0))</f>
        <v>0</v>
      </c>
      <c r="Z83" s="2" t="str">
        <f aca="false">INDEX(Segmentation!$AU$2:$AU$301,MATCH($A83,Segmentation!$A$2:$A$301,0))</f>
        <v>Not Eligible</v>
      </c>
      <c r="AA83" s="10" t="b">
        <f aca="false">INDEX(Segmentation!$Z$2:$Z$301,MATCH($A83,Segmentation!$A$2:$A$301,0))</f>
        <v>0</v>
      </c>
      <c r="AB83" s="10" t="b">
        <f aca="false">INDEX(Segmentation!$AH$2:$AH$301,MATCH($A83,Segmentation!$A$2:$A$301,0))</f>
        <v>0</v>
      </c>
      <c r="AC83" s="10" t="b">
        <f aca="false">INDEX(Segmentation!$AK$2:$AK$301,MATCH($A83,Segmentation!$A$2:$A$301,0))</f>
        <v>0</v>
      </c>
      <c r="AD83" s="10" t="b">
        <f aca="false">INDEX(Segmentation!$AQ$2:$AQ$301,MATCH($A83,Segmentation!$A$2:$A$301,0))</f>
        <v>0</v>
      </c>
      <c r="AE83" s="10" t="b">
        <f aca="false">INDEX(Segmentation!$AT$2:$AT$301,MATCH($A83,Segmentation!$A$2:$A$301,0))</f>
        <v>0</v>
      </c>
      <c r="AF83" s="10" t="b">
        <f aca="false">INDEX(Segmentation!$X$2:$X$301,MATCH($A83,Segmentation!$A$2:$A$301,0))</f>
        <v>0</v>
      </c>
      <c r="AG83" s="10" t="b">
        <f aca="false">AND(F83="Low",V83&gt;=Assumptions!$B$71,X83&lt;Assumptions!$B$72)</f>
        <v>0</v>
      </c>
      <c r="AH83" s="10" t="b">
        <f aca="false">AND(F83="Low",OR(G83="Growing",G83="Stable"),P83="Recently Active",V83&gt;=Assumptions!$B$58,K83&gt;=Assumptions!$B$73)</f>
        <v>0</v>
      </c>
      <c r="AI83" s="17" t="str">
        <f aca="false">IF(O83&gt;0,MAX(L83:N83)/O83,"")</f>
        <v/>
      </c>
      <c r="AJ83" s="2" t="str">
        <f aca="false">IF(LEFT(D83,1)="1",IF(E83="Key","MIGRATION_KEY_SIGNOFF",IF(Z83="Ready","MIGRATION_PHASE1_READY",IF(Z83="Manual Review","MIGRATION_PHASE1_REVIEW","MIGRATION_PRE_ENTRY"))),IF(LEFT(D83,1)="2","DECLINING_KEY_CORE",IF(LEFT(D83,1)="3",IF(R83="Established Buyer Lapsed","LAPSED_ESTABLISHED","LAPSED_THIN_HISTORY"),IF(LEFT(D83,1)="4",IF(Q83="New Customer","NEW_CUSTOMER","RETURNED_CUSTOMER"),IF(LEFT(D83,1)="5",IF(P83="Recently Active","COST_TO_SERVE_ACTIVE","DORMANT_LOW_VALUE"),IF(LEFT(D83,1)="6",IF(P83="Recent Inactivity","RECENT_INACTIVITY",IF(AG83,"BROWSING_LOW_OFFERS","HEALTHY_STRONG_SELF_SERVE")),IF(LEFT(D83,1)="7",IF(P83="Recent Inactivity","RECENT_INACTIVITY",IF(Q83="New Customer","NEW_CUSTOMER","RETURNED_CUSTOMER")),IF(LEFT(D83,1)="8",IF(G83="Declining",IF(T83="Engaged but shrinking (Key/Core)","ENGAGED_BUT_SHRINKING","DECLINING_KEY_CORE"),IF(R83="Established Buyer Lapsed","LAPSED_ESTABLISHED","LAPSED_THIN_HISTORY")),IF(S83,IF(P83&lt;&gt;"Recently Active","DORMANT_LOW_VALUE",IF(AG83,"BROWSING_LOW_OFFERS",IF(AH83,"RISING_TAIL","RISING_TAIL_EARLY"))),IF(AND(AG83,P83="Recently Active",OR(G83="Growing",G83="Stable",G83="H2 Active / No H1 GMV"),I83&gt;=Assumptions!$B$74),"BROWSING_LOW_OFFERS","LONG_TAIL_STANDARD"))))))))))</f>
        <v>LONG_TAIL_STANDARD</v>
      </c>
      <c r="AK83" s="2" t="str">
        <f aca="false">INDEX('NBA Library'!$B$4:$B$21,MATCH(AJ83,'NBA Library'!$A$4:$A$21,0))</f>
        <v>Automated Nurture</v>
      </c>
      <c r="AL83" s="2" t="str">
        <f aca="false">INDEX('NBA Library'!$C$4:$C$21,MATCH(AJ83,'NBA Library'!$A$4:$A$21,0))</f>
        <v>Automated</v>
      </c>
      <c r="AM83" s="2" t="str">
        <f aca="false">IF(AA83,"HOLD — Critical Data Issue",IF(Y83,"Human Sign-Off Required",IF(Z83="Manual Review","Human Review Required",IF(AND(AL83="Automated",OR(AE83,AND(OR(AK83="Discovery-to-Offer Enablement",AK83="Reinforce Successful Behaviour"),OR(AC83,AB83)))),"Human Review Required",IF(AL83="Human","Ready — Human",IF(AL83="Hybrid","Ready — Hybrid","Ready — Automated"))))))</f>
        <v>Ready — Automated</v>
      </c>
      <c r="AN83" s="2" t="str">
        <f aca="false">IF(AA83,"P0",IF(AND(AJ83="BROWSING_LOW_OFFERS",E83="Tail"),"P3",IF(AND(AM83="Human Review Required",INDEX('NBA Library'!$D$4:$D$21,MATCH(AJ83,'NBA Library'!$A$4:$A$21,0))="P4"),"P3",INDEX('NBA Library'!$D$4:$D$21,MATCH(AJ83,'NBA Library'!$A$4:$A$21,0)))))</f>
        <v>P4</v>
      </c>
      <c r="AO83" s="2" t="str">
        <f aca="false">E83&amp;" "&amp;C83&amp;" account ("&amp;B83&amp;"); "&amp;G83&amp;" momentum; "&amp;P83&amp;"; £"&amp;TEXT(H83,"#,##0")&amp;" 6m GMV. "&amp;INDEX('NBA Library'!$G$4:$G$21,MATCH(AJ83,'NBA Library'!$A$4:$A$21,0))&amp;IF(LEFT(D83,1)="1"," Baseline: "&amp;V83&amp;" PDP views, "&amp;W83&amp;" app days, "&amp;X83&amp;" offers, "&amp;TEXT(J83/I83,"0%")&amp;" of orders self-serve.","")&amp;IF(AA83," Execution on HOLD until the Duplicate status is resolved.","")&amp;IF(Y83," Key account: explicit AM/leadership sign-off required before any migration activity.","")&amp;IF(AE83," Implied broker % from order counts would move this account to a different segment; review before automating.","")</f>
        <v>Tail AM-Owned / Self-Serving account (Account Managed); Lapsed momentum; Recent Inactivity; £1,263 6m GMV. Low-value, low-dependency account. Scalable automated engagement.</v>
      </c>
      <c r="AP83" s="2" t="str">
        <f aca="false">INDEX('NBA Library'!$E$4:$E$21,MATCH(AJ83,'NBA Library'!$A$4:$A$21,0))&amp;IF(AND(AJ83="NEW_CUSTOMER",AG83),"; introduce Make-an-Offer on items already browsed","")</f>
        <v>Scalable automated engagement matched to nurture sub-context</v>
      </c>
      <c r="AQ83" s="2" t="str">
        <f aca="false">INDEX('NBA Library'!$F$4:$F$21,MATCH(AJ83,'NBA Library'!$A$4:$A$21,0))</f>
        <v>Any repeat order within 90 days</v>
      </c>
      <c r="AR83" s="2" t="str">
        <f aca="false">IF(AND(F83="Low",OR(G83="Growing",G83="Stable"),P83="Recently Active",U83&lt;&gt;"Mixed",OR(AK83="Discovery-to-Offer Enablement",AK83="Reinforce Successful Behaviour"),AM83="Ready — Automated",OR(E83&lt;&gt;"Tail",S83)),"Range Expansion Test — trial "&amp;IF(U83="Bundle-only","handpick","bundles")&amp;" (experimental; not proven to lift GMV)","")</f>
        <v/>
      </c>
      <c r="AS83" s="2" t="str">
        <f aca="false">IF(AK83&lt;&gt;"Automated Nurture","",IF(AJ83="DORMANT_LOW_VALUE","Dormant",IF(AJ83="RISING_TAIL_EARLY","Rising tail – early pattern",IF(Q83="New Customer","New customer onboarding",IF(Q83="Returned Customer","Returned customer",IF(G83="Lapsed","Dormant",IF(T83="Engaged, not converting","Engaged, not converting",IF(T83="One-off low-touch buyer","One-off purchaser",IF(T83="Light-touch repeat buyer","Light-touch repeat buyer","Standard long tail")))))))))</f>
        <v>Dormant</v>
      </c>
      <c r="AT83" s="2" t="str">
        <f aca="false">IF(AA83,"CRITICAL_DATA_BLOCKER; ","")&amp;IF(Y83,"KEY_SIGNOFF; ","")&amp;IF(Z83="Manual Review","PHASE1_MANUAL_REVIEW; ","")&amp;IF(AND(LEFT(D83,1)="1",AZ83="Lumpy"),"LUMPY_CADENCE; ","")&amp;IF(AB83,"BORDERLINE_MOMENTUM; ","")&amp;IF(AC83,"FEB_SENSITIVE; ","")&amp;IF(AD83,"MATERIAL_BROKER_INCONSISTENCY"&amp;IF(AE83," (segment would change)","")&amp;"; ","")&amp;IF(AND(I83&gt;=3,O83&gt;0),IF(AI83&gt;=Assumptions!$B$75,"H2_SINGLE_MONTH_SPIKE; ",""),"")&amp;IF(AND(M83&gt;0,N83=0),"NO_FEB_GMV (Feb unconfirmed); ","")&amp;IF(AF83,"LOW_CONFIDENCE; ","")</f>
        <v/>
      </c>
      <c r="AU83" s="2" t="str">
        <f aca="false">IF(LEFT(D83,1)="1",V83,"")</f>
        <v/>
      </c>
      <c r="AV83" s="2" t="str">
        <f aca="false">IF(LEFT(D83,1)="1",V83&gt;=Assumptions!$B$58,"")</f>
        <v/>
      </c>
      <c r="AW83" s="2" t="str">
        <f aca="false">IF(LEFT(D83,1)="1",W83,"")</f>
        <v/>
      </c>
      <c r="AX83" s="2" t="str">
        <f aca="false">IF(LEFT(D83,1)="1",X83,"")</f>
        <v/>
      </c>
      <c r="AY83" s="17" t="str">
        <f aca="false">IF(LEFT(D83,1)="1",J83/I83,"")</f>
        <v/>
      </c>
      <c r="AZ83" s="2" t="str">
        <f aca="false">IF(LEFT(D83,1)="1",IF(AND(K83&gt;=Assumptions!$B$83,I83&gt;=Assumptions!$B$84),"Regular","Lumpy"),"")</f>
        <v/>
      </c>
      <c r="BA83" s="2" t="str">
        <f aca="false">IF(LEFT(D83,1)="1",ROUND(6/K83,0),"")</f>
        <v/>
      </c>
      <c r="BB83" s="2" t="str">
        <f aca="false">IF(LEFT(D83,1)="1",IF(AZ83="Regular","Regular buyer: expected ~£"&amp;TEXT(H83/2,"#,##0")&amp;" per 90 days. At Risk if GMV to date &lt; "&amp;TEXT(Assumptions!$B$81,"0%")&amp;" of pro-rated expectation, checked from day "&amp;Assumptions!$B$82&amp;". Human-reviewed.","Irregular buyer ("&amp;I83&amp;" orders across "&amp;K83&amp;" months): no numeric GMV threshold. At Risk if no order within ~"&amp;BA83&amp;" month(s); AM reviews at day "&amp;Assumptions!$B$82&amp;" and "&amp;Assumptions!$B$85&amp;"."),"")</f>
        <v/>
      </c>
      <c r="BC83" s="2"/>
      <c r="BD83" s="2"/>
      <c r="BE83" s="2"/>
      <c r="BF83" s="2"/>
      <c r="BG83" s="2"/>
      <c r="BH83" s="2"/>
      <c r="BI83" s="2"/>
      <c r="BJ83" s="2" t="str">
        <f aca="false">IF(OR(NOT(LEFT(D83,1)="1"),BC83=""),"",IF(AZ83="Regular",AND(BC83&gt;=Assumptions!$B$82,N(BI83)&lt;Assumptions!$B$81*H83/180*BC83),AND(BC83&gt;=BA83*30,N(BG83)=0)))</f>
        <v/>
      </c>
      <c r="BK83" s="2" t="str">
        <f aca="false">IF(NOT(LEFT(D83,1)="1"),"N/A",IF(BC83="","Baseline",IF(BJ83,"At Risk",IF(AND(N(BD83)&gt;=Assumptions!$B$78,N(BE83)&gt;=Assumptions!$B$79,N(BH83)&gt;=1,N(BH83)/MAX(N(BG83),1)&gt;AY83),"Self-Serve Capability Demonstrated",IF(OR(N(BD83)&gt;=Assumptions!$B$76,N(BE83)&gt;=Assumptions!$B$77),"Progressing",IF(BC83&gt;=Assumptions!$B$85,"At Risk","Baseline"))))))</f>
        <v>N/A</v>
      </c>
      <c r="BL83" s="2" t="n">
        <f aca="false">(AND(C83="Broker-Reliant",OR(AK83="Discovery-to-Offer Enablement",AK83="Reinforce Successful Behaviour")))*1+(AND(G83="Declining",E83&lt;&gt;"Tail",AL83="Automated"))*1+(AND(Y83,AM83&lt;&gt;"Human Sign-Off Required"))*1+(AND(AA83,AM83&lt;&gt;"HOLD — Critical Data Issue"))*1+(AND(P83="Recent Inactivity",OR(AK83="Discovery-to-Offer Enablement",AK83="Reinforce Successful Behaviour")))*1+(AND(OR(LEFT(D83,1)="2",LEFT(D83,1)="3",LEFT(D83,1)="8"),AL83="Automated"))*1+((LEFT(D83,1)="1")&lt;&gt;(AK83="Guided Self-Serve Migration"))*1+(AND(AR83&lt;&gt;"",OR(F83&lt;&gt;"Low",U83="Mixed",AND(G83&lt;&gt;"Growing",G83&lt;&gt;"Stable"))))*1+ISNUMBER(SEARCH("chat",AP83))*1+ISNUMBER(SEARCH("video",AP83))*1+(AND(AA83,AL83="Automated",AM83&lt;&gt;"HOLD — Critical Data Issue"))*1</f>
        <v>0</v>
      </c>
    </row>
    <row r="84" customFormat="false" ht="15" hidden="false" customHeight="false" outlineLevel="0" collapsed="false">
      <c r="A84" s="2" t="s">
        <v>533</v>
      </c>
      <c r="B84" s="2" t="str">
        <f aca="false">INDEX(Segmentation!$B$2:$B$301,MATCH($A84,Segmentation!$A$2:$A$301,0))</f>
        <v>Account Managed</v>
      </c>
      <c r="C84" s="2" t="str">
        <f aca="false">INDEX(Segmentation!$H$2:$H$301,MATCH($A84,Segmentation!$A$2:$A$301,0))</f>
        <v>AM-Owned / Self-Serving</v>
      </c>
      <c r="D84" s="2" t="str">
        <f aca="false">INDEX(Segmentation!$T$2:$T$301,MATCH($A84,Segmentation!$A$2:$A$301,0))</f>
        <v>9. Long-Tail Automated Nurture</v>
      </c>
      <c r="E84" s="2" t="str">
        <f aca="false">INDEX(Segmentation!$J$2:$J$301,MATCH($A84,Segmentation!$A$2:$A$301,0))</f>
        <v>Tail</v>
      </c>
      <c r="F84" s="2" t="str">
        <f aca="false">INDEX(Segmentation!$G$2:$G$301,MATCH($A84,Segmentation!$A$2:$A$301,0))</f>
        <v>Low</v>
      </c>
      <c r="G84" s="2" t="str">
        <f aca="false">INDEX(Segmentation!$N$2:$N$301,MATCH($A84,Segmentation!$A$2:$A$301,0))</f>
        <v>Growing</v>
      </c>
      <c r="H84" s="9" t="n">
        <f aca="false">INDEX(Segmentation!$I$2:$I$301,MATCH($A84,Segmentation!$A$2:$A$301,0))</f>
        <v>1217</v>
      </c>
      <c r="I84" s="2" t="n">
        <f aca="false">INDEX(Segmentation!$O$2:$O$301,MATCH($A84,Segmentation!$A$2:$A$301,0))</f>
        <v>8</v>
      </c>
      <c r="J84" s="2" t="n">
        <f aca="false">INDEX(Segmentation!$Q$2:$Q$301,MATCH($A84,Segmentation!$A$2:$A$301,0))</f>
        <v>7</v>
      </c>
      <c r="K84" s="2" t="n">
        <f aca="false">INDEX(Segmentation!$W$2:$W$301,MATCH($A84,Segmentation!$A$2:$A$301,0))</f>
        <v>4</v>
      </c>
      <c r="L84" s="9" t="n">
        <f aca="false">INDEX('Commercial View'!$L$2:$L$301,MATCH($A84,'Commercial View'!$A$2:$A$301,0))</f>
        <v>0</v>
      </c>
      <c r="M84" s="9" t="n">
        <f aca="false">INDEX('Commercial View'!$M$2:$M$301,MATCH($A84,'Commercial View'!$A$2:$A$301,0))</f>
        <v>359</v>
      </c>
      <c r="N84" s="9" t="n">
        <f aca="false">INDEX('Commercial View'!$N$2:$N$301,MATCH($A84,'Commercial View'!$A$2:$A$301,0))</f>
        <v>562</v>
      </c>
      <c r="O84" s="9" t="n">
        <f aca="false">INDEX(Segmentation!$L$2:$L$301,MATCH($A84,Segmentation!$A$2:$A$301,0))</f>
        <v>921</v>
      </c>
      <c r="P84" s="2" t="str">
        <f aca="false">IF(OR(M84&gt;0,N84&gt;0),"Recently Active",IF(OR(I84&lt;=Assumptions!$B$48,K84&lt;=Assumptions!$B$49),"No Meaningful History","Recent Inactivity"))</f>
        <v>Recently Active</v>
      </c>
      <c r="Q84" s="2" t="str">
        <f aca="false">INDEX(Segmentation!$AF$2:$AF$301,MATCH($A84,Segmentation!$A$2:$A$301,0))</f>
        <v>Existing Customer</v>
      </c>
      <c r="R84" s="2" t="str">
        <f aca="false">INDEX(Segmentation!$AL$2:$AL$301,MATCH($A84,Segmentation!$A$2:$A$301,0))</f>
        <v>N/A</v>
      </c>
      <c r="S84" s="10" t="b">
        <f aca="false">INDEX(Segmentation!$AW$2:$AW$301,MATCH($A84,Segmentation!$A$2:$A$301,0))</f>
        <v>1</v>
      </c>
      <c r="T84" s="2" t="str">
        <f aca="false">INDEX('Feature Data'!$AD$2:$AD$301,MATCH($A84,'Feature Data'!$A$2:$A$301,0))</f>
        <v>Independent browser-buyer</v>
      </c>
      <c r="U84" s="2" t="str">
        <f aca="false">INDEX('Feature Data'!$W$2:$W$301,MATCH($A84,'Feature Data'!$A$2:$A$301,0))</f>
        <v>Bundle-only</v>
      </c>
      <c r="V84" s="2" t="n">
        <f aca="false">INDEX('Feature Data'!$P$2:$P$301,MATCH($A84,'Feature Data'!$A$2:$A$301,0))</f>
        <v>371</v>
      </c>
      <c r="W84" s="2" t="n">
        <f aca="false">INDEX(Segmentation!$R$2:$R$301,MATCH($A84,Segmentation!$A$2:$A$301,0))</f>
        <v>49</v>
      </c>
      <c r="X84" s="2" t="n">
        <f aca="false">INDEX(Segmentation!$S$2:$S$301,MATCH($A84,Segmentation!$A$2:$A$301,0))</f>
        <v>14</v>
      </c>
      <c r="Y84" s="10" t="b">
        <f aca="false">INDEX(Segmentation!$AG$2:$AG$301,MATCH($A84,Segmentation!$A$2:$A$301,0))</f>
        <v>0</v>
      </c>
      <c r="Z84" s="2" t="str">
        <f aca="false">INDEX(Segmentation!$AU$2:$AU$301,MATCH($A84,Segmentation!$A$2:$A$301,0))</f>
        <v>Not Eligible</v>
      </c>
      <c r="AA84" s="10" t="b">
        <f aca="false">INDEX(Segmentation!$Z$2:$Z$301,MATCH($A84,Segmentation!$A$2:$A$301,0))</f>
        <v>0</v>
      </c>
      <c r="AB84" s="10" t="b">
        <f aca="false">INDEX(Segmentation!$AH$2:$AH$301,MATCH($A84,Segmentation!$A$2:$A$301,0))</f>
        <v>0</v>
      </c>
      <c r="AC84" s="10" t="b">
        <f aca="false">INDEX(Segmentation!$AK$2:$AK$301,MATCH($A84,Segmentation!$A$2:$A$301,0))</f>
        <v>0</v>
      </c>
      <c r="AD84" s="10" t="b">
        <f aca="false">INDEX(Segmentation!$AQ$2:$AQ$301,MATCH($A84,Segmentation!$A$2:$A$301,0))</f>
        <v>0</v>
      </c>
      <c r="AE84" s="10" t="b">
        <f aca="false">INDEX(Segmentation!$AT$2:$AT$301,MATCH($A84,Segmentation!$A$2:$A$301,0))</f>
        <v>0</v>
      </c>
      <c r="AF84" s="10" t="b">
        <f aca="false">INDEX(Segmentation!$X$2:$X$301,MATCH($A84,Segmentation!$A$2:$A$301,0))</f>
        <v>0</v>
      </c>
      <c r="AG84" s="10" t="b">
        <f aca="false">AND(F84="Low",V84&gt;=Assumptions!$B$71,X84&lt;Assumptions!$B$72)</f>
        <v>0</v>
      </c>
      <c r="AH84" s="10" t="b">
        <f aca="false">AND(F84="Low",OR(G84="Growing",G84="Stable"),P84="Recently Active",V84&gt;=Assumptions!$B$58,K84&gt;=Assumptions!$B$73)</f>
        <v>1</v>
      </c>
      <c r="AI84" s="17" t="n">
        <f aca="false">IF(O84&gt;0,MAX(L84:N84)/O84,"")</f>
        <v>0.610206297502715</v>
      </c>
      <c r="AJ84" s="2" t="str">
        <f aca="false">IF(LEFT(D84,1)="1",IF(E84="Key","MIGRATION_KEY_SIGNOFF",IF(Z84="Ready","MIGRATION_PHASE1_READY",IF(Z84="Manual Review","MIGRATION_PHASE1_REVIEW","MIGRATION_PRE_ENTRY"))),IF(LEFT(D84,1)="2","DECLINING_KEY_CORE",IF(LEFT(D84,1)="3",IF(R84="Established Buyer Lapsed","LAPSED_ESTABLISHED","LAPSED_THIN_HISTORY"),IF(LEFT(D84,1)="4",IF(Q84="New Customer","NEW_CUSTOMER","RETURNED_CUSTOMER"),IF(LEFT(D84,1)="5",IF(P84="Recently Active","COST_TO_SERVE_ACTIVE","DORMANT_LOW_VALUE"),IF(LEFT(D84,1)="6",IF(P84="Recent Inactivity","RECENT_INACTIVITY",IF(AG84,"BROWSING_LOW_OFFERS","HEALTHY_STRONG_SELF_SERVE")),IF(LEFT(D84,1)="7",IF(P84="Recent Inactivity","RECENT_INACTIVITY",IF(Q84="New Customer","NEW_CUSTOMER","RETURNED_CUSTOMER")),IF(LEFT(D84,1)="8",IF(G84="Declining",IF(T84="Engaged but shrinking (Key/Core)","ENGAGED_BUT_SHRINKING","DECLINING_KEY_CORE"),IF(R84="Established Buyer Lapsed","LAPSED_ESTABLISHED","LAPSED_THIN_HISTORY")),IF(S84,IF(P84&lt;&gt;"Recently Active","DORMANT_LOW_VALUE",IF(AG84,"BROWSING_LOW_OFFERS",IF(AH84,"RISING_TAIL","RISING_TAIL_EARLY"))),IF(AND(AG84,P84="Recently Active",OR(G84="Growing",G84="Stable",G84="H2 Active / No H1 GMV"),I84&gt;=Assumptions!$B$74),"BROWSING_LOW_OFFERS","LONG_TAIL_STANDARD"))))))))))</f>
        <v>RISING_TAIL</v>
      </c>
      <c r="AK84" s="2" t="str">
        <f aca="false">INDEX('NBA Library'!$B$4:$B$21,MATCH(AJ84,'NBA Library'!$A$4:$A$21,0))</f>
        <v>Reinforce Successful Behaviour</v>
      </c>
      <c r="AL84" s="2" t="str">
        <f aca="false">INDEX('NBA Library'!$C$4:$C$21,MATCH(AJ84,'NBA Library'!$A$4:$A$21,0))</f>
        <v>Automated</v>
      </c>
      <c r="AM84" s="2" t="str">
        <f aca="false">IF(AA84,"HOLD — Critical Data Issue",IF(Y84,"Human Sign-Off Required",IF(Z84="Manual Review","Human Review Required",IF(AND(AL84="Automated",OR(AE84,AND(OR(AK84="Discovery-to-Offer Enablement",AK84="Reinforce Successful Behaviour"),OR(AC84,AB84)))),"Human Review Required",IF(AL84="Human","Ready — Human",IF(AL84="Hybrid","Ready — Hybrid","Ready — Automated"))))))</f>
        <v>Ready — Automated</v>
      </c>
      <c r="AN84" s="2" t="str">
        <f aca="false">IF(AA84,"P0",IF(AND(AJ84="BROWSING_LOW_OFFERS",E84="Tail"),"P3",IF(AND(AM84="Human Review Required",INDEX('NBA Library'!$D$4:$D$21,MATCH(AJ84,'NBA Library'!$A$4:$A$21,0))="P4"),"P3",INDEX('NBA Library'!$D$4:$D$21,MATCH(AJ84,'NBA Library'!$A$4:$A$21,0)))))</f>
        <v>P3</v>
      </c>
      <c r="AO84" s="2" t="str">
        <f aca="false">E84&amp;" "&amp;C84&amp;" account ("&amp;B84&amp;"); "&amp;G84&amp;" momentum; "&amp;P84&amp;"; £"&amp;TEXT(H84,"#,##0")&amp;" 6m GMV. "&amp;INDEX('NBA Library'!$G$4:$G$21,MATCH(AJ84,'NBA Library'!$A$4:$A$21,0))&amp;IF(LEFT(D84,1)="1"," Baseline: "&amp;V84&amp;" PDP views, "&amp;W84&amp;" app days, "&amp;X84&amp;" offers, "&amp;TEXT(J84/I84,"0%")&amp;" of orders self-serve.","")&amp;IF(AA84," Execution on HOLD until the Duplicate status is resolved.","")&amp;IF(Y84," Key account: explicit AM/leadership sign-off required before any migration activity.","")&amp;IF(AE84," Implied broker % from order counts would move this account to a different segment; review before automating.","")</f>
        <v>Tail AM-Owned / Self-Serving account (Account Managed); Growing momentum; Recently Active; £1,217 6m GMV. Tail account on the Rising Tail watchlist with an established, recent self-serve pattern.</v>
      </c>
      <c r="AP84" s="2" t="str">
        <f aca="false">INDEX('NBA Library'!$E$4:$E$21,MATCH(AJ84,'NBA Library'!$A$4:$A$21,0))&amp;IF(AND(AJ84="NEW_CUSTOMER",AG84),"; introduce Make-an-Offer on items already browsed","")</f>
        <v>Maintain current browsing and purchasing; light-touch reinforcement</v>
      </c>
      <c r="AQ84" s="2" t="str">
        <f aca="false">INDEX('NBA Library'!$F$4:$F$21,MATCH(AJ84,'NBA Library'!$A$4:$A$21,0))</f>
        <v>Continued monthly purchasing; crosses £2k Core line within 6 months</v>
      </c>
      <c r="AR84" s="2" t="str">
        <f aca="false">IF(AND(F84="Low",OR(G84="Growing",G84="Stable"),P84="Recently Active",U84&lt;&gt;"Mixed",OR(AK84="Discovery-to-Offer Enablement",AK84="Reinforce Successful Behaviour"),AM84="Ready — Automated",OR(E84&lt;&gt;"Tail",S84)),"Range Expansion Test — trial "&amp;IF(U84="Bundle-only","handpick","bundles")&amp;" (experimental; not proven to lift GMV)","")</f>
        <v>Range Expansion Test — trial handpick (experimental; not proven to lift GMV)</v>
      </c>
      <c r="AS84" s="2" t="str">
        <f aca="false">IF(AK84&lt;&gt;"Automated Nurture","",IF(AJ84="DORMANT_LOW_VALUE","Dormant",IF(AJ84="RISING_TAIL_EARLY","Rising tail – early pattern",IF(Q84="New Customer","New customer onboarding",IF(Q84="Returned Customer","Returned customer",IF(G84="Lapsed","Dormant",IF(T84="Engaged, not converting","Engaged, not converting",IF(T84="One-off low-touch buyer","One-off purchaser",IF(T84="Light-touch repeat buyer","Light-touch repeat buyer","Standard long tail")))))))))</f>
        <v/>
      </c>
      <c r="AT84" s="2" t="str">
        <f aca="false">IF(AA84,"CRITICAL_DATA_BLOCKER; ","")&amp;IF(Y84,"KEY_SIGNOFF; ","")&amp;IF(Z84="Manual Review","PHASE1_MANUAL_REVIEW; ","")&amp;IF(AND(LEFT(D84,1)="1",AZ84="Lumpy"),"LUMPY_CADENCE; ","")&amp;IF(AB84,"BORDERLINE_MOMENTUM; ","")&amp;IF(AC84,"FEB_SENSITIVE; ","")&amp;IF(AD84,"MATERIAL_BROKER_INCONSISTENCY"&amp;IF(AE84," (segment would change)","")&amp;"; ","")&amp;IF(AND(I84&gt;=3,O84&gt;0),IF(AI84&gt;=Assumptions!$B$75,"H2_SINGLE_MONTH_SPIKE; ",""),"")&amp;IF(AND(M84&gt;0,N84=0),"NO_FEB_GMV (Feb unconfirmed); ","")&amp;IF(AF84,"LOW_CONFIDENCE; ","")</f>
        <v/>
      </c>
      <c r="AU84" s="2" t="str">
        <f aca="false">IF(LEFT(D84,1)="1",V84,"")</f>
        <v/>
      </c>
      <c r="AV84" s="2" t="str">
        <f aca="false">IF(LEFT(D84,1)="1",V84&gt;=Assumptions!$B$58,"")</f>
        <v/>
      </c>
      <c r="AW84" s="2" t="str">
        <f aca="false">IF(LEFT(D84,1)="1",W84,"")</f>
        <v/>
      </c>
      <c r="AX84" s="2" t="str">
        <f aca="false">IF(LEFT(D84,1)="1",X84,"")</f>
        <v/>
      </c>
      <c r="AY84" s="17" t="str">
        <f aca="false">IF(LEFT(D84,1)="1",J84/I84,"")</f>
        <v/>
      </c>
      <c r="AZ84" s="2" t="str">
        <f aca="false">IF(LEFT(D84,1)="1",IF(AND(K84&gt;=Assumptions!$B$83,I84&gt;=Assumptions!$B$84),"Regular","Lumpy"),"")</f>
        <v/>
      </c>
      <c r="BA84" s="2" t="str">
        <f aca="false">IF(LEFT(D84,1)="1",ROUND(6/K84,0),"")</f>
        <v/>
      </c>
      <c r="BB84" s="2" t="str">
        <f aca="false">IF(LEFT(D84,1)="1",IF(AZ84="Regular","Regular buyer: expected ~£"&amp;TEXT(H84/2,"#,##0")&amp;" per 90 days. At Risk if GMV to date &lt; "&amp;TEXT(Assumptions!$B$81,"0%")&amp;" of pro-rated expectation, checked from day "&amp;Assumptions!$B$82&amp;". Human-reviewed.","Irregular buyer ("&amp;I84&amp;" orders across "&amp;K84&amp;" months): no numeric GMV threshold. At Risk if no order within ~"&amp;BA84&amp;" month(s); AM reviews at day "&amp;Assumptions!$B$82&amp;" and "&amp;Assumptions!$B$85&amp;"."),"")</f>
        <v/>
      </c>
      <c r="BC84" s="2"/>
      <c r="BD84" s="2"/>
      <c r="BE84" s="2"/>
      <c r="BF84" s="2"/>
      <c r="BG84" s="2"/>
      <c r="BH84" s="2"/>
      <c r="BI84" s="2"/>
      <c r="BJ84" s="2" t="str">
        <f aca="false">IF(OR(NOT(LEFT(D84,1)="1"),BC84=""),"",IF(AZ84="Regular",AND(BC84&gt;=Assumptions!$B$82,N(BI84)&lt;Assumptions!$B$81*H84/180*BC84),AND(BC84&gt;=BA84*30,N(BG84)=0)))</f>
        <v/>
      </c>
      <c r="BK84" s="2" t="str">
        <f aca="false">IF(NOT(LEFT(D84,1)="1"),"N/A",IF(BC84="","Baseline",IF(BJ84,"At Risk",IF(AND(N(BD84)&gt;=Assumptions!$B$78,N(BE84)&gt;=Assumptions!$B$79,N(BH84)&gt;=1,N(BH84)/MAX(N(BG84),1)&gt;AY84),"Self-Serve Capability Demonstrated",IF(OR(N(BD84)&gt;=Assumptions!$B$76,N(BE84)&gt;=Assumptions!$B$77),"Progressing",IF(BC84&gt;=Assumptions!$B$85,"At Risk","Baseline"))))))</f>
        <v>N/A</v>
      </c>
      <c r="BL84" s="2" t="n">
        <f aca="false">(AND(C84="Broker-Reliant",OR(AK84="Discovery-to-Offer Enablement",AK84="Reinforce Successful Behaviour")))*1+(AND(G84="Declining",E84&lt;&gt;"Tail",AL84="Automated"))*1+(AND(Y84,AM84&lt;&gt;"Human Sign-Off Required"))*1+(AND(AA84,AM84&lt;&gt;"HOLD — Critical Data Issue"))*1+(AND(P84="Recent Inactivity",OR(AK84="Discovery-to-Offer Enablement",AK84="Reinforce Successful Behaviour")))*1+(AND(OR(LEFT(D84,1)="2",LEFT(D84,1)="3",LEFT(D84,1)="8"),AL84="Automated"))*1+((LEFT(D84,1)="1")&lt;&gt;(AK84="Guided Self-Serve Migration"))*1+(AND(AR84&lt;&gt;"",OR(F84&lt;&gt;"Low",U84="Mixed",AND(G84&lt;&gt;"Growing",G84&lt;&gt;"Stable"))))*1+ISNUMBER(SEARCH("chat",AP84))*1+ISNUMBER(SEARCH("video",AP84))*1+(AND(AA84,AL84="Automated",AM84&lt;&gt;"HOLD — Critical Data Issue"))*1</f>
        <v>0</v>
      </c>
    </row>
    <row r="85" customFormat="false" ht="15" hidden="false" customHeight="false" outlineLevel="0" collapsed="false">
      <c r="A85" s="2" t="s">
        <v>603</v>
      </c>
      <c r="B85" s="2" t="str">
        <f aca="false">INDEX(Segmentation!$B$2:$B$301,MATCH($A85,Segmentation!$A$2:$A$301,0))</f>
        <v>Account Managed</v>
      </c>
      <c r="C85" s="2" t="str">
        <f aca="false">INDEX(Segmentation!$H$2:$H$301,MATCH($A85,Segmentation!$A$2:$A$301,0))</f>
        <v>AM-Owned / Self-Serving</v>
      </c>
      <c r="D85" s="2" t="str">
        <f aca="false">INDEX(Segmentation!$T$2:$T$301,MATCH($A85,Segmentation!$A$2:$A$301,0))</f>
        <v>9. Long-Tail Automated Nurture</v>
      </c>
      <c r="E85" s="2" t="str">
        <f aca="false">INDEX(Segmentation!$J$2:$J$301,MATCH($A85,Segmentation!$A$2:$A$301,0))</f>
        <v>Tail</v>
      </c>
      <c r="F85" s="2" t="str">
        <f aca="false">INDEX(Segmentation!$G$2:$G$301,MATCH($A85,Segmentation!$A$2:$A$301,0))</f>
        <v>Low</v>
      </c>
      <c r="G85" s="2" t="str">
        <f aca="false">INDEX(Segmentation!$N$2:$N$301,MATCH($A85,Segmentation!$A$2:$A$301,0))</f>
        <v>Lapsed</v>
      </c>
      <c r="H85" s="9" t="n">
        <f aca="false">INDEX(Segmentation!$I$2:$I$301,MATCH($A85,Segmentation!$A$2:$A$301,0))</f>
        <v>1185</v>
      </c>
      <c r="I85" s="2" t="n">
        <f aca="false">INDEX(Segmentation!$O$2:$O$301,MATCH($A85,Segmentation!$A$2:$A$301,0))</f>
        <v>2</v>
      </c>
      <c r="J85" s="2" t="n">
        <f aca="false">INDEX(Segmentation!$Q$2:$Q$301,MATCH($A85,Segmentation!$A$2:$A$301,0))</f>
        <v>2</v>
      </c>
      <c r="K85" s="2" t="n">
        <f aca="false">INDEX(Segmentation!$W$2:$W$301,MATCH($A85,Segmentation!$A$2:$A$301,0))</f>
        <v>2</v>
      </c>
      <c r="L85" s="9" t="n">
        <f aca="false">INDEX('Commercial View'!$L$2:$L$301,MATCH($A85,'Commercial View'!$A$2:$A$301,0))</f>
        <v>0</v>
      </c>
      <c r="M85" s="9" t="n">
        <f aca="false">INDEX('Commercial View'!$M$2:$M$301,MATCH($A85,'Commercial View'!$A$2:$A$301,0))</f>
        <v>0</v>
      </c>
      <c r="N85" s="9" t="n">
        <f aca="false">INDEX('Commercial View'!$N$2:$N$301,MATCH($A85,'Commercial View'!$A$2:$A$301,0))</f>
        <v>0</v>
      </c>
      <c r="O85" s="9" t="n">
        <f aca="false">INDEX(Segmentation!$L$2:$L$301,MATCH($A85,Segmentation!$A$2:$A$301,0))</f>
        <v>0</v>
      </c>
      <c r="P85" s="2" t="str">
        <f aca="false">IF(OR(M85&gt;0,N85&gt;0),"Recently Active",IF(OR(I85&lt;=Assumptions!$B$48,K85&lt;=Assumptions!$B$49),"No Meaningful History","Recent Inactivity"))</f>
        <v>No Meaningful History</v>
      </c>
      <c r="Q85" s="2" t="str">
        <f aca="false">INDEX(Segmentation!$AF$2:$AF$301,MATCH($A85,Segmentation!$A$2:$A$301,0))</f>
        <v>Existing Customer</v>
      </c>
      <c r="R85" s="2" t="str">
        <f aca="false">INDEX(Segmentation!$AL$2:$AL$301,MATCH($A85,Segmentation!$A$2:$A$301,0))</f>
        <v>One-Off / Insufficient History — Verify</v>
      </c>
      <c r="S85" s="10" t="b">
        <f aca="false">INDEX(Segmentation!$AW$2:$AW$301,MATCH($A85,Segmentation!$A$2:$A$301,0))</f>
        <v>0</v>
      </c>
      <c r="T85" s="2" t="str">
        <f aca="false">INDEX('Feature Data'!$AD$2:$AD$301,MATCH($A85,'Feature Data'!$A$2:$A$301,0))</f>
        <v>Engaged, not converting</v>
      </c>
      <c r="U85" s="2" t="str">
        <f aca="false">INDEX('Feature Data'!$W$2:$W$301,MATCH($A85,'Feature Data'!$A$2:$A$301,0))</f>
        <v>Bundle-only</v>
      </c>
      <c r="V85" s="2" t="n">
        <f aca="false">INDEX('Feature Data'!$P$2:$P$301,MATCH($A85,'Feature Data'!$A$2:$A$301,0))</f>
        <v>63</v>
      </c>
      <c r="W85" s="2" t="n">
        <f aca="false">INDEX(Segmentation!$R$2:$R$301,MATCH($A85,Segmentation!$A$2:$A$301,0))</f>
        <v>20</v>
      </c>
      <c r="X85" s="2" t="n">
        <f aca="false">INDEX(Segmentation!$S$2:$S$301,MATCH($A85,Segmentation!$A$2:$A$301,0))</f>
        <v>0</v>
      </c>
      <c r="Y85" s="10" t="b">
        <f aca="false">INDEX(Segmentation!$AG$2:$AG$301,MATCH($A85,Segmentation!$A$2:$A$301,0))</f>
        <v>0</v>
      </c>
      <c r="Z85" s="2" t="str">
        <f aca="false">INDEX(Segmentation!$AU$2:$AU$301,MATCH($A85,Segmentation!$A$2:$A$301,0))</f>
        <v>Not Eligible</v>
      </c>
      <c r="AA85" s="10" t="b">
        <f aca="false">INDEX(Segmentation!$Z$2:$Z$301,MATCH($A85,Segmentation!$A$2:$A$301,0))</f>
        <v>0</v>
      </c>
      <c r="AB85" s="10" t="b">
        <f aca="false">INDEX(Segmentation!$AH$2:$AH$301,MATCH($A85,Segmentation!$A$2:$A$301,0))</f>
        <v>0</v>
      </c>
      <c r="AC85" s="10" t="b">
        <f aca="false">INDEX(Segmentation!$AK$2:$AK$301,MATCH($A85,Segmentation!$A$2:$A$301,0))</f>
        <v>0</v>
      </c>
      <c r="AD85" s="10" t="b">
        <f aca="false">INDEX(Segmentation!$AQ$2:$AQ$301,MATCH($A85,Segmentation!$A$2:$A$301,0))</f>
        <v>0</v>
      </c>
      <c r="AE85" s="10" t="b">
        <f aca="false">INDEX(Segmentation!$AT$2:$AT$301,MATCH($A85,Segmentation!$A$2:$A$301,0))</f>
        <v>0</v>
      </c>
      <c r="AF85" s="10" t="b">
        <f aca="false">INDEX(Segmentation!$X$2:$X$301,MATCH($A85,Segmentation!$A$2:$A$301,0))</f>
        <v>1</v>
      </c>
      <c r="AG85" s="10" t="b">
        <f aca="false">AND(F85="Low",V85&gt;=Assumptions!$B$71,X85&lt;Assumptions!$B$72)</f>
        <v>1</v>
      </c>
      <c r="AH85" s="10" t="b">
        <f aca="false">AND(F85="Low",OR(G85="Growing",G85="Stable"),P85="Recently Active",V85&gt;=Assumptions!$B$58,K85&gt;=Assumptions!$B$73)</f>
        <v>0</v>
      </c>
      <c r="AI85" s="17" t="str">
        <f aca="false">IF(O85&gt;0,MAX(L85:N85)/O85,"")</f>
        <v/>
      </c>
      <c r="AJ85" s="2" t="str">
        <f aca="false">IF(LEFT(D85,1)="1",IF(E85="Key","MIGRATION_KEY_SIGNOFF",IF(Z85="Ready","MIGRATION_PHASE1_READY",IF(Z85="Manual Review","MIGRATION_PHASE1_REVIEW","MIGRATION_PRE_ENTRY"))),IF(LEFT(D85,1)="2","DECLINING_KEY_CORE",IF(LEFT(D85,1)="3",IF(R85="Established Buyer Lapsed","LAPSED_ESTABLISHED","LAPSED_THIN_HISTORY"),IF(LEFT(D85,1)="4",IF(Q85="New Customer","NEW_CUSTOMER","RETURNED_CUSTOMER"),IF(LEFT(D85,1)="5",IF(P85="Recently Active","COST_TO_SERVE_ACTIVE","DORMANT_LOW_VALUE"),IF(LEFT(D85,1)="6",IF(P85="Recent Inactivity","RECENT_INACTIVITY",IF(AG85,"BROWSING_LOW_OFFERS","HEALTHY_STRONG_SELF_SERVE")),IF(LEFT(D85,1)="7",IF(P85="Recent Inactivity","RECENT_INACTIVITY",IF(Q85="New Customer","NEW_CUSTOMER","RETURNED_CUSTOMER")),IF(LEFT(D85,1)="8",IF(G85="Declining",IF(T85="Engaged but shrinking (Key/Core)","ENGAGED_BUT_SHRINKING","DECLINING_KEY_CORE"),IF(R85="Established Buyer Lapsed","LAPSED_ESTABLISHED","LAPSED_THIN_HISTORY")),IF(S85,IF(P85&lt;&gt;"Recently Active","DORMANT_LOW_VALUE",IF(AG85,"BROWSING_LOW_OFFERS",IF(AH85,"RISING_TAIL","RISING_TAIL_EARLY"))),IF(AND(AG85,P85="Recently Active",OR(G85="Growing",G85="Stable",G85="H2 Active / No H1 GMV"),I85&gt;=Assumptions!$B$74),"BROWSING_LOW_OFFERS","LONG_TAIL_STANDARD"))))))))))</f>
        <v>LONG_TAIL_STANDARD</v>
      </c>
      <c r="AK85" s="2" t="str">
        <f aca="false">INDEX('NBA Library'!$B$4:$B$21,MATCH(AJ85,'NBA Library'!$A$4:$A$21,0))</f>
        <v>Automated Nurture</v>
      </c>
      <c r="AL85" s="2" t="str">
        <f aca="false">INDEX('NBA Library'!$C$4:$C$21,MATCH(AJ85,'NBA Library'!$A$4:$A$21,0))</f>
        <v>Automated</v>
      </c>
      <c r="AM85" s="2" t="str">
        <f aca="false">IF(AA85,"HOLD — Critical Data Issue",IF(Y85,"Human Sign-Off Required",IF(Z85="Manual Review","Human Review Required",IF(AND(AL85="Automated",OR(AE85,AND(OR(AK85="Discovery-to-Offer Enablement",AK85="Reinforce Successful Behaviour"),OR(AC85,AB85)))),"Human Review Required",IF(AL85="Human","Ready — Human",IF(AL85="Hybrid","Ready — Hybrid","Ready — Automated"))))))</f>
        <v>Ready — Automated</v>
      </c>
      <c r="AN85" s="2" t="str">
        <f aca="false">IF(AA85,"P0",IF(AND(AJ85="BROWSING_LOW_OFFERS",E85="Tail"),"P3",IF(AND(AM85="Human Review Required",INDEX('NBA Library'!$D$4:$D$21,MATCH(AJ85,'NBA Library'!$A$4:$A$21,0))="P4"),"P3",INDEX('NBA Library'!$D$4:$D$21,MATCH(AJ85,'NBA Library'!$A$4:$A$21,0)))))</f>
        <v>P4</v>
      </c>
      <c r="AO85" s="2" t="str">
        <f aca="false">E85&amp;" "&amp;C85&amp;" account ("&amp;B85&amp;"); "&amp;G85&amp;" momentum; "&amp;P85&amp;"; £"&amp;TEXT(H85,"#,##0")&amp;" 6m GMV. "&amp;INDEX('NBA Library'!$G$4:$G$21,MATCH(AJ85,'NBA Library'!$A$4:$A$21,0))&amp;IF(LEFT(D85,1)="1"," Baseline: "&amp;V85&amp;" PDP views, "&amp;W85&amp;" app days, "&amp;X85&amp;" offers, "&amp;TEXT(J85/I85,"0%")&amp;" of orders self-serve.","")&amp;IF(AA85," Execution on HOLD until the Duplicate status is resolved.","")&amp;IF(Y85," Key account: explicit AM/leadership sign-off required before any migration activity.","")&amp;IF(AE85," Implied broker % from order counts would move this account to a different segment; review before automating.","")</f>
        <v>Tail AM-Owned / Self-Serving account (Account Managed); Lapsed momentum; No Meaningful History; £1,185 6m GMV. Low-value, low-dependency account. Scalable automated engagement.</v>
      </c>
      <c r="AP85" s="2" t="str">
        <f aca="false">INDEX('NBA Library'!$E$4:$E$21,MATCH(AJ85,'NBA Library'!$A$4:$A$21,0))&amp;IF(AND(AJ85="NEW_CUSTOMER",AG85),"; introduce Make-an-Offer on items already browsed","")</f>
        <v>Scalable automated engagement matched to nurture sub-context</v>
      </c>
      <c r="AQ85" s="2" t="str">
        <f aca="false">INDEX('NBA Library'!$F$4:$F$21,MATCH(AJ85,'NBA Library'!$A$4:$A$21,0))</f>
        <v>Any repeat order within 90 days</v>
      </c>
      <c r="AR85" s="2" t="str">
        <f aca="false">IF(AND(F85="Low",OR(G85="Growing",G85="Stable"),P85="Recently Active",U85&lt;&gt;"Mixed",OR(AK85="Discovery-to-Offer Enablement",AK85="Reinforce Successful Behaviour"),AM85="Ready — Automated",OR(E85&lt;&gt;"Tail",S85)),"Range Expansion Test — trial "&amp;IF(U85="Bundle-only","handpick","bundles")&amp;" (experimental; not proven to lift GMV)","")</f>
        <v/>
      </c>
      <c r="AS85" s="2" t="str">
        <f aca="false">IF(AK85&lt;&gt;"Automated Nurture","",IF(AJ85="DORMANT_LOW_VALUE","Dormant",IF(AJ85="RISING_TAIL_EARLY","Rising tail – early pattern",IF(Q85="New Customer","New customer onboarding",IF(Q85="Returned Customer","Returned customer",IF(G85="Lapsed","Dormant",IF(T85="Engaged, not converting","Engaged, not converting",IF(T85="One-off low-touch buyer","One-off purchaser",IF(T85="Light-touch repeat buyer","Light-touch repeat buyer","Standard long tail")))))))))</f>
        <v>Dormant</v>
      </c>
      <c r="AT85" s="2" t="str">
        <f aca="false">IF(AA85,"CRITICAL_DATA_BLOCKER; ","")&amp;IF(Y85,"KEY_SIGNOFF; ","")&amp;IF(Z85="Manual Review","PHASE1_MANUAL_REVIEW; ","")&amp;IF(AND(LEFT(D85,1)="1",AZ85="Lumpy"),"LUMPY_CADENCE; ","")&amp;IF(AB85,"BORDERLINE_MOMENTUM; ","")&amp;IF(AC85,"FEB_SENSITIVE; ","")&amp;IF(AD85,"MATERIAL_BROKER_INCONSISTENCY"&amp;IF(AE85," (segment would change)","")&amp;"; ","")&amp;IF(AND(I85&gt;=3,O85&gt;0),IF(AI85&gt;=Assumptions!$B$75,"H2_SINGLE_MONTH_SPIKE; ",""),"")&amp;IF(AND(M85&gt;0,N85=0),"NO_FEB_GMV (Feb unconfirmed); ","")&amp;IF(AF85,"LOW_CONFIDENCE; ","")</f>
        <v>LOW_CONFIDENCE; </v>
      </c>
      <c r="AU85" s="2" t="str">
        <f aca="false">IF(LEFT(D85,1)="1",V85,"")</f>
        <v/>
      </c>
      <c r="AV85" s="2" t="str">
        <f aca="false">IF(LEFT(D85,1)="1",V85&gt;=Assumptions!$B$58,"")</f>
        <v/>
      </c>
      <c r="AW85" s="2" t="str">
        <f aca="false">IF(LEFT(D85,1)="1",W85,"")</f>
        <v/>
      </c>
      <c r="AX85" s="2" t="str">
        <f aca="false">IF(LEFT(D85,1)="1",X85,"")</f>
        <v/>
      </c>
      <c r="AY85" s="17" t="str">
        <f aca="false">IF(LEFT(D85,1)="1",J85/I85,"")</f>
        <v/>
      </c>
      <c r="AZ85" s="2" t="str">
        <f aca="false">IF(LEFT(D85,1)="1",IF(AND(K85&gt;=Assumptions!$B$83,I85&gt;=Assumptions!$B$84),"Regular","Lumpy"),"")</f>
        <v/>
      </c>
      <c r="BA85" s="2" t="str">
        <f aca="false">IF(LEFT(D85,1)="1",ROUND(6/K85,0),"")</f>
        <v/>
      </c>
      <c r="BB85" s="2" t="str">
        <f aca="false">IF(LEFT(D85,1)="1",IF(AZ85="Regular","Regular buyer: expected ~£"&amp;TEXT(H85/2,"#,##0")&amp;" per 90 days. At Risk if GMV to date &lt; "&amp;TEXT(Assumptions!$B$81,"0%")&amp;" of pro-rated expectation, checked from day "&amp;Assumptions!$B$82&amp;". Human-reviewed.","Irregular buyer ("&amp;I85&amp;" orders across "&amp;K85&amp;" months): no numeric GMV threshold. At Risk if no order within ~"&amp;BA85&amp;" month(s); AM reviews at day "&amp;Assumptions!$B$82&amp;" and "&amp;Assumptions!$B$85&amp;"."),"")</f>
        <v/>
      </c>
      <c r="BC85" s="2"/>
      <c r="BD85" s="2"/>
      <c r="BE85" s="2"/>
      <c r="BF85" s="2"/>
      <c r="BG85" s="2"/>
      <c r="BH85" s="2"/>
      <c r="BI85" s="2"/>
      <c r="BJ85" s="2" t="str">
        <f aca="false">IF(OR(NOT(LEFT(D85,1)="1"),BC85=""),"",IF(AZ85="Regular",AND(BC85&gt;=Assumptions!$B$82,N(BI85)&lt;Assumptions!$B$81*H85/180*BC85),AND(BC85&gt;=BA85*30,N(BG85)=0)))</f>
        <v/>
      </c>
      <c r="BK85" s="2" t="str">
        <f aca="false">IF(NOT(LEFT(D85,1)="1"),"N/A",IF(BC85="","Baseline",IF(BJ85,"At Risk",IF(AND(N(BD85)&gt;=Assumptions!$B$78,N(BE85)&gt;=Assumptions!$B$79,N(BH85)&gt;=1,N(BH85)/MAX(N(BG85),1)&gt;AY85),"Self-Serve Capability Demonstrated",IF(OR(N(BD85)&gt;=Assumptions!$B$76,N(BE85)&gt;=Assumptions!$B$77),"Progressing",IF(BC85&gt;=Assumptions!$B$85,"At Risk","Baseline"))))))</f>
        <v>N/A</v>
      </c>
      <c r="BL85" s="2" t="n">
        <f aca="false">(AND(C85="Broker-Reliant",OR(AK85="Discovery-to-Offer Enablement",AK85="Reinforce Successful Behaviour")))*1+(AND(G85="Declining",E85&lt;&gt;"Tail",AL85="Automated"))*1+(AND(Y85,AM85&lt;&gt;"Human Sign-Off Required"))*1+(AND(AA85,AM85&lt;&gt;"HOLD — Critical Data Issue"))*1+(AND(P85="Recent Inactivity",OR(AK85="Discovery-to-Offer Enablement",AK85="Reinforce Successful Behaviour")))*1+(AND(OR(LEFT(D85,1)="2",LEFT(D85,1)="3",LEFT(D85,1)="8"),AL85="Automated"))*1+((LEFT(D85,1)="1")&lt;&gt;(AK85="Guided Self-Serve Migration"))*1+(AND(AR85&lt;&gt;"",OR(F85&lt;&gt;"Low",U85="Mixed",AND(G85&lt;&gt;"Growing",G85&lt;&gt;"Stable"))))*1+ISNUMBER(SEARCH("chat",AP85))*1+ISNUMBER(SEARCH("video",AP85))*1+(AND(AA85,AL85="Automated",AM85&lt;&gt;"HOLD — Critical Data Issue"))*1</f>
        <v>0</v>
      </c>
    </row>
    <row r="86" customFormat="false" ht="15" hidden="false" customHeight="false" outlineLevel="0" collapsed="false">
      <c r="A86" s="2" t="s">
        <v>539</v>
      </c>
      <c r="B86" s="2" t="str">
        <f aca="false">INDEX(Segmentation!$B$2:$B$301,MATCH($A86,Segmentation!$A$2:$A$301,0))</f>
        <v>Account Managed</v>
      </c>
      <c r="C86" s="2" t="str">
        <f aca="false">INDEX(Segmentation!$H$2:$H$301,MATCH($A86,Segmentation!$A$2:$A$301,0))</f>
        <v>AM-Owned / Self-Serving</v>
      </c>
      <c r="D86" s="2" t="str">
        <f aca="false">INDEX(Segmentation!$T$2:$T$301,MATCH($A86,Segmentation!$A$2:$A$301,0))</f>
        <v>9. Long-Tail Automated Nurture</v>
      </c>
      <c r="E86" s="2" t="str">
        <f aca="false">INDEX(Segmentation!$J$2:$J$301,MATCH($A86,Segmentation!$A$2:$A$301,0))</f>
        <v>Tail</v>
      </c>
      <c r="F86" s="2" t="str">
        <f aca="false">INDEX(Segmentation!$G$2:$G$301,MATCH($A86,Segmentation!$A$2:$A$301,0))</f>
        <v>Low</v>
      </c>
      <c r="G86" s="2" t="str">
        <f aca="false">INDEX(Segmentation!$N$2:$N$301,MATCH($A86,Segmentation!$A$2:$A$301,0))</f>
        <v>Growing</v>
      </c>
      <c r="H86" s="9" t="n">
        <f aca="false">INDEX(Segmentation!$I$2:$I$301,MATCH($A86,Segmentation!$A$2:$A$301,0))</f>
        <v>1166</v>
      </c>
      <c r="I86" s="2" t="n">
        <f aca="false">INDEX(Segmentation!$O$2:$O$301,MATCH($A86,Segmentation!$A$2:$A$301,0))</f>
        <v>4</v>
      </c>
      <c r="J86" s="2" t="n">
        <f aca="false">INDEX(Segmentation!$Q$2:$Q$301,MATCH($A86,Segmentation!$A$2:$A$301,0))</f>
        <v>4</v>
      </c>
      <c r="K86" s="2" t="n">
        <f aca="false">INDEX(Segmentation!$W$2:$W$301,MATCH($A86,Segmentation!$A$2:$A$301,0))</f>
        <v>4</v>
      </c>
      <c r="L86" s="9" t="n">
        <f aca="false">INDEX('Commercial View'!$L$2:$L$301,MATCH($A86,'Commercial View'!$A$2:$A$301,0))</f>
        <v>573</v>
      </c>
      <c r="M86" s="9" t="n">
        <f aca="false">INDEX('Commercial View'!$M$2:$M$301,MATCH($A86,'Commercial View'!$A$2:$A$301,0))</f>
        <v>0</v>
      </c>
      <c r="N86" s="9" t="n">
        <f aca="false">INDEX('Commercial View'!$N$2:$N$301,MATCH($A86,'Commercial View'!$A$2:$A$301,0))</f>
        <v>191</v>
      </c>
      <c r="O86" s="9" t="n">
        <f aca="false">INDEX(Segmentation!$L$2:$L$301,MATCH($A86,Segmentation!$A$2:$A$301,0))</f>
        <v>764</v>
      </c>
      <c r="P86" s="2" t="str">
        <f aca="false">IF(OR(M86&gt;0,N86&gt;0),"Recently Active",IF(OR(I86&lt;=Assumptions!$B$48,K86&lt;=Assumptions!$B$49),"No Meaningful History","Recent Inactivity"))</f>
        <v>Recently Active</v>
      </c>
      <c r="Q86" s="2" t="str">
        <f aca="false">INDEX(Segmentation!$AF$2:$AF$301,MATCH($A86,Segmentation!$A$2:$A$301,0))</f>
        <v>Existing Customer</v>
      </c>
      <c r="R86" s="2" t="str">
        <f aca="false">INDEX(Segmentation!$AL$2:$AL$301,MATCH($A86,Segmentation!$A$2:$A$301,0))</f>
        <v>N/A</v>
      </c>
      <c r="S86" s="10" t="b">
        <f aca="false">INDEX(Segmentation!$AW$2:$AW$301,MATCH($A86,Segmentation!$A$2:$A$301,0))</f>
        <v>1</v>
      </c>
      <c r="T86" s="2" t="str">
        <f aca="false">INDEX('Feature Data'!$AD$2:$AD$301,MATCH($A86,'Feature Data'!$A$2:$A$301,0))</f>
        <v>Light-touch repeat buyer</v>
      </c>
      <c r="U86" s="2" t="str">
        <f aca="false">INDEX('Feature Data'!$W$2:$W$301,MATCH($A86,'Feature Data'!$A$2:$A$301,0))</f>
        <v>Bundle-only</v>
      </c>
      <c r="V86" s="2" t="n">
        <f aca="false">INDEX('Feature Data'!$P$2:$P$301,MATCH($A86,'Feature Data'!$A$2:$A$301,0))</f>
        <v>95</v>
      </c>
      <c r="W86" s="2" t="n">
        <f aca="false">INDEX(Segmentation!$R$2:$R$301,MATCH($A86,Segmentation!$A$2:$A$301,0))</f>
        <v>18</v>
      </c>
      <c r="X86" s="2" t="n">
        <f aca="false">INDEX(Segmentation!$S$2:$S$301,MATCH($A86,Segmentation!$A$2:$A$301,0))</f>
        <v>5</v>
      </c>
      <c r="Y86" s="10" t="b">
        <f aca="false">INDEX(Segmentation!$AG$2:$AG$301,MATCH($A86,Segmentation!$A$2:$A$301,0))</f>
        <v>0</v>
      </c>
      <c r="Z86" s="2" t="str">
        <f aca="false">INDEX(Segmentation!$AU$2:$AU$301,MATCH($A86,Segmentation!$A$2:$A$301,0))</f>
        <v>Not Eligible</v>
      </c>
      <c r="AA86" s="10" t="b">
        <f aca="false">INDEX(Segmentation!$Z$2:$Z$301,MATCH($A86,Segmentation!$A$2:$A$301,0))</f>
        <v>0</v>
      </c>
      <c r="AB86" s="10" t="b">
        <f aca="false">INDEX(Segmentation!$AH$2:$AH$301,MATCH($A86,Segmentation!$A$2:$A$301,0))</f>
        <v>0</v>
      </c>
      <c r="AC86" s="10" t="b">
        <f aca="false">INDEX(Segmentation!$AK$2:$AK$301,MATCH($A86,Segmentation!$A$2:$A$301,0))</f>
        <v>0</v>
      </c>
      <c r="AD86" s="10" t="b">
        <f aca="false">INDEX(Segmentation!$AQ$2:$AQ$301,MATCH($A86,Segmentation!$A$2:$A$301,0))</f>
        <v>0</v>
      </c>
      <c r="AE86" s="10" t="b">
        <f aca="false">INDEX(Segmentation!$AT$2:$AT$301,MATCH($A86,Segmentation!$A$2:$A$301,0))</f>
        <v>0</v>
      </c>
      <c r="AF86" s="10" t="b">
        <f aca="false">INDEX(Segmentation!$X$2:$X$301,MATCH($A86,Segmentation!$A$2:$A$301,0))</f>
        <v>0</v>
      </c>
      <c r="AG86" s="10" t="b">
        <f aca="false">AND(F86="Low",V86&gt;=Assumptions!$B$71,X86&lt;Assumptions!$B$72)</f>
        <v>0</v>
      </c>
      <c r="AH86" s="10" t="b">
        <f aca="false">AND(F86="Low",OR(G86="Growing",G86="Stable"),P86="Recently Active",V86&gt;=Assumptions!$B$58,K86&gt;=Assumptions!$B$73)</f>
        <v>1</v>
      </c>
      <c r="AI86" s="17" t="n">
        <f aca="false">IF(O86&gt;0,MAX(L86:N86)/O86,"")</f>
        <v>0.75</v>
      </c>
      <c r="AJ86" s="2" t="str">
        <f aca="false">IF(LEFT(D86,1)="1",IF(E86="Key","MIGRATION_KEY_SIGNOFF",IF(Z86="Ready","MIGRATION_PHASE1_READY",IF(Z86="Manual Review","MIGRATION_PHASE1_REVIEW","MIGRATION_PRE_ENTRY"))),IF(LEFT(D86,1)="2","DECLINING_KEY_CORE",IF(LEFT(D86,1)="3",IF(R86="Established Buyer Lapsed","LAPSED_ESTABLISHED","LAPSED_THIN_HISTORY"),IF(LEFT(D86,1)="4",IF(Q86="New Customer","NEW_CUSTOMER","RETURNED_CUSTOMER"),IF(LEFT(D86,1)="5",IF(P86="Recently Active","COST_TO_SERVE_ACTIVE","DORMANT_LOW_VALUE"),IF(LEFT(D86,1)="6",IF(P86="Recent Inactivity","RECENT_INACTIVITY",IF(AG86,"BROWSING_LOW_OFFERS","HEALTHY_STRONG_SELF_SERVE")),IF(LEFT(D86,1)="7",IF(P86="Recent Inactivity","RECENT_INACTIVITY",IF(Q86="New Customer","NEW_CUSTOMER","RETURNED_CUSTOMER")),IF(LEFT(D86,1)="8",IF(G86="Declining",IF(T86="Engaged but shrinking (Key/Core)","ENGAGED_BUT_SHRINKING","DECLINING_KEY_CORE"),IF(R86="Established Buyer Lapsed","LAPSED_ESTABLISHED","LAPSED_THIN_HISTORY")),IF(S86,IF(P86&lt;&gt;"Recently Active","DORMANT_LOW_VALUE",IF(AG86,"BROWSING_LOW_OFFERS",IF(AH86,"RISING_TAIL","RISING_TAIL_EARLY"))),IF(AND(AG86,P86="Recently Active",OR(G86="Growing",G86="Stable",G86="H2 Active / No H1 GMV"),I86&gt;=Assumptions!$B$74),"BROWSING_LOW_OFFERS","LONG_TAIL_STANDARD"))))))))))</f>
        <v>RISING_TAIL</v>
      </c>
      <c r="AK86" s="2" t="str">
        <f aca="false">INDEX('NBA Library'!$B$4:$B$21,MATCH(AJ86,'NBA Library'!$A$4:$A$21,0))</f>
        <v>Reinforce Successful Behaviour</v>
      </c>
      <c r="AL86" s="2" t="str">
        <f aca="false">INDEX('NBA Library'!$C$4:$C$21,MATCH(AJ86,'NBA Library'!$A$4:$A$21,0))</f>
        <v>Automated</v>
      </c>
      <c r="AM86" s="2" t="str">
        <f aca="false">IF(AA86,"HOLD — Critical Data Issue",IF(Y86,"Human Sign-Off Required",IF(Z86="Manual Review","Human Review Required",IF(AND(AL86="Automated",OR(AE86,AND(OR(AK86="Discovery-to-Offer Enablement",AK86="Reinforce Successful Behaviour"),OR(AC86,AB86)))),"Human Review Required",IF(AL86="Human","Ready — Human",IF(AL86="Hybrid","Ready — Hybrid","Ready — Automated"))))))</f>
        <v>Ready — Automated</v>
      </c>
      <c r="AN86" s="2" t="str">
        <f aca="false">IF(AA86,"P0",IF(AND(AJ86="BROWSING_LOW_OFFERS",E86="Tail"),"P3",IF(AND(AM86="Human Review Required",INDEX('NBA Library'!$D$4:$D$21,MATCH(AJ86,'NBA Library'!$A$4:$A$21,0))="P4"),"P3",INDEX('NBA Library'!$D$4:$D$21,MATCH(AJ86,'NBA Library'!$A$4:$A$21,0)))))</f>
        <v>P3</v>
      </c>
      <c r="AO86" s="2" t="str">
        <f aca="false">E86&amp;" "&amp;C86&amp;" account ("&amp;B86&amp;"); "&amp;G86&amp;" momentum; "&amp;P86&amp;"; £"&amp;TEXT(H86,"#,##0")&amp;" 6m GMV. "&amp;INDEX('NBA Library'!$G$4:$G$21,MATCH(AJ86,'NBA Library'!$A$4:$A$21,0))&amp;IF(LEFT(D86,1)="1"," Baseline: "&amp;V86&amp;" PDP views, "&amp;W86&amp;" app days, "&amp;X86&amp;" offers, "&amp;TEXT(J86/I86,"0%")&amp;" of orders self-serve.","")&amp;IF(AA86," Execution on HOLD until the Duplicate status is resolved.","")&amp;IF(Y86," Key account: explicit AM/leadership sign-off required before any migration activity.","")&amp;IF(AE86," Implied broker % from order counts would move this account to a different segment; review before automating.","")</f>
        <v>Tail AM-Owned / Self-Serving account (Account Managed); Growing momentum; Recently Active; £1,166 6m GMV. Tail account on the Rising Tail watchlist with an established, recent self-serve pattern.</v>
      </c>
      <c r="AP86" s="2" t="str">
        <f aca="false">INDEX('NBA Library'!$E$4:$E$21,MATCH(AJ86,'NBA Library'!$A$4:$A$21,0))&amp;IF(AND(AJ86="NEW_CUSTOMER",AG86),"; introduce Make-an-Offer on items already browsed","")</f>
        <v>Maintain current browsing and purchasing; light-touch reinforcement</v>
      </c>
      <c r="AQ86" s="2" t="str">
        <f aca="false">INDEX('NBA Library'!$F$4:$F$21,MATCH(AJ86,'NBA Library'!$A$4:$A$21,0))</f>
        <v>Continued monthly purchasing; crosses £2k Core line within 6 months</v>
      </c>
      <c r="AR86" s="2" t="str">
        <f aca="false">IF(AND(F86="Low",OR(G86="Growing",G86="Stable"),P86="Recently Active",U86&lt;&gt;"Mixed",OR(AK86="Discovery-to-Offer Enablement",AK86="Reinforce Successful Behaviour"),AM86="Ready — Automated",OR(E86&lt;&gt;"Tail",S86)),"Range Expansion Test — trial "&amp;IF(U86="Bundle-only","handpick","bundles")&amp;" (experimental; not proven to lift GMV)","")</f>
        <v>Range Expansion Test — trial handpick (experimental; not proven to lift GMV)</v>
      </c>
      <c r="AS86" s="2" t="str">
        <f aca="false">IF(AK86&lt;&gt;"Automated Nurture","",IF(AJ86="DORMANT_LOW_VALUE","Dormant",IF(AJ86="RISING_TAIL_EARLY","Rising tail – early pattern",IF(Q86="New Customer","New customer onboarding",IF(Q86="Returned Customer","Returned customer",IF(G86="Lapsed","Dormant",IF(T86="Engaged, not converting","Engaged, not converting",IF(T86="One-off low-touch buyer","One-off purchaser",IF(T86="Light-touch repeat buyer","Light-touch repeat buyer","Standard long tail")))))))))</f>
        <v/>
      </c>
      <c r="AT86" s="2" t="str">
        <f aca="false">IF(AA86,"CRITICAL_DATA_BLOCKER; ","")&amp;IF(Y86,"KEY_SIGNOFF; ","")&amp;IF(Z86="Manual Review","PHASE1_MANUAL_REVIEW; ","")&amp;IF(AND(LEFT(D86,1)="1",AZ86="Lumpy"),"LUMPY_CADENCE; ","")&amp;IF(AB86,"BORDERLINE_MOMENTUM; ","")&amp;IF(AC86,"FEB_SENSITIVE; ","")&amp;IF(AD86,"MATERIAL_BROKER_INCONSISTENCY"&amp;IF(AE86," (segment would change)","")&amp;"; ","")&amp;IF(AND(I86&gt;=3,O86&gt;0),IF(AI86&gt;=Assumptions!$B$75,"H2_SINGLE_MONTH_SPIKE; ",""),"")&amp;IF(AND(M86&gt;0,N86=0),"NO_FEB_GMV (Feb unconfirmed); ","")&amp;IF(AF86,"LOW_CONFIDENCE; ","")</f>
        <v/>
      </c>
      <c r="AU86" s="2" t="str">
        <f aca="false">IF(LEFT(D86,1)="1",V86,"")</f>
        <v/>
      </c>
      <c r="AV86" s="2" t="str">
        <f aca="false">IF(LEFT(D86,1)="1",V86&gt;=Assumptions!$B$58,"")</f>
        <v/>
      </c>
      <c r="AW86" s="2" t="str">
        <f aca="false">IF(LEFT(D86,1)="1",W86,"")</f>
        <v/>
      </c>
      <c r="AX86" s="2" t="str">
        <f aca="false">IF(LEFT(D86,1)="1",X86,"")</f>
        <v/>
      </c>
      <c r="AY86" s="17" t="str">
        <f aca="false">IF(LEFT(D86,1)="1",J86/I86,"")</f>
        <v/>
      </c>
      <c r="AZ86" s="2" t="str">
        <f aca="false">IF(LEFT(D86,1)="1",IF(AND(K86&gt;=Assumptions!$B$83,I86&gt;=Assumptions!$B$84),"Regular","Lumpy"),"")</f>
        <v/>
      </c>
      <c r="BA86" s="2" t="str">
        <f aca="false">IF(LEFT(D86,1)="1",ROUND(6/K86,0),"")</f>
        <v/>
      </c>
      <c r="BB86" s="2" t="str">
        <f aca="false">IF(LEFT(D86,1)="1",IF(AZ86="Regular","Regular buyer: expected ~£"&amp;TEXT(H86/2,"#,##0")&amp;" per 90 days. At Risk if GMV to date &lt; "&amp;TEXT(Assumptions!$B$81,"0%")&amp;" of pro-rated expectation, checked from day "&amp;Assumptions!$B$82&amp;". Human-reviewed.","Irregular buyer ("&amp;I86&amp;" orders across "&amp;K86&amp;" months): no numeric GMV threshold. At Risk if no order within ~"&amp;BA86&amp;" month(s); AM reviews at day "&amp;Assumptions!$B$82&amp;" and "&amp;Assumptions!$B$85&amp;"."),"")</f>
        <v/>
      </c>
      <c r="BC86" s="2"/>
      <c r="BD86" s="2"/>
      <c r="BE86" s="2"/>
      <c r="BF86" s="2"/>
      <c r="BG86" s="2"/>
      <c r="BH86" s="2"/>
      <c r="BI86" s="2"/>
      <c r="BJ86" s="2" t="str">
        <f aca="false">IF(OR(NOT(LEFT(D86,1)="1"),BC86=""),"",IF(AZ86="Regular",AND(BC86&gt;=Assumptions!$B$82,N(BI86)&lt;Assumptions!$B$81*H86/180*BC86),AND(BC86&gt;=BA86*30,N(BG86)=0)))</f>
        <v/>
      </c>
      <c r="BK86" s="2" t="str">
        <f aca="false">IF(NOT(LEFT(D86,1)="1"),"N/A",IF(BC86="","Baseline",IF(BJ86,"At Risk",IF(AND(N(BD86)&gt;=Assumptions!$B$78,N(BE86)&gt;=Assumptions!$B$79,N(BH86)&gt;=1,N(BH86)/MAX(N(BG86),1)&gt;AY86),"Self-Serve Capability Demonstrated",IF(OR(N(BD86)&gt;=Assumptions!$B$76,N(BE86)&gt;=Assumptions!$B$77),"Progressing",IF(BC86&gt;=Assumptions!$B$85,"At Risk","Baseline"))))))</f>
        <v>N/A</v>
      </c>
      <c r="BL86" s="2" t="n">
        <f aca="false">(AND(C86="Broker-Reliant",OR(AK86="Discovery-to-Offer Enablement",AK86="Reinforce Successful Behaviour")))*1+(AND(G86="Declining",E86&lt;&gt;"Tail",AL86="Automated"))*1+(AND(Y86,AM86&lt;&gt;"Human Sign-Off Required"))*1+(AND(AA86,AM86&lt;&gt;"HOLD — Critical Data Issue"))*1+(AND(P86="Recent Inactivity",OR(AK86="Discovery-to-Offer Enablement",AK86="Reinforce Successful Behaviour")))*1+(AND(OR(LEFT(D86,1)="2",LEFT(D86,1)="3",LEFT(D86,1)="8"),AL86="Automated"))*1+((LEFT(D86,1)="1")&lt;&gt;(AK86="Guided Self-Serve Migration"))*1+(AND(AR86&lt;&gt;"",OR(F86&lt;&gt;"Low",U86="Mixed",AND(G86&lt;&gt;"Growing",G86&lt;&gt;"Stable"))))*1+ISNUMBER(SEARCH("chat",AP86))*1+ISNUMBER(SEARCH("video",AP86))*1+(AND(AA86,AL86="Automated",AM86&lt;&gt;"HOLD — Critical Data Issue"))*1</f>
        <v>0</v>
      </c>
    </row>
    <row r="87" customFormat="false" ht="15" hidden="false" customHeight="false" outlineLevel="0" collapsed="false">
      <c r="A87" s="2" t="s">
        <v>553</v>
      </c>
      <c r="B87" s="2" t="str">
        <f aca="false">INDEX(Segmentation!$B$2:$B$301,MATCH($A87,Segmentation!$A$2:$A$301,0))</f>
        <v>Account Managed</v>
      </c>
      <c r="C87" s="2" t="str">
        <f aca="false">INDEX(Segmentation!$H$2:$H$301,MATCH($A87,Segmentation!$A$2:$A$301,0))</f>
        <v>AM-Owned / Self-Serving</v>
      </c>
      <c r="D87" s="2" t="str">
        <f aca="false">INDEX(Segmentation!$T$2:$T$301,MATCH($A87,Segmentation!$A$2:$A$301,0))</f>
        <v>9. Long-Tail Automated Nurture</v>
      </c>
      <c r="E87" s="2" t="str">
        <f aca="false">INDEX(Segmentation!$J$2:$J$301,MATCH($A87,Segmentation!$A$2:$A$301,0))</f>
        <v>Tail</v>
      </c>
      <c r="F87" s="2" t="str">
        <f aca="false">INDEX(Segmentation!$G$2:$G$301,MATCH($A87,Segmentation!$A$2:$A$301,0))</f>
        <v>Low</v>
      </c>
      <c r="G87" s="2" t="str">
        <f aca="false">INDEX(Segmentation!$N$2:$N$301,MATCH($A87,Segmentation!$A$2:$A$301,0))</f>
        <v>Growing</v>
      </c>
      <c r="H87" s="9" t="n">
        <f aca="false">INDEX(Segmentation!$I$2:$I$301,MATCH($A87,Segmentation!$A$2:$A$301,0))</f>
        <v>1153</v>
      </c>
      <c r="I87" s="2" t="n">
        <f aca="false">INDEX(Segmentation!$O$2:$O$301,MATCH($A87,Segmentation!$A$2:$A$301,0))</f>
        <v>3</v>
      </c>
      <c r="J87" s="2" t="n">
        <f aca="false">INDEX(Segmentation!$Q$2:$Q$301,MATCH($A87,Segmentation!$A$2:$A$301,0))</f>
        <v>3</v>
      </c>
      <c r="K87" s="2" t="n">
        <f aca="false">INDEX(Segmentation!$W$2:$W$301,MATCH($A87,Segmentation!$A$2:$A$301,0))</f>
        <v>2</v>
      </c>
      <c r="L87" s="9" t="n">
        <f aca="false">INDEX('Commercial View'!$L$2:$L$301,MATCH($A87,'Commercial View'!$A$2:$A$301,0))</f>
        <v>0</v>
      </c>
      <c r="M87" s="9" t="n">
        <f aca="false">INDEX('Commercial View'!$M$2:$M$301,MATCH($A87,'Commercial View'!$A$2:$A$301,0))</f>
        <v>0</v>
      </c>
      <c r="N87" s="9" t="n">
        <f aca="false">INDEX('Commercial View'!$N$2:$N$301,MATCH($A87,'Commercial View'!$A$2:$A$301,0))</f>
        <v>684</v>
      </c>
      <c r="O87" s="9" t="n">
        <f aca="false">INDEX(Segmentation!$L$2:$L$301,MATCH($A87,Segmentation!$A$2:$A$301,0))</f>
        <v>684</v>
      </c>
      <c r="P87" s="2" t="str">
        <f aca="false">IF(OR(M87&gt;0,N87&gt;0),"Recently Active",IF(OR(I87&lt;=Assumptions!$B$48,K87&lt;=Assumptions!$B$49),"No Meaningful History","Recent Inactivity"))</f>
        <v>Recently Active</v>
      </c>
      <c r="Q87" s="2" t="str">
        <f aca="false">INDEX(Segmentation!$AF$2:$AF$301,MATCH($A87,Segmentation!$A$2:$A$301,0))</f>
        <v>Existing Customer</v>
      </c>
      <c r="R87" s="2" t="str">
        <f aca="false">INDEX(Segmentation!$AL$2:$AL$301,MATCH($A87,Segmentation!$A$2:$A$301,0))</f>
        <v>N/A</v>
      </c>
      <c r="S87" s="10" t="b">
        <f aca="false">INDEX(Segmentation!$AW$2:$AW$301,MATCH($A87,Segmentation!$A$2:$A$301,0))</f>
        <v>1</v>
      </c>
      <c r="T87" s="2" t="str">
        <f aca="false">INDEX('Feature Data'!$AD$2:$AD$301,MATCH($A87,'Feature Data'!$A$2:$A$301,0))</f>
        <v>Independent browser-buyer</v>
      </c>
      <c r="U87" s="2" t="str">
        <f aca="false">INDEX('Feature Data'!$W$2:$W$301,MATCH($A87,'Feature Data'!$A$2:$A$301,0))</f>
        <v>Mixed</v>
      </c>
      <c r="V87" s="2" t="n">
        <f aca="false">INDEX('Feature Data'!$P$2:$P$301,MATCH($A87,'Feature Data'!$A$2:$A$301,0))</f>
        <v>1590</v>
      </c>
      <c r="W87" s="2" t="n">
        <f aca="false">INDEX(Segmentation!$R$2:$R$301,MATCH($A87,Segmentation!$A$2:$A$301,0))</f>
        <v>105</v>
      </c>
      <c r="X87" s="2" t="n">
        <f aca="false">INDEX(Segmentation!$S$2:$S$301,MATCH($A87,Segmentation!$A$2:$A$301,0))</f>
        <v>50</v>
      </c>
      <c r="Y87" s="10" t="b">
        <f aca="false">INDEX(Segmentation!$AG$2:$AG$301,MATCH($A87,Segmentation!$A$2:$A$301,0))</f>
        <v>0</v>
      </c>
      <c r="Z87" s="2" t="str">
        <f aca="false">INDEX(Segmentation!$AU$2:$AU$301,MATCH($A87,Segmentation!$A$2:$A$301,0))</f>
        <v>Not Eligible</v>
      </c>
      <c r="AA87" s="10" t="b">
        <f aca="false">INDEX(Segmentation!$Z$2:$Z$301,MATCH($A87,Segmentation!$A$2:$A$301,0))</f>
        <v>0</v>
      </c>
      <c r="AB87" s="10" t="b">
        <f aca="false">INDEX(Segmentation!$AH$2:$AH$301,MATCH($A87,Segmentation!$A$2:$A$301,0))</f>
        <v>0</v>
      </c>
      <c r="AC87" s="10" t="b">
        <f aca="false">INDEX(Segmentation!$AK$2:$AK$301,MATCH($A87,Segmentation!$A$2:$A$301,0))</f>
        <v>1</v>
      </c>
      <c r="AD87" s="10" t="b">
        <f aca="false">INDEX(Segmentation!$AQ$2:$AQ$301,MATCH($A87,Segmentation!$A$2:$A$301,0))</f>
        <v>0</v>
      </c>
      <c r="AE87" s="10" t="b">
        <f aca="false">INDEX(Segmentation!$AT$2:$AT$301,MATCH($A87,Segmentation!$A$2:$A$301,0))</f>
        <v>0</v>
      </c>
      <c r="AF87" s="10" t="b">
        <f aca="false">INDEX(Segmentation!$X$2:$X$301,MATCH($A87,Segmentation!$A$2:$A$301,0))</f>
        <v>0</v>
      </c>
      <c r="AG87" s="10" t="b">
        <f aca="false">AND(F87="Low",V87&gt;=Assumptions!$B$71,X87&lt;Assumptions!$B$72)</f>
        <v>0</v>
      </c>
      <c r="AH87" s="10" t="b">
        <f aca="false">AND(F87="Low",OR(G87="Growing",G87="Stable"),P87="Recently Active",V87&gt;=Assumptions!$B$58,K87&gt;=Assumptions!$B$73)</f>
        <v>0</v>
      </c>
      <c r="AI87" s="17" t="n">
        <f aca="false">IF(O87&gt;0,MAX(L87:N87)/O87,"")</f>
        <v>1</v>
      </c>
      <c r="AJ87" s="2" t="str">
        <f aca="false">IF(LEFT(D87,1)="1",IF(E87="Key","MIGRATION_KEY_SIGNOFF",IF(Z87="Ready","MIGRATION_PHASE1_READY",IF(Z87="Manual Review","MIGRATION_PHASE1_REVIEW","MIGRATION_PRE_ENTRY"))),IF(LEFT(D87,1)="2","DECLINING_KEY_CORE",IF(LEFT(D87,1)="3",IF(R87="Established Buyer Lapsed","LAPSED_ESTABLISHED","LAPSED_THIN_HISTORY"),IF(LEFT(D87,1)="4",IF(Q87="New Customer","NEW_CUSTOMER","RETURNED_CUSTOMER"),IF(LEFT(D87,1)="5",IF(P87="Recently Active","COST_TO_SERVE_ACTIVE","DORMANT_LOW_VALUE"),IF(LEFT(D87,1)="6",IF(P87="Recent Inactivity","RECENT_INACTIVITY",IF(AG87,"BROWSING_LOW_OFFERS","HEALTHY_STRONG_SELF_SERVE")),IF(LEFT(D87,1)="7",IF(P87="Recent Inactivity","RECENT_INACTIVITY",IF(Q87="New Customer","NEW_CUSTOMER","RETURNED_CUSTOMER")),IF(LEFT(D87,1)="8",IF(G87="Declining",IF(T87="Engaged but shrinking (Key/Core)","ENGAGED_BUT_SHRINKING","DECLINING_KEY_CORE"),IF(R87="Established Buyer Lapsed","LAPSED_ESTABLISHED","LAPSED_THIN_HISTORY")),IF(S87,IF(P87&lt;&gt;"Recently Active","DORMANT_LOW_VALUE",IF(AG87,"BROWSING_LOW_OFFERS",IF(AH87,"RISING_TAIL","RISING_TAIL_EARLY"))),IF(AND(AG87,P87="Recently Active",OR(G87="Growing",G87="Stable",G87="H2 Active / No H1 GMV"),I87&gt;=Assumptions!$B$74),"BROWSING_LOW_OFFERS","LONG_TAIL_STANDARD"))))))))))</f>
        <v>RISING_TAIL_EARLY</v>
      </c>
      <c r="AK87" s="2" t="str">
        <f aca="false">INDEX('NBA Library'!$B$4:$B$21,MATCH(AJ87,'NBA Library'!$A$4:$A$21,0))</f>
        <v>Automated Nurture</v>
      </c>
      <c r="AL87" s="2" t="str">
        <f aca="false">INDEX('NBA Library'!$C$4:$C$21,MATCH(AJ87,'NBA Library'!$A$4:$A$21,0))</f>
        <v>Automated</v>
      </c>
      <c r="AM87" s="2" t="str">
        <f aca="false">IF(AA87,"HOLD — Critical Data Issue",IF(Y87,"Human Sign-Off Required",IF(Z87="Manual Review","Human Review Required",IF(AND(AL87="Automated",OR(AE87,AND(OR(AK87="Discovery-to-Offer Enablement",AK87="Reinforce Successful Behaviour"),OR(AC87,AB87)))),"Human Review Required",IF(AL87="Human","Ready — Human",IF(AL87="Hybrid","Ready — Hybrid","Ready — Automated"))))))</f>
        <v>Ready — Automated</v>
      </c>
      <c r="AN87" s="2" t="str">
        <f aca="false">IF(AA87,"P0",IF(AND(AJ87="BROWSING_LOW_OFFERS",E87="Tail"),"P3",IF(AND(AM87="Human Review Required",INDEX('NBA Library'!$D$4:$D$21,MATCH(AJ87,'NBA Library'!$A$4:$A$21,0))="P4"),"P3",INDEX('NBA Library'!$D$4:$D$21,MATCH(AJ87,'NBA Library'!$A$4:$A$21,0)))))</f>
        <v>P3</v>
      </c>
      <c r="AO87" s="2" t="str">
        <f aca="false">E87&amp;" "&amp;C87&amp;" account ("&amp;B87&amp;"); "&amp;G87&amp;" momentum; "&amp;P87&amp;"; £"&amp;TEXT(H87,"#,##0")&amp;" 6m GMV. "&amp;INDEX('NBA Library'!$G$4:$G$21,MATCH(AJ87,'NBA Library'!$A$4:$A$21,0))&amp;IF(LEFT(D87,1)="1"," Baseline: "&amp;V87&amp;" PDP views, "&amp;W87&amp;" app days, "&amp;X87&amp;" offers, "&amp;TEXT(J87/I87,"0%")&amp;" of orders self-serve.","")&amp;IF(AA87," Execution on HOLD until the Duplicate status is resolved.","")&amp;IF(Y87," Key account: explicit AM/leadership sign-off required before any migration activity.","")&amp;IF(AE87," Implied broker % from order counts would move this account to a different segment; review before automating.","")</f>
        <v>Tail AM-Owned / Self-Serving account (Account Managed); Growing momentum; Recently Active; £1,153 6m GMV. Tail account on the Rising Tail watchlist whose buying pattern is not yet established.</v>
      </c>
      <c r="AP87" s="2" t="str">
        <f aca="false">INDEX('NBA Library'!$E$4:$E$21,MATCH(AJ87,'NBA Library'!$A$4:$A$21,0))&amp;IF(AND(AJ87="NEW_CUSTOMER",AG87),"; introduce Make-an-Offer on items already browsed","")</f>
        <v>Repeat purchase in a third month to establish a pattern</v>
      </c>
      <c r="AQ87" s="2" t="str">
        <f aca="false">INDEX('NBA Library'!$F$4:$F$21,MATCH(AJ87,'NBA Library'!$A$4:$A$21,0))</f>
        <v>Order in a new month within 90 days; re-check watchlist next run</v>
      </c>
      <c r="AR87" s="2" t="str">
        <f aca="false">IF(AND(F87="Low",OR(G87="Growing",G87="Stable"),P87="Recently Active",U87&lt;&gt;"Mixed",OR(AK87="Discovery-to-Offer Enablement",AK87="Reinforce Successful Behaviour"),AM87="Ready — Automated",OR(E87&lt;&gt;"Tail",S87)),"Range Expansion Test — trial "&amp;IF(U87="Bundle-only","handpick","bundles")&amp;" (experimental; not proven to lift GMV)","")</f>
        <v/>
      </c>
      <c r="AS87" s="2" t="str">
        <f aca="false">IF(AK87&lt;&gt;"Automated Nurture","",IF(AJ87="DORMANT_LOW_VALUE","Dormant",IF(AJ87="RISING_TAIL_EARLY","Rising tail – early pattern",IF(Q87="New Customer","New customer onboarding",IF(Q87="Returned Customer","Returned customer",IF(G87="Lapsed","Dormant",IF(T87="Engaged, not converting","Engaged, not converting",IF(T87="One-off low-touch buyer","One-off purchaser",IF(T87="Light-touch repeat buyer","Light-touch repeat buyer","Standard long tail")))))))))</f>
        <v>Rising tail – early pattern</v>
      </c>
      <c r="AT87" s="2" t="str">
        <f aca="false">IF(AA87,"CRITICAL_DATA_BLOCKER; ","")&amp;IF(Y87,"KEY_SIGNOFF; ","")&amp;IF(Z87="Manual Review","PHASE1_MANUAL_REVIEW; ","")&amp;IF(AND(LEFT(D87,1)="1",AZ87="Lumpy"),"LUMPY_CADENCE; ","")&amp;IF(AB87,"BORDERLINE_MOMENTUM; ","")&amp;IF(AC87,"FEB_SENSITIVE; ","")&amp;IF(AD87,"MATERIAL_BROKER_INCONSISTENCY"&amp;IF(AE87," (segment would change)","")&amp;"; ","")&amp;IF(AND(I87&gt;=3,O87&gt;0),IF(AI87&gt;=Assumptions!$B$75,"H2_SINGLE_MONTH_SPIKE; ",""),"")&amp;IF(AND(M87&gt;0,N87=0),"NO_FEB_GMV (Feb unconfirmed); ","")&amp;IF(AF87,"LOW_CONFIDENCE; ","")</f>
        <v>FEB_SENSITIVE; H2_SINGLE_MONTH_SPIKE; </v>
      </c>
      <c r="AU87" s="2" t="str">
        <f aca="false">IF(LEFT(D87,1)="1",V87,"")</f>
        <v/>
      </c>
      <c r="AV87" s="2" t="str">
        <f aca="false">IF(LEFT(D87,1)="1",V87&gt;=Assumptions!$B$58,"")</f>
        <v/>
      </c>
      <c r="AW87" s="2" t="str">
        <f aca="false">IF(LEFT(D87,1)="1",W87,"")</f>
        <v/>
      </c>
      <c r="AX87" s="2" t="str">
        <f aca="false">IF(LEFT(D87,1)="1",X87,"")</f>
        <v/>
      </c>
      <c r="AY87" s="17" t="str">
        <f aca="false">IF(LEFT(D87,1)="1",J87/I87,"")</f>
        <v/>
      </c>
      <c r="AZ87" s="2" t="str">
        <f aca="false">IF(LEFT(D87,1)="1",IF(AND(K87&gt;=Assumptions!$B$83,I87&gt;=Assumptions!$B$84),"Regular","Lumpy"),"")</f>
        <v/>
      </c>
      <c r="BA87" s="2" t="str">
        <f aca="false">IF(LEFT(D87,1)="1",ROUND(6/K87,0),"")</f>
        <v/>
      </c>
      <c r="BB87" s="2" t="str">
        <f aca="false">IF(LEFT(D87,1)="1",IF(AZ87="Regular","Regular buyer: expected ~£"&amp;TEXT(H87/2,"#,##0")&amp;" per 90 days. At Risk if GMV to date &lt; "&amp;TEXT(Assumptions!$B$81,"0%")&amp;" of pro-rated expectation, checked from day "&amp;Assumptions!$B$82&amp;". Human-reviewed.","Irregular buyer ("&amp;I87&amp;" orders across "&amp;K87&amp;" months): no numeric GMV threshold. At Risk if no order within ~"&amp;BA87&amp;" month(s); AM reviews at day "&amp;Assumptions!$B$82&amp;" and "&amp;Assumptions!$B$85&amp;"."),"")</f>
        <v/>
      </c>
      <c r="BC87" s="2"/>
      <c r="BD87" s="2"/>
      <c r="BE87" s="2"/>
      <c r="BF87" s="2"/>
      <c r="BG87" s="2"/>
      <c r="BH87" s="2"/>
      <c r="BI87" s="2"/>
      <c r="BJ87" s="2" t="str">
        <f aca="false">IF(OR(NOT(LEFT(D87,1)="1"),BC87=""),"",IF(AZ87="Regular",AND(BC87&gt;=Assumptions!$B$82,N(BI87)&lt;Assumptions!$B$81*H87/180*BC87),AND(BC87&gt;=BA87*30,N(BG87)=0)))</f>
        <v/>
      </c>
      <c r="BK87" s="2" t="str">
        <f aca="false">IF(NOT(LEFT(D87,1)="1"),"N/A",IF(BC87="","Baseline",IF(BJ87,"At Risk",IF(AND(N(BD87)&gt;=Assumptions!$B$78,N(BE87)&gt;=Assumptions!$B$79,N(BH87)&gt;=1,N(BH87)/MAX(N(BG87),1)&gt;AY87),"Self-Serve Capability Demonstrated",IF(OR(N(BD87)&gt;=Assumptions!$B$76,N(BE87)&gt;=Assumptions!$B$77),"Progressing",IF(BC87&gt;=Assumptions!$B$85,"At Risk","Baseline"))))))</f>
        <v>N/A</v>
      </c>
      <c r="BL87" s="2" t="n">
        <f aca="false">(AND(C87="Broker-Reliant",OR(AK87="Discovery-to-Offer Enablement",AK87="Reinforce Successful Behaviour")))*1+(AND(G87="Declining",E87&lt;&gt;"Tail",AL87="Automated"))*1+(AND(Y87,AM87&lt;&gt;"Human Sign-Off Required"))*1+(AND(AA87,AM87&lt;&gt;"HOLD — Critical Data Issue"))*1+(AND(P87="Recent Inactivity",OR(AK87="Discovery-to-Offer Enablement",AK87="Reinforce Successful Behaviour")))*1+(AND(OR(LEFT(D87,1)="2",LEFT(D87,1)="3",LEFT(D87,1)="8"),AL87="Automated"))*1+((LEFT(D87,1)="1")&lt;&gt;(AK87="Guided Self-Serve Migration"))*1+(AND(AR87&lt;&gt;"",OR(F87&lt;&gt;"Low",U87="Mixed",AND(G87&lt;&gt;"Growing",G87&lt;&gt;"Stable"))))*1+ISNUMBER(SEARCH("chat",AP87))*1+ISNUMBER(SEARCH("video",AP87))*1+(AND(AA87,AL87="Automated",AM87&lt;&gt;"HOLD — Critical Data Issue"))*1</f>
        <v>0</v>
      </c>
    </row>
    <row r="88" customFormat="false" ht="15" hidden="false" customHeight="false" outlineLevel="0" collapsed="false">
      <c r="A88" s="2" t="s">
        <v>610</v>
      </c>
      <c r="B88" s="2" t="str">
        <f aca="false">INDEX(Segmentation!$B$2:$B$301,MATCH($A88,Segmentation!$A$2:$A$301,0))</f>
        <v>Account Managed</v>
      </c>
      <c r="C88" s="2" t="str">
        <f aca="false">INDEX(Segmentation!$H$2:$H$301,MATCH($A88,Segmentation!$A$2:$A$301,0))</f>
        <v>Broker-Reliant</v>
      </c>
      <c r="D88" s="2" t="str">
        <f aca="false">INDEX(Segmentation!$T$2:$T$301,MATCH($A88,Segmentation!$A$2:$A$301,0))</f>
        <v>5. Cost-to-Serve / Low-Touch</v>
      </c>
      <c r="E88" s="2" t="str">
        <f aca="false">INDEX(Segmentation!$J$2:$J$301,MATCH($A88,Segmentation!$A$2:$A$301,0))</f>
        <v>Tail</v>
      </c>
      <c r="F88" s="2" t="str">
        <f aca="false">INDEX(Segmentation!$G$2:$G$301,MATCH($A88,Segmentation!$A$2:$A$301,0))</f>
        <v>High</v>
      </c>
      <c r="G88" s="2" t="str">
        <f aca="false">INDEX(Segmentation!$N$2:$N$301,MATCH($A88,Segmentation!$A$2:$A$301,0))</f>
        <v>Lapsed</v>
      </c>
      <c r="H88" s="9" t="n">
        <f aca="false">INDEX(Segmentation!$I$2:$I$301,MATCH($A88,Segmentation!$A$2:$A$301,0))</f>
        <v>1079</v>
      </c>
      <c r="I88" s="2" t="n">
        <f aca="false">INDEX(Segmentation!$O$2:$O$301,MATCH($A88,Segmentation!$A$2:$A$301,0))</f>
        <v>3</v>
      </c>
      <c r="J88" s="2" t="n">
        <f aca="false">INDEX(Segmentation!$Q$2:$Q$301,MATCH($A88,Segmentation!$A$2:$A$301,0))</f>
        <v>1</v>
      </c>
      <c r="K88" s="2" t="n">
        <f aca="false">INDEX(Segmentation!$W$2:$W$301,MATCH($A88,Segmentation!$A$2:$A$301,0))</f>
        <v>2</v>
      </c>
      <c r="L88" s="9" t="n">
        <f aca="false">INDEX('Commercial View'!$L$2:$L$301,MATCH($A88,'Commercial View'!$A$2:$A$301,0))</f>
        <v>0</v>
      </c>
      <c r="M88" s="9" t="n">
        <f aca="false">INDEX('Commercial View'!$M$2:$M$301,MATCH($A88,'Commercial View'!$A$2:$A$301,0))</f>
        <v>0</v>
      </c>
      <c r="N88" s="9" t="n">
        <f aca="false">INDEX('Commercial View'!$N$2:$N$301,MATCH($A88,'Commercial View'!$A$2:$A$301,0))</f>
        <v>0</v>
      </c>
      <c r="O88" s="9" t="n">
        <f aca="false">INDEX(Segmentation!$L$2:$L$301,MATCH($A88,Segmentation!$A$2:$A$301,0))</f>
        <v>0</v>
      </c>
      <c r="P88" s="2" t="str">
        <f aca="false">IF(OR(M88&gt;0,N88&gt;0),"Recently Active",IF(OR(I88&lt;=Assumptions!$B$48,K88&lt;=Assumptions!$B$49),"No Meaningful History","Recent Inactivity"))</f>
        <v>Recent Inactivity</v>
      </c>
      <c r="Q88" s="2" t="str">
        <f aca="false">INDEX(Segmentation!$AF$2:$AF$301,MATCH($A88,Segmentation!$A$2:$A$301,0))</f>
        <v>Existing Customer</v>
      </c>
      <c r="R88" s="2" t="str">
        <f aca="false">INDEX(Segmentation!$AL$2:$AL$301,MATCH($A88,Segmentation!$A$2:$A$301,0))</f>
        <v>Established Buyer Lapsed</v>
      </c>
      <c r="S88" s="10" t="b">
        <f aca="false">INDEX(Segmentation!$AW$2:$AW$301,MATCH($A88,Segmentation!$A$2:$A$301,0))</f>
        <v>0</v>
      </c>
      <c r="T88" s="2" t="str">
        <f aca="false">INDEX('Feature Data'!$AD$2:$AD$301,MATCH($A88,'Feature Data'!$A$2:$A$301,0))</f>
        <v>Broker-led, product-blind</v>
      </c>
      <c r="U88" s="2" t="str">
        <f aca="false">INDEX('Feature Data'!$W$2:$W$301,MATCH($A88,'Feature Data'!$A$2:$A$301,0))</f>
        <v>Bundle-only</v>
      </c>
      <c r="V88" s="2" t="n">
        <f aca="false">INDEX('Feature Data'!$P$2:$P$301,MATCH($A88,'Feature Data'!$A$2:$A$301,0))</f>
        <v>5</v>
      </c>
      <c r="W88" s="2" t="n">
        <f aca="false">INDEX(Segmentation!$R$2:$R$301,MATCH($A88,Segmentation!$A$2:$A$301,0))</f>
        <v>7</v>
      </c>
      <c r="X88" s="2" t="n">
        <f aca="false">INDEX(Segmentation!$S$2:$S$301,MATCH($A88,Segmentation!$A$2:$A$301,0))</f>
        <v>2</v>
      </c>
      <c r="Y88" s="10" t="b">
        <f aca="false">INDEX(Segmentation!$AG$2:$AG$301,MATCH($A88,Segmentation!$A$2:$A$301,0))</f>
        <v>0</v>
      </c>
      <c r="Z88" s="2" t="str">
        <f aca="false">INDEX(Segmentation!$AU$2:$AU$301,MATCH($A88,Segmentation!$A$2:$A$301,0))</f>
        <v>Not Eligible</v>
      </c>
      <c r="AA88" s="10" t="b">
        <f aca="false">INDEX(Segmentation!$Z$2:$Z$301,MATCH($A88,Segmentation!$A$2:$A$301,0))</f>
        <v>0</v>
      </c>
      <c r="AB88" s="10" t="b">
        <f aca="false">INDEX(Segmentation!$AH$2:$AH$301,MATCH($A88,Segmentation!$A$2:$A$301,0))</f>
        <v>0</v>
      </c>
      <c r="AC88" s="10" t="b">
        <f aca="false">INDEX(Segmentation!$AK$2:$AK$301,MATCH($A88,Segmentation!$A$2:$A$301,0))</f>
        <v>0</v>
      </c>
      <c r="AD88" s="10" t="b">
        <f aca="false">INDEX(Segmentation!$AQ$2:$AQ$301,MATCH($A88,Segmentation!$A$2:$A$301,0))</f>
        <v>0</v>
      </c>
      <c r="AE88" s="10" t="b">
        <f aca="false">INDEX(Segmentation!$AT$2:$AT$301,MATCH($A88,Segmentation!$A$2:$A$301,0))</f>
        <v>0</v>
      </c>
      <c r="AF88" s="10" t="b">
        <f aca="false">INDEX(Segmentation!$X$2:$X$301,MATCH($A88,Segmentation!$A$2:$A$301,0))</f>
        <v>0</v>
      </c>
      <c r="AG88" s="10" t="b">
        <f aca="false">AND(F88="Low",V88&gt;=Assumptions!$B$71,X88&lt;Assumptions!$B$72)</f>
        <v>0</v>
      </c>
      <c r="AH88" s="10" t="b">
        <f aca="false">AND(F88="Low",OR(G88="Growing",G88="Stable"),P88="Recently Active",V88&gt;=Assumptions!$B$58,K88&gt;=Assumptions!$B$73)</f>
        <v>0</v>
      </c>
      <c r="AI88" s="17" t="str">
        <f aca="false">IF(O88&gt;0,MAX(L88:N88)/O88,"")</f>
        <v/>
      </c>
      <c r="AJ88" s="2" t="str">
        <f aca="false">IF(LEFT(D88,1)="1",IF(E88="Key","MIGRATION_KEY_SIGNOFF",IF(Z88="Ready","MIGRATION_PHASE1_READY",IF(Z88="Manual Review","MIGRATION_PHASE1_REVIEW","MIGRATION_PRE_ENTRY"))),IF(LEFT(D88,1)="2","DECLINING_KEY_CORE",IF(LEFT(D88,1)="3",IF(R88="Established Buyer Lapsed","LAPSED_ESTABLISHED","LAPSED_THIN_HISTORY"),IF(LEFT(D88,1)="4",IF(Q88="New Customer","NEW_CUSTOMER","RETURNED_CUSTOMER"),IF(LEFT(D88,1)="5",IF(P88="Recently Active","COST_TO_SERVE_ACTIVE","DORMANT_LOW_VALUE"),IF(LEFT(D88,1)="6",IF(P88="Recent Inactivity","RECENT_INACTIVITY",IF(AG88,"BROWSING_LOW_OFFERS","HEALTHY_STRONG_SELF_SERVE")),IF(LEFT(D88,1)="7",IF(P88="Recent Inactivity","RECENT_INACTIVITY",IF(Q88="New Customer","NEW_CUSTOMER","RETURNED_CUSTOMER")),IF(LEFT(D88,1)="8",IF(G88="Declining",IF(T88="Engaged but shrinking (Key/Core)","ENGAGED_BUT_SHRINKING","DECLINING_KEY_CORE"),IF(R88="Established Buyer Lapsed","LAPSED_ESTABLISHED","LAPSED_THIN_HISTORY")),IF(S88,IF(P88&lt;&gt;"Recently Active","DORMANT_LOW_VALUE",IF(AG88,"BROWSING_LOW_OFFERS",IF(AH88,"RISING_TAIL","RISING_TAIL_EARLY"))),IF(AND(AG88,P88="Recently Active",OR(G88="Growing",G88="Stable",G88="H2 Active / No H1 GMV"),I88&gt;=Assumptions!$B$74),"BROWSING_LOW_OFFERS","LONG_TAIL_STANDARD"))))))))))</f>
        <v>DORMANT_LOW_VALUE</v>
      </c>
      <c r="AK88" s="2" t="str">
        <f aca="false">INDEX('NBA Library'!$B$4:$B$21,MATCH(AJ88,'NBA Library'!$A$4:$A$21,0))</f>
        <v>Automated Nurture</v>
      </c>
      <c r="AL88" s="2" t="str">
        <f aca="false">INDEX('NBA Library'!$C$4:$C$21,MATCH(AJ88,'NBA Library'!$A$4:$A$21,0))</f>
        <v>Automated</v>
      </c>
      <c r="AM88" s="2" t="str">
        <f aca="false">IF(AA88,"HOLD — Critical Data Issue",IF(Y88,"Human Sign-Off Required",IF(Z88="Manual Review","Human Review Required",IF(AND(AL88="Automated",OR(AE88,AND(OR(AK88="Discovery-to-Offer Enablement",AK88="Reinforce Successful Behaviour"),OR(AC88,AB88)))),"Human Review Required",IF(AL88="Human","Ready — Human",IF(AL88="Hybrid","Ready — Hybrid","Ready — Automated"))))))</f>
        <v>Ready — Automated</v>
      </c>
      <c r="AN88" s="2" t="str">
        <f aca="false">IF(AA88,"P0",IF(AND(AJ88="BROWSING_LOW_OFFERS",E88="Tail"),"P3",IF(AND(AM88="Human Review Required",INDEX('NBA Library'!$D$4:$D$21,MATCH(AJ88,'NBA Library'!$A$4:$A$21,0))="P4"),"P3",INDEX('NBA Library'!$D$4:$D$21,MATCH(AJ88,'NBA Library'!$A$4:$A$21,0)))))</f>
        <v>P4</v>
      </c>
      <c r="AO88" s="2" t="str">
        <f aca="false">E88&amp;" "&amp;C88&amp;" account ("&amp;B88&amp;"); "&amp;G88&amp;" momentum; "&amp;P88&amp;"; £"&amp;TEXT(H88,"#,##0")&amp;" 6m GMV. "&amp;INDEX('NBA Library'!$G$4:$G$21,MATCH(AJ88,'NBA Library'!$A$4:$A$21,0))&amp;IF(LEFT(D88,1)="1"," Baseline: "&amp;V88&amp;" PDP views, "&amp;W88&amp;" app days, "&amp;X88&amp;" offers, "&amp;TEXT(J88/I88,"0%")&amp;" of orders self-serve.","")&amp;IF(AA88," Execution on HOLD until the Duplicate status is resolved.","")&amp;IF(Y88," Key account: explicit AM/leadership sign-off required before any migration activity.","")&amp;IF(AE88," Implied broker % from order counts would move this account to a different segment; review before automating.","")</f>
        <v>Tail Broker-Reliant account (Account Managed); Lapsed momentum; Recent Inactivity; £1,079 6m GMV. Low-value account with no recent GMV. Avoid human time.</v>
      </c>
      <c r="AP88" s="2" t="str">
        <f aca="false">INDEX('NBA Library'!$E$4:$E$21,MATCH(AJ88,'NBA Library'!$A$4:$A$21,0))&amp;IF(AND(AJ88="NEW_CUSTOMER",AG88),"; introduce Make-an-Offer on items already browsed","")</f>
        <v>Automated reactivation only; no human time</v>
      </c>
      <c r="AQ88" s="2" t="str">
        <f aca="false">INDEX('NBA Library'!$F$4:$F$21,MATCH(AJ88,'NBA Library'!$A$4:$A$21,0))</f>
        <v>Any order within 90 days</v>
      </c>
      <c r="AR88" s="2" t="str">
        <f aca="false">IF(AND(F88="Low",OR(G88="Growing",G88="Stable"),P88="Recently Active",U88&lt;&gt;"Mixed",OR(AK88="Discovery-to-Offer Enablement",AK88="Reinforce Successful Behaviour"),AM88="Ready — Automated",OR(E88&lt;&gt;"Tail",S88)),"Range Expansion Test — trial "&amp;IF(U88="Bundle-only","handpick","bundles")&amp;" (experimental; not proven to lift GMV)","")</f>
        <v/>
      </c>
      <c r="AS88" s="2" t="str">
        <f aca="false">IF(AK88&lt;&gt;"Automated Nurture","",IF(AJ88="DORMANT_LOW_VALUE","Dormant",IF(AJ88="RISING_TAIL_EARLY","Rising tail – early pattern",IF(Q88="New Customer","New customer onboarding",IF(Q88="Returned Customer","Returned customer",IF(G88="Lapsed","Dormant",IF(T88="Engaged, not converting","Engaged, not converting",IF(T88="One-off low-touch buyer","One-off purchaser",IF(T88="Light-touch repeat buyer","Light-touch repeat buyer","Standard long tail")))))))))</f>
        <v>Dormant</v>
      </c>
      <c r="AT88" s="2" t="str">
        <f aca="false">IF(AA88,"CRITICAL_DATA_BLOCKER; ","")&amp;IF(Y88,"KEY_SIGNOFF; ","")&amp;IF(Z88="Manual Review","PHASE1_MANUAL_REVIEW; ","")&amp;IF(AND(LEFT(D88,1)="1",AZ88="Lumpy"),"LUMPY_CADENCE; ","")&amp;IF(AB88,"BORDERLINE_MOMENTUM; ","")&amp;IF(AC88,"FEB_SENSITIVE; ","")&amp;IF(AD88,"MATERIAL_BROKER_INCONSISTENCY"&amp;IF(AE88," (segment would change)","")&amp;"; ","")&amp;IF(AND(I88&gt;=3,O88&gt;0),IF(AI88&gt;=Assumptions!$B$75,"H2_SINGLE_MONTH_SPIKE; ",""),"")&amp;IF(AND(M88&gt;0,N88=0),"NO_FEB_GMV (Feb unconfirmed); ","")&amp;IF(AF88,"LOW_CONFIDENCE; ","")</f>
        <v/>
      </c>
      <c r="AU88" s="2" t="str">
        <f aca="false">IF(LEFT(D88,1)="1",V88,"")</f>
        <v/>
      </c>
      <c r="AV88" s="2" t="str">
        <f aca="false">IF(LEFT(D88,1)="1",V88&gt;=Assumptions!$B$58,"")</f>
        <v/>
      </c>
      <c r="AW88" s="2" t="str">
        <f aca="false">IF(LEFT(D88,1)="1",W88,"")</f>
        <v/>
      </c>
      <c r="AX88" s="2" t="str">
        <f aca="false">IF(LEFT(D88,1)="1",X88,"")</f>
        <v/>
      </c>
      <c r="AY88" s="17" t="str">
        <f aca="false">IF(LEFT(D88,1)="1",J88/I88,"")</f>
        <v/>
      </c>
      <c r="AZ88" s="2" t="str">
        <f aca="false">IF(LEFT(D88,1)="1",IF(AND(K88&gt;=Assumptions!$B$83,I88&gt;=Assumptions!$B$84),"Regular","Lumpy"),"")</f>
        <v/>
      </c>
      <c r="BA88" s="2" t="str">
        <f aca="false">IF(LEFT(D88,1)="1",ROUND(6/K88,0),"")</f>
        <v/>
      </c>
      <c r="BB88" s="2" t="str">
        <f aca="false">IF(LEFT(D88,1)="1",IF(AZ88="Regular","Regular buyer: expected ~£"&amp;TEXT(H88/2,"#,##0")&amp;" per 90 days. At Risk if GMV to date &lt; "&amp;TEXT(Assumptions!$B$81,"0%")&amp;" of pro-rated expectation, checked from day "&amp;Assumptions!$B$82&amp;". Human-reviewed.","Irregular buyer ("&amp;I88&amp;" orders across "&amp;K88&amp;" months): no numeric GMV threshold. At Risk if no order within ~"&amp;BA88&amp;" month(s); AM reviews at day "&amp;Assumptions!$B$82&amp;" and "&amp;Assumptions!$B$85&amp;"."),"")</f>
        <v/>
      </c>
      <c r="BC88" s="2"/>
      <c r="BD88" s="2"/>
      <c r="BE88" s="2"/>
      <c r="BF88" s="2"/>
      <c r="BG88" s="2"/>
      <c r="BH88" s="2"/>
      <c r="BI88" s="2"/>
      <c r="BJ88" s="2" t="str">
        <f aca="false">IF(OR(NOT(LEFT(D88,1)="1"),BC88=""),"",IF(AZ88="Regular",AND(BC88&gt;=Assumptions!$B$82,N(BI88)&lt;Assumptions!$B$81*H88/180*BC88),AND(BC88&gt;=BA88*30,N(BG88)=0)))</f>
        <v/>
      </c>
      <c r="BK88" s="2" t="str">
        <f aca="false">IF(NOT(LEFT(D88,1)="1"),"N/A",IF(BC88="","Baseline",IF(BJ88,"At Risk",IF(AND(N(BD88)&gt;=Assumptions!$B$78,N(BE88)&gt;=Assumptions!$B$79,N(BH88)&gt;=1,N(BH88)/MAX(N(BG88),1)&gt;AY88),"Self-Serve Capability Demonstrated",IF(OR(N(BD88)&gt;=Assumptions!$B$76,N(BE88)&gt;=Assumptions!$B$77),"Progressing",IF(BC88&gt;=Assumptions!$B$85,"At Risk","Baseline"))))))</f>
        <v>N/A</v>
      </c>
      <c r="BL88" s="2" t="n">
        <f aca="false">(AND(C88="Broker-Reliant",OR(AK88="Discovery-to-Offer Enablement",AK88="Reinforce Successful Behaviour")))*1+(AND(G88="Declining",E88&lt;&gt;"Tail",AL88="Automated"))*1+(AND(Y88,AM88&lt;&gt;"Human Sign-Off Required"))*1+(AND(AA88,AM88&lt;&gt;"HOLD — Critical Data Issue"))*1+(AND(P88="Recent Inactivity",OR(AK88="Discovery-to-Offer Enablement",AK88="Reinforce Successful Behaviour")))*1+(AND(OR(LEFT(D88,1)="2",LEFT(D88,1)="3",LEFT(D88,1)="8"),AL88="Automated"))*1+((LEFT(D88,1)="1")&lt;&gt;(AK88="Guided Self-Serve Migration"))*1+(AND(AR88&lt;&gt;"",OR(F88&lt;&gt;"Low",U88="Mixed",AND(G88&lt;&gt;"Growing",G88&lt;&gt;"Stable"))))*1+ISNUMBER(SEARCH("chat",AP88))*1+ISNUMBER(SEARCH("video",AP88))*1+(AND(AA88,AL88="Automated",AM88&lt;&gt;"HOLD — Critical Data Issue"))*1</f>
        <v>0</v>
      </c>
    </row>
    <row r="89" customFormat="false" ht="15" hidden="false" customHeight="false" outlineLevel="0" collapsed="false">
      <c r="A89" s="2" t="s">
        <v>612</v>
      </c>
      <c r="B89" s="2" t="str">
        <f aca="false">INDEX(Segmentation!$B$2:$B$301,MATCH($A89,Segmentation!$A$2:$A$301,0))</f>
        <v>Account Managed</v>
      </c>
      <c r="C89" s="2" t="str">
        <f aca="false">INDEX(Segmentation!$H$2:$H$301,MATCH($A89,Segmentation!$A$2:$A$301,0))</f>
        <v>Broker-Reliant</v>
      </c>
      <c r="D89" s="2" t="str">
        <f aca="false">INDEX(Segmentation!$T$2:$T$301,MATCH($A89,Segmentation!$A$2:$A$301,0))</f>
        <v>5. Cost-to-Serve / Low-Touch</v>
      </c>
      <c r="E89" s="2" t="str">
        <f aca="false">INDEX(Segmentation!$J$2:$J$301,MATCH($A89,Segmentation!$A$2:$A$301,0))</f>
        <v>Tail</v>
      </c>
      <c r="F89" s="2" t="str">
        <f aca="false">INDEX(Segmentation!$G$2:$G$301,MATCH($A89,Segmentation!$A$2:$A$301,0))</f>
        <v>High</v>
      </c>
      <c r="G89" s="2" t="str">
        <f aca="false">INDEX(Segmentation!$N$2:$N$301,MATCH($A89,Segmentation!$A$2:$A$301,0))</f>
        <v>Lapsed</v>
      </c>
      <c r="H89" s="9" t="n">
        <f aca="false">INDEX(Segmentation!$I$2:$I$301,MATCH($A89,Segmentation!$A$2:$A$301,0))</f>
        <v>1071</v>
      </c>
      <c r="I89" s="2" t="n">
        <f aca="false">INDEX(Segmentation!$O$2:$O$301,MATCH($A89,Segmentation!$A$2:$A$301,0))</f>
        <v>2</v>
      </c>
      <c r="J89" s="2" t="n">
        <f aca="false">INDEX(Segmentation!$Q$2:$Q$301,MATCH($A89,Segmentation!$A$2:$A$301,0))</f>
        <v>1</v>
      </c>
      <c r="K89" s="2" t="n">
        <f aca="false">INDEX(Segmentation!$W$2:$W$301,MATCH($A89,Segmentation!$A$2:$A$301,0))</f>
        <v>1</v>
      </c>
      <c r="L89" s="9" t="n">
        <f aca="false">INDEX('Commercial View'!$L$2:$L$301,MATCH($A89,'Commercial View'!$A$2:$A$301,0))</f>
        <v>0</v>
      </c>
      <c r="M89" s="9" t="n">
        <f aca="false">INDEX('Commercial View'!$M$2:$M$301,MATCH($A89,'Commercial View'!$A$2:$A$301,0))</f>
        <v>0</v>
      </c>
      <c r="N89" s="9" t="n">
        <f aca="false">INDEX('Commercial View'!$N$2:$N$301,MATCH($A89,'Commercial View'!$A$2:$A$301,0))</f>
        <v>0</v>
      </c>
      <c r="O89" s="9" t="n">
        <f aca="false">INDEX(Segmentation!$L$2:$L$301,MATCH($A89,Segmentation!$A$2:$A$301,0))</f>
        <v>0</v>
      </c>
      <c r="P89" s="2" t="str">
        <f aca="false">IF(OR(M89&gt;0,N89&gt;0),"Recently Active",IF(OR(I89&lt;=Assumptions!$B$48,K89&lt;=Assumptions!$B$49),"No Meaningful History","Recent Inactivity"))</f>
        <v>No Meaningful History</v>
      </c>
      <c r="Q89" s="2" t="str">
        <f aca="false">INDEX(Segmentation!$AF$2:$AF$301,MATCH($A89,Segmentation!$A$2:$A$301,0))</f>
        <v>Existing Customer</v>
      </c>
      <c r="R89" s="2" t="str">
        <f aca="false">INDEX(Segmentation!$AL$2:$AL$301,MATCH($A89,Segmentation!$A$2:$A$301,0))</f>
        <v>One-Off / Insufficient History — Verify</v>
      </c>
      <c r="S89" s="10" t="b">
        <f aca="false">INDEX(Segmentation!$AW$2:$AW$301,MATCH($A89,Segmentation!$A$2:$A$301,0))</f>
        <v>0</v>
      </c>
      <c r="T89" s="2" t="str">
        <f aca="false">INDEX('Feature Data'!$AD$2:$AD$301,MATCH($A89,'Feature Data'!$A$2:$A$301,0))</f>
        <v>Broker-led, product-blind</v>
      </c>
      <c r="U89" s="2" t="str">
        <f aca="false">INDEX('Feature Data'!$W$2:$W$301,MATCH($A89,'Feature Data'!$A$2:$A$301,0))</f>
        <v>Bundle-only</v>
      </c>
      <c r="V89" s="2" t="n">
        <f aca="false">INDEX('Feature Data'!$P$2:$P$301,MATCH($A89,'Feature Data'!$A$2:$A$301,0))</f>
        <v>1</v>
      </c>
      <c r="W89" s="2" t="n">
        <f aca="false">INDEX(Segmentation!$R$2:$R$301,MATCH($A89,Segmentation!$A$2:$A$301,0))</f>
        <v>3</v>
      </c>
      <c r="X89" s="2" t="n">
        <f aca="false">INDEX(Segmentation!$S$2:$S$301,MATCH($A89,Segmentation!$A$2:$A$301,0))</f>
        <v>1</v>
      </c>
      <c r="Y89" s="10" t="b">
        <f aca="false">INDEX(Segmentation!$AG$2:$AG$301,MATCH($A89,Segmentation!$A$2:$A$301,0))</f>
        <v>0</v>
      </c>
      <c r="Z89" s="2" t="str">
        <f aca="false">INDEX(Segmentation!$AU$2:$AU$301,MATCH($A89,Segmentation!$A$2:$A$301,0))</f>
        <v>Not Eligible</v>
      </c>
      <c r="AA89" s="10" t="b">
        <f aca="false">INDEX(Segmentation!$Z$2:$Z$301,MATCH($A89,Segmentation!$A$2:$A$301,0))</f>
        <v>0</v>
      </c>
      <c r="AB89" s="10" t="b">
        <f aca="false">INDEX(Segmentation!$AH$2:$AH$301,MATCH($A89,Segmentation!$A$2:$A$301,0))</f>
        <v>0</v>
      </c>
      <c r="AC89" s="10" t="b">
        <f aca="false">INDEX(Segmentation!$AK$2:$AK$301,MATCH($A89,Segmentation!$A$2:$A$301,0))</f>
        <v>0</v>
      </c>
      <c r="AD89" s="10" t="b">
        <f aca="false">INDEX(Segmentation!$AQ$2:$AQ$301,MATCH($A89,Segmentation!$A$2:$A$301,0))</f>
        <v>0</v>
      </c>
      <c r="AE89" s="10" t="b">
        <f aca="false">INDEX(Segmentation!$AT$2:$AT$301,MATCH($A89,Segmentation!$A$2:$A$301,0))</f>
        <v>0</v>
      </c>
      <c r="AF89" s="10" t="b">
        <f aca="false">INDEX(Segmentation!$X$2:$X$301,MATCH($A89,Segmentation!$A$2:$A$301,0))</f>
        <v>1</v>
      </c>
      <c r="AG89" s="10" t="b">
        <f aca="false">AND(F89="Low",V89&gt;=Assumptions!$B$71,X89&lt;Assumptions!$B$72)</f>
        <v>0</v>
      </c>
      <c r="AH89" s="10" t="b">
        <f aca="false">AND(F89="Low",OR(G89="Growing",G89="Stable"),P89="Recently Active",V89&gt;=Assumptions!$B$58,K89&gt;=Assumptions!$B$73)</f>
        <v>0</v>
      </c>
      <c r="AI89" s="17" t="str">
        <f aca="false">IF(O89&gt;0,MAX(L89:N89)/O89,"")</f>
        <v/>
      </c>
      <c r="AJ89" s="2" t="str">
        <f aca="false">IF(LEFT(D89,1)="1",IF(E89="Key","MIGRATION_KEY_SIGNOFF",IF(Z89="Ready","MIGRATION_PHASE1_READY",IF(Z89="Manual Review","MIGRATION_PHASE1_REVIEW","MIGRATION_PRE_ENTRY"))),IF(LEFT(D89,1)="2","DECLINING_KEY_CORE",IF(LEFT(D89,1)="3",IF(R89="Established Buyer Lapsed","LAPSED_ESTABLISHED","LAPSED_THIN_HISTORY"),IF(LEFT(D89,1)="4",IF(Q89="New Customer","NEW_CUSTOMER","RETURNED_CUSTOMER"),IF(LEFT(D89,1)="5",IF(P89="Recently Active","COST_TO_SERVE_ACTIVE","DORMANT_LOW_VALUE"),IF(LEFT(D89,1)="6",IF(P89="Recent Inactivity","RECENT_INACTIVITY",IF(AG89,"BROWSING_LOW_OFFERS","HEALTHY_STRONG_SELF_SERVE")),IF(LEFT(D89,1)="7",IF(P89="Recent Inactivity","RECENT_INACTIVITY",IF(Q89="New Customer","NEW_CUSTOMER","RETURNED_CUSTOMER")),IF(LEFT(D89,1)="8",IF(G89="Declining",IF(T89="Engaged but shrinking (Key/Core)","ENGAGED_BUT_SHRINKING","DECLINING_KEY_CORE"),IF(R89="Established Buyer Lapsed","LAPSED_ESTABLISHED","LAPSED_THIN_HISTORY")),IF(S89,IF(P89&lt;&gt;"Recently Active","DORMANT_LOW_VALUE",IF(AG89,"BROWSING_LOW_OFFERS",IF(AH89,"RISING_TAIL","RISING_TAIL_EARLY"))),IF(AND(AG89,P89="Recently Active",OR(G89="Growing",G89="Stable",G89="H2 Active / No H1 GMV"),I89&gt;=Assumptions!$B$74),"BROWSING_LOW_OFFERS","LONG_TAIL_STANDARD"))))))))))</f>
        <v>DORMANT_LOW_VALUE</v>
      </c>
      <c r="AK89" s="2" t="str">
        <f aca="false">INDEX('NBA Library'!$B$4:$B$21,MATCH(AJ89,'NBA Library'!$A$4:$A$21,0))</f>
        <v>Automated Nurture</v>
      </c>
      <c r="AL89" s="2" t="str">
        <f aca="false">INDEX('NBA Library'!$C$4:$C$21,MATCH(AJ89,'NBA Library'!$A$4:$A$21,0))</f>
        <v>Automated</v>
      </c>
      <c r="AM89" s="2" t="str">
        <f aca="false">IF(AA89,"HOLD — Critical Data Issue",IF(Y89,"Human Sign-Off Required",IF(Z89="Manual Review","Human Review Required",IF(AND(AL89="Automated",OR(AE89,AND(OR(AK89="Discovery-to-Offer Enablement",AK89="Reinforce Successful Behaviour"),OR(AC89,AB89)))),"Human Review Required",IF(AL89="Human","Ready — Human",IF(AL89="Hybrid","Ready — Hybrid","Ready — Automated"))))))</f>
        <v>Ready — Automated</v>
      </c>
      <c r="AN89" s="2" t="str">
        <f aca="false">IF(AA89,"P0",IF(AND(AJ89="BROWSING_LOW_OFFERS",E89="Tail"),"P3",IF(AND(AM89="Human Review Required",INDEX('NBA Library'!$D$4:$D$21,MATCH(AJ89,'NBA Library'!$A$4:$A$21,0))="P4"),"P3",INDEX('NBA Library'!$D$4:$D$21,MATCH(AJ89,'NBA Library'!$A$4:$A$21,0)))))</f>
        <v>P4</v>
      </c>
      <c r="AO89" s="2" t="str">
        <f aca="false">E89&amp;" "&amp;C89&amp;" account ("&amp;B89&amp;"); "&amp;G89&amp;" momentum; "&amp;P89&amp;"; £"&amp;TEXT(H89,"#,##0")&amp;" 6m GMV. "&amp;INDEX('NBA Library'!$G$4:$G$21,MATCH(AJ89,'NBA Library'!$A$4:$A$21,0))&amp;IF(LEFT(D89,1)="1"," Baseline: "&amp;V89&amp;" PDP views, "&amp;W89&amp;" app days, "&amp;X89&amp;" offers, "&amp;TEXT(J89/I89,"0%")&amp;" of orders self-serve.","")&amp;IF(AA89," Execution on HOLD until the Duplicate status is resolved.","")&amp;IF(Y89," Key account: explicit AM/leadership sign-off required before any migration activity.","")&amp;IF(AE89," Implied broker % from order counts would move this account to a different segment; review before automating.","")</f>
        <v>Tail Broker-Reliant account (Account Managed); Lapsed momentum; No Meaningful History; £1,071 6m GMV. Low-value account with no recent GMV. Avoid human time.</v>
      </c>
      <c r="AP89" s="2" t="str">
        <f aca="false">INDEX('NBA Library'!$E$4:$E$21,MATCH(AJ89,'NBA Library'!$A$4:$A$21,0))&amp;IF(AND(AJ89="NEW_CUSTOMER",AG89),"; introduce Make-an-Offer on items already browsed","")</f>
        <v>Automated reactivation only; no human time</v>
      </c>
      <c r="AQ89" s="2" t="str">
        <f aca="false">INDEX('NBA Library'!$F$4:$F$21,MATCH(AJ89,'NBA Library'!$A$4:$A$21,0))</f>
        <v>Any order within 90 days</v>
      </c>
      <c r="AR89" s="2" t="str">
        <f aca="false">IF(AND(F89="Low",OR(G89="Growing",G89="Stable"),P89="Recently Active",U89&lt;&gt;"Mixed",OR(AK89="Discovery-to-Offer Enablement",AK89="Reinforce Successful Behaviour"),AM89="Ready — Automated",OR(E89&lt;&gt;"Tail",S89)),"Range Expansion Test — trial "&amp;IF(U89="Bundle-only","handpick","bundles")&amp;" (experimental; not proven to lift GMV)","")</f>
        <v/>
      </c>
      <c r="AS89" s="2" t="str">
        <f aca="false">IF(AK89&lt;&gt;"Automated Nurture","",IF(AJ89="DORMANT_LOW_VALUE","Dormant",IF(AJ89="RISING_TAIL_EARLY","Rising tail – early pattern",IF(Q89="New Customer","New customer onboarding",IF(Q89="Returned Customer","Returned customer",IF(G89="Lapsed","Dormant",IF(T89="Engaged, not converting","Engaged, not converting",IF(T89="One-off low-touch buyer","One-off purchaser",IF(T89="Light-touch repeat buyer","Light-touch repeat buyer","Standard long tail")))))))))</f>
        <v>Dormant</v>
      </c>
      <c r="AT89" s="2" t="str">
        <f aca="false">IF(AA89,"CRITICAL_DATA_BLOCKER; ","")&amp;IF(Y89,"KEY_SIGNOFF; ","")&amp;IF(Z89="Manual Review","PHASE1_MANUAL_REVIEW; ","")&amp;IF(AND(LEFT(D89,1)="1",AZ89="Lumpy"),"LUMPY_CADENCE; ","")&amp;IF(AB89,"BORDERLINE_MOMENTUM; ","")&amp;IF(AC89,"FEB_SENSITIVE; ","")&amp;IF(AD89,"MATERIAL_BROKER_INCONSISTENCY"&amp;IF(AE89," (segment would change)","")&amp;"; ","")&amp;IF(AND(I89&gt;=3,O89&gt;0),IF(AI89&gt;=Assumptions!$B$75,"H2_SINGLE_MONTH_SPIKE; ",""),"")&amp;IF(AND(M89&gt;0,N89=0),"NO_FEB_GMV (Feb unconfirmed); ","")&amp;IF(AF89,"LOW_CONFIDENCE; ","")</f>
        <v>LOW_CONFIDENCE; </v>
      </c>
      <c r="AU89" s="2" t="str">
        <f aca="false">IF(LEFT(D89,1)="1",V89,"")</f>
        <v/>
      </c>
      <c r="AV89" s="2" t="str">
        <f aca="false">IF(LEFT(D89,1)="1",V89&gt;=Assumptions!$B$58,"")</f>
        <v/>
      </c>
      <c r="AW89" s="2" t="str">
        <f aca="false">IF(LEFT(D89,1)="1",W89,"")</f>
        <v/>
      </c>
      <c r="AX89" s="2" t="str">
        <f aca="false">IF(LEFT(D89,1)="1",X89,"")</f>
        <v/>
      </c>
      <c r="AY89" s="17" t="str">
        <f aca="false">IF(LEFT(D89,1)="1",J89/I89,"")</f>
        <v/>
      </c>
      <c r="AZ89" s="2" t="str">
        <f aca="false">IF(LEFT(D89,1)="1",IF(AND(K89&gt;=Assumptions!$B$83,I89&gt;=Assumptions!$B$84),"Regular","Lumpy"),"")</f>
        <v/>
      </c>
      <c r="BA89" s="2" t="str">
        <f aca="false">IF(LEFT(D89,1)="1",ROUND(6/K89,0),"")</f>
        <v/>
      </c>
      <c r="BB89" s="2" t="str">
        <f aca="false">IF(LEFT(D89,1)="1",IF(AZ89="Regular","Regular buyer: expected ~£"&amp;TEXT(H89/2,"#,##0")&amp;" per 90 days. At Risk if GMV to date &lt; "&amp;TEXT(Assumptions!$B$81,"0%")&amp;" of pro-rated expectation, checked from day "&amp;Assumptions!$B$82&amp;". Human-reviewed.","Irregular buyer ("&amp;I89&amp;" orders across "&amp;K89&amp;" months): no numeric GMV threshold. At Risk if no order within ~"&amp;BA89&amp;" month(s); AM reviews at day "&amp;Assumptions!$B$82&amp;" and "&amp;Assumptions!$B$85&amp;"."),"")</f>
        <v/>
      </c>
      <c r="BC89" s="2"/>
      <c r="BD89" s="2"/>
      <c r="BE89" s="2"/>
      <c r="BF89" s="2"/>
      <c r="BG89" s="2"/>
      <c r="BH89" s="2"/>
      <c r="BI89" s="2"/>
      <c r="BJ89" s="2" t="str">
        <f aca="false">IF(OR(NOT(LEFT(D89,1)="1"),BC89=""),"",IF(AZ89="Regular",AND(BC89&gt;=Assumptions!$B$82,N(BI89)&lt;Assumptions!$B$81*H89/180*BC89),AND(BC89&gt;=BA89*30,N(BG89)=0)))</f>
        <v/>
      </c>
      <c r="BK89" s="2" t="str">
        <f aca="false">IF(NOT(LEFT(D89,1)="1"),"N/A",IF(BC89="","Baseline",IF(BJ89,"At Risk",IF(AND(N(BD89)&gt;=Assumptions!$B$78,N(BE89)&gt;=Assumptions!$B$79,N(BH89)&gt;=1,N(BH89)/MAX(N(BG89),1)&gt;AY89),"Self-Serve Capability Demonstrated",IF(OR(N(BD89)&gt;=Assumptions!$B$76,N(BE89)&gt;=Assumptions!$B$77),"Progressing",IF(BC89&gt;=Assumptions!$B$85,"At Risk","Baseline"))))))</f>
        <v>N/A</v>
      </c>
      <c r="BL89" s="2" t="n">
        <f aca="false">(AND(C89="Broker-Reliant",OR(AK89="Discovery-to-Offer Enablement",AK89="Reinforce Successful Behaviour")))*1+(AND(G89="Declining",E89&lt;&gt;"Tail",AL89="Automated"))*1+(AND(Y89,AM89&lt;&gt;"Human Sign-Off Required"))*1+(AND(AA89,AM89&lt;&gt;"HOLD — Critical Data Issue"))*1+(AND(P89="Recent Inactivity",OR(AK89="Discovery-to-Offer Enablement",AK89="Reinforce Successful Behaviour")))*1+(AND(OR(LEFT(D89,1)="2",LEFT(D89,1)="3",LEFT(D89,1)="8"),AL89="Automated"))*1+((LEFT(D89,1)="1")&lt;&gt;(AK89="Guided Self-Serve Migration"))*1+(AND(AR89&lt;&gt;"",OR(F89&lt;&gt;"Low",U89="Mixed",AND(G89&lt;&gt;"Growing",G89&lt;&gt;"Stable"))))*1+ISNUMBER(SEARCH("chat",AP89))*1+ISNUMBER(SEARCH("video",AP89))*1+(AND(AA89,AL89="Automated",AM89&lt;&gt;"HOLD — Critical Data Issue"))*1</f>
        <v>0</v>
      </c>
    </row>
    <row r="90" customFormat="false" ht="15" hidden="false" customHeight="false" outlineLevel="0" collapsed="false">
      <c r="A90" s="2" t="s">
        <v>614</v>
      </c>
      <c r="B90" s="2" t="str">
        <f aca="false">INDEX(Segmentation!$B$2:$B$301,MATCH($A90,Segmentation!$A$2:$A$301,0))</f>
        <v>Account Managed</v>
      </c>
      <c r="C90" s="2" t="str">
        <f aca="false">INDEX(Segmentation!$H$2:$H$301,MATCH($A90,Segmentation!$A$2:$A$301,0))</f>
        <v>AM-Owned / Self-Serving</v>
      </c>
      <c r="D90" s="2" t="str">
        <f aca="false">INDEX(Segmentation!$T$2:$T$301,MATCH($A90,Segmentation!$A$2:$A$301,0))</f>
        <v>9. Long-Tail Automated Nurture</v>
      </c>
      <c r="E90" s="2" t="str">
        <f aca="false">INDEX(Segmentation!$J$2:$J$301,MATCH($A90,Segmentation!$A$2:$A$301,0))</f>
        <v>Tail</v>
      </c>
      <c r="F90" s="2" t="str">
        <f aca="false">INDEX(Segmentation!$G$2:$G$301,MATCH($A90,Segmentation!$A$2:$A$301,0))</f>
        <v>Low</v>
      </c>
      <c r="G90" s="2" t="str">
        <f aca="false">INDEX(Segmentation!$N$2:$N$301,MATCH($A90,Segmentation!$A$2:$A$301,0))</f>
        <v>Lapsed</v>
      </c>
      <c r="H90" s="9" t="n">
        <f aca="false">INDEX(Segmentation!$I$2:$I$301,MATCH($A90,Segmentation!$A$2:$A$301,0))</f>
        <v>1011</v>
      </c>
      <c r="I90" s="2" t="n">
        <f aca="false">INDEX(Segmentation!$O$2:$O$301,MATCH($A90,Segmentation!$A$2:$A$301,0))</f>
        <v>2</v>
      </c>
      <c r="J90" s="2" t="n">
        <f aca="false">INDEX(Segmentation!$Q$2:$Q$301,MATCH($A90,Segmentation!$A$2:$A$301,0))</f>
        <v>2</v>
      </c>
      <c r="K90" s="2" t="n">
        <f aca="false">INDEX(Segmentation!$W$2:$W$301,MATCH($A90,Segmentation!$A$2:$A$301,0))</f>
        <v>1</v>
      </c>
      <c r="L90" s="9" t="n">
        <f aca="false">INDEX('Commercial View'!$L$2:$L$301,MATCH($A90,'Commercial View'!$A$2:$A$301,0))</f>
        <v>0</v>
      </c>
      <c r="M90" s="9" t="n">
        <f aca="false">INDEX('Commercial View'!$M$2:$M$301,MATCH($A90,'Commercial View'!$A$2:$A$301,0))</f>
        <v>0</v>
      </c>
      <c r="N90" s="9" t="n">
        <f aca="false">INDEX('Commercial View'!$N$2:$N$301,MATCH($A90,'Commercial View'!$A$2:$A$301,0))</f>
        <v>0</v>
      </c>
      <c r="O90" s="9" t="n">
        <f aca="false">INDEX(Segmentation!$L$2:$L$301,MATCH($A90,Segmentation!$A$2:$A$301,0))</f>
        <v>0</v>
      </c>
      <c r="P90" s="2" t="str">
        <f aca="false">IF(OR(M90&gt;0,N90&gt;0),"Recently Active",IF(OR(I90&lt;=Assumptions!$B$48,K90&lt;=Assumptions!$B$49),"No Meaningful History","Recent Inactivity"))</f>
        <v>No Meaningful History</v>
      </c>
      <c r="Q90" s="2" t="str">
        <f aca="false">INDEX(Segmentation!$AF$2:$AF$301,MATCH($A90,Segmentation!$A$2:$A$301,0))</f>
        <v>Existing Customer</v>
      </c>
      <c r="R90" s="2" t="str">
        <f aca="false">INDEX(Segmentation!$AL$2:$AL$301,MATCH($A90,Segmentation!$A$2:$A$301,0))</f>
        <v>One-Off / Insufficient History — Verify</v>
      </c>
      <c r="S90" s="10" t="b">
        <f aca="false">INDEX(Segmentation!$AW$2:$AW$301,MATCH($A90,Segmentation!$A$2:$A$301,0))</f>
        <v>0</v>
      </c>
      <c r="T90" s="2" t="str">
        <f aca="false">INDEX('Feature Data'!$AD$2:$AD$301,MATCH($A90,'Feature Data'!$A$2:$A$301,0))</f>
        <v>Engaged, not converting</v>
      </c>
      <c r="U90" s="2" t="str">
        <f aca="false">INDEX('Feature Data'!$W$2:$W$301,MATCH($A90,'Feature Data'!$A$2:$A$301,0))</f>
        <v>Handpick-only</v>
      </c>
      <c r="V90" s="2" t="n">
        <f aca="false">INDEX('Feature Data'!$P$2:$P$301,MATCH($A90,'Feature Data'!$A$2:$A$301,0))</f>
        <v>577</v>
      </c>
      <c r="W90" s="2" t="n">
        <f aca="false">INDEX(Segmentation!$R$2:$R$301,MATCH($A90,Segmentation!$A$2:$A$301,0))</f>
        <v>42</v>
      </c>
      <c r="X90" s="2" t="n">
        <f aca="false">INDEX(Segmentation!$S$2:$S$301,MATCH($A90,Segmentation!$A$2:$A$301,0))</f>
        <v>13</v>
      </c>
      <c r="Y90" s="10" t="b">
        <f aca="false">INDEX(Segmentation!$AG$2:$AG$301,MATCH($A90,Segmentation!$A$2:$A$301,0))</f>
        <v>0</v>
      </c>
      <c r="Z90" s="2" t="str">
        <f aca="false">INDEX(Segmentation!$AU$2:$AU$301,MATCH($A90,Segmentation!$A$2:$A$301,0))</f>
        <v>Not Eligible</v>
      </c>
      <c r="AA90" s="10" t="b">
        <f aca="false">INDEX(Segmentation!$Z$2:$Z$301,MATCH($A90,Segmentation!$A$2:$A$301,0))</f>
        <v>0</v>
      </c>
      <c r="AB90" s="10" t="b">
        <f aca="false">INDEX(Segmentation!$AH$2:$AH$301,MATCH($A90,Segmentation!$A$2:$A$301,0))</f>
        <v>0</v>
      </c>
      <c r="AC90" s="10" t="b">
        <f aca="false">INDEX(Segmentation!$AK$2:$AK$301,MATCH($A90,Segmentation!$A$2:$A$301,0))</f>
        <v>0</v>
      </c>
      <c r="AD90" s="10" t="b">
        <f aca="false">INDEX(Segmentation!$AQ$2:$AQ$301,MATCH($A90,Segmentation!$A$2:$A$301,0))</f>
        <v>0</v>
      </c>
      <c r="AE90" s="10" t="b">
        <f aca="false">INDEX(Segmentation!$AT$2:$AT$301,MATCH($A90,Segmentation!$A$2:$A$301,0))</f>
        <v>0</v>
      </c>
      <c r="AF90" s="10" t="b">
        <f aca="false">INDEX(Segmentation!$X$2:$X$301,MATCH($A90,Segmentation!$A$2:$A$301,0))</f>
        <v>1</v>
      </c>
      <c r="AG90" s="10" t="b">
        <f aca="false">AND(F90="Low",V90&gt;=Assumptions!$B$71,X90&lt;Assumptions!$B$72)</f>
        <v>0</v>
      </c>
      <c r="AH90" s="10" t="b">
        <f aca="false">AND(F90="Low",OR(G90="Growing",G90="Stable"),P90="Recently Active",V90&gt;=Assumptions!$B$58,K90&gt;=Assumptions!$B$73)</f>
        <v>0</v>
      </c>
      <c r="AI90" s="17" t="str">
        <f aca="false">IF(O90&gt;0,MAX(L90:N90)/O90,"")</f>
        <v/>
      </c>
      <c r="AJ90" s="2" t="str">
        <f aca="false">IF(LEFT(D90,1)="1",IF(E90="Key","MIGRATION_KEY_SIGNOFF",IF(Z90="Ready","MIGRATION_PHASE1_READY",IF(Z90="Manual Review","MIGRATION_PHASE1_REVIEW","MIGRATION_PRE_ENTRY"))),IF(LEFT(D90,1)="2","DECLINING_KEY_CORE",IF(LEFT(D90,1)="3",IF(R90="Established Buyer Lapsed","LAPSED_ESTABLISHED","LAPSED_THIN_HISTORY"),IF(LEFT(D90,1)="4",IF(Q90="New Customer","NEW_CUSTOMER","RETURNED_CUSTOMER"),IF(LEFT(D90,1)="5",IF(P90="Recently Active","COST_TO_SERVE_ACTIVE","DORMANT_LOW_VALUE"),IF(LEFT(D90,1)="6",IF(P90="Recent Inactivity","RECENT_INACTIVITY",IF(AG90,"BROWSING_LOW_OFFERS","HEALTHY_STRONG_SELF_SERVE")),IF(LEFT(D90,1)="7",IF(P90="Recent Inactivity","RECENT_INACTIVITY",IF(Q90="New Customer","NEW_CUSTOMER","RETURNED_CUSTOMER")),IF(LEFT(D90,1)="8",IF(G90="Declining",IF(T90="Engaged but shrinking (Key/Core)","ENGAGED_BUT_SHRINKING","DECLINING_KEY_CORE"),IF(R90="Established Buyer Lapsed","LAPSED_ESTABLISHED","LAPSED_THIN_HISTORY")),IF(S90,IF(P90&lt;&gt;"Recently Active","DORMANT_LOW_VALUE",IF(AG90,"BROWSING_LOW_OFFERS",IF(AH90,"RISING_TAIL","RISING_TAIL_EARLY"))),IF(AND(AG90,P90="Recently Active",OR(G90="Growing",G90="Stable",G90="H2 Active / No H1 GMV"),I90&gt;=Assumptions!$B$74),"BROWSING_LOW_OFFERS","LONG_TAIL_STANDARD"))))))))))</f>
        <v>LONG_TAIL_STANDARD</v>
      </c>
      <c r="AK90" s="2" t="str">
        <f aca="false">INDEX('NBA Library'!$B$4:$B$21,MATCH(AJ90,'NBA Library'!$A$4:$A$21,0))</f>
        <v>Automated Nurture</v>
      </c>
      <c r="AL90" s="2" t="str">
        <f aca="false">INDEX('NBA Library'!$C$4:$C$21,MATCH(AJ90,'NBA Library'!$A$4:$A$21,0))</f>
        <v>Automated</v>
      </c>
      <c r="AM90" s="2" t="str">
        <f aca="false">IF(AA90,"HOLD — Critical Data Issue",IF(Y90,"Human Sign-Off Required",IF(Z90="Manual Review","Human Review Required",IF(AND(AL90="Automated",OR(AE90,AND(OR(AK90="Discovery-to-Offer Enablement",AK90="Reinforce Successful Behaviour"),OR(AC90,AB90)))),"Human Review Required",IF(AL90="Human","Ready — Human",IF(AL90="Hybrid","Ready — Hybrid","Ready — Automated"))))))</f>
        <v>Ready — Automated</v>
      </c>
      <c r="AN90" s="2" t="str">
        <f aca="false">IF(AA90,"P0",IF(AND(AJ90="BROWSING_LOW_OFFERS",E90="Tail"),"P3",IF(AND(AM90="Human Review Required",INDEX('NBA Library'!$D$4:$D$21,MATCH(AJ90,'NBA Library'!$A$4:$A$21,0))="P4"),"P3",INDEX('NBA Library'!$D$4:$D$21,MATCH(AJ90,'NBA Library'!$A$4:$A$21,0)))))</f>
        <v>P4</v>
      </c>
      <c r="AO90" s="2" t="str">
        <f aca="false">E90&amp;" "&amp;C90&amp;" account ("&amp;B90&amp;"); "&amp;G90&amp;" momentum; "&amp;P90&amp;"; £"&amp;TEXT(H90,"#,##0")&amp;" 6m GMV. "&amp;INDEX('NBA Library'!$G$4:$G$21,MATCH(AJ90,'NBA Library'!$A$4:$A$21,0))&amp;IF(LEFT(D90,1)="1"," Baseline: "&amp;V90&amp;" PDP views, "&amp;W90&amp;" app days, "&amp;X90&amp;" offers, "&amp;TEXT(J90/I90,"0%")&amp;" of orders self-serve.","")&amp;IF(AA90," Execution on HOLD until the Duplicate status is resolved.","")&amp;IF(Y90," Key account: explicit AM/leadership sign-off required before any migration activity.","")&amp;IF(AE90," Implied broker % from order counts would move this account to a different segment; review before automating.","")</f>
        <v>Tail AM-Owned / Self-Serving account (Account Managed); Lapsed momentum; No Meaningful History; £1,011 6m GMV. Low-value, low-dependency account. Scalable automated engagement.</v>
      </c>
      <c r="AP90" s="2" t="str">
        <f aca="false">INDEX('NBA Library'!$E$4:$E$21,MATCH(AJ90,'NBA Library'!$A$4:$A$21,0))&amp;IF(AND(AJ90="NEW_CUSTOMER",AG90),"; introduce Make-an-Offer on items already browsed","")</f>
        <v>Scalable automated engagement matched to nurture sub-context</v>
      </c>
      <c r="AQ90" s="2" t="str">
        <f aca="false">INDEX('NBA Library'!$F$4:$F$21,MATCH(AJ90,'NBA Library'!$A$4:$A$21,0))</f>
        <v>Any repeat order within 90 days</v>
      </c>
      <c r="AR90" s="2" t="str">
        <f aca="false">IF(AND(F90="Low",OR(G90="Growing",G90="Stable"),P90="Recently Active",U90&lt;&gt;"Mixed",OR(AK90="Discovery-to-Offer Enablement",AK90="Reinforce Successful Behaviour"),AM90="Ready — Automated",OR(E90&lt;&gt;"Tail",S90)),"Range Expansion Test — trial "&amp;IF(U90="Bundle-only","handpick","bundles")&amp;" (experimental; not proven to lift GMV)","")</f>
        <v/>
      </c>
      <c r="AS90" s="2" t="str">
        <f aca="false">IF(AK90&lt;&gt;"Automated Nurture","",IF(AJ90="DORMANT_LOW_VALUE","Dormant",IF(AJ90="RISING_TAIL_EARLY","Rising tail – early pattern",IF(Q90="New Customer","New customer onboarding",IF(Q90="Returned Customer","Returned customer",IF(G90="Lapsed","Dormant",IF(T90="Engaged, not converting","Engaged, not converting",IF(T90="One-off low-touch buyer","One-off purchaser",IF(T90="Light-touch repeat buyer","Light-touch repeat buyer","Standard long tail")))))))))</f>
        <v>Dormant</v>
      </c>
      <c r="AT90" s="2" t="str">
        <f aca="false">IF(AA90,"CRITICAL_DATA_BLOCKER; ","")&amp;IF(Y90,"KEY_SIGNOFF; ","")&amp;IF(Z90="Manual Review","PHASE1_MANUAL_REVIEW; ","")&amp;IF(AND(LEFT(D90,1)="1",AZ90="Lumpy"),"LUMPY_CADENCE; ","")&amp;IF(AB90,"BORDERLINE_MOMENTUM; ","")&amp;IF(AC90,"FEB_SENSITIVE; ","")&amp;IF(AD90,"MATERIAL_BROKER_INCONSISTENCY"&amp;IF(AE90," (segment would change)","")&amp;"; ","")&amp;IF(AND(I90&gt;=3,O90&gt;0),IF(AI90&gt;=Assumptions!$B$75,"H2_SINGLE_MONTH_SPIKE; ",""),"")&amp;IF(AND(M90&gt;0,N90=0),"NO_FEB_GMV (Feb unconfirmed); ","")&amp;IF(AF90,"LOW_CONFIDENCE; ","")</f>
        <v>LOW_CONFIDENCE; </v>
      </c>
      <c r="AU90" s="2" t="str">
        <f aca="false">IF(LEFT(D90,1)="1",V90,"")</f>
        <v/>
      </c>
      <c r="AV90" s="2" t="str">
        <f aca="false">IF(LEFT(D90,1)="1",V90&gt;=Assumptions!$B$58,"")</f>
        <v/>
      </c>
      <c r="AW90" s="2" t="str">
        <f aca="false">IF(LEFT(D90,1)="1",W90,"")</f>
        <v/>
      </c>
      <c r="AX90" s="2" t="str">
        <f aca="false">IF(LEFT(D90,1)="1",X90,"")</f>
        <v/>
      </c>
      <c r="AY90" s="17" t="str">
        <f aca="false">IF(LEFT(D90,1)="1",J90/I90,"")</f>
        <v/>
      </c>
      <c r="AZ90" s="2" t="str">
        <f aca="false">IF(LEFT(D90,1)="1",IF(AND(K90&gt;=Assumptions!$B$83,I90&gt;=Assumptions!$B$84),"Regular","Lumpy"),"")</f>
        <v/>
      </c>
      <c r="BA90" s="2" t="str">
        <f aca="false">IF(LEFT(D90,1)="1",ROUND(6/K90,0),"")</f>
        <v/>
      </c>
      <c r="BB90" s="2" t="str">
        <f aca="false">IF(LEFT(D90,1)="1",IF(AZ90="Regular","Regular buyer: expected ~£"&amp;TEXT(H90/2,"#,##0")&amp;" per 90 days. At Risk if GMV to date &lt; "&amp;TEXT(Assumptions!$B$81,"0%")&amp;" of pro-rated expectation, checked from day "&amp;Assumptions!$B$82&amp;". Human-reviewed.","Irregular buyer ("&amp;I90&amp;" orders across "&amp;K90&amp;" months): no numeric GMV threshold. At Risk if no order within ~"&amp;BA90&amp;" month(s); AM reviews at day "&amp;Assumptions!$B$82&amp;" and "&amp;Assumptions!$B$85&amp;"."),"")</f>
        <v/>
      </c>
      <c r="BC90" s="2"/>
      <c r="BD90" s="2"/>
      <c r="BE90" s="2"/>
      <c r="BF90" s="2"/>
      <c r="BG90" s="2"/>
      <c r="BH90" s="2"/>
      <c r="BI90" s="2"/>
      <c r="BJ90" s="2" t="str">
        <f aca="false">IF(OR(NOT(LEFT(D90,1)="1"),BC90=""),"",IF(AZ90="Regular",AND(BC90&gt;=Assumptions!$B$82,N(BI90)&lt;Assumptions!$B$81*H90/180*BC90),AND(BC90&gt;=BA90*30,N(BG90)=0)))</f>
        <v/>
      </c>
      <c r="BK90" s="2" t="str">
        <f aca="false">IF(NOT(LEFT(D90,1)="1"),"N/A",IF(BC90="","Baseline",IF(BJ90,"At Risk",IF(AND(N(BD90)&gt;=Assumptions!$B$78,N(BE90)&gt;=Assumptions!$B$79,N(BH90)&gt;=1,N(BH90)/MAX(N(BG90),1)&gt;AY90),"Self-Serve Capability Demonstrated",IF(OR(N(BD90)&gt;=Assumptions!$B$76,N(BE90)&gt;=Assumptions!$B$77),"Progressing",IF(BC90&gt;=Assumptions!$B$85,"At Risk","Baseline"))))))</f>
        <v>N/A</v>
      </c>
      <c r="BL90" s="2" t="n">
        <f aca="false">(AND(C90="Broker-Reliant",OR(AK90="Discovery-to-Offer Enablement",AK90="Reinforce Successful Behaviour")))*1+(AND(G90="Declining",E90&lt;&gt;"Tail",AL90="Automated"))*1+(AND(Y90,AM90&lt;&gt;"Human Sign-Off Required"))*1+(AND(AA90,AM90&lt;&gt;"HOLD — Critical Data Issue"))*1+(AND(P90="Recent Inactivity",OR(AK90="Discovery-to-Offer Enablement",AK90="Reinforce Successful Behaviour")))*1+(AND(OR(LEFT(D90,1)="2",LEFT(D90,1)="3",LEFT(D90,1)="8"),AL90="Automated"))*1+((LEFT(D90,1)="1")&lt;&gt;(AK90="Guided Self-Serve Migration"))*1+(AND(AR90&lt;&gt;"",OR(F90&lt;&gt;"Low",U90="Mixed",AND(G90&lt;&gt;"Growing",G90&lt;&gt;"Stable"))))*1+ISNUMBER(SEARCH("chat",AP90))*1+ISNUMBER(SEARCH("video",AP90))*1+(AND(AA90,AL90="Automated",AM90&lt;&gt;"HOLD — Critical Data Issue"))*1</f>
        <v>0</v>
      </c>
    </row>
    <row r="91" customFormat="false" ht="15" hidden="false" customHeight="false" outlineLevel="0" collapsed="false">
      <c r="A91" s="2" t="s">
        <v>616</v>
      </c>
      <c r="B91" s="2" t="str">
        <f aca="false">INDEX(Segmentation!$B$2:$B$301,MATCH($A91,Segmentation!$A$2:$A$301,0))</f>
        <v>Account Managed</v>
      </c>
      <c r="C91" s="2" t="str">
        <f aca="false">INDEX(Segmentation!$H$2:$H$301,MATCH($A91,Segmentation!$A$2:$A$301,0))</f>
        <v>AM-Owned / Self-Serving</v>
      </c>
      <c r="D91" s="2" t="str">
        <f aca="false">INDEX(Segmentation!$T$2:$T$301,MATCH($A91,Segmentation!$A$2:$A$301,0))</f>
        <v>9. Long-Tail Automated Nurture</v>
      </c>
      <c r="E91" s="2" t="str">
        <f aca="false">INDEX(Segmentation!$J$2:$J$301,MATCH($A91,Segmentation!$A$2:$A$301,0))</f>
        <v>Tail</v>
      </c>
      <c r="F91" s="2" t="str">
        <f aca="false">INDEX(Segmentation!$G$2:$G$301,MATCH($A91,Segmentation!$A$2:$A$301,0))</f>
        <v>Low</v>
      </c>
      <c r="G91" s="2" t="str">
        <f aca="false">INDEX(Segmentation!$N$2:$N$301,MATCH($A91,Segmentation!$A$2:$A$301,0))</f>
        <v>Growing</v>
      </c>
      <c r="H91" s="9" t="n">
        <f aca="false">INDEX(Segmentation!$I$2:$I$301,MATCH($A91,Segmentation!$A$2:$A$301,0))</f>
        <v>987</v>
      </c>
      <c r="I91" s="2" t="n">
        <f aca="false">INDEX(Segmentation!$O$2:$O$301,MATCH($A91,Segmentation!$A$2:$A$301,0))</f>
        <v>7</v>
      </c>
      <c r="J91" s="2" t="n">
        <f aca="false">INDEX(Segmentation!$Q$2:$Q$301,MATCH($A91,Segmentation!$A$2:$A$301,0))</f>
        <v>7</v>
      </c>
      <c r="K91" s="2" t="n">
        <f aca="false">INDEX(Segmentation!$W$2:$W$301,MATCH($A91,Segmentation!$A$2:$A$301,0))</f>
        <v>4</v>
      </c>
      <c r="L91" s="9" t="n">
        <f aca="false">INDEX('Commercial View'!$L$2:$L$301,MATCH($A91,'Commercial View'!$A$2:$A$301,0))</f>
        <v>311</v>
      </c>
      <c r="M91" s="9" t="n">
        <f aca="false">INDEX('Commercial View'!$M$2:$M$301,MATCH($A91,'Commercial View'!$A$2:$A$301,0))</f>
        <v>294</v>
      </c>
      <c r="N91" s="9" t="n">
        <f aca="false">INDEX('Commercial View'!$N$2:$N$301,MATCH($A91,'Commercial View'!$A$2:$A$301,0))</f>
        <v>205</v>
      </c>
      <c r="O91" s="9" t="n">
        <f aca="false">INDEX(Segmentation!$L$2:$L$301,MATCH($A91,Segmentation!$A$2:$A$301,0))</f>
        <v>810</v>
      </c>
      <c r="P91" s="2" t="str">
        <f aca="false">IF(OR(M91&gt;0,N91&gt;0),"Recently Active",IF(OR(I91&lt;=Assumptions!$B$48,K91&lt;=Assumptions!$B$49),"No Meaningful History","Recent Inactivity"))</f>
        <v>Recently Active</v>
      </c>
      <c r="Q91" s="2" t="str">
        <f aca="false">INDEX(Segmentation!$AF$2:$AF$301,MATCH($A91,Segmentation!$A$2:$A$301,0))</f>
        <v>Existing Customer</v>
      </c>
      <c r="R91" s="2" t="str">
        <f aca="false">INDEX(Segmentation!$AL$2:$AL$301,MATCH($A91,Segmentation!$A$2:$A$301,0))</f>
        <v>N/A</v>
      </c>
      <c r="S91" s="10" t="b">
        <f aca="false">INDEX(Segmentation!$AW$2:$AW$301,MATCH($A91,Segmentation!$A$2:$A$301,0))</f>
        <v>0</v>
      </c>
      <c r="T91" s="2" t="str">
        <f aca="false">INDEX('Feature Data'!$AD$2:$AD$301,MATCH($A91,'Feature Data'!$A$2:$A$301,0))</f>
        <v>Independent browser-buyer</v>
      </c>
      <c r="U91" s="2" t="str">
        <f aca="false">INDEX('Feature Data'!$W$2:$W$301,MATCH($A91,'Feature Data'!$A$2:$A$301,0))</f>
        <v>Mixed</v>
      </c>
      <c r="V91" s="2" t="n">
        <f aca="false">INDEX('Feature Data'!$P$2:$P$301,MATCH($A91,'Feature Data'!$A$2:$A$301,0))</f>
        <v>311</v>
      </c>
      <c r="W91" s="2" t="n">
        <f aca="false">INDEX(Segmentation!$R$2:$R$301,MATCH($A91,Segmentation!$A$2:$A$301,0))</f>
        <v>27</v>
      </c>
      <c r="X91" s="2" t="n">
        <f aca="false">INDEX(Segmentation!$S$2:$S$301,MATCH($A91,Segmentation!$A$2:$A$301,0))</f>
        <v>8</v>
      </c>
      <c r="Y91" s="10" t="b">
        <f aca="false">INDEX(Segmentation!$AG$2:$AG$301,MATCH($A91,Segmentation!$A$2:$A$301,0))</f>
        <v>0</v>
      </c>
      <c r="Z91" s="2" t="str">
        <f aca="false">INDEX(Segmentation!$AU$2:$AU$301,MATCH($A91,Segmentation!$A$2:$A$301,0))</f>
        <v>Not Eligible</v>
      </c>
      <c r="AA91" s="10" t="b">
        <f aca="false">INDEX(Segmentation!$Z$2:$Z$301,MATCH($A91,Segmentation!$A$2:$A$301,0))</f>
        <v>0</v>
      </c>
      <c r="AB91" s="10" t="b">
        <f aca="false">INDEX(Segmentation!$AH$2:$AH$301,MATCH($A91,Segmentation!$A$2:$A$301,0))</f>
        <v>0</v>
      </c>
      <c r="AC91" s="10" t="b">
        <f aca="false">INDEX(Segmentation!$AK$2:$AK$301,MATCH($A91,Segmentation!$A$2:$A$301,0))</f>
        <v>0</v>
      </c>
      <c r="AD91" s="10" t="b">
        <f aca="false">INDEX(Segmentation!$AQ$2:$AQ$301,MATCH($A91,Segmentation!$A$2:$A$301,0))</f>
        <v>0</v>
      </c>
      <c r="AE91" s="10" t="b">
        <f aca="false">INDEX(Segmentation!$AT$2:$AT$301,MATCH($A91,Segmentation!$A$2:$A$301,0))</f>
        <v>0</v>
      </c>
      <c r="AF91" s="10" t="b">
        <f aca="false">INDEX(Segmentation!$X$2:$X$301,MATCH($A91,Segmentation!$A$2:$A$301,0))</f>
        <v>0</v>
      </c>
      <c r="AG91" s="10" t="b">
        <f aca="false">AND(F91="Low",V91&gt;=Assumptions!$B$71,X91&lt;Assumptions!$B$72)</f>
        <v>0</v>
      </c>
      <c r="AH91" s="10" t="b">
        <f aca="false">AND(F91="Low",OR(G91="Growing",G91="Stable"),P91="Recently Active",V91&gt;=Assumptions!$B$58,K91&gt;=Assumptions!$B$73)</f>
        <v>1</v>
      </c>
      <c r="AI91" s="17" t="n">
        <f aca="false">IF(O91&gt;0,MAX(L91:N91)/O91,"")</f>
        <v>0.383950617283951</v>
      </c>
      <c r="AJ91" s="2" t="str">
        <f aca="false">IF(LEFT(D91,1)="1",IF(E91="Key","MIGRATION_KEY_SIGNOFF",IF(Z91="Ready","MIGRATION_PHASE1_READY",IF(Z91="Manual Review","MIGRATION_PHASE1_REVIEW","MIGRATION_PRE_ENTRY"))),IF(LEFT(D91,1)="2","DECLINING_KEY_CORE",IF(LEFT(D91,1)="3",IF(R91="Established Buyer Lapsed","LAPSED_ESTABLISHED","LAPSED_THIN_HISTORY"),IF(LEFT(D91,1)="4",IF(Q91="New Customer","NEW_CUSTOMER","RETURNED_CUSTOMER"),IF(LEFT(D91,1)="5",IF(P91="Recently Active","COST_TO_SERVE_ACTIVE","DORMANT_LOW_VALUE"),IF(LEFT(D91,1)="6",IF(P91="Recent Inactivity","RECENT_INACTIVITY",IF(AG91,"BROWSING_LOW_OFFERS","HEALTHY_STRONG_SELF_SERVE")),IF(LEFT(D91,1)="7",IF(P91="Recent Inactivity","RECENT_INACTIVITY",IF(Q91="New Customer","NEW_CUSTOMER","RETURNED_CUSTOMER")),IF(LEFT(D91,1)="8",IF(G91="Declining",IF(T91="Engaged but shrinking (Key/Core)","ENGAGED_BUT_SHRINKING","DECLINING_KEY_CORE"),IF(R91="Established Buyer Lapsed","LAPSED_ESTABLISHED","LAPSED_THIN_HISTORY")),IF(S91,IF(P91&lt;&gt;"Recently Active","DORMANT_LOW_VALUE",IF(AG91,"BROWSING_LOW_OFFERS",IF(AH91,"RISING_TAIL","RISING_TAIL_EARLY"))),IF(AND(AG91,P91="Recently Active",OR(G91="Growing",G91="Stable",G91="H2 Active / No H1 GMV"),I91&gt;=Assumptions!$B$74),"BROWSING_LOW_OFFERS","LONG_TAIL_STANDARD"))))))))))</f>
        <v>LONG_TAIL_STANDARD</v>
      </c>
      <c r="AK91" s="2" t="str">
        <f aca="false">INDEX('NBA Library'!$B$4:$B$21,MATCH(AJ91,'NBA Library'!$A$4:$A$21,0))</f>
        <v>Automated Nurture</v>
      </c>
      <c r="AL91" s="2" t="str">
        <f aca="false">INDEX('NBA Library'!$C$4:$C$21,MATCH(AJ91,'NBA Library'!$A$4:$A$21,0))</f>
        <v>Automated</v>
      </c>
      <c r="AM91" s="2" t="str">
        <f aca="false">IF(AA91,"HOLD — Critical Data Issue",IF(Y91,"Human Sign-Off Required",IF(Z91="Manual Review","Human Review Required",IF(AND(AL91="Automated",OR(AE91,AND(OR(AK91="Discovery-to-Offer Enablement",AK91="Reinforce Successful Behaviour"),OR(AC91,AB91)))),"Human Review Required",IF(AL91="Human","Ready — Human",IF(AL91="Hybrid","Ready — Hybrid","Ready — Automated"))))))</f>
        <v>Ready — Automated</v>
      </c>
      <c r="AN91" s="2" t="str">
        <f aca="false">IF(AA91,"P0",IF(AND(AJ91="BROWSING_LOW_OFFERS",E91="Tail"),"P3",IF(AND(AM91="Human Review Required",INDEX('NBA Library'!$D$4:$D$21,MATCH(AJ91,'NBA Library'!$A$4:$A$21,0))="P4"),"P3",INDEX('NBA Library'!$D$4:$D$21,MATCH(AJ91,'NBA Library'!$A$4:$A$21,0)))))</f>
        <v>P4</v>
      </c>
      <c r="AO91" s="2" t="str">
        <f aca="false">E91&amp;" "&amp;C91&amp;" account ("&amp;B91&amp;"); "&amp;G91&amp;" momentum; "&amp;P91&amp;"; £"&amp;TEXT(H91,"#,##0")&amp;" 6m GMV. "&amp;INDEX('NBA Library'!$G$4:$G$21,MATCH(AJ91,'NBA Library'!$A$4:$A$21,0))&amp;IF(LEFT(D91,1)="1"," Baseline: "&amp;V91&amp;" PDP views, "&amp;W91&amp;" app days, "&amp;X91&amp;" offers, "&amp;TEXT(J91/I91,"0%")&amp;" of orders self-serve.","")&amp;IF(AA91," Execution on HOLD until the Duplicate status is resolved.","")&amp;IF(Y91," Key account: explicit AM/leadership sign-off required before any migration activity.","")&amp;IF(AE91," Implied broker % from order counts would move this account to a different segment; review before automating.","")</f>
        <v>Tail AM-Owned / Self-Serving account (Account Managed); Growing momentum; Recently Active; £987 6m GMV. Low-value, low-dependency account. Scalable automated engagement.</v>
      </c>
      <c r="AP91" s="2" t="str">
        <f aca="false">INDEX('NBA Library'!$E$4:$E$21,MATCH(AJ91,'NBA Library'!$A$4:$A$21,0))&amp;IF(AND(AJ91="NEW_CUSTOMER",AG91),"; introduce Make-an-Offer on items already browsed","")</f>
        <v>Scalable automated engagement matched to nurture sub-context</v>
      </c>
      <c r="AQ91" s="2" t="str">
        <f aca="false">INDEX('NBA Library'!$F$4:$F$21,MATCH(AJ91,'NBA Library'!$A$4:$A$21,0))</f>
        <v>Any repeat order within 90 days</v>
      </c>
      <c r="AR91" s="2" t="str">
        <f aca="false">IF(AND(F91="Low",OR(G91="Growing",G91="Stable"),P91="Recently Active",U91&lt;&gt;"Mixed",OR(AK91="Discovery-to-Offer Enablement",AK91="Reinforce Successful Behaviour"),AM91="Ready — Automated",OR(E91&lt;&gt;"Tail",S91)),"Range Expansion Test — trial "&amp;IF(U91="Bundle-only","handpick","bundles")&amp;" (experimental; not proven to lift GMV)","")</f>
        <v/>
      </c>
      <c r="AS91" s="2" t="str">
        <f aca="false">IF(AK91&lt;&gt;"Automated Nurture","",IF(AJ91="DORMANT_LOW_VALUE","Dormant",IF(AJ91="RISING_TAIL_EARLY","Rising tail – early pattern",IF(Q91="New Customer","New customer onboarding",IF(Q91="Returned Customer","Returned customer",IF(G91="Lapsed","Dormant",IF(T91="Engaged, not converting","Engaged, not converting",IF(T91="One-off low-touch buyer","One-off purchaser",IF(T91="Light-touch repeat buyer","Light-touch repeat buyer","Standard long tail")))))))))</f>
        <v>Standard long tail</v>
      </c>
      <c r="AT91" s="2" t="str">
        <f aca="false">IF(AA91,"CRITICAL_DATA_BLOCKER; ","")&amp;IF(Y91,"KEY_SIGNOFF; ","")&amp;IF(Z91="Manual Review","PHASE1_MANUAL_REVIEW; ","")&amp;IF(AND(LEFT(D91,1)="1",AZ91="Lumpy"),"LUMPY_CADENCE; ","")&amp;IF(AB91,"BORDERLINE_MOMENTUM; ","")&amp;IF(AC91,"FEB_SENSITIVE; ","")&amp;IF(AD91,"MATERIAL_BROKER_INCONSISTENCY"&amp;IF(AE91," (segment would change)","")&amp;"; ","")&amp;IF(AND(I91&gt;=3,O91&gt;0),IF(AI91&gt;=Assumptions!$B$75,"H2_SINGLE_MONTH_SPIKE; ",""),"")&amp;IF(AND(M91&gt;0,N91=0),"NO_FEB_GMV (Feb unconfirmed); ","")&amp;IF(AF91,"LOW_CONFIDENCE; ","")</f>
        <v/>
      </c>
      <c r="AU91" s="2" t="str">
        <f aca="false">IF(LEFT(D91,1)="1",V91,"")</f>
        <v/>
      </c>
      <c r="AV91" s="2" t="str">
        <f aca="false">IF(LEFT(D91,1)="1",V91&gt;=Assumptions!$B$58,"")</f>
        <v/>
      </c>
      <c r="AW91" s="2" t="str">
        <f aca="false">IF(LEFT(D91,1)="1",W91,"")</f>
        <v/>
      </c>
      <c r="AX91" s="2" t="str">
        <f aca="false">IF(LEFT(D91,1)="1",X91,"")</f>
        <v/>
      </c>
      <c r="AY91" s="17" t="str">
        <f aca="false">IF(LEFT(D91,1)="1",J91/I91,"")</f>
        <v/>
      </c>
      <c r="AZ91" s="2" t="str">
        <f aca="false">IF(LEFT(D91,1)="1",IF(AND(K91&gt;=Assumptions!$B$83,I91&gt;=Assumptions!$B$84),"Regular","Lumpy"),"")</f>
        <v/>
      </c>
      <c r="BA91" s="2" t="str">
        <f aca="false">IF(LEFT(D91,1)="1",ROUND(6/K91,0),"")</f>
        <v/>
      </c>
      <c r="BB91" s="2" t="str">
        <f aca="false">IF(LEFT(D91,1)="1",IF(AZ91="Regular","Regular buyer: expected ~£"&amp;TEXT(H91/2,"#,##0")&amp;" per 90 days. At Risk if GMV to date &lt; "&amp;TEXT(Assumptions!$B$81,"0%")&amp;" of pro-rated expectation, checked from day "&amp;Assumptions!$B$82&amp;". Human-reviewed.","Irregular buyer ("&amp;I91&amp;" orders across "&amp;K91&amp;" months): no numeric GMV threshold. At Risk if no order within ~"&amp;BA91&amp;" month(s); AM reviews at day "&amp;Assumptions!$B$82&amp;" and "&amp;Assumptions!$B$85&amp;"."),"")</f>
        <v/>
      </c>
      <c r="BC91" s="2"/>
      <c r="BD91" s="2"/>
      <c r="BE91" s="2"/>
      <c r="BF91" s="2"/>
      <c r="BG91" s="2"/>
      <c r="BH91" s="2"/>
      <c r="BI91" s="2"/>
      <c r="BJ91" s="2" t="str">
        <f aca="false">IF(OR(NOT(LEFT(D91,1)="1"),BC91=""),"",IF(AZ91="Regular",AND(BC91&gt;=Assumptions!$B$82,N(BI91)&lt;Assumptions!$B$81*H91/180*BC91),AND(BC91&gt;=BA91*30,N(BG91)=0)))</f>
        <v/>
      </c>
      <c r="BK91" s="2" t="str">
        <f aca="false">IF(NOT(LEFT(D91,1)="1"),"N/A",IF(BC91="","Baseline",IF(BJ91,"At Risk",IF(AND(N(BD91)&gt;=Assumptions!$B$78,N(BE91)&gt;=Assumptions!$B$79,N(BH91)&gt;=1,N(BH91)/MAX(N(BG91),1)&gt;AY91),"Self-Serve Capability Demonstrated",IF(OR(N(BD91)&gt;=Assumptions!$B$76,N(BE91)&gt;=Assumptions!$B$77),"Progressing",IF(BC91&gt;=Assumptions!$B$85,"At Risk","Baseline"))))))</f>
        <v>N/A</v>
      </c>
      <c r="BL91" s="2" t="n">
        <f aca="false">(AND(C91="Broker-Reliant",OR(AK91="Discovery-to-Offer Enablement",AK91="Reinforce Successful Behaviour")))*1+(AND(G91="Declining",E91&lt;&gt;"Tail",AL91="Automated"))*1+(AND(Y91,AM91&lt;&gt;"Human Sign-Off Required"))*1+(AND(AA91,AM91&lt;&gt;"HOLD — Critical Data Issue"))*1+(AND(P91="Recent Inactivity",OR(AK91="Discovery-to-Offer Enablement",AK91="Reinforce Successful Behaviour")))*1+(AND(OR(LEFT(D91,1)="2",LEFT(D91,1)="3",LEFT(D91,1)="8"),AL91="Automated"))*1+((LEFT(D91,1)="1")&lt;&gt;(AK91="Guided Self-Serve Migration"))*1+(AND(AR91&lt;&gt;"",OR(F91&lt;&gt;"Low",U91="Mixed",AND(G91&lt;&gt;"Growing",G91&lt;&gt;"Stable"))))*1+ISNUMBER(SEARCH("chat",AP91))*1+ISNUMBER(SEARCH("video",AP91))*1+(AND(AA91,AL91="Automated",AM91&lt;&gt;"HOLD — Critical Data Issue"))*1</f>
        <v>0</v>
      </c>
    </row>
    <row r="92" customFormat="false" ht="15" hidden="false" customHeight="false" outlineLevel="0" collapsed="false">
      <c r="A92" s="2" t="s">
        <v>618</v>
      </c>
      <c r="B92" s="2" t="str">
        <f aca="false">INDEX(Segmentation!$B$2:$B$301,MATCH($A92,Segmentation!$A$2:$A$301,0))</f>
        <v>Account Managed</v>
      </c>
      <c r="C92" s="2" t="str">
        <f aca="false">INDEX(Segmentation!$H$2:$H$301,MATCH($A92,Segmentation!$A$2:$A$301,0))</f>
        <v>AM-Owned / Self-Serving</v>
      </c>
      <c r="D92" s="2" t="str">
        <f aca="false">INDEX(Segmentation!$T$2:$T$301,MATCH($A92,Segmentation!$A$2:$A$301,0))</f>
        <v>9. Long-Tail Automated Nurture</v>
      </c>
      <c r="E92" s="2" t="str">
        <f aca="false">INDEX(Segmentation!$J$2:$J$301,MATCH($A92,Segmentation!$A$2:$A$301,0))</f>
        <v>Tail</v>
      </c>
      <c r="F92" s="2" t="str">
        <f aca="false">INDEX(Segmentation!$G$2:$G$301,MATCH($A92,Segmentation!$A$2:$A$301,0))</f>
        <v>Low</v>
      </c>
      <c r="G92" s="2" t="str">
        <f aca="false">INDEX(Segmentation!$N$2:$N$301,MATCH($A92,Segmentation!$A$2:$A$301,0))</f>
        <v>Lapsed</v>
      </c>
      <c r="H92" s="9" t="n">
        <f aca="false">INDEX(Segmentation!$I$2:$I$301,MATCH($A92,Segmentation!$A$2:$A$301,0))</f>
        <v>982</v>
      </c>
      <c r="I92" s="2" t="n">
        <f aca="false">INDEX(Segmentation!$O$2:$O$301,MATCH($A92,Segmentation!$A$2:$A$301,0))</f>
        <v>3</v>
      </c>
      <c r="J92" s="2" t="n">
        <f aca="false">INDEX(Segmentation!$Q$2:$Q$301,MATCH($A92,Segmentation!$A$2:$A$301,0))</f>
        <v>3</v>
      </c>
      <c r="K92" s="2" t="n">
        <f aca="false">INDEX(Segmentation!$W$2:$W$301,MATCH($A92,Segmentation!$A$2:$A$301,0))</f>
        <v>1</v>
      </c>
      <c r="L92" s="9" t="n">
        <f aca="false">INDEX('Commercial View'!$L$2:$L$301,MATCH($A92,'Commercial View'!$A$2:$A$301,0))</f>
        <v>0</v>
      </c>
      <c r="M92" s="9" t="n">
        <f aca="false">INDEX('Commercial View'!$M$2:$M$301,MATCH($A92,'Commercial View'!$A$2:$A$301,0))</f>
        <v>0</v>
      </c>
      <c r="N92" s="9" t="n">
        <f aca="false">INDEX('Commercial View'!$N$2:$N$301,MATCH($A92,'Commercial View'!$A$2:$A$301,0))</f>
        <v>0</v>
      </c>
      <c r="O92" s="9" t="n">
        <f aca="false">INDEX(Segmentation!$L$2:$L$301,MATCH($A92,Segmentation!$A$2:$A$301,0))</f>
        <v>0</v>
      </c>
      <c r="P92" s="2" t="str">
        <f aca="false">IF(OR(M92&gt;0,N92&gt;0),"Recently Active",IF(OR(I92&lt;=Assumptions!$B$48,K92&lt;=Assumptions!$B$49),"No Meaningful History","Recent Inactivity"))</f>
        <v>No Meaningful History</v>
      </c>
      <c r="Q92" s="2" t="str">
        <f aca="false">INDEX(Segmentation!$AF$2:$AF$301,MATCH($A92,Segmentation!$A$2:$A$301,0))</f>
        <v>Existing Customer</v>
      </c>
      <c r="R92" s="2" t="str">
        <f aca="false">INDEX(Segmentation!$AL$2:$AL$301,MATCH($A92,Segmentation!$A$2:$A$301,0))</f>
        <v>One-Off / Insufficient History — Verify</v>
      </c>
      <c r="S92" s="10" t="b">
        <f aca="false">INDEX(Segmentation!$AW$2:$AW$301,MATCH($A92,Segmentation!$A$2:$A$301,0))</f>
        <v>0</v>
      </c>
      <c r="T92" s="2" t="str">
        <f aca="false">INDEX('Feature Data'!$AD$2:$AD$301,MATCH($A92,'Feature Data'!$A$2:$A$301,0))</f>
        <v>Independent browser-buyer</v>
      </c>
      <c r="U92" s="2" t="str">
        <f aca="false">INDEX('Feature Data'!$W$2:$W$301,MATCH($A92,'Feature Data'!$A$2:$A$301,0))</f>
        <v>Mixed</v>
      </c>
      <c r="V92" s="2" t="n">
        <f aca="false">INDEX('Feature Data'!$P$2:$P$301,MATCH($A92,'Feature Data'!$A$2:$A$301,0))</f>
        <v>287</v>
      </c>
      <c r="W92" s="2" t="n">
        <f aca="false">INDEX(Segmentation!$R$2:$R$301,MATCH($A92,Segmentation!$A$2:$A$301,0))</f>
        <v>30</v>
      </c>
      <c r="X92" s="2" t="n">
        <f aca="false">INDEX(Segmentation!$S$2:$S$301,MATCH($A92,Segmentation!$A$2:$A$301,0))</f>
        <v>4</v>
      </c>
      <c r="Y92" s="10" t="b">
        <f aca="false">INDEX(Segmentation!$AG$2:$AG$301,MATCH($A92,Segmentation!$A$2:$A$301,0))</f>
        <v>0</v>
      </c>
      <c r="Z92" s="2" t="str">
        <f aca="false">INDEX(Segmentation!$AU$2:$AU$301,MATCH($A92,Segmentation!$A$2:$A$301,0))</f>
        <v>Not Eligible</v>
      </c>
      <c r="AA92" s="10" t="b">
        <f aca="false">INDEX(Segmentation!$Z$2:$Z$301,MATCH($A92,Segmentation!$A$2:$A$301,0))</f>
        <v>0</v>
      </c>
      <c r="AB92" s="10" t="b">
        <f aca="false">INDEX(Segmentation!$AH$2:$AH$301,MATCH($A92,Segmentation!$A$2:$A$301,0))</f>
        <v>0</v>
      </c>
      <c r="AC92" s="10" t="b">
        <f aca="false">INDEX(Segmentation!$AK$2:$AK$301,MATCH($A92,Segmentation!$A$2:$A$301,0))</f>
        <v>0</v>
      </c>
      <c r="AD92" s="10" t="b">
        <f aca="false">INDEX(Segmentation!$AQ$2:$AQ$301,MATCH($A92,Segmentation!$A$2:$A$301,0))</f>
        <v>0</v>
      </c>
      <c r="AE92" s="10" t="b">
        <f aca="false">INDEX(Segmentation!$AT$2:$AT$301,MATCH($A92,Segmentation!$A$2:$A$301,0))</f>
        <v>0</v>
      </c>
      <c r="AF92" s="10" t="b">
        <f aca="false">INDEX(Segmentation!$X$2:$X$301,MATCH($A92,Segmentation!$A$2:$A$301,0))</f>
        <v>0</v>
      </c>
      <c r="AG92" s="10" t="b">
        <f aca="false">AND(F92="Low",V92&gt;=Assumptions!$B$71,X92&lt;Assumptions!$B$72)</f>
        <v>0</v>
      </c>
      <c r="AH92" s="10" t="b">
        <f aca="false">AND(F92="Low",OR(G92="Growing",G92="Stable"),P92="Recently Active",V92&gt;=Assumptions!$B$58,K92&gt;=Assumptions!$B$73)</f>
        <v>0</v>
      </c>
      <c r="AI92" s="17" t="str">
        <f aca="false">IF(O92&gt;0,MAX(L92:N92)/O92,"")</f>
        <v/>
      </c>
      <c r="AJ92" s="2" t="str">
        <f aca="false">IF(LEFT(D92,1)="1",IF(E92="Key","MIGRATION_KEY_SIGNOFF",IF(Z92="Ready","MIGRATION_PHASE1_READY",IF(Z92="Manual Review","MIGRATION_PHASE1_REVIEW","MIGRATION_PRE_ENTRY"))),IF(LEFT(D92,1)="2","DECLINING_KEY_CORE",IF(LEFT(D92,1)="3",IF(R92="Established Buyer Lapsed","LAPSED_ESTABLISHED","LAPSED_THIN_HISTORY"),IF(LEFT(D92,1)="4",IF(Q92="New Customer","NEW_CUSTOMER","RETURNED_CUSTOMER"),IF(LEFT(D92,1)="5",IF(P92="Recently Active","COST_TO_SERVE_ACTIVE","DORMANT_LOW_VALUE"),IF(LEFT(D92,1)="6",IF(P92="Recent Inactivity","RECENT_INACTIVITY",IF(AG92,"BROWSING_LOW_OFFERS","HEALTHY_STRONG_SELF_SERVE")),IF(LEFT(D92,1)="7",IF(P92="Recent Inactivity","RECENT_INACTIVITY",IF(Q92="New Customer","NEW_CUSTOMER","RETURNED_CUSTOMER")),IF(LEFT(D92,1)="8",IF(G92="Declining",IF(T92="Engaged but shrinking (Key/Core)","ENGAGED_BUT_SHRINKING","DECLINING_KEY_CORE"),IF(R92="Established Buyer Lapsed","LAPSED_ESTABLISHED","LAPSED_THIN_HISTORY")),IF(S92,IF(P92&lt;&gt;"Recently Active","DORMANT_LOW_VALUE",IF(AG92,"BROWSING_LOW_OFFERS",IF(AH92,"RISING_TAIL","RISING_TAIL_EARLY"))),IF(AND(AG92,P92="Recently Active",OR(G92="Growing",G92="Stable",G92="H2 Active / No H1 GMV"),I92&gt;=Assumptions!$B$74),"BROWSING_LOW_OFFERS","LONG_TAIL_STANDARD"))))))))))</f>
        <v>LONG_TAIL_STANDARD</v>
      </c>
      <c r="AK92" s="2" t="str">
        <f aca="false">INDEX('NBA Library'!$B$4:$B$21,MATCH(AJ92,'NBA Library'!$A$4:$A$21,0))</f>
        <v>Automated Nurture</v>
      </c>
      <c r="AL92" s="2" t="str">
        <f aca="false">INDEX('NBA Library'!$C$4:$C$21,MATCH(AJ92,'NBA Library'!$A$4:$A$21,0))</f>
        <v>Automated</v>
      </c>
      <c r="AM92" s="2" t="str">
        <f aca="false">IF(AA92,"HOLD — Critical Data Issue",IF(Y92,"Human Sign-Off Required",IF(Z92="Manual Review","Human Review Required",IF(AND(AL92="Automated",OR(AE92,AND(OR(AK92="Discovery-to-Offer Enablement",AK92="Reinforce Successful Behaviour"),OR(AC92,AB92)))),"Human Review Required",IF(AL92="Human","Ready — Human",IF(AL92="Hybrid","Ready — Hybrid","Ready — Automated"))))))</f>
        <v>Ready — Automated</v>
      </c>
      <c r="AN92" s="2" t="str">
        <f aca="false">IF(AA92,"P0",IF(AND(AJ92="BROWSING_LOW_OFFERS",E92="Tail"),"P3",IF(AND(AM92="Human Review Required",INDEX('NBA Library'!$D$4:$D$21,MATCH(AJ92,'NBA Library'!$A$4:$A$21,0))="P4"),"P3",INDEX('NBA Library'!$D$4:$D$21,MATCH(AJ92,'NBA Library'!$A$4:$A$21,0)))))</f>
        <v>P4</v>
      </c>
      <c r="AO92" s="2" t="str">
        <f aca="false">E92&amp;" "&amp;C92&amp;" account ("&amp;B92&amp;"); "&amp;G92&amp;" momentum; "&amp;P92&amp;"; £"&amp;TEXT(H92,"#,##0")&amp;" 6m GMV. "&amp;INDEX('NBA Library'!$G$4:$G$21,MATCH(AJ92,'NBA Library'!$A$4:$A$21,0))&amp;IF(LEFT(D92,1)="1"," Baseline: "&amp;V92&amp;" PDP views, "&amp;W92&amp;" app days, "&amp;X92&amp;" offers, "&amp;TEXT(J92/I92,"0%")&amp;" of orders self-serve.","")&amp;IF(AA92," Execution on HOLD until the Duplicate status is resolved.","")&amp;IF(Y92," Key account: explicit AM/leadership sign-off required before any migration activity.","")&amp;IF(AE92," Implied broker % from order counts would move this account to a different segment; review before automating.","")</f>
        <v>Tail AM-Owned / Self-Serving account (Account Managed); Lapsed momentum; No Meaningful History; £982 6m GMV. Low-value, low-dependency account. Scalable automated engagement.</v>
      </c>
      <c r="AP92" s="2" t="str">
        <f aca="false">INDEX('NBA Library'!$E$4:$E$21,MATCH(AJ92,'NBA Library'!$A$4:$A$21,0))&amp;IF(AND(AJ92="NEW_CUSTOMER",AG92),"; introduce Make-an-Offer on items already browsed","")</f>
        <v>Scalable automated engagement matched to nurture sub-context</v>
      </c>
      <c r="AQ92" s="2" t="str">
        <f aca="false">INDEX('NBA Library'!$F$4:$F$21,MATCH(AJ92,'NBA Library'!$A$4:$A$21,0))</f>
        <v>Any repeat order within 90 days</v>
      </c>
      <c r="AR92" s="2" t="str">
        <f aca="false">IF(AND(F92="Low",OR(G92="Growing",G92="Stable"),P92="Recently Active",U92&lt;&gt;"Mixed",OR(AK92="Discovery-to-Offer Enablement",AK92="Reinforce Successful Behaviour"),AM92="Ready — Automated",OR(E92&lt;&gt;"Tail",S92)),"Range Expansion Test — trial "&amp;IF(U92="Bundle-only","handpick","bundles")&amp;" (experimental; not proven to lift GMV)","")</f>
        <v/>
      </c>
      <c r="AS92" s="2" t="str">
        <f aca="false">IF(AK92&lt;&gt;"Automated Nurture","",IF(AJ92="DORMANT_LOW_VALUE","Dormant",IF(AJ92="RISING_TAIL_EARLY","Rising tail – early pattern",IF(Q92="New Customer","New customer onboarding",IF(Q92="Returned Customer","Returned customer",IF(G92="Lapsed","Dormant",IF(T92="Engaged, not converting","Engaged, not converting",IF(T92="One-off low-touch buyer","One-off purchaser",IF(T92="Light-touch repeat buyer","Light-touch repeat buyer","Standard long tail")))))))))</f>
        <v>Dormant</v>
      </c>
      <c r="AT92" s="2" t="str">
        <f aca="false">IF(AA92,"CRITICAL_DATA_BLOCKER; ","")&amp;IF(Y92,"KEY_SIGNOFF; ","")&amp;IF(Z92="Manual Review","PHASE1_MANUAL_REVIEW; ","")&amp;IF(AND(LEFT(D92,1)="1",AZ92="Lumpy"),"LUMPY_CADENCE; ","")&amp;IF(AB92,"BORDERLINE_MOMENTUM; ","")&amp;IF(AC92,"FEB_SENSITIVE; ","")&amp;IF(AD92,"MATERIAL_BROKER_INCONSISTENCY"&amp;IF(AE92," (segment would change)","")&amp;"; ","")&amp;IF(AND(I92&gt;=3,O92&gt;0),IF(AI92&gt;=Assumptions!$B$75,"H2_SINGLE_MONTH_SPIKE; ",""),"")&amp;IF(AND(M92&gt;0,N92=0),"NO_FEB_GMV (Feb unconfirmed); ","")&amp;IF(AF92,"LOW_CONFIDENCE; ","")</f>
        <v/>
      </c>
      <c r="AU92" s="2" t="str">
        <f aca="false">IF(LEFT(D92,1)="1",V92,"")</f>
        <v/>
      </c>
      <c r="AV92" s="2" t="str">
        <f aca="false">IF(LEFT(D92,1)="1",V92&gt;=Assumptions!$B$58,"")</f>
        <v/>
      </c>
      <c r="AW92" s="2" t="str">
        <f aca="false">IF(LEFT(D92,1)="1",W92,"")</f>
        <v/>
      </c>
      <c r="AX92" s="2" t="str">
        <f aca="false">IF(LEFT(D92,1)="1",X92,"")</f>
        <v/>
      </c>
      <c r="AY92" s="17" t="str">
        <f aca="false">IF(LEFT(D92,1)="1",J92/I92,"")</f>
        <v/>
      </c>
      <c r="AZ92" s="2" t="str">
        <f aca="false">IF(LEFT(D92,1)="1",IF(AND(K92&gt;=Assumptions!$B$83,I92&gt;=Assumptions!$B$84),"Regular","Lumpy"),"")</f>
        <v/>
      </c>
      <c r="BA92" s="2" t="str">
        <f aca="false">IF(LEFT(D92,1)="1",ROUND(6/K92,0),"")</f>
        <v/>
      </c>
      <c r="BB92" s="2" t="str">
        <f aca="false">IF(LEFT(D92,1)="1",IF(AZ92="Regular","Regular buyer: expected ~£"&amp;TEXT(H92/2,"#,##0")&amp;" per 90 days. At Risk if GMV to date &lt; "&amp;TEXT(Assumptions!$B$81,"0%")&amp;" of pro-rated expectation, checked from day "&amp;Assumptions!$B$82&amp;". Human-reviewed.","Irregular buyer ("&amp;I92&amp;" orders across "&amp;K92&amp;" months): no numeric GMV threshold. At Risk if no order within ~"&amp;BA92&amp;" month(s); AM reviews at day "&amp;Assumptions!$B$82&amp;" and "&amp;Assumptions!$B$85&amp;"."),"")</f>
        <v/>
      </c>
      <c r="BC92" s="2"/>
      <c r="BD92" s="2"/>
      <c r="BE92" s="2"/>
      <c r="BF92" s="2"/>
      <c r="BG92" s="2"/>
      <c r="BH92" s="2"/>
      <c r="BI92" s="2"/>
      <c r="BJ92" s="2" t="str">
        <f aca="false">IF(OR(NOT(LEFT(D92,1)="1"),BC92=""),"",IF(AZ92="Regular",AND(BC92&gt;=Assumptions!$B$82,N(BI92)&lt;Assumptions!$B$81*H92/180*BC92),AND(BC92&gt;=BA92*30,N(BG92)=0)))</f>
        <v/>
      </c>
      <c r="BK92" s="2" t="str">
        <f aca="false">IF(NOT(LEFT(D92,1)="1"),"N/A",IF(BC92="","Baseline",IF(BJ92,"At Risk",IF(AND(N(BD92)&gt;=Assumptions!$B$78,N(BE92)&gt;=Assumptions!$B$79,N(BH92)&gt;=1,N(BH92)/MAX(N(BG92),1)&gt;AY92),"Self-Serve Capability Demonstrated",IF(OR(N(BD92)&gt;=Assumptions!$B$76,N(BE92)&gt;=Assumptions!$B$77),"Progressing",IF(BC92&gt;=Assumptions!$B$85,"At Risk","Baseline"))))))</f>
        <v>N/A</v>
      </c>
      <c r="BL92" s="2" t="n">
        <f aca="false">(AND(C92="Broker-Reliant",OR(AK92="Discovery-to-Offer Enablement",AK92="Reinforce Successful Behaviour")))*1+(AND(G92="Declining",E92&lt;&gt;"Tail",AL92="Automated"))*1+(AND(Y92,AM92&lt;&gt;"Human Sign-Off Required"))*1+(AND(AA92,AM92&lt;&gt;"HOLD — Critical Data Issue"))*1+(AND(P92="Recent Inactivity",OR(AK92="Discovery-to-Offer Enablement",AK92="Reinforce Successful Behaviour")))*1+(AND(OR(LEFT(D92,1)="2",LEFT(D92,1)="3",LEFT(D92,1)="8"),AL92="Automated"))*1+((LEFT(D92,1)="1")&lt;&gt;(AK92="Guided Self-Serve Migration"))*1+(AND(AR92&lt;&gt;"",OR(F92&lt;&gt;"Low",U92="Mixed",AND(G92&lt;&gt;"Growing",G92&lt;&gt;"Stable"))))*1+ISNUMBER(SEARCH("chat",AP92))*1+ISNUMBER(SEARCH("video",AP92))*1+(AND(AA92,AL92="Automated",AM92&lt;&gt;"HOLD — Critical Data Issue"))*1</f>
        <v>0</v>
      </c>
    </row>
    <row r="93" customFormat="false" ht="15" hidden="false" customHeight="false" outlineLevel="0" collapsed="false">
      <c r="A93" s="2" t="s">
        <v>620</v>
      </c>
      <c r="B93" s="2" t="str">
        <f aca="false">INDEX(Segmentation!$B$2:$B$301,MATCH($A93,Segmentation!$A$2:$A$301,0))</f>
        <v>Account Managed</v>
      </c>
      <c r="C93" s="2" t="str">
        <f aca="false">INDEX(Segmentation!$H$2:$H$301,MATCH($A93,Segmentation!$A$2:$A$301,0))</f>
        <v>AM-Owned / Self-Serving</v>
      </c>
      <c r="D93" s="2" t="str">
        <f aca="false">INDEX(Segmentation!$T$2:$T$301,MATCH($A93,Segmentation!$A$2:$A$301,0))</f>
        <v>9. Long-Tail Automated Nurture</v>
      </c>
      <c r="E93" s="2" t="str">
        <f aca="false">INDEX(Segmentation!$J$2:$J$301,MATCH($A93,Segmentation!$A$2:$A$301,0))</f>
        <v>Tail</v>
      </c>
      <c r="F93" s="2" t="str">
        <f aca="false">INDEX(Segmentation!$G$2:$G$301,MATCH($A93,Segmentation!$A$2:$A$301,0))</f>
        <v>Low</v>
      </c>
      <c r="G93" s="2" t="str">
        <f aca="false">INDEX(Segmentation!$N$2:$N$301,MATCH($A93,Segmentation!$A$2:$A$301,0))</f>
        <v>Lapsed</v>
      </c>
      <c r="H93" s="9" t="n">
        <f aca="false">INDEX(Segmentation!$I$2:$I$301,MATCH($A93,Segmentation!$A$2:$A$301,0))</f>
        <v>944</v>
      </c>
      <c r="I93" s="2" t="n">
        <f aca="false">INDEX(Segmentation!$O$2:$O$301,MATCH($A93,Segmentation!$A$2:$A$301,0))</f>
        <v>2</v>
      </c>
      <c r="J93" s="2" t="n">
        <f aca="false">INDEX(Segmentation!$Q$2:$Q$301,MATCH($A93,Segmentation!$A$2:$A$301,0))</f>
        <v>2</v>
      </c>
      <c r="K93" s="2" t="n">
        <f aca="false">INDEX(Segmentation!$W$2:$W$301,MATCH($A93,Segmentation!$A$2:$A$301,0))</f>
        <v>2</v>
      </c>
      <c r="L93" s="9" t="n">
        <f aca="false">INDEX('Commercial View'!$L$2:$L$301,MATCH($A93,'Commercial View'!$A$2:$A$301,0))</f>
        <v>0</v>
      </c>
      <c r="M93" s="9" t="n">
        <f aca="false">INDEX('Commercial View'!$M$2:$M$301,MATCH($A93,'Commercial View'!$A$2:$A$301,0))</f>
        <v>0</v>
      </c>
      <c r="N93" s="9" t="n">
        <f aca="false">INDEX('Commercial View'!$N$2:$N$301,MATCH($A93,'Commercial View'!$A$2:$A$301,0))</f>
        <v>0</v>
      </c>
      <c r="O93" s="9" t="n">
        <f aca="false">INDEX(Segmentation!$L$2:$L$301,MATCH($A93,Segmentation!$A$2:$A$301,0))</f>
        <v>0</v>
      </c>
      <c r="P93" s="2" t="str">
        <f aca="false">IF(OR(M93&gt;0,N93&gt;0),"Recently Active",IF(OR(I93&lt;=Assumptions!$B$48,K93&lt;=Assumptions!$B$49),"No Meaningful History","Recent Inactivity"))</f>
        <v>No Meaningful History</v>
      </c>
      <c r="Q93" s="2" t="str">
        <f aca="false">INDEX(Segmentation!$AF$2:$AF$301,MATCH($A93,Segmentation!$A$2:$A$301,0))</f>
        <v>Existing Customer</v>
      </c>
      <c r="R93" s="2" t="str">
        <f aca="false">INDEX(Segmentation!$AL$2:$AL$301,MATCH($A93,Segmentation!$A$2:$A$301,0))</f>
        <v>One-Off / Insufficient History — Verify</v>
      </c>
      <c r="S93" s="10" t="b">
        <f aca="false">INDEX(Segmentation!$AW$2:$AW$301,MATCH($A93,Segmentation!$A$2:$A$301,0))</f>
        <v>0</v>
      </c>
      <c r="T93" s="2" t="str">
        <f aca="false">INDEX('Feature Data'!$AD$2:$AD$301,MATCH($A93,'Feature Data'!$A$2:$A$301,0))</f>
        <v>Engaged, not converting</v>
      </c>
      <c r="U93" s="2" t="str">
        <f aca="false">INDEX('Feature Data'!$W$2:$W$301,MATCH($A93,'Feature Data'!$A$2:$A$301,0))</f>
        <v>Bundle-only</v>
      </c>
      <c r="V93" s="2" t="n">
        <f aca="false">INDEX('Feature Data'!$P$2:$P$301,MATCH($A93,'Feature Data'!$A$2:$A$301,0))</f>
        <v>211</v>
      </c>
      <c r="W93" s="2" t="n">
        <f aca="false">INDEX(Segmentation!$R$2:$R$301,MATCH($A93,Segmentation!$A$2:$A$301,0))</f>
        <v>19</v>
      </c>
      <c r="X93" s="2" t="n">
        <f aca="false">INDEX(Segmentation!$S$2:$S$301,MATCH($A93,Segmentation!$A$2:$A$301,0))</f>
        <v>1</v>
      </c>
      <c r="Y93" s="10" t="b">
        <f aca="false">INDEX(Segmentation!$AG$2:$AG$301,MATCH($A93,Segmentation!$A$2:$A$301,0))</f>
        <v>0</v>
      </c>
      <c r="Z93" s="2" t="str">
        <f aca="false">INDEX(Segmentation!$AU$2:$AU$301,MATCH($A93,Segmentation!$A$2:$A$301,0))</f>
        <v>Not Eligible</v>
      </c>
      <c r="AA93" s="10" t="b">
        <f aca="false">INDEX(Segmentation!$Z$2:$Z$301,MATCH($A93,Segmentation!$A$2:$A$301,0))</f>
        <v>0</v>
      </c>
      <c r="AB93" s="10" t="b">
        <f aca="false">INDEX(Segmentation!$AH$2:$AH$301,MATCH($A93,Segmentation!$A$2:$A$301,0))</f>
        <v>0</v>
      </c>
      <c r="AC93" s="10" t="b">
        <f aca="false">INDEX(Segmentation!$AK$2:$AK$301,MATCH($A93,Segmentation!$A$2:$A$301,0))</f>
        <v>0</v>
      </c>
      <c r="AD93" s="10" t="b">
        <f aca="false">INDEX(Segmentation!$AQ$2:$AQ$301,MATCH($A93,Segmentation!$A$2:$A$301,0))</f>
        <v>0</v>
      </c>
      <c r="AE93" s="10" t="b">
        <f aca="false">INDEX(Segmentation!$AT$2:$AT$301,MATCH($A93,Segmentation!$A$2:$A$301,0))</f>
        <v>0</v>
      </c>
      <c r="AF93" s="10" t="b">
        <f aca="false">INDEX(Segmentation!$X$2:$X$301,MATCH($A93,Segmentation!$A$2:$A$301,0))</f>
        <v>1</v>
      </c>
      <c r="AG93" s="10" t="b">
        <f aca="false">AND(F93="Low",V93&gt;=Assumptions!$B$71,X93&lt;Assumptions!$B$72)</f>
        <v>1</v>
      </c>
      <c r="AH93" s="10" t="b">
        <f aca="false">AND(F93="Low",OR(G93="Growing",G93="Stable"),P93="Recently Active",V93&gt;=Assumptions!$B$58,K93&gt;=Assumptions!$B$73)</f>
        <v>0</v>
      </c>
      <c r="AI93" s="17" t="str">
        <f aca="false">IF(O93&gt;0,MAX(L93:N93)/O93,"")</f>
        <v/>
      </c>
      <c r="AJ93" s="2" t="str">
        <f aca="false">IF(LEFT(D93,1)="1",IF(E93="Key","MIGRATION_KEY_SIGNOFF",IF(Z93="Ready","MIGRATION_PHASE1_READY",IF(Z93="Manual Review","MIGRATION_PHASE1_REVIEW","MIGRATION_PRE_ENTRY"))),IF(LEFT(D93,1)="2","DECLINING_KEY_CORE",IF(LEFT(D93,1)="3",IF(R93="Established Buyer Lapsed","LAPSED_ESTABLISHED","LAPSED_THIN_HISTORY"),IF(LEFT(D93,1)="4",IF(Q93="New Customer","NEW_CUSTOMER","RETURNED_CUSTOMER"),IF(LEFT(D93,1)="5",IF(P93="Recently Active","COST_TO_SERVE_ACTIVE","DORMANT_LOW_VALUE"),IF(LEFT(D93,1)="6",IF(P93="Recent Inactivity","RECENT_INACTIVITY",IF(AG93,"BROWSING_LOW_OFFERS","HEALTHY_STRONG_SELF_SERVE")),IF(LEFT(D93,1)="7",IF(P93="Recent Inactivity","RECENT_INACTIVITY",IF(Q93="New Customer","NEW_CUSTOMER","RETURNED_CUSTOMER")),IF(LEFT(D93,1)="8",IF(G93="Declining",IF(T93="Engaged but shrinking (Key/Core)","ENGAGED_BUT_SHRINKING","DECLINING_KEY_CORE"),IF(R93="Established Buyer Lapsed","LAPSED_ESTABLISHED","LAPSED_THIN_HISTORY")),IF(S93,IF(P93&lt;&gt;"Recently Active","DORMANT_LOW_VALUE",IF(AG93,"BROWSING_LOW_OFFERS",IF(AH93,"RISING_TAIL","RISING_TAIL_EARLY"))),IF(AND(AG93,P93="Recently Active",OR(G93="Growing",G93="Stable",G93="H2 Active / No H1 GMV"),I93&gt;=Assumptions!$B$74),"BROWSING_LOW_OFFERS","LONG_TAIL_STANDARD"))))))))))</f>
        <v>LONG_TAIL_STANDARD</v>
      </c>
      <c r="AK93" s="2" t="str">
        <f aca="false">INDEX('NBA Library'!$B$4:$B$21,MATCH(AJ93,'NBA Library'!$A$4:$A$21,0))</f>
        <v>Automated Nurture</v>
      </c>
      <c r="AL93" s="2" t="str">
        <f aca="false">INDEX('NBA Library'!$C$4:$C$21,MATCH(AJ93,'NBA Library'!$A$4:$A$21,0))</f>
        <v>Automated</v>
      </c>
      <c r="AM93" s="2" t="str">
        <f aca="false">IF(AA93,"HOLD — Critical Data Issue",IF(Y93,"Human Sign-Off Required",IF(Z93="Manual Review","Human Review Required",IF(AND(AL93="Automated",OR(AE93,AND(OR(AK93="Discovery-to-Offer Enablement",AK93="Reinforce Successful Behaviour"),OR(AC93,AB93)))),"Human Review Required",IF(AL93="Human","Ready — Human",IF(AL93="Hybrid","Ready — Hybrid","Ready — Automated"))))))</f>
        <v>Ready — Automated</v>
      </c>
      <c r="AN93" s="2" t="str">
        <f aca="false">IF(AA93,"P0",IF(AND(AJ93="BROWSING_LOW_OFFERS",E93="Tail"),"P3",IF(AND(AM93="Human Review Required",INDEX('NBA Library'!$D$4:$D$21,MATCH(AJ93,'NBA Library'!$A$4:$A$21,0))="P4"),"P3",INDEX('NBA Library'!$D$4:$D$21,MATCH(AJ93,'NBA Library'!$A$4:$A$21,0)))))</f>
        <v>P4</v>
      </c>
      <c r="AO93" s="2" t="str">
        <f aca="false">E93&amp;" "&amp;C93&amp;" account ("&amp;B93&amp;"); "&amp;G93&amp;" momentum; "&amp;P93&amp;"; £"&amp;TEXT(H93,"#,##0")&amp;" 6m GMV. "&amp;INDEX('NBA Library'!$G$4:$G$21,MATCH(AJ93,'NBA Library'!$A$4:$A$21,0))&amp;IF(LEFT(D93,1)="1"," Baseline: "&amp;V93&amp;" PDP views, "&amp;W93&amp;" app days, "&amp;X93&amp;" offers, "&amp;TEXT(J93/I93,"0%")&amp;" of orders self-serve.","")&amp;IF(AA93," Execution on HOLD until the Duplicate status is resolved.","")&amp;IF(Y93," Key account: explicit AM/leadership sign-off required before any migration activity.","")&amp;IF(AE93," Implied broker % from order counts would move this account to a different segment; review before automating.","")</f>
        <v>Tail AM-Owned / Self-Serving account (Account Managed); Lapsed momentum; No Meaningful History; £944 6m GMV. Low-value, low-dependency account. Scalable automated engagement.</v>
      </c>
      <c r="AP93" s="2" t="str">
        <f aca="false">INDEX('NBA Library'!$E$4:$E$21,MATCH(AJ93,'NBA Library'!$A$4:$A$21,0))&amp;IF(AND(AJ93="NEW_CUSTOMER",AG93),"; introduce Make-an-Offer on items already browsed","")</f>
        <v>Scalable automated engagement matched to nurture sub-context</v>
      </c>
      <c r="AQ93" s="2" t="str">
        <f aca="false">INDEX('NBA Library'!$F$4:$F$21,MATCH(AJ93,'NBA Library'!$A$4:$A$21,0))</f>
        <v>Any repeat order within 90 days</v>
      </c>
      <c r="AR93" s="2" t="str">
        <f aca="false">IF(AND(F93="Low",OR(G93="Growing",G93="Stable"),P93="Recently Active",U93&lt;&gt;"Mixed",OR(AK93="Discovery-to-Offer Enablement",AK93="Reinforce Successful Behaviour"),AM93="Ready — Automated",OR(E93&lt;&gt;"Tail",S93)),"Range Expansion Test — trial "&amp;IF(U93="Bundle-only","handpick","bundles")&amp;" (experimental; not proven to lift GMV)","")</f>
        <v/>
      </c>
      <c r="AS93" s="2" t="str">
        <f aca="false">IF(AK93&lt;&gt;"Automated Nurture","",IF(AJ93="DORMANT_LOW_VALUE","Dormant",IF(AJ93="RISING_TAIL_EARLY","Rising tail – early pattern",IF(Q93="New Customer","New customer onboarding",IF(Q93="Returned Customer","Returned customer",IF(G93="Lapsed","Dormant",IF(T93="Engaged, not converting","Engaged, not converting",IF(T93="One-off low-touch buyer","One-off purchaser",IF(T93="Light-touch repeat buyer","Light-touch repeat buyer","Standard long tail")))))))))</f>
        <v>Dormant</v>
      </c>
      <c r="AT93" s="2" t="str">
        <f aca="false">IF(AA93,"CRITICAL_DATA_BLOCKER; ","")&amp;IF(Y93,"KEY_SIGNOFF; ","")&amp;IF(Z93="Manual Review","PHASE1_MANUAL_REVIEW; ","")&amp;IF(AND(LEFT(D93,1)="1",AZ93="Lumpy"),"LUMPY_CADENCE; ","")&amp;IF(AB93,"BORDERLINE_MOMENTUM; ","")&amp;IF(AC93,"FEB_SENSITIVE; ","")&amp;IF(AD93,"MATERIAL_BROKER_INCONSISTENCY"&amp;IF(AE93," (segment would change)","")&amp;"; ","")&amp;IF(AND(I93&gt;=3,O93&gt;0),IF(AI93&gt;=Assumptions!$B$75,"H2_SINGLE_MONTH_SPIKE; ",""),"")&amp;IF(AND(M93&gt;0,N93=0),"NO_FEB_GMV (Feb unconfirmed); ","")&amp;IF(AF93,"LOW_CONFIDENCE; ","")</f>
        <v>LOW_CONFIDENCE; </v>
      </c>
      <c r="AU93" s="2" t="str">
        <f aca="false">IF(LEFT(D93,1)="1",V93,"")</f>
        <v/>
      </c>
      <c r="AV93" s="2" t="str">
        <f aca="false">IF(LEFT(D93,1)="1",V93&gt;=Assumptions!$B$58,"")</f>
        <v/>
      </c>
      <c r="AW93" s="2" t="str">
        <f aca="false">IF(LEFT(D93,1)="1",W93,"")</f>
        <v/>
      </c>
      <c r="AX93" s="2" t="str">
        <f aca="false">IF(LEFT(D93,1)="1",X93,"")</f>
        <v/>
      </c>
      <c r="AY93" s="17" t="str">
        <f aca="false">IF(LEFT(D93,1)="1",J93/I93,"")</f>
        <v/>
      </c>
      <c r="AZ93" s="2" t="str">
        <f aca="false">IF(LEFT(D93,1)="1",IF(AND(K93&gt;=Assumptions!$B$83,I93&gt;=Assumptions!$B$84),"Regular","Lumpy"),"")</f>
        <v/>
      </c>
      <c r="BA93" s="2" t="str">
        <f aca="false">IF(LEFT(D93,1)="1",ROUND(6/K93,0),"")</f>
        <v/>
      </c>
      <c r="BB93" s="2" t="str">
        <f aca="false">IF(LEFT(D93,1)="1",IF(AZ93="Regular","Regular buyer: expected ~£"&amp;TEXT(H93/2,"#,##0")&amp;" per 90 days. At Risk if GMV to date &lt; "&amp;TEXT(Assumptions!$B$81,"0%")&amp;" of pro-rated expectation, checked from day "&amp;Assumptions!$B$82&amp;". Human-reviewed.","Irregular buyer ("&amp;I93&amp;" orders across "&amp;K93&amp;" months): no numeric GMV threshold. At Risk if no order within ~"&amp;BA93&amp;" month(s); AM reviews at day "&amp;Assumptions!$B$82&amp;" and "&amp;Assumptions!$B$85&amp;"."),"")</f>
        <v/>
      </c>
      <c r="BC93" s="2"/>
      <c r="BD93" s="2"/>
      <c r="BE93" s="2"/>
      <c r="BF93" s="2"/>
      <c r="BG93" s="2"/>
      <c r="BH93" s="2"/>
      <c r="BI93" s="2"/>
      <c r="BJ93" s="2" t="str">
        <f aca="false">IF(OR(NOT(LEFT(D93,1)="1"),BC93=""),"",IF(AZ93="Regular",AND(BC93&gt;=Assumptions!$B$82,N(BI93)&lt;Assumptions!$B$81*H93/180*BC93),AND(BC93&gt;=BA93*30,N(BG93)=0)))</f>
        <v/>
      </c>
      <c r="BK93" s="2" t="str">
        <f aca="false">IF(NOT(LEFT(D93,1)="1"),"N/A",IF(BC93="","Baseline",IF(BJ93,"At Risk",IF(AND(N(BD93)&gt;=Assumptions!$B$78,N(BE93)&gt;=Assumptions!$B$79,N(BH93)&gt;=1,N(BH93)/MAX(N(BG93),1)&gt;AY93),"Self-Serve Capability Demonstrated",IF(OR(N(BD93)&gt;=Assumptions!$B$76,N(BE93)&gt;=Assumptions!$B$77),"Progressing",IF(BC93&gt;=Assumptions!$B$85,"At Risk","Baseline"))))))</f>
        <v>N/A</v>
      </c>
      <c r="BL93" s="2" t="n">
        <f aca="false">(AND(C93="Broker-Reliant",OR(AK93="Discovery-to-Offer Enablement",AK93="Reinforce Successful Behaviour")))*1+(AND(G93="Declining",E93&lt;&gt;"Tail",AL93="Automated"))*1+(AND(Y93,AM93&lt;&gt;"Human Sign-Off Required"))*1+(AND(AA93,AM93&lt;&gt;"HOLD — Critical Data Issue"))*1+(AND(P93="Recent Inactivity",OR(AK93="Discovery-to-Offer Enablement",AK93="Reinforce Successful Behaviour")))*1+(AND(OR(LEFT(D93,1)="2",LEFT(D93,1)="3",LEFT(D93,1)="8"),AL93="Automated"))*1+((LEFT(D93,1)="1")&lt;&gt;(AK93="Guided Self-Serve Migration"))*1+(AND(AR93&lt;&gt;"",OR(F93&lt;&gt;"Low",U93="Mixed",AND(G93&lt;&gt;"Growing",G93&lt;&gt;"Stable"))))*1+ISNUMBER(SEARCH("chat",AP93))*1+ISNUMBER(SEARCH("video",AP93))*1+(AND(AA93,AL93="Automated",AM93&lt;&gt;"HOLD — Critical Data Issue"))*1</f>
        <v>0</v>
      </c>
    </row>
    <row r="94" customFormat="false" ht="15" hidden="false" customHeight="false" outlineLevel="0" collapsed="false">
      <c r="A94" s="2" t="s">
        <v>624</v>
      </c>
      <c r="B94" s="2" t="str">
        <f aca="false">INDEX(Segmentation!$B$2:$B$301,MATCH($A94,Segmentation!$A$2:$A$301,0))</f>
        <v>Account Managed</v>
      </c>
      <c r="C94" s="2" t="str">
        <f aca="false">INDEX(Segmentation!$H$2:$H$301,MATCH($A94,Segmentation!$A$2:$A$301,0))</f>
        <v>AM-Owned / Self-Serving</v>
      </c>
      <c r="D94" s="2" t="str">
        <f aca="false">INDEX(Segmentation!$T$2:$T$301,MATCH($A94,Segmentation!$A$2:$A$301,0))</f>
        <v>9. Long-Tail Automated Nurture</v>
      </c>
      <c r="E94" s="2" t="str">
        <f aca="false">INDEX(Segmentation!$J$2:$J$301,MATCH($A94,Segmentation!$A$2:$A$301,0))</f>
        <v>Tail</v>
      </c>
      <c r="F94" s="2" t="str">
        <f aca="false">INDEX(Segmentation!$G$2:$G$301,MATCH($A94,Segmentation!$A$2:$A$301,0))</f>
        <v>Low</v>
      </c>
      <c r="G94" s="2" t="str">
        <f aca="false">INDEX(Segmentation!$N$2:$N$301,MATCH($A94,Segmentation!$A$2:$A$301,0))</f>
        <v>Growing</v>
      </c>
      <c r="H94" s="9" t="n">
        <f aca="false">INDEX(Segmentation!$I$2:$I$301,MATCH($A94,Segmentation!$A$2:$A$301,0))</f>
        <v>908</v>
      </c>
      <c r="I94" s="2" t="n">
        <f aca="false">INDEX(Segmentation!$O$2:$O$301,MATCH($A94,Segmentation!$A$2:$A$301,0))</f>
        <v>4</v>
      </c>
      <c r="J94" s="2" t="n">
        <f aca="false">INDEX(Segmentation!$Q$2:$Q$301,MATCH($A94,Segmentation!$A$2:$A$301,0))</f>
        <v>4</v>
      </c>
      <c r="K94" s="2" t="n">
        <f aca="false">INDEX(Segmentation!$W$2:$W$301,MATCH($A94,Segmentation!$A$2:$A$301,0))</f>
        <v>4</v>
      </c>
      <c r="L94" s="9" t="n">
        <f aca="false">INDEX('Commercial View'!$L$2:$L$301,MATCH($A94,'Commercial View'!$A$2:$A$301,0))</f>
        <v>336</v>
      </c>
      <c r="M94" s="9" t="n">
        <f aca="false">INDEX('Commercial View'!$M$2:$M$301,MATCH($A94,'Commercial View'!$A$2:$A$301,0))</f>
        <v>253</v>
      </c>
      <c r="N94" s="9" t="n">
        <f aca="false">INDEX('Commercial View'!$N$2:$N$301,MATCH($A94,'Commercial View'!$A$2:$A$301,0))</f>
        <v>0</v>
      </c>
      <c r="O94" s="9" t="n">
        <f aca="false">INDEX(Segmentation!$L$2:$L$301,MATCH($A94,Segmentation!$A$2:$A$301,0))</f>
        <v>589</v>
      </c>
      <c r="P94" s="2" t="str">
        <f aca="false">IF(OR(M94&gt;0,N94&gt;0),"Recently Active",IF(OR(I94&lt;=Assumptions!$B$48,K94&lt;=Assumptions!$B$49),"No Meaningful History","Recent Inactivity"))</f>
        <v>Recently Active</v>
      </c>
      <c r="Q94" s="2" t="str">
        <f aca="false">INDEX(Segmentation!$AF$2:$AF$301,MATCH($A94,Segmentation!$A$2:$A$301,0))</f>
        <v>Existing Customer</v>
      </c>
      <c r="R94" s="2" t="str">
        <f aca="false">INDEX(Segmentation!$AL$2:$AL$301,MATCH($A94,Segmentation!$A$2:$A$301,0))</f>
        <v>N/A</v>
      </c>
      <c r="S94" s="10" t="b">
        <f aca="false">INDEX(Segmentation!$AW$2:$AW$301,MATCH($A94,Segmentation!$A$2:$A$301,0))</f>
        <v>0</v>
      </c>
      <c r="T94" s="2" t="str">
        <f aca="false">INDEX('Feature Data'!$AD$2:$AD$301,MATCH($A94,'Feature Data'!$A$2:$A$301,0))</f>
        <v>Independent browser-buyer</v>
      </c>
      <c r="U94" s="2" t="str">
        <f aca="false">INDEX('Feature Data'!$W$2:$W$301,MATCH($A94,'Feature Data'!$A$2:$A$301,0))</f>
        <v>Bundle-only</v>
      </c>
      <c r="V94" s="2" t="n">
        <f aca="false">INDEX('Feature Data'!$P$2:$P$301,MATCH($A94,'Feature Data'!$A$2:$A$301,0))</f>
        <v>212</v>
      </c>
      <c r="W94" s="2" t="n">
        <f aca="false">INDEX(Segmentation!$R$2:$R$301,MATCH($A94,Segmentation!$A$2:$A$301,0))</f>
        <v>30</v>
      </c>
      <c r="X94" s="2" t="n">
        <f aca="false">INDEX(Segmentation!$S$2:$S$301,MATCH($A94,Segmentation!$A$2:$A$301,0))</f>
        <v>4</v>
      </c>
      <c r="Y94" s="10" t="b">
        <f aca="false">INDEX(Segmentation!$AG$2:$AG$301,MATCH($A94,Segmentation!$A$2:$A$301,0))</f>
        <v>0</v>
      </c>
      <c r="Z94" s="2" t="str">
        <f aca="false">INDEX(Segmentation!$AU$2:$AU$301,MATCH($A94,Segmentation!$A$2:$A$301,0))</f>
        <v>Not Eligible</v>
      </c>
      <c r="AA94" s="10" t="b">
        <f aca="false">INDEX(Segmentation!$Z$2:$Z$301,MATCH($A94,Segmentation!$A$2:$A$301,0))</f>
        <v>0</v>
      </c>
      <c r="AB94" s="10" t="b">
        <f aca="false">INDEX(Segmentation!$AH$2:$AH$301,MATCH($A94,Segmentation!$A$2:$A$301,0))</f>
        <v>0</v>
      </c>
      <c r="AC94" s="10" t="b">
        <f aca="false">INDEX(Segmentation!$AK$2:$AK$301,MATCH($A94,Segmentation!$A$2:$A$301,0))</f>
        <v>0</v>
      </c>
      <c r="AD94" s="10" t="b">
        <f aca="false">INDEX(Segmentation!$AQ$2:$AQ$301,MATCH($A94,Segmentation!$A$2:$A$301,0))</f>
        <v>0</v>
      </c>
      <c r="AE94" s="10" t="b">
        <f aca="false">INDEX(Segmentation!$AT$2:$AT$301,MATCH($A94,Segmentation!$A$2:$A$301,0))</f>
        <v>0</v>
      </c>
      <c r="AF94" s="10" t="b">
        <f aca="false">INDEX(Segmentation!$X$2:$X$301,MATCH($A94,Segmentation!$A$2:$A$301,0))</f>
        <v>0</v>
      </c>
      <c r="AG94" s="10" t="b">
        <f aca="false">AND(F94="Low",V94&gt;=Assumptions!$B$71,X94&lt;Assumptions!$B$72)</f>
        <v>0</v>
      </c>
      <c r="AH94" s="10" t="b">
        <f aca="false">AND(F94="Low",OR(G94="Growing",G94="Stable"),P94="Recently Active",V94&gt;=Assumptions!$B$58,K94&gt;=Assumptions!$B$73)</f>
        <v>1</v>
      </c>
      <c r="AI94" s="17" t="n">
        <f aca="false">IF(O94&gt;0,MAX(L94:N94)/O94,"")</f>
        <v>0.570458404074703</v>
      </c>
      <c r="AJ94" s="2" t="str">
        <f aca="false">IF(LEFT(D94,1)="1",IF(E94="Key","MIGRATION_KEY_SIGNOFF",IF(Z94="Ready","MIGRATION_PHASE1_READY",IF(Z94="Manual Review","MIGRATION_PHASE1_REVIEW","MIGRATION_PRE_ENTRY"))),IF(LEFT(D94,1)="2","DECLINING_KEY_CORE",IF(LEFT(D94,1)="3",IF(R94="Established Buyer Lapsed","LAPSED_ESTABLISHED","LAPSED_THIN_HISTORY"),IF(LEFT(D94,1)="4",IF(Q94="New Customer","NEW_CUSTOMER","RETURNED_CUSTOMER"),IF(LEFT(D94,1)="5",IF(P94="Recently Active","COST_TO_SERVE_ACTIVE","DORMANT_LOW_VALUE"),IF(LEFT(D94,1)="6",IF(P94="Recent Inactivity","RECENT_INACTIVITY",IF(AG94,"BROWSING_LOW_OFFERS","HEALTHY_STRONG_SELF_SERVE")),IF(LEFT(D94,1)="7",IF(P94="Recent Inactivity","RECENT_INACTIVITY",IF(Q94="New Customer","NEW_CUSTOMER","RETURNED_CUSTOMER")),IF(LEFT(D94,1)="8",IF(G94="Declining",IF(T94="Engaged but shrinking (Key/Core)","ENGAGED_BUT_SHRINKING","DECLINING_KEY_CORE"),IF(R94="Established Buyer Lapsed","LAPSED_ESTABLISHED","LAPSED_THIN_HISTORY")),IF(S94,IF(P94&lt;&gt;"Recently Active","DORMANT_LOW_VALUE",IF(AG94,"BROWSING_LOW_OFFERS",IF(AH94,"RISING_TAIL","RISING_TAIL_EARLY"))),IF(AND(AG94,P94="Recently Active",OR(G94="Growing",G94="Stable",G94="H2 Active / No H1 GMV"),I94&gt;=Assumptions!$B$74),"BROWSING_LOW_OFFERS","LONG_TAIL_STANDARD"))))))))))</f>
        <v>LONG_TAIL_STANDARD</v>
      </c>
      <c r="AK94" s="2" t="str">
        <f aca="false">INDEX('NBA Library'!$B$4:$B$21,MATCH(AJ94,'NBA Library'!$A$4:$A$21,0))</f>
        <v>Automated Nurture</v>
      </c>
      <c r="AL94" s="2" t="str">
        <f aca="false">INDEX('NBA Library'!$C$4:$C$21,MATCH(AJ94,'NBA Library'!$A$4:$A$21,0))</f>
        <v>Automated</v>
      </c>
      <c r="AM94" s="2" t="str">
        <f aca="false">IF(AA94,"HOLD — Critical Data Issue",IF(Y94,"Human Sign-Off Required",IF(Z94="Manual Review","Human Review Required",IF(AND(AL94="Automated",OR(AE94,AND(OR(AK94="Discovery-to-Offer Enablement",AK94="Reinforce Successful Behaviour"),OR(AC94,AB94)))),"Human Review Required",IF(AL94="Human","Ready — Human",IF(AL94="Hybrid","Ready — Hybrid","Ready — Automated"))))))</f>
        <v>Ready — Automated</v>
      </c>
      <c r="AN94" s="2" t="str">
        <f aca="false">IF(AA94,"P0",IF(AND(AJ94="BROWSING_LOW_OFFERS",E94="Tail"),"P3",IF(AND(AM94="Human Review Required",INDEX('NBA Library'!$D$4:$D$21,MATCH(AJ94,'NBA Library'!$A$4:$A$21,0))="P4"),"P3",INDEX('NBA Library'!$D$4:$D$21,MATCH(AJ94,'NBA Library'!$A$4:$A$21,0)))))</f>
        <v>P4</v>
      </c>
      <c r="AO94" s="2" t="str">
        <f aca="false">E94&amp;" "&amp;C94&amp;" account ("&amp;B94&amp;"); "&amp;G94&amp;" momentum; "&amp;P94&amp;"; £"&amp;TEXT(H94,"#,##0")&amp;" 6m GMV. "&amp;INDEX('NBA Library'!$G$4:$G$21,MATCH(AJ94,'NBA Library'!$A$4:$A$21,0))&amp;IF(LEFT(D94,1)="1"," Baseline: "&amp;V94&amp;" PDP views, "&amp;W94&amp;" app days, "&amp;X94&amp;" offers, "&amp;TEXT(J94/I94,"0%")&amp;" of orders self-serve.","")&amp;IF(AA94," Execution on HOLD until the Duplicate status is resolved.","")&amp;IF(Y94," Key account: explicit AM/leadership sign-off required before any migration activity.","")&amp;IF(AE94," Implied broker % from order counts would move this account to a different segment; review before automating.","")</f>
        <v>Tail AM-Owned / Self-Serving account (Account Managed); Growing momentum; Recently Active; £908 6m GMV. Low-value, low-dependency account. Scalable automated engagement.</v>
      </c>
      <c r="AP94" s="2" t="str">
        <f aca="false">INDEX('NBA Library'!$E$4:$E$21,MATCH(AJ94,'NBA Library'!$A$4:$A$21,0))&amp;IF(AND(AJ94="NEW_CUSTOMER",AG94),"; introduce Make-an-Offer on items already browsed","")</f>
        <v>Scalable automated engagement matched to nurture sub-context</v>
      </c>
      <c r="AQ94" s="2" t="str">
        <f aca="false">INDEX('NBA Library'!$F$4:$F$21,MATCH(AJ94,'NBA Library'!$A$4:$A$21,0))</f>
        <v>Any repeat order within 90 days</v>
      </c>
      <c r="AR94" s="2" t="str">
        <f aca="false">IF(AND(F94="Low",OR(G94="Growing",G94="Stable"),P94="Recently Active",U94&lt;&gt;"Mixed",OR(AK94="Discovery-to-Offer Enablement",AK94="Reinforce Successful Behaviour"),AM94="Ready — Automated",OR(E94&lt;&gt;"Tail",S94)),"Range Expansion Test — trial "&amp;IF(U94="Bundle-only","handpick","bundles")&amp;" (experimental; not proven to lift GMV)","")</f>
        <v/>
      </c>
      <c r="AS94" s="2" t="str">
        <f aca="false">IF(AK94&lt;&gt;"Automated Nurture","",IF(AJ94="DORMANT_LOW_VALUE","Dormant",IF(AJ94="RISING_TAIL_EARLY","Rising tail – early pattern",IF(Q94="New Customer","New customer onboarding",IF(Q94="Returned Customer","Returned customer",IF(G94="Lapsed","Dormant",IF(T94="Engaged, not converting","Engaged, not converting",IF(T94="One-off low-touch buyer","One-off purchaser",IF(T94="Light-touch repeat buyer","Light-touch repeat buyer","Standard long tail")))))))))</f>
        <v>Standard long tail</v>
      </c>
      <c r="AT94" s="2" t="str">
        <f aca="false">IF(AA94,"CRITICAL_DATA_BLOCKER; ","")&amp;IF(Y94,"KEY_SIGNOFF; ","")&amp;IF(Z94="Manual Review","PHASE1_MANUAL_REVIEW; ","")&amp;IF(AND(LEFT(D94,1)="1",AZ94="Lumpy"),"LUMPY_CADENCE; ","")&amp;IF(AB94,"BORDERLINE_MOMENTUM; ","")&amp;IF(AC94,"FEB_SENSITIVE; ","")&amp;IF(AD94,"MATERIAL_BROKER_INCONSISTENCY"&amp;IF(AE94," (segment would change)","")&amp;"; ","")&amp;IF(AND(I94&gt;=3,O94&gt;0),IF(AI94&gt;=Assumptions!$B$75,"H2_SINGLE_MONTH_SPIKE; ",""),"")&amp;IF(AND(M94&gt;0,N94=0),"NO_FEB_GMV (Feb unconfirmed); ","")&amp;IF(AF94,"LOW_CONFIDENCE; ","")</f>
        <v>NO_FEB_GMV (Feb unconfirmed); </v>
      </c>
      <c r="AU94" s="2" t="str">
        <f aca="false">IF(LEFT(D94,1)="1",V94,"")</f>
        <v/>
      </c>
      <c r="AV94" s="2" t="str">
        <f aca="false">IF(LEFT(D94,1)="1",V94&gt;=Assumptions!$B$58,"")</f>
        <v/>
      </c>
      <c r="AW94" s="2" t="str">
        <f aca="false">IF(LEFT(D94,1)="1",W94,"")</f>
        <v/>
      </c>
      <c r="AX94" s="2" t="str">
        <f aca="false">IF(LEFT(D94,1)="1",X94,"")</f>
        <v/>
      </c>
      <c r="AY94" s="17" t="str">
        <f aca="false">IF(LEFT(D94,1)="1",J94/I94,"")</f>
        <v/>
      </c>
      <c r="AZ94" s="2" t="str">
        <f aca="false">IF(LEFT(D94,1)="1",IF(AND(K94&gt;=Assumptions!$B$83,I94&gt;=Assumptions!$B$84),"Regular","Lumpy"),"")</f>
        <v/>
      </c>
      <c r="BA94" s="2" t="str">
        <f aca="false">IF(LEFT(D94,1)="1",ROUND(6/K94,0),"")</f>
        <v/>
      </c>
      <c r="BB94" s="2" t="str">
        <f aca="false">IF(LEFT(D94,1)="1",IF(AZ94="Regular","Regular buyer: expected ~£"&amp;TEXT(H94/2,"#,##0")&amp;" per 90 days. At Risk if GMV to date &lt; "&amp;TEXT(Assumptions!$B$81,"0%")&amp;" of pro-rated expectation, checked from day "&amp;Assumptions!$B$82&amp;". Human-reviewed.","Irregular buyer ("&amp;I94&amp;" orders across "&amp;K94&amp;" months): no numeric GMV threshold. At Risk if no order within ~"&amp;BA94&amp;" month(s); AM reviews at day "&amp;Assumptions!$B$82&amp;" and "&amp;Assumptions!$B$85&amp;"."),"")</f>
        <v/>
      </c>
      <c r="BC94" s="2"/>
      <c r="BD94" s="2"/>
      <c r="BE94" s="2"/>
      <c r="BF94" s="2"/>
      <c r="BG94" s="2"/>
      <c r="BH94" s="2"/>
      <c r="BI94" s="2"/>
      <c r="BJ94" s="2" t="str">
        <f aca="false">IF(OR(NOT(LEFT(D94,1)="1"),BC94=""),"",IF(AZ94="Regular",AND(BC94&gt;=Assumptions!$B$82,N(BI94)&lt;Assumptions!$B$81*H94/180*BC94),AND(BC94&gt;=BA94*30,N(BG94)=0)))</f>
        <v/>
      </c>
      <c r="BK94" s="2" t="str">
        <f aca="false">IF(NOT(LEFT(D94,1)="1"),"N/A",IF(BC94="","Baseline",IF(BJ94,"At Risk",IF(AND(N(BD94)&gt;=Assumptions!$B$78,N(BE94)&gt;=Assumptions!$B$79,N(BH94)&gt;=1,N(BH94)/MAX(N(BG94),1)&gt;AY94),"Self-Serve Capability Demonstrated",IF(OR(N(BD94)&gt;=Assumptions!$B$76,N(BE94)&gt;=Assumptions!$B$77),"Progressing",IF(BC94&gt;=Assumptions!$B$85,"At Risk","Baseline"))))))</f>
        <v>N/A</v>
      </c>
      <c r="BL94" s="2" t="n">
        <f aca="false">(AND(C94="Broker-Reliant",OR(AK94="Discovery-to-Offer Enablement",AK94="Reinforce Successful Behaviour")))*1+(AND(G94="Declining",E94&lt;&gt;"Tail",AL94="Automated"))*1+(AND(Y94,AM94&lt;&gt;"Human Sign-Off Required"))*1+(AND(AA94,AM94&lt;&gt;"HOLD — Critical Data Issue"))*1+(AND(P94="Recent Inactivity",OR(AK94="Discovery-to-Offer Enablement",AK94="Reinforce Successful Behaviour")))*1+(AND(OR(LEFT(D94,1)="2",LEFT(D94,1)="3",LEFT(D94,1)="8"),AL94="Automated"))*1+((LEFT(D94,1)="1")&lt;&gt;(AK94="Guided Self-Serve Migration"))*1+(AND(AR94&lt;&gt;"",OR(F94&lt;&gt;"Low",U94="Mixed",AND(G94&lt;&gt;"Growing",G94&lt;&gt;"Stable"))))*1+ISNUMBER(SEARCH("chat",AP94))*1+ISNUMBER(SEARCH("video",AP94))*1+(AND(AA94,AL94="Automated",AM94&lt;&gt;"HOLD — Critical Data Issue"))*1</f>
        <v>0</v>
      </c>
    </row>
    <row r="95" customFormat="false" ht="15" hidden="false" customHeight="false" outlineLevel="0" collapsed="false">
      <c r="A95" s="2" t="s">
        <v>627</v>
      </c>
      <c r="B95" s="2" t="str">
        <f aca="false">INDEX(Segmentation!$B$2:$B$301,MATCH($A95,Segmentation!$A$2:$A$301,0))</f>
        <v>Account Managed</v>
      </c>
      <c r="C95" s="2" t="str">
        <f aca="false">INDEX(Segmentation!$H$2:$H$301,MATCH($A95,Segmentation!$A$2:$A$301,0))</f>
        <v>AM-Owned / Self-Serving</v>
      </c>
      <c r="D95" s="2" t="str">
        <f aca="false">INDEX(Segmentation!$T$2:$T$301,MATCH($A95,Segmentation!$A$2:$A$301,0))</f>
        <v>9. Long-Tail Automated Nurture</v>
      </c>
      <c r="E95" s="2" t="str">
        <f aca="false">INDEX(Segmentation!$J$2:$J$301,MATCH($A95,Segmentation!$A$2:$A$301,0))</f>
        <v>Tail</v>
      </c>
      <c r="F95" s="2" t="str">
        <f aca="false">INDEX(Segmentation!$G$2:$G$301,MATCH($A95,Segmentation!$A$2:$A$301,0))</f>
        <v>Low</v>
      </c>
      <c r="G95" s="2" t="str">
        <f aca="false">INDEX(Segmentation!$N$2:$N$301,MATCH($A95,Segmentation!$A$2:$A$301,0))</f>
        <v>Lapsed</v>
      </c>
      <c r="H95" s="9" t="n">
        <f aca="false">INDEX(Segmentation!$I$2:$I$301,MATCH($A95,Segmentation!$A$2:$A$301,0))</f>
        <v>896</v>
      </c>
      <c r="I95" s="2" t="n">
        <f aca="false">INDEX(Segmentation!$O$2:$O$301,MATCH($A95,Segmentation!$A$2:$A$301,0))</f>
        <v>2</v>
      </c>
      <c r="J95" s="2" t="n">
        <f aca="false">INDEX(Segmentation!$Q$2:$Q$301,MATCH($A95,Segmentation!$A$2:$A$301,0))</f>
        <v>2</v>
      </c>
      <c r="K95" s="2" t="n">
        <f aca="false">INDEX(Segmentation!$W$2:$W$301,MATCH($A95,Segmentation!$A$2:$A$301,0))</f>
        <v>2</v>
      </c>
      <c r="L95" s="9" t="n">
        <f aca="false">INDEX('Commercial View'!$L$2:$L$301,MATCH($A95,'Commercial View'!$A$2:$A$301,0))</f>
        <v>0</v>
      </c>
      <c r="M95" s="9" t="n">
        <f aca="false">INDEX('Commercial View'!$M$2:$M$301,MATCH($A95,'Commercial View'!$A$2:$A$301,0))</f>
        <v>0</v>
      </c>
      <c r="N95" s="9" t="n">
        <f aca="false">INDEX('Commercial View'!$N$2:$N$301,MATCH($A95,'Commercial View'!$A$2:$A$301,0))</f>
        <v>0</v>
      </c>
      <c r="O95" s="9" t="n">
        <f aca="false">INDEX(Segmentation!$L$2:$L$301,MATCH($A95,Segmentation!$A$2:$A$301,0))</f>
        <v>0</v>
      </c>
      <c r="P95" s="2" t="str">
        <f aca="false">IF(OR(M95&gt;0,N95&gt;0),"Recently Active",IF(OR(I95&lt;=Assumptions!$B$48,K95&lt;=Assumptions!$B$49),"No Meaningful History","Recent Inactivity"))</f>
        <v>No Meaningful History</v>
      </c>
      <c r="Q95" s="2" t="str">
        <f aca="false">INDEX(Segmentation!$AF$2:$AF$301,MATCH($A95,Segmentation!$A$2:$A$301,0))</f>
        <v>Existing Customer</v>
      </c>
      <c r="R95" s="2" t="str">
        <f aca="false">INDEX(Segmentation!$AL$2:$AL$301,MATCH($A95,Segmentation!$A$2:$A$301,0))</f>
        <v>One-Off / Insufficient History — Verify</v>
      </c>
      <c r="S95" s="10" t="b">
        <f aca="false">INDEX(Segmentation!$AW$2:$AW$301,MATCH($A95,Segmentation!$A$2:$A$301,0))</f>
        <v>0</v>
      </c>
      <c r="T95" s="2" t="str">
        <f aca="false">INDEX('Feature Data'!$AD$2:$AD$301,MATCH($A95,'Feature Data'!$A$2:$A$301,0))</f>
        <v>Light-touch repeat buyer</v>
      </c>
      <c r="U95" s="2" t="str">
        <f aca="false">INDEX('Feature Data'!$W$2:$W$301,MATCH($A95,'Feature Data'!$A$2:$A$301,0))</f>
        <v>Bundle-only</v>
      </c>
      <c r="V95" s="2" t="n">
        <f aca="false">INDEX('Feature Data'!$P$2:$P$301,MATCH($A95,'Feature Data'!$A$2:$A$301,0))</f>
        <v>110</v>
      </c>
      <c r="W95" s="2" t="n">
        <f aca="false">INDEX(Segmentation!$R$2:$R$301,MATCH($A95,Segmentation!$A$2:$A$301,0))</f>
        <v>8</v>
      </c>
      <c r="X95" s="2" t="n">
        <f aca="false">INDEX(Segmentation!$S$2:$S$301,MATCH($A95,Segmentation!$A$2:$A$301,0))</f>
        <v>0</v>
      </c>
      <c r="Y95" s="10" t="b">
        <f aca="false">INDEX(Segmentation!$AG$2:$AG$301,MATCH($A95,Segmentation!$A$2:$A$301,0))</f>
        <v>0</v>
      </c>
      <c r="Z95" s="2" t="str">
        <f aca="false">INDEX(Segmentation!$AU$2:$AU$301,MATCH($A95,Segmentation!$A$2:$A$301,0))</f>
        <v>Not Eligible</v>
      </c>
      <c r="AA95" s="10" t="b">
        <f aca="false">INDEX(Segmentation!$Z$2:$Z$301,MATCH($A95,Segmentation!$A$2:$A$301,0))</f>
        <v>0</v>
      </c>
      <c r="AB95" s="10" t="b">
        <f aca="false">INDEX(Segmentation!$AH$2:$AH$301,MATCH($A95,Segmentation!$A$2:$A$301,0))</f>
        <v>0</v>
      </c>
      <c r="AC95" s="10" t="b">
        <f aca="false">INDEX(Segmentation!$AK$2:$AK$301,MATCH($A95,Segmentation!$A$2:$A$301,0))</f>
        <v>0</v>
      </c>
      <c r="AD95" s="10" t="b">
        <f aca="false">INDEX(Segmentation!$AQ$2:$AQ$301,MATCH($A95,Segmentation!$A$2:$A$301,0))</f>
        <v>0</v>
      </c>
      <c r="AE95" s="10" t="b">
        <f aca="false">INDEX(Segmentation!$AT$2:$AT$301,MATCH($A95,Segmentation!$A$2:$A$301,0))</f>
        <v>0</v>
      </c>
      <c r="AF95" s="10" t="b">
        <f aca="false">INDEX(Segmentation!$X$2:$X$301,MATCH($A95,Segmentation!$A$2:$A$301,0))</f>
        <v>1</v>
      </c>
      <c r="AG95" s="10" t="b">
        <f aca="false">AND(F95="Low",V95&gt;=Assumptions!$B$71,X95&lt;Assumptions!$B$72)</f>
        <v>1</v>
      </c>
      <c r="AH95" s="10" t="b">
        <f aca="false">AND(F95="Low",OR(G95="Growing",G95="Stable"),P95="Recently Active",V95&gt;=Assumptions!$B$58,K95&gt;=Assumptions!$B$73)</f>
        <v>0</v>
      </c>
      <c r="AI95" s="17" t="str">
        <f aca="false">IF(O95&gt;0,MAX(L95:N95)/O95,"")</f>
        <v/>
      </c>
      <c r="AJ95" s="2" t="str">
        <f aca="false">IF(LEFT(D95,1)="1",IF(E95="Key","MIGRATION_KEY_SIGNOFF",IF(Z95="Ready","MIGRATION_PHASE1_READY",IF(Z95="Manual Review","MIGRATION_PHASE1_REVIEW","MIGRATION_PRE_ENTRY"))),IF(LEFT(D95,1)="2","DECLINING_KEY_CORE",IF(LEFT(D95,1)="3",IF(R95="Established Buyer Lapsed","LAPSED_ESTABLISHED","LAPSED_THIN_HISTORY"),IF(LEFT(D95,1)="4",IF(Q95="New Customer","NEW_CUSTOMER","RETURNED_CUSTOMER"),IF(LEFT(D95,1)="5",IF(P95="Recently Active","COST_TO_SERVE_ACTIVE","DORMANT_LOW_VALUE"),IF(LEFT(D95,1)="6",IF(P95="Recent Inactivity","RECENT_INACTIVITY",IF(AG95,"BROWSING_LOW_OFFERS","HEALTHY_STRONG_SELF_SERVE")),IF(LEFT(D95,1)="7",IF(P95="Recent Inactivity","RECENT_INACTIVITY",IF(Q95="New Customer","NEW_CUSTOMER","RETURNED_CUSTOMER")),IF(LEFT(D95,1)="8",IF(G95="Declining",IF(T95="Engaged but shrinking (Key/Core)","ENGAGED_BUT_SHRINKING","DECLINING_KEY_CORE"),IF(R95="Established Buyer Lapsed","LAPSED_ESTABLISHED","LAPSED_THIN_HISTORY")),IF(S95,IF(P95&lt;&gt;"Recently Active","DORMANT_LOW_VALUE",IF(AG95,"BROWSING_LOW_OFFERS",IF(AH95,"RISING_TAIL","RISING_TAIL_EARLY"))),IF(AND(AG95,P95="Recently Active",OR(G95="Growing",G95="Stable",G95="H2 Active / No H1 GMV"),I95&gt;=Assumptions!$B$74),"BROWSING_LOW_OFFERS","LONG_TAIL_STANDARD"))))))))))</f>
        <v>LONG_TAIL_STANDARD</v>
      </c>
      <c r="AK95" s="2" t="str">
        <f aca="false">INDEX('NBA Library'!$B$4:$B$21,MATCH(AJ95,'NBA Library'!$A$4:$A$21,0))</f>
        <v>Automated Nurture</v>
      </c>
      <c r="AL95" s="2" t="str">
        <f aca="false">INDEX('NBA Library'!$C$4:$C$21,MATCH(AJ95,'NBA Library'!$A$4:$A$21,0))</f>
        <v>Automated</v>
      </c>
      <c r="AM95" s="2" t="str">
        <f aca="false">IF(AA95,"HOLD — Critical Data Issue",IF(Y95,"Human Sign-Off Required",IF(Z95="Manual Review","Human Review Required",IF(AND(AL95="Automated",OR(AE95,AND(OR(AK95="Discovery-to-Offer Enablement",AK95="Reinforce Successful Behaviour"),OR(AC95,AB95)))),"Human Review Required",IF(AL95="Human","Ready — Human",IF(AL95="Hybrid","Ready — Hybrid","Ready — Automated"))))))</f>
        <v>Ready — Automated</v>
      </c>
      <c r="AN95" s="2" t="str">
        <f aca="false">IF(AA95,"P0",IF(AND(AJ95="BROWSING_LOW_OFFERS",E95="Tail"),"P3",IF(AND(AM95="Human Review Required",INDEX('NBA Library'!$D$4:$D$21,MATCH(AJ95,'NBA Library'!$A$4:$A$21,0))="P4"),"P3",INDEX('NBA Library'!$D$4:$D$21,MATCH(AJ95,'NBA Library'!$A$4:$A$21,0)))))</f>
        <v>P4</v>
      </c>
      <c r="AO95" s="2" t="str">
        <f aca="false">E95&amp;" "&amp;C95&amp;" account ("&amp;B95&amp;"); "&amp;G95&amp;" momentum; "&amp;P95&amp;"; £"&amp;TEXT(H95,"#,##0")&amp;" 6m GMV. "&amp;INDEX('NBA Library'!$G$4:$G$21,MATCH(AJ95,'NBA Library'!$A$4:$A$21,0))&amp;IF(LEFT(D95,1)="1"," Baseline: "&amp;V95&amp;" PDP views, "&amp;W95&amp;" app days, "&amp;X95&amp;" offers, "&amp;TEXT(J95/I95,"0%")&amp;" of orders self-serve.","")&amp;IF(AA95," Execution on HOLD until the Duplicate status is resolved.","")&amp;IF(Y95," Key account: explicit AM/leadership sign-off required before any migration activity.","")&amp;IF(AE95," Implied broker % from order counts would move this account to a different segment; review before automating.","")</f>
        <v>Tail AM-Owned / Self-Serving account (Account Managed); Lapsed momentum; No Meaningful History; £896 6m GMV. Low-value, low-dependency account. Scalable automated engagement.</v>
      </c>
      <c r="AP95" s="2" t="str">
        <f aca="false">INDEX('NBA Library'!$E$4:$E$21,MATCH(AJ95,'NBA Library'!$A$4:$A$21,0))&amp;IF(AND(AJ95="NEW_CUSTOMER",AG95),"; introduce Make-an-Offer on items already browsed","")</f>
        <v>Scalable automated engagement matched to nurture sub-context</v>
      </c>
      <c r="AQ95" s="2" t="str">
        <f aca="false">INDEX('NBA Library'!$F$4:$F$21,MATCH(AJ95,'NBA Library'!$A$4:$A$21,0))</f>
        <v>Any repeat order within 90 days</v>
      </c>
      <c r="AR95" s="2" t="str">
        <f aca="false">IF(AND(F95="Low",OR(G95="Growing",G95="Stable"),P95="Recently Active",U95&lt;&gt;"Mixed",OR(AK95="Discovery-to-Offer Enablement",AK95="Reinforce Successful Behaviour"),AM95="Ready — Automated",OR(E95&lt;&gt;"Tail",S95)),"Range Expansion Test — trial "&amp;IF(U95="Bundle-only","handpick","bundles")&amp;" (experimental; not proven to lift GMV)","")</f>
        <v/>
      </c>
      <c r="AS95" s="2" t="str">
        <f aca="false">IF(AK95&lt;&gt;"Automated Nurture","",IF(AJ95="DORMANT_LOW_VALUE","Dormant",IF(AJ95="RISING_TAIL_EARLY","Rising tail – early pattern",IF(Q95="New Customer","New customer onboarding",IF(Q95="Returned Customer","Returned customer",IF(G95="Lapsed","Dormant",IF(T95="Engaged, not converting","Engaged, not converting",IF(T95="One-off low-touch buyer","One-off purchaser",IF(T95="Light-touch repeat buyer","Light-touch repeat buyer","Standard long tail")))))))))</f>
        <v>Dormant</v>
      </c>
      <c r="AT95" s="2" t="str">
        <f aca="false">IF(AA95,"CRITICAL_DATA_BLOCKER; ","")&amp;IF(Y95,"KEY_SIGNOFF; ","")&amp;IF(Z95="Manual Review","PHASE1_MANUAL_REVIEW; ","")&amp;IF(AND(LEFT(D95,1)="1",AZ95="Lumpy"),"LUMPY_CADENCE; ","")&amp;IF(AB95,"BORDERLINE_MOMENTUM; ","")&amp;IF(AC95,"FEB_SENSITIVE; ","")&amp;IF(AD95,"MATERIAL_BROKER_INCONSISTENCY"&amp;IF(AE95," (segment would change)","")&amp;"; ","")&amp;IF(AND(I95&gt;=3,O95&gt;0),IF(AI95&gt;=Assumptions!$B$75,"H2_SINGLE_MONTH_SPIKE; ",""),"")&amp;IF(AND(M95&gt;0,N95=0),"NO_FEB_GMV (Feb unconfirmed); ","")&amp;IF(AF95,"LOW_CONFIDENCE; ","")</f>
        <v>LOW_CONFIDENCE; </v>
      </c>
      <c r="AU95" s="2" t="str">
        <f aca="false">IF(LEFT(D95,1)="1",V95,"")</f>
        <v/>
      </c>
      <c r="AV95" s="2" t="str">
        <f aca="false">IF(LEFT(D95,1)="1",V95&gt;=Assumptions!$B$58,"")</f>
        <v/>
      </c>
      <c r="AW95" s="2" t="str">
        <f aca="false">IF(LEFT(D95,1)="1",W95,"")</f>
        <v/>
      </c>
      <c r="AX95" s="2" t="str">
        <f aca="false">IF(LEFT(D95,1)="1",X95,"")</f>
        <v/>
      </c>
      <c r="AY95" s="17" t="str">
        <f aca="false">IF(LEFT(D95,1)="1",J95/I95,"")</f>
        <v/>
      </c>
      <c r="AZ95" s="2" t="str">
        <f aca="false">IF(LEFT(D95,1)="1",IF(AND(K95&gt;=Assumptions!$B$83,I95&gt;=Assumptions!$B$84),"Regular","Lumpy"),"")</f>
        <v/>
      </c>
      <c r="BA95" s="2" t="str">
        <f aca="false">IF(LEFT(D95,1)="1",ROUND(6/K95,0),"")</f>
        <v/>
      </c>
      <c r="BB95" s="2" t="str">
        <f aca="false">IF(LEFT(D95,1)="1",IF(AZ95="Regular","Regular buyer: expected ~£"&amp;TEXT(H95/2,"#,##0")&amp;" per 90 days. At Risk if GMV to date &lt; "&amp;TEXT(Assumptions!$B$81,"0%")&amp;" of pro-rated expectation, checked from day "&amp;Assumptions!$B$82&amp;". Human-reviewed.","Irregular buyer ("&amp;I95&amp;" orders across "&amp;K95&amp;" months): no numeric GMV threshold. At Risk if no order within ~"&amp;BA95&amp;" month(s); AM reviews at day "&amp;Assumptions!$B$82&amp;" and "&amp;Assumptions!$B$85&amp;"."),"")</f>
        <v/>
      </c>
      <c r="BC95" s="2"/>
      <c r="BD95" s="2"/>
      <c r="BE95" s="2"/>
      <c r="BF95" s="2"/>
      <c r="BG95" s="2"/>
      <c r="BH95" s="2"/>
      <c r="BI95" s="2"/>
      <c r="BJ95" s="2" t="str">
        <f aca="false">IF(OR(NOT(LEFT(D95,1)="1"),BC95=""),"",IF(AZ95="Regular",AND(BC95&gt;=Assumptions!$B$82,N(BI95)&lt;Assumptions!$B$81*H95/180*BC95),AND(BC95&gt;=BA95*30,N(BG95)=0)))</f>
        <v/>
      </c>
      <c r="BK95" s="2" t="str">
        <f aca="false">IF(NOT(LEFT(D95,1)="1"),"N/A",IF(BC95="","Baseline",IF(BJ95,"At Risk",IF(AND(N(BD95)&gt;=Assumptions!$B$78,N(BE95)&gt;=Assumptions!$B$79,N(BH95)&gt;=1,N(BH95)/MAX(N(BG95),1)&gt;AY95),"Self-Serve Capability Demonstrated",IF(OR(N(BD95)&gt;=Assumptions!$B$76,N(BE95)&gt;=Assumptions!$B$77),"Progressing",IF(BC95&gt;=Assumptions!$B$85,"At Risk","Baseline"))))))</f>
        <v>N/A</v>
      </c>
      <c r="BL95" s="2" t="n">
        <f aca="false">(AND(C95="Broker-Reliant",OR(AK95="Discovery-to-Offer Enablement",AK95="Reinforce Successful Behaviour")))*1+(AND(G95="Declining",E95&lt;&gt;"Tail",AL95="Automated"))*1+(AND(Y95,AM95&lt;&gt;"Human Sign-Off Required"))*1+(AND(AA95,AM95&lt;&gt;"HOLD — Critical Data Issue"))*1+(AND(P95="Recent Inactivity",OR(AK95="Discovery-to-Offer Enablement",AK95="Reinforce Successful Behaviour")))*1+(AND(OR(LEFT(D95,1)="2",LEFT(D95,1)="3",LEFT(D95,1)="8"),AL95="Automated"))*1+((LEFT(D95,1)="1")&lt;&gt;(AK95="Guided Self-Serve Migration"))*1+(AND(AR95&lt;&gt;"",OR(F95&lt;&gt;"Low",U95="Mixed",AND(G95&lt;&gt;"Growing",G95&lt;&gt;"Stable"))))*1+ISNUMBER(SEARCH("chat",AP95))*1+ISNUMBER(SEARCH("video",AP95))*1+(AND(AA95,AL95="Automated",AM95&lt;&gt;"HOLD — Critical Data Issue"))*1</f>
        <v>0</v>
      </c>
    </row>
    <row r="96" customFormat="false" ht="15" hidden="false" customHeight="false" outlineLevel="0" collapsed="false">
      <c r="A96" s="2" t="s">
        <v>629</v>
      </c>
      <c r="B96" s="2" t="str">
        <f aca="false">INDEX(Segmentation!$B$2:$B$301,MATCH($A96,Segmentation!$A$2:$A$301,0))</f>
        <v>Account Managed</v>
      </c>
      <c r="C96" s="2" t="str">
        <f aca="false">INDEX(Segmentation!$H$2:$H$301,MATCH($A96,Segmentation!$A$2:$A$301,0))</f>
        <v>AM-Owned / Self-Serving</v>
      </c>
      <c r="D96" s="2" t="str">
        <f aca="false">INDEX(Segmentation!$T$2:$T$301,MATCH($A96,Segmentation!$A$2:$A$301,0))</f>
        <v>9. Long-Tail Automated Nurture</v>
      </c>
      <c r="E96" s="2" t="str">
        <f aca="false">INDEX(Segmentation!$J$2:$J$301,MATCH($A96,Segmentation!$A$2:$A$301,0))</f>
        <v>Tail</v>
      </c>
      <c r="F96" s="2" t="str">
        <f aca="false">INDEX(Segmentation!$G$2:$G$301,MATCH($A96,Segmentation!$A$2:$A$301,0))</f>
        <v>Low</v>
      </c>
      <c r="G96" s="2" t="str">
        <f aca="false">INDEX(Segmentation!$N$2:$N$301,MATCH($A96,Segmentation!$A$2:$A$301,0))</f>
        <v>Lapsed</v>
      </c>
      <c r="H96" s="9" t="n">
        <f aca="false">INDEX(Segmentation!$I$2:$I$301,MATCH($A96,Segmentation!$A$2:$A$301,0))</f>
        <v>892</v>
      </c>
      <c r="I96" s="2" t="n">
        <f aca="false">INDEX(Segmentation!$O$2:$O$301,MATCH($A96,Segmentation!$A$2:$A$301,0))</f>
        <v>1</v>
      </c>
      <c r="J96" s="2" t="n">
        <f aca="false">INDEX(Segmentation!$Q$2:$Q$301,MATCH($A96,Segmentation!$A$2:$A$301,0))</f>
        <v>1</v>
      </c>
      <c r="K96" s="2" t="n">
        <f aca="false">INDEX(Segmentation!$W$2:$W$301,MATCH($A96,Segmentation!$A$2:$A$301,0))</f>
        <v>1</v>
      </c>
      <c r="L96" s="9" t="n">
        <f aca="false">INDEX('Commercial View'!$L$2:$L$301,MATCH($A96,'Commercial View'!$A$2:$A$301,0))</f>
        <v>0</v>
      </c>
      <c r="M96" s="9" t="n">
        <f aca="false">INDEX('Commercial View'!$M$2:$M$301,MATCH($A96,'Commercial View'!$A$2:$A$301,0))</f>
        <v>0</v>
      </c>
      <c r="N96" s="9" t="n">
        <f aca="false">INDEX('Commercial View'!$N$2:$N$301,MATCH($A96,'Commercial View'!$A$2:$A$301,0))</f>
        <v>0</v>
      </c>
      <c r="O96" s="9" t="n">
        <f aca="false">INDEX(Segmentation!$L$2:$L$301,MATCH($A96,Segmentation!$A$2:$A$301,0))</f>
        <v>0</v>
      </c>
      <c r="P96" s="2" t="str">
        <f aca="false">IF(OR(M96&gt;0,N96&gt;0),"Recently Active",IF(OR(I96&lt;=Assumptions!$B$48,K96&lt;=Assumptions!$B$49),"No Meaningful History","Recent Inactivity"))</f>
        <v>No Meaningful History</v>
      </c>
      <c r="Q96" s="2" t="str">
        <f aca="false">INDEX(Segmentation!$AF$2:$AF$301,MATCH($A96,Segmentation!$A$2:$A$301,0))</f>
        <v>Existing Customer</v>
      </c>
      <c r="R96" s="2" t="str">
        <f aca="false">INDEX(Segmentation!$AL$2:$AL$301,MATCH($A96,Segmentation!$A$2:$A$301,0))</f>
        <v>One-Off / Insufficient History — Verify</v>
      </c>
      <c r="S96" s="10" t="b">
        <f aca="false">INDEX(Segmentation!$AW$2:$AW$301,MATCH($A96,Segmentation!$A$2:$A$301,0))</f>
        <v>0</v>
      </c>
      <c r="T96" s="2" t="str">
        <f aca="false">INDEX('Feature Data'!$AD$2:$AD$301,MATCH($A96,'Feature Data'!$A$2:$A$301,0))</f>
        <v>Engaged, not converting</v>
      </c>
      <c r="U96" s="2" t="str">
        <f aca="false">INDEX('Feature Data'!$W$2:$W$301,MATCH($A96,'Feature Data'!$A$2:$A$301,0))</f>
        <v>Bundle-only</v>
      </c>
      <c r="V96" s="2" t="n">
        <f aca="false">INDEX('Feature Data'!$P$2:$P$301,MATCH($A96,'Feature Data'!$A$2:$A$301,0))</f>
        <v>235</v>
      </c>
      <c r="W96" s="2" t="n">
        <f aca="false">INDEX(Segmentation!$R$2:$R$301,MATCH($A96,Segmentation!$A$2:$A$301,0))</f>
        <v>38</v>
      </c>
      <c r="X96" s="2" t="n">
        <f aca="false">INDEX(Segmentation!$S$2:$S$301,MATCH($A96,Segmentation!$A$2:$A$301,0))</f>
        <v>0</v>
      </c>
      <c r="Y96" s="10" t="b">
        <f aca="false">INDEX(Segmentation!$AG$2:$AG$301,MATCH($A96,Segmentation!$A$2:$A$301,0))</f>
        <v>0</v>
      </c>
      <c r="Z96" s="2" t="str">
        <f aca="false">INDEX(Segmentation!$AU$2:$AU$301,MATCH($A96,Segmentation!$A$2:$A$301,0))</f>
        <v>Not Eligible</v>
      </c>
      <c r="AA96" s="10" t="b">
        <f aca="false">INDEX(Segmentation!$Z$2:$Z$301,MATCH($A96,Segmentation!$A$2:$A$301,0))</f>
        <v>0</v>
      </c>
      <c r="AB96" s="10" t="b">
        <f aca="false">INDEX(Segmentation!$AH$2:$AH$301,MATCH($A96,Segmentation!$A$2:$A$301,0))</f>
        <v>0</v>
      </c>
      <c r="AC96" s="10" t="b">
        <f aca="false">INDEX(Segmentation!$AK$2:$AK$301,MATCH($A96,Segmentation!$A$2:$A$301,0))</f>
        <v>0</v>
      </c>
      <c r="AD96" s="10" t="b">
        <f aca="false">INDEX(Segmentation!$AQ$2:$AQ$301,MATCH($A96,Segmentation!$A$2:$A$301,0))</f>
        <v>0</v>
      </c>
      <c r="AE96" s="10" t="b">
        <f aca="false">INDEX(Segmentation!$AT$2:$AT$301,MATCH($A96,Segmentation!$A$2:$A$301,0))</f>
        <v>0</v>
      </c>
      <c r="AF96" s="10" t="b">
        <f aca="false">INDEX(Segmentation!$X$2:$X$301,MATCH($A96,Segmentation!$A$2:$A$301,0))</f>
        <v>1</v>
      </c>
      <c r="AG96" s="10" t="b">
        <f aca="false">AND(F96="Low",V96&gt;=Assumptions!$B$71,X96&lt;Assumptions!$B$72)</f>
        <v>1</v>
      </c>
      <c r="AH96" s="10" t="b">
        <f aca="false">AND(F96="Low",OR(G96="Growing",G96="Stable"),P96="Recently Active",V96&gt;=Assumptions!$B$58,K96&gt;=Assumptions!$B$73)</f>
        <v>0</v>
      </c>
      <c r="AI96" s="17" t="str">
        <f aca="false">IF(O96&gt;0,MAX(L96:N96)/O96,"")</f>
        <v/>
      </c>
      <c r="AJ96" s="2" t="str">
        <f aca="false">IF(LEFT(D96,1)="1",IF(E96="Key","MIGRATION_KEY_SIGNOFF",IF(Z96="Ready","MIGRATION_PHASE1_READY",IF(Z96="Manual Review","MIGRATION_PHASE1_REVIEW","MIGRATION_PRE_ENTRY"))),IF(LEFT(D96,1)="2","DECLINING_KEY_CORE",IF(LEFT(D96,1)="3",IF(R96="Established Buyer Lapsed","LAPSED_ESTABLISHED","LAPSED_THIN_HISTORY"),IF(LEFT(D96,1)="4",IF(Q96="New Customer","NEW_CUSTOMER","RETURNED_CUSTOMER"),IF(LEFT(D96,1)="5",IF(P96="Recently Active","COST_TO_SERVE_ACTIVE","DORMANT_LOW_VALUE"),IF(LEFT(D96,1)="6",IF(P96="Recent Inactivity","RECENT_INACTIVITY",IF(AG96,"BROWSING_LOW_OFFERS","HEALTHY_STRONG_SELF_SERVE")),IF(LEFT(D96,1)="7",IF(P96="Recent Inactivity","RECENT_INACTIVITY",IF(Q96="New Customer","NEW_CUSTOMER","RETURNED_CUSTOMER")),IF(LEFT(D96,1)="8",IF(G96="Declining",IF(T96="Engaged but shrinking (Key/Core)","ENGAGED_BUT_SHRINKING","DECLINING_KEY_CORE"),IF(R96="Established Buyer Lapsed","LAPSED_ESTABLISHED","LAPSED_THIN_HISTORY")),IF(S96,IF(P96&lt;&gt;"Recently Active","DORMANT_LOW_VALUE",IF(AG96,"BROWSING_LOW_OFFERS",IF(AH96,"RISING_TAIL","RISING_TAIL_EARLY"))),IF(AND(AG96,P96="Recently Active",OR(G96="Growing",G96="Stable",G96="H2 Active / No H1 GMV"),I96&gt;=Assumptions!$B$74),"BROWSING_LOW_OFFERS","LONG_TAIL_STANDARD"))))))))))</f>
        <v>LONG_TAIL_STANDARD</v>
      </c>
      <c r="AK96" s="2" t="str">
        <f aca="false">INDEX('NBA Library'!$B$4:$B$21,MATCH(AJ96,'NBA Library'!$A$4:$A$21,0))</f>
        <v>Automated Nurture</v>
      </c>
      <c r="AL96" s="2" t="str">
        <f aca="false">INDEX('NBA Library'!$C$4:$C$21,MATCH(AJ96,'NBA Library'!$A$4:$A$21,0))</f>
        <v>Automated</v>
      </c>
      <c r="AM96" s="2" t="str">
        <f aca="false">IF(AA96,"HOLD — Critical Data Issue",IF(Y96,"Human Sign-Off Required",IF(Z96="Manual Review","Human Review Required",IF(AND(AL96="Automated",OR(AE96,AND(OR(AK96="Discovery-to-Offer Enablement",AK96="Reinforce Successful Behaviour"),OR(AC96,AB96)))),"Human Review Required",IF(AL96="Human","Ready — Human",IF(AL96="Hybrid","Ready — Hybrid","Ready — Automated"))))))</f>
        <v>Ready — Automated</v>
      </c>
      <c r="AN96" s="2" t="str">
        <f aca="false">IF(AA96,"P0",IF(AND(AJ96="BROWSING_LOW_OFFERS",E96="Tail"),"P3",IF(AND(AM96="Human Review Required",INDEX('NBA Library'!$D$4:$D$21,MATCH(AJ96,'NBA Library'!$A$4:$A$21,0))="P4"),"P3",INDEX('NBA Library'!$D$4:$D$21,MATCH(AJ96,'NBA Library'!$A$4:$A$21,0)))))</f>
        <v>P4</v>
      </c>
      <c r="AO96" s="2" t="str">
        <f aca="false">E96&amp;" "&amp;C96&amp;" account ("&amp;B96&amp;"); "&amp;G96&amp;" momentum; "&amp;P96&amp;"; £"&amp;TEXT(H96,"#,##0")&amp;" 6m GMV. "&amp;INDEX('NBA Library'!$G$4:$G$21,MATCH(AJ96,'NBA Library'!$A$4:$A$21,0))&amp;IF(LEFT(D96,1)="1"," Baseline: "&amp;V96&amp;" PDP views, "&amp;W96&amp;" app days, "&amp;X96&amp;" offers, "&amp;TEXT(J96/I96,"0%")&amp;" of orders self-serve.","")&amp;IF(AA96," Execution on HOLD until the Duplicate status is resolved.","")&amp;IF(Y96," Key account: explicit AM/leadership sign-off required before any migration activity.","")&amp;IF(AE96," Implied broker % from order counts would move this account to a different segment; review before automating.","")</f>
        <v>Tail AM-Owned / Self-Serving account (Account Managed); Lapsed momentum; No Meaningful History; £892 6m GMV. Low-value, low-dependency account. Scalable automated engagement.</v>
      </c>
      <c r="AP96" s="2" t="str">
        <f aca="false">INDEX('NBA Library'!$E$4:$E$21,MATCH(AJ96,'NBA Library'!$A$4:$A$21,0))&amp;IF(AND(AJ96="NEW_CUSTOMER",AG96),"; introduce Make-an-Offer on items already browsed","")</f>
        <v>Scalable automated engagement matched to nurture sub-context</v>
      </c>
      <c r="AQ96" s="2" t="str">
        <f aca="false">INDEX('NBA Library'!$F$4:$F$21,MATCH(AJ96,'NBA Library'!$A$4:$A$21,0))</f>
        <v>Any repeat order within 90 days</v>
      </c>
      <c r="AR96" s="2" t="str">
        <f aca="false">IF(AND(F96="Low",OR(G96="Growing",G96="Stable"),P96="Recently Active",U96&lt;&gt;"Mixed",OR(AK96="Discovery-to-Offer Enablement",AK96="Reinforce Successful Behaviour"),AM96="Ready — Automated",OR(E96&lt;&gt;"Tail",S96)),"Range Expansion Test — trial "&amp;IF(U96="Bundle-only","handpick","bundles")&amp;" (experimental; not proven to lift GMV)","")</f>
        <v/>
      </c>
      <c r="AS96" s="2" t="str">
        <f aca="false">IF(AK96&lt;&gt;"Automated Nurture","",IF(AJ96="DORMANT_LOW_VALUE","Dormant",IF(AJ96="RISING_TAIL_EARLY","Rising tail – early pattern",IF(Q96="New Customer","New customer onboarding",IF(Q96="Returned Customer","Returned customer",IF(G96="Lapsed","Dormant",IF(T96="Engaged, not converting","Engaged, not converting",IF(T96="One-off low-touch buyer","One-off purchaser",IF(T96="Light-touch repeat buyer","Light-touch repeat buyer","Standard long tail")))))))))</f>
        <v>Dormant</v>
      </c>
      <c r="AT96" s="2" t="str">
        <f aca="false">IF(AA96,"CRITICAL_DATA_BLOCKER; ","")&amp;IF(Y96,"KEY_SIGNOFF; ","")&amp;IF(Z96="Manual Review","PHASE1_MANUAL_REVIEW; ","")&amp;IF(AND(LEFT(D96,1)="1",AZ96="Lumpy"),"LUMPY_CADENCE; ","")&amp;IF(AB96,"BORDERLINE_MOMENTUM; ","")&amp;IF(AC96,"FEB_SENSITIVE; ","")&amp;IF(AD96,"MATERIAL_BROKER_INCONSISTENCY"&amp;IF(AE96," (segment would change)","")&amp;"; ","")&amp;IF(AND(I96&gt;=3,O96&gt;0),IF(AI96&gt;=Assumptions!$B$75,"H2_SINGLE_MONTH_SPIKE; ",""),"")&amp;IF(AND(M96&gt;0,N96=0),"NO_FEB_GMV (Feb unconfirmed); ","")&amp;IF(AF96,"LOW_CONFIDENCE; ","")</f>
        <v>LOW_CONFIDENCE; </v>
      </c>
      <c r="AU96" s="2" t="str">
        <f aca="false">IF(LEFT(D96,1)="1",V96,"")</f>
        <v/>
      </c>
      <c r="AV96" s="2" t="str">
        <f aca="false">IF(LEFT(D96,1)="1",V96&gt;=Assumptions!$B$58,"")</f>
        <v/>
      </c>
      <c r="AW96" s="2" t="str">
        <f aca="false">IF(LEFT(D96,1)="1",W96,"")</f>
        <v/>
      </c>
      <c r="AX96" s="2" t="str">
        <f aca="false">IF(LEFT(D96,1)="1",X96,"")</f>
        <v/>
      </c>
      <c r="AY96" s="17" t="str">
        <f aca="false">IF(LEFT(D96,1)="1",J96/I96,"")</f>
        <v/>
      </c>
      <c r="AZ96" s="2" t="str">
        <f aca="false">IF(LEFT(D96,1)="1",IF(AND(K96&gt;=Assumptions!$B$83,I96&gt;=Assumptions!$B$84),"Regular","Lumpy"),"")</f>
        <v/>
      </c>
      <c r="BA96" s="2" t="str">
        <f aca="false">IF(LEFT(D96,1)="1",ROUND(6/K96,0),"")</f>
        <v/>
      </c>
      <c r="BB96" s="2" t="str">
        <f aca="false">IF(LEFT(D96,1)="1",IF(AZ96="Regular","Regular buyer: expected ~£"&amp;TEXT(H96/2,"#,##0")&amp;" per 90 days. At Risk if GMV to date &lt; "&amp;TEXT(Assumptions!$B$81,"0%")&amp;" of pro-rated expectation, checked from day "&amp;Assumptions!$B$82&amp;". Human-reviewed.","Irregular buyer ("&amp;I96&amp;" orders across "&amp;K96&amp;" months): no numeric GMV threshold. At Risk if no order within ~"&amp;BA96&amp;" month(s); AM reviews at day "&amp;Assumptions!$B$82&amp;" and "&amp;Assumptions!$B$85&amp;"."),"")</f>
        <v/>
      </c>
      <c r="BC96" s="2"/>
      <c r="BD96" s="2"/>
      <c r="BE96" s="2"/>
      <c r="BF96" s="2"/>
      <c r="BG96" s="2"/>
      <c r="BH96" s="2"/>
      <c r="BI96" s="2"/>
      <c r="BJ96" s="2" t="str">
        <f aca="false">IF(OR(NOT(LEFT(D96,1)="1"),BC96=""),"",IF(AZ96="Regular",AND(BC96&gt;=Assumptions!$B$82,N(BI96)&lt;Assumptions!$B$81*H96/180*BC96),AND(BC96&gt;=BA96*30,N(BG96)=0)))</f>
        <v/>
      </c>
      <c r="BK96" s="2" t="str">
        <f aca="false">IF(NOT(LEFT(D96,1)="1"),"N/A",IF(BC96="","Baseline",IF(BJ96,"At Risk",IF(AND(N(BD96)&gt;=Assumptions!$B$78,N(BE96)&gt;=Assumptions!$B$79,N(BH96)&gt;=1,N(BH96)/MAX(N(BG96),1)&gt;AY96),"Self-Serve Capability Demonstrated",IF(OR(N(BD96)&gt;=Assumptions!$B$76,N(BE96)&gt;=Assumptions!$B$77),"Progressing",IF(BC96&gt;=Assumptions!$B$85,"At Risk","Baseline"))))))</f>
        <v>N/A</v>
      </c>
      <c r="BL96" s="2" t="n">
        <f aca="false">(AND(C96="Broker-Reliant",OR(AK96="Discovery-to-Offer Enablement",AK96="Reinforce Successful Behaviour")))*1+(AND(G96="Declining",E96&lt;&gt;"Tail",AL96="Automated"))*1+(AND(Y96,AM96&lt;&gt;"Human Sign-Off Required"))*1+(AND(AA96,AM96&lt;&gt;"HOLD — Critical Data Issue"))*1+(AND(P96="Recent Inactivity",OR(AK96="Discovery-to-Offer Enablement",AK96="Reinforce Successful Behaviour")))*1+(AND(OR(LEFT(D96,1)="2",LEFT(D96,1)="3",LEFT(D96,1)="8"),AL96="Automated"))*1+((LEFT(D96,1)="1")&lt;&gt;(AK96="Guided Self-Serve Migration"))*1+(AND(AR96&lt;&gt;"",OR(F96&lt;&gt;"Low",U96="Mixed",AND(G96&lt;&gt;"Growing",G96&lt;&gt;"Stable"))))*1+ISNUMBER(SEARCH("chat",AP96))*1+ISNUMBER(SEARCH("video",AP96))*1+(AND(AA96,AL96="Automated",AM96&lt;&gt;"HOLD — Critical Data Issue"))*1</f>
        <v>0</v>
      </c>
    </row>
    <row r="97" customFormat="false" ht="15" hidden="false" customHeight="false" outlineLevel="0" collapsed="false">
      <c r="A97" s="2" t="s">
        <v>634</v>
      </c>
      <c r="B97" s="2" t="str">
        <f aca="false">INDEX(Segmentation!$B$2:$B$301,MATCH($A97,Segmentation!$A$2:$A$301,0))</f>
        <v>Account Managed</v>
      </c>
      <c r="C97" s="2" t="str">
        <f aca="false">INDEX(Segmentation!$H$2:$H$301,MATCH($A97,Segmentation!$A$2:$A$301,0))</f>
        <v>Broker-Reliant</v>
      </c>
      <c r="D97" s="2" t="str">
        <f aca="false">INDEX(Segmentation!$T$2:$T$301,MATCH($A97,Segmentation!$A$2:$A$301,0))</f>
        <v>5. Cost-to-Serve / Low-Touch</v>
      </c>
      <c r="E97" s="2" t="str">
        <f aca="false">INDEX(Segmentation!$J$2:$J$301,MATCH($A97,Segmentation!$A$2:$A$301,0))</f>
        <v>Tail</v>
      </c>
      <c r="F97" s="2" t="str">
        <f aca="false">INDEX(Segmentation!$G$2:$G$301,MATCH($A97,Segmentation!$A$2:$A$301,0))</f>
        <v>High</v>
      </c>
      <c r="G97" s="2" t="str">
        <f aca="false">INDEX(Segmentation!$N$2:$N$301,MATCH($A97,Segmentation!$A$2:$A$301,0))</f>
        <v>Lapsed</v>
      </c>
      <c r="H97" s="9" t="n">
        <f aca="false">INDEX(Segmentation!$I$2:$I$301,MATCH($A97,Segmentation!$A$2:$A$301,0))</f>
        <v>874</v>
      </c>
      <c r="I97" s="2" t="n">
        <f aca="false">INDEX(Segmentation!$O$2:$O$301,MATCH($A97,Segmentation!$A$2:$A$301,0))</f>
        <v>2</v>
      </c>
      <c r="J97" s="2" t="n">
        <f aca="false">INDEX(Segmentation!$Q$2:$Q$301,MATCH($A97,Segmentation!$A$2:$A$301,0))</f>
        <v>1</v>
      </c>
      <c r="K97" s="2" t="n">
        <f aca="false">INDEX(Segmentation!$W$2:$W$301,MATCH($A97,Segmentation!$A$2:$A$301,0))</f>
        <v>2</v>
      </c>
      <c r="L97" s="9" t="n">
        <f aca="false">INDEX('Commercial View'!$L$2:$L$301,MATCH($A97,'Commercial View'!$A$2:$A$301,0))</f>
        <v>0</v>
      </c>
      <c r="M97" s="9" t="n">
        <f aca="false">INDEX('Commercial View'!$M$2:$M$301,MATCH($A97,'Commercial View'!$A$2:$A$301,0))</f>
        <v>0</v>
      </c>
      <c r="N97" s="9" t="n">
        <f aca="false">INDEX('Commercial View'!$N$2:$N$301,MATCH($A97,'Commercial View'!$A$2:$A$301,0))</f>
        <v>0</v>
      </c>
      <c r="O97" s="9" t="n">
        <f aca="false">INDEX(Segmentation!$L$2:$L$301,MATCH($A97,Segmentation!$A$2:$A$301,0))</f>
        <v>0</v>
      </c>
      <c r="P97" s="2" t="str">
        <f aca="false">IF(OR(M97&gt;0,N97&gt;0),"Recently Active",IF(OR(I97&lt;=Assumptions!$B$48,K97&lt;=Assumptions!$B$49),"No Meaningful History","Recent Inactivity"))</f>
        <v>No Meaningful History</v>
      </c>
      <c r="Q97" s="2" t="str">
        <f aca="false">INDEX(Segmentation!$AF$2:$AF$301,MATCH($A97,Segmentation!$A$2:$A$301,0))</f>
        <v>Existing Customer</v>
      </c>
      <c r="R97" s="2" t="str">
        <f aca="false">INDEX(Segmentation!$AL$2:$AL$301,MATCH($A97,Segmentation!$A$2:$A$301,0))</f>
        <v>One-Off / Insufficient History — Verify</v>
      </c>
      <c r="S97" s="10" t="b">
        <f aca="false">INDEX(Segmentation!$AW$2:$AW$301,MATCH($A97,Segmentation!$A$2:$A$301,0))</f>
        <v>0</v>
      </c>
      <c r="T97" s="2" t="str">
        <f aca="false">INDEX('Feature Data'!$AD$2:$AD$301,MATCH($A97,'Feature Data'!$A$2:$A$301,0))</f>
        <v>Broker-led, product-blind</v>
      </c>
      <c r="U97" s="2" t="str">
        <f aca="false">INDEX('Feature Data'!$W$2:$W$301,MATCH($A97,'Feature Data'!$A$2:$A$301,0))</f>
        <v>Bundle-only</v>
      </c>
      <c r="V97" s="2" t="n">
        <f aca="false">INDEX('Feature Data'!$P$2:$P$301,MATCH($A97,'Feature Data'!$A$2:$A$301,0))</f>
        <v>9</v>
      </c>
      <c r="W97" s="2" t="n">
        <f aca="false">INDEX(Segmentation!$R$2:$R$301,MATCH($A97,Segmentation!$A$2:$A$301,0))</f>
        <v>3</v>
      </c>
      <c r="X97" s="2" t="n">
        <f aca="false">INDEX(Segmentation!$S$2:$S$301,MATCH($A97,Segmentation!$A$2:$A$301,0))</f>
        <v>1</v>
      </c>
      <c r="Y97" s="10" t="b">
        <f aca="false">INDEX(Segmentation!$AG$2:$AG$301,MATCH($A97,Segmentation!$A$2:$A$301,0))</f>
        <v>0</v>
      </c>
      <c r="Z97" s="2" t="str">
        <f aca="false">INDEX(Segmentation!$AU$2:$AU$301,MATCH($A97,Segmentation!$A$2:$A$301,0))</f>
        <v>Not Eligible</v>
      </c>
      <c r="AA97" s="10" t="b">
        <f aca="false">INDEX(Segmentation!$Z$2:$Z$301,MATCH($A97,Segmentation!$A$2:$A$301,0))</f>
        <v>0</v>
      </c>
      <c r="AB97" s="10" t="b">
        <f aca="false">INDEX(Segmentation!$AH$2:$AH$301,MATCH($A97,Segmentation!$A$2:$A$301,0))</f>
        <v>0</v>
      </c>
      <c r="AC97" s="10" t="b">
        <f aca="false">INDEX(Segmentation!$AK$2:$AK$301,MATCH($A97,Segmentation!$A$2:$A$301,0))</f>
        <v>0</v>
      </c>
      <c r="AD97" s="10" t="b">
        <f aca="false">INDEX(Segmentation!$AQ$2:$AQ$301,MATCH($A97,Segmentation!$A$2:$A$301,0))</f>
        <v>0</v>
      </c>
      <c r="AE97" s="10" t="b">
        <f aca="false">INDEX(Segmentation!$AT$2:$AT$301,MATCH($A97,Segmentation!$A$2:$A$301,0))</f>
        <v>0</v>
      </c>
      <c r="AF97" s="10" t="b">
        <f aca="false">INDEX(Segmentation!$X$2:$X$301,MATCH($A97,Segmentation!$A$2:$A$301,0))</f>
        <v>1</v>
      </c>
      <c r="AG97" s="10" t="b">
        <f aca="false">AND(F97="Low",V97&gt;=Assumptions!$B$71,X97&lt;Assumptions!$B$72)</f>
        <v>0</v>
      </c>
      <c r="AH97" s="10" t="b">
        <f aca="false">AND(F97="Low",OR(G97="Growing",G97="Stable"),P97="Recently Active",V97&gt;=Assumptions!$B$58,K97&gt;=Assumptions!$B$73)</f>
        <v>0</v>
      </c>
      <c r="AI97" s="17" t="str">
        <f aca="false">IF(O97&gt;0,MAX(L97:N97)/O97,"")</f>
        <v/>
      </c>
      <c r="AJ97" s="2" t="str">
        <f aca="false">IF(LEFT(D97,1)="1",IF(E97="Key","MIGRATION_KEY_SIGNOFF",IF(Z97="Ready","MIGRATION_PHASE1_READY",IF(Z97="Manual Review","MIGRATION_PHASE1_REVIEW","MIGRATION_PRE_ENTRY"))),IF(LEFT(D97,1)="2","DECLINING_KEY_CORE",IF(LEFT(D97,1)="3",IF(R97="Established Buyer Lapsed","LAPSED_ESTABLISHED","LAPSED_THIN_HISTORY"),IF(LEFT(D97,1)="4",IF(Q97="New Customer","NEW_CUSTOMER","RETURNED_CUSTOMER"),IF(LEFT(D97,1)="5",IF(P97="Recently Active","COST_TO_SERVE_ACTIVE","DORMANT_LOW_VALUE"),IF(LEFT(D97,1)="6",IF(P97="Recent Inactivity","RECENT_INACTIVITY",IF(AG97,"BROWSING_LOW_OFFERS","HEALTHY_STRONG_SELF_SERVE")),IF(LEFT(D97,1)="7",IF(P97="Recent Inactivity","RECENT_INACTIVITY",IF(Q97="New Customer","NEW_CUSTOMER","RETURNED_CUSTOMER")),IF(LEFT(D97,1)="8",IF(G97="Declining",IF(T97="Engaged but shrinking (Key/Core)","ENGAGED_BUT_SHRINKING","DECLINING_KEY_CORE"),IF(R97="Established Buyer Lapsed","LAPSED_ESTABLISHED","LAPSED_THIN_HISTORY")),IF(S97,IF(P97&lt;&gt;"Recently Active","DORMANT_LOW_VALUE",IF(AG97,"BROWSING_LOW_OFFERS",IF(AH97,"RISING_TAIL","RISING_TAIL_EARLY"))),IF(AND(AG97,P97="Recently Active",OR(G97="Growing",G97="Stable",G97="H2 Active / No H1 GMV"),I97&gt;=Assumptions!$B$74),"BROWSING_LOW_OFFERS","LONG_TAIL_STANDARD"))))))))))</f>
        <v>DORMANT_LOW_VALUE</v>
      </c>
      <c r="AK97" s="2" t="str">
        <f aca="false">INDEX('NBA Library'!$B$4:$B$21,MATCH(AJ97,'NBA Library'!$A$4:$A$21,0))</f>
        <v>Automated Nurture</v>
      </c>
      <c r="AL97" s="2" t="str">
        <f aca="false">INDEX('NBA Library'!$C$4:$C$21,MATCH(AJ97,'NBA Library'!$A$4:$A$21,0))</f>
        <v>Automated</v>
      </c>
      <c r="AM97" s="2" t="str">
        <f aca="false">IF(AA97,"HOLD — Critical Data Issue",IF(Y97,"Human Sign-Off Required",IF(Z97="Manual Review","Human Review Required",IF(AND(AL97="Automated",OR(AE97,AND(OR(AK97="Discovery-to-Offer Enablement",AK97="Reinforce Successful Behaviour"),OR(AC97,AB97)))),"Human Review Required",IF(AL97="Human","Ready — Human",IF(AL97="Hybrid","Ready — Hybrid","Ready — Automated"))))))</f>
        <v>Ready — Automated</v>
      </c>
      <c r="AN97" s="2" t="str">
        <f aca="false">IF(AA97,"P0",IF(AND(AJ97="BROWSING_LOW_OFFERS",E97="Tail"),"P3",IF(AND(AM97="Human Review Required",INDEX('NBA Library'!$D$4:$D$21,MATCH(AJ97,'NBA Library'!$A$4:$A$21,0))="P4"),"P3",INDEX('NBA Library'!$D$4:$D$21,MATCH(AJ97,'NBA Library'!$A$4:$A$21,0)))))</f>
        <v>P4</v>
      </c>
      <c r="AO97" s="2" t="str">
        <f aca="false">E97&amp;" "&amp;C97&amp;" account ("&amp;B97&amp;"); "&amp;G97&amp;" momentum; "&amp;P97&amp;"; £"&amp;TEXT(H97,"#,##0")&amp;" 6m GMV. "&amp;INDEX('NBA Library'!$G$4:$G$21,MATCH(AJ97,'NBA Library'!$A$4:$A$21,0))&amp;IF(LEFT(D97,1)="1"," Baseline: "&amp;V97&amp;" PDP views, "&amp;W97&amp;" app days, "&amp;X97&amp;" offers, "&amp;TEXT(J97/I97,"0%")&amp;" of orders self-serve.","")&amp;IF(AA97," Execution on HOLD until the Duplicate status is resolved.","")&amp;IF(Y97," Key account: explicit AM/leadership sign-off required before any migration activity.","")&amp;IF(AE97," Implied broker % from order counts would move this account to a different segment; review before automating.","")</f>
        <v>Tail Broker-Reliant account (Account Managed); Lapsed momentum; No Meaningful History; £874 6m GMV. Low-value account with no recent GMV. Avoid human time.</v>
      </c>
      <c r="AP97" s="2" t="str">
        <f aca="false">INDEX('NBA Library'!$E$4:$E$21,MATCH(AJ97,'NBA Library'!$A$4:$A$21,0))&amp;IF(AND(AJ97="NEW_CUSTOMER",AG97),"; introduce Make-an-Offer on items already browsed","")</f>
        <v>Automated reactivation only; no human time</v>
      </c>
      <c r="AQ97" s="2" t="str">
        <f aca="false">INDEX('NBA Library'!$F$4:$F$21,MATCH(AJ97,'NBA Library'!$A$4:$A$21,0))</f>
        <v>Any order within 90 days</v>
      </c>
      <c r="AR97" s="2" t="str">
        <f aca="false">IF(AND(F97="Low",OR(G97="Growing",G97="Stable"),P97="Recently Active",U97&lt;&gt;"Mixed",OR(AK97="Discovery-to-Offer Enablement",AK97="Reinforce Successful Behaviour"),AM97="Ready — Automated",OR(E97&lt;&gt;"Tail",S97)),"Range Expansion Test — trial "&amp;IF(U97="Bundle-only","handpick","bundles")&amp;" (experimental; not proven to lift GMV)","")</f>
        <v/>
      </c>
      <c r="AS97" s="2" t="str">
        <f aca="false">IF(AK97&lt;&gt;"Automated Nurture","",IF(AJ97="DORMANT_LOW_VALUE","Dormant",IF(AJ97="RISING_TAIL_EARLY","Rising tail – early pattern",IF(Q97="New Customer","New customer onboarding",IF(Q97="Returned Customer","Returned customer",IF(G97="Lapsed","Dormant",IF(T97="Engaged, not converting","Engaged, not converting",IF(T97="One-off low-touch buyer","One-off purchaser",IF(T97="Light-touch repeat buyer","Light-touch repeat buyer","Standard long tail")))))))))</f>
        <v>Dormant</v>
      </c>
      <c r="AT97" s="2" t="str">
        <f aca="false">IF(AA97,"CRITICAL_DATA_BLOCKER; ","")&amp;IF(Y97,"KEY_SIGNOFF; ","")&amp;IF(Z97="Manual Review","PHASE1_MANUAL_REVIEW; ","")&amp;IF(AND(LEFT(D97,1)="1",AZ97="Lumpy"),"LUMPY_CADENCE; ","")&amp;IF(AB97,"BORDERLINE_MOMENTUM; ","")&amp;IF(AC97,"FEB_SENSITIVE; ","")&amp;IF(AD97,"MATERIAL_BROKER_INCONSISTENCY"&amp;IF(AE97," (segment would change)","")&amp;"; ","")&amp;IF(AND(I97&gt;=3,O97&gt;0),IF(AI97&gt;=Assumptions!$B$75,"H2_SINGLE_MONTH_SPIKE; ",""),"")&amp;IF(AND(M97&gt;0,N97=0),"NO_FEB_GMV (Feb unconfirmed); ","")&amp;IF(AF97,"LOW_CONFIDENCE; ","")</f>
        <v>LOW_CONFIDENCE; </v>
      </c>
      <c r="AU97" s="2" t="str">
        <f aca="false">IF(LEFT(D97,1)="1",V97,"")</f>
        <v/>
      </c>
      <c r="AV97" s="2" t="str">
        <f aca="false">IF(LEFT(D97,1)="1",V97&gt;=Assumptions!$B$58,"")</f>
        <v/>
      </c>
      <c r="AW97" s="2" t="str">
        <f aca="false">IF(LEFT(D97,1)="1",W97,"")</f>
        <v/>
      </c>
      <c r="AX97" s="2" t="str">
        <f aca="false">IF(LEFT(D97,1)="1",X97,"")</f>
        <v/>
      </c>
      <c r="AY97" s="17" t="str">
        <f aca="false">IF(LEFT(D97,1)="1",J97/I97,"")</f>
        <v/>
      </c>
      <c r="AZ97" s="2" t="str">
        <f aca="false">IF(LEFT(D97,1)="1",IF(AND(K97&gt;=Assumptions!$B$83,I97&gt;=Assumptions!$B$84),"Regular","Lumpy"),"")</f>
        <v/>
      </c>
      <c r="BA97" s="2" t="str">
        <f aca="false">IF(LEFT(D97,1)="1",ROUND(6/K97,0),"")</f>
        <v/>
      </c>
      <c r="BB97" s="2" t="str">
        <f aca="false">IF(LEFT(D97,1)="1",IF(AZ97="Regular","Regular buyer: expected ~£"&amp;TEXT(H97/2,"#,##0")&amp;" per 90 days. At Risk if GMV to date &lt; "&amp;TEXT(Assumptions!$B$81,"0%")&amp;" of pro-rated expectation, checked from day "&amp;Assumptions!$B$82&amp;". Human-reviewed.","Irregular buyer ("&amp;I97&amp;" orders across "&amp;K97&amp;" months): no numeric GMV threshold. At Risk if no order within ~"&amp;BA97&amp;" month(s); AM reviews at day "&amp;Assumptions!$B$82&amp;" and "&amp;Assumptions!$B$85&amp;"."),"")</f>
        <v/>
      </c>
      <c r="BC97" s="2"/>
      <c r="BD97" s="2"/>
      <c r="BE97" s="2"/>
      <c r="BF97" s="2"/>
      <c r="BG97" s="2"/>
      <c r="BH97" s="2"/>
      <c r="BI97" s="2"/>
      <c r="BJ97" s="2" t="str">
        <f aca="false">IF(OR(NOT(LEFT(D97,1)="1"),BC97=""),"",IF(AZ97="Regular",AND(BC97&gt;=Assumptions!$B$82,N(BI97)&lt;Assumptions!$B$81*H97/180*BC97),AND(BC97&gt;=BA97*30,N(BG97)=0)))</f>
        <v/>
      </c>
      <c r="BK97" s="2" t="str">
        <f aca="false">IF(NOT(LEFT(D97,1)="1"),"N/A",IF(BC97="","Baseline",IF(BJ97,"At Risk",IF(AND(N(BD97)&gt;=Assumptions!$B$78,N(BE97)&gt;=Assumptions!$B$79,N(BH97)&gt;=1,N(BH97)/MAX(N(BG97),1)&gt;AY97),"Self-Serve Capability Demonstrated",IF(OR(N(BD97)&gt;=Assumptions!$B$76,N(BE97)&gt;=Assumptions!$B$77),"Progressing",IF(BC97&gt;=Assumptions!$B$85,"At Risk","Baseline"))))))</f>
        <v>N/A</v>
      </c>
      <c r="BL97" s="2" t="n">
        <f aca="false">(AND(C97="Broker-Reliant",OR(AK97="Discovery-to-Offer Enablement",AK97="Reinforce Successful Behaviour")))*1+(AND(G97="Declining",E97&lt;&gt;"Tail",AL97="Automated"))*1+(AND(Y97,AM97&lt;&gt;"Human Sign-Off Required"))*1+(AND(AA97,AM97&lt;&gt;"HOLD — Critical Data Issue"))*1+(AND(P97="Recent Inactivity",OR(AK97="Discovery-to-Offer Enablement",AK97="Reinforce Successful Behaviour")))*1+(AND(OR(LEFT(D97,1)="2",LEFT(D97,1)="3",LEFT(D97,1)="8"),AL97="Automated"))*1+((LEFT(D97,1)="1")&lt;&gt;(AK97="Guided Self-Serve Migration"))*1+(AND(AR97&lt;&gt;"",OR(F97&lt;&gt;"Low",U97="Mixed",AND(G97&lt;&gt;"Growing",G97&lt;&gt;"Stable"))))*1+ISNUMBER(SEARCH("chat",AP97))*1+ISNUMBER(SEARCH("video",AP97))*1+(AND(AA97,AL97="Automated",AM97&lt;&gt;"HOLD — Critical Data Issue"))*1</f>
        <v>0</v>
      </c>
    </row>
    <row r="98" customFormat="false" ht="15" hidden="false" customHeight="false" outlineLevel="0" collapsed="false">
      <c r="A98" s="2" t="s">
        <v>636</v>
      </c>
      <c r="B98" s="2" t="str">
        <f aca="false">INDEX(Segmentation!$B$2:$B$301,MATCH($A98,Segmentation!$A$2:$A$301,0))</f>
        <v>Account Managed</v>
      </c>
      <c r="C98" s="2" t="str">
        <f aca="false">INDEX(Segmentation!$H$2:$H$301,MATCH($A98,Segmentation!$A$2:$A$301,0))</f>
        <v>AM-Owned / Self-Serving</v>
      </c>
      <c r="D98" s="2" t="str">
        <f aca="false">INDEX(Segmentation!$T$2:$T$301,MATCH($A98,Segmentation!$A$2:$A$301,0))</f>
        <v>9. Long-Tail Automated Nurture</v>
      </c>
      <c r="E98" s="2" t="str">
        <f aca="false">INDEX(Segmentation!$J$2:$J$301,MATCH($A98,Segmentation!$A$2:$A$301,0))</f>
        <v>Tail</v>
      </c>
      <c r="F98" s="2" t="str">
        <f aca="false">INDEX(Segmentation!$G$2:$G$301,MATCH($A98,Segmentation!$A$2:$A$301,0))</f>
        <v>Low</v>
      </c>
      <c r="G98" s="2" t="str">
        <f aca="false">INDEX(Segmentation!$N$2:$N$301,MATCH($A98,Segmentation!$A$2:$A$301,0))</f>
        <v>Lapsed</v>
      </c>
      <c r="H98" s="9" t="n">
        <f aca="false">INDEX(Segmentation!$I$2:$I$301,MATCH($A98,Segmentation!$A$2:$A$301,0))</f>
        <v>852</v>
      </c>
      <c r="I98" s="2" t="n">
        <f aca="false">INDEX(Segmentation!$O$2:$O$301,MATCH($A98,Segmentation!$A$2:$A$301,0))</f>
        <v>6</v>
      </c>
      <c r="J98" s="2" t="n">
        <f aca="false">INDEX(Segmentation!$Q$2:$Q$301,MATCH($A98,Segmentation!$A$2:$A$301,0))</f>
        <v>6</v>
      </c>
      <c r="K98" s="2" t="n">
        <f aca="false">INDEX(Segmentation!$W$2:$W$301,MATCH($A98,Segmentation!$A$2:$A$301,0))</f>
        <v>2</v>
      </c>
      <c r="L98" s="9" t="n">
        <f aca="false">INDEX('Commercial View'!$L$2:$L$301,MATCH($A98,'Commercial View'!$A$2:$A$301,0))</f>
        <v>0</v>
      </c>
      <c r="M98" s="9" t="n">
        <f aca="false">INDEX('Commercial View'!$M$2:$M$301,MATCH($A98,'Commercial View'!$A$2:$A$301,0))</f>
        <v>0</v>
      </c>
      <c r="N98" s="9" t="n">
        <f aca="false">INDEX('Commercial View'!$N$2:$N$301,MATCH($A98,'Commercial View'!$A$2:$A$301,0))</f>
        <v>0</v>
      </c>
      <c r="O98" s="9" t="n">
        <f aca="false">INDEX(Segmentation!$L$2:$L$301,MATCH($A98,Segmentation!$A$2:$A$301,0))</f>
        <v>0</v>
      </c>
      <c r="P98" s="2" t="str">
        <f aca="false">IF(OR(M98&gt;0,N98&gt;0),"Recently Active",IF(OR(I98&lt;=Assumptions!$B$48,K98&lt;=Assumptions!$B$49),"No Meaningful History","Recent Inactivity"))</f>
        <v>Recent Inactivity</v>
      </c>
      <c r="Q98" s="2" t="str">
        <f aca="false">INDEX(Segmentation!$AF$2:$AF$301,MATCH($A98,Segmentation!$A$2:$A$301,0))</f>
        <v>Existing Customer</v>
      </c>
      <c r="R98" s="2" t="str">
        <f aca="false">INDEX(Segmentation!$AL$2:$AL$301,MATCH($A98,Segmentation!$A$2:$A$301,0))</f>
        <v>Established Buyer Lapsed</v>
      </c>
      <c r="S98" s="10" t="b">
        <f aca="false">INDEX(Segmentation!$AW$2:$AW$301,MATCH($A98,Segmentation!$A$2:$A$301,0))</f>
        <v>0</v>
      </c>
      <c r="T98" s="2" t="str">
        <f aca="false">INDEX('Feature Data'!$AD$2:$AD$301,MATCH($A98,'Feature Data'!$A$2:$A$301,0))</f>
        <v>Independent browser-buyer</v>
      </c>
      <c r="U98" s="2" t="str">
        <f aca="false">INDEX('Feature Data'!$W$2:$W$301,MATCH($A98,'Feature Data'!$A$2:$A$301,0))</f>
        <v>Bundle-only</v>
      </c>
      <c r="V98" s="2" t="n">
        <f aca="false">INDEX('Feature Data'!$P$2:$P$301,MATCH($A98,'Feature Data'!$A$2:$A$301,0))</f>
        <v>442</v>
      </c>
      <c r="W98" s="2" t="n">
        <f aca="false">INDEX(Segmentation!$R$2:$R$301,MATCH($A98,Segmentation!$A$2:$A$301,0))</f>
        <v>21</v>
      </c>
      <c r="X98" s="2" t="n">
        <f aca="false">INDEX(Segmentation!$S$2:$S$301,MATCH($A98,Segmentation!$A$2:$A$301,0))</f>
        <v>21</v>
      </c>
      <c r="Y98" s="10" t="b">
        <f aca="false">INDEX(Segmentation!$AG$2:$AG$301,MATCH($A98,Segmentation!$A$2:$A$301,0))</f>
        <v>0</v>
      </c>
      <c r="Z98" s="2" t="str">
        <f aca="false">INDEX(Segmentation!$AU$2:$AU$301,MATCH($A98,Segmentation!$A$2:$A$301,0))</f>
        <v>Not Eligible</v>
      </c>
      <c r="AA98" s="10" t="b">
        <f aca="false">INDEX(Segmentation!$Z$2:$Z$301,MATCH($A98,Segmentation!$A$2:$A$301,0))</f>
        <v>0</v>
      </c>
      <c r="AB98" s="10" t="b">
        <f aca="false">INDEX(Segmentation!$AH$2:$AH$301,MATCH($A98,Segmentation!$A$2:$A$301,0))</f>
        <v>0</v>
      </c>
      <c r="AC98" s="10" t="b">
        <f aca="false">INDEX(Segmentation!$AK$2:$AK$301,MATCH($A98,Segmentation!$A$2:$A$301,0))</f>
        <v>0</v>
      </c>
      <c r="AD98" s="10" t="b">
        <f aca="false">INDEX(Segmentation!$AQ$2:$AQ$301,MATCH($A98,Segmentation!$A$2:$A$301,0))</f>
        <v>0</v>
      </c>
      <c r="AE98" s="10" t="b">
        <f aca="false">INDEX(Segmentation!$AT$2:$AT$301,MATCH($A98,Segmentation!$A$2:$A$301,0))</f>
        <v>0</v>
      </c>
      <c r="AF98" s="10" t="b">
        <f aca="false">INDEX(Segmentation!$X$2:$X$301,MATCH($A98,Segmentation!$A$2:$A$301,0))</f>
        <v>0</v>
      </c>
      <c r="AG98" s="10" t="b">
        <f aca="false">AND(F98="Low",V98&gt;=Assumptions!$B$71,X98&lt;Assumptions!$B$72)</f>
        <v>0</v>
      </c>
      <c r="AH98" s="10" t="b">
        <f aca="false">AND(F98="Low",OR(G98="Growing",G98="Stable"),P98="Recently Active",V98&gt;=Assumptions!$B$58,K98&gt;=Assumptions!$B$73)</f>
        <v>0</v>
      </c>
      <c r="AI98" s="17" t="str">
        <f aca="false">IF(O98&gt;0,MAX(L98:N98)/O98,"")</f>
        <v/>
      </c>
      <c r="AJ98" s="2" t="str">
        <f aca="false">IF(LEFT(D98,1)="1",IF(E98="Key","MIGRATION_KEY_SIGNOFF",IF(Z98="Ready","MIGRATION_PHASE1_READY",IF(Z98="Manual Review","MIGRATION_PHASE1_REVIEW","MIGRATION_PRE_ENTRY"))),IF(LEFT(D98,1)="2","DECLINING_KEY_CORE",IF(LEFT(D98,1)="3",IF(R98="Established Buyer Lapsed","LAPSED_ESTABLISHED","LAPSED_THIN_HISTORY"),IF(LEFT(D98,1)="4",IF(Q98="New Customer","NEW_CUSTOMER","RETURNED_CUSTOMER"),IF(LEFT(D98,1)="5",IF(P98="Recently Active","COST_TO_SERVE_ACTIVE","DORMANT_LOW_VALUE"),IF(LEFT(D98,1)="6",IF(P98="Recent Inactivity","RECENT_INACTIVITY",IF(AG98,"BROWSING_LOW_OFFERS","HEALTHY_STRONG_SELF_SERVE")),IF(LEFT(D98,1)="7",IF(P98="Recent Inactivity","RECENT_INACTIVITY",IF(Q98="New Customer","NEW_CUSTOMER","RETURNED_CUSTOMER")),IF(LEFT(D98,1)="8",IF(G98="Declining",IF(T98="Engaged but shrinking (Key/Core)","ENGAGED_BUT_SHRINKING","DECLINING_KEY_CORE"),IF(R98="Established Buyer Lapsed","LAPSED_ESTABLISHED","LAPSED_THIN_HISTORY")),IF(S98,IF(P98&lt;&gt;"Recently Active","DORMANT_LOW_VALUE",IF(AG98,"BROWSING_LOW_OFFERS",IF(AH98,"RISING_TAIL","RISING_TAIL_EARLY"))),IF(AND(AG98,P98="Recently Active",OR(G98="Growing",G98="Stable",G98="H2 Active / No H1 GMV"),I98&gt;=Assumptions!$B$74),"BROWSING_LOW_OFFERS","LONG_TAIL_STANDARD"))))))))))</f>
        <v>LONG_TAIL_STANDARD</v>
      </c>
      <c r="AK98" s="2" t="str">
        <f aca="false">INDEX('NBA Library'!$B$4:$B$21,MATCH(AJ98,'NBA Library'!$A$4:$A$21,0))</f>
        <v>Automated Nurture</v>
      </c>
      <c r="AL98" s="2" t="str">
        <f aca="false">INDEX('NBA Library'!$C$4:$C$21,MATCH(AJ98,'NBA Library'!$A$4:$A$21,0))</f>
        <v>Automated</v>
      </c>
      <c r="AM98" s="2" t="str">
        <f aca="false">IF(AA98,"HOLD — Critical Data Issue",IF(Y98,"Human Sign-Off Required",IF(Z98="Manual Review","Human Review Required",IF(AND(AL98="Automated",OR(AE98,AND(OR(AK98="Discovery-to-Offer Enablement",AK98="Reinforce Successful Behaviour"),OR(AC98,AB98)))),"Human Review Required",IF(AL98="Human","Ready — Human",IF(AL98="Hybrid","Ready — Hybrid","Ready — Automated"))))))</f>
        <v>Ready — Automated</v>
      </c>
      <c r="AN98" s="2" t="str">
        <f aca="false">IF(AA98,"P0",IF(AND(AJ98="BROWSING_LOW_OFFERS",E98="Tail"),"P3",IF(AND(AM98="Human Review Required",INDEX('NBA Library'!$D$4:$D$21,MATCH(AJ98,'NBA Library'!$A$4:$A$21,0))="P4"),"P3",INDEX('NBA Library'!$D$4:$D$21,MATCH(AJ98,'NBA Library'!$A$4:$A$21,0)))))</f>
        <v>P4</v>
      </c>
      <c r="AO98" s="2" t="str">
        <f aca="false">E98&amp;" "&amp;C98&amp;" account ("&amp;B98&amp;"); "&amp;G98&amp;" momentum; "&amp;P98&amp;"; £"&amp;TEXT(H98,"#,##0")&amp;" 6m GMV. "&amp;INDEX('NBA Library'!$G$4:$G$21,MATCH(AJ98,'NBA Library'!$A$4:$A$21,0))&amp;IF(LEFT(D98,1)="1"," Baseline: "&amp;V98&amp;" PDP views, "&amp;W98&amp;" app days, "&amp;X98&amp;" offers, "&amp;TEXT(J98/I98,"0%")&amp;" of orders self-serve.","")&amp;IF(AA98," Execution on HOLD until the Duplicate status is resolved.","")&amp;IF(Y98," Key account: explicit AM/leadership sign-off required before any migration activity.","")&amp;IF(AE98," Implied broker % from order counts would move this account to a different segment; review before automating.","")</f>
        <v>Tail AM-Owned / Self-Serving account (Account Managed); Lapsed momentum; Recent Inactivity; £852 6m GMV. Low-value, low-dependency account. Scalable automated engagement.</v>
      </c>
      <c r="AP98" s="2" t="str">
        <f aca="false">INDEX('NBA Library'!$E$4:$E$21,MATCH(AJ98,'NBA Library'!$A$4:$A$21,0))&amp;IF(AND(AJ98="NEW_CUSTOMER",AG98),"; introduce Make-an-Offer on items already browsed","")</f>
        <v>Scalable automated engagement matched to nurture sub-context</v>
      </c>
      <c r="AQ98" s="2" t="str">
        <f aca="false">INDEX('NBA Library'!$F$4:$F$21,MATCH(AJ98,'NBA Library'!$A$4:$A$21,0))</f>
        <v>Any repeat order within 90 days</v>
      </c>
      <c r="AR98" s="2" t="str">
        <f aca="false">IF(AND(F98="Low",OR(G98="Growing",G98="Stable"),P98="Recently Active",U98&lt;&gt;"Mixed",OR(AK98="Discovery-to-Offer Enablement",AK98="Reinforce Successful Behaviour"),AM98="Ready — Automated",OR(E98&lt;&gt;"Tail",S98)),"Range Expansion Test — trial "&amp;IF(U98="Bundle-only","handpick","bundles")&amp;" (experimental; not proven to lift GMV)","")</f>
        <v/>
      </c>
      <c r="AS98" s="2" t="str">
        <f aca="false">IF(AK98&lt;&gt;"Automated Nurture","",IF(AJ98="DORMANT_LOW_VALUE","Dormant",IF(AJ98="RISING_TAIL_EARLY","Rising tail – early pattern",IF(Q98="New Customer","New customer onboarding",IF(Q98="Returned Customer","Returned customer",IF(G98="Lapsed","Dormant",IF(T98="Engaged, not converting","Engaged, not converting",IF(T98="One-off low-touch buyer","One-off purchaser",IF(T98="Light-touch repeat buyer","Light-touch repeat buyer","Standard long tail")))))))))</f>
        <v>Dormant</v>
      </c>
      <c r="AT98" s="2" t="str">
        <f aca="false">IF(AA98,"CRITICAL_DATA_BLOCKER; ","")&amp;IF(Y98,"KEY_SIGNOFF; ","")&amp;IF(Z98="Manual Review","PHASE1_MANUAL_REVIEW; ","")&amp;IF(AND(LEFT(D98,1)="1",AZ98="Lumpy"),"LUMPY_CADENCE; ","")&amp;IF(AB98,"BORDERLINE_MOMENTUM; ","")&amp;IF(AC98,"FEB_SENSITIVE; ","")&amp;IF(AD98,"MATERIAL_BROKER_INCONSISTENCY"&amp;IF(AE98," (segment would change)","")&amp;"; ","")&amp;IF(AND(I98&gt;=3,O98&gt;0),IF(AI98&gt;=Assumptions!$B$75,"H2_SINGLE_MONTH_SPIKE; ",""),"")&amp;IF(AND(M98&gt;0,N98=0),"NO_FEB_GMV (Feb unconfirmed); ","")&amp;IF(AF98,"LOW_CONFIDENCE; ","")</f>
        <v/>
      </c>
      <c r="AU98" s="2" t="str">
        <f aca="false">IF(LEFT(D98,1)="1",V98,"")</f>
        <v/>
      </c>
      <c r="AV98" s="2" t="str">
        <f aca="false">IF(LEFT(D98,1)="1",V98&gt;=Assumptions!$B$58,"")</f>
        <v/>
      </c>
      <c r="AW98" s="2" t="str">
        <f aca="false">IF(LEFT(D98,1)="1",W98,"")</f>
        <v/>
      </c>
      <c r="AX98" s="2" t="str">
        <f aca="false">IF(LEFT(D98,1)="1",X98,"")</f>
        <v/>
      </c>
      <c r="AY98" s="17" t="str">
        <f aca="false">IF(LEFT(D98,1)="1",J98/I98,"")</f>
        <v/>
      </c>
      <c r="AZ98" s="2" t="str">
        <f aca="false">IF(LEFT(D98,1)="1",IF(AND(K98&gt;=Assumptions!$B$83,I98&gt;=Assumptions!$B$84),"Regular","Lumpy"),"")</f>
        <v/>
      </c>
      <c r="BA98" s="2" t="str">
        <f aca="false">IF(LEFT(D98,1)="1",ROUND(6/K98,0),"")</f>
        <v/>
      </c>
      <c r="BB98" s="2" t="str">
        <f aca="false">IF(LEFT(D98,1)="1",IF(AZ98="Regular","Regular buyer: expected ~£"&amp;TEXT(H98/2,"#,##0")&amp;" per 90 days. At Risk if GMV to date &lt; "&amp;TEXT(Assumptions!$B$81,"0%")&amp;" of pro-rated expectation, checked from day "&amp;Assumptions!$B$82&amp;". Human-reviewed.","Irregular buyer ("&amp;I98&amp;" orders across "&amp;K98&amp;" months): no numeric GMV threshold. At Risk if no order within ~"&amp;BA98&amp;" month(s); AM reviews at day "&amp;Assumptions!$B$82&amp;" and "&amp;Assumptions!$B$85&amp;"."),"")</f>
        <v/>
      </c>
      <c r="BC98" s="2"/>
      <c r="BD98" s="2"/>
      <c r="BE98" s="2"/>
      <c r="BF98" s="2"/>
      <c r="BG98" s="2"/>
      <c r="BH98" s="2"/>
      <c r="BI98" s="2"/>
      <c r="BJ98" s="2" t="str">
        <f aca="false">IF(OR(NOT(LEFT(D98,1)="1"),BC98=""),"",IF(AZ98="Regular",AND(BC98&gt;=Assumptions!$B$82,N(BI98)&lt;Assumptions!$B$81*H98/180*BC98),AND(BC98&gt;=BA98*30,N(BG98)=0)))</f>
        <v/>
      </c>
      <c r="BK98" s="2" t="str">
        <f aca="false">IF(NOT(LEFT(D98,1)="1"),"N/A",IF(BC98="","Baseline",IF(BJ98,"At Risk",IF(AND(N(BD98)&gt;=Assumptions!$B$78,N(BE98)&gt;=Assumptions!$B$79,N(BH98)&gt;=1,N(BH98)/MAX(N(BG98),1)&gt;AY98),"Self-Serve Capability Demonstrated",IF(OR(N(BD98)&gt;=Assumptions!$B$76,N(BE98)&gt;=Assumptions!$B$77),"Progressing",IF(BC98&gt;=Assumptions!$B$85,"At Risk","Baseline"))))))</f>
        <v>N/A</v>
      </c>
      <c r="BL98" s="2" t="n">
        <f aca="false">(AND(C98="Broker-Reliant",OR(AK98="Discovery-to-Offer Enablement",AK98="Reinforce Successful Behaviour")))*1+(AND(G98="Declining",E98&lt;&gt;"Tail",AL98="Automated"))*1+(AND(Y98,AM98&lt;&gt;"Human Sign-Off Required"))*1+(AND(AA98,AM98&lt;&gt;"HOLD — Critical Data Issue"))*1+(AND(P98="Recent Inactivity",OR(AK98="Discovery-to-Offer Enablement",AK98="Reinforce Successful Behaviour")))*1+(AND(OR(LEFT(D98,1)="2",LEFT(D98,1)="3",LEFT(D98,1)="8"),AL98="Automated"))*1+((LEFT(D98,1)="1")&lt;&gt;(AK98="Guided Self-Serve Migration"))*1+(AND(AR98&lt;&gt;"",OR(F98&lt;&gt;"Low",U98="Mixed",AND(G98&lt;&gt;"Growing",G98&lt;&gt;"Stable"))))*1+ISNUMBER(SEARCH("chat",AP98))*1+ISNUMBER(SEARCH("video",AP98))*1+(AND(AA98,AL98="Automated",AM98&lt;&gt;"HOLD — Critical Data Issue"))*1</f>
        <v>0</v>
      </c>
    </row>
    <row r="99" customFormat="false" ht="15" hidden="false" customHeight="false" outlineLevel="0" collapsed="false">
      <c r="A99" s="2" t="s">
        <v>638</v>
      </c>
      <c r="B99" s="2" t="str">
        <f aca="false">INDEX(Segmentation!$B$2:$B$301,MATCH($A99,Segmentation!$A$2:$A$301,0))</f>
        <v>Account Managed</v>
      </c>
      <c r="C99" s="2" t="str">
        <f aca="false">INDEX(Segmentation!$H$2:$H$301,MATCH($A99,Segmentation!$A$2:$A$301,0))</f>
        <v>AM-Owned / Self-Serving</v>
      </c>
      <c r="D99" s="2" t="str">
        <f aca="false">INDEX(Segmentation!$T$2:$T$301,MATCH($A99,Segmentation!$A$2:$A$301,0))</f>
        <v>9. Long-Tail Automated Nurture</v>
      </c>
      <c r="E99" s="2" t="str">
        <f aca="false">INDEX(Segmentation!$J$2:$J$301,MATCH($A99,Segmentation!$A$2:$A$301,0))</f>
        <v>Tail</v>
      </c>
      <c r="F99" s="2" t="str">
        <f aca="false">INDEX(Segmentation!$G$2:$G$301,MATCH($A99,Segmentation!$A$2:$A$301,0))</f>
        <v>Low</v>
      </c>
      <c r="G99" s="2" t="str">
        <f aca="false">INDEX(Segmentation!$N$2:$N$301,MATCH($A99,Segmentation!$A$2:$A$301,0))</f>
        <v>Lapsed</v>
      </c>
      <c r="H99" s="9" t="n">
        <f aca="false">INDEX(Segmentation!$I$2:$I$301,MATCH($A99,Segmentation!$A$2:$A$301,0))</f>
        <v>844</v>
      </c>
      <c r="I99" s="2" t="n">
        <f aca="false">INDEX(Segmentation!$O$2:$O$301,MATCH($A99,Segmentation!$A$2:$A$301,0))</f>
        <v>3</v>
      </c>
      <c r="J99" s="2" t="n">
        <f aca="false">INDEX(Segmentation!$Q$2:$Q$301,MATCH($A99,Segmentation!$A$2:$A$301,0))</f>
        <v>3</v>
      </c>
      <c r="K99" s="2" t="n">
        <f aca="false">INDEX(Segmentation!$W$2:$W$301,MATCH($A99,Segmentation!$A$2:$A$301,0))</f>
        <v>2</v>
      </c>
      <c r="L99" s="9" t="n">
        <f aca="false">INDEX('Commercial View'!$L$2:$L$301,MATCH($A99,'Commercial View'!$A$2:$A$301,0))</f>
        <v>0</v>
      </c>
      <c r="M99" s="9" t="n">
        <f aca="false">INDEX('Commercial View'!$M$2:$M$301,MATCH($A99,'Commercial View'!$A$2:$A$301,0))</f>
        <v>0</v>
      </c>
      <c r="N99" s="9" t="n">
        <f aca="false">INDEX('Commercial View'!$N$2:$N$301,MATCH($A99,'Commercial View'!$A$2:$A$301,0))</f>
        <v>0</v>
      </c>
      <c r="O99" s="9" t="n">
        <f aca="false">INDEX(Segmentation!$L$2:$L$301,MATCH($A99,Segmentation!$A$2:$A$301,0))</f>
        <v>0</v>
      </c>
      <c r="P99" s="2" t="str">
        <f aca="false">IF(OR(M99&gt;0,N99&gt;0),"Recently Active",IF(OR(I99&lt;=Assumptions!$B$48,K99&lt;=Assumptions!$B$49),"No Meaningful History","Recent Inactivity"))</f>
        <v>Recent Inactivity</v>
      </c>
      <c r="Q99" s="2" t="str">
        <f aca="false">INDEX(Segmentation!$AF$2:$AF$301,MATCH($A99,Segmentation!$A$2:$A$301,0))</f>
        <v>Existing Customer</v>
      </c>
      <c r="R99" s="2" t="str">
        <f aca="false">INDEX(Segmentation!$AL$2:$AL$301,MATCH($A99,Segmentation!$A$2:$A$301,0))</f>
        <v>Established Buyer Lapsed</v>
      </c>
      <c r="S99" s="10" t="b">
        <f aca="false">INDEX(Segmentation!$AW$2:$AW$301,MATCH($A99,Segmentation!$A$2:$A$301,0))</f>
        <v>0</v>
      </c>
      <c r="T99" s="2" t="str">
        <f aca="false">INDEX('Feature Data'!$AD$2:$AD$301,MATCH($A99,'Feature Data'!$A$2:$A$301,0))</f>
        <v>Independent browser-buyer</v>
      </c>
      <c r="U99" s="2" t="str">
        <f aca="false">INDEX('Feature Data'!$W$2:$W$301,MATCH($A99,'Feature Data'!$A$2:$A$301,0))</f>
        <v>Bundle-only</v>
      </c>
      <c r="V99" s="2" t="n">
        <f aca="false">INDEX('Feature Data'!$P$2:$P$301,MATCH($A99,'Feature Data'!$A$2:$A$301,0))</f>
        <v>341</v>
      </c>
      <c r="W99" s="2" t="n">
        <f aca="false">INDEX(Segmentation!$R$2:$R$301,MATCH($A99,Segmentation!$A$2:$A$301,0))</f>
        <v>30</v>
      </c>
      <c r="X99" s="2" t="n">
        <f aca="false">INDEX(Segmentation!$S$2:$S$301,MATCH($A99,Segmentation!$A$2:$A$301,0))</f>
        <v>11</v>
      </c>
      <c r="Y99" s="10" t="b">
        <f aca="false">INDEX(Segmentation!$AG$2:$AG$301,MATCH($A99,Segmentation!$A$2:$A$301,0))</f>
        <v>0</v>
      </c>
      <c r="Z99" s="2" t="str">
        <f aca="false">INDEX(Segmentation!$AU$2:$AU$301,MATCH($A99,Segmentation!$A$2:$A$301,0))</f>
        <v>Not Eligible</v>
      </c>
      <c r="AA99" s="10" t="b">
        <f aca="false">INDEX(Segmentation!$Z$2:$Z$301,MATCH($A99,Segmentation!$A$2:$A$301,0))</f>
        <v>0</v>
      </c>
      <c r="AB99" s="10" t="b">
        <f aca="false">INDEX(Segmentation!$AH$2:$AH$301,MATCH($A99,Segmentation!$A$2:$A$301,0))</f>
        <v>0</v>
      </c>
      <c r="AC99" s="10" t="b">
        <f aca="false">INDEX(Segmentation!$AK$2:$AK$301,MATCH($A99,Segmentation!$A$2:$A$301,0))</f>
        <v>0</v>
      </c>
      <c r="AD99" s="10" t="b">
        <f aca="false">INDEX(Segmentation!$AQ$2:$AQ$301,MATCH($A99,Segmentation!$A$2:$A$301,0))</f>
        <v>0</v>
      </c>
      <c r="AE99" s="10" t="b">
        <f aca="false">INDEX(Segmentation!$AT$2:$AT$301,MATCH($A99,Segmentation!$A$2:$A$301,0))</f>
        <v>0</v>
      </c>
      <c r="AF99" s="10" t="b">
        <f aca="false">INDEX(Segmentation!$X$2:$X$301,MATCH($A99,Segmentation!$A$2:$A$301,0))</f>
        <v>0</v>
      </c>
      <c r="AG99" s="10" t="b">
        <f aca="false">AND(F99="Low",V99&gt;=Assumptions!$B$71,X99&lt;Assumptions!$B$72)</f>
        <v>0</v>
      </c>
      <c r="AH99" s="10" t="b">
        <f aca="false">AND(F99="Low",OR(G99="Growing",G99="Stable"),P99="Recently Active",V99&gt;=Assumptions!$B$58,K99&gt;=Assumptions!$B$73)</f>
        <v>0</v>
      </c>
      <c r="AI99" s="17" t="str">
        <f aca="false">IF(O99&gt;0,MAX(L99:N99)/O99,"")</f>
        <v/>
      </c>
      <c r="AJ99" s="2" t="str">
        <f aca="false">IF(LEFT(D99,1)="1",IF(E99="Key","MIGRATION_KEY_SIGNOFF",IF(Z99="Ready","MIGRATION_PHASE1_READY",IF(Z99="Manual Review","MIGRATION_PHASE1_REVIEW","MIGRATION_PRE_ENTRY"))),IF(LEFT(D99,1)="2","DECLINING_KEY_CORE",IF(LEFT(D99,1)="3",IF(R99="Established Buyer Lapsed","LAPSED_ESTABLISHED","LAPSED_THIN_HISTORY"),IF(LEFT(D99,1)="4",IF(Q99="New Customer","NEW_CUSTOMER","RETURNED_CUSTOMER"),IF(LEFT(D99,1)="5",IF(P99="Recently Active","COST_TO_SERVE_ACTIVE","DORMANT_LOW_VALUE"),IF(LEFT(D99,1)="6",IF(P99="Recent Inactivity","RECENT_INACTIVITY",IF(AG99,"BROWSING_LOW_OFFERS","HEALTHY_STRONG_SELF_SERVE")),IF(LEFT(D99,1)="7",IF(P99="Recent Inactivity","RECENT_INACTIVITY",IF(Q99="New Customer","NEW_CUSTOMER","RETURNED_CUSTOMER")),IF(LEFT(D99,1)="8",IF(G99="Declining",IF(T99="Engaged but shrinking (Key/Core)","ENGAGED_BUT_SHRINKING","DECLINING_KEY_CORE"),IF(R99="Established Buyer Lapsed","LAPSED_ESTABLISHED","LAPSED_THIN_HISTORY")),IF(S99,IF(P99&lt;&gt;"Recently Active","DORMANT_LOW_VALUE",IF(AG99,"BROWSING_LOW_OFFERS",IF(AH99,"RISING_TAIL","RISING_TAIL_EARLY"))),IF(AND(AG99,P99="Recently Active",OR(G99="Growing",G99="Stable",G99="H2 Active / No H1 GMV"),I99&gt;=Assumptions!$B$74),"BROWSING_LOW_OFFERS","LONG_TAIL_STANDARD"))))))))))</f>
        <v>LONG_TAIL_STANDARD</v>
      </c>
      <c r="AK99" s="2" t="str">
        <f aca="false">INDEX('NBA Library'!$B$4:$B$21,MATCH(AJ99,'NBA Library'!$A$4:$A$21,0))</f>
        <v>Automated Nurture</v>
      </c>
      <c r="AL99" s="2" t="str">
        <f aca="false">INDEX('NBA Library'!$C$4:$C$21,MATCH(AJ99,'NBA Library'!$A$4:$A$21,0))</f>
        <v>Automated</v>
      </c>
      <c r="AM99" s="2" t="str">
        <f aca="false">IF(AA99,"HOLD — Critical Data Issue",IF(Y99,"Human Sign-Off Required",IF(Z99="Manual Review","Human Review Required",IF(AND(AL99="Automated",OR(AE99,AND(OR(AK99="Discovery-to-Offer Enablement",AK99="Reinforce Successful Behaviour"),OR(AC99,AB99)))),"Human Review Required",IF(AL99="Human","Ready — Human",IF(AL99="Hybrid","Ready — Hybrid","Ready — Automated"))))))</f>
        <v>Ready — Automated</v>
      </c>
      <c r="AN99" s="2" t="str">
        <f aca="false">IF(AA99,"P0",IF(AND(AJ99="BROWSING_LOW_OFFERS",E99="Tail"),"P3",IF(AND(AM99="Human Review Required",INDEX('NBA Library'!$D$4:$D$21,MATCH(AJ99,'NBA Library'!$A$4:$A$21,0))="P4"),"P3",INDEX('NBA Library'!$D$4:$D$21,MATCH(AJ99,'NBA Library'!$A$4:$A$21,0)))))</f>
        <v>P4</v>
      </c>
      <c r="AO99" s="2" t="str">
        <f aca="false">E99&amp;" "&amp;C99&amp;" account ("&amp;B99&amp;"); "&amp;G99&amp;" momentum; "&amp;P99&amp;"; £"&amp;TEXT(H99,"#,##0")&amp;" 6m GMV. "&amp;INDEX('NBA Library'!$G$4:$G$21,MATCH(AJ99,'NBA Library'!$A$4:$A$21,0))&amp;IF(LEFT(D99,1)="1"," Baseline: "&amp;V99&amp;" PDP views, "&amp;W99&amp;" app days, "&amp;X99&amp;" offers, "&amp;TEXT(J99/I99,"0%")&amp;" of orders self-serve.","")&amp;IF(AA99," Execution on HOLD until the Duplicate status is resolved.","")&amp;IF(Y99," Key account: explicit AM/leadership sign-off required before any migration activity.","")&amp;IF(AE99," Implied broker % from order counts would move this account to a different segment; review before automating.","")</f>
        <v>Tail AM-Owned / Self-Serving account (Account Managed); Lapsed momentum; Recent Inactivity; £844 6m GMV. Low-value, low-dependency account. Scalable automated engagement.</v>
      </c>
      <c r="AP99" s="2" t="str">
        <f aca="false">INDEX('NBA Library'!$E$4:$E$21,MATCH(AJ99,'NBA Library'!$A$4:$A$21,0))&amp;IF(AND(AJ99="NEW_CUSTOMER",AG99),"; introduce Make-an-Offer on items already browsed","")</f>
        <v>Scalable automated engagement matched to nurture sub-context</v>
      </c>
      <c r="AQ99" s="2" t="str">
        <f aca="false">INDEX('NBA Library'!$F$4:$F$21,MATCH(AJ99,'NBA Library'!$A$4:$A$21,0))</f>
        <v>Any repeat order within 90 days</v>
      </c>
      <c r="AR99" s="2" t="str">
        <f aca="false">IF(AND(F99="Low",OR(G99="Growing",G99="Stable"),P99="Recently Active",U99&lt;&gt;"Mixed",OR(AK99="Discovery-to-Offer Enablement",AK99="Reinforce Successful Behaviour"),AM99="Ready — Automated",OR(E99&lt;&gt;"Tail",S99)),"Range Expansion Test — trial "&amp;IF(U99="Bundle-only","handpick","bundles")&amp;" (experimental; not proven to lift GMV)","")</f>
        <v/>
      </c>
      <c r="AS99" s="2" t="str">
        <f aca="false">IF(AK99&lt;&gt;"Automated Nurture","",IF(AJ99="DORMANT_LOW_VALUE","Dormant",IF(AJ99="RISING_TAIL_EARLY","Rising tail – early pattern",IF(Q99="New Customer","New customer onboarding",IF(Q99="Returned Customer","Returned customer",IF(G99="Lapsed","Dormant",IF(T99="Engaged, not converting","Engaged, not converting",IF(T99="One-off low-touch buyer","One-off purchaser",IF(T99="Light-touch repeat buyer","Light-touch repeat buyer","Standard long tail")))))))))</f>
        <v>Dormant</v>
      </c>
      <c r="AT99" s="2" t="str">
        <f aca="false">IF(AA99,"CRITICAL_DATA_BLOCKER; ","")&amp;IF(Y99,"KEY_SIGNOFF; ","")&amp;IF(Z99="Manual Review","PHASE1_MANUAL_REVIEW; ","")&amp;IF(AND(LEFT(D99,1)="1",AZ99="Lumpy"),"LUMPY_CADENCE; ","")&amp;IF(AB99,"BORDERLINE_MOMENTUM; ","")&amp;IF(AC99,"FEB_SENSITIVE; ","")&amp;IF(AD99,"MATERIAL_BROKER_INCONSISTENCY"&amp;IF(AE99," (segment would change)","")&amp;"; ","")&amp;IF(AND(I99&gt;=3,O99&gt;0),IF(AI99&gt;=Assumptions!$B$75,"H2_SINGLE_MONTH_SPIKE; ",""),"")&amp;IF(AND(M99&gt;0,N99=0),"NO_FEB_GMV (Feb unconfirmed); ","")&amp;IF(AF99,"LOW_CONFIDENCE; ","")</f>
        <v/>
      </c>
      <c r="AU99" s="2" t="str">
        <f aca="false">IF(LEFT(D99,1)="1",V99,"")</f>
        <v/>
      </c>
      <c r="AV99" s="2" t="str">
        <f aca="false">IF(LEFT(D99,1)="1",V99&gt;=Assumptions!$B$58,"")</f>
        <v/>
      </c>
      <c r="AW99" s="2" t="str">
        <f aca="false">IF(LEFT(D99,1)="1",W99,"")</f>
        <v/>
      </c>
      <c r="AX99" s="2" t="str">
        <f aca="false">IF(LEFT(D99,1)="1",X99,"")</f>
        <v/>
      </c>
      <c r="AY99" s="17" t="str">
        <f aca="false">IF(LEFT(D99,1)="1",J99/I99,"")</f>
        <v/>
      </c>
      <c r="AZ99" s="2" t="str">
        <f aca="false">IF(LEFT(D99,1)="1",IF(AND(K99&gt;=Assumptions!$B$83,I99&gt;=Assumptions!$B$84),"Regular","Lumpy"),"")</f>
        <v/>
      </c>
      <c r="BA99" s="2" t="str">
        <f aca="false">IF(LEFT(D99,1)="1",ROUND(6/K99,0),"")</f>
        <v/>
      </c>
      <c r="BB99" s="2" t="str">
        <f aca="false">IF(LEFT(D99,1)="1",IF(AZ99="Regular","Regular buyer: expected ~£"&amp;TEXT(H99/2,"#,##0")&amp;" per 90 days. At Risk if GMV to date &lt; "&amp;TEXT(Assumptions!$B$81,"0%")&amp;" of pro-rated expectation, checked from day "&amp;Assumptions!$B$82&amp;". Human-reviewed.","Irregular buyer ("&amp;I99&amp;" orders across "&amp;K99&amp;" months): no numeric GMV threshold. At Risk if no order within ~"&amp;BA99&amp;" month(s); AM reviews at day "&amp;Assumptions!$B$82&amp;" and "&amp;Assumptions!$B$85&amp;"."),"")</f>
        <v/>
      </c>
      <c r="BC99" s="2"/>
      <c r="BD99" s="2"/>
      <c r="BE99" s="2"/>
      <c r="BF99" s="2"/>
      <c r="BG99" s="2"/>
      <c r="BH99" s="2"/>
      <c r="BI99" s="2"/>
      <c r="BJ99" s="2" t="str">
        <f aca="false">IF(OR(NOT(LEFT(D99,1)="1"),BC99=""),"",IF(AZ99="Regular",AND(BC99&gt;=Assumptions!$B$82,N(BI99)&lt;Assumptions!$B$81*H99/180*BC99),AND(BC99&gt;=BA99*30,N(BG99)=0)))</f>
        <v/>
      </c>
      <c r="BK99" s="2" t="str">
        <f aca="false">IF(NOT(LEFT(D99,1)="1"),"N/A",IF(BC99="","Baseline",IF(BJ99,"At Risk",IF(AND(N(BD99)&gt;=Assumptions!$B$78,N(BE99)&gt;=Assumptions!$B$79,N(BH99)&gt;=1,N(BH99)/MAX(N(BG99),1)&gt;AY99),"Self-Serve Capability Demonstrated",IF(OR(N(BD99)&gt;=Assumptions!$B$76,N(BE99)&gt;=Assumptions!$B$77),"Progressing",IF(BC99&gt;=Assumptions!$B$85,"At Risk","Baseline"))))))</f>
        <v>N/A</v>
      </c>
      <c r="BL99" s="2" t="n">
        <f aca="false">(AND(C99="Broker-Reliant",OR(AK99="Discovery-to-Offer Enablement",AK99="Reinforce Successful Behaviour")))*1+(AND(G99="Declining",E99&lt;&gt;"Tail",AL99="Automated"))*1+(AND(Y99,AM99&lt;&gt;"Human Sign-Off Required"))*1+(AND(AA99,AM99&lt;&gt;"HOLD — Critical Data Issue"))*1+(AND(P99="Recent Inactivity",OR(AK99="Discovery-to-Offer Enablement",AK99="Reinforce Successful Behaviour")))*1+(AND(OR(LEFT(D99,1)="2",LEFT(D99,1)="3",LEFT(D99,1)="8"),AL99="Automated"))*1+((LEFT(D99,1)="1")&lt;&gt;(AK99="Guided Self-Serve Migration"))*1+(AND(AR99&lt;&gt;"",OR(F99&lt;&gt;"Low",U99="Mixed",AND(G99&lt;&gt;"Growing",G99&lt;&gt;"Stable"))))*1+ISNUMBER(SEARCH("chat",AP99))*1+ISNUMBER(SEARCH("video",AP99))*1+(AND(AA99,AL99="Automated",AM99&lt;&gt;"HOLD — Critical Data Issue"))*1</f>
        <v>0</v>
      </c>
    </row>
    <row r="100" customFormat="false" ht="15" hidden="false" customHeight="false" outlineLevel="0" collapsed="false">
      <c r="A100" s="2" t="s">
        <v>640</v>
      </c>
      <c r="B100" s="2" t="str">
        <f aca="false">INDEX(Segmentation!$B$2:$B$301,MATCH($A100,Segmentation!$A$2:$A$301,0))</f>
        <v>Account Managed</v>
      </c>
      <c r="C100" s="2" t="str">
        <f aca="false">INDEX(Segmentation!$H$2:$H$301,MATCH($A100,Segmentation!$A$2:$A$301,0))</f>
        <v>AM-Owned / Self-Serving</v>
      </c>
      <c r="D100" s="2" t="str">
        <f aca="false">INDEX(Segmentation!$T$2:$T$301,MATCH($A100,Segmentation!$A$2:$A$301,0))</f>
        <v>9. Long-Tail Automated Nurture</v>
      </c>
      <c r="E100" s="2" t="str">
        <f aca="false">INDEX(Segmentation!$J$2:$J$301,MATCH($A100,Segmentation!$A$2:$A$301,0))</f>
        <v>Tail</v>
      </c>
      <c r="F100" s="2" t="str">
        <f aca="false">INDEX(Segmentation!$G$2:$G$301,MATCH($A100,Segmentation!$A$2:$A$301,0))</f>
        <v>Low</v>
      </c>
      <c r="G100" s="2" t="str">
        <f aca="false">INDEX(Segmentation!$N$2:$N$301,MATCH($A100,Segmentation!$A$2:$A$301,0))</f>
        <v>Lapsed</v>
      </c>
      <c r="H100" s="9" t="n">
        <f aca="false">INDEX(Segmentation!$I$2:$I$301,MATCH($A100,Segmentation!$A$2:$A$301,0))</f>
        <v>840</v>
      </c>
      <c r="I100" s="2" t="n">
        <f aca="false">INDEX(Segmentation!$O$2:$O$301,MATCH($A100,Segmentation!$A$2:$A$301,0))</f>
        <v>2</v>
      </c>
      <c r="J100" s="2" t="n">
        <f aca="false">INDEX(Segmentation!$Q$2:$Q$301,MATCH($A100,Segmentation!$A$2:$A$301,0))</f>
        <v>2</v>
      </c>
      <c r="K100" s="2" t="n">
        <f aca="false">INDEX(Segmentation!$W$2:$W$301,MATCH($A100,Segmentation!$A$2:$A$301,0))</f>
        <v>2</v>
      </c>
      <c r="L100" s="9" t="n">
        <f aca="false">INDEX('Commercial View'!$L$2:$L$301,MATCH($A100,'Commercial View'!$A$2:$A$301,0))</f>
        <v>0</v>
      </c>
      <c r="M100" s="9" t="n">
        <f aca="false">INDEX('Commercial View'!$M$2:$M$301,MATCH($A100,'Commercial View'!$A$2:$A$301,0))</f>
        <v>0</v>
      </c>
      <c r="N100" s="9" t="n">
        <f aca="false">INDEX('Commercial View'!$N$2:$N$301,MATCH($A100,'Commercial View'!$A$2:$A$301,0))</f>
        <v>0</v>
      </c>
      <c r="O100" s="9" t="n">
        <f aca="false">INDEX(Segmentation!$L$2:$L$301,MATCH($A100,Segmentation!$A$2:$A$301,0))</f>
        <v>0</v>
      </c>
      <c r="P100" s="2" t="str">
        <f aca="false">IF(OR(M100&gt;0,N100&gt;0),"Recently Active",IF(OR(I100&lt;=Assumptions!$B$48,K100&lt;=Assumptions!$B$49),"No Meaningful History","Recent Inactivity"))</f>
        <v>No Meaningful History</v>
      </c>
      <c r="Q100" s="2" t="str">
        <f aca="false">INDEX(Segmentation!$AF$2:$AF$301,MATCH($A100,Segmentation!$A$2:$A$301,0))</f>
        <v>Existing Customer</v>
      </c>
      <c r="R100" s="2" t="str">
        <f aca="false">INDEX(Segmentation!$AL$2:$AL$301,MATCH($A100,Segmentation!$A$2:$A$301,0))</f>
        <v>One-Off / Insufficient History — Verify</v>
      </c>
      <c r="S100" s="10" t="b">
        <f aca="false">INDEX(Segmentation!$AW$2:$AW$301,MATCH($A100,Segmentation!$A$2:$A$301,0))</f>
        <v>0</v>
      </c>
      <c r="T100" s="2" t="str">
        <f aca="false">INDEX('Feature Data'!$AD$2:$AD$301,MATCH($A100,'Feature Data'!$A$2:$A$301,0))</f>
        <v>Engaged, not converting</v>
      </c>
      <c r="U100" s="2" t="str">
        <f aca="false">INDEX('Feature Data'!$W$2:$W$301,MATCH($A100,'Feature Data'!$A$2:$A$301,0))</f>
        <v>Bundle-only</v>
      </c>
      <c r="V100" s="2" t="n">
        <f aca="false">INDEX('Feature Data'!$P$2:$P$301,MATCH($A100,'Feature Data'!$A$2:$A$301,0))</f>
        <v>210</v>
      </c>
      <c r="W100" s="2" t="n">
        <f aca="false">INDEX(Segmentation!$R$2:$R$301,MATCH($A100,Segmentation!$A$2:$A$301,0))</f>
        <v>10</v>
      </c>
      <c r="X100" s="2" t="n">
        <f aca="false">INDEX(Segmentation!$S$2:$S$301,MATCH($A100,Segmentation!$A$2:$A$301,0))</f>
        <v>1</v>
      </c>
      <c r="Y100" s="10" t="b">
        <f aca="false">INDEX(Segmentation!$AG$2:$AG$301,MATCH($A100,Segmentation!$A$2:$A$301,0))</f>
        <v>0</v>
      </c>
      <c r="Z100" s="2" t="str">
        <f aca="false">INDEX(Segmentation!$AU$2:$AU$301,MATCH($A100,Segmentation!$A$2:$A$301,0))</f>
        <v>Not Eligible</v>
      </c>
      <c r="AA100" s="10" t="b">
        <f aca="false">INDEX(Segmentation!$Z$2:$Z$301,MATCH($A100,Segmentation!$A$2:$A$301,0))</f>
        <v>0</v>
      </c>
      <c r="AB100" s="10" t="b">
        <f aca="false">INDEX(Segmentation!$AH$2:$AH$301,MATCH($A100,Segmentation!$A$2:$A$301,0))</f>
        <v>0</v>
      </c>
      <c r="AC100" s="10" t="b">
        <f aca="false">INDEX(Segmentation!$AK$2:$AK$301,MATCH($A100,Segmentation!$A$2:$A$301,0))</f>
        <v>0</v>
      </c>
      <c r="AD100" s="10" t="b">
        <f aca="false">INDEX(Segmentation!$AQ$2:$AQ$301,MATCH($A100,Segmentation!$A$2:$A$301,0))</f>
        <v>0</v>
      </c>
      <c r="AE100" s="10" t="b">
        <f aca="false">INDEX(Segmentation!$AT$2:$AT$301,MATCH($A100,Segmentation!$A$2:$A$301,0))</f>
        <v>0</v>
      </c>
      <c r="AF100" s="10" t="b">
        <f aca="false">INDEX(Segmentation!$X$2:$X$301,MATCH($A100,Segmentation!$A$2:$A$301,0))</f>
        <v>1</v>
      </c>
      <c r="AG100" s="10" t="b">
        <f aca="false">AND(F100="Low",V100&gt;=Assumptions!$B$71,X100&lt;Assumptions!$B$72)</f>
        <v>1</v>
      </c>
      <c r="AH100" s="10" t="b">
        <f aca="false">AND(F100="Low",OR(G100="Growing",G100="Stable"),P100="Recently Active",V100&gt;=Assumptions!$B$58,K100&gt;=Assumptions!$B$73)</f>
        <v>0</v>
      </c>
      <c r="AI100" s="17" t="str">
        <f aca="false">IF(O100&gt;0,MAX(L100:N100)/O100,"")</f>
        <v/>
      </c>
      <c r="AJ100" s="2" t="str">
        <f aca="false">IF(LEFT(D100,1)="1",IF(E100="Key","MIGRATION_KEY_SIGNOFF",IF(Z100="Ready","MIGRATION_PHASE1_READY",IF(Z100="Manual Review","MIGRATION_PHASE1_REVIEW","MIGRATION_PRE_ENTRY"))),IF(LEFT(D100,1)="2","DECLINING_KEY_CORE",IF(LEFT(D100,1)="3",IF(R100="Established Buyer Lapsed","LAPSED_ESTABLISHED","LAPSED_THIN_HISTORY"),IF(LEFT(D100,1)="4",IF(Q100="New Customer","NEW_CUSTOMER","RETURNED_CUSTOMER"),IF(LEFT(D100,1)="5",IF(P100="Recently Active","COST_TO_SERVE_ACTIVE","DORMANT_LOW_VALUE"),IF(LEFT(D100,1)="6",IF(P100="Recent Inactivity","RECENT_INACTIVITY",IF(AG100,"BROWSING_LOW_OFFERS","HEALTHY_STRONG_SELF_SERVE")),IF(LEFT(D100,1)="7",IF(P100="Recent Inactivity","RECENT_INACTIVITY",IF(Q100="New Customer","NEW_CUSTOMER","RETURNED_CUSTOMER")),IF(LEFT(D100,1)="8",IF(G100="Declining",IF(T100="Engaged but shrinking (Key/Core)","ENGAGED_BUT_SHRINKING","DECLINING_KEY_CORE"),IF(R100="Established Buyer Lapsed","LAPSED_ESTABLISHED","LAPSED_THIN_HISTORY")),IF(S100,IF(P100&lt;&gt;"Recently Active","DORMANT_LOW_VALUE",IF(AG100,"BROWSING_LOW_OFFERS",IF(AH100,"RISING_TAIL","RISING_TAIL_EARLY"))),IF(AND(AG100,P100="Recently Active",OR(G100="Growing",G100="Stable",G100="H2 Active / No H1 GMV"),I100&gt;=Assumptions!$B$74),"BROWSING_LOW_OFFERS","LONG_TAIL_STANDARD"))))))))))</f>
        <v>LONG_TAIL_STANDARD</v>
      </c>
      <c r="AK100" s="2" t="str">
        <f aca="false">INDEX('NBA Library'!$B$4:$B$21,MATCH(AJ100,'NBA Library'!$A$4:$A$21,0))</f>
        <v>Automated Nurture</v>
      </c>
      <c r="AL100" s="2" t="str">
        <f aca="false">INDEX('NBA Library'!$C$4:$C$21,MATCH(AJ100,'NBA Library'!$A$4:$A$21,0))</f>
        <v>Automated</v>
      </c>
      <c r="AM100" s="2" t="str">
        <f aca="false">IF(AA100,"HOLD — Critical Data Issue",IF(Y100,"Human Sign-Off Required",IF(Z100="Manual Review","Human Review Required",IF(AND(AL100="Automated",OR(AE100,AND(OR(AK100="Discovery-to-Offer Enablement",AK100="Reinforce Successful Behaviour"),OR(AC100,AB100)))),"Human Review Required",IF(AL100="Human","Ready — Human",IF(AL100="Hybrid","Ready — Hybrid","Ready — Automated"))))))</f>
        <v>Ready — Automated</v>
      </c>
      <c r="AN100" s="2" t="str">
        <f aca="false">IF(AA100,"P0",IF(AND(AJ100="BROWSING_LOW_OFFERS",E100="Tail"),"P3",IF(AND(AM100="Human Review Required",INDEX('NBA Library'!$D$4:$D$21,MATCH(AJ100,'NBA Library'!$A$4:$A$21,0))="P4"),"P3",INDEX('NBA Library'!$D$4:$D$21,MATCH(AJ100,'NBA Library'!$A$4:$A$21,0)))))</f>
        <v>P4</v>
      </c>
      <c r="AO100" s="2" t="str">
        <f aca="false">E100&amp;" "&amp;C100&amp;" account ("&amp;B100&amp;"); "&amp;G100&amp;" momentum; "&amp;P100&amp;"; £"&amp;TEXT(H100,"#,##0")&amp;" 6m GMV. "&amp;INDEX('NBA Library'!$G$4:$G$21,MATCH(AJ100,'NBA Library'!$A$4:$A$21,0))&amp;IF(LEFT(D100,1)="1"," Baseline: "&amp;V100&amp;" PDP views, "&amp;W100&amp;" app days, "&amp;X100&amp;" offers, "&amp;TEXT(J100/I100,"0%")&amp;" of orders self-serve.","")&amp;IF(AA100," Execution on HOLD until the Duplicate status is resolved.","")&amp;IF(Y100," Key account: explicit AM/leadership sign-off required before any migration activity.","")&amp;IF(AE100," Implied broker % from order counts would move this account to a different segment; review before automating.","")</f>
        <v>Tail AM-Owned / Self-Serving account (Account Managed); Lapsed momentum; No Meaningful History; £840 6m GMV. Low-value, low-dependency account. Scalable automated engagement.</v>
      </c>
      <c r="AP100" s="2" t="str">
        <f aca="false">INDEX('NBA Library'!$E$4:$E$21,MATCH(AJ100,'NBA Library'!$A$4:$A$21,0))&amp;IF(AND(AJ100="NEW_CUSTOMER",AG100),"; introduce Make-an-Offer on items already browsed","")</f>
        <v>Scalable automated engagement matched to nurture sub-context</v>
      </c>
      <c r="AQ100" s="2" t="str">
        <f aca="false">INDEX('NBA Library'!$F$4:$F$21,MATCH(AJ100,'NBA Library'!$A$4:$A$21,0))</f>
        <v>Any repeat order within 90 days</v>
      </c>
      <c r="AR100" s="2" t="str">
        <f aca="false">IF(AND(F100="Low",OR(G100="Growing",G100="Stable"),P100="Recently Active",U100&lt;&gt;"Mixed",OR(AK100="Discovery-to-Offer Enablement",AK100="Reinforce Successful Behaviour"),AM100="Ready — Automated",OR(E100&lt;&gt;"Tail",S100)),"Range Expansion Test — trial "&amp;IF(U100="Bundle-only","handpick","bundles")&amp;" (experimental; not proven to lift GMV)","")</f>
        <v/>
      </c>
      <c r="AS100" s="2" t="str">
        <f aca="false">IF(AK100&lt;&gt;"Automated Nurture","",IF(AJ100="DORMANT_LOW_VALUE","Dormant",IF(AJ100="RISING_TAIL_EARLY","Rising tail – early pattern",IF(Q100="New Customer","New customer onboarding",IF(Q100="Returned Customer","Returned customer",IF(G100="Lapsed","Dormant",IF(T100="Engaged, not converting","Engaged, not converting",IF(T100="One-off low-touch buyer","One-off purchaser",IF(T100="Light-touch repeat buyer","Light-touch repeat buyer","Standard long tail")))))))))</f>
        <v>Dormant</v>
      </c>
      <c r="AT100" s="2" t="str">
        <f aca="false">IF(AA100,"CRITICAL_DATA_BLOCKER; ","")&amp;IF(Y100,"KEY_SIGNOFF; ","")&amp;IF(Z100="Manual Review","PHASE1_MANUAL_REVIEW; ","")&amp;IF(AND(LEFT(D100,1)="1",AZ100="Lumpy"),"LUMPY_CADENCE; ","")&amp;IF(AB100,"BORDERLINE_MOMENTUM; ","")&amp;IF(AC100,"FEB_SENSITIVE; ","")&amp;IF(AD100,"MATERIAL_BROKER_INCONSISTENCY"&amp;IF(AE100," (segment would change)","")&amp;"; ","")&amp;IF(AND(I100&gt;=3,O100&gt;0),IF(AI100&gt;=Assumptions!$B$75,"H2_SINGLE_MONTH_SPIKE; ",""),"")&amp;IF(AND(M100&gt;0,N100=0),"NO_FEB_GMV (Feb unconfirmed); ","")&amp;IF(AF100,"LOW_CONFIDENCE; ","")</f>
        <v>LOW_CONFIDENCE; </v>
      </c>
      <c r="AU100" s="2" t="str">
        <f aca="false">IF(LEFT(D100,1)="1",V100,"")</f>
        <v/>
      </c>
      <c r="AV100" s="2" t="str">
        <f aca="false">IF(LEFT(D100,1)="1",V100&gt;=Assumptions!$B$58,"")</f>
        <v/>
      </c>
      <c r="AW100" s="2" t="str">
        <f aca="false">IF(LEFT(D100,1)="1",W100,"")</f>
        <v/>
      </c>
      <c r="AX100" s="2" t="str">
        <f aca="false">IF(LEFT(D100,1)="1",X100,"")</f>
        <v/>
      </c>
      <c r="AY100" s="17" t="str">
        <f aca="false">IF(LEFT(D100,1)="1",J100/I100,"")</f>
        <v/>
      </c>
      <c r="AZ100" s="2" t="str">
        <f aca="false">IF(LEFT(D100,1)="1",IF(AND(K100&gt;=Assumptions!$B$83,I100&gt;=Assumptions!$B$84),"Regular","Lumpy"),"")</f>
        <v/>
      </c>
      <c r="BA100" s="2" t="str">
        <f aca="false">IF(LEFT(D100,1)="1",ROUND(6/K100,0),"")</f>
        <v/>
      </c>
      <c r="BB100" s="2" t="str">
        <f aca="false">IF(LEFT(D100,1)="1",IF(AZ100="Regular","Regular buyer: expected ~£"&amp;TEXT(H100/2,"#,##0")&amp;" per 90 days. At Risk if GMV to date &lt; "&amp;TEXT(Assumptions!$B$81,"0%")&amp;" of pro-rated expectation, checked from day "&amp;Assumptions!$B$82&amp;". Human-reviewed.","Irregular buyer ("&amp;I100&amp;" orders across "&amp;K100&amp;" months): no numeric GMV threshold. At Risk if no order within ~"&amp;BA100&amp;" month(s); AM reviews at day "&amp;Assumptions!$B$82&amp;" and "&amp;Assumptions!$B$85&amp;"."),"")</f>
        <v/>
      </c>
      <c r="BC100" s="2"/>
      <c r="BD100" s="2"/>
      <c r="BE100" s="2"/>
      <c r="BF100" s="2"/>
      <c r="BG100" s="2"/>
      <c r="BH100" s="2"/>
      <c r="BI100" s="2"/>
      <c r="BJ100" s="2" t="str">
        <f aca="false">IF(OR(NOT(LEFT(D100,1)="1"),BC100=""),"",IF(AZ100="Regular",AND(BC100&gt;=Assumptions!$B$82,N(BI100)&lt;Assumptions!$B$81*H100/180*BC100),AND(BC100&gt;=BA100*30,N(BG100)=0)))</f>
        <v/>
      </c>
      <c r="BK100" s="2" t="str">
        <f aca="false">IF(NOT(LEFT(D100,1)="1"),"N/A",IF(BC100="","Baseline",IF(BJ100,"At Risk",IF(AND(N(BD100)&gt;=Assumptions!$B$78,N(BE100)&gt;=Assumptions!$B$79,N(BH100)&gt;=1,N(BH100)/MAX(N(BG100),1)&gt;AY100),"Self-Serve Capability Demonstrated",IF(OR(N(BD100)&gt;=Assumptions!$B$76,N(BE100)&gt;=Assumptions!$B$77),"Progressing",IF(BC100&gt;=Assumptions!$B$85,"At Risk","Baseline"))))))</f>
        <v>N/A</v>
      </c>
      <c r="BL100" s="2" t="n">
        <f aca="false">(AND(C100="Broker-Reliant",OR(AK100="Discovery-to-Offer Enablement",AK100="Reinforce Successful Behaviour")))*1+(AND(G100="Declining",E100&lt;&gt;"Tail",AL100="Automated"))*1+(AND(Y100,AM100&lt;&gt;"Human Sign-Off Required"))*1+(AND(AA100,AM100&lt;&gt;"HOLD — Critical Data Issue"))*1+(AND(P100="Recent Inactivity",OR(AK100="Discovery-to-Offer Enablement",AK100="Reinforce Successful Behaviour")))*1+(AND(OR(LEFT(D100,1)="2",LEFT(D100,1)="3",LEFT(D100,1)="8"),AL100="Automated"))*1+((LEFT(D100,1)="1")&lt;&gt;(AK100="Guided Self-Serve Migration"))*1+(AND(AR100&lt;&gt;"",OR(F100&lt;&gt;"Low",U100="Mixed",AND(G100&lt;&gt;"Growing",G100&lt;&gt;"Stable"))))*1+ISNUMBER(SEARCH("chat",AP100))*1+ISNUMBER(SEARCH("video",AP100))*1+(AND(AA100,AL100="Automated",AM100&lt;&gt;"HOLD — Critical Data Issue"))*1</f>
        <v>0</v>
      </c>
    </row>
    <row r="101" customFormat="false" ht="15" hidden="false" customHeight="false" outlineLevel="0" collapsed="false">
      <c r="A101" s="2" t="s">
        <v>642</v>
      </c>
      <c r="B101" s="2" t="str">
        <f aca="false">INDEX(Segmentation!$B$2:$B$301,MATCH($A101,Segmentation!$A$2:$A$301,0))</f>
        <v>Account Managed</v>
      </c>
      <c r="C101" s="2" t="str">
        <f aca="false">INDEX(Segmentation!$H$2:$H$301,MATCH($A101,Segmentation!$A$2:$A$301,0))</f>
        <v>AM-Owned / Self-Serving</v>
      </c>
      <c r="D101" s="2" t="str">
        <f aca="false">INDEX(Segmentation!$T$2:$T$301,MATCH($A101,Segmentation!$A$2:$A$301,0))</f>
        <v>9. Long-Tail Automated Nurture</v>
      </c>
      <c r="E101" s="2" t="str">
        <f aca="false">INDEX(Segmentation!$J$2:$J$301,MATCH($A101,Segmentation!$A$2:$A$301,0))</f>
        <v>Tail</v>
      </c>
      <c r="F101" s="2" t="str">
        <f aca="false">INDEX(Segmentation!$G$2:$G$301,MATCH($A101,Segmentation!$A$2:$A$301,0))</f>
        <v>Low</v>
      </c>
      <c r="G101" s="2" t="str">
        <f aca="false">INDEX(Segmentation!$N$2:$N$301,MATCH($A101,Segmentation!$A$2:$A$301,0))</f>
        <v>Lapsed</v>
      </c>
      <c r="H101" s="9" t="n">
        <f aca="false">INDEX(Segmentation!$I$2:$I$301,MATCH($A101,Segmentation!$A$2:$A$301,0))</f>
        <v>834</v>
      </c>
      <c r="I101" s="2" t="n">
        <f aca="false">INDEX(Segmentation!$O$2:$O$301,MATCH($A101,Segmentation!$A$2:$A$301,0))</f>
        <v>4</v>
      </c>
      <c r="J101" s="2" t="n">
        <f aca="false">INDEX(Segmentation!$Q$2:$Q$301,MATCH($A101,Segmentation!$A$2:$A$301,0))</f>
        <v>4</v>
      </c>
      <c r="K101" s="2" t="n">
        <f aca="false">INDEX(Segmentation!$W$2:$W$301,MATCH($A101,Segmentation!$A$2:$A$301,0))</f>
        <v>2</v>
      </c>
      <c r="L101" s="9" t="n">
        <f aca="false">INDEX('Commercial View'!$L$2:$L$301,MATCH($A101,'Commercial View'!$A$2:$A$301,0))</f>
        <v>0</v>
      </c>
      <c r="M101" s="9" t="n">
        <f aca="false">INDEX('Commercial View'!$M$2:$M$301,MATCH($A101,'Commercial View'!$A$2:$A$301,0))</f>
        <v>0</v>
      </c>
      <c r="N101" s="9" t="n">
        <f aca="false">INDEX('Commercial View'!$N$2:$N$301,MATCH($A101,'Commercial View'!$A$2:$A$301,0))</f>
        <v>0</v>
      </c>
      <c r="O101" s="9" t="n">
        <f aca="false">INDEX(Segmentation!$L$2:$L$301,MATCH($A101,Segmentation!$A$2:$A$301,0))</f>
        <v>0</v>
      </c>
      <c r="P101" s="2" t="str">
        <f aca="false">IF(OR(M101&gt;0,N101&gt;0),"Recently Active",IF(OR(I101&lt;=Assumptions!$B$48,K101&lt;=Assumptions!$B$49),"No Meaningful History","Recent Inactivity"))</f>
        <v>Recent Inactivity</v>
      </c>
      <c r="Q101" s="2" t="str">
        <f aca="false">INDEX(Segmentation!$AF$2:$AF$301,MATCH($A101,Segmentation!$A$2:$A$301,0))</f>
        <v>Existing Customer</v>
      </c>
      <c r="R101" s="2" t="str">
        <f aca="false">INDEX(Segmentation!$AL$2:$AL$301,MATCH($A101,Segmentation!$A$2:$A$301,0))</f>
        <v>Established Buyer Lapsed</v>
      </c>
      <c r="S101" s="10" t="b">
        <f aca="false">INDEX(Segmentation!$AW$2:$AW$301,MATCH($A101,Segmentation!$A$2:$A$301,0))</f>
        <v>0</v>
      </c>
      <c r="T101" s="2" t="str">
        <f aca="false">INDEX('Feature Data'!$AD$2:$AD$301,MATCH($A101,'Feature Data'!$A$2:$A$301,0))</f>
        <v>Light-touch repeat buyer</v>
      </c>
      <c r="U101" s="2" t="str">
        <f aca="false">INDEX('Feature Data'!$W$2:$W$301,MATCH($A101,'Feature Data'!$A$2:$A$301,0))</f>
        <v>Bundle-only</v>
      </c>
      <c r="V101" s="2" t="n">
        <f aca="false">INDEX('Feature Data'!$P$2:$P$301,MATCH($A101,'Feature Data'!$A$2:$A$301,0))</f>
        <v>4</v>
      </c>
      <c r="W101" s="2" t="n">
        <f aca="false">INDEX(Segmentation!$R$2:$R$301,MATCH($A101,Segmentation!$A$2:$A$301,0))</f>
        <v>3</v>
      </c>
      <c r="X101" s="2" t="n">
        <f aca="false">INDEX(Segmentation!$S$2:$S$301,MATCH($A101,Segmentation!$A$2:$A$301,0))</f>
        <v>0</v>
      </c>
      <c r="Y101" s="10" t="b">
        <f aca="false">INDEX(Segmentation!$AG$2:$AG$301,MATCH($A101,Segmentation!$A$2:$A$301,0))</f>
        <v>0</v>
      </c>
      <c r="Z101" s="2" t="str">
        <f aca="false">INDEX(Segmentation!$AU$2:$AU$301,MATCH($A101,Segmentation!$A$2:$A$301,0))</f>
        <v>Not Eligible</v>
      </c>
      <c r="AA101" s="10" t="b">
        <f aca="false">INDEX(Segmentation!$Z$2:$Z$301,MATCH($A101,Segmentation!$A$2:$A$301,0))</f>
        <v>0</v>
      </c>
      <c r="AB101" s="10" t="b">
        <f aca="false">INDEX(Segmentation!$AH$2:$AH$301,MATCH($A101,Segmentation!$A$2:$A$301,0))</f>
        <v>0</v>
      </c>
      <c r="AC101" s="10" t="b">
        <f aca="false">INDEX(Segmentation!$AK$2:$AK$301,MATCH($A101,Segmentation!$A$2:$A$301,0))</f>
        <v>0</v>
      </c>
      <c r="AD101" s="10" t="b">
        <f aca="false">INDEX(Segmentation!$AQ$2:$AQ$301,MATCH($A101,Segmentation!$A$2:$A$301,0))</f>
        <v>0</v>
      </c>
      <c r="AE101" s="10" t="b">
        <f aca="false">INDEX(Segmentation!$AT$2:$AT$301,MATCH($A101,Segmentation!$A$2:$A$301,0))</f>
        <v>0</v>
      </c>
      <c r="AF101" s="10" t="b">
        <f aca="false">INDEX(Segmentation!$X$2:$X$301,MATCH($A101,Segmentation!$A$2:$A$301,0))</f>
        <v>0</v>
      </c>
      <c r="AG101" s="10" t="b">
        <f aca="false">AND(F101="Low",V101&gt;=Assumptions!$B$71,X101&lt;Assumptions!$B$72)</f>
        <v>0</v>
      </c>
      <c r="AH101" s="10" t="b">
        <f aca="false">AND(F101="Low",OR(G101="Growing",G101="Stable"),P101="Recently Active",V101&gt;=Assumptions!$B$58,K101&gt;=Assumptions!$B$73)</f>
        <v>0</v>
      </c>
      <c r="AI101" s="17" t="str">
        <f aca="false">IF(O101&gt;0,MAX(L101:N101)/O101,"")</f>
        <v/>
      </c>
      <c r="AJ101" s="2" t="str">
        <f aca="false">IF(LEFT(D101,1)="1",IF(E101="Key","MIGRATION_KEY_SIGNOFF",IF(Z101="Ready","MIGRATION_PHASE1_READY",IF(Z101="Manual Review","MIGRATION_PHASE1_REVIEW","MIGRATION_PRE_ENTRY"))),IF(LEFT(D101,1)="2","DECLINING_KEY_CORE",IF(LEFT(D101,1)="3",IF(R101="Established Buyer Lapsed","LAPSED_ESTABLISHED","LAPSED_THIN_HISTORY"),IF(LEFT(D101,1)="4",IF(Q101="New Customer","NEW_CUSTOMER","RETURNED_CUSTOMER"),IF(LEFT(D101,1)="5",IF(P101="Recently Active","COST_TO_SERVE_ACTIVE","DORMANT_LOW_VALUE"),IF(LEFT(D101,1)="6",IF(P101="Recent Inactivity","RECENT_INACTIVITY",IF(AG101,"BROWSING_LOW_OFFERS","HEALTHY_STRONG_SELF_SERVE")),IF(LEFT(D101,1)="7",IF(P101="Recent Inactivity","RECENT_INACTIVITY",IF(Q101="New Customer","NEW_CUSTOMER","RETURNED_CUSTOMER")),IF(LEFT(D101,1)="8",IF(G101="Declining",IF(T101="Engaged but shrinking (Key/Core)","ENGAGED_BUT_SHRINKING","DECLINING_KEY_CORE"),IF(R101="Established Buyer Lapsed","LAPSED_ESTABLISHED","LAPSED_THIN_HISTORY")),IF(S101,IF(P101&lt;&gt;"Recently Active","DORMANT_LOW_VALUE",IF(AG101,"BROWSING_LOW_OFFERS",IF(AH101,"RISING_TAIL","RISING_TAIL_EARLY"))),IF(AND(AG101,P101="Recently Active",OR(G101="Growing",G101="Stable",G101="H2 Active / No H1 GMV"),I101&gt;=Assumptions!$B$74),"BROWSING_LOW_OFFERS","LONG_TAIL_STANDARD"))))))))))</f>
        <v>LONG_TAIL_STANDARD</v>
      </c>
      <c r="AK101" s="2" t="str">
        <f aca="false">INDEX('NBA Library'!$B$4:$B$21,MATCH(AJ101,'NBA Library'!$A$4:$A$21,0))</f>
        <v>Automated Nurture</v>
      </c>
      <c r="AL101" s="2" t="str">
        <f aca="false">INDEX('NBA Library'!$C$4:$C$21,MATCH(AJ101,'NBA Library'!$A$4:$A$21,0))</f>
        <v>Automated</v>
      </c>
      <c r="AM101" s="2" t="str">
        <f aca="false">IF(AA101,"HOLD — Critical Data Issue",IF(Y101,"Human Sign-Off Required",IF(Z101="Manual Review","Human Review Required",IF(AND(AL101="Automated",OR(AE101,AND(OR(AK101="Discovery-to-Offer Enablement",AK101="Reinforce Successful Behaviour"),OR(AC101,AB101)))),"Human Review Required",IF(AL101="Human","Ready — Human",IF(AL101="Hybrid","Ready — Hybrid","Ready — Automated"))))))</f>
        <v>Ready — Automated</v>
      </c>
      <c r="AN101" s="2" t="str">
        <f aca="false">IF(AA101,"P0",IF(AND(AJ101="BROWSING_LOW_OFFERS",E101="Tail"),"P3",IF(AND(AM101="Human Review Required",INDEX('NBA Library'!$D$4:$D$21,MATCH(AJ101,'NBA Library'!$A$4:$A$21,0))="P4"),"P3",INDEX('NBA Library'!$D$4:$D$21,MATCH(AJ101,'NBA Library'!$A$4:$A$21,0)))))</f>
        <v>P4</v>
      </c>
      <c r="AO101" s="2" t="str">
        <f aca="false">E101&amp;" "&amp;C101&amp;" account ("&amp;B101&amp;"); "&amp;G101&amp;" momentum; "&amp;P101&amp;"; £"&amp;TEXT(H101,"#,##0")&amp;" 6m GMV. "&amp;INDEX('NBA Library'!$G$4:$G$21,MATCH(AJ101,'NBA Library'!$A$4:$A$21,0))&amp;IF(LEFT(D101,1)="1"," Baseline: "&amp;V101&amp;" PDP views, "&amp;W101&amp;" app days, "&amp;X101&amp;" offers, "&amp;TEXT(J101/I101,"0%")&amp;" of orders self-serve.","")&amp;IF(AA101," Execution on HOLD until the Duplicate status is resolved.","")&amp;IF(Y101," Key account: explicit AM/leadership sign-off required before any migration activity.","")&amp;IF(AE101," Implied broker % from order counts would move this account to a different segment; review before automating.","")</f>
        <v>Tail AM-Owned / Self-Serving account (Account Managed); Lapsed momentum; Recent Inactivity; £834 6m GMV. Low-value, low-dependency account. Scalable automated engagement.</v>
      </c>
      <c r="AP101" s="2" t="str">
        <f aca="false">INDEX('NBA Library'!$E$4:$E$21,MATCH(AJ101,'NBA Library'!$A$4:$A$21,0))&amp;IF(AND(AJ101="NEW_CUSTOMER",AG101),"; introduce Make-an-Offer on items already browsed","")</f>
        <v>Scalable automated engagement matched to nurture sub-context</v>
      </c>
      <c r="AQ101" s="2" t="str">
        <f aca="false">INDEX('NBA Library'!$F$4:$F$21,MATCH(AJ101,'NBA Library'!$A$4:$A$21,0))</f>
        <v>Any repeat order within 90 days</v>
      </c>
      <c r="AR101" s="2" t="str">
        <f aca="false">IF(AND(F101="Low",OR(G101="Growing",G101="Stable"),P101="Recently Active",U101&lt;&gt;"Mixed",OR(AK101="Discovery-to-Offer Enablement",AK101="Reinforce Successful Behaviour"),AM101="Ready — Automated",OR(E101&lt;&gt;"Tail",S101)),"Range Expansion Test — trial "&amp;IF(U101="Bundle-only","handpick","bundles")&amp;" (experimental; not proven to lift GMV)","")</f>
        <v/>
      </c>
      <c r="AS101" s="2" t="str">
        <f aca="false">IF(AK101&lt;&gt;"Automated Nurture","",IF(AJ101="DORMANT_LOW_VALUE","Dormant",IF(AJ101="RISING_TAIL_EARLY","Rising tail – early pattern",IF(Q101="New Customer","New customer onboarding",IF(Q101="Returned Customer","Returned customer",IF(G101="Lapsed","Dormant",IF(T101="Engaged, not converting","Engaged, not converting",IF(T101="One-off low-touch buyer","One-off purchaser",IF(T101="Light-touch repeat buyer","Light-touch repeat buyer","Standard long tail")))))))))</f>
        <v>Dormant</v>
      </c>
      <c r="AT101" s="2" t="str">
        <f aca="false">IF(AA101,"CRITICAL_DATA_BLOCKER; ","")&amp;IF(Y101,"KEY_SIGNOFF; ","")&amp;IF(Z101="Manual Review","PHASE1_MANUAL_REVIEW; ","")&amp;IF(AND(LEFT(D101,1)="1",AZ101="Lumpy"),"LUMPY_CADENCE; ","")&amp;IF(AB101,"BORDERLINE_MOMENTUM; ","")&amp;IF(AC101,"FEB_SENSITIVE; ","")&amp;IF(AD101,"MATERIAL_BROKER_INCONSISTENCY"&amp;IF(AE101," (segment would change)","")&amp;"; ","")&amp;IF(AND(I101&gt;=3,O101&gt;0),IF(AI101&gt;=Assumptions!$B$75,"H2_SINGLE_MONTH_SPIKE; ",""),"")&amp;IF(AND(M101&gt;0,N101=0),"NO_FEB_GMV (Feb unconfirmed); ","")&amp;IF(AF101,"LOW_CONFIDENCE; ","")</f>
        <v/>
      </c>
      <c r="AU101" s="2" t="str">
        <f aca="false">IF(LEFT(D101,1)="1",V101,"")</f>
        <v/>
      </c>
      <c r="AV101" s="2" t="str">
        <f aca="false">IF(LEFT(D101,1)="1",V101&gt;=Assumptions!$B$58,"")</f>
        <v/>
      </c>
      <c r="AW101" s="2" t="str">
        <f aca="false">IF(LEFT(D101,1)="1",W101,"")</f>
        <v/>
      </c>
      <c r="AX101" s="2" t="str">
        <f aca="false">IF(LEFT(D101,1)="1",X101,"")</f>
        <v/>
      </c>
      <c r="AY101" s="17" t="str">
        <f aca="false">IF(LEFT(D101,1)="1",J101/I101,"")</f>
        <v/>
      </c>
      <c r="AZ101" s="2" t="str">
        <f aca="false">IF(LEFT(D101,1)="1",IF(AND(K101&gt;=Assumptions!$B$83,I101&gt;=Assumptions!$B$84),"Regular","Lumpy"),"")</f>
        <v/>
      </c>
      <c r="BA101" s="2" t="str">
        <f aca="false">IF(LEFT(D101,1)="1",ROUND(6/K101,0),"")</f>
        <v/>
      </c>
      <c r="BB101" s="2" t="str">
        <f aca="false">IF(LEFT(D101,1)="1",IF(AZ101="Regular","Regular buyer: expected ~£"&amp;TEXT(H101/2,"#,##0")&amp;" per 90 days. At Risk if GMV to date &lt; "&amp;TEXT(Assumptions!$B$81,"0%")&amp;" of pro-rated expectation, checked from day "&amp;Assumptions!$B$82&amp;". Human-reviewed.","Irregular buyer ("&amp;I101&amp;" orders across "&amp;K101&amp;" months): no numeric GMV threshold. At Risk if no order within ~"&amp;BA101&amp;" month(s); AM reviews at day "&amp;Assumptions!$B$82&amp;" and "&amp;Assumptions!$B$85&amp;"."),"")</f>
        <v/>
      </c>
      <c r="BC101" s="2"/>
      <c r="BD101" s="2"/>
      <c r="BE101" s="2"/>
      <c r="BF101" s="2"/>
      <c r="BG101" s="2"/>
      <c r="BH101" s="2"/>
      <c r="BI101" s="2"/>
      <c r="BJ101" s="2" t="str">
        <f aca="false">IF(OR(NOT(LEFT(D101,1)="1"),BC101=""),"",IF(AZ101="Regular",AND(BC101&gt;=Assumptions!$B$82,N(BI101)&lt;Assumptions!$B$81*H101/180*BC101),AND(BC101&gt;=BA101*30,N(BG101)=0)))</f>
        <v/>
      </c>
      <c r="BK101" s="2" t="str">
        <f aca="false">IF(NOT(LEFT(D101,1)="1"),"N/A",IF(BC101="","Baseline",IF(BJ101,"At Risk",IF(AND(N(BD101)&gt;=Assumptions!$B$78,N(BE101)&gt;=Assumptions!$B$79,N(BH101)&gt;=1,N(BH101)/MAX(N(BG101),1)&gt;AY101),"Self-Serve Capability Demonstrated",IF(OR(N(BD101)&gt;=Assumptions!$B$76,N(BE101)&gt;=Assumptions!$B$77),"Progressing",IF(BC101&gt;=Assumptions!$B$85,"At Risk","Baseline"))))))</f>
        <v>N/A</v>
      </c>
      <c r="BL101" s="2" t="n">
        <f aca="false">(AND(C101="Broker-Reliant",OR(AK101="Discovery-to-Offer Enablement",AK101="Reinforce Successful Behaviour")))*1+(AND(G101="Declining",E101&lt;&gt;"Tail",AL101="Automated"))*1+(AND(Y101,AM101&lt;&gt;"Human Sign-Off Required"))*1+(AND(AA101,AM101&lt;&gt;"HOLD — Critical Data Issue"))*1+(AND(P101="Recent Inactivity",OR(AK101="Discovery-to-Offer Enablement",AK101="Reinforce Successful Behaviour")))*1+(AND(OR(LEFT(D101,1)="2",LEFT(D101,1)="3",LEFT(D101,1)="8"),AL101="Automated"))*1+((LEFT(D101,1)="1")&lt;&gt;(AK101="Guided Self-Serve Migration"))*1+(AND(AR101&lt;&gt;"",OR(F101&lt;&gt;"Low",U101="Mixed",AND(G101&lt;&gt;"Growing",G101&lt;&gt;"Stable"))))*1+ISNUMBER(SEARCH("chat",AP101))*1+ISNUMBER(SEARCH("video",AP101))*1+(AND(AA101,AL101="Automated",AM101&lt;&gt;"HOLD — Critical Data Issue"))*1</f>
        <v>0</v>
      </c>
    </row>
    <row r="102" customFormat="false" ht="15" hidden="false" customHeight="false" outlineLevel="0" collapsed="false">
      <c r="A102" s="2" t="s">
        <v>644</v>
      </c>
      <c r="B102" s="2" t="str">
        <f aca="false">INDEX(Segmentation!$B$2:$B$301,MATCH($A102,Segmentation!$A$2:$A$301,0))</f>
        <v>Account Managed</v>
      </c>
      <c r="C102" s="2" t="str">
        <f aca="false">INDEX(Segmentation!$H$2:$H$301,MATCH($A102,Segmentation!$A$2:$A$301,0))</f>
        <v>AM-Owned / Self-Serving</v>
      </c>
      <c r="D102" s="2" t="str">
        <f aca="false">INDEX(Segmentation!$T$2:$T$301,MATCH($A102,Segmentation!$A$2:$A$301,0))</f>
        <v>9. Long-Tail Automated Nurture</v>
      </c>
      <c r="E102" s="2" t="str">
        <f aca="false">INDEX(Segmentation!$J$2:$J$301,MATCH($A102,Segmentation!$A$2:$A$301,0))</f>
        <v>Tail</v>
      </c>
      <c r="F102" s="2" t="str">
        <f aca="false">INDEX(Segmentation!$G$2:$G$301,MATCH($A102,Segmentation!$A$2:$A$301,0))</f>
        <v>Low</v>
      </c>
      <c r="G102" s="2" t="str">
        <f aca="false">INDEX(Segmentation!$N$2:$N$301,MATCH($A102,Segmentation!$A$2:$A$301,0))</f>
        <v>H2 Active / No H1 GMV</v>
      </c>
      <c r="H102" s="9" t="n">
        <f aca="false">INDEX(Segmentation!$I$2:$I$301,MATCH($A102,Segmentation!$A$2:$A$301,0))</f>
        <v>788</v>
      </c>
      <c r="I102" s="2" t="n">
        <f aca="false">INDEX(Segmentation!$O$2:$O$301,MATCH($A102,Segmentation!$A$2:$A$301,0))</f>
        <v>2</v>
      </c>
      <c r="J102" s="2" t="n">
        <f aca="false">INDEX(Segmentation!$Q$2:$Q$301,MATCH($A102,Segmentation!$A$2:$A$301,0))</f>
        <v>2</v>
      </c>
      <c r="K102" s="2" t="n">
        <f aca="false">INDEX(Segmentation!$W$2:$W$301,MATCH($A102,Segmentation!$A$2:$A$301,0))</f>
        <v>1</v>
      </c>
      <c r="L102" s="9" t="n">
        <f aca="false">INDEX('Commercial View'!$L$2:$L$301,MATCH($A102,'Commercial View'!$A$2:$A$301,0))</f>
        <v>788</v>
      </c>
      <c r="M102" s="9" t="n">
        <f aca="false">INDEX('Commercial View'!$M$2:$M$301,MATCH($A102,'Commercial View'!$A$2:$A$301,0))</f>
        <v>0</v>
      </c>
      <c r="N102" s="9" t="n">
        <f aca="false">INDEX('Commercial View'!$N$2:$N$301,MATCH($A102,'Commercial View'!$A$2:$A$301,0))</f>
        <v>0</v>
      </c>
      <c r="O102" s="9" t="n">
        <f aca="false">INDEX(Segmentation!$L$2:$L$301,MATCH($A102,Segmentation!$A$2:$A$301,0))</f>
        <v>788</v>
      </c>
      <c r="P102" s="2" t="str">
        <f aca="false">IF(OR(M102&gt;0,N102&gt;0),"Recently Active",IF(OR(I102&lt;=Assumptions!$B$48,K102&lt;=Assumptions!$B$49),"No Meaningful History","Recent Inactivity"))</f>
        <v>No Meaningful History</v>
      </c>
      <c r="Q102" s="2" t="str">
        <f aca="false">INDEX(Segmentation!$AF$2:$AF$301,MATCH($A102,Segmentation!$A$2:$A$301,0))</f>
        <v>Returned Customer</v>
      </c>
      <c r="R102" s="2" t="str">
        <f aca="false">INDEX(Segmentation!$AL$2:$AL$301,MATCH($A102,Segmentation!$A$2:$A$301,0))</f>
        <v>N/A</v>
      </c>
      <c r="S102" s="10" t="b">
        <f aca="false">INDEX(Segmentation!$AW$2:$AW$301,MATCH($A102,Segmentation!$A$2:$A$301,0))</f>
        <v>0</v>
      </c>
      <c r="T102" s="2" t="str">
        <f aca="false">INDEX('Feature Data'!$AD$2:$AD$301,MATCH($A102,'Feature Data'!$A$2:$A$301,0))</f>
        <v>Engaged, not converting</v>
      </c>
      <c r="U102" s="2" t="str">
        <f aca="false">INDEX('Feature Data'!$W$2:$W$301,MATCH($A102,'Feature Data'!$A$2:$A$301,0))</f>
        <v>Bundle-only</v>
      </c>
      <c r="V102" s="2" t="n">
        <f aca="false">INDEX('Feature Data'!$P$2:$P$301,MATCH($A102,'Feature Data'!$A$2:$A$301,0))</f>
        <v>302</v>
      </c>
      <c r="W102" s="2" t="n">
        <f aca="false">INDEX(Segmentation!$R$2:$R$301,MATCH($A102,Segmentation!$A$2:$A$301,0))</f>
        <v>19</v>
      </c>
      <c r="X102" s="2" t="n">
        <f aca="false">INDEX(Segmentation!$S$2:$S$301,MATCH($A102,Segmentation!$A$2:$A$301,0))</f>
        <v>5</v>
      </c>
      <c r="Y102" s="10" t="b">
        <f aca="false">INDEX(Segmentation!$AG$2:$AG$301,MATCH($A102,Segmentation!$A$2:$A$301,0))</f>
        <v>0</v>
      </c>
      <c r="Z102" s="2" t="str">
        <f aca="false">INDEX(Segmentation!$AU$2:$AU$301,MATCH($A102,Segmentation!$A$2:$A$301,0))</f>
        <v>Not Eligible</v>
      </c>
      <c r="AA102" s="10" t="b">
        <f aca="false">INDEX(Segmentation!$Z$2:$Z$301,MATCH($A102,Segmentation!$A$2:$A$301,0))</f>
        <v>0</v>
      </c>
      <c r="AB102" s="10" t="b">
        <f aca="false">INDEX(Segmentation!$AH$2:$AH$301,MATCH($A102,Segmentation!$A$2:$A$301,0))</f>
        <v>0</v>
      </c>
      <c r="AC102" s="10" t="b">
        <f aca="false">INDEX(Segmentation!$AK$2:$AK$301,MATCH($A102,Segmentation!$A$2:$A$301,0))</f>
        <v>0</v>
      </c>
      <c r="AD102" s="10" t="b">
        <f aca="false">INDEX(Segmentation!$AQ$2:$AQ$301,MATCH($A102,Segmentation!$A$2:$A$301,0))</f>
        <v>0</v>
      </c>
      <c r="AE102" s="10" t="b">
        <f aca="false">INDEX(Segmentation!$AT$2:$AT$301,MATCH($A102,Segmentation!$A$2:$A$301,0))</f>
        <v>0</v>
      </c>
      <c r="AF102" s="10" t="b">
        <f aca="false">INDEX(Segmentation!$X$2:$X$301,MATCH($A102,Segmentation!$A$2:$A$301,0))</f>
        <v>1</v>
      </c>
      <c r="AG102" s="10" t="b">
        <f aca="false">AND(F102="Low",V102&gt;=Assumptions!$B$71,X102&lt;Assumptions!$B$72)</f>
        <v>0</v>
      </c>
      <c r="AH102" s="10" t="b">
        <f aca="false">AND(F102="Low",OR(G102="Growing",G102="Stable"),P102="Recently Active",V102&gt;=Assumptions!$B$58,K102&gt;=Assumptions!$B$73)</f>
        <v>0</v>
      </c>
      <c r="AI102" s="17" t="n">
        <f aca="false">IF(O102&gt;0,MAX(L102:N102)/O102,"")</f>
        <v>1</v>
      </c>
      <c r="AJ102" s="2" t="str">
        <f aca="false">IF(LEFT(D102,1)="1",IF(E102="Key","MIGRATION_KEY_SIGNOFF",IF(Z102="Ready","MIGRATION_PHASE1_READY",IF(Z102="Manual Review","MIGRATION_PHASE1_REVIEW","MIGRATION_PRE_ENTRY"))),IF(LEFT(D102,1)="2","DECLINING_KEY_CORE",IF(LEFT(D102,1)="3",IF(R102="Established Buyer Lapsed","LAPSED_ESTABLISHED","LAPSED_THIN_HISTORY"),IF(LEFT(D102,1)="4",IF(Q102="New Customer","NEW_CUSTOMER","RETURNED_CUSTOMER"),IF(LEFT(D102,1)="5",IF(P102="Recently Active","COST_TO_SERVE_ACTIVE","DORMANT_LOW_VALUE"),IF(LEFT(D102,1)="6",IF(P102="Recent Inactivity","RECENT_INACTIVITY",IF(AG102,"BROWSING_LOW_OFFERS","HEALTHY_STRONG_SELF_SERVE")),IF(LEFT(D102,1)="7",IF(P102="Recent Inactivity","RECENT_INACTIVITY",IF(Q102="New Customer","NEW_CUSTOMER","RETURNED_CUSTOMER")),IF(LEFT(D102,1)="8",IF(G102="Declining",IF(T102="Engaged but shrinking (Key/Core)","ENGAGED_BUT_SHRINKING","DECLINING_KEY_CORE"),IF(R102="Established Buyer Lapsed","LAPSED_ESTABLISHED","LAPSED_THIN_HISTORY")),IF(S102,IF(P102&lt;&gt;"Recently Active","DORMANT_LOW_VALUE",IF(AG102,"BROWSING_LOW_OFFERS",IF(AH102,"RISING_TAIL","RISING_TAIL_EARLY"))),IF(AND(AG102,P102="Recently Active",OR(G102="Growing",G102="Stable",G102="H2 Active / No H1 GMV"),I102&gt;=Assumptions!$B$74),"BROWSING_LOW_OFFERS","LONG_TAIL_STANDARD"))))))))))</f>
        <v>LONG_TAIL_STANDARD</v>
      </c>
      <c r="AK102" s="2" t="str">
        <f aca="false">INDEX('NBA Library'!$B$4:$B$21,MATCH(AJ102,'NBA Library'!$A$4:$A$21,0))</f>
        <v>Automated Nurture</v>
      </c>
      <c r="AL102" s="2" t="str">
        <f aca="false">INDEX('NBA Library'!$C$4:$C$21,MATCH(AJ102,'NBA Library'!$A$4:$A$21,0))</f>
        <v>Automated</v>
      </c>
      <c r="AM102" s="2" t="str">
        <f aca="false">IF(AA102,"HOLD — Critical Data Issue",IF(Y102,"Human Sign-Off Required",IF(Z102="Manual Review","Human Review Required",IF(AND(AL102="Automated",OR(AE102,AND(OR(AK102="Discovery-to-Offer Enablement",AK102="Reinforce Successful Behaviour"),OR(AC102,AB102)))),"Human Review Required",IF(AL102="Human","Ready — Human",IF(AL102="Hybrid","Ready — Hybrid","Ready — Automated"))))))</f>
        <v>Ready — Automated</v>
      </c>
      <c r="AN102" s="2" t="str">
        <f aca="false">IF(AA102,"P0",IF(AND(AJ102="BROWSING_LOW_OFFERS",E102="Tail"),"P3",IF(AND(AM102="Human Review Required",INDEX('NBA Library'!$D$4:$D$21,MATCH(AJ102,'NBA Library'!$A$4:$A$21,0))="P4"),"P3",INDEX('NBA Library'!$D$4:$D$21,MATCH(AJ102,'NBA Library'!$A$4:$A$21,0)))))</f>
        <v>P4</v>
      </c>
      <c r="AO102" s="2" t="str">
        <f aca="false">E102&amp;" "&amp;C102&amp;" account ("&amp;B102&amp;"); "&amp;G102&amp;" momentum; "&amp;P102&amp;"; £"&amp;TEXT(H102,"#,##0")&amp;" 6m GMV. "&amp;INDEX('NBA Library'!$G$4:$G$21,MATCH(AJ102,'NBA Library'!$A$4:$A$21,0))&amp;IF(LEFT(D102,1)="1"," Baseline: "&amp;V102&amp;" PDP views, "&amp;W102&amp;" app days, "&amp;X102&amp;" offers, "&amp;TEXT(J102/I102,"0%")&amp;" of orders self-serve.","")&amp;IF(AA102," Execution on HOLD until the Duplicate status is resolved.","")&amp;IF(Y102," Key account: explicit AM/leadership sign-off required before any migration activity.","")&amp;IF(AE102," Implied broker % from order counts would move this account to a different segment; review before automating.","")</f>
        <v>Tail AM-Owned / Self-Serving account (Account Managed); H2 Active / No H1 GMV momentum; No Meaningful History; £788 6m GMV. Low-value, low-dependency account. Scalable automated engagement.</v>
      </c>
      <c r="AP102" s="2" t="str">
        <f aca="false">INDEX('NBA Library'!$E$4:$E$21,MATCH(AJ102,'NBA Library'!$A$4:$A$21,0))&amp;IF(AND(AJ102="NEW_CUSTOMER",AG102),"; introduce Make-an-Offer on items already browsed","")</f>
        <v>Scalable automated engagement matched to nurture sub-context</v>
      </c>
      <c r="AQ102" s="2" t="str">
        <f aca="false">INDEX('NBA Library'!$F$4:$F$21,MATCH(AJ102,'NBA Library'!$A$4:$A$21,0))</f>
        <v>Any repeat order within 90 days</v>
      </c>
      <c r="AR102" s="2" t="str">
        <f aca="false">IF(AND(F102="Low",OR(G102="Growing",G102="Stable"),P102="Recently Active",U102&lt;&gt;"Mixed",OR(AK102="Discovery-to-Offer Enablement",AK102="Reinforce Successful Behaviour"),AM102="Ready — Automated",OR(E102&lt;&gt;"Tail",S102)),"Range Expansion Test — trial "&amp;IF(U102="Bundle-only","handpick","bundles")&amp;" (experimental; not proven to lift GMV)","")</f>
        <v/>
      </c>
      <c r="AS102" s="2" t="str">
        <f aca="false">IF(AK102&lt;&gt;"Automated Nurture","",IF(AJ102="DORMANT_LOW_VALUE","Dormant",IF(AJ102="RISING_TAIL_EARLY","Rising tail – early pattern",IF(Q102="New Customer","New customer onboarding",IF(Q102="Returned Customer","Returned customer",IF(G102="Lapsed","Dormant",IF(T102="Engaged, not converting","Engaged, not converting",IF(T102="One-off low-touch buyer","One-off purchaser",IF(T102="Light-touch repeat buyer","Light-touch repeat buyer","Standard long tail")))))))))</f>
        <v>Returned customer</v>
      </c>
      <c r="AT102" s="2" t="str">
        <f aca="false">IF(AA102,"CRITICAL_DATA_BLOCKER; ","")&amp;IF(Y102,"KEY_SIGNOFF; ","")&amp;IF(Z102="Manual Review","PHASE1_MANUAL_REVIEW; ","")&amp;IF(AND(LEFT(D102,1)="1",AZ102="Lumpy"),"LUMPY_CADENCE; ","")&amp;IF(AB102,"BORDERLINE_MOMENTUM; ","")&amp;IF(AC102,"FEB_SENSITIVE; ","")&amp;IF(AD102,"MATERIAL_BROKER_INCONSISTENCY"&amp;IF(AE102," (segment would change)","")&amp;"; ","")&amp;IF(AND(I102&gt;=3,O102&gt;0),IF(AI102&gt;=Assumptions!$B$75,"H2_SINGLE_MONTH_SPIKE; ",""),"")&amp;IF(AND(M102&gt;0,N102=0),"NO_FEB_GMV (Feb unconfirmed); ","")&amp;IF(AF102,"LOW_CONFIDENCE; ","")</f>
        <v>LOW_CONFIDENCE; </v>
      </c>
      <c r="AU102" s="2" t="str">
        <f aca="false">IF(LEFT(D102,1)="1",V102,"")</f>
        <v/>
      </c>
      <c r="AV102" s="2" t="str">
        <f aca="false">IF(LEFT(D102,1)="1",V102&gt;=Assumptions!$B$58,"")</f>
        <v/>
      </c>
      <c r="AW102" s="2" t="str">
        <f aca="false">IF(LEFT(D102,1)="1",W102,"")</f>
        <v/>
      </c>
      <c r="AX102" s="2" t="str">
        <f aca="false">IF(LEFT(D102,1)="1",X102,"")</f>
        <v/>
      </c>
      <c r="AY102" s="17" t="str">
        <f aca="false">IF(LEFT(D102,1)="1",J102/I102,"")</f>
        <v/>
      </c>
      <c r="AZ102" s="2" t="str">
        <f aca="false">IF(LEFT(D102,1)="1",IF(AND(K102&gt;=Assumptions!$B$83,I102&gt;=Assumptions!$B$84),"Regular","Lumpy"),"")</f>
        <v/>
      </c>
      <c r="BA102" s="2" t="str">
        <f aca="false">IF(LEFT(D102,1)="1",ROUND(6/K102,0),"")</f>
        <v/>
      </c>
      <c r="BB102" s="2" t="str">
        <f aca="false">IF(LEFT(D102,1)="1",IF(AZ102="Regular","Regular buyer: expected ~£"&amp;TEXT(H102/2,"#,##0")&amp;" per 90 days. At Risk if GMV to date &lt; "&amp;TEXT(Assumptions!$B$81,"0%")&amp;" of pro-rated expectation, checked from day "&amp;Assumptions!$B$82&amp;". Human-reviewed.","Irregular buyer ("&amp;I102&amp;" orders across "&amp;K102&amp;" months): no numeric GMV threshold. At Risk if no order within ~"&amp;BA102&amp;" month(s); AM reviews at day "&amp;Assumptions!$B$82&amp;" and "&amp;Assumptions!$B$85&amp;"."),"")</f>
        <v/>
      </c>
      <c r="BC102" s="2"/>
      <c r="BD102" s="2"/>
      <c r="BE102" s="2"/>
      <c r="BF102" s="2"/>
      <c r="BG102" s="2"/>
      <c r="BH102" s="2"/>
      <c r="BI102" s="2"/>
      <c r="BJ102" s="2" t="str">
        <f aca="false">IF(OR(NOT(LEFT(D102,1)="1"),BC102=""),"",IF(AZ102="Regular",AND(BC102&gt;=Assumptions!$B$82,N(BI102)&lt;Assumptions!$B$81*H102/180*BC102),AND(BC102&gt;=BA102*30,N(BG102)=0)))</f>
        <v/>
      </c>
      <c r="BK102" s="2" t="str">
        <f aca="false">IF(NOT(LEFT(D102,1)="1"),"N/A",IF(BC102="","Baseline",IF(BJ102,"At Risk",IF(AND(N(BD102)&gt;=Assumptions!$B$78,N(BE102)&gt;=Assumptions!$B$79,N(BH102)&gt;=1,N(BH102)/MAX(N(BG102),1)&gt;AY102),"Self-Serve Capability Demonstrated",IF(OR(N(BD102)&gt;=Assumptions!$B$76,N(BE102)&gt;=Assumptions!$B$77),"Progressing",IF(BC102&gt;=Assumptions!$B$85,"At Risk","Baseline"))))))</f>
        <v>N/A</v>
      </c>
      <c r="BL102" s="2" t="n">
        <f aca="false">(AND(C102="Broker-Reliant",OR(AK102="Discovery-to-Offer Enablement",AK102="Reinforce Successful Behaviour")))*1+(AND(G102="Declining",E102&lt;&gt;"Tail",AL102="Automated"))*1+(AND(Y102,AM102&lt;&gt;"Human Sign-Off Required"))*1+(AND(AA102,AM102&lt;&gt;"HOLD — Critical Data Issue"))*1+(AND(P102="Recent Inactivity",OR(AK102="Discovery-to-Offer Enablement",AK102="Reinforce Successful Behaviour")))*1+(AND(OR(LEFT(D102,1)="2",LEFT(D102,1)="3",LEFT(D102,1)="8"),AL102="Automated"))*1+((LEFT(D102,1)="1")&lt;&gt;(AK102="Guided Self-Serve Migration"))*1+(AND(AR102&lt;&gt;"",OR(F102&lt;&gt;"Low",U102="Mixed",AND(G102&lt;&gt;"Growing",G102&lt;&gt;"Stable"))))*1+ISNUMBER(SEARCH("chat",AP102))*1+ISNUMBER(SEARCH("video",AP102))*1+(AND(AA102,AL102="Automated",AM102&lt;&gt;"HOLD — Critical Data Issue"))*1</f>
        <v>0</v>
      </c>
    </row>
    <row r="103" customFormat="false" ht="15" hidden="false" customHeight="false" outlineLevel="0" collapsed="false">
      <c r="A103" s="2" t="s">
        <v>647</v>
      </c>
      <c r="B103" s="2" t="str">
        <f aca="false">INDEX(Segmentation!$B$2:$B$301,MATCH($A103,Segmentation!$A$2:$A$301,0))</f>
        <v>Account Managed</v>
      </c>
      <c r="C103" s="2" t="str">
        <f aca="false">INDEX(Segmentation!$H$2:$H$301,MATCH($A103,Segmentation!$A$2:$A$301,0))</f>
        <v>AM-Owned / Self-Serving</v>
      </c>
      <c r="D103" s="2" t="str">
        <f aca="false">INDEX(Segmentation!$T$2:$T$301,MATCH($A103,Segmentation!$A$2:$A$301,0))</f>
        <v>9. Long-Tail Automated Nurture</v>
      </c>
      <c r="E103" s="2" t="str">
        <f aca="false">INDEX(Segmentation!$J$2:$J$301,MATCH($A103,Segmentation!$A$2:$A$301,0))</f>
        <v>Tail</v>
      </c>
      <c r="F103" s="2" t="str">
        <f aca="false">INDEX(Segmentation!$G$2:$G$301,MATCH($A103,Segmentation!$A$2:$A$301,0))</f>
        <v>Low</v>
      </c>
      <c r="G103" s="2" t="str">
        <f aca="false">INDEX(Segmentation!$N$2:$N$301,MATCH($A103,Segmentation!$A$2:$A$301,0))</f>
        <v>Lapsed</v>
      </c>
      <c r="H103" s="9" t="n">
        <f aca="false">INDEX(Segmentation!$I$2:$I$301,MATCH($A103,Segmentation!$A$2:$A$301,0))</f>
        <v>763</v>
      </c>
      <c r="I103" s="2" t="n">
        <f aca="false">INDEX(Segmentation!$O$2:$O$301,MATCH($A103,Segmentation!$A$2:$A$301,0))</f>
        <v>2</v>
      </c>
      <c r="J103" s="2" t="n">
        <f aca="false">INDEX(Segmentation!$Q$2:$Q$301,MATCH($A103,Segmentation!$A$2:$A$301,0))</f>
        <v>2</v>
      </c>
      <c r="K103" s="2" t="n">
        <f aca="false">INDEX(Segmentation!$W$2:$W$301,MATCH($A103,Segmentation!$A$2:$A$301,0))</f>
        <v>2</v>
      </c>
      <c r="L103" s="9" t="n">
        <f aca="false">INDEX('Commercial View'!$L$2:$L$301,MATCH($A103,'Commercial View'!$A$2:$A$301,0))</f>
        <v>0</v>
      </c>
      <c r="M103" s="9" t="n">
        <f aca="false">INDEX('Commercial View'!$M$2:$M$301,MATCH($A103,'Commercial View'!$A$2:$A$301,0))</f>
        <v>0</v>
      </c>
      <c r="N103" s="9" t="n">
        <f aca="false">INDEX('Commercial View'!$N$2:$N$301,MATCH($A103,'Commercial View'!$A$2:$A$301,0))</f>
        <v>0</v>
      </c>
      <c r="O103" s="9" t="n">
        <f aca="false">INDEX(Segmentation!$L$2:$L$301,MATCH($A103,Segmentation!$A$2:$A$301,0))</f>
        <v>0</v>
      </c>
      <c r="P103" s="2" t="str">
        <f aca="false">IF(OR(M103&gt;0,N103&gt;0),"Recently Active",IF(OR(I103&lt;=Assumptions!$B$48,K103&lt;=Assumptions!$B$49),"No Meaningful History","Recent Inactivity"))</f>
        <v>No Meaningful History</v>
      </c>
      <c r="Q103" s="2" t="str">
        <f aca="false">INDEX(Segmentation!$AF$2:$AF$301,MATCH($A103,Segmentation!$A$2:$A$301,0))</f>
        <v>Existing Customer</v>
      </c>
      <c r="R103" s="2" t="str">
        <f aca="false">INDEX(Segmentation!$AL$2:$AL$301,MATCH($A103,Segmentation!$A$2:$A$301,0))</f>
        <v>One-Off / Insufficient History — Verify</v>
      </c>
      <c r="S103" s="10" t="b">
        <f aca="false">INDEX(Segmentation!$AW$2:$AW$301,MATCH($A103,Segmentation!$A$2:$A$301,0))</f>
        <v>0</v>
      </c>
      <c r="T103" s="2" t="str">
        <f aca="false">INDEX('Feature Data'!$AD$2:$AD$301,MATCH($A103,'Feature Data'!$A$2:$A$301,0))</f>
        <v>Light-touch repeat buyer</v>
      </c>
      <c r="U103" s="2" t="str">
        <f aca="false">INDEX('Feature Data'!$W$2:$W$301,MATCH($A103,'Feature Data'!$A$2:$A$301,0))</f>
        <v>Bundle-only</v>
      </c>
      <c r="V103" s="2" t="n">
        <f aca="false">INDEX('Feature Data'!$P$2:$P$301,MATCH($A103,'Feature Data'!$A$2:$A$301,0))</f>
        <v>80</v>
      </c>
      <c r="W103" s="2" t="n">
        <f aca="false">INDEX(Segmentation!$R$2:$R$301,MATCH($A103,Segmentation!$A$2:$A$301,0))</f>
        <v>15</v>
      </c>
      <c r="X103" s="2" t="n">
        <f aca="false">INDEX(Segmentation!$S$2:$S$301,MATCH($A103,Segmentation!$A$2:$A$301,0))</f>
        <v>0</v>
      </c>
      <c r="Y103" s="10" t="b">
        <f aca="false">INDEX(Segmentation!$AG$2:$AG$301,MATCH($A103,Segmentation!$A$2:$A$301,0))</f>
        <v>0</v>
      </c>
      <c r="Z103" s="2" t="str">
        <f aca="false">INDEX(Segmentation!$AU$2:$AU$301,MATCH($A103,Segmentation!$A$2:$A$301,0))</f>
        <v>Not Eligible</v>
      </c>
      <c r="AA103" s="10" t="b">
        <f aca="false">INDEX(Segmentation!$Z$2:$Z$301,MATCH($A103,Segmentation!$A$2:$A$301,0))</f>
        <v>0</v>
      </c>
      <c r="AB103" s="10" t="b">
        <f aca="false">INDEX(Segmentation!$AH$2:$AH$301,MATCH($A103,Segmentation!$A$2:$A$301,0))</f>
        <v>0</v>
      </c>
      <c r="AC103" s="10" t="b">
        <f aca="false">INDEX(Segmentation!$AK$2:$AK$301,MATCH($A103,Segmentation!$A$2:$A$301,0))</f>
        <v>0</v>
      </c>
      <c r="AD103" s="10" t="b">
        <f aca="false">INDEX(Segmentation!$AQ$2:$AQ$301,MATCH($A103,Segmentation!$A$2:$A$301,0))</f>
        <v>0</v>
      </c>
      <c r="AE103" s="10" t="b">
        <f aca="false">INDEX(Segmentation!$AT$2:$AT$301,MATCH($A103,Segmentation!$A$2:$A$301,0))</f>
        <v>0</v>
      </c>
      <c r="AF103" s="10" t="b">
        <f aca="false">INDEX(Segmentation!$X$2:$X$301,MATCH($A103,Segmentation!$A$2:$A$301,0))</f>
        <v>1</v>
      </c>
      <c r="AG103" s="10" t="b">
        <f aca="false">AND(F103="Low",V103&gt;=Assumptions!$B$71,X103&lt;Assumptions!$B$72)</f>
        <v>1</v>
      </c>
      <c r="AH103" s="10" t="b">
        <f aca="false">AND(F103="Low",OR(G103="Growing",G103="Stable"),P103="Recently Active",V103&gt;=Assumptions!$B$58,K103&gt;=Assumptions!$B$73)</f>
        <v>0</v>
      </c>
      <c r="AI103" s="17" t="str">
        <f aca="false">IF(O103&gt;0,MAX(L103:N103)/O103,"")</f>
        <v/>
      </c>
      <c r="AJ103" s="2" t="str">
        <f aca="false">IF(LEFT(D103,1)="1",IF(E103="Key","MIGRATION_KEY_SIGNOFF",IF(Z103="Ready","MIGRATION_PHASE1_READY",IF(Z103="Manual Review","MIGRATION_PHASE1_REVIEW","MIGRATION_PRE_ENTRY"))),IF(LEFT(D103,1)="2","DECLINING_KEY_CORE",IF(LEFT(D103,1)="3",IF(R103="Established Buyer Lapsed","LAPSED_ESTABLISHED","LAPSED_THIN_HISTORY"),IF(LEFT(D103,1)="4",IF(Q103="New Customer","NEW_CUSTOMER","RETURNED_CUSTOMER"),IF(LEFT(D103,1)="5",IF(P103="Recently Active","COST_TO_SERVE_ACTIVE","DORMANT_LOW_VALUE"),IF(LEFT(D103,1)="6",IF(P103="Recent Inactivity","RECENT_INACTIVITY",IF(AG103,"BROWSING_LOW_OFFERS","HEALTHY_STRONG_SELF_SERVE")),IF(LEFT(D103,1)="7",IF(P103="Recent Inactivity","RECENT_INACTIVITY",IF(Q103="New Customer","NEW_CUSTOMER","RETURNED_CUSTOMER")),IF(LEFT(D103,1)="8",IF(G103="Declining",IF(T103="Engaged but shrinking (Key/Core)","ENGAGED_BUT_SHRINKING","DECLINING_KEY_CORE"),IF(R103="Established Buyer Lapsed","LAPSED_ESTABLISHED","LAPSED_THIN_HISTORY")),IF(S103,IF(P103&lt;&gt;"Recently Active","DORMANT_LOW_VALUE",IF(AG103,"BROWSING_LOW_OFFERS",IF(AH103,"RISING_TAIL","RISING_TAIL_EARLY"))),IF(AND(AG103,P103="Recently Active",OR(G103="Growing",G103="Stable",G103="H2 Active / No H1 GMV"),I103&gt;=Assumptions!$B$74),"BROWSING_LOW_OFFERS","LONG_TAIL_STANDARD"))))))))))</f>
        <v>LONG_TAIL_STANDARD</v>
      </c>
      <c r="AK103" s="2" t="str">
        <f aca="false">INDEX('NBA Library'!$B$4:$B$21,MATCH(AJ103,'NBA Library'!$A$4:$A$21,0))</f>
        <v>Automated Nurture</v>
      </c>
      <c r="AL103" s="2" t="str">
        <f aca="false">INDEX('NBA Library'!$C$4:$C$21,MATCH(AJ103,'NBA Library'!$A$4:$A$21,0))</f>
        <v>Automated</v>
      </c>
      <c r="AM103" s="2" t="str">
        <f aca="false">IF(AA103,"HOLD — Critical Data Issue",IF(Y103,"Human Sign-Off Required",IF(Z103="Manual Review","Human Review Required",IF(AND(AL103="Automated",OR(AE103,AND(OR(AK103="Discovery-to-Offer Enablement",AK103="Reinforce Successful Behaviour"),OR(AC103,AB103)))),"Human Review Required",IF(AL103="Human","Ready — Human",IF(AL103="Hybrid","Ready — Hybrid","Ready — Automated"))))))</f>
        <v>Ready — Automated</v>
      </c>
      <c r="AN103" s="2" t="str">
        <f aca="false">IF(AA103,"P0",IF(AND(AJ103="BROWSING_LOW_OFFERS",E103="Tail"),"P3",IF(AND(AM103="Human Review Required",INDEX('NBA Library'!$D$4:$D$21,MATCH(AJ103,'NBA Library'!$A$4:$A$21,0))="P4"),"P3",INDEX('NBA Library'!$D$4:$D$21,MATCH(AJ103,'NBA Library'!$A$4:$A$21,0)))))</f>
        <v>P4</v>
      </c>
      <c r="AO103" s="2" t="str">
        <f aca="false">E103&amp;" "&amp;C103&amp;" account ("&amp;B103&amp;"); "&amp;G103&amp;" momentum; "&amp;P103&amp;"; £"&amp;TEXT(H103,"#,##0")&amp;" 6m GMV. "&amp;INDEX('NBA Library'!$G$4:$G$21,MATCH(AJ103,'NBA Library'!$A$4:$A$21,0))&amp;IF(LEFT(D103,1)="1"," Baseline: "&amp;V103&amp;" PDP views, "&amp;W103&amp;" app days, "&amp;X103&amp;" offers, "&amp;TEXT(J103/I103,"0%")&amp;" of orders self-serve.","")&amp;IF(AA103," Execution on HOLD until the Duplicate status is resolved.","")&amp;IF(Y103," Key account: explicit AM/leadership sign-off required before any migration activity.","")&amp;IF(AE103," Implied broker % from order counts would move this account to a different segment; review before automating.","")</f>
        <v>Tail AM-Owned / Self-Serving account (Account Managed); Lapsed momentum; No Meaningful History; £763 6m GMV. Low-value, low-dependency account. Scalable automated engagement.</v>
      </c>
      <c r="AP103" s="2" t="str">
        <f aca="false">INDEX('NBA Library'!$E$4:$E$21,MATCH(AJ103,'NBA Library'!$A$4:$A$21,0))&amp;IF(AND(AJ103="NEW_CUSTOMER",AG103),"; introduce Make-an-Offer on items already browsed","")</f>
        <v>Scalable automated engagement matched to nurture sub-context</v>
      </c>
      <c r="AQ103" s="2" t="str">
        <f aca="false">INDEX('NBA Library'!$F$4:$F$21,MATCH(AJ103,'NBA Library'!$A$4:$A$21,0))</f>
        <v>Any repeat order within 90 days</v>
      </c>
      <c r="AR103" s="2" t="str">
        <f aca="false">IF(AND(F103="Low",OR(G103="Growing",G103="Stable"),P103="Recently Active",U103&lt;&gt;"Mixed",OR(AK103="Discovery-to-Offer Enablement",AK103="Reinforce Successful Behaviour"),AM103="Ready — Automated",OR(E103&lt;&gt;"Tail",S103)),"Range Expansion Test — trial "&amp;IF(U103="Bundle-only","handpick","bundles")&amp;" (experimental; not proven to lift GMV)","")</f>
        <v/>
      </c>
      <c r="AS103" s="2" t="str">
        <f aca="false">IF(AK103&lt;&gt;"Automated Nurture","",IF(AJ103="DORMANT_LOW_VALUE","Dormant",IF(AJ103="RISING_TAIL_EARLY","Rising tail – early pattern",IF(Q103="New Customer","New customer onboarding",IF(Q103="Returned Customer","Returned customer",IF(G103="Lapsed","Dormant",IF(T103="Engaged, not converting","Engaged, not converting",IF(T103="One-off low-touch buyer","One-off purchaser",IF(T103="Light-touch repeat buyer","Light-touch repeat buyer","Standard long tail")))))))))</f>
        <v>Dormant</v>
      </c>
      <c r="AT103" s="2" t="str">
        <f aca="false">IF(AA103,"CRITICAL_DATA_BLOCKER; ","")&amp;IF(Y103,"KEY_SIGNOFF; ","")&amp;IF(Z103="Manual Review","PHASE1_MANUAL_REVIEW; ","")&amp;IF(AND(LEFT(D103,1)="1",AZ103="Lumpy"),"LUMPY_CADENCE; ","")&amp;IF(AB103,"BORDERLINE_MOMENTUM; ","")&amp;IF(AC103,"FEB_SENSITIVE; ","")&amp;IF(AD103,"MATERIAL_BROKER_INCONSISTENCY"&amp;IF(AE103," (segment would change)","")&amp;"; ","")&amp;IF(AND(I103&gt;=3,O103&gt;0),IF(AI103&gt;=Assumptions!$B$75,"H2_SINGLE_MONTH_SPIKE; ",""),"")&amp;IF(AND(M103&gt;0,N103=0),"NO_FEB_GMV (Feb unconfirmed); ","")&amp;IF(AF103,"LOW_CONFIDENCE; ","")</f>
        <v>LOW_CONFIDENCE; </v>
      </c>
      <c r="AU103" s="2" t="str">
        <f aca="false">IF(LEFT(D103,1)="1",V103,"")</f>
        <v/>
      </c>
      <c r="AV103" s="2" t="str">
        <f aca="false">IF(LEFT(D103,1)="1",V103&gt;=Assumptions!$B$58,"")</f>
        <v/>
      </c>
      <c r="AW103" s="2" t="str">
        <f aca="false">IF(LEFT(D103,1)="1",W103,"")</f>
        <v/>
      </c>
      <c r="AX103" s="2" t="str">
        <f aca="false">IF(LEFT(D103,1)="1",X103,"")</f>
        <v/>
      </c>
      <c r="AY103" s="17" t="str">
        <f aca="false">IF(LEFT(D103,1)="1",J103/I103,"")</f>
        <v/>
      </c>
      <c r="AZ103" s="2" t="str">
        <f aca="false">IF(LEFT(D103,1)="1",IF(AND(K103&gt;=Assumptions!$B$83,I103&gt;=Assumptions!$B$84),"Regular","Lumpy"),"")</f>
        <v/>
      </c>
      <c r="BA103" s="2" t="str">
        <f aca="false">IF(LEFT(D103,1)="1",ROUND(6/K103,0),"")</f>
        <v/>
      </c>
      <c r="BB103" s="2" t="str">
        <f aca="false">IF(LEFT(D103,1)="1",IF(AZ103="Regular","Regular buyer: expected ~£"&amp;TEXT(H103/2,"#,##0")&amp;" per 90 days. At Risk if GMV to date &lt; "&amp;TEXT(Assumptions!$B$81,"0%")&amp;" of pro-rated expectation, checked from day "&amp;Assumptions!$B$82&amp;". Human-reviewed.","Irregular buyer ("&amp;I103&amp;" orders across "&amp;K103&amp;" months): no numeric GMV threshold. At Risk if no order within ~"&amp;BA103&amp;" month(s); AM reviews at day "&amp;Assumptions!$B$82&amp;" and "&amp;Assumptions!$B$85&amp;"."),"")</f>
        <v/>
      </c>
      <c r="BC103" s="2"/>
      <c r="BD103" s="2"/>
      <c r="BE103" s="2"/>
      <c r="BF103" s="2"/>
      <c r="BG103" s="2"/>
      <c r="BH103" s="2"/>
      <c r="BI103" s="2"/>
      <c r="BJ103" s="2" t="str">
        <f aca="false">IF(OR(NOT(LEFT(D103,1)="1"),BC103=""),"",IF(AZ103="Regular",AND(BC103&gt;=Assumptions!$B$82,N(BI103)&lt;Assumptions!$B$81*H103/180*BC103),AND(BC103&gt;=BA103*30,N(BG103)=0)))</f>
        <v/>
      </c>
      <c r="BK103" s="2" t="str">
        <f aca="false">IF(NOT(LEFT(D103,1)="1"),"N/A",IF(BC103="","Baseline",IF(BJ103,"At Risk",IF(AND(N(BD103)&gt;=Assumptions!$B$78,N(BE103)&gt;=Assumptions!$B$79,N(BH103)&gt;=1,N(BH103)/MAX(N(BG103),1)&gt;AY103),"Self-Serve Capability Demonstrated",IF(OR(N(BD103)&gt;=Assumptions!$B$76,N(BE103)&gt;=Assumptions!$B$77),"Progressing",IF(BC103&gt;=Assumptions!$B$85,"At Risk","Baseline"))))))</f>
        <v>N/A</v>
      </c>
      <c r="BL103" s="2" t="n">
        <f aca="false">(AND(C103="Broker-Reliant",OR(AK103="Discovery-to-Offer Enablement",AK103="Reinforce Successful Behaviour")))*1+(AND(G103="Declining",E103&lt;&gt;"Tail",AL103="Automated"))*1+(AND(Y103,AM103&lt;&gt;"Human Sign-Off Required"))*1+(AND(AA103,AM103&lt;&gt;"HOLD — Critical Data Issue"))*1+(AND(P103="Recent Inactivity",OR(AK103="Discovery-to-Offer Enablement",AK103="Reinforce Successful Behaviour")))*1+(AND(OR(LEFT(D103,1)="2",LEFT(D103,1)="3",LEFT(D103,1)="8"),AL103="Automated"))*1+((LEFT(D103,1)="1")&lt;&gt;(AK103="Guided Self-Serve Migration"))*1+(AND(AR103&lt;&gt;"",OR(F103&lt;&gt;"Low",U103="Mixed",AND(G103&lt;&gt;"Growing",G103&lt;&gt;"Stable"))))*1+ISNUMBER(SEARCH("chat",AP103))*1+ISNUMBER(SEARCH("video",AP103))*1+(AND(AA103,AL103="Automated",AM103&lt;&gt;"HOLD — Critical Data Issue"))*1</f>
        <v>0</v>
      </c>
    </row>
    <row r="104" customFormat="false" ht="15" hidden="false" customHeight="false" outlineLevel="0" collapsed="false">
      <c r="A104" s="2" t="s">
        <v>649</v>
      </c>
      <c r="B104" s="2" t="str">
        <f aca="false">INDEX(Segmentation!$B$2:$B$301,MATCH($A104,Segmentation!$A$2:$A$301,0))</f>
        <v>Account Managed</v>
      </c>
      <c r="C104" s="2" t="str">
        <f aca="false">INDEX(Segmentation!$H$2:$H$301,MATCH($A104,Segmentation!$A$2:$A$301,0))</f>
        <v>AM-Owned / Self-Serving</v>
      </c>
      <c r="D104" s="2" t="str">
        <f aca="false">INDEX(Segmentation!$T$2:$T$301,MATCH($A104,Segmentation!$A$2:$A$301,0))</f>
        <v>9. Long-Tail Automated Nurture</v>
      </c>
      <c r="E104" s="2" t="str">
        <f aca="false">INDEX(Segmentation!$J$2:$J$301,MATCH($A104,Segmentation!$A$2:$A$301,0))</f>
        <v>Tail</v>
      </c>
      <c r="F104" s="2" t="str">
        <f aca="false">INDEX(Segmentation!$G$2:$G$301,MATCH($A104,Segmentation!$A$2:$A$301,0))</f>
        <v>Low</v>
      </c>
      <c r="G104" s="2" t="str">
        <f aca="false">INDEX(Segmentation!$N$2:$N$301,MATCH($A104,Segmentation!$A$2:$A$301,0))</f>
        <v>Lapsed</v>
      </c>
      <c r="H104" s="9" t="n">
        <f aca="false">INDEX(Segmentation!$I$2:$I$301,MATCH($A104,Segmentation!$A$2:$A$301,0))</f>
        <v>757</v>
      </c>
      <c r="I104" s="2" t="n">
        <f aca="false">INDEX(Segmentation!$O$2:$O$301,MATCH($A104,Segmentation!$A$2:$A$301,0))</f>
        <v>1</v>
      </c>
      <c r="J104" s="2" t="n">
        <f aca="false">INDEX(Segmentation!$Q$2:$Q$301,MATCH($A104,Segmentation!$A$2:$A$301,0))</f>
        <v>1</v>
      </c>
      <c r="K104" s="2" t="n">
        <f aca="false">INDEX(Segmentation!$W$2:$W$301,MATCH($A104,Segmentation!$A$2:$A$301,0))</f>
        <v>1</v>
      </c>
      <c r="L104" s="9" t="n">
        <f aca="false">INDEX('Commercial View'!$L$2:$L$301,MATCH($A104,'Commercial View'!$A$2:$A$301,0))</f>
        <v>0</v>
      </c>
      <c r="M104" s="9" t="n">
        <f aca="false">INDEX('Commercial View'!$M$2:$M$301,MATCH($A104,'Commercial View'!$A$2:$A$301,0))</f>
        <v>0</v>
      </c>
      <c r="N104" s="9" t="n">
        <f aca="false">INDEX('Commercial View'!$N$2:$N$301,MATCH($A104,'Commercial View'!$A$2:$A$301,0))</f>
        <v>0</v>
      </c>
      <c r="O104" s="9" t="n">
        <f aca="false">INDEX(Segmentation!$L$2:$L$301,MATCH($A104,Segmentation!$A$2:$A$301,0))</f>
        <v>0</v>
      </c>
      <c r="P104" s="2" t="str">
        <f aca="false">IF(OR(M104&gt;0,N104&gt;0),"Recently Active",IF(OR(I104&lt;=Assumptions!$B$48,K104&lt;=Assumptions!$B$49),"No Meaningful History","Recent Inactivity"))</f>
        <v>No Meaningful History</v>
      </c>
      <c r="Q104" s="2" t="str">
        <f aca="false">INDEX(Segmentation!$AF$2:$AF$301,MATCH($A104,Segmentation!$A$2:$A$301,0))</f>
        <v>Existing Customer</v>
      </c>
      <c r="R104" s="2" t="str">
        <f aca="false">INDEX(Segmentation!$AL$2:$AL$301,MATCH($A104,Segmentation!$A$2:$A$301,0))</f>
        <v>One-Off / Insufficient History — Verify</v>
      </c>
      <c r="S104" s="10" t="b">
        <f aca="false">INDEX(Segmentation!$AW$2:$AW$301,MATCH($A104,Segmentation!$A$2:$A$301,0))</f>
        <v>0</v>
      </c>
      <c r="T104" s="2" t="str">
        <f aca="false">INDEX('Feature Data'!$AD$2:$AD$301,MATCH($A104,'Feature Data'!$A$2:$A$301,0))</f>
        <v>Engaged, not converting</v>
      </c>
      <c r="U104" s="2" t="str">
        <f aca="false">INDEX('Feature Data'!$W$2:$W$301,MATCH($A104,'Feature Data'!$A$2:$A$301,0))</f>
        <v>Handpick-only</v>
      </c>
      <c r="V104" s="2" t="n">
        <f aca="false">INDEX('Feature Data'!$P$2:$P$301,MATCH($A104,'Feature Data'!$A$2:$A$301,0))</f>
        <v>329</v>
      </c>
      <c r="W104" s="2" t="n">
        <f aca="false">INDEX(Segmentation!$R$2:$R$301,MATCH($A104,Segmentation!$A$2:$A$301,0))</f>
        <v>42</v>
      </c>
      <c r="X104" s="2" t="n">
        <f aca="false">INDEX(Segmentation!$S$2:$S$301,MATCH($A104,Segmentation!$A$2:$A$301,0))</f>
        <v>1</v>
      </c>
      <c r="Y104" s="10" t="b">
        <f aca="false">INDEX(Segmentation!$AG$2:$AG$301,MATCH($A104,Segmentation!$A$2:$A$301,0))</f>
        <v>0</v>
      </c>
      <c r="Z104" s="2" t="str">
        <f aca="false">INDEX(Segmentation!$AU$2:$AU$301,MATCH($A104,Segmentation!$A$2:$A$301,0))</f>
        <v>Not Eligible</v>
      </c>
      <c r="AA104" s="10" t="b">
        <f aca="false">INDEX(Segmentation!$Z$2:$Z$301,MATCH($A104,Segmentation!$A$2:$A$301,0))</f>
        <v>0</v>
      </c>
      <c r="AB104" s="10" t="b">
        <f aca="false">INDEX(Segmentation!$AH$2:$AH$301,MATCH($A104,Segmentation!$A$2:$A$301,0))</f>
        <v>0</v>
      </c>
      <c r="AC104" s="10" t="b">
        <f aca="false">INDEX(Segmentation!$AK$2:$AK$301,MATCH($A104,Segmentation!$A$2:$A$301,0))</f>
        <v>0</v>
      </c>
      <c r="AD104" s="10" t="b">
        <f aca="false">INDEX(Segmentation!$AQ$2:$AQ$301,MATCH($A104,Segmentation!$A$2:$A$301,0))</f>
        <v>0</v>
      </c>
      <c r="AE104" s="10" t="b">
        <f aca="false">INDEX(Segmentation!$AT$2:$AT$301,MATCH($A104,Segmentation!$A$2:$A$301,0))</f>
        <v>0</v>
      </c>
      <c r="AF104" s="10" t="b">
        <f aca="false">INDEX(Segmentation!$X$2:$X$301,MATCH($A104,Segmentation!$A$2:$A$301,0))</f>
        <v>1</v>
      </c>
      <c r="AG104" s="10" t="b">
        <f aca="false">AND(F104="Low",V104&gt;=Assumptions!$B$71,X104&lt;Assumptions!$B$72)</f>
        <v>1</v>
      </c>
      <c r="AH104" s="10" t="b">
        <f aca="false">AND(F104="Low",OR(G104="Growing",G104="Stable"),P104="Recently Active",V104&gt;=Assumptions!$B$58,K104&gt;=Assumptions!$B$73)</f>
        <v>0</v>
      </c>
      <c r="AI104" s="17" t="str">
        <f aca="false">IF(O104&gt;0,MAX(L104:N104)/O104,"")</f>
        <v/>
      </c>
      <c r="AJ104" s="2" t="str">
        <f aca="false">IF(LEFT(D104,1)="1",IF(E104="Key","MIGRATION_KEY_SIGNOFF",IF(Z104="Ready","MIGRATION_PHASE1_READY",IF(Z104="Manual Review","MIGRATION_PHASE1_REVIEW","MIGRATION_PRE_ENTRY"))),IF(LEFT(D104,1)="2","DECLINING_KEY_CORE",IF(LEFT(D104,1)="3",IF(R104="Established Buyer Lapsed","LAPSED_ESTABLISHED","LAPSED_THIN_HISTORY"),IF(LEFT(D104,1)="4",IF(Q104="New Customer","NEW_CUSTOMER","RETURNED_CUSTOMER"),IF(LEFT(D104,1)="5",IF(P104="Recently Active","COST_TO_SERVE_ACTIVE","DORMANT_LOW_VALUE"),IF(LEFT(D104,1)="6",IF(P104="Recent Inactivity","RECENT_INACTIVITY",IF(AG104,"BROWSING_LOW_OFFERS","HEALTHY_STRONG_SELF_SERVE")),IF(LEFT(D104,1)="7",IF(P104="Recent Inactivity","RECENT_INACTIVITY",IF(Q104="New Customer","NEW_CUSTOMER","RETURNED_CUSTOMER")),IF(LEFT(D104,1)="8",IF(G104="Declining",IF(T104="Engaged but shrinking (Key/Core)","ENGAGED_BUT_SHRINKING","DECLINING_KEY_CORE"),IF(R104="Established Buyer Lapsed","LAPSED_ESTABLISHED","LAPSED_THIN_HISTORY")),IF(S104,IF(P104&lt;&gt;"Recently Active","DORMANT_LOW_VALUE",IF(AG104,"BROWSING_LOW_OFFERS",IF(AH104,"RISING_TAIL","RISING_TAIL_EARLY"))),IF(AND(AG104,P104="Recently Active",OR(G104="Growing",G104="Stable",G104="H2 Active / No H1 GMV"),I104&gt;=Assumptions!$B$74),"BROWSING_LOW_OFFERS","LONG_TAIL_STANDARD"))))))))))</f>
        <v>LONG_TAIL_STANDARD</v>
      </c>
      <c r="AK104" s="2" t="str">
        <f aca="false">INDEX('NBA Library'!$B$4:$B$21,MATCH(AJ104,'NBA Library'!$A$4:$A$21,0))</f>
        <v>Automated Nurture</v>
      </c>
      <c r="AL104" s="2" t="str">
        <f aca="false">INDEX('NBA Library'!$C$4:$C$21,MATCH(AJ104,'NBA Library'!$A$4:$A$21,0))</f>
        <v>Automated</v>
      </c>
      <c r="AM104" s="2" t="str">
        <f aca="false">IF(AA104,"HOLD — Critical Data Issue",IF(Y104,"Human Sign-Off Required",IF(Z104="Manual Review","Human Review Required",IF(AND(AL104="Automated",OR(AE104,AND(OR(AK104="Discovery-to-Offer Enablement",AK104="Reinforce Successful Behaviour"),OR(AC104,AB104)))),"Human Review Required",IF(AL104="Human","Ready — Human",IF(AL104="Hybrid","Ready — Hybrid","Ready — Automated"))))))</f>
        <v>Ready — Automated</v>
      </c>
      <c r="AN104" s="2" t="str">
        <f aca="false">IF(AA104,"P0",IF(AND(AJ104="BROWSING_LOW_OFFERS",E104="Tail"),"P3",IF(AND(AM104="Human Review Required",INDEX('NBA Library'!$D$4:$D$21,MATCH(AJ104,'NBA Library'!$A$4:$A$21,0))="P4"),"P3",INDEX('NBA Library'!$D$4:$D$21,MATCH(AJ104,'NBA Library'!$A$4:$A$21,0)))))</f>
        <v>P4</v>
      </c>
      <c r="AO104" s="2" t="str">
        <f aca="false">E104&amp;" "&amp;C104&amp;" account ("&amp;B104&amp;"); "&amp;G104&amp;" momentum; "&amp;P104&amp;"; £"&amp;TEXT(H104,"#,##0")&amp;" 6m GMV. "&amp;INDEX('NBA Library'!$G$4:$G$21,MATCH(AJ104,'NBA Library'!$A$4:$A$21,0))&amp;IF(LEFT(D104,1)="1"," Baseline: "&amp;V104&amp;" PDP views, "&amp;W104&amp;" app days, "&amp;X104&amp;" offers, "&amp;TEXT(J104/I104,"0%")&amp;" of orders self-serve.","")&amp;IF(AA104," Execution on HOLD until the Duplicate status is resolved.","")&amp;IF(Y104," Key account: explicit AM/leadership sign-off required before any migration activity.","")&amp;IF(AE104," Implied broker % from order counts would move this account to a different segment; review before automating.","")</f>
        <v>Tail AM-Owned / Self-Serving account (Account Managed); Lapsed momentum; No Meaningful History; £757 6m GMV. Low-value, low-dependency account. Scalable automated engagement.</v>
      </c>
      <c r="AP104" s="2" t="str">
        <f aca="false">INDEX('NBA Library'!$E$4:$E$21,MATCH(AJ104,'NBA Library'!$A$4:$A$21,0))&amp;IF(AND(AJ104="NEW_CUSTOMER",AG104),"; introduce Make-an-Offer on items already browsed","")</f>
        <v>Scalable automated engagement matched to nurture sub-context</v>
      </c>
      <c r="AQ104" s="2" t="str">
        <f aca="false">INDEX('NBA Library'!$F$4:$F$21,MATCH(AJ104,'NBA Library'!$A$4:$A$21,0))</f>
        <v>Any repeat order within 90 days</v>
      </c>
      <c r="AR104" s="2" t="str">
        <f aca="false">IF(AND(F104="Low",OR(G104="Growing",G104="Stable"),P104="Recently Active",U104&lt;&gt;"Mixed",OR(AK104="Discovery-to-Offer Enablement",AK104="Reinforce Successful Behaviour"),AM104="Ready — Automated",OR(E104&lt;&gt;"Tail",S104)),"Range Expansion Test — trial "&amp;IF(U104="Bundle-only","handpick","bundles")&amp;" (experimental; not proven to lift GMV)","")</f>
        <v/>
      </c>
      <c r="AS104" s="2" t="str">
        <f aca="false">IF(AK104&lt;&gt;"Automated Nurture","",IF(AJ104="DORMANT_LOW_VALUE","Dormant",IF(AJ104="RISING_TAIL_EARLY","Rising tail – early pattern",IF(Q104="New Customer","New customer onboarding",IF(Q104="Returned Customer","Returned customer",IF(G104="Lapsed","Dormant",IF(T104="Engaged, not converting","Engaged, not converting",IF(T104="One-off low-touch buyer","One-off purchaser",IF(T104="Light-touch repeat buyer","Light-touch repeat buyer","Standard long tail")))))))))</f>
        <v>Dormant</v>
      </c>
      <c r="AT104" s="2" t="str">
        <f aca="false">IF(AA104,"CRITICAL_DATA_BLOCKER; ","")&amp;IF(Y104,"KEY_SIGNOFF; ","")&amp;IF(Z104="Manual Review","PHASE1_MANUAL_REVIEW; ","")&amp;IF(AND(LEFT(D104,1)="1",AZ104="Lumpy"),"LUMPY_CADENCE; ","")&amp;IF(AB104,"BORDERLINE_MOMENTUM; ","")&amp;IF(AC104,"FEB_SENSITIVE; ","")&amp;IF(AD104,"MATERIAL_BROKER_INCONSISTENCY"&amp;IF(AE104," (segment would change)","")&amp;"; ","")&amp;IF(AND(I104&gt;=3,O104&gt;0),IF(AI104&gt;=Assumptions!$B$75,"H2_SINGLE_MONTH_SPIKE; ",""),"")&amp;IF(AND(M104&gt;0,N104=0),"NO_FEB_GMV (Feb unconfirmed); ","")&amp;IF(AF104,"LOW_CONFIDENCE; ","")</f>
        <v>LOW_CONFIDENCE; </v>
      </c>
      <c r="AU104" s="2" t="str">
        <f aca="false">IF(LEFT(D104,1)="1",V104,"")</f>
        <v/>
      </c>
      <c r="AV104" s="2" t="str">
        <f aca="false">IF(LEFT(D104,1)="1",V104&gt;=Assumptions!$B$58,"")</f>
        <v/>
      </c>
      <c r="AW104" s="2" t="str">
        <f aca="false">IF(LEFT(D104,1)="1",W104,"")</f>
        <v/>
      </c>
      <c r="AX104" s="2" t="str">
        <f aca="false">IF(LEFT(D104,1)="1",X104,"")</f>
        <v/>
      </c>
      <c r="AY104" s="17" t="str">
        <f aca="false">IF(LEFT(D104,1)="1",J104/I104,"")</f>
        <v/>
      </c>
      <c r="AZ104" s="2" t="str">
        <f aca="false">IF(LEFT(D104,1)="1",IF(AND(K104&gt;=Assumptions!$B$83,I104&gt;=Assumptions!$B$84),"Regular","Lumpy"),"")</f>
        <v/>
      </c>
      <c r="BA104" s="2" t="str">
        <f aca="false">IF(LEFT(D104,1)="1",ROUND(6/K104,0),"")</f>
        <v/>
      </c>
      <c r="BB104" s="2" t="str">
        <f aca="false">IF(LEFT(D104,1)="1",IF(AZ104="Regular","Regular buyer: expected ~£"&amp;TEXT(H104/2,"#,##0")&amp;" per 90 days. At Risk if GMV to date &lt; "&amp;TEXT(Assumptions!$B$81,"0%")&amp;" of pro-rated expectation, checked from day "&amp;Assumptions!$B$82&amp;". Human-reviewed.","Irregular buyer ("&amp;I104&amp;" orders across "&amp;K104&amp;" months): no numeric GMV threshold. At Risk if no order within ~"&amp;BA104&amp;" month(s); AM reviews at day "&amp;Assumptions!$B$82&amp;" and "&amp;Assumptions!$B$85&amp;"."),"")</f>
        <v/>
      </c>
      <c r="BC104" s="2"/>
      <c r="BD104" s="2"/>
      <c r="BE104" s="2"/>
      <c r="BF104" s="2"/>
      <c r="BG104" s="2"/>
      <c r="BH104" s="2"/>
      <c r="BI104" s="2"/>
      <c r="BJ104" s="2" t="str">
        <f aca="false">IF(OR(NOT(LEFT(D104,1)="1"),BC104=""),"",IF(AZ104="Regular",AND(BC104&gt;=Assumptions!$B$82,N(BI104)&lt;Assumptions!$B$81*H104/180*BC104),AND(BC104&gt;=BA104*30,N(BG104)=0)))</f>
        <v/>
      </c>
      <c r="BK104" s="2" t="str">
        <f aca="false">IF(NOT(LEFT(D104,1)="1"),"N/A",IF(BC104="","Baseline",IF(BJ104,"At Risk",IF(AND(N(BD104)&gt;=Assumptions!$B$78,N(BE104)&gt;=Assumptions!$B$79,N(BH104)&gt;=1,N(BH104)/MAX(N(BG104),1)&gt;AY104),"Self-Serve Capability Demonstrated",IF(OR(N(BD104)&gt;=Assumptions!$B$76,N(BE104)&gt;=Assumptions!$B$77),"Progressing",IF(BC104&gt;=Assumptions!$B$85,"At Risk","Baseline"))))))</f>
        <v>N/A</v>
      </c>
      <c r="BL104" s="2" t="n">
        <f aca="false">(AND(C104="Broker-Reliant",OR(AK104="Discovery-to-Offer Enablement",AK104="Reinforce Successful Behaviour")))*1+(AND(G104="Declining",E104&lt;&gt;"Tail",AL104="Automated"))*1+(AND(Y104,AM104&lt;&gt;"Human Sign-Off Required"))*1+(AND(AA104,AM104&lt;&gt;"HOLD — Critical Data Issue"))*1+(AND(P104="Recent Inactivity",OR(AK104="Discovery-to-Offer Enablement",AK104="Reinforce Successful Behaviour")))*1+(AND(OR(LEFT(D104,1)="2",LEFT(D104,1)="3",LEFT(D104,1)="8"),AL104="Automated"))*1+((LEFT(D104,1)="1")&lt;&gt;(AK104="Guided Self-Serve Migration"))*1+(AND(AR104&lt;&gt;"",OR(F104&lt;&gt;"Low",U104="Mixed",AND(G104&lt;&gt;"Growing",G104&lt;&gt;"Stable"))))*1+ISNUMBER(SEARCH("chat",AP104))*1+ISNUMBER(SEARCH("video",AP104))*1+(AND(AA104,AL104="Automated",AM104&lt;&gt;"HOLD — Critical Data Issue"))*1</f>
        <v>0</v>
      </c>
    </row>
    <row r="105" customFormat="false" ht="15" hidden="false" customHeight="false" outlineLevel="0" collapsed="false">
      <c r="A105" s="2" t="s">
        <v>556</v>
      </c>
      <c r="B105" s="2" t="str">
        <f aca="false">INDEX(Segmentation!$B$2:$B$301,MATCH($A105,Segmentation!$A$2:$A$301,0))</f>
        <v>Account Managed</v>
      </c>
      <c r="C105" s="2" t="str">
        <f aca="false">INDEX(Segmentation!$H$2:$H$301,MATCH($A105,Segmentation!$A$2:$A$301,0))</f>
        <v>Broker-Reliant</v>
      </c>
      <c r="D105" s="2" t="str">
        <f aca="false">INDEX(Segmentation!$T$2:$T$301,MATCH($A105,Segmentation!$A$2:$A$301,0))</f>
        <v>5. Cost-to-Serve / Low-Touch</v>
      </c>
      <c r="E105" s="2" t="str">
        <f aca="false">INDEX(Segmentation!$J$2:$J$301,MATCH($A105,Segmentation!$A$2:$A$301,0))</f>
        <v>Tail</v>
      </c>
      <c r="F105" s="2" t="str">
        <f aca="false">INDEX(Segmentation!$G$2:$G$301,MATCH($A105,Segmentation!$A$2:$A$301,0))</f>
        <v>Medium</v>
      </c>
      <c r="G105" s="2" t="str">
        <f aca="false">INDEX(Segmentation!$N$2:$N$301,MATCH($A105,Segmentation!$A$2:$A$301,0))</f>
        <v>Stable</v>
      </c>
      <c r="H105" s="9" t="n">
        <f aca="false">INDEX(Segmentation!$I$2:$I$301,MATCH($A105,Segmentation!$A$2:$A$301,0))</f>
        <v>718</v>
      </c>
      <c r="I105" s="2" t="n">
        <f aca="false">INDEX(Segmentation!$O$2:$O$301,MATCH($A105,Segmentation!$A$2:$A$301,0))</f>
        <v>2</v>
      </c>
      <c r="J105" s="2" t="n">
        <f aca="false">INDEX(Segmentation!$Q$2:$Q$301,MATCH($A105,Segmentation!$A$2:$A$301,0))</f>
        <v>1</v>
      </c>
      <c r="K105" s="2" t="n">
        <f aca="false">INDEX(Segmentation!$W$2:$W$301,MATCH($A105,Segmentation!$A$2:$A$301,0))</f>
        <v>2</v>
      </c>
      <c r="L105" s="9" t="n">
        <f aca="false">INDEX('Commercial View'!$L$2:$L$301,MATCH($A105,'Commercial View'!$A$2:$A$301,0))</f>
        <v>0</v>
      </c>
      <c r="M105" s="9" t="n">
        <f aca="false">INDEX('Commercial View'!$M$2:$M$301,MATCH($A105,'Commercial View'!$A$2:$A$301,0))</f>
        <v>335</v>
      </c>
      <c r="N105" s="9" t="n">
        <f aca="false">INDEX('Commercial View'!$N$2:$N$301,MATCH($A105,'Commercial View'!$A$2:$A$301,0))</f>
        <v>0</v>
      </c>
      <c r="O105" s="9" t="n">
        <f aca="false">INDEX(Segmentation!$L$2:$L$301,MATCH($A105,Segmentation!$A$2:$A$301,0))</f>
        <v>335</v>
      </c>
      <c r="P105" s="2" t="str">
        <f aca="false">IF(OR(M105&gt;0,N105&gt;0),"Recently Active",IF(OR(I105&lt;=Assumptions!$B$48,K105&lt;=Assumptions!$B$49),"No Meaningful History","Recent Inactivity"))</f>
        <v>Recently Active</v>
      </c>
      <c r="Q105" s="2" t="str">
        <f aca="false">INDEX(Segmentation!$AF$2:$AF$301,MATCH($A105,Segmentation!$A$2:$A$301,0))</f>
        <v>Existing Customer</v>
      </c>
      <c r="R105" s="2" t="str">
        <f aca="false">INDEX(Segmentation!$AL$2:$AL$301,MATCH($A105,Segmentation!$A$2:$A$301,0))</f>
        <v>N/A</v>
      </c>
      <c r="S105" s="10" t="b">
        <f aca="false">INDEX(Segmentation!$AW$2:$AW$301,MATCH($A105,Segmentation!$A$2:$A$301,0))</f>
        <v>0</v>
      </c>
      <c r="T105" s="2" t="str">
        <f aca="false">INDEX('Feature Data'!$AD$2:$AD$301,MATCH($A105,'Feature Data'!$A$2:$A$301,0))</f>
        <v>Broker-led, product-blind</v>
      </c>
      <c r="U105" s="2" t="str">
        <f aca="false">INDEX('Feature Data'!$W$2:$W$301,MATCH($A105,'Feature Data'!$A$2:$A$301,0))</f>
        <v>Bundle-only</v>
      </c>
      <c r="V105" s="2" t="n">
        <f aca="false">INDEX('Feature Data'!$P$2:$P$301,MATCH($A105,'Feature Data'!$A$2:$A$301,0))</f>
        <v>12</v>
      </c>
      <c r="W105" s="2" t="n">
        <f aca="false">INDEX(Segmentation!$R$2:$R$301,MATCH($A105,Segmentation!$A$2:$A$301,0))</f>
        <v>3</v>
      </c>
      <c r="X105" s="2" t="n">
        <f aca="false">INDEX(Segmentation!$S$2:$S$301,MATCH($A105,Segmentation!$A$2:$A$301,0))</f>
        <v>2</v>
      </c>
      <c r="Y105" s="10" t="b">
        <f aca="false">INDEX(Segmentation!$AG$2:$AG$301,MATCH($A105,Segmentation!$A$2:$A$301,0))</f>
        <v>0</v>
      </c>
      <c r="Z105" s="2" t="str">
        <f aca="false">INDEX(Segmentation!$AU$2:$AU$301,MATCH($A105,Segmentation!$A$2:$A$301,0))</f>
        <v>Not Eligible</v>
      </c>
      <c r="AA105" s="10" t="b">
        <f aca="false">INDEX(Segmentation!$Z$2:$Z$301,MATCH($A105,Segmentation!$A$2:$A$301,0))</f>
        <v>0</v>
      </c>
      <c r="AB105" s="10" t="b">
        <f aca="false">INDEX(Segmentation!$AH$2:$AH$301,MATCH($A105,Segmentation!$A$2:$A$301,0))</f>
        <v>0</v>
      </c>
      <c r="AC105" s="10" t="b">
        <f aca="false">INDEX(Segmentation!$AK$2:$AK$301,MATCH($A105,Segmentation!$A$2:$A$301,0))</f>
        <v>0</v>
      </c>
      <c r="AD105" s="10" t="b">
        <f aca="false">INDEX(Segmentation!$AQ$2:$AQ$301,MATCH($A105,Segmentation!$A$2:$A$301,0))</f>
        <v>0</v>
      </c>
      <c r="AE105" s="10" t="b">
        <f aca="false">INDEX(Segmentation!$AT$2:$AT$301,MATCH($A105,Segmentation!$A$2:$A$301,0))</f>
        <v>0</v>
      </c>
      <c r="AF105" s="10" t="b">
        <f aca="false">INDEX(Segmentation!$X$2:$X$301,MATCH($A105,Segmentation!$A$2:$A$301,0))</f>
        <v>1</v>
      </c>
      <c r="AG105" s="10" t="b">
        <f aca="false">AND(F105="Low",V105&gt;=Assumptions!$B$71,X105&lt;Assumptions!$B$72)</f>
        <v>0</v>
      </c>
      <c r="AH105" s="10" t="b">
        <f aca="false">AND(F105="Low",OR(G105="Growing",G105="Stable"),P105="Recently Active",V105&gt;=Assumptions!$B$58,K105&gt;=Assumptions!$B$73)</f>
        <v>0</v>
      </c>
      <c r="AI105" s="17" t="n">
        <f aca="false">IF(O105&gt;0,MAX(L105:N105)/O105,"")</f>
        <v>1</v>
      </c>
      <c r="AJ105" s="2" t="str">
        <f aca="false">IF(LEFT(D105,1)="1",IF(E105="Key","MIGRATION_KEY_SIGNOFF",IF(Z105="Ready","MIGRATION_PHASE1_READY",IF(Z105="Manual Review","MIGRATION_PHASE1_REVIEW","MIGRATION_PRE_ENTRY"))),IF(LEFT(D105,1)="2","DECLINING_KEY_CORE",IF(LEFT(D105,1)="3",IF(R105="Established Buyer Lapsed","LAPSED_ESTABLISHED","LAPSED_THIN_HISTORY"),IF(LEFT(D105,1)="4",IF(Q105="New Customer","NEW_CUSTOMER","RETURNED_CUSTOMER"),IF(LEFT(D105,1)="5",IF(P105="Recently Active","COST_TO_SERVE_ACTIVE","DORMANT_LOW_VALUE"),IF(LEFT(D105,1)="6",IF(P105="Recent Inactivity","RECENT_INACTIVITY",IF(AG105,"BROWSING_LOW_OFFERS","HEALTHY_STRONG_SELF_SERVE")),IF(LEFT(D105,1)="7",IF(P105="Recent Inactivity","RECENT_INACTIVITY",IF(Q105="New Customer","NEW_CUSTOMER","RETURNED_CUSTOMER")),IF(LEFT(D105,1)="8",IF(G105="Declining",IF(T105="Engaged but shrinking (Key/Core)","ENGAGED_BUT_SHRINKING","DECLINING_KEY_CORE"),IF(R105="Established Buyer Lapsed","LAPSED_ESTABLISHED","LAPSED_THIN_HISTORY")),IF(S105,IF(P105&lt;&gt;"Recently Active","DORMANT_LOW_VALUE",IF(AG105,"BROWSING_LOW_OFFERS",IF(AH105,"RISING_TAIL","RISING_TAIL_EARLY"))),IF(AND(AG105,P105="Recently Active",OR(G105="Growing",G105="Stable",G105="H2 Active / No H1 GMV"),I105&gt;=Assumptions!$B$74),"BROWSING_LOW_OFFERS","LONG_TAIL_STANDARD"))))))))))</f>
        <v>COST_TO_SERVE_ACTIVE</v>
      </c>
      <c r="AK105" s="2" t="str">
        <f aca="false">INDEX('NBA Library'!$B$4:$B$21,MATCH(AJ105,'NBA Library'!$A$4:$A$21,0))</f>
        <v>Service Model Review</v>
      </c>
      <c r="AL105" s="2" t="str">
        <f aca="false">INDEX('NBA Library'!$C$4:$C$21,MATCH(AJ105,'NBA Library'!$A$4:$A$21,0))</f>
        <v>Human</v>
      </c>
      <c r="AM105" s="2" t="str">
        <f aca="false">IF(AA105,"HOLD — Critical Data Issue",IF(Y105,"Human Sign-Off Required",IF(Z105="Manual Review","Human Review Required",IF(AND(AL105="Automated",OR(AE105,AND(OR(AK105="Discovery-to-Offer Enablement",AK105="Reinforce Successful Behaviour"),OR(AC105,AB105)))),"Human Review Required",IF(AL105="Human","Ready — Human",IF(AL105="Hybrid","Ready — Hybrid","Ready — Automated"))))))</f>
        <v>Ready — Human</v>
      </c>
      <c r="AN105" s="2" t="str">
        <f aca="false">IF(AA105,"P0",IF(AND(AJ105="BROWSING_LOW_OFFERS",E105="Tail"),"P3",IF(AND(AM105="Human Review Required",INDEX('NBA Library'!$D$4:$D$21,MATCH(AJ105,'NBA Library'!$A$4:$A$21,0))="P4"),"P3",INDEX('NBA Library'!$D$4:$D$21,MATCH(AJ105,'NBA Library'!$A$4:$A$21,0)))))</f>
        <v>P3</v>
      </c>
      <c r="AO105" s="2" t="str">
        <f aca="false">E105&amp;" "&amp;C105&amp;" account ("&amp;B105&amp;"); "&amp;G105&amp;" momentum; "&amp;P105&amp;"; £"&amp;TEXT(H105,"#,##0")&amp;" 6m GMV. "&amp;INDEX('NBA Library'!$G$4:$G$21,MATCH(AJ105,'NBA Library'!$A$4:$A$21,0))&amp;IF(LEFT(D105,1)="1"," Baseline: "&amp;V105&amp;" PDP views, "&amp;W105&amp;" app days, "&amp;X105&amp;" offers, "&amp;TEXT(J105/I105,"0%")&amp;" of orders self-serve.","")&amp;IF(AA105," Execution on HOLD until the Duplicate status is resolved.","")&amp;IF(Y105," Key account: explicit AM/leadership sign-off required before any migration activity.","")&amp;IF(AE105," Implied broker % from order counts would move this account to a different segment; review before automating.","")</f>
        <v>Tail Broker-Reliant account (Account Managed); Stable momentum; Recently Active; £718 6m GMV. Broker-reliant but low value and still buying. Decide whether continued AM/broker effort is justified.</v>
      </c>
      <c r="AP105" s="2" t="str">
        <f aca="false">INDEX('NBA Library'!$E$4:$E$21,MATCH(AJ105,'NBA Library'!$A$4:$A$21,0))&amp;IF(AND(AJ105="NEW_CUSTOMER",AG105),"; introduce Make-an-Offer on items already browsed","")</f>
        <v>Internal decision: keep AM coverage, move to low-touch, or automate re-ordering</v>
      </c>
      <c r="AQ105" s="2" t="str">
        <f aca="false">INDEX('NBA Library'!$F$4:$F$21,MATCH(AJ105,'NBA Library'!$A$4:$A$21,0))</f>
        <v>Decision logged; broker effort reduced without GMV loss</v>
      </c>
      <c r="AR105" s="2" t="str">
        <f aca="false">IF(AND(F105="Low",OR(G105="Growing",G105="Stable"),P105="Recently Active",U105&lt;&gt;"Mixed",OR(AK105="Discovery-to-Offer Enablement",AK105="Reinforce Successful Behaviour"),AM105="Ready — Automated",OR(E105&lt;&gt;"Tail",S105)),"Range Expansion Test — trial "&amp;IF(U105="Bundle-only","handpick","bundles")&amp;" (experimental; not proven to lift GMV)","")</f>
        <v/>
      </c>
      <c r="AS105" s="2" t="str">
        <f aca="false">IF(AK105&lt;&gt;"Automated Nurture","",IF(AJ105="DORMANT_LOW_VALUE","Dormant",IF(AJ105="RISING_TAIL_EARLY","Rising tail – early pattern",IF(Q105="New Customer","New customer onboarding",IF(Q105="Returned Customer","Returned customer",IF(G105="Lapsed","Dormant",IF(T105="Engaged, not converting","Engaged, not converting",IF(T105="One-off low-touch buyer","One-off purchaser",IF(T105="Light-touch repeat buyer","Light-touch repeat buyer","Standard long tail")))))))))</f>
        <v/>
      </c>
      <c r="AT105" s="2" t="str">
        <f aca="false">IF(AA105,"CRITICAL_DATA_BLOCKER; ","")&amp;IF(Y105,"KEY_SIGNOFF; ","")&amp;IF(Z105="Manual Review","PHASE1_MANUAL_REVIEW; ","")&amp;IF(AND(LEFT(D105,1)="1",AZ105="Lumpy"),"LUMPY_CADENCE; ","")&amp;IF(AB105,"BORDERLINE_MOMENTUM; ","")&amp;IF(AC105,"FEB_SENSITIVE; ","")&amp;IF(AD105,"MATERIAL_BROKER_INCONSISTENCY"&amp;IF(AE105," (segment would change)","")&amp;"; ","")&amp;IF(AND(I105&gt;=3,O105&gt;0),IF(AI105&gt;=Assumptions!$B$75,"H2_SINGLE_MONTH_SPIKE; ",""),"")&amp;IF(AND(M105&gt;0,N105=0),"NO_FEB_GMV (Feb unconfirmed); ","")&amp;IF(AF105,"LOW_CONFIDENCE; ","")</f>
        <v>NO_FEB_GMV (Feb unconfirmed); LOW_CONFIDENCE; </v>
      </c>
      <c r="AU105" s="2" t="str">
        <f aca="false">IF(LEFT(D105,1)="1",V105,"")</f>
        <v/>
      </c>
      <c r="AV105" s="2" t="str">
        <f aca="false">IF(LEFT(D105,1)="1",V105&gt;=Assumptions!$B$58,"")</f>
        <v/>
      </c>
      <c r="AW105" s="2" t="str">
        <f aca="false">IF(LEFT(D105,1)="1",W105,"")</f>
        <v/>
      </c>
      <c r="AX105" s="2" t="str">
        <f aca="false">IF(LEFT(D105,1)="1",X105,"")</f>
        <v/>
      </c>
      <c r="AY105" s="17" t="str">
        <f aca="false">IF(LEFT(D105,1)="1",J105/I105,"")</f>
        <v/>
      </c>
      <c r="AZ105" s="2" t="str">
        <f aca="false">IF(LEFT(D105,1)="1",IF(AND(K105&gt;=Assumptions!$B$83,I105&gt;=Assumptions!$B$84),"Regular","Lumpy"),"")</f>
        <v/>
      </c>
      <c r="BA105" s="2" t="str">
        <f aca="false">IF(LEFT(D105,1)="1",ROUND(6/K105,0),"")</f>
        <v/>
      </c>
      <c r="BB105" s="2" t="str">
        <f aca="false">IF(LEFT(D105,1)="1",IF(AZ105="Regular","Regular buyer: expected ~£"&amp;TEXT(H105/2,"#,##0")&amp;" per 90 days. At Risk if GMV to date &lt; "&amp;TEXT(Assumptions!$B$81,"0%")&amp;" of pro-rated expectation, checked from day "&amp;Assumptions!$B$82&amp;". Human-reviewed.","Irregular buyer ("&amp;I105&amp;" orders across "&amp;K105&amp;" months): no numeric GMV threshold. At Risk if no order within ~"&amp;BA105&amp;" month(s); AM reviews at day "&amp;Assumptions!$B$82&amp;" and "&amp;Assumptions!$B$85&amp;"."),"")</f>
        <v/>
      </c>
      <c r="BC105" s="2"/>
      <c r="BD105" s="2"/>
      <c r="BE105" s="2"/>
      <c r="BF105" s="2"/>
      <c r="BG105" s="2"/>
      <c r="BH105" s="2"/>
      <c r="BI105" s="2"/>
      <c r="BJ105" s="2" t="str">
        <f aca="false">IF(OR(NOT(LEFT(D105,1)="1"),BC105=""),"",IF(AZ105="Regular",AND(BC105&gt;=Assumptions!$B$82,N(BI105)&lt;Assumptions!$B$81*H105/180*BC105),AND(BC105&gt;=BA105*30,N(BG105)=0)))</f>
        <v/>
      </c>
      <c r="BK105" s="2" t="str">
        <f aca="false">IF(NOT(LEFT(D105,1)="1"),"N/A",IF(BC105="","Baseline",IF(BJ105,"At Risk",IF(AND(N(BD105)&gt;=Assumptions!$B$78,N(BE105)&gt;=Assumptions!$B$79,N(BH105)&gt;=1,N(BH105)/MAX(N(BG105),1)&gt;AY105),"Self-Serve Capability Demonstrated",IF(OR(N(BD105)&gt;=Assumptions!$B$76,N(BE105)&gt;=Assumptions!$B$77),"Progressing",IF(BC105&gt;=Assumptions!$B$85,"At Risk","Baseline"))))))</f>
        <v>N/A</v>
      </c>
      <c r="BL105" s="2" t="n">
        <f aca="false">(AND(C105="Broker-Reliant",OR(AK105="Discovery-to-Offer Enablement",AK105="Reinforce Successful Behaviour")))*1+(AND(G105="Declining",E105&lt;&gt;"Tail",AL105="Automated"))*1+(AND(Y105,AM105&lt;&gt;"Human Sign-Off Required"))*1+(AND(AA105,AM105&lt;&gt;"HOLD — Critical Data Issue"))*1+(AND(P105="Recent Inactivity",OR(AK105="Discovery-to-Offer Enablement",AK105="Reinforce Successful Behaviour")))*1+(AND(OR(LEFT(D105,1)="2",LEFT(D105,1)="3",LEFT(D105,1)="8"),AL105="Automated"))*1+((LEFT(D105,1)="1")&lt;&gt;(AK105="Guided Self-Serve Migration"))*1+(AND(AR105&lt;&gt;"",OR(F105&lt;&gt;"Low",U105="Mixed",AND(G105&lt;&gt;"Growing",G105&lt;&gt;"Stable"))))*1+ISNUMBER(SEARCH("chat",AP105))*1+ISNUMBER(SEARCH("video",AP105))*1+(AND(AA105,AL105="Automated",AM105&lt;&gt;"HOLD — Critical Data Issue"))*1</f>
        <v>0</v>
      </c>
    </row>
    <row r="106" customFormat="false" ht="15" hidden="false" customHeight="false" outlineLevel="0" collapsed="false">
      <c r="A106" s="2" t="s">
        <v>651</v>
      </c>
      <c r="B106" s="2" t="str">
        <f aca="false">INDEX(Segmentation!$B$2:$B$301,MATCH($A106,Segmentation!$A$2:$A$301,0))</f>
        <v>Account Managed</v>
      </c>
      <c r="C106" s="2" t="str">
        <f aca="false">INDEX(Segmentation!$H$2:$H$301,MATCH($A106,Segmentation!$A$2:$A$301,0))</f>
        <v>Broker-Reliant</v>
      </c>
      <c r="D106" s="2" t="str">
        <f aca="false">INDEX(Segmentation!$T$2:$T$301,MATCH($A106,Segmentation!$A$2:$A$301,0))</f>
        <v>5. Cost-to-Serve / Low-Touch</v>
      </c>
      <c r="E106" s="2" t="str">
        <f aca="false">INDEX(Segmentation!$J$2:$J$301,MATCH($A106,Segmentation!$A$2:$A$301,0))</f>
        <v>Tail</v>
      </c>
      <c r="F106" s="2" t="str">
        <f aca="false">INDEX(Segmentation!$G$2:$G$301,MATCH($A106,Segmentation!$A$2:$A$301,0))</f>
        <v>High</v>
      </c>
      <c r="G106" s="2" t="str">
        <f aca="false">INDEX(Segmentation!$N$2:$N$301,MATCH($A106,Segmentation!$A$2:$A$301,0))</f>
        <v>Lapsed</v>
      </c>
      <c r="H106" s="9" t="n">
        <f aca="false">INDEX(Segmentation!$I$2:$I$301,MATCH($A106,Segmentation!$A$2:$A$301,0))</f>
        <v>710</v>
      </c>
      <c r="I106" s="2" t="n">
        <f aca="false">INDEX(Segmentation!$O$2:$O$301,MATCH($A106,Segmentation!$A$2:$A$301,0))</f>
        <v>1</v>
      </c>
      <c r="J106" s="2" t="n">
        <f aca="false">INDEX(Segmentation!$Q$2:$Q$301,MATCH($A106,Segmentation!$A$2:$A$301,0))</f>
        <v>0</v>
      </c>
      <c r="K106" s="2" t="n">
        <f aca="false">INDEX(Segmentation!$W$2:$W$301,MATCH($A106,Segmentation!$A$2:$A$301,0))</f>
        <v>1</v>
      </c>
      <c r="L106" s="9" t="n">
        <f aca="false">INDEX('Commercial View'!$L$2:$L$301,MATCH($A106,'Commercial View'!$A$2:$A$301,0))</f>
        <v>0</v>
      </c>
      <c r="M106" s="9" t="n">
        <f aca="false">INDEX('Commercial View'!$M$2:$M$301,MATCH($A106,'Commercial View'!$A$2:$A$301,0))</f>
        <v>0</v>
      </c>
      <c r="N106" s="9" t="n">
        <f aca="false">INDEX('Commercial View'!$N$2:$N$301,MATCH($A106,'Commercial View'!$A$2:$A$301,0))</f>
        <v>0</v>
      </c>
      <c r="O106" s="9" t="n">
        <f aca="false">INDEX(Segmentation!$L$2:$L$301,MATCH($A106,Segmentation!$A$2:$A$301,0))</f>
        <v>0</v>
      </c>
      <c r="P106" s="2" t="str">
        <f aca="false">IF(OR(M106&gt;0,N106&gt;0),"Recently Active",IF(OR(I106&lt;=Assumptions!$B$48,K106&lt;=Assumptions!$B$49),"No Meaningful History","Recent Inactivity"))</f>
        <v>No Meaningful History</v>
      </c>
      <c r="Q106" s="2" t="str">
        <f aca="false">INDEX(Segmentation!$AF$2:$AF$301,MATCH($A106,Segmentation!$A$2:$A$301,0))</f>
        <v>Existing Customer</v>
      </c>
      <c r="R106" s="2" t="str">
        <f aca="false">INDEX(Segmentation!$AL$2:$AL$301,MATCH($A106,Segmentation!$A$2:$A$301,0))</f>
        <v>One-Off / Insufficient History — Verify</v>
      </c>
      <c r="S106" s="10" t="b">
        <f aca="false">INDEX(Segmentation!$AW$2:$AW$301,MATCH($A106,Segmentation!$A$2:$A$301,0))</f>
        <v>0</v>
      </c>
      <c r="T106" s="2" t="str">
        <f aca="false">INDEX('Feature Data'!$AD$2:$AD$301,MATCH($A106,'Feature Data'!$A$2:$A$301,0))</f>
        <v>Broker-led, product-blind</v>
      </c>
      <c r="U106" s="2" t="str">
        <f aca="false">INDEX('Feature Data'!$W$2:$W$301,MATCH($A106,'Feature Data'!$A$2:$A$301,0))</f>
        <v>Bundle-only</v>
      </c>
      <c r="V106" s="2" t="n">
        <f aca="false">INDEX('Feature Data'!$P$2:$P$301,MATCH($A106,'Feature Data'!$A$2:$A$301,0))</f>
        <v>5</v>
      </c>
      <c r="W106" s="2" t="n">
        <f aca="false">INDEX(Segmentation!$R$2:$R$301,MATCH($A106,Segmentation!$A$2:$A$301,0))</f>
        <v>4</v>
      </c>
      <c r="X106" s="2" t="n">
        <f aca="false">INDEX(Segmentation!$S$2:$S$301,MATCH($A106,Segmentation!$A$2:$A$301,0))</f>
        <v>1</v>
      </c>
      <c r="Y106" s="10" t="b">
        <f aca="false">INDEX(Segmentation!$AG$2:$AG$301,MATCH($A106,Segmentation!$A$2:$A$301,0))</f>
        <v>0</v>
      </c>
      <c r="Z106" s="2" t="str">
        <f aca="false">INDEX(Segmentation!$AU$2:$AU$301,MATCH($A106,Segmentation!$A$2:$A$301,0))</f>
        <v>Not Eligible</v>
      </c>
      <c r="AA106" s="10" t="b">
        <f aca="false">INDEX(Segmentation!$Z$2:$Z$301,MATCH($A106,Segmentation!$A$2:$A$301,0))</f>
        <v>0</v>
      </c>
      <c r="AB106" s="10" t="b">
        <f aca="false">INDEX(Segmentation!$AH$2:$AH$301,MATCH($A106,Segmentation!$A$2:$A$301,0))</f>
        <v>0</v>
      </c>
      <c r="AC106" s="10" t="b">
        <f aca="false">INDEX(Segmentation!$AK$2:$AK$301,MATCH($A106,Segmentation!$A$2:$A$301,0))</f>
        <v>0</v>
      </c>
      <c r="AD106" s="10" t="b">
        <f aca="false">INDEX(Segmentation!$AQ$2:$AQ$301,MATCH($A106,Segmentation!$A$2:$A$301,0))</f>
        <v>0</v>
      </c>
      <c r="AE106" s="10" t="b">
        <f aca="false">INDEX(Segmentation!$AT$2:$AT$301,MATCH($A106,Segmentation!$A$2:$A$301,0))</f>
        <v>0</v>
      </c>
      <c r="AF106" s="10" t="b">
        <f aca="false">INDEX(Segmentation!$X$2:$X$301,MATCH($A106,Segmentation!$A$2:$A$301,0))</f>
        <v>1</v>
      </c>
      <c r="AG106" s="10" t="b">
        <f aca="false">AND(F106="Low",V106&gt;=Assumptions!$B$71,X106&lt;Assumptions!$B$72)</f>
        <v>0</v>
      </c>
      <c r="AH106" s="10" t="b">
        <f aca="false">AND(F106="Low",OR(G106="Growing",G106="Stable"),P106="Recently Active",V106&gt;=Assumptions!$B$58,K106&gt;=Assumptions!$B$73)</f>
        <v>0</v>
      </c>
      <c r="AI106" s="17" t="str">
        <f aca="false">IF(O106&gt;0,MAX(L106:N106)/O106,"")</f>
        <v/>
      </c>
      <c r="AJ106" s="2" t="str">
        <f aca="false">IF(LEFT(D106,1)="1",IF(E106="Key","MIGRATION_KEY_SIGNOFF",IF(Z106="Ready","MIGRATION_PHASE1_READY",IF(Z106="Manual Review","MIGRATION_PHASE1_REVIEW","MIGRATION_PRE_ENTRY"))),IF(LEFT(D106,1)="2","DECLINING_KEY_CORE",IF(LEFT(D106,1)="3",IF(R106="Established Buyer Lapsed","LAPSED_ESTABLISHED","LAPSED_THIN_HISTORY"),IF(LEFT(D106,1)="4",IF(Q106="New Customer","NEW_CUSTOMER","RETURNED_CUSTOMER"),IF(LEFT(D106,1)="5",IF(P106="Recently Active","COST_TO_SERVE_ACTIVE","DORMANT_LOW_VALUE"),IF(LEFT(D106,1)="6",IF(P106="Recent Inactivity","RECENT_INACTIVITY",IF(AG106,"BROWSING_LOW_OFFERS","HEALTHY_STRONG_SELF_SERVE")),IF(LEFT(D106,1)="7",IF(P106="Recent Inactivity","RECENT_INACTIVITY",IF(Q106="New Customer","NEW_CUSTOMER","RETURNED_CUSTOMER")),IF(LEFT(D106,1)="8",IF(G106="Declining",IF(T106="Engaged but shrinking (Key/Core)","ENGAGED_BUT_SHRINKING","DECLINING_KEY_CORE"),IF(R106="Established Buyer Lapsed","LAPSED_ESTABLISHED","LAPSED_THIN_HISTORY")),IF(S106,IF(P106&lt;&gt;"Recently Active","DORMANT_LOW_VALUE",IF(AG106,"BROWSING_LOW_OFFERS",IF(AH106,"RISING_TAIL","RISING_TAIL_EARLY"))),IF(AND(AG106,P106="Recently Active",OR(G106="Growing",G106="Stable",G106="H2 Active / No H1 GMV"),I106&gt;=Assumptions!$B$74),"BROWSING_LOW_OFFERS","LONG_TAIL_STANDARD"))))))))))</f>
        <v>DORMANT_LOW_VALUE</v>
      </c>
      <c r="AK106" s="2" t="str">
        <f aca="false">INDEX('NBA Library'!$B$4:$B$21,MATCH(AJ106,'NBA Library'!$A$4:$A$21,0))</f>
        <v>Automated Nurture</v>
      </c>
      <c r="AL106" s="2" t="str">
        <f aca="false">INDEX('NBA Library'!$C$4:$C$21,MATCH(AJ106,'NBA Library'!$A$4:$A$21,0))</f>
        <v>Automated</v>
      </c>
      <c r="AM106" s="2" t="str">
        <f aca="false">IF(AA106,"HOLD — Critical Data Issue",IF(Y106,"Human Sign-Off Required",IF(Z106="Manual Review","Human Review Required",IF(AND(AL106="Automated",OR(AE106,AND(OR(AK106="Discovery-to-Offer Enablement",AK106="Reinforce Successful Behaviour"),OR(AC106,AB106)))),"Human Review Required",IF(AL106="Human","Ready — Human",IF(AL106="Hybrid","Ready — Hybrid","Ready — Automated"))))))</f>
        <v>Ready — Automated</v>
      </c>
      <c r="AN106" s="2" t="str">
        <f aca="false">IF(AA106,"P0",IF(AND(AJ106="BROWSING_LOW_OFFERS",E106="Tail"),"P3",IF(AND(AM106="Human Review Required",INDEX('NBA Library'!$D$4:$D$21,MATCH(AJ106,'NBA Library'!$A$4:$A$21,0))="P4"),"P3",INDEX('NBA Library'!$D$4:$D$21,MATCH(AJ106,'NBA Library'!$A$4:$A$21,0)))))</f>
        <v>P4</v>
      </c>
      <c r="AO106" s="2" t="str">
        <f aca="false">E106&amp;" "&amp;C106&amp;" account ("&amp;B106&amp;"); "&amp;G106&amp;" momentum; "&amp;P106&amp;"; £"&amp;TEXT(H106,"#,##0")&amp;" 6m GMV. "&amp;INDEX('NBA Library'!$G$4:$G$21,MATCH(AJ106,'NBA Library'!$A$4:$A$21,0))&amp;IF(LEFT(D106,1)="1"," Baseline: "&amp;V106&amp;" PDP views, "&amp;W106&amp;" app days, "&amp;X106&amp;" offers, "&amp;TEXT(J106/I106,"0%")&amp;" of orders self-serve.","")&amp;IF(AA106," Execution on HOLD until the Duplicate status is resolved.","")&amp;IF(Y106," Key account: explicit AM/leadership sign-off required before any migration activity.","")&amp;IF(AE106," Implied broker % from order counts would move this account to a different segment; review before automating.","")</f>
        <v>Tail Broker-Reliant account (Account Managed); Lapsed momentum; No Meaningful History; £710 6m GMV. Low-value account with no recent GMV. Avoid human time.</v>
      </c>
      <c r="AP106" s="2" t="str">
        <f aca="false">INDEX('NBA Library'!$E$4:$E$21,MATCH(AJ106,'NBA Library'!$A$4:$A$21,0))&amp;IF(AND(AJ106="NEW_CUSTOMER",AG106),"; introduce Make-an-Offer on items already browsed","")</f>
        <v>Automated reactivation only; no human time</v>
      </c>
      <c r="AQ106" s="2" t="str">
        <f aca="false">INDEX('NBA Library'!$F$4:$F$21,MATCH(AJ106,'NBA Library'!$A$4:$A$21,0))</f>
        <v>Any order within 90 days</v>
      </c>
      <c r="AR106" s="2" t="str">
        <f aca="false">IF(AND(F106="Low",OR(G106="Growing",G106="Stable"),P106="Recently Active",U106&lt;&gt;"Mixed",OR(AK106="Discovery-to-Offer Enablement",AK106="Reinforce Successful Behaviour"),AM106="Ready — Automated",OR(E106&lt;&gt;"Tail",S106)),"Range Expansion Test — trial "&amp;IF(U106="Bundle-only","handpick","bundles")&amp;" (experimental; not proven to lift GMV)","")</f>
        <v/>
      </c>
      <c r="AS106" s="2" t="str">
        <f aca="false">IF(AK106&lt;&gt;"Automated Nurture","",IF(AJ106="DORMANT_LOW_VALUE","Dormant",IF(AJ106="RISING_TAIL_EARLY","Rising tail – early pattern",IF(Q106="New Customer","New customer onboarding",IF(Q106="Returned Customer","Returned customer",IF(G106="Lapsed","Dormant",IF(T106="Engaged, not converting","Engaged, not converting",IF(T106="One-off low-touch buyer","One-off purchaser",IF(T106="Light-touch repeat buyer","Light-touch repeat buyer","Standard long tail")))))))))</f>
        <v>Dormant</v>
      </c>
      <c r="AT106" s="2" t="str">
        <f aca="false">IF(AA106,"CRITICAL_DATA_BLOCKER; ","")&amp;IF(Y106,"KEY_SIGNOFF; ","")&amp;IF(Z106="Manual Review","PHASE1_MANUAL_REVIEW; ","")&amp;IF(AND(LEFT(D106,1)="1",AZ106="Lumpy"),"LUMPY_CADENCE; ","")&amp;IF(AB106,"BORDERLINE_MOMENTUM; ","")&amp;IF(AC106,"FEB_SENSITIVE; ","")&amp;IF(AD106,"MATERIAL_BROKER_INCONSISTENCY"&amp;IF(AE106," (segment would change)","")&amp;"; ","")&amp;IF(AND(I106&gt;=3,O106&gt;0),IF(AI106&gt;=Assumptions!$B$75,"H2_SINGLE_MONTH_SPIKE; ",""),"")&amp;IF(AND(M106&gt;0,N106=0),"NO_FEB_GMV (Feb unconfirmed); ","")&amp;IF(AF106,"LOW_CONFIDENCE; ","")</f>
        <v>LOW_CONFIDENCE; </v>
      </c>
      <c r="AU106" s="2" t="str">
        <f aca="false">IF(LEFT(D106,1)="1",V106,"")</f>
        <v/>
      </c>
      <c r="AV106" s="2" t="str">
        <f aca="false">IF(LEFT(D106,1)="1",V106&gt;=Assumptions!$B$58,"")</f>
        <v/>
      </c>
      <c r="AW106" s="2" t="str">
        <f aca="false">IF(LEFT(D106,1)="1",W106,"")</f>
        <v/>
      </c>
      <c r="AX106" s="2" t="str">
        <f aca="false">IF(LEFT(D106,1)="1",X106,"")</f>
        <v/>
      </c>
      <c r="AY106" s="17" t="str">
        <f aca="false">IF(LEFT(D106,1)="1",J106/I106,"")</f>
        <v/>
      </c>
      <c r="AZ106" s="2" t="str">
        <f aca="false">IF(LEFT(D106,1)="1",IF(AND(K106&gt;=Assumptions!$B$83,I106&gt;=Assumptions!$B$84),"Regular","Lumpy"),"")</f>
        <v/>
      </c>
      <c r="BA106" s="2" t="str">
        <f aca="false">IF(LEFT(D106,1)="1",ROUND(6/K106,0),"")</f>
        <v/>
      </c>
      <c r="BB106" s="2" t="str">
        <f aca="false">IF(LEFT(D106,1)="1",IF(AZ106="Regular","Regular buyer: expected ~£"&amp;TEXT(H106/2,"#,##0")&amp;" per 90 days. At Risk if GMV to date &lt; "&amp;TEXT(Assumptions!$B$81,"0%")&amp;" of pro-rated expectation, checked from day "&amp;Assumptions!$B$82&amp;". Human-reviewed.","Irregular buyer ("&amp;I106&amp;" orders across "&amp;K106&amp;" months): no numeric GMV threshold. At Risk if no order within ~"&amp;BA106&amp;" month(s); AM reviews at day "&amp;Assumptions!$B$82&amp;" and "&amp;Assumptions!$B$85&amp;"."),"")</f>
        <v/>
      </c>
      <c r="BC106" s="2"/>
      <c r="BD106" s="2"/>
      <c r="BE106" s="2"/>
      <c r="BF106" s="2"/>
      <c r="BG106" s="2"/>
      <c r="BH106" s="2"/>
      <c r="BI106" s="2"/>
      <c r="BJ106" s="2" t="str">
        <f aca="false">IF(OR(NOT(LEFT(D106,1)="1"),BC106=""),"",IF(AZ106="Regular",AND(BC106&gt;=Assumptions!$B$82,N(BI106)&lt;Assumptions!$B$81*H106/180*BC106),AND(BC106&gt;=BA106*30,N(BG106)=0)))</f>
        <v/>
      </c>
      <c r="BK106" s="2" t="str">
        <f aca="false">IF(NOT(LEFT(D106,1)="1"),"N/A",IF(BC106="","Baseline",IF(BJ106,"At Risk",IF(AND(N(BD106)&gt;=Assumptions!$B$78,N(BE106)&gt;=Assumptions!$B$79,N(BH106)&gt;=1,N(BH106)/MAX(N(BG106),1)&gt;AY106),"Self-Serve Capability Demonstrated",IF(OR(N(BD106)&gt;=Assumptions!$B$76,N(BE106)&gt;=Assumptions!$B$77),"Progressing",IF(BC106&gt;=Assumptions!$B$85,"At Risk","Baseline"))))))</f>
        <v>N/A</v>
      </c>
      <c r="BL106" s="2" t="n">
        <f aca="false">(AND(C106="Broker-Reliant",OR(AK106="Discovery-to-Offer Enablement",AK106="Reinforce Successful Behaviour")))*1+(AND(G106="Declining",E106&lt;&gt;"Tail",AL106="Automated"))*1+(AND(Y106,AM106&lt;&gt;"Human Sign-Off Required"))*1+(AND(AA106,AM106&lt;&gt;"HOLD — Critical Data Issue"))*1+(AND(P106="Recent Inactivity",OR(AK106="Discovery-to-Offer Enablement",AK106="Reinforce Successful Behaviour")))*1+(AND(OR(LEFT(D106,1)="2",LEFT(D106,1)="3",LEFT(D106,1)="8"),AL106="Automated"))*1+((LEFT(D106,1)="1")&lt;&gt;(AK106="Guided Self-Serve Migration"))*1+(AND(AR106&lt;&gt;"",OR(F106&lt;&gt;"Low",U106="Mixed",AND(G106&lt;&gt;"Growing",G106&lt;&gt;"Stable"))))*1+ISNUMBER(SEARCH("chat",AP106))*1+ISNUMBER(SEARCH("video",AP106))*1+(AND(AA106,AL106="Automated",AM106&lt;&gt;"HOLD — Critical Data Issue"))*1</f>
        <v>0</v>
      </c>
    </row>
    <row r="107" customFormat="false" ht="15" hidden="false" customHeight="false" outlineLevel="0" collapsed="false">
      <c r="A107" s="2" t="s">
        <v>653</v>
      </c>
      <c r="B107" s="2" t="str">
        <f aca="false">INDEX(Segmentation!$B$2:$B$301,MATCH($A107,Segmentation!$A$2:$A$301,0))</f>
        <v>Account Managed</v>
      </c>
      <c r="C107" s="2" t="str">
        <f aca="false">INDEX(Segmentation!$H$2:$H$301,MATCH($A107,Segmentation!$A$2:$A$301,0))</f>
        <v>AM-Owned / Self-Serving</v>
      </c>
      <c r="D107" s="2" t="str">
        <f aca="false">INDEX(Segmentation!$T$2:$T$301,MATCH($A107,Segmentation!$A$2:$A$301,0))</f>
        <v>9. Long-Tail Automated Nurture</v>
      </c>
      <c r="E107" s="2" t="str">
        <f aca="false">INDEX(Segmentation!$J$2:$J$301,MATCH($A107,Segmentation!$A$2:$A$301,0))</f>
        <v>Tail</v>
      </c>
      <c r="F107" s="2" t="str">
        <f aca="false">INDEX(Segmentation!$G$2:$G$301,MATCH($A107,Segmentation!$A$2:$A$301,0))</f>
        <v>Low</v>
      </c>
      <c r="G107" s="2" t="str">
        <f aca="false">INDEX(Segmentation!$N$2:$N$301,MATCH($A107,Segmentation!$A$2:$A$301,0))</f>
        <v>H2 Active / No H1 GMV</v>
      </c>
      <c r="H107" s="9" t="n">
        <f aca="false">INDEX(Segmentation!$I$2:$I$301,MATCH($A107,Segmentation!$A$2:$A$301,0))</f>
        <v>680</v>
      </c>
      <c r="I107" s="2" t="n">
        <f aca="false">INDEX(Segmentation!$O$2:$O$301,MATCH($A107,Segmentation!$A$2:$A$301,0))</f>
        <v>1</v>
      </c>
      <c r="J107" s="2" t="n">
        <f aca="false">INDEX(Segmentation!$Q$2:$Q$301,MATCH($A107,Segmentation!$A$2:$A$301,0))</f>
        <v>1</v>
      </c>
      <c r="K107" s="2" t="n">
        <f aca="false">INDEX(Segmentation!$W$2:$W$301,MATCH($A107,Segmentation!$A$2:$A$301,0))</f>
        <v>1</v>
      </c>
      <c r="L107" s="9" t="n">
        <f aca="false">INDEX('Commercial View'!$L$2:$L$301,MATCH($A107,'Commercial View'!$A$2:$A$301,0))</f>
        <v>0</v>
      </c>
      <c r="M107" s="9" t="n">
        <f aca="false">INDEX('Commercial View'!$M$2:$M$301,MATCH($A107,'Commercial View'!$A$2:$A$301,0))</f>
        <v>680</v>
      </c>
      <c r="N107" s="9" t="n">
        <f aca="false">INDEX('Commercial View'!$N$2:$N$301,MATCH($A107,'Commercial View'!$A$2:$A$301,0))</f>
        <v>0</v>
      </c>
      <c r="O107" s="9" t="n">
        <f aca="false">INDEX(Segmentation!$L$2:$L$301,MATCH($A107,Segmentation!$A$2:$A$301,0))</f>
        <v>680</v>
      </c>
      <c r="P107" s="2" t="str">
        <f aca="false">IF(OR(M107&gt;0,N107&gt;0),"Recently Active",IF(OR(I107&lt;=Assumptions!$B$48,K107&lt;=Assumptions!$B$49),"No Meaningful History","Recent Inactivity"))</f>
        <v>Recently Active</v>
      </c>
      <c r="Q107" s="2" t="str">
        <f aca="false">INDEX(Segmentation!$AF$2:$AF$301,MATCH($A107,Segmentation!$A$2:$A$301,0))</f>
        <v>Returned Customer</v>
      </c>
      <c r="R107" s="2" t="str">
        <f aca="false">INDEX(Segmentation!$AL$2:$AL$301,MATCH($A107,Segmentation!$A$2:$A$301,0))</f>
        <v>N/A</v>
      </c>
      <c r="S107" s="10" t="b">
        <f aca="false">INDEX(Segmentation!$AW$2:$AW$301,MATCH($A107,Segmentation!$A$2:$A$301,0))</f>
        <v>0</v>
      </c>
      <c r="T107" s="2" t="str">
        <f aca="false">INDEX('Feature Data'!$AD$2:$AD$301,MATCH($A107,'Feature Data'!$A$2:$A$301,0))</f>
        <v>Engaged, not converting</v>
      </c>
      <c r="U107" s="2" t="str">
        <f aca="false">INDEX('Feature Data'!$W$2:$W$301,MATCH($A107,'Feature Data'!$A$2:$A$301,0))</f>
        <v>Handpick-only</v>
      </c>
      <c r="V107" s="2" t="n">
        <f aca="false">INDEX('Feature Data'!$P$2:$P$301,MATCH($A107,'Feature Data'!$A$2:$A$301,0))</f>
        <v>119</v>
      </c>
      <c r="W107" s="2" t="n">
        <f aca="false">INDEX(Segmentation!$R$2:$R$301,MATCH($A107,Segmentation!$A$2:$A$301,0))</f>
        <v>28</v>
      </c>
      <c r="X107" s="2" t="n">
        <f aca="false">INDEX(Segmentation!$S$2:$S$301,MATCH($A107,Segmentation!$A$2:$A$301,0))</f>
        <v>3</v>
      </c>
      <c r="Y107" s="10" t="b">
        <f aca="false">INDEX(Segmentation!$AG$2:$AG$301,MATCH($A107,Segmentation!$A$2:$A$301,0))</f>
        <v>0</v>
      </c>
      <c r="Z107" s="2" t="str">
        <f aca="false">INDEX(Segmentation!$AU$2:$AU$301,MATCH($A107,Segmentation!$A$2:$A$301,0))</f>
        <v>Not Eligible</v>
      </c>
      <c r="AA107" s="10" t="b">
        <f aca="false">INDEX(Segmentation!$Z$2:$Z$301,MATCH($A107,Segmentation!$A$2:$A$301,0))</f>
        <v>0</v>
      </c>
      <c r="AB107" s="10" t="b">
        <f aca="false">INDEX(Segmentation!$AH$2:$AH$301,MATCH($A107,Segmentation!$A$2:$A$301,0))</f>
        <v>0</v>
      </c>
      <c r="AC107" s="10" t="b">
        <f aca="false">INDEX(Segmentation!$AK$2:$AK$301,MATCH($A107,Segmentation!$A$2:$A$301,0))</f>
        <v>0</v>
      </c>
      <c r="AD107" s="10" t="b">
        <f aca="false">INDEX(Segmentation!$AQ$2:$AQ$301,MATCH($A107,Segmentation!$A$2:$A$301,0))</f>
        <v>0</v>
      </c>
      <c r="AE107" s="10" t="b">
        <f aca="false">INDEX(Segmentation!$AT$2:$AT$301,MATCH($A107,Segmentation!$A$2:$A$301,0))</f>
        <v>0</v>
      </c>
      <c r="AF107" s="10" t="b">
        <f aca="false">INDEX(Segmentation!$X$2:$X$301,MATCH($A107,Segmentation!$A$2:$A$301,0))</f>
        <v>1</v>
      </c>
      <c r="AG107" s="10" t="b">
        <f aca="false">AND(F107="Low",V107&gt;=Assumptions!$B$71,X107&lt;Assumptions!$B$72)</f>
        <v>0</v>
      </c>
      <c r="AH107" s="10" t="b">
        <f aca="false">AND(F107="Low",OR(G107="Growing",G107="Stable"),P107="Recently Active",V107&gt;=Assumptions!$B$58,K107&gt;=Assumptions!$B$73)</f>
        <v>0</v>
      </c>
      <c r="AI107" s="17" t="n">
        <f aca="false">IF(O107&gt;0,MAX(L107:N107)/O107,"")</f>
        <v>1</v>
      </c>
      <c r="AJ107" s="2" t="str">
        <f aca="false">IF(LEFT(D107,1)="1",IF(E107="Key","MIGRATION_KEY_SIGNOFF",IF(Z107="Ready","MIGRATION_PHASE1_READY",IF(Z107="Manual Review","MIGRATION_PHASE1_REVIEW","MIGRATION_PRE_ENTRY"))),IF(LEFT(D107,1)="2","DECLINING_KEY_CORE",IF(LEFT(D107,1)="3",IF(R107="Established Buyer Lapsed","LAPSED_ESTABLISHED","LAPSED_THIN_HISTORY"),IF(LEFT(D107,1)="4",IF(Q107="New Customer","NEW_CUSTOMER","RETURNED_CUSTOMER"),IF(LEFT(D107,1)="5",IF(P107="Recently Active","COST_TO_SERVE_ACTIVE","DORMANT_LOW_VALUE"),IF(LEFT(D107,1)="6",IF(P107="Recent Inactivity","RECENT_INACTIVITY",IF(AG107,"BROWSING_LOW_OFFERS","HEALTHY_STRONG_SELF_SERVE")),IF(LEFT(D107,1)="7",IF(P107="Recent Inactivity","RECENT_INACTIVITY",IF(Q107="New Customer","NEW_CUSTOMER","RETURNED_CUSTOMER")),IF(LEFT(D107,1)="8",IF(G107="Declining",IF(T107="Engaged but shrinking (Key/Core)","ENGAGED_BUT_SHRINKING","DECLINING_KEY_CORE"),IF(R107="Established Buyer Lapsed","LAPSED_ESTABLISHED","LAPSED_THIN_HISTORY")),IF(S107,IF(P107&lt;&gt;"Recently Active","DORMANT_LOW_VALUE",IF(AG107,"BROWSING_LOW_OFFERS",IF(AH107,"RISING_TAIL","RISING_TAIL_EARLY"))),IF(AND(AG107,P107="Recently Active",OR(G107="Growing",G107="Stable",G107="H2 Active / No H1 GMV"),I107&gt;=Assumptions!$B$74),"BROWSING_LOW_OFFERS","LONG_TAIL_STANDARD"))))))))))</f>
        <v>LONG_TAIL_STANDARD</v>
      </c>
      <c r="AK107" s="2" t="str">
        <f aca="false">INDEX('NBA Library'!$B$4:$B$21,MATCH(AJ107,'NBA Library'!$A$4:$A$21,0))</f>
        <v>Automated Nurture</v>
      </c>
      <c r="AL107" s="2" t="str">
        <f aca="false">INDEX('NBA Library'!$C$4:$C$21,MATCH(AJ107,'NBA Library'!$A$4:$A$21,0))</f>
        <v>Automated</v>
      </c>
      <c r="AM107" s="2" t="str">
        <f aca="false">IF(AA107,"HOLD — Critical Data Issue",IF(Y107,"Human Sign-Off Required",IF(Z107="Manual Review","Human Review Required",IF(AND(AL107="Automated",OR(AE107,AND(OR(AK107="Discovery-to-Offer Enablement",AK107="Reinforce Successful Behaviour"),OR(AC107,AB107)))),"Human Review Required",IF(AL107="Human","Ready — Human",IF(AL107="Hybrid","Ready — Hybrid","Ready — Automated"))))))</f>
        <v>Ready — Automated</v>
      </c>
      <c r="AN107" s="2" t="str">
        <f aca="false">IF(AA107,"P0",IF(AND(AJ107="BROWSING_LOW_OFFERS",E107="Tail"),"P3",IF(AND(AM107="Human Review Required",INDEX('NBA Library'!$D$4:$D$21,MATCH(AJ107,'NBA Library'!$A$4:$A$21,0))="P4"),"P3",INDEX('NBA Library'!$D$4:$D$21,MATCH(AJ107,'NBA Library'!$A$4:$A$21,0)))))</f>
        <v>P4</v>
      </c>
      <c r="AO107" s="2" t="str">
        <f aca="false">E107&amp;" "&amp;C107&amp;" account ("&amp;B107&amp;"); "&amp;G107&amp;" momentum; "&amp;P107&amp;"; £"&amp;TEXT(H107,"#,##0")&amp;" 6m GMV. "&amp;INDEX('NBA Library'!$G$4:$G$21,MATCH(AJ107,'NBA Library'!$A$4:$A$21,0))&amp;IF(LEFT(D107,1)="1"," Baseline: "&amp;V107&amp;" PDP views, "&amp;W107&amp;" app days, "&amp;X107&amp;" offers, "&amp;TEXT(J107/I107,"0%")&amp;" of orders self-serve.","")&amp;IF(AA107," Execution on HOLD until the Duplicate status is resolved.","")&amp;IF(Y107," Key account: explicit AM/leadership sign-off required before any migration activity.","")&amp;IF(AE107," Implied broker % from order counts would move this account to a different segment; review before automating.","")</f>
        <v>Tail AM-Owned / Self-Serving account (Account Managed); H2 Active / No H1 GMV momentum; Recently Active; £680 6m GMV. Low-value, low-dependency account. Scalable automated engagement.</v>
      </c>
      <c r="AP107" s="2" t="str">
        <f aca="false">INDEX('NBA Library'!$E$4:$E$21,MATCH(AJ107,'NBA Library'!$A$4:$A$21,0))&amp;IF(AND(AJ107="NEW_CUSTOMER",AG107),"; introduce Make-an-Offer on items already browsed","")</f>
        <v>Scalable automated engagement matched to nurture sub-context</v>
      </c>
      <c r="AQ107" s="2" t="str">
        <f aca="false">INDEX('NBA Library'!$F$4:$F$21,MATCH(AJ107,'NBA Library'!$A$4:$A$21,0))</f>
        <v>Any repeat order within 90 days</v>
      </c>
      <c r="AR107" s="2" t="str">
        <f aca="false">IF(AND(F107="Low",OR(G107="Growing",G107="Stable"),P107="Recently Active",U107&lt;&gt;"Mixed",OR(AK107="Discovery-to-Offer Enablement",AK107="Reinforce Successful Behaviour"),AM107="Ready — Automated",OR(E107&lt;&gt;"Tail",S107)),"Range Expansion Test — trial "&amp;IF(U107="Bundle-only","handpick","bundles")&amp;" (experimental; not proven to lift GMV)","")</f>
        <v/>
      </c>
      <c r="AS107" s="2" t="str">
        <f aca="false">IF(AK107&lt;&gt;"Automated Nurture","",IF(AJ107="DORMANT_LOW_VALUE","Dormant",IF(AJ107="RISING_TAIL_EARLY","Rising tail – early pattern",IF(Q107="New Customer","New customer onboarding",IF(Q107="Returned Customer","Returned customer",IF(G107="Lapsed","Dormant",IF(T107="Engaged, not converting","Engaged, not converting",IF(T107="One-off low-touch buyer","One-off purchaser",IF(T107="Light-touch repeat buyer","Light-touch repeat buyer","Standard long tail")))))))))</f>
        <v>Returned customer</v>
      </c>
      <c r="AT107" s="2" t="str">
        <f aca="false">IF(AA107,"CRITICAL_DATA_BLOCKER; ","")&amp;IF(Y107,"KEY_SIGNOFF; ","")&amp;IF(Z107="Manual Review","PHASE1_MANUAL_REVIEW; ","")&amp;IF(AND(LEFT(D107,1)="1",AZ107="Lumpy"),"LUMPY_CADENCE; ","")&amp;IF(AB107,"BORDERLINE_MOMENTUM; ","")&amp;IF(AC107,"FEB_SENSITIVE; ","")&amp;IF(AD107,"MATERIAL_BROKER_INCONSISTENCY"&amp;IF(AE107," (segment would change)","")&amp;"; ","")&amp;IF(AND(I107&gt;=3,O107&gt;0),IF(AI107&gt;=Assumptions!$B$75,"H2_SINGLE_MONTH_SPIKE; ",""),"")&amp;IF(AND(M107&gt;0,N107=0),"NO_FEB_GMV (Feb unconfirmed); ","")&amp;IF(AF107,"LOW_CONFIDENCE; ","")</f>
        <v>NO_FEB_GMV (Feb unconfirmed); LOW_CONFIDENCE; </v>
      </c>
      <c r="AU107" s="2" t="str">
        <f aca="false">IF(LEFT(D107,1)="1",V107,"")</f>
        <v/>
      </c>
      <c r="AV107" s="2" t="str">
        <f aca="false">IF(LEFT(D107,1)="1",V107&gt;=Assumptions!$B$58,"")</f>
        <v/>
      </c>
      <c r="AW107" s="2" t="str">
        <f aca="false">IF(LEFT(D107,1)="1",W107,"")</f>
        <v/>
      </c>
      <c r="AX107" s="2" t="str">
        <f aca="false">IF(LEFT(D107,1)="1",X107,"")</f>
        <v/>
      </c>
      <c r="AY107" s="17" t="str">
        <f aca="false">IF(LEFT(D107,1)="1",J107/I107,"")</f>
        <v/>
      </c>
      <c r="AZ107" s="2" t="str">
        <f aca="false">IF(LEFT(D107,1)="1",IF(AND(K107&gt;=Assumptions!$B$83,I107&gt;=Assumptions!$B$84),"Regular","Lumpy"),"")</f>
        <v/>
      </c>
      <c r="BA107" s="2" t="str">
        <f aca="false">IF(LEFT(D107,1)="1",ROUND(6/K107,0),"")</f>
        <v/>
      </c>
      <c r="BB107" s="2" t="str">
        <f aca="false">IF(LEFT(D107,1)="1",IF(AZ107="Regular","Regular buyer: expected ~£"&amp;TEXT(H107/2,"#,##0")&amp;" per 90 days. At Risk if GMV to date &lt; "&amp;TEXT(Assumptions!$B$81,"0%")&amp;" of pro-rated expectation, checked from day "&amp;Assumptions!$B$82&amp;". Human-reviewed.","Irregular buyer ("&amp;I107&amp;" orders across "&amp;K107&amp;" months): no numeric GMV threshold. At Risk if no order within ~"&amp;BA107&amp;" month(s); AM reviews at day "&amp;Assumptions!$B$82&amp;" and "&amp;Assumptions!$B$85&amp;"."),"")</f>
        <v/>
      </c>
      <c r="BC107" s="2"/>
      <c r="BD107" s="2"/>
      <c r="BE107" s="2"/>
      <c r="BF107" s="2"/>
      <c r="BG107" s="2"/>
      <c r="BH107" s="2"/>
      <c r="BI107" s="2"/>
      <c r="BJ107" s="2" t="str">
        <f aca="false">IF(OR(NOT(LEFT(D107,1)="1"),BC107=""),"",IF(AZ107="Regular",AND(BC107&gt;=Assumptions!$B$82,N(BI107)&lt;Assumptions!$B$81*H107/180*BC107),AND(BC107&gt;=BA107*30,N(BG107)=0)))</f>
        <v/>
      </c>
      <c r="BK107" s="2" t="str">
        <f aca="false">IF(NOT(LEFT(D107,1)="1"),"N/A",IF(BC107="","Baseline",IF(BJ107,"At Risk",IF(AND(N(BD107)&gt;=Assumptions!$B$78,N(BE107)&gt;=Assumptions!$B$79,N(BH107)&gt;=1,N(BH107)/MAX(N(BG107),1)&gt;AY107),"Self-Serve Capability Demonstrated",IF(OR(N(BD107)&gt;=Assumptions!$B$76,N(BE107)&gt;=Assumptions!$B$77),"Progressing",IF(BC107&gt;=Assumptions!$B$85,"At Risk","Baseline"))))))</f>
        <v>N/A</v>
      </c>
      <c r="BL107" s="2" t="n">
        <f aca="false">(AND(C107="Broker-Reliant",OR(AK107="Discovery-to-Offer Enablement",AK107="Reinforce Successful Behaviour")))*1+(AND(G107="Declining",E107&lt;&gt;"Tail",AL107="Automated"))*1+(AND(Y107,AM107&lt;&gt;"Human Sign-Off Required"))*1+(AND(AA107,AM107&lt;&gt;"HOLD — Critical Data Issue"))*1+(AND(P107="Recent Inactivity",OR(AK107="Discovery-to-Offer Enablement",AK107="Reinforce Successful Behaviour")))*1+(AND(OR(LEFT(D107,1)="2",LEFT(D107,1)="3",LEFT(D107,1)="8"),AL107="Automated"))*1+((LEFT(D107,1)="1")&lt;&gt;(AK107="Guided Self-Serve Migration"))*1+(AND(AR107&lt;&gt;"",OR(F107&lt;&gt;"Low",U107="Mixed",AND(G107&lt;&gt;"Growing",G107&lt;&gt;"Stable"))))*1+ISNUMBER(SEARCH("chat",AP107))*1+ISNUMBER(SEARCH("video",AP107))*1+(AND(AA107,AL107="Automated",AM107&lt;&gt;"HOLD — Critical Data Issue"))*1</f>
        <v>0</v>
      </c>
    </row>
    <row r="108" customFormat="false" ht="15" hidden="false" customHeight="false" outlineLevel="0" collapsed="false">
      <c r="A108" s="2" t="s">
        <v>655</v>
      </c>
      <c r="B108" s="2" t="str">
        <f aca="false">INDEX(Segmentation!$B$2:$B$301,MATCH($A108,Segmentation!$A$2:$A$301,0))</f>
        <v>Account Managed</v>
      </c>
      <c r="C108" s="2" t="str">
        <f aca="false">INDEX(Segmentation!$H$2:$H$301,MATCH($A108,Segmentation!$A$2:$A$301,0))</f>
        <v>Broker-Reliant</v>
      </c>
      <c r="D108" s="2" t="str">
        <f aca="false">INDEX(Segmentation!$T$2:$T$301,MATCH($A108,Segmentation!$A$2:$A$301,0))</f>
        <v>5. Cost-to-Serve / Low-Touch</v>
      </c>
      <c r="E108" s="2" t="str">
        <f aca="false">INDEX(Segmentation!$J$2:$J$301,MATCH($A108,Segmentation!$A$2:$A$301,0))</f>
        <v>Tail</v>
      </c>
      <c r="F108" s="2" t="str">
        <f aca="false">INDEX(Segmentation!$G$2:$G$301,MATCH($A108,Segmentation!$A$2:$A$301,0))</f>
        <v>High</v>
      </c>
      <c r="G108" s="2" t="str">
        <f aca="false">INDEX(Segmentation!$N$2:$N$301,MATCH($A108,Segmentation!$A$2:$A$301,0))</f>
        <v>Lapsed</v>
      </c>
      <c r="H108" s="9" t="n">
        <f aca="false">INDEX(Segmentation!$I$2:$I$301,MATCH($A108,Segmentation!$A$2:$A$301,0))</f>
        <v>675</v>
      </c>
      <c r="I108" s="2" t="n">
        <f aca="false">INDEX(Segmentation!$O$2:$O$301,MATCH($A108,Segmentation!$A$2:$A$301,0))</f>
        <v>2</v>
      </c>
      <c r="J108" s="2" t="n">
        <f aca="false">INDEX(Segmentation!$Q$2:$Q$301,MATCH($A108,Segmentation!$A$2:$A$301,0))</f>
        <v>0</v>
      </c>
      <c r="K108" s="2" t="n">
        <f aca="false">INDEX(Segmentation!$W$2:$W$301,MATCH($A108,Segmentation!$A$2:$A$301,0))</f>
        <v>2</v>
      </c>
      <c r="L108" s="9" t="n">
        <f aca="false">INDEX('Commercial View'!$L$2:$L$301,MATCH($A108,'Commercial View'!$A$2:$A$301,0))</f>
        <v>0</v>
      </c>
      <c r="M108" s="9" t="n">
        <f aca="false">INDEX('Commercial View'!$M$2:$M$301,MATCH($A108,'Commercial View'!$A$2:$A$301,0))</f>
        <v>0</v>
      </c>
      <c r="N108" s="9" t="n">
        <f aca="false">INDEX('Commercial View'!$N$2:$N$301,MATCH($A108,'Commercial View'!$A$2:$A$301,0))</f>
        <v>0</v>
      </c>
      <c r="O108" s="9" t="n">
        <f aca="false">INDEX(Segmentation!$L$2:$L$301,MATCH($A108,Segmentation!$A$2:$A$301,0))</f>
        <v>0</v>
      </c>
      <c r="P108" s="2" t="str">
        <f aca="false">IF(OR(M108&gt;0,N108&gt;0),"Recently Active",IF(OR(I108&lt;=Assumptions!$B$48,K108&lt;=Assumptions!$B$49),"No Meaningful History","Recent Inactivity"))</f>
        <v>No Meaningful History</v>
      </c>
      <c r="Q108" s="2" t="str">
        <f aca="false">INDEX(Segmentation!$AF$2:$AF$301,MATCH($A108,Segmentation!$A$2:$A$301,0))</f>
        <v>Existing Customer</v>
      </c>
      <c r="R108" s="2" t="str">
        <f aca="false">INDEX(Segmentation!$AL$2:$AL$301,MATCH($A108,Segmentation!$A$2:$A$301,0))</f>
        <v>One-Off / Insufficient History — Verify</v>
      </c>
      <c r="S108" s="10" t="b">
        <f aca="false">INDEX(Segmentation!$AW$2:$AW$301,MATCH($A108,Segmentation!$A$2:$A$301,0))</f>
        <v>0</v>
      </c>
      <c r="T108" s="2" t="str">
        <f aca="false">INDEX('Feature Data'!$AD$2:$AD$301,MATCH($A108,'Feature Data'!$A$2:$A$301,0))</f>
        <v>Broker-led, product-blind</v>
      </c>
      <c r="U108" s="2" t="str">
        <f aca="false">INDEX('Feature Data'!$W$2:$W$301,MATCH($A108,'Feature Data'!$A$2:$A$301,0))</f>
        <v>Bundle-only</v>
      </c>
      <c r="V108" s="2" t="n">
        <f aca="false">INDEX('Feature Data'!$P$2:$P$301,MATCH($A108,'Feature Data'!$A$2:$A$301,0))</f>
        <v>2</v>
      </c>
      <c r="W108" s="2" t="n">
        <f aca="false">INDEX(Segmentation!$R$2:$R$301,MATCH($A108,Segmentation!$A$2:$A$301,0))</f>
        <v>2</v>
      </c>
      <c r="X108" s="2" t="n">
        <f aca="false">INDEX(Segmentation!$S$2:$S$301,MATCH($A108,Segmentation!$A$2:$A$301,0))</f>
        <v>2</v>
      </c>
      <c r="Y108" s="10" t="b">
        <f aca="false">INDEX(Segmentation!$AG$2:$AG$301,MATCH($A108,Segmentation!$A$2:$A$301,0))</f>
        <v>0</v>
      </c>
      <c r="Z108" s="2" t="str">
        <f aca="false">INDEX(Segmentation!$AU$2:$AU$301,MATCH($A108,Segmentation!$A$2:$A$301,0))</f>
        <v>Not Eligible</v>
      </c>
      <c r="AA108" s="10" t="b">
        <f aca="false">INDEX(Segmentation!$Z$2:$Z$301,MATCH($A108,Segmentation!$A$2:$A$301,0))</f>
        <v>0</v>
      </c>
      <c r="AB108" s="10" t="b">
        <f aca="false">INDEX(Segmentation!$AH$2:$AH$301,MATCH($A108,Segmentation!$A$2:$A$301,0))</f>
        <v>0</v>
      </c>
      <c r="AC108" s="10" t="b">
        <f aca="false">INDEX(Segmentation!$AK$2:$AK$301,MATCH($A108,Segmentation!$A$2:$A$301,0))</f>
        <v>0</v>
      </c>
      <c r="AD108" s="10" t="b">
        <f aca="false">INDEX(Segmentation!$AQ$2:$AQ$301,MATCH($A108,Segmentation!$A$2:$A$301,0))</f>
        <v>0</v>
      </c>
      <c r="AE108" s="10" t="b">
        <f aca="false">INDEX(Segmentation!$AT$2:$AT$301,MATCH($A108,Segmentation!$A$2:$A$301,0))</f>
        <v>0</v>
      </c>
      <c r="AF108" s="10" t="b">
        <f aca="false">INDEX(Segmentation!$X$2:$X$301,MATCH($A108,Segmentation!$A$2:$A$301,0))</f>
        <v>1</v>
      </c>
      <c r="AG108" s="10" t="b">
        <f aca="false">AND(F108="Low",V108&gt;=Assumptions!$B$71,X108&lt;Assumptions!$B$72)</f>
        <v>0</v>
      </c>
      <c r="AH108" s="10" t="b">
        <f aca="false">AND(F108="Low",OR(G108="Growing",G108="Stable"),P108="Recently Active",V108&gt;=Assumptions!$B$58,K108&gt;=Assumptions!$B$73)</f>
        <v>0</v>
      </c>
      <c r="AI108" s="17" t="str">
        <f aca="false">IF(O108&gt;0,MAX(L108:N108)/O108,"")</f>
        <v/>
      </c>
      <c r="AJ108" s="2" t="str">
        <f aca="false">IF(LEFT(D108,1)="1",IF(E108="Key","MIGRATION_KEY_SIGNOFF",IF(Z108="Ready","MIGRATION_PHASE1_READY",IF(Z108="Manual Review","MIGRATION_PHASE1_REVIEW","MIGRATION_PRE_ENTRY"))),IF(LEFT(D108,1)="2","DECLINING_KEY_CORE",IF(LEFT(D108,1)="3",IF(R108="Established Buyer Lapsed","LAPSED_ESTABLISHED","LAPSED_THIN_HISTORY"),IF(LEFT(D108,1)="4",IF(Q108="New Customer","NEW_CUSTOMER","RETURNED_CUSTOMER"),IF(LEFT(D108,1)="5",IF(P108="Recently Active","COST_TO_SERVE_ACTIVE","DORMANT_LOW_VALUE"),IF(LEFT(D108,1)="6",IF(P108="Recent Inactivity","RECENT_INACTIVITY",IF(AG108,"BROWSING_LOW_OFFERS","HEALTHY_STRONG_SELF_SERVE")),IF(LEFT(D108,1)="7",IF(P108="Recent Inactivity","RECENT_INACTIVITY",IF(Q108="New Customer","NEW_CUSTOMER","RETURNED_CUSTOMER")),IF(LEFT(D108,1)="8",IF(G108="Declining",IF(T108="Engaged but shrinking (Key/Core)","ENGAGED_BUT_SHRINKING","DECLINING_KEY_CORE"),IF(R108="Established Buyer Lapsed","LAPSED_ESTABLISHED","LAPSED_THIN_HISTORY")),IF(S108,IF(P108&lt;&gt;"Recently Active","DORMANT_LOW_VALUE",IF(AG108,"BROWSING_LOW_OFFERS",IF(AH108,"RISING_TAIL","RISING_TAIL_EARLY"))),IF(AND(AG108,P108="Recently Active",OR(G108="Growing",G108="Stable",G108="H2 Active / No H1 GMV"),I108&gt;=Assumptions!$B$74),"BROWSING_LOW_OFFERS","LONG_TAIL_STANDARD"))))))))))</f>
        <v>DORMANT_LOW_VALUE</v>
      </c>
      <c r="AK108" s="2" t="str">
        <f aca="false">INDEX('NBA Library'!$B$4:$B$21,MATCH(AJ108,'NBA Library'!$A$4:$A$21,0))</f>
        <v>Automated Nurture</v>
      </c>
      <c r="AL108" s="2" t="str">
        <f aca="false">INDEX('NBA Library'!$C$4:$C$21,MATCH(AJ108,'NBA Library'!$A$4:$A$21,0))</f>
        <v>Automated</v>
      </c>
      <c r="AM108" s="2" t="str">
        <f aca="false">IF(AA108,"HOLD — Critical Data Issue",IF(Y108,"Human Sign-Off Required",IF(Z108="Manual Review","Human Review Required",IF(AND(AL108="Automated",OR(AE108,AND(OR(AK108="Discovery-to-Offer Enablement",AK108="Reinforce Successful Behaviour"),OR(AC108,AB108)))),"Human Review Required",IF(AL108="Human","Ready — Human",IF(AL108="Hybrid","Ready — Hybrid","Ready — Automated"))))))</f>
        <v>Ready — Automated</v>
      </c>
      <c r="AN108" s="2" t="str">
        <f aca="false">IF(AA108,"P0",IF(AND(AJ108="BROWSING_LOW_OFFERS",E108="Tail"),"P3",IF(AND(AM108="Human Review Required",INDEX('NBA Library'!$D$4:$D$21,MATCH(AJ108,'NBA Library'!$A$4:$A$21,0))="P4"),"P3",INDEX('NBA Library'!$D$4:$D$21,MATCH(AJ108,'NBA Library'!$A$4:$A$21,0)))))</f>
        <v>P4</v>
      </c>
      <c r="AO108" s="2" t="str">
        <f aca="false">E108&amp;" "&amp;C108&amp;" account ("&amp;B108&amp;"); "&amp;G108&amp;" momentum; "&amp;P108&amp;"; £"&amp;TEXT(H108,"#,##0")&amp;" 6m GMV. "&amp;INDEX('NBA Library'!$G$4:$G$21,MATCH(AJ108,'NBA Library'!$A$4:$A$21,0))&amp;IF(LEFT(D108,1)="1"," Baseline: "&amp;V108&amp;" PDP views, "&amp;W108&amp;" app days, "&amp;X108&amp;" offers, "&amp;TEXT(J108/I108,"0%")&amp;" of orders self-serve.","")&amp;IF(AA108," Execution on HOLD until the Duplicate status is resolved.","")&amp;IF(Y108," Key account: explicit AM/leadership sign-off required before any migration activity.","")&amp;IF(AE108," Implied broker % from order counts would move this account to a different segment; review before automating.","")</f>
        <v>Tail Broker-Reliant account (Account Managed); Lapsed momentum; No Meaningful History; £675 6m GMV. Low-value account with no recent GMV. Avoid human time.</v>
      </c>
      <c r="AP108" s="2" t="str">
        <f aca="false">INDEX('NBA Library'!$E$4:$E$21,MATCH(AJ108,'NBA Library'!$A$4:$A$21,0))&amp;IF(AND(AJ108="NEW_CUSTOMER",AG108),"; introduce Make-an-Offer on items already browsed","")</f>
        <v>Automated reactivation only; no human time</v>
      </c>
      <c r="AQ108" s="2" t="str">
        <f aca="false">INDEX('NBA Library'!$F$4:$F$21,MATCH(AJ108,'NBA Library'!$A$4:$A$21,0))</f>
        <v>Any order within 90 days</v>
      </c>
      <c r="AR108" s="2" t="str">
        <f aca="false">IF(AND(F108="Low",OR(G108="Growing",G108="Stable"),P108="Recently Active",U108&lt;&gt;"Mixed",OR(AK108="Discovery-to-Offer Enablement",AK108="Reinforce Successful Behaviour"),AM108="Ready — Automated",OR(E108&lt;&gt;"Tail",S108)),"Range Expansion Test — trial "&amp;IF(U108="Bundle-only","handpick","bundles")&amp;" (experimental; not proven to lift GMV)","")</f>
        <v/>
      </c>
      <c r="AS108" s="2" t="str">
        <f aca="false">IF(AK108&lt;&gt;"Automated Nurture","",IF(AJ108="DORMANT_LOW_VALUE","Dormant",IF(AJ108="RISING_TAIL_EARLY","Rising tail – early pattern",IF(Q108="New Customer","New customer onboarding",IF(Q108="Returned Customer","Returned customer",IF(G108="Lapsed","Dormant",IF(T108="Engaged, not converting","Engaged, not converting",IF(T108="One-off low-touch buyer","One-off purchaser",IF(T108="Light-touch repeat buyer","Light-touch repeat buyer","Standard long tail")))))))))</f>
        <v>Dormant</v>
      </c>
      <c r="AT108" s="2" t="str">
        <f aca="false">IF(AA108,"CRITICAL_DATA_BLOCKER; ","")&amp;IF(Y108,"KEY_SIGNOFF; ","")&amp;IF(Z108="Manual Review","PHASE1_MANUAL_REVIEW; ","")&amp;IF(AND(LEFT(D108,1)="1",AZ108="Lumpy"),"LUMPY_CADENCE; ","")&amp;IF(AB108,"BORDERLINE_MOMENTUM; ","")&amp;IF(AC108,"FEB_SENSITIVE; ","")&amp;IF(AD108,"MATERIAL_BROKER_INCONSISTENCY"&amp;IF(AE108," (segment would change)","")&amp;"; ","")&amp;IF(AND(I108&gt;=3,O108&gt;0),IF(AI108&gt;=Assumptions!$B$75,"H2_SINGLE_MONTH_SPIKE; ",""),"")&amp;IF(AND(M108&gt;0,N108=0),"NO_FEB_GMV (Feb unconfirmed); ","")&amp;IF(AF108,"LOW_CONFIDENCE; ","")</f>
        <v>LOW_CONFIDENCE; </v>
      </c>
      <c r="AU108" s="2" t="str">
        <f aca="false">IF(LEFT(D108,1)="1",V108,"")</f>
        <v/>
      </c>
      <c r="AV108" s="2" t="str">
        <f aca="false">IF(LEFT(D108,1)="1",V108&gt;=Assumptions!$B$58,"")</f>
        <v/>
      </c>
      <c r="AW108" s="2" t="str">
        <f aca="false">IF(LEFT(D108,1)="1",W108,"")</f>
        <v/>
      </c>
      <c r="AX108" s="2" t="str">
        <f aca="false">IF(LEFT(D108,1)="1",X108,"")</f>
        <v/>
      </c>
      <c r="AY108" s="17" t="str">
        <f aca="false">IF(LEFT(D108,1)="1",J108/I108,"")</f>
        <v/>
      </c>
      <c r="AZ108" s="2" t="str">
        <f aca="false">IF(LEFT(D108,1)="1",IF(AND(K108&gt;=Assumptions!$B$83,I108&gt;=Assumptions!$B$84),"Regular","Lumpy"),"")</f>
        <v/>
      </c>
      <c r="BA108" s="2" t="str">
        <f aca="false">IF(LEFT(D108,1)="1",ROUND(6/K108,0),"")</f>
        <v/>
      </c>
      <c r="BB108" s="2" t="str">
        <f aca="false">IF(LEFT(D108,1)="1",IF(AZ108="Regular","Regular buyer: expected ~£"&amp;TEXT(H108/2,"#,##0")&amp;" per 90 days. At Risk if GMV to date &lt; "&amp;TEXT(Assumptions!$B$81,"0%")&amp;" of pro-rated expectation, checked from day "&amp;Assumptions!$B$82&amp;". Human-reviewed.","Irregular buyer ("&amp;I108&amp;" orders across "&amp;K108&amp;" months): no numeric GMV threshold. At Risk if no order within ~"&amp;BA108&amp;" month(s); AM reviews at day "&amp;Assumptions!$B$82&amp;" and "&amp;Assumptions!$B$85&amp;"."),"")</f>
        <v/>
      </c>
      <c r="BC108" s="2"/>
      <c r="BD108" s="2"/>
      <c r="BE108" s="2"/>
      <c r="BF108" s="2"/>
      <c r="BG108" s="2"/>
      <c r="BH108" s="2"/>
      <c r="BI108" s="2"/>
      <c r="BJ108" s="2" t="str">
        <f aca="false">IF(OR(NOT(LEFT(D108,1)="1"),BC108=""),"",IF(AZ108="Regular",AND(BC108&gt;=Assumptions!$B$82,N(BI108)&lt;Assumptions!$B$81*H108/180*BC108),AND(BC108&gt;=BA108*30,N(BG108)=0)))</f>
        <v/>
      </c>
      <c r="BK108" s="2" t="str">
        <f aca="false">IF(NOT(LEFT(D108,1)="1"),"N/A",IF(BC108="","Baseline",IF(BJ108,"At Risk",IF(AND(N(BD108)&gt;=Assumptions!$B$78,N(BE108)&gt;=Assumptions!$B$79,N(BH108)&gt;=1,N(BH108)/MAX(N(BG108),1)&gt;AY108),"Self-Serve Capability Demonstrated",IF(OR(N(BD108)&gt;=Assumptions!$B$76,N(BE108)&gt;=Assumptions!$B$77),"Progressing",IF(BC108&gt;=Assumptions!$B$85,"At Risk","Baseline"))))))</f>
        <v>N/A</v>
      </c>
      <c r="BL108" s="2" t="n">
        <f aca="false">(AND(C108="Broker-Reliant",OR(AK108="Discovery-to-Offer Enablement",AK108="Reinforce Successful Behaviour")))*1+(AND(G108="Declining",E108&lt;&gt;"Tail",AL108="Automated"))*1+(AND(Y108,AM108&lt;&gt;"Human Sign-Off Required"))*1+(AND(AA108,AM108&lt;&gt;"HOLD — Critical Data Issue"))*1+(AND(P108="Recent Inactivity",OR(AK108="Discovery-to-Offer Enablement",AK108="Reinforce Successful Behaviour")))*1+(AND(OR(LEFT(D108,1)="2",LEFT(D108,1)="3",LEFT(D108,1)="8"),AL108="Automated"))*1+((LEFT(D108,1)="1")&lt;&gt;(AK108="Guided Self-Serve Migration"))*1+(AND(AR108&lt;&gt;"",OR(F108&lt;&gt;"Low",U108="Mixed",AND(G108&lt;&gt;"Growing",G108&lt;&gt;"Stable"))))*1+ISNUMBER(SEARCH("chat",AP108))*1+ISNUMBER(SEARCH("video",AP108))*1+(AND(AA108,AL108="Automated",AM108&lt;&gt;"HOLD — Critical Data Issue"))*1</f>
        <v>0</v>
      </c>
    </row>
    <row r="109" customFormat="false" ht="15" hidden="false" customHeight="false" outlineLevel="0" collapsed="false">
      <c r="A109" s="2" t="s">
        <v>657</v>
      </c>
      <c r="B109" s="2" t="str">
        <f aca="false">INDEX(Segmentation!$B$2:$B$301,MATCH($A109,Segmentation!$A$2:$A$301,0))</f>
        <v>Account Managed</v>
      </c>
      <c r="C109" s="2" t="str">
        <f aca="false">INDEX(Segmentation!$H$2:$H$301,MATCH($A109,Segmentation!$A$2:$A$301,0))</f>
        <v>AM-Owned / Self-Serving</v>
      </c>
      <c r="D109" s="2" t="str">
        <f aca="false">INDEX(Segmentation!$T$2:$T$301,MATCH($A109,Segmentation!$A$2:$A$301,0))</f>
        <v>9. Long-Tail Automated Nurture</v>
      </c>
      <c r="E109" s="2" t="str">
        <f aca="false">INDEX(Segmentation!$J$2:$J$301,MATCH($A109,Segmentation!$A$2:$A$301,0))</f>
        <v>Tail</v>
      </c>
      <c r="F109" s="2" t="str">
        <f aca="false">INDEX(Segmentation!$G$2:$G$301,MATCH($A109,Segmentation!$A$2:$A$301,0))</f>
        <v>Low</v>
      </c>
      <c r="G109" s="2" t="str">
        <f aca="false">INDEX(Segmentation!$N$2:$N$301,MATCH($A109,Segmentation!$A$2:$A$301,0))</f>
        <v>Declining</v>
      </c>
      <c r="H109" s="9" t="n">
        <f aca="false">INDEX(Segmentation!$I$2:$I$301,MATCH($A109,Segmentation!$A$2:$A$301,0))</f>
        <v>663</v>
      </c>
      <c r="I109" s="2" t="n">
        <f aca="false">INDEX(Segmentation!$O$2:$O$301,MATCH($A109,Segmentation!$A$2:$A$301,0))</f>
        <v>6</v>
      </c>
      <c r="J109" s="2" t="n">
        <f aca="false">INDEX(Segmentation!$Q$2:$Q$301,MATCH($A109,Segmentation!$A$2:$A$301,0))</f>
        <v>5</v>
      </c>
      <c r="K109" s="2" t="n">
        <f aca="false">INDEX(Segmentation!$W$2:$W$301,MATCH($A109,Segmentation!$A$2:$A$301,0))</f>
        <v>3</v>
      </c>
      <c r="L109" s="9" t="n">
        <f aca="false">INDEX('Commercial View'!$L$2:$L$301,MATCH($A109,'Commercial View'!$A$2:$A$301,0))</f>
        <v>58</v>
      </c>
      <c r="M109" s="9" t="n">
        <f aca="false">INDEX('Commercial View'!$M$2:$M$301,MATCH($A109,'Commercial View'!$A$2:$A$301,0))</f>
        <v>0</v>
      </c>
      <c r="N109" s="9" t="n">
        <f aca="false">INDEX('Commercial View'!$N$2:$N$301,MATCH($A109,'Commercial View'!$A$2:$A$301,0))</f>
        <v>0</v>
      </c>
      <c r="O109" s="9" t="n">
        <f aca="false">INDEX(Segmentation!$L$2:$L$301,MATCH($A109,Segmentation!$A$2:$A$301,0))</f>
        <v>58</v>
      </c>
      <c r="P109" s="2" t="str">
        <f aca="false">IF(OR(M109&gt;0,N109&gt;0),"Recently Active",IF(OR(I109&lt;=Assumptions!$B$48,K109&lt;=Assumptions!$B$49),"No Meaningful History","Recent Inactivity"))</f>
        <v>Recent Inactivity</v>
      </c>
      <c r="Q109" s="2" t="str">
        <f aca="false">INDEX(Segmentation!$AF$2:$AF$301,MATCH($A109,Segmentation!$A$2:$A$301,0))</f>
        <v>Existing Customer</v>
      </c>
      <c r="R109" s="2" t="str">
        <f aca="false">INDEX(Segmentation!$AL$2:$AL$301,MATCH($A109,Segmentation!$A$2:$A$301,0))</f>
        <v>N/A</v>
      </c>
      <c r="S109" s="10" t="b">
        <f aca="false">INDEX(Segmentation!$AW$2:$AW$301,MATCH($A109,Segmentation!$A$2:$A$301,0))</f>
        <v>0</v>
      </c>
      <c r="T109" s="2" t="str">
        <f aca="false">INDEX('Feature Data'!$AD$2:$AD$301,MATCH($A109,'Feature Data'!$A$2:$A$301,0))</f>
        <v>Light-touch repeat buyer</v>
      </c>
      <c r="U109" s="2" t="str">
        <f aca="false">INDEX('Feature Data'!$W$2:$W$301,MATCH($A109,'Feature Data'!$A$2:$A$301,0))</f>
        <v>Mixed</v>
      </c>
      <c r="V109" s="2" t="n">
        <f aca="false">INDEX('Feature Data'!$P$2:$P$301,MATCH($A109,'Feature Data'!$A$2:$A$301,0))</f>
        <v>227</v>
      </c>
      <c r="W109" s="2" t="n">
        <f aca="false">INDEX(Segmentation!$R$2:$R$301,MATCH($A109,Segmentation!$A$2:$A$301,0))</f>
        <v>19</v>
      </c>
      <c r="X109" s="2" t="n">
        <f aca="false">INDEX(Segmentation!$S$2:$S$301,MATCH($A109,Segmentation!$A$2:$A$301,0))</f>
        <v>5</v>
      </c>
      <c r="Y109" s="10" t="b">
        <f aca="false">INDEX(Segmentation!$AG$2:$AG$301,MATCH($A109,Segmentation!$A$2:$A$301,0))</f>
        <v>0</v>
      </c>
      <c r="Z109" s="2" t="str">
        <f aca="false">INDEX(Segmentation!$AU$2:$AU$301,MATCH($A109,Segmentation!$A$2:$A$301,0))</f>
        <v>Not Eligible</v>
      </c>
      <c r="AA109" s="10" t="b">
        <f aca="false">INDEX(Segmentation!$Z$2:$Z$301,MATCH($A109,Segmentation!$A$2:$A$301,0))</f>
        <v>0</v>
      </c>
      <c r="AB109" s="10" t="b">
        <f aca="false">INDEX(Segmentation!$AH$2:$AH$301,MATCH($A109,Segmentation!$A$2:$A$301,0))</f>
        <v>0</v>
      </c>
      <c r="AC109" s="10" t="b">
        <f aca="false">INDEX(Segmentation!$AK$2:$AK$301,MATCH($A109,Segmentation!$A$2:$A$301,0))</f>
        <v>0</v>
      </c>
      <c r="AD109" s="10" t="b">
        <f aca="false">INDEX(Segmentation!$AQ$2:$AQ$301,MATCH($A109,Segmentation!$A$2:$A$301,0))</f>
        <v>0</v>
      </c>
      <c r="AE109" s="10" t="b">
        <f aca="false">INDEX(Segmentation!$AT$2:$AT$301,MATCH($A109,Segmentation!$A$2:$A$301,0))</f>
        <v>0</v>
      </c>
      <c r="AF109" s="10" t="b">
        <f aca="false">INDEX(Segmentation!$X$2:$X$301,MATCH($A109,Segmentation!$A$2:$A$301,0))</f>
        <v>0</v>
      </c>
      <c r="AG109" s="10" t="b">
        <f aca="false">AND(F109="Low",V109&gt;=Assumptions!$B$71,X109&lt;Assumptions!$B$72)</f>
        <v>0</v>
      </c>
      <c r="AH109" s="10" t="b">
        <f aca="false">AND(F109="Low",OR(G109="Growing",G109="Stable"),P109="Recently Active",V109&gt;=Assumptions!$B$58,K109&gt;=Assumptions!$B$73)</f>
        <v>0</v>
      </c>
      <c r="AI109" s="17" t="n">
        <f aca="false">IF(O109&gt;0,MAX(L109:N109)/O109,"")</f>
        <v>1</v>
      </c>
      <c r="AJ109" s="2" t="str">
        <f aca="false">IF(LEFT(D109,1)="1",IF(E109="Key","MIGRATION_KEY_SIGNOFF",IF(Z109="Ready","MIGRATION_PHASE1_READY",IF(Z109="Manual Review","MIGRATION_PHASE1_REVIEW","MIGRATION_PRE_ENTRY"))),IF(LEFT(D109,1)="2","DECLINING_KEY_CORE",IF(LEFT(D109,1)="3",IF(R109="Established Buyer Lapsed","LAPSED_ESTABLISHED","LAPSED_THIN_HISTORY"),IF(LEFT(D109,1)="4",IF(Q109="New Customer","NEW_CUSTOMER","RETURNED_CUSTOMER"),IF(LEFT(D109,1)="5",IF(P109="Recently Active","COST_TO_SERVE_ACTIVE","DORMANT_LOW_VALUE"),IF(LEFT(D109,1)="6",IF(P109="Recent Inactivity","RECENT_INACTIVITY",IF(AG109,"BROWSING_LOW_OFFERS","HEALTHY_STRONG_SELF_SERVE")),IF(LEFT(D109,1)="7",IF(P109="Recent Inactivity","RECENT_INACTIVITY",IF(Q109="New Customer","NEW_CUSTOMER","RETURNED_CUSTOMER")),IF(LEFT(D109,1)="8",IF(G109="Declining",IF(T109="Engaged but shrinking (Key/Core)","ENGAGED_BUT_SHRINKING","DECLINING_KEY_CORE"),IF(R109="Established Buyer Lapsed","LAPSED_ESTABLISHED","LAPSED_THIN_HISTORY")),IF(S109,IF(P109&lt;&gt;"Recently Active","DORMANT_LOW_VALUE",IF(AG109,"BROWSING_LOW_OFFERS",IF(AH109,"RISING_TAIL","RISING_TAIL_EARLY"))),IF(AND(AG109,P109="Recently Active",OR(G109="Growing",G109="Stable",G109="H2 Active / No H1 GMV"),I109&gt;=Assumptions!$B$74),"BROWSING_LOW_OFFERS","LONG_TAIL_STANDARD"))))))))))</f>
        <v>LONG_TAIL_STANDARD</v>
      </c>
      <c r="AK109" s="2" t="str">
        <f aca="false">INDEX('NBA Library'!$B$4:$B$21,MATCH(AJ109,'NBA Library'!$A$4:$A$21,0))</f>
        <v>Automated Nurture</v>
      </c>
      <c r="AL109" s="2" t="str">
        <f aca="false">INDEX('NBA Library'!$C$4:$C$21,MATCH(AJ109,'NBA Library'!$A$4:$A$21,0))</f>
        <v>Automated</v>
      </c>
      <c r="AM109" s="2" t="str">
        <f aca="false">IF(AA109,"HOLD — Critical Data Issue",IF(Y109,"Human Sign-Off Required",IF(Z109="Manual Review","Human Review Required",IF(AND(AL109="Automated",OR(AE109,AND(OR(AK109="Discovery-to-Offer Enablement",AK109="Reinforce Successful Behaviour"),OR(AC109,AB109)))),"Human Review Required",IF(AL109="Human","Ready — Human",IF(AL109="Hybrid","Ready — Hybrid","Ready — Automated"))))))</f>
        <v>Ready — Automated</v>
      </c>
      <c r="AN109" s="2" t="str">
        <f aca="false">IF(AA109,"P0",IF(AND(AJ109="BROWSING_LOW_OFFERS",E109="Tail"),"P3",IF(AND(AM109="Human Review Required",INDEX('NBA Library'!$D$4:$D$21,MATCH(AJ109,'NBA Library'!$A$4:$A$21,0))="P4"),"P3",INDEX('NBA Library'!$D$4:$D$21,MATCH(AJ109,'NBA Library'!$A$4:$A$21,0)))))</f>
        <v>P4</v>
      </c>
      <c r="AO109" s="2" t="str">
        <f aca="false">E109&amp;" "&amp;C109&amp;" account ("&amp;B109&amp;"); "&amp;G109&amp;" momentum; "&amp;P109&amp;"; £"&amp;TEXT(H109,"#,##0")&amp;" 6m GMV. "&amp;INDEX('NBA Library'!$G$4:$G$21,MATCH(AJ109,'NBA Library'!$A$4:$A$21,0))&amp;IF(LEFT(D109,1)="1"," Baseline: "&amp;V109&amp;" PDP views, "&amp;W109&amp;" app days, "&amp;X109&amp;" offers, "&amp;TEXT(J109/I109,"0%")&amp;" of orders self-serve.","")&amp;IF(AA109," Execution on HOLD until the Duplicate status is resolved.","")&amp;IF(Y109," Key account: explicit AM/leadership sign-off required before any migration activity.","")&amp;IF(AE109," Implied broker % from order counts would move this account to a different segment; review before automating.","")</f>
        <v>Tail AM-Owned / Self-Serving account (Account Managed); Declining momentum; Recent Inactivity; £663 6m GMV. Low-value, low-dependency account. Scalable automated engagement.</v>
      </c>
      <c r="AP109" s="2" t="str">
        <f aca="false">INDEX('NBA Library'!$E$4:$E$21,MATCH(AJ109,'NBA Library'!$A$4:$A$21,0))&amp;IF(AND(AJ109="NEW_CUSTOMER",AG109),"; introduce Make-an-Offer on items already browsed","")</f>
        <v>Scalable automated engagement matched to nurture sub-context</v>
      </c>
      <c r="AQ109" s="2" t="str">
        <f aca="false">INDEX('NBA Library'!$F$4:$F$21,MATCH(AJ109,'NBA Library'!$A$4:$A$21,0))</f>
        <v>Any repeat order within 90 days</v>
      </c>
      <c r="AR109" s="2" t="str">
        <f aca="false">IF(AND(F109="Low",OR(G109="Growing",G109="Stable"),P109="Recently Active",U109&lt;&gt;"Mixed",OR(AK109="Discovery-to-Offer Enablement",AK109="Reinforce Successful Behaviour"),AM109="Ready — Automated",OR(E109&lt;&gt;"Tail",S109)),"Range Expansion Test — trial "&amp;IF(U109="Bundle-only","handpick","bundles")&amp;" (experimental; not proven to lift GMV)","")</f>
        <v/>
      </c>
      <c r="AS109" s="2" t="str">
        <f aca="false">IF(AK109&lt;&gt;"Automated Nurture","",IF(AJ109="DORMANT_LOW_VALUE","Dormant",IF(AJ109="RISING_TAIL_EARLY","Rising tail – early pattern",IF(Q109="New Customer","New customer onboarding",IF(Q109="Returned Customer","Returned customer",IF(G109="Lapsed","Dormant",IF(T109="Engaged, not converting","Engaged, not converting",IF(T109="One-off low-touch buyer","One-off purchaser",IF(T109="Light-touch repeat buyer","Light-touch repeat buyer","Standard long tail")))))))))</f>
        <v>Light-touch repeat buyer</v>
      </c>
      <c r="AT109" s="2" t="str">
        <f aca="false">IF(AA109,"CRITICAL_DATA_BLOCKER; ","")&amp;IF(Y109,"KEY_SIGNOFF; ","")&amp;IF(Z109="Manual Review","PHASE1_MANUAL_REVIEW; ","")&amp;IF(AND(LEFT(D109,1)="1",AZ109="Lumpy"),"LUMPY_CADENCE; ","")&amp;IF(AB109,"BORDERLINE_MOMENTUM; ","")&amp;IF(AC109,"FEB_SENSITIVE; ","")&amp;IF(AD109,"MATERIAL_BROKER_INCONSISTENCY"&amp;IF(AE109," (segment would change)","")&amp;"; ","")&amp;IF(AND(I109&gt;=3,O109&gt;0),IF(AI109&gt;=Assumptions!$B$75,"H2_SINGLE_MONTH_SPIKE; ",""),"")&amp;IF(AND(M109&gt;0,N109=0),"NO_FEB_GMV (Feb unconfirmed); ","")&amp;IF(AF109,"LOW_CONFIDENCE; ","")</f>
        <v>H2_SINGLE_MONTH_SPIKE; </v>
      </c>
      <c r="AU109" s="2" t="str">
        <f aca="false">IF(LEFT(D109,1)="1",V109,"")</f>
        <v/>
      </c>
      <c r="AV109" s="2" t="str">
        <f aca="false">IF(LEFT(D109,1)="1",V109&gt;=Assumptions!$B$58,"")</f>
        <v/>
      </c>
      <c r="AW109" s="2" t="str">
        <f aca="false">IF(LEFT(D109,1)="1",W109,"")</f>
        <v/>
      </c>
      <c r="AX109" s="2" t="str">
        <f aca="false">IF(LEFT(D109,1)="1",X109,"")</f>
        <v/>
      </c>
      <c r="AY109" s="17" t="str">
        <f aca="false">IF(LEFT(D109,1)="1",J109/I109,"")</f>
        <v/>
      </c>
      <c r="AZ109" s="2" t="str">
        <f aca="false">IF(LEFT(D109,1)="1",IF(AND(K109&gt;=Assumptions!$B$83,I109&gt;=Assumptions!$B$84),"Regular","Lumpy"),"")</f>
        <v/>
      </c>
      <c r="BA109" s="2" t="str">
        <f aca="false">IF(LEFT(D109,1)="1",ROUND(6/K109,0),"")</f>
        <v/>
      </c>
      <c r="BB109" s="2" t="str">
        <f aca="false">IF(LEFT(D109,1)="1",IF(AZ109="Regular","Regular buyer: expected ~£"&amp;TEXT(H109/2,"#,##0")&amp;" per 90 days. At Risk if GMV to date &lt; "&amp;TEXT(Assumptions!$B$81,"0%")&amp;" of pro-rated expectation, checked from day "&amp;Assumptions!$B$82&amp;". Human-reviewed.","Irregular buyer ("&amp;I109&amp;" orders across "&amp;K109&amp;" months): no numeric GMV threshold. At Risk if no order within ~"&amp;BA109&amp;" month(s); AM reviews at day "&amp;Assumptions!$B$82&amp;" and "&amp;Assumptions!$B$85&amp;"."),"")</f>
        <v/>
      </c>
      <c r="BC109" s="2"/>
      <c r="BD109" s="2"/>
      <c r="BE109" s="2"/>
      <c r="BF109" s="2"/>
      <c r="BG109" s="2"/>
      <c r="BH109" s="2"/>
      <c r="BI109" s="2"/>
      <c r="BJ109" s="2" t="str">
        <f aca="false">IF(OR(NOT(LEFT(D109,1)="1"),BC109=""),"",IF(AZ109="Regular",AND(BC109&gt;=Assumptions!$B$82,N(BI109)&lt;Assumptions!$B$81*H109/180*BC109),AND(BC109&gt;=BA109*30,N(BG109)=0)))</f>
        <v/>
      </c>
      <c r="BK109" s="2" t="str">
        <f aca="false">IF(NOT(LEFT(D109,1)="1"),"N/A",IF(BC109="","Baseline",IF(BJ109,"At Risk",IF(AND(N(BD109)&gt;=Assumptions!$B$78,N(BE109)&gt;=Assumptions!$B$79,N(BH109)&gt;=1,N(BH109)/MAX(N(BG109),1)&gt;AY109),"Self-Serve Capability Demonstrated",IF(OR(N(BD109)&gt;=Assumptions!$B$76,N(BE109)&gt;=Assumptions!$B$77),"Progressing",IF(BC109&gt;=Assumptions!$B$85,"At Risk","Baseline"))))))</f>
        <v>N/A</v>
      </c>
      <c r="BL109" s="2" t="n">
        <f aca="false">(AND(C109="Broker-Reliant",OR(AK109="Discovery-to-Offer Enablement",AK109="Reinforce Successful Behaviour")))*1+(AND(G109="Declining",E109&lt;&gt;"Tail",AL109="Automated"))*1+(AND(Y109,AM109&lt;&gt;"Human Sign-Off Required"))*1+(AND(AA109,AM109&lt;&gt;"HOLD — Critical Data Issue"))*1+(AND(P109="Recent Inactivity",OR(AK109="Discovery-to-Offer Enablement",AK109="Reinforce Successful Behaviour")))*1+(AND(OR(LEFT(D109,1)="2",LEFT(D109,1)="3",LEFT(D109,1)="8"),AL109="Automated"))*1+((LEFT(D109,1)="1")&lt;&gt;(AK109="Guided Self-Serve Migration"))*1+(AND(AR109&lt;&gt;"",OR(F109&lt;&gt;"Low",U109="Mixed",AND(G109&lt;&gt;"Growing",G109&lt;&gt;"Stable"))))*1+ISNUMBER(SEARCH("chat",AP109))*1+ISNUMBER(SEARCH("video",AP109))*1+(AND(AA109,AL109="Automated",AM109&lt;&gt;"HOLD — Critical Data Issue"))*1</f>
        <v>0</v>
      </c>
    </row>
    <row r="110" customFormat="false" ht="15" hidden="false" customHeight="false" outlineLevel="0" collapsed="false">
      <c r="A110" s="2" t="s">
        <v>661</v>
      </c>
      <c r="B110" s="2" t="str">
        <f aca="false">INDEX(Segmentation!$B$2:$B$301,MATCH($A110,Segmentation!$A$2:$A$301,0))</f>
        <v>Account Managed</v>
      </c>
      <c r="C110" s="2" t="str">
        <f aca="false">INDEX(Segmentation!$H$2:$H$301,MATCH($A110,Segmentation!$A$2:$A$301,0))</f>
        <v>AM-Owned / Self-Serving</v>
      </c>
      <c r="D110" s="2" t="str">
        <f aca="false">INDEX(Segmentation!$T$2:$T$301,MATCH($A110,Segmentation!$A$2:$A$301,0))</f>
        <v>9. Long-Tail Automated Nurture</v>
      </c>
      <c r="E110" s="2" t="str">
        <f aca="false">INDEX(Segmentation!$J$2:$J$301,MATCH($A110,Segmentation!$A$2:$A$301,0))</f>
        <v>Tail</v>
      </c>
      <c r="F110" s="2" t="str">
        <f aca="false">INDEX(Segmentation!$G$2:$G$301,MATCH($A110,Segmentation!$A$2:$A$301,0))</f>
        <v>Low</v>
      </c>
      <c r="G110" s="2" t="str">
        <f aca="false">INDEX(Segmentation!$N$2:$N$301,MATCH($A110,Segmentation!$A$2:$A$301,0))</f>
        <v>Growing</v>
      </c>
      <c r="H110" s="9" t="n">
        <f aca="false">INDEX(Segmentation!$I$2:$I$301,MATCH($A110,Segmentation!$A$2:$A$301,0))</f>
        <v>607</v>
      </c>
      <c r="I110" s="2" t="n">
        <f aca="false">INDEX(Segmentation!$O$2:$O$301,MATCH($A110,Segmentation!$A$2:$A$301,0))</f>
        <v>2</v>
      </c>
      <c r="J110" s="2" t="n">
        <f aca="false">INDEX(Segmentation!$Q$2:$Q$301,MATCH($A110,Segmentation!$A$2:$A$301,0))</f>
        <v>2</v>
      </c>
      <c r="K110" s="2" t="n">
        <f aca="false">INDEX(Segmentation!$W$2:$W$301,MATCH($A110,Segmentation!$A$2:$A$301,0))</f>
        <v>2</v>
      </c>
      <c r="L110" s="9" t="n">
        <f aca="false">INDEX('Commercial View'!$L$2:$L$301,MATCH($A110,'Commercial View'!$A$2:$A$301,0))</f>
        <v>0</v>
      </c>
      <c r="M110" s="9" t="n">
        <f aca="false">INDEX('Commercial View'!$M$2:$M$301,MATCH($A110,'Commercial View'!$A$2:$A$301,0))</f>
        <v>0</v>
      </c>
      <c r="N110" s="9" t="n">
        <f aca="false">INDEX('Commercial View'!$N$2:$N$301,MATCH($A110,'Commercial View'!$A$2:$A$301,0))</f>
        <v>365</v>
      </c>
      <c r="O110" s="9" t="n">
        <f aca="false">INDEX(Segmentation!$L$2:$L$301,MATCH($A110,Segmentation!$A$2:$A$301,0))</f>
        <v>365</v>
      </c>
      <c r="P110" s="2" t="str">
        <f aca="false">IF(OR(M110&gt;0,N110&gt;0),"Recently Active",IF(OR(I110&lt;=Assumptions!$B$48,K110&lt;=Assumptions!$B$49),"No Meaningful History","Recent Inactivity"))</f>
        <v>Recently Active</v>
      </c>
      <c r="Q110" s="2" t="str">
        <f aca="false">INDEX(Segmentation!$AF$2:$AF$301,MATCH($A110,Segmentation!$A$2:$A$301,0))</f>
        <v>Existing Customer</v>
      </c>
      <c r="R110" s="2" t="str">
        <f aca="false">INDEX(Segmentation!$AL$2:$AL$301,MATCH($A110,Segmentation!$A$2:$A$301,0))</f>
        <v>N/A</v>
      </c>
      <c r="S110" s="10" t="b">
        <f aca="false">INDEX(Segmentation!$AW$2:$AW$301,MATCH($A110,Segmentation!$A$2:$A$301,0))</f>
        <v>0</v>
      </c>
      <c r="T110" s="2" t="str">
        <f aca="false">INDEX('Feature Data'!$AD$2:$AD$301,MATCH($A110,'Feature Data'!$A$2:$A$301,0))</f>
        <v>Engaged, not converting</v>
      </c>
      <c r="U110" s="2" t="str">
        <f aca="false">INDEX('Feature Data'!$W$2:$W$301,MATCH($A110,'Feature Data'!$A$2:$A$301,0))</f>
        <v>Mixed</v>
      </c>
      <c r="V110" s="2" t="n">
        <f aca="false">INDEX('Feature Data'!$P$2:$P$301,MATCH($A110,'Feature Data'!$A$2:$A$301,0))</f>
        <v>479</v>
      </c>
      <c r="W110" s="2" t="n">
        <f aca="false">INDEX(Segmentation!$R$2:$R$301,MATCH($A110,Segmentation!$A$2:$A$301,0))</f>
        <v>34</v>
      </c>
      <c r="X110" s="2" t="n">
        <f aca="false">INDEX(Segmentation!$S$2:$S$301,MATCH($A110,Segmentation!$A$2:$A$301,0))</f>
        <v>5</v>
      </c>
      <c r="Y110" s="10" t="b">
        <f aca="false">INDEX(Segmentation!$AG$2:$AG$301,MATCH($A110,Segmentation!$A$2:$A$301,0))</f>
        <v>0</v>
      </c>
      <c r="Z110" s="2" t="str">
        <f aca="false">INDEX(Segmentation!$AU$2:$AU$301,MATCH($A110,Segmentation!$A$2:$A$301,0))</f>
        <v>Not Eligible</v>
      </c>
      <c r="AA110" s="10" t="b">
        <f aca="false">INDEX(Segmentation!$Z$2:$Z$301,MATCH($A110,Segmentation!$A$2:$A$301,0))</f>
        <v>0</v>
      </c>
      <c r="AB110" s="10" t="b">
        <f aca="false">INDEX(Segmentation!$AH$2:$AH$301,MATCH($A110,Segmentation!$A$2:$A$301,0))</f>
        <v>0</v>
      </c>
      <c r="AC110" s="10" t="b">
        <f aca="false">INDEX(Segmentation!$AK$2:$AK$301,MATCH($A110,Segmentation!$A$2:$A$301,0))</f>
        <v>1</v>
      </c>
      <c r="AD110" s="10" t="b">
        <f aca="false">INDEX(Segmentation!$AQ$2:$AQ$301,MATCH($A110,Segmentation!$A$2:$A$301,0))</f>
        <v>0</v>
      </c>
      <c r="AE110" s="10" t="b">
        <f aca="false">INDEX(Segmentation!$AT$2:$AT$301,MATCH($A110,Segmentation!$A$2:$A$301,0))</f>
        <v>0</v>
      </c>
      <c r="AF110" s="10" t="b">
        <f aca="false">INDEX(Segmentation!$X$2:$X$301,MATCH($A110,Segmentation!$A$2:$A$301,0))</f>
        <v>1</v>
      </c>
      <c r="AG110" s="10" t="b">
        <f aca="false">AND(F110="Low",V110&gt;=Assumptions!$B$71,X110&lt;Assumptions!$B$72)</f>
        <v>0</v>
      </c>
      <c r="AH110" s="10" t="b">
        <f aca="false">AND(F110="Low",OR(G110="Growing",G110="Stable"),P110="Recently Active",V110&gt;=Assumptions!$B$58,K110&gt;=Assumptions!$B$73)</f>
        <v>0</v>
      </c>
      <c r="AI110" s="17" t="n">
        <f aca="false">IF(O110&gt;0,MAX(L110:N110)/O110,"")</f>
        <v>1</v>
      </c>
      <c r="AJ110" s="2" t="str">
        <f aca="false">IF(LEFT(D110,1)="1",IF(E110="Key","MIGRATION_KEY_SIGNOFF",IF(Z110="Ready","MIGRATION_PHASE1_READY",IF(Z110="Manual Review","MIGRATION_PHASE1_REVIEW","MIGRATION_PRE_ENTRY"))),IF(LEFT(D110,1)="2","DECLINING_KEY_CORE",IF(LEFT(D110,1)="3",IF(R110="Established Buyer Lapsed","LAPSED_ESTABLISHED","LAPSED_THIN_HISTORY"),IF(LEFT(D110,1)="4",IF(Q110="New Customer","NEW_CUSTOMER","RETURNED_CUSTOMER"),IF(LEFT(D110,1)="5",IF(P110="Recently Active","COST_TO_SERVE_ACTIVE","DORMANT_LOW_VALUE"),IF(LEFT(D110,1)="6",IF(P110="Recent Inactivity","RECENT_INACTIVITY",IF(AG110,"BROWSING_LOW_OFFERS","HEALTHY_STRONG_SELF_SERVE")),IF(LEFT(D110,1)="7",IF(P110="Recent Inactivity","RECENT_INACTIVITY",IF(Q110="New Customer","NEW_CUSTOMER","RETURNED_CUSTOMER")),IF(LEFT(D110,1)="8",IF(G110="Declining",IF(T110="Engaged but shrinking (Key/Core)","ENGAGED_BUT_SHRINKING","DECLINING_KEY_CORE"),IF(R110="Established Buyer Lapsed","LAPSED_ESTABLISHED","LAPSED_THIN_HISTORY")),IF(S110,IF(P110&lt;&gt;"Recently Active","DORMANT_LOW_VALUE",IF(AG110,"BROWSING_LOW_OFFERS",IF(AH110,"RISING_TAIL","RISING_TAIL_EARLY"))),IF(AND(AG110,P110="Recently Active",OR(G110="Growing",G110="Stable",G110="H2 Active / No H1 GMV"),I110&gt;=Assumptions!$B$74),"BROWSING_LOW_OFFERS","LONG_TAIL_STANDARD"))))))))))</f>
        <v>LONG_TAIL_STANDARD</v>
      </c>
      <c r="AK110" s="2" t="str">
        <f aca="false">INDEX('NBA Library'!$B$4:$B$21,MATCH(AJ110,'NBA Library'!$A$4:$A$21,0))</f>
        <v>Automated Nurture</v>
      </c>
      <c r="AL110" s="2" t="str">
        <f aca="false">INDEX('NBA Library'!$C$4:$C$21,MATCH(AJ110,'NBA Library'!$A$4:$A$21,0))</f>
        <v>Automated</v>
      </c>
      <c r="AM110" s="2" t="str">
        <f aca="false">IF(AA110,"HOLD — Critical Data Issue",IF(Y110,"Human Sign-Off Required",IF(Z110="Manual Review","Human Review Required",IF(AND(AL110="Automated",OR(AE110,AND(OR(AK110="Discovery-to-Offer Enablement",AK110="Reinforce Successful Behaviour"),OR(AC110,AB110)))),"Human Review Required",IF(AL110="Human","Ready — Human",IF(AL110="Hybrid","Ready — Hybrid","Ready — Automated"))))))</f>
        <v>Ready — Automated</v>
      </c>
      <c r="AN110" s="2" t="str">
        <f aca="false">IF(AA110,"P0",IF(AND(AJ110="BROWSING_LOW_OFFERS",E110="Tail"),"P3",IF(AND(AM110="Human Review Required",INDEX('NBA Library'!$D$4:$D$21,MATCH(AJ110,'NBA Library'!$A$4:$A$21,0))="P4"),"P3",INDEX('NBA Library'!$D$4:$D$21,MATCH(AJ110,'NBA Library'!$A$4:$A$21,0)))))</f>
        <v>P4</v>
      </c>
      <c r="AO110" s="2" t="str">
        <f aca="false">E110&amp;" "&amp;C110&amp;" account ("&amp;B110&amp;"); "&amp;G110&amp;" momentum; "&amp;P110&amp;"; £"&amp;TEXT(H110,"#,##0")&amp;" 6m GMV. "&amp;INDEX('NBA Library'!$G$4:$G$21,MATCH(AJ110,'NBA Library'!$A$4:$A$21,0))&amp;IF(LEFT(D110,1)="1"," Baseline: "&amp;V110&amp;" PDP views, "&amp;W110&amp;" app days, "&amp;X110&amp;" offers, "&amp;TEXT(J110/I110,"0%")&amp;" of orders self-serve.","")&amp;IF(AA110," Execution on HOLD until the Duplicate status is resolved.","")&amp;IF(Y110," Key account: explicit AM/leadership sign-off required before any migration activity.","")&amp;IF(AE110," Implied broker % from order counts would move this account to a different segment; review before automating.","")</f>
        <v>Tail AM-Owned / Self-Serving account (Account Managed); Growing momentum; Recently Active; £607 6m GMV. Low-value, low-dependency account. Scalable automated engagement.</v>
      </c>
      <c r="AP110" s="2" t="str">
        <f aca="false">INDEX('NBA Library'!$E$4:$E$21,MATCH(AJ110,'NBA Library'!$A$4:$A$21,0))&amp;IF(AND(AJ110="NEW_CUSTOMER",AG110),"; introduce Make-an-Offer on items already browsed","")</f>
        <v>Scalable automated engagement matched to nurture sub-context</v>
      </c>
      <c r="AQ110" s="2" t="str">
        <f aca="false">INDEX('NBA Library'!$F$4:$F$21,MATCH(AJ110,'NBA Library'!$A$4:$A$21,0))</f>
        <v>Any repeat order within 90 days</v>
      </c>
      <c r="AR110" s="2" t="str">
        <f aca="false">IF(AND(F110="Low",OR(G110="Growing",G110="Stable"),P110="Recently Active",U110&lt;&gt;"Mixed",OR(AK110="Discovery-to-Offer Enablement",AK110="Reinforce Successful Behaviour"),AM110="Ready — Automated",OR(E110&lt;&gt;"Tail",S110)),"Range Expansion Test — trial "&amp;IF(U110="Bundle-only","handpick","bundles")&amp;" (experimental; not proven to lift GMV)","")</f>
        <v/>
      </c>
      <c r="AS110" s="2" t="str">
        <f aca="false">IF(AK110&lt;&gt;"Automated Nurture","",IF(AJ110="DORMANT_LOW_VALUE","Dormant",IF(AJ110="RISING_TAIL_EARLY","Rising tail – early pattern",IF(Q110="New Customer","New customer onboarding",IF(Q110="Returned Customer","Returned customer",IF(G110="Lapsed","Dormant",IF(T110="Engaged, not converting","Engaged, not converting",IF(T110="One-off low-touch buyer","One-off purchaser",IF(T110="Light-touch repeat buyer","Light-touch repeat buyer","Standard long tail")))))))))</f>
        <v>Engaged, not converting</v>
      </c>
      <c r="AT110" s="2" t="str">
        <f aca="false">IF(AA110,"CRITICAL_DATA_BLOCKER; ","")&amp;IF(Y110,"KEY_SIGNOFF; ","")&amp;IF(Z110="Manual Review","PHASE1_MANUAL_REVIEW; ","")&amp;IF(AND(LEFT(D110,1)="1",AZ110="Lumpy"),"LUMPY_CADENCE; ","")&amp;IF(AB110,"BORDERLINE_MOMENTUM; ","")&amp;IF(AC110,"FEB_SENSITIVE; ","")&amp;IF(AD110,"MATERIAL_BROKER_INCONSISTENCY"&amp;IF(AE110," (segment would change)","")&amp;"; ","")&amp;IF(AND(I110&gt;=3,O110&gt;0),IF(AI110&gt;=Assumptions!$B$75,"H2_SINGLE_MONTH_SPIKE; ",""),"")&amp;IF(AND(M110&gt;0,N110=0),"NO_FEB_GMV (Feb unconfirmed); ","")&amp;IF(AF110,"LOW_CONFIDENCE; ","")</f>
        <v>FEB_SENSITIVE; LOW_CONFIDENCE; </v>
      </c>
      <c r="AU110" s="2" t="str">
        <f aca="false">IF(LEFT(D110,1)="1",V110,"")</f>
        <v/>
      </c>
      <c r="AV110" s="2" t="str">
        <f aca="false">IF(LEFT(D110,1)="1",V110&gt;=Assumptions!$B$58,"")</f>
        <v/>
      </c>
      <c r="AW110" s="2" t="str">
        <f aca="false">IF(LEFT(D110,1)="1",W110,"")</f>
        <v/>
      </c>
      <c r="AX110" s="2" t="str">
        <f aca="false">IF(LEFT(D110,1)="1",X110,"")</f>
        <v/>
      </c>
      <c r="AY110" s="17" t="str">
        <f aca="false">IF(LEFT(D110,1)="1",J110/I110,"")</f>
        <v/>
      </c>
      <c r="AZ110" s="2" t="str">
        <f aca="false">IF(LEFT(D110,1)="1",IF(AND(K110&gt;=Assumptions!$B$83,I110&gt;=Assumptions!$B$84),"Regular","Lumpy"),"")</f>
        <v/>
      </c>
      <c r="BA110" s="2" t="str">
        <f aca="false">IF(LEFT(D110,1)="1",ROUND(6/K110,0),"")</f>
        <v/>
      </c>
      <c r="BB110" s="2" t="str">
        <f aca="false">IF(LEFT(D110,1)="1",IF(AZ110="Regular","Regular buyer: expected ~£"&amp;TEXT(H110/2,"#,##0")&amp;" per 90 days. At Risk if GMV to date &lt; "&amp;TEXT(Assumptions!$B$81,"0%")&amp;" of pro-rated expectation, checked from day "&amp;Assumptions!$B$82&amp;". Human-reviewed.","Irregular buyer ("&amp;I110&amp;" orders across "&amp;K110&amp;" months): no numeric GMV threshold. At Risk if no order within ~"&amp;BA110&amp;" month(s); AM reviews at day "&amp;Assumptions!$B$82&amp;" and "&amp;Assumptions!$B$85&amp;"."),"")</f>
        <v/>
      </c>
      <c r="BC110" s="2"/>
      <c r="BD110" s="2"/>
      <c r="BE110" s="2"/>
      <c r="BF110" s="2"/>
      <c r="BG110" s="2"/>
      <c r="BH110" s="2"/>
      <c r="BI110" s="2"/>
      <c r="BJ110" s="2" t="str">
        <f aca="false">IF(OR(NOT(LEFT(D110,1)="1"),BC110=""),"",IF(AZ110="Regular",AND(BC110&gt;=Assumptions!$B$82,N(BI110)&lt;Assumptions!$B$81*H110/180*BC110),AND(BC110&gt;=BA110*30,N(BG110)=0)))</f>
        <v/>
      </c>
      <c r="BK110" s="2" t="str">
        <f aca="false">IF(NOT(LEFT(D110,1)="1"),"N/A",IF(BC110="","Baseline",IF(BJ110,"At Risk",IF(AND(N(BD110)&gt;=Assumptions!$B$78,N(BE110)&gt;=Assumptions!$B$79,N(BH110)&gt;=1,N(BH110)/MAX(N(BG110),1)&gt;AY110),"Self-Serve Capability Demonstrated",IF(OR(N(BD110)&gt;=Assumptions!$B$76,N(BE110)&gt;=Assumptions!$B$77),"Progressing",IF(BC110&gt;=Assumptions!$B$85,"At Risk","Baseline"))))))</f>
        <v>N/A</v>
      </c>
      <c r="BL110" s="2" t="n">
        <f aca="false">(AND(C110="Broker-Reliant",OR(AK110="Discovery-to-Offer Enablement",AK110="Reinforce Successful Behaviour")))*1+(AND(G110="Declining",E110&lt;&gt;"Tail",AL110="Automated"))*1+(AND(Y110,AM110&lt;&gt;"Human Sign-Off Required"))*1+(AND(AA110,AM110&lt;&gt;"HOLD — Critical Data Issue"))*1+(AND(P110="Recent Inactivity",OR(AK110="Discovery-to-Offer Enablement",AK110="Reinforce Successful Behaviour")))*1+(AND(OR(LEFT(D110,1)="2",LEFT(D110,1)="3",LEFT(D110,1)="8"),AL110="Automated"))*1+((LEFT(D110,1)="1")&lt;&gt;(AK110="Guided Self-Serve Migration"))*1+(AND(AR110&lt;&gt;"",OR(F110&lt;&gt;"Low",U110="Mixed",AND(G110&lt;&gt;"Growing",G110&lt;&gt;"Stable"))))*1+ISNUMBER(SEARCH("chat",AP110))*1+ISNUMBER(SEARCH("video",AP110))*1+(AND(AA110,AL110="Automated",AM110&lt;&gt;"HOLD — Critical Data Issue"))*1</f>
        <v>0</v>
      </c>
    </row>
    <row r="111" customFormat="false" ht="15" hidden="false" customHeight="false" outlineLevel="0" collapsed="false">
      <c r="A111" s="2" t="s">
        <v>666</v>
      </c>
      <c r="B111" s="2" t="str">
        <f aca="false">INDEX(Segmentation!$B$2:$B$301,MATCH($A111,Segmentation!$A$2:$A$301,0))</f>
        <v>Account Managed</v>
      </c>
      <c r="C111" s="2" t="str">
        <f aca="false">INDEX(Segmentation!$H$2:$H$301,MATCH($A111,Segmentation!$A$2:$A$301,0))</f>
        <v>AM-Owned / Self-Serving</v>
      </c>
      <c r="D111" s="2" t="str">
        <f aca="false">INDEX(Segmentation!$T$2:$T$301,MATCH($A111,Segmentation!$A$2:$A$301,0))</f>
        <v>9. Long-Tail Automated Nurture</v>
      </c>
      <c r="E111" s="2" t="str">
        <f aca="false">INDEX(Segmentation!$J$2:$J$301,MATCH($A111,Segmentation!$A$2:$A$301,0))</f>
        <v>Tail</v>
      </c>
      <c r="F111" s="2" t="str">
        <f aca="false">INDEX(Segmentation!$G$2:$G$301,MATCH($A111,Segmentation!$A$2:$A$301,0))</f>
        <v>Low</v>
      </c>
      <c r="G111" s="2" t="str">
        <f aca="false">INDEX(Segmentation!$N$2:$N$301,MATCH($A111,Segmentation!$A$2:$A$301,0))</f>
        <v>Lapsed</v>
      </c>
      <c r="H111" s="9" t="n">
        <f aca="false">INDEX(Segmentation!$I$2:$I$301,MATCH($A111,Segmentation!$A$2:$A$301,0))</f>
        <v>594</v>
      </c>
      <c r="I111" s="2" t="n">
        <f aca="false">INDEX(Segmentation!$O$2:$O$301,MATCH($A111,Segmentation!$A$2:$A$301,0))</f>
        <v>2</v>
      </c>
      <c r="J111" s="2" t="n">
        <f aca="false">INDEX(Segmentation!$Q$2:$Q$301,MATCH($A111,Segmentation!$A$2:$A$301,0))</f>
        <v>2</v>
      </c>
      <c r="K111" s="2" t="n">
        <f aca="false">INDEX(Segmentation!$W$2:$W$301,MATCH($A111,Segmentation!$A$2:$A$301,0))</f>
        <v>1</v>
      </c>
      <c r="L111" s="9" t="n">
        <f aca="false">INDEX('Commercial View'!$L$2:$L$301,MATCH($A111,'Commercial View'!$A$2:$A$301,0))</f>
        <v>0</v>
      </c>
      <c r="M111" s="9" t="n">
        <f aca="false">INDEX('Commercial View'!$M$2:$M$301,MATCH($A111,'Commercial View'!$A$2:$A$301,0))</f>
        <v>0</v>
      </c>
      <c r="N111" s="9" t="n">
        <f aca="false">INDEX('Commercial View'!$N$2:$N$301,MATCH($A111,'Commercial View'!$A$2:$A$301,0))</f>
        <v>0</v>
      </c>
      <c r="O111" s="9" t="n">
        <f aca="false">INDEX(Segmentation!$L$2:$L$301,MATCH($A111,Segmentation!$A$2:$A$301,0))</f>
        <v>0</v>
      </c>
      <c r="P111" s="2" t="str">
        <f aca="false">IF(OR(M111&gt;0,N111&gt;0),"Recently Active",IF(OR(I111&lt;=Assumptions!$B$48,K111&lt;=Assumptions!$B$49),"No Meaningful History","Recent Inactivity"))</f>
        <v>No Meaningful History</v>
      </c>
      <c r="Q111" s="2" t="str">
        <f aca="false">INDEX(Segmentation!$AF$2:$AF$301,MATCH($A111,Segmentation!$A$2:$A$301,0))</f>
        <v>Existing Customer</v>
      </c>
      <c r="R111" s="2" t="str">
        <f aca="false">INDEX(Segmentation!$AL$2:$AL$301,MATCH($A111,Segmentation!$A$2:$A$301,0))</f>
        <v>One-Off / Insufficient History — Verify</v>
      </c>
      <c r="S111" s="10" t="b">
        <f aca="false">INDEX(Segmentation!$AW$2:$AW$301,MATCH($A111,Segmentation!$A$2:$A$301,0))</f>
        <v>0</v>
      </c>
      <c r="T111" s="2" t="str">
        <f aca="false">INDEX('Feature Data'!$AD$2:$AD$301,MATCH($A111,'Feature Data'!$A$2:$A$301,0))</f>
        <v>Light-touch repeat buyer</v>
      </c>
      <c r="U111" s="2" t="str">
        <f aca="false">INDEX('Feature Data'!$W$2:$W$301,MATCH($A111,'Feature Data'!$A$2:$A$301,0))</f>
        <v>Handpick-only</v>
      </c>
      <c r="V111" s="2" t="n">
        <f aca="false">INDEX('Feature Data'!$P$2:$P$301,MATCH($A111,'Feature Data'!$A$2:$A$301,0))</f>
        <v>154</v>
      </c>
      <c r="W111" s="2" t="n">
        <f aca="false">INDEX(Segmentation!$R$2:$R$301,MATCH($A111,Segmentation!$A$2:$A$301,0))</f>
        <v>16</v>
      </c>
      <c r="X111" s="2" t="n">
        <f aca="false">INDEX(Segmentation!$S$2:$S$301,MATCH($A111,Segmentation!$A$2:$A$301,0))</f>
        <v>5</v>
      </c>
      <c r="Y111" s="10" t="b">
        <f aca="false">INDEX(Segmentation!$AG$2:$AG$301,MATCH($A111,Segmentation!$A$2:$A$301,0))</f>
        <v>0</v>
      </c>
      <c r="Z111" s="2" t="str">
        <f aca="false">INDEX(Segmentation!$AU$2:$AU$301,MATCH($A111,Segmentation!$A$2:$A$301,0))</f>
        <v>Not Eligible</v>
      </c>
      <c r="AA111" s="10" t="b">
        <f aca="false">INDEX(Segmentation!$Z$2:$Z$301,MATCH($A111,Segmentation!$A$2:$A$301,0))</f>
        <v>0</v>
      </c>
      <c r="AB111" s="10" t="b">
        <f aca="false">INDEX(Segmentation!$AH$2:$AH$301,MATCH($A111,Segmentation!$A$2:$A$301,0))</f>
        <v>0</v>
      </c>
      <c r="AC111" s="10" t="b">
        <f aca="false">INDEX(Segmentation!$AK$2:$AK$301,MATCH($A111,Segmentation!$A$2:$A$301,0))</f>
        <v>0</v>
      </c>
      <c r="AD111" s="10" t="b">
        <f aca="false">INDEX(Segmentation!$AQ$2:$AQ$301,MATCH($A111,Segmentation!$A$2:$A$301,0))</f>
        <v>0</v>
      </c>
      <c r="AE111" s="10" t="b">
        <f aca="false">INDEX(Segmentation!$AT$2:$AT$301,MATCH($A111,Segmentation!$A$2:$A$301,0))</f>
        <v>0</v>
      </c>
      <c r="AF111" s="10" t="b">
        <f aca="false">INDEX(Segmentation!$X$2:$X$301,MATCH($A111,Segmentation!$A$2:$A$301,0))</f>
        <v>1</v>
      </c>
      <c r="AG111" s="10" t="b">
        <f aca="false">AND(F111="Low",V111&gt;=Assumptions!$B$71,X111&lt;Assumptions!$B$72)</f>
        <v>0</v>
      </c>
      <c r="AH111" s="10" t="b">
        <f aca="false">AND(F111="Low",OR(G111="Growing",G111="Stable"),P111="Recently Active",V111&gt;=Assumptions!$B$58,K111&gt;=Assumptions!$B$73)</f>
        <v>0</v>
      </c>
      <c r="AI111" s="17" t="str">
        <f aca="false">IF(O111&gt;0,MAX(L111:N111)/O111,"")</f>
        <v/>
      </c>
      <c r="AJ111" s="2" t="str">
        <f aca="false">IF(LEFT(D111,1)="1",IF(E111="Key","MIGRATION_KEY_SIGNOFF",IF(Z111="Ready","MIGRATION_PHASE1_READY",IF(Z111="Manual Review","MIGRATION_PHASE1_REVIEW","MIGRATION_PRE_ENTRY"))),IF(LEFT(D111,1)="2","DECLINING_KEY_CORE",IF(LEFT(D111,1)="3",IF(R111="Established Buyer Lapsed","LAPSED_ESTABLISHED","LAPSED_THIN_HISTORY"),IF(LEFT(D111,1)="4",IF(Q111="New Customer","NEW_CUSTOMER","RETURNED_CUSTOMER"),IF(LEFT(D111,1)="5",IF(P111="Recently Active","COST_TO_SERVE_ACTIVE","DORMANT_LOW_VALUE"),IF(LEFT(D111,1)="6",IF(P111="Recent Inactivity","RECENT_INACTIVITY",IF(AG111,"BROWSING_LOW_OFFERS","HEALTHY_STRONG_SELF_SERVE")),IF(LEFT(D111,1)="7",IF(P111="Recent Inactivity","RECENT_INACTIVITY",IF(Q111="New Customer","NEW_CUSTOMER","RETURNED_CUSTOMER")),IF(LEFT(D111,1)="8",IF(G111="Declining",IF(T111="Engaged but shrinking (Key/Core)","ENGAGED_BUT_SHRINKING","DECLINING_KEY_CORE"),IF(R111="Established Buyer Lapsed","LAPSED_ESTABLISHED","LAPSED_THIN_HISTORY")),IF(S111,IF(P111&lt;&gt;"Recently Active","DORMANT_LOW_VALUE",IF(AG111,"BROWSING_LOW_OFFERS",IF(AH111,"RISING_TAIL","RISING_TAIL_EARLY"))),IF(AND(AG111,P111="Recently Active",OR(G111="Growing",G111="Stable",G111="H2 Active / No H1 GMV"),I111&gt;=Assumptions!$B$74),"BROWSING_LOW_OFFERS","LONG_TAIL_STANDARD"))))))))))</f>
        <v>LONG_TAIL_STANDARD</v>
      </c>
      <c r="AK111" s="2" t="str">
        <f aca="false">INDEX('NBA Library'!$B$4:$B$21,MATCH(AJ111,'NBA Library'!$A$4:$A$21,0))</f>
        <v>Automated Nurture</v>
      </c>
      <c r="AL111" s="2" t="str">
        <f aca="false">INDEX('NBA Library'!$C$4:$C$21,MATCH(AJ111,'NBA Library'!$A$4:$A$21,0))</f>
        <v>Automated</v>
      </c>
      <c r="AM111" s="2" t="str">
        <f aca="false">IF(AA111,"HOLD — Critical Data Issue",IF(Y111,"Human Sign-Off Required",IF(Z111="Manual Review","Human Review Required",IF(AND(AL111="Automated",OR(AE111,AND(OR(AK111="Discovery-to-Offer Enablement",AK111="Reinforce Successful Behaviour"),OR(AC111,AB111)))),"Human Review Required",IF(AL111="Human","Ready — Human",IF(AL111="Hybrid","Ready — Hybrid","Ready — Automated"))))))</f>
        <v>Ready — Automated</v>
      </c>
      <c r="AN111" s="2" t="str">
        <f aca="false">IF(AA111,"P0",IF(AND(AJ111="BROWSING_LOW_OFFERS",E111="Tail"),"P3",IF(AND(AM111="Human Review Required",INDEX('NBA Library'!$D$4:$D$21,MATCH(AJ111,'NBA Library'!$A$4:$A$21,0))="P4"),"P3",INDEX('NBA Library'!$D$4:$D$21,MATCH(AJ111,'NBA Library'!$A$4:$A$21,0)))))</f>
        <v>P4</v>
      </c>
      <c r="AO111" s="2" t="str">
        <f aca="false">E111&amp;" "&amp;C111&amp;" account ("&amp;B111&amp;"); "&amp;G111&amp;" momentum; "&amp;P111&amp;"; £"&amp;TEXT(H111,"#,##0")&amp;" 6m GMV. "&amp;INDEX('NBA Library'!$G$4:$G$21,MATCH(AJ111,'NBA Library'!$A$4:$A$21,0))&amp;IF(LEFT(D111,1)="1"," Baseline: "&amp;V111&amp;" PDP views, "&amp;W111&amp;" app days, "&amp;X111&amp;" offers, "&amp;TEXT(J111/I111,"0%")&amp;" of orders self-serve.","")&amp;IF(AA111," Execution on HOLD until the Duplicate status is resolved.","")&amp;IF(Y111," Key account: explicit AM/leadership sign-off required before any migration activity.","")&amp;IF(AE111," Implied broker % from order counts would move this account to a different segment; review before automating.","")</f>
        <v>Tail AM-Owned / Self-Serving account (Account Managed); Lapsed momentum; No Meaningful History; £594 6m GMV. Low-value, low-dependency account. Scalable automated engagement.</v>
      </c>
      <c r="AP111" s="2" t="str">
        <f aca="false">INDEX('NBA Library'!$E$4:$E$21,MATCH(AJ111,'NBA Library'!$A$4:$A$21,0))&amp;IF(AND(AJ111="NEW_CUSTOMER",AG111),"; introduce Make-an-Offer on items already browsed","")</f>
        <v>Scalable automated engagement matched to nurture sub-context</v>
      </c>
      <c r="AQ111" s="2" t="str">
        <f aca="false">INDEX('NBA Library'!$F$4:$F$21,MATCH(AJ111,'NBA Library'!$A$4:$A$21,0))</f>
        <v>Any repeat order within 90 days</v>
      </c>
      <c r="AR111" s="2" t="str">
        <f aca="false">IF(AND(F111="Low",OR(G111="Growing",G111="Stable"),P111="Recently Active",U111&lt;&gt;"Mixed",OR(AK111="Discovery-to-Offer Enablement",AK111="Reinforce Successful Behaviour"),AM111="Ready — Automated",OR(E111&lt;&gt;"Tail",S111)),"Range Expansion Test — trial "&amp;IF(U111="Bundle-only","handpick","bundles")&amp;" (experimental; not proven to lift GMV)","")</f>
        <v/>
      </c>
      <c r="AS111" s="2" t="str">
        <f aca="false">IF(AK111&lt;&gt;"Automated Nurture","",IF(AJ111="DORMANT_LOW_VALUE","Dormant",IF(AJ111="RISING_TAIL_EARLY","Rising tail – early pattern",IF(Q111="New Customer","New customer onboarding",IF(Q111="Returned Customer","Returned customer",IF(G111="Lapsed","Dormant",IF(T111="Engaged, not converting","Engaged, not converting",IF(T111="One-off low-touch buyer","One-off purchaser",IF(T111="Light-touch repeat buyer","Light-touch repeat buyer","Standard long tail")))))))))</f>
        <v>Dormant</v>
      </c>
      <c r="AT111" s="2" t="str">
        <f aca="false">IF(AA111,"CRITICAL_DATA_BLOCKER; ","")&amp;IF(Y111,"KEY_SIGNOFF; ","")&amp;IF(Z111="Manual Review","PHASE1_MANUAL_REVIEW; ","")&amp;IF(AND(LEFT(D111,1)="1",AZ111="Lumpy"),"LUMPY_CADENCE; ","")&amp;IF(AB111,"BORDERLINE_MOMENTUM; ","")&amp;IF(AC111,"FEB_SENSITIVE; ","")&amp;IF(AD111,"MATERIAL_BROKER_INCONSISTENCY"&amp;IF(AE111," (segment would change)","")&amp;"; ","")&amp;IF(AND(I111&gt;=3,O111&gt;0),IF(AI111&gt;=Assumptions!$B$75,"H2_SINGLE_MONTH_SPIKE; ",""),"")&amp;IF(AND(M111&gt;0,N111=0),"NO_FEB_GMV (Feb unconfirmed); ","")&amp;IF(AF111,"LOW_CONFIDENCE; ","")</f>
        <v>LOW_CONFIDENCE; </v>
      </c>
      <c r="AU111" s="2" t="str">
        <f aca="false">IF(LEFT(D111,1)="1",V111,"")</f>
        <v/>
      </c>
      <c r="AV111" s="2" t="str">
        <f aca="false">IF(LEFT(D111,1)="1",V111&gt;=Assumptions!$B$58,"")</f>
        <v/>
      </c>
      <c r="AW111" s="2" t="str">
        <f aca="false">IF(LEFT(D111,1)="1",W111,"")</f>
        <v/>
      </c>
      <c r="AX111" s="2" t="str">
        <f aca="false">IF(LEFT(D111,1)="1",X111,"")</f>
        <v/>
      </c>
      <c r="AY111" s="17" t="str">
        <f aca="false">IF(LEFT(D111,1)="1",J111/I111,"")</f>
        <v/>
      </c>
      <c r="AZ111" s="2" t="str">
        <f aca="false">IF(LEFT(D111,1)="1",IF(AND(K111&gt;=Assumptions!$B$83,I111&gt;=Assumptions!$B$84),"Regular","Lumpy"),"")</f>
        <v/>
      </c>
      <c r="BA111" s="2" t="str">
        <f aca="false">IF(LEFT(D111,1)="1",ROUND(6/K111,0),"")</f>
        <v/>
      </c>
      <c r="BB111" s="2" t="str">
        <f aca="false">IF(LEFT(D111,1)="1",IF(AZ111="Regular","Regular buyer: expected ~£"&amp;TEXT(H111/2,"#,##0")&amp;" per 90 days. At Risk if GMV to date &lt; "&amp;TEXT(Assumptions!$B$81,"0%")&amp;" of pro-rated expectation, checked from day "&amp;Assumptions!$B$82&amp;". Human-reviewed.","Irregular buyer ("&amp;I111&amp;" orders across "&amp;K111&amp;" months): no numeric GMV threshold. At Risk if no order within ~"&amp;BA111&amp;" month(s); AM reviews at day "&amp;Assumptions!$B$82&amp;" and "&amp;Assumptions!$B$85&amp;"."),"")</f>
        <v/>
      </c>
      <c r="BC111" s="2"/>
      <c r="BD111" s="2"/>
      <c r="BE111" s="2"/>
      <c r="BF111" s="2"/>
      <c r="BG111" s="2"/>
      <c r="BH111" s="2"/>
      <c r="BI111" s="2"/>
      <c r="BJ111" s="2" t="str">
        <f aca="false">IF(OR(NOT(LEFT(D111,1)="1"),BC111=""),"",IF(AZ111="Regular",AND(BC111&gt;=Assumptions!$B$82,N(BI111)&lt;Assumptions!$B$81*H111/180*BC111),AND(BC111&gt;=BA111*30,N(BG111)=0)))</f>
        <v/>
      </c>
      <c r="BK111" s="2" t="str">
        <f aca="false">IF(NOT(LEFT(D111,1)="1"),"N/A",IF(BC111="","Baseline",IF(BJ111,"At Risk",IF(AND(N(BD111)&gt;=Assumptions!$B$78,N(BE111)&gt;=Assumptions!$B$79,N(BH111)&gt;=1,N(BH111)/MAX(N(BG111),1)&gt;AY111),"Self-Serve Capability Demonstrated",IF(OR(N(BD111)&gt;=Assumptions!$B$76,N(BE111)&gt;=Assumptions!$B$77),"Progressing",IF(BC111&gt;=Assumptions!$B$85,"At Risk","Baseline"))))))</f>
        <v>N/A</v>
      </c>
      <c r="BL111" s="2" t="n">
        <f aca="false">(AND(C111="Broker-Reliant",OR(AK111="Discovery-to-Offer Enablement",AK111="Reinforce Successful Behaviour")))*1+(AND(G111="Declining",E111&lt;&gt;"Tail",AL111="Automated"))*1+(AND(Y111,AM111&lt;&gt;"Human Sign-Off Required"))*1+(AND(AA111,AM111&lt;&gt;"HOLD — Critical Data Issue"))*1+(AND(P111="Recent Inactivity",OR(AK111="Discovery-to-Offer Enablement",AK111="Reinforce Successful Behaviour")))*1+(AND(OR(LEFT(D111,1)="2",LEFT(D111,1)="3",LEFT(D111,1)="8"),AL111="Automated"))*1+((LEFT(D111,1)="1")&lt;&gt;(AK111="Guided Self-Serve Migration"))*1+(AND(AR111&lt;&gt;"",OR(F111&lt;&gt;"Low",U111="Mixed",AND(G111&lt;&gt;"Growing",G111&lt;&gt;"Stable"))))*1+ISNUMBER(SEARCH("chat",AP111))*1+ISNUMBER(SEARCH("video",AP111))*1+(AND(AA111,AL111="Automated",AM111&lt;&gt;"HOLD — Critical Data Issue"))*1</f>
        <v>0</v>
      </c>
    </row>
    <row r="112" customFormat="false" ht="15" hidden="false" customHeight="false" outlineLevel="0" collapsed="false">
      <c r="A112" s="2" t="s">
        <v>560</v>
      </c>
      <c r="B112" s="2" t="str">
        <f aca="false">INDEX(Segmentation!$B$2:$B$301,MATCH($A112,Segmentation!$A$2:$A$301,0))</f>
        <v>Account Managed</v>
      </c>
      <c r="C112" s="2" t="str">
        <f aca="false">INDEX(Segmentation!$H$2:$H$301,MATCH($A112,Segmentation!$A$2:$A$301,0))</f>
        <v>AM-Owned / Self-Serving</v>
      </c>
      <c r="D112" s="2" t="str">
        <f aca="false">INDEX(Segmentation!$T$2:$T$301,MATCH($A112,Segmentation!$A$2:$A$301,0))</f>
        <v>9. Long-Tail Automated Nurture</v>
      </c>
      <c r="E112" s="2" t="str">
        <f aca="false">INDEX(Segmentation!$J$2:$J$301,MATCH($A112,Segmentation!$A$2:$A$301,0))</f>
        <v>Tail</v>
      </c>
      <c r="F112" s="2" t="str">
        <f aca="false">INDEX(Segmentation!$G$2:$G$301,MATCH($A112,Segmentation!$A$2:$A$301,0))</f>
        <v>Low</v>
      </c>
      <c r="G112" s="2" t="str">
        <f aca="false">INDEX(Segmentation!$N$2:$N$301,MATCH($A112,Segmentation!$A$2:$A$301,0))</f>
        <v>Stable</v>
      </c>
      <c r="H112" s="9" t="n">
        <f aca="false">INDEX(Segmentation!$I$2:$I$301,MATCH($A112,Segmentation!$A$2:$A$301,0))</f>
        <v>592</v>
      </c>
      <c r="I112" s="2" t="n">
        <f aca="false">INDEX(Segmentation!$O$2:$O$301,MATCH($A112,Segmentation!$A$2:$A$301,0))</f>
        <v>4</v>
      </c>
      <c r="J112" s="2" t="n">
        <f aca="false">INDEX(Segmentation!$Q$2:$Q$301,MATCH($A112,Segmentation!$A$2:$A$301,0))</f>
        <v>3</v>
      </c>
      <c r="K112" s="2" t="n">
        <f aca="false">INDEX(Segmentation!$W$2:$W$301,MATCH($A112,Segmentation!$A$2:$A$301,0))</f>
        <v>4</v>
      </c>
      <c r="L112" s="9" t="n">
        <f aca="false">INDEX('Commercial View'!$L$2:$L$301,MATCH($A112,'Commercial View'!$A$2:$A$301,0))</f>
        <v>180</v>
      </c>
      <c r="M112" s="9" t="n">
        <f aca="false">INDEX('Commercial View'!$M$2:$M$301,MATCH($A112,'Commercial View'!$A$2:$A$301,0))</f>
        <v>124</v>
      </c>
      <c r="N112" s="9" t="n">
        <f aca="false">INDEX('Commercial View'!$N$2:$N$301,MATCH($A112,'Commercial View'!$A$2:$A$301,0))</f>
        <v>0</v>
      </c>
      <c r="O112" s="9" t="n">
        <f aca="false">INDEX(Segmentation!$L$2:$L$301,MATCH($A112,Segmentation!$A$2:$A$301,0))</f>
        <v>304</v>
      </c>
      <c r="P112" s="2" t="str">
        <f aca="false">IF(OR(M112&gt;0,N112&gt;0),"Recently Active",IF(OR(I112&lt;=Assumptions!$B$48,K112&lt;=Assumptions!$B$49),"No Meaningful History","Recent Inactivity"))</f>
        <v>Recently Active</v>
      </c>
      <c r="Q112" s="2" t="str">
        <f aca="false">INDEX(Segmentation!$AF$2:$AF$301,MATCH($A112,Segmentation!$A$2:$A$301,0))</f>
        <v>Existing Customer</v>
      </c>
      <c r="R112" s="2" t="str">
        <f aca="false">INDEX(Segmentation!$AL$2:$AL$301,MATCH($A112,Segmentation!$A$2:$A$301,0))</f>
        <v>N/A</v>
      </c>
      <c r="S112" s="10" t="b">
        <f aca="false">INDEX(Segmentation!$AW$2:$AW$301,MATCH($A112,Segmentation!$A$2:$A$301,0))</f>
        <v>0</v>
      </c>
      <c r="T112" s="2" t="str">
        <f aca="false">INDEX('Feature Data'!$AD$2:$AD$301,MATCH($A112,'Feature Data'!$A$2:$A$301,0))</f>
        <v>Light-touch repeat buyer</v>
      </c>
      <c r="U112" s="2" t="str">
        <f aca="false">INDEX('Feature Data'!$W$2:$W$301,MATCH($A112,'Feature Data'!$A$2:$A$301,0))</f>
        <v>Handpick-only</v>
      </c>
      <c r="V112" s="2" t="n">
        <f aca="false">INDEX('Feature Data'!$P$2:$P$301,MATCH($A112,'Feature Data'!$A$2:$A$301,0))</f>
        <v>153</v>
      </c>
      <c r="W112" s="2" t="n">
        <f aca="false">INDEX(Segmentation!$R$2:$R$301,MATCH($A112,Segmentation!$A$2:$A$301,0))</f>
        <v>29</v>
      </c>
      <c r="X112" s="2" t="n">
        <f aca="false">INDEX(Segmentation!$S$2:$S$301,MATCH($A112,Segmentation!$A$2:$A$301,0))</f>
        <v>0</v>
      </c>
      <c r="Y112" s="10" t="b">
        <f aca="false">INDEX(Segmentation!$AG$2:$AG$301,MATCH($A112,Segmentation!$A$2:$A$301,0))</f>
        <v>0</v>
      </c>
      <c r="Z112" s="2" t="str">
        <f aca="false">INDEX(Segmentation!$AU$2:$AU$301,MATCH($A112,Segmentation!$A$2:$A$301,0))</f>
        <v>Not Eligible</v>
      </c>
      <c r="AA112" s="10" t="b">
        <f aca="false">INDEX(Segmentation!$Z$2:$Z$301,MATCH($A112,Segmentation!$A$2:$A$301,0))</f>
        <v>0</v>
      </c>
      <c r="AB112" s="10" t="b">
        <f aca="false">INDEX(Segmentation!$AH$2:$AH$301,MATCH($A112,Segmentation!$A$2:$A$301,0))</f>
        <v>0</v>
      </c>
      <c r="AC112" s="10" t="b">
        <f aca="false">INDEX(Segmentation!$AK$2:$AK$301,MATCH($A112,Segmentation!$A$2:$A$301,0))</f>
        <v>0</v>
      </c>
      <c r="AD112" s="10" t="b">
        <f aca="false">INDEX(Segmentation!$AQ$2:$AQ$301,MATCH($A112,Segmentation!$A$2:$A$301,0))</f>
        <v>1</v>
      </c>
      <c r="AE112" s="10" t="b">
        <f aca="false">INDEX(Segmentation!$AT$2:$AT$301,MATCH($A112,Segmentation!$A$2:$A$301,0))</f>
        <v>1</v>
      </c>
      <c r="AF112" s="10" t="b">
        <f aca="false">INDEX(Segmentation!$X$2:$X$301,MATCH($A112,Segmentation!$A$2:$A$301,0))</f>
        <v>0</v>
      </c>
      <c r="AG112" s="10" t="b">
        <f aca="false">AND(F112="Low",V112&gt;=Assumptions!$B$71,X112&lt;Assumptions!$B$72)</f>
        <v>1</v>
      </c>
      <c r="AH112" s="10" t="b">
        <f aca="false">AND(F112="Low",OR(G112="Growing",G112="Stable"),P112="Recently Active",V112&gt;=Assumptions!$B$58,K112&gt;=Assumptions!$B$73)</f>
        <v>1</v>
      </c>
      <c r="AI112" s="17" t="n">
        <f aca="false">IF(O112&gt;0,MAX(L112:N112)/O112,"")</f>
        <v>0.592105263157895</v>
      </c>
      <c r="AJ112" s="2" t="str">
        <f aca="false">IF(LEFT(D112,1)="1",IF(E112="Key","MIGRATION_KEY_SIGNOFF",IF(Z112="Ready","MIGRATION_PHASE1_READY",IF(Z112="Manual Review","MIGRATION_PHASE1_REVIEW","MIGRATION_PRE_ENTRY"))),IF(LEFT(D112,1)="2","DECLINING_KEY_CORE",IF(LEFT(D112,1)="3",IF(R112="Established Buyer Lapsed","LAPSED_ESTABLISHED","LAPSED_THIN_HISTORY"),IF(LEFT(D112,1)="4",IF(Q112="New Customer","NEW_CUSTOMER","RETURNED_CUSTOMER"),IF(LEFT(D112,1)="5",IF(P112="Recently Active","COST_TO_SERVE_ACTIVE","DORMANT_LOW_VALUE"),IF(LEFT(D112,1)="6",IF(P112="Recent Inactivity","RECENT_INACTIVITY",IF(AG112,"BROWSING_LOW_OFFERS","HEALTHY_STRONG_SELF_SERVE")),IF(LEFT(D112,1)="7",IF(P112="Recent Inactivity","RECENT_INACTIVITY",IF(Q112="New Customer","NEW_CUSTOMER","RETURNED_CUSTOMER")),IF(LEFT(D112,1)="8",IF(G112="Declining",IF(T112="Engaged but shrinking (Key/Core)","ENGAGED_BUT_SHRINKING","DECLINING_KEY_CORE"),IF(R112="Established Buyer Lapsed","LAPSED_ESTABLISHED","LAPSED_THIN_HISTORY")),IF(S112,IF(P112&lt;&gt;"Recently Active","DORMANT_LOW_VALUE",IF(AG112,"BROWSING_LOW_OFFERS",IF(AH112,"RISING_TAIL","RISING_TAIL_EARLY"))),IF(AND(AG112,P112="Recently Active",OR(G112="Growing",G112="Stable",G112="H2 Active / No H1 GMV"),I112&gt;=Assumptions!$B$74),"BROWSING_LOW_OFFERS","LONG_TAIL_STANDARD"))))))))))</f>
        <v>BROWSING_LOW_OFFERS</v>
      </c>
      <c r="AK112" s="2" t="str">
        <f aca="false">INDEX('NBA Library'!$B$4:$B$21,MATCH(AJ112,'NBA Library'!$A$4:$A$21,0))</f>
        <v>Discovery-to-Offer Enablement</v>
      </c>
      <c r="AL112" s="2" t="str">
        <f aca="false">INDEX('NBA Library'!$C$4:$C$21,MATCH(AJ112,'NBA Library'!$A$4:$A$21,0))</f>
        <v>Automated</v>
      </c>
      <c r="AM112" s="2" t="str">
        <f aca="false">IF(AA112,"HOLD — Critical Data Issue",IF(Y112,"Human Sign-Off Required",IF(Z112="Manual Review","Human Review Required",IF(AND(AL112="Automated",OR(AE112,AND(OR(AK112="Discovery-to-Offer Enablement",AK112="Reinforce Successful Behaviour"),OR(AC112,AB112)))),"Human Review Required",IF(AL112="Human","Ready — Human",IF(AL112="Hybrid","Ready — Hybrid","Ready — Automated"))))))</f>
        <v>Human Review Required</v>
      </c>
      <c r="AN112" s="2" t="str">
        <f aca="false">IF(AA112,"P0",IF(AND(AJ112="BROWSING_LOW_OFFERS",E112="Tail"),"P3",IF(AND(AM112="Human Review Required",INDEX('NBA Library'!$D$4:$D$21,MATCH(AJ112,'NBA Library'!$A$4:$A$21,0))="P4"),"P3",INDEX('NBA Library'!$D$4:$D$21,MATCH(AJ112,'NBA Library'!$A$4:$A$21,0)))))</f>
        <v>P3</v>
      </c>
      <c r="AO112" s="2" t="str">
        <f aca="false">E112&amp;" "&amp;C112&amp;" account ("&amp;B112&amp;"); "&amp;G112&amp;" momentum; "&amp;P112&amp;"; £"&amp;TEXT(H112,"#,##0")&amp;" 6m GMV. "&amp;INDEX('NBA Library'!$G$4:$G$21,MATCH(AJ112,'NBA Library'!$A$4:$A$21,0))&amp;IF(LEFT(D112,1)="1"," Baseline: "&amp;V112&amp;" PDP views, "&amp;W112&amp;" app days, "&amp;X112&amp;" offers, "&amp;TEXT(J112/I112,"0%")&amp;" of orders self-serve.","")&amp;IF(AA112," Execution on HOLD until the Duplicate status is resolved.","")&amp;IF(Y112," Key account: explicit AM/leadership sign-off required before any migration activity.","")&amp;IF(AE112," Implied broker % from order counts would move this account to a different segment; review before automating.","")</f>
        <v>Tail AM-Owned / Self-Serving account (Account Managed); Stable momentum; Recently Active; £592 6m GMV. Low-dependency account browses meaningfully but makes few offers. Encourage self-directed negotiation. Implied broker % from order counts would move this account to a different segment; review before automating.</v>
      </c>
      <c r="AP112" s="2" t="str">
        <f aca="false">INDEX('NBA Library'!$E$4:$E$21,MATCH(AJ112,'NBA Library'!$A$4:$A$21,0))&amp;IF(AND(AJ112="NEW_CUSTOMER",AG112),"; introduce Make-an-Offer on items already browsed","")</f>
        <v>Make offers on items already browsed (3+ offers)</v>
      </c>
      <c r="AQ112" s="2" t="str">
        <f aca="false">INDEX('NBA Library'!$F$4:$F$21,MATCH(AJ112,'NBA Library'!$A$4:$A$21,0))</f>
        <v>3+ offers within 90 days and at least one offer-led order; GMV not lower</v>
      </c>
      <c r="AR112" s="2" t="str">
        <f aca="false">IF(AND(F112="Low",OR(G112="Growing",G112="Stable"),P112="Recently Active",U112&lt;&gt;"Mixed",OR(AK112="Discovery-to-Offer Enablement",AK112="Reinforce Successful Behaviour"),AM112="Ready — Automated",OR(E112&lt;&gt;"Tail",S112)),"Range Expansion Test — trial "&amp;IF(U112="Bundle-only","handpick","bundles")&amp;" (experimental; not proven to lift GMV)","")</f>
        <v/>
      </c>
      <c r="AS112" s="2" t="str">
        <f aca="false">IF(AK112&lt;&gt;"Automated Nurture","",IF(AJ112="DORMANT_LOW_VALUE","Dormant",IF(AJ112="RISING_TAIL_EARLY","Rising tail – early pattern",IF(Q112="New Customer","New customer onboarding",IF(Q112="Returned Customer","Returned customer",IF(G112="Lapsed","Dormant",IF(T112="Engaged, not converting","Engaged, not converting",IF(T112="One-off low-touch buyer","One-off purchaser",IF(T112="Light-touch repeat buyer","Light-touch repeat buyer","Standard long tail")))))))))</f>
        <v/>
      </c>
      <c r="AT112" s="2" t="str">
        <f aca="false">IF(AA112,"CRITICAL_DATA_BLOCKER; ","")&amp;IF(Y112,"KEY_SIGNOFF; ","")&amp;IF(Z112="Manual Review","PHASE1_MANUAL_REVIEW; ","")&amp;IF(AND(LEFT(D112,1)="1",AZ112="Lumpy"),"LUMPY_CADENCE; ","")&amp;IF(AB112,"BORDERLINE_MOMENTUM; ","")&amp;IF(AC112,"FEB_SENSITIVE; ","")&amp;IF(AD112,"MATERIAL_BROKER_INCONSISTENCY"&amp;IF(AE112," (segment would change)","")&amp;"; ","")&amp;IF(AND(I112&gt;=3,O112&gt;0),IF(AI112&gt;=Assumptions!$B$75,"H2_SINGLE_MONTH_SPIKE; ",""),"")&amp;IF(AND(M112&gt;0,N112=0),"NO_FEB_GMV (Feb unconfirmed); ","")&amp;IF(AF112,"LOW_CONFIDENCE; ","")</f>
        <v>MATERIAL_BROKER_INCONSISTENCY (segment would change); NO_FEB_GMV (Feb unconfirmed); </v>
      </c>
      <c r="AU112" s="2" t="str">
        <f aca="false">IF(LEFT(D112,1)="1",V112,"")</f>
        <v/>
      </c>
      <c r="AV112" s="2" t="str">
        <f aca="false">IF(LEFT(D112,1)="1",V112&gt;=Assumptions!$B$58,"")</f>
        <v/>
      </c>
      <c r="AW112" s="2" t="str">
        <f aca="false">IF(LEFT(D112,1)="1",W112,"")</f>
        <v/>
      </c>
      <c r="AX112" s="2" t="str">
        <f aca="false">IF(LEFT(D112,1)="1",X112,"")</f>
        <v/>
      </c>
      <c r="AY112" s="17" t="str">
        <f aca="false">IF(LEFT(D112,1)="1",J112/I112,"")</f>
        <v/>
      </c>
      <c r="AZ112" s="2" t="str">
        <f aca="false">IF(LEFT(D112,1)="1",IF(AND(K112&gt;=Assumptions!$B$83,I112&gt;=Assumptions!$B$84),"Regular","Lumpy"),"")</f>
        <v/>
      </c>
      <c r="BA112" s="2" t="str">
        <f aca="false">IF(LEFT(D112,1)="1",ROUND(6/K112,0),"")</f>
        <v/>
      </c>
      <c r="BB112" s="2" t="str">
        <f aca="false">IF(LEFT(D112,1)="1",IF(AZ112="Regular","Regular buyer: expected ~£"&amp;TEXT(H112/2,"#,##0")&amp;" per 90 days. At Risk if GMV to date &lt; "&amp;TEXT(Assumptions!$B$81,"0%")&amp;" of pro-rated expectation, checked from day "&amp;Assumptions!$B$82&amp;". Human-reviewed.","Irregular buyer ("&amp;I112&amp;" orders across "&amp;K112&amp;" months): no numeric GMV threshold. At Risk if no order within ~"&amp;BA112&amp;" month(s); AM reviews at day "&amp;Assumptions!$B$82&amp;" and "&amp;Assumptions!$B$85&amp;"."),"")</f>
        <v/>
      </c>
      <c r="BC112" s="2"/>
      <c r="BD112" s="2"/>
      <c r="BE112" s="2"/>
      <c r="BF112" s="2"/>
      <c r="BG112" s="2"/>
      <c r="BH112" s="2"/>
      <c r="BI112" s="2"/>
      <c r="BJ112" s="2" t="str">
        <f aca="false">IF(OR(NOT(LEFT(D112,1)="1"),BC112=""),"",IF(AZ112="Regular",AND(BC112&gt;=Assumptions!$B$82,N(BI112)&lt;Assumptions!$B$81*H112/180*BC112),AND(BC112&gt;=BA112*30,N(BG112)=0)))</f>
        <v/>
      </c>
      <c r="BK112" s="2" t="str">
        <f aca="false">IF(NOT(LEFT(D112,1)="1"),"N/A",IF(BC112="","Baseline",IF(BJ112,"At Risk",IF(AND(N(BD112)&gt;=Assumptions!$B$78,N(BE112)&gt;=Assumptions!$B$79,N(BH112)&gt;=1,N(BH112)/MAX(N(BG112),1)&gt;AY112),"Self-Serve Capability Demonstrated",IF(OR(N(BD112)&gt;=Assumptions!$B$76,N(BE112)&gt;=Assumptions!$B$77),"Progressing",IF(BC112&gt;=Assumptions!$B$85,"At Risk","Baseline"))))))</f>
        <v>N/A</v>
      </c>
      <c r="BL112" s="2" t="n">
        <f aca="false">(AND(C112="Broker-Reliant",OR(AK112="Discovery-to-Offer Enablement",AK112="Reinforce Successful Behaviour")))*1+(AND(G112="Declining",E112&lt;&gt;"Tail",AL112="Automated"))*1+(AND(Y112,AM112&lt;&gt;"Human Sign-Off Required"))*1+(AND(AA112,AM112&lt;&gt;"HOLD — Critical Data Issue"))*1+(AND(P112="Recent Inactivity",OR(AK112="Discovery-to-Offer Enablement",AK112="Reinforce Successful Behaviour")))*1+(AND(OR(LEFT(D112,1)="2",LEFT(D112,1)="3",LEFT(D112,1)="8"),AL112="Automated"))*1+((LEFT(D112,1)="1")&lt;&gt;(AK112="Guided Self-Serve Migration"))*1+(AND(AR112&lt;&gt;"",OR(F112&lt;&gt;"Low",U112="Mixed",AND(G112&lt;&gt;"Growing",G112&lt;&gt;"Stable"))))*1+ISNUMBER(SEARCH("chat",AP112))*1+ISNUMBER(SEARCH("video",AP112))*1+(AND(AA112,AL112="Automated",AM112&lt;&gt;"HOLD — Critical Data Issue"))*1</f>
        <v>0</v>
      </c>
    </row>
    <row r="113" customFormat="false" ht="15" hidden="false" customHeight="false" outlineLevel="0" collapsed="false">
      <c r="A113" s="2" t="s">
        <v>668</v>
      </c>
      <c r="B113" s="2" t="str">
        <f aca="false">INDEX(Segmentation!$B$2:$B$301,MATCH($A113,Segmentation!$A$2:$A$301,0))</f>
        <v>Account Managed</v>
      </c>
      <c r="C113" s="2" t="str">
        <f aca="false">INDEX(Segmentation!$H$2:$H$301,MATCH($A113,Segmentation!$A$2:$A$301,0))</f>
        <v>AM-Owned / Self-Serving</v>
      </c>
      <c r="D113" s="2" t="str">
        <f aca="false">INDEX(Segmentation!$T$2:$T$301,MATCH($A113,Segmentation!$A$2:$A$301,0))</f>
        <v>9. Long-Tail Automated Nurture</v>
      </c>
      <c r="E113" s="2" t="str">
        <f aca="false">INDEX(Segmentation!$J$2:$J$301,MATCH($A113,Segmentation!$A$2:$A$301,0))</f>
        <v>Tail</v>
      </c>
      <c r="F113" s="2" t="str">
        <f aca="false">INDEX(Segmentation!$G$2:$G$301,MATCH($A113,Segmentation!$A$2:$A$301,0))</f>
        <v>Low</v>
      </c>
      <c r="G113" s="2" t="str">
        <f aca="false">INDEX(Segmentation!$N$2:$N$301,MATCH($A113,Segmentation!$A$2:$A$301,0))</f>
        <v>Lapsed</v>
      </c>
      <c r="H113" s="9" t="n">
        <f aca="false">INDEX(Segmentation!$I$2:$I$301,MATCH($A113,Segmentation!$A$2:$A$301,0))</f>
        <v>586</v>
      </c>
      <c r="I113" s="2" t="n">
        <f aca="false">INDEX(Segmentation!$O$2:$O$301,MATCH($A113,Segmentation!$A$2:$A$301,0))</f>
        <v>1</v>
      </c>
      <c r="J113" s="2" t="n">
        <f aca="false">INDEX(Segmentation!$Q$2:$Q$301,MATCH($A113,Segmentation!$A$2:$A$301,0))</f>
        <v>1</v>
      </c>
      <c r="K113" s="2" t="n">
        <f aca="false">INDEX(Segmentation!$W$2:$W$301,MATCH($A113,Segmentation!$A$2:$A$301,0))</f>
        <v>1</v>
      </c>
      <c r="L113" s="9" t="n">
        <f aca="false">INDEX('Commercial View'!$L$2:$L$301,MATCH($A113,'Commercial View'!$A$2:$A$301,0))</f>
        <v>0</v>
      </c>
      <c r="M113" s="9" t="n">
        <f aca="false">INDEX('Commercial View'!$M$2:$M$301,MATCH($A113,'Commercial View'!$A$2:$A$301,0))</f>
        <v>0</v>
      </c>
      <c r="N113" s="9" t="n">
        <f aca="false">INDEX('Commercial View'!$N$2:$N$301,MATCH($A113,'Commercial View'!$A$2:$A$301,0))</f>
        <v>0</v>
      </c>
      <c r="O113" s="9" t="n">
        <f aca="false">INDEX(Segmentation!$L$2:$L$301,MATCH($A113,Segmentation!$A$2:$A$301,0))</f>
        <v>0</v>
      </c>
      <c r="P113" s="2" t="str">
        <f aca="false">IF(OR(M113&gt;0,N113&gt;0),"Recently Active",IF(OR(I113&lt;=Assumptions!$B$48,K113&lt;=Assumptions!$B$49),"No Meaningful History","Recent Inactivity"))</f>
        <v>No Meaningful History</v>
      </c>
      <c r="Q113" s="2" t="str">
        <f aca="false">INDEX(Segmentation!$AF$2:$AF$301,MATCH($A113,Segmentation!$A$2:$A$301,0))</f>
        <v>Existing Customer</v>
      </c>
      <c r="R113" s="2" t="str">
        <f aca="false">INDEX(Segmentation!$AL$2:$AL$301,MATCH($A113,Segmentation!$A$2:$A$301,0))</f>
        <v>One-Off / Insufficient History — Verify</v>
      </c>
      <c r="S113" s="10" t="b">
        <f aca="false">INDEX(Segmentation!$AW$2:$AW$301,MATCH($A113,Segmentation!$A$2:$A$301,0))</f>
        <v>0</v>
      </c>
      <c r="T113" s="2" t="str">
        <f aca="false">INDEX('Feature Data'!$AD$2:$AD$301,MATCH($A113,'Feature Data'!$A$2:$A$301,0))</f>
        <v>Engaged, not converting</v>
      </c>
      <c r="U113" s="2" t="str">
        <f aca="false">INDEX('Feature Data'!$W$2:$W$301,MATCH($A113,'Feature Data'!$A$2:$A$301,0))</f>
        <v>Bundle-only</v>
      </c>
      <c r="V113" s="2" t="n">
        <f aca="false">INDEX('Feature Data'!$P$2:$P$301,MATCH($A113,'Feature Data'!$A$2:$A$301,0))</f>
        <v>213</v>
      </c>
      <c r="W113" s="2" t="n">
        <f aca="false">INDEX(Segmentation!$R$2:$R$301,MATCH($A113,Segmentation!$A$2:$A$301,0))</f>
        <v>21</v>
      </c>
      <c r="X113" s="2" t="n">
        <f aca="false">INDEX(Segmentation!$S$2:$S$301,MATCH($A113,Segmentation!$A$2:$A$301,0))</f>
        <v>8</v>
      </c>
      <c r="Y113" s="10" t="b">
        <f aca="false">INDEX(Segmentation!$AG$2:$AG$301,MATCH($A113,Segmentation!$A$2:$A$301,0))</f>
        <v>0</v>
      </c>
      <c r="Z113" s="2" t="str">
        <f aca="false">INDEX(Segmentation!$AU$2:$AU$301,MATCH($A113,Segmentation!$A$2:$A$301,0))</f>
        <v>Not Eligible</v>
      </c>
      <c r="AA113" s="10" t="b">
        <f aca="false">INDEX(Segmentation!$Z$2:$Z$301,MATCH($A113,Segmentation!$A$2:$A$301,0))</f>
        <v>0</v>
      </c>
      <c r="AB113" s="10" t="b">
        <f aca="false">INDEX(Segmentation!$AH$2:$AH$301,MATCH($A113,Segmentation!$A$2:$A$301,0))</f>
        <v>0</v>
      </c>
      <c r="AC113" s="10" t="b">
        <f aca="false">INDEX(Segmentation!$AK$2:$AK$301,MATCH($A113,Segmentation!$A$2:$A$301,0))</f>
        <v>0</v>
      </c>
      <c r="AD113" s="10" t="b">
        <f aca="false">INDEX(Segmentation!$AQ$2:$AQ$301,MATCH($A113,Segmentation!$A$2:$A$301,0))</f>
        <v>0</v>
      </c>
      <c r="AE113" s="10" t="b">
        <f aca="false">INDEX(Segmentation!$AT$2:$AT$301,MATCH($A113,Segmentation!$A$2:$A$301,0))</f>
        <v>0</v>
      </c>
      <c r="AF113" s="10" t="b">
        <f aca="false">INDEX(Segmentation!$X$2:$X$301,MATCH($A113,Segmentation!$A$2:$A$301,0))</f>
        <v>1</v>
      </c>
      <c r="AG113" s="10" t="b">
        <f aca="false">AND(F113="Low",V113&gt;=Assumptions!$B$71,X113&lt;Assumptions!$B$72)</f>
        <v>0</v>
      </c>
      <c r="AH113" s="10" t="b">
        <f aca="false">AND(F113="Low",OR(G113="Growing",G113="Stable"),P113="Recently Active",V113&gt;=Assumptions!$B$58,K113&gt;=Assumptions!$B$73)</f>
        <v>0</v>
      </c>
      <c r="AI113" s="17" t="str">
        <f aca="false">IF(O113&gt;0,MAX(L113:N113)/O113,"")</f>
        <v/>
      </c>
      <c r="AJ113" s="2" t="str">
        <f aca="false">IF(LEFT(D113,1)="1",IF(E113="Key","MIGRATION_KEY_SIGNOFF",IF(Z113="Ready","MIGRATION_PHASE1_READY",IF(Z113="Manual Review","MIGRATION_PHASE1_REVIEW","MIGRATION_PRE_ENTRY"))),IF(LEFT(D113,1)="2","DECLINING_KEY_CORE",IF(LEFT(D113,1)="3",IF(R113="Established Buyer Lapsed","LAPSED_ESTABLISHED","LAPSED_THIN_HISTORY"),IF(LEFT(D113,1)="4",IF(Q113="New Customer","NEW_CUSTOMER","RETURNED_CUSTOMER"),IF(LEFT(D113,1)="5",IF(P113="Recently Active","COST_TO_SERVE_ACTIVE","DORMANT_LOW_VALUE"),IF(LEFT(D113,1)="6",IF(P113="Recent Inactivity","RECENT_INACTIVITY",IF(AG113,"BROWSING_LOW_OFFERS","HEALTHY_STRONG_SELF_SERVE")),IF(LEFT(D113,1)="7",IF(P113="Recent Inactivity","RECENT_INACTIVITY",IF(Q113="New Customer","NEW_CUSTOMER","RETURNED_CUSTOMER")),IF(LEFT(D113,1)="8",IF(G113="Declining",IF(T113="Engaged but shrinking (Key/Core)","ENGAGED_BUT_SHRINKING","DECLINING_KEY_CORE"),IF(R113="Established Buyer Lapsed","LAPSED_ESTABLISHED","LAPSED_THIN_HISTORY")),IF(S113,IF(P113&lt;&gt;"Recently Active","DORMANT_LOW_VALUE",IF(AG113,"BROWSING_LOW_OFFERS",IF(AH113,"RISING_TAIL","RISING_TAIL_EARLY"))),IF(AND(AG113,P113="Recently Active",OR(G113="Growing",G113="Stable",G113="H2 Active / No H1 GMV"),I113&gt;=Assumptions!$B$74),"BROWSING_LOW_OFFERS","LONG_TAIL_STANDARD"))))))))))</f>
        <v>LONG_TAIL_STANDARD</v>
      </c>
      <c r="AK113" s="2" t="str">
        <f aca="false">INDEX('NBA Library'!$B$4:$B$21,MATCH(AJ113,'NBA Library'!$A$4:$A$21,0))</f>
        <v>Automated Nurture</v>
      </c>
      <c r="AL113" s="2" t="str">
        <f aca="false">INDEX('NBA Library'!$C$4:$C$21,MATCH(AJ113,'NBA Library'!$A$4:$A$21,0))</f>
        <v>Automated</v>
      </c>
      <c r="AM113" s="2" t="str">
        <f aca="false">IF(AA113,"HOLD — Critical Data Issue",IF(Y113,"Human Sign-Off Required",IF(Z113="Manual Review","Human Review Required",IF(AND(AL113="Automated",OR(AE113,AND(OR(AK113="Discovery-to-Offer Enablement",AK113="Reinforce Successful Behaviour"),OR(AC113,AB113)))),"Human Review Required",IF(AL113="Human","Ready — Human",IF(AL113="Hybrid","Ready — Hybrid","Ready — Automated"))))))</f>
        <v>Ready — Automated</v>
      </c>
      <c r="AN113" s="2" t="str">
        <f aca="false">IF(AA113,"P0",IF(AND(AJ113="BROWSING_LOW_OFFERS",E113="Tail"),"P3",IF(AND(AM113="Human Review Required",INDEX('NBA Library'!$D$4:$D$21,MATCH(AJ113,'NBA Library'!$A$4:$A$21,0))="P4"),"P3",INDEX('NBA Library'!$D$4:$D$21,MATCH(AJ113,'NBA Library'!$A$4:$A$21,0)))))</f>
        <v>P4</v>
      </c>
      <c r="AO113" s="2" t="str">
        <f aca="false">E113&amp;" "&amp;C113&amp;" account ("&amp;B113&amp;"); "&amp;G113&amp;" momentum; "&amp;P113&amp;"; £"&amp;TEXT(H113,"#,##0")&amp;" 6m GMV. "&amp;INDEX('NBA Library'!$G$4:$G$21,MATCH(AJ113,'NBA Library'!$A$4:$A$21,0))&amp;IF(LEFT(D113,1)="1"," Baseline: "&amp;V113&amp;" PDP views, "&amp;W113&amp;" app days, "&amp;X113&amp;" offers, "&amp;TEXT(J113/I113,"0%")&amp;" of orders self-serve.","")&amp;IF(AA113," Execution on HOLD until the Duplicate status is resolved.","")&amp;IF(Y113," Key account: explicit AM/leadership sign-off required before any migration activity.","")&amp;IF(AE113," Implied broker % from order counts would move this account to a different segment; review before automating.","")</f>
        <v>Tail AM-Owned / Self-Serving account (Account Managed); Lapsed momentum; No Meaningful History; £586 6m GMV. Low-value, low-dependency account. Scalable automated engagement.</v>
      </c>
      <c r="AP113" s="2" t="str">
        <f aca="false">INDEX('NBA Library'!$E$4:$E$21,MATCH(AJ113,'NBA Library'!$A$4:$A$21,0))&amp;IF(AND(AJ113="NEW_CUSTOMER",AG113),"; introduce Make-an-Offer on items already browsed","")</f>
        <v>Scalable automated engagement matched to nurture sub-context</v>
      </c>
      <c r="AQ113" s="2" t="str">
        <f aca="false">INDEX('NBA Library'!$F$4:$F$21,MATCH(AJ113,'NBA Library'!$A$4:$A$21,0))</f>
        <v>Any repeat order within 90 days</v>
      </c>
      <c r="AR113" s="2" t="str">
        <f aca="false">IF(AND(F113="Low",OR(G113="Growing",G113="Stable"),P113="Recently Active",U113&lt;&gt;"Mixed",OR(AK113="Discovery-to-Offer Enablement",AK113="Reinforce Successful Behaviour"),AM113="Ready — Automated",OR(E113&lt;&gt;"Tail",S113)),"Range Expansion Test — trial "&amp;IF(U113="Bundle-only","handpick","bundles")&amp;" (experimental; not proven to lift GMV)","")</f>
        <v/>
      </c>
      <c r="AS113" s="2" t="str">
        <f aca="false">IF(AK113&lt;&gt;"Automated Nurture","",IF(AJ113="DORMANT_LOW_VALUE","Dormant",IF(AJ113="RISING_TAIL_EARLY","Rising tail – early pattern",IF(Q113="New Customer","New customer onboarding",IF(Q113="Returned Customer","Returned customer",IF(G113="Lapsed","Dormant",IF(T113="Engaged, not converting","Engaged, not converting",IF(T113="One-off low-touch buyer","One-off purchaser",IF(T113="Light-touch repeat buyer","Light-touch repeat buyer","Standard long tail")))))))))</f>
        <v>Dormant</v>
      </c>
      <c r="AT113" s="2" t="str">
        <f aca="false">IF(AA113,"CRITICAL_DATA_BLOCKER; ","")&amp;IF(Y113,"KEY_SIGNOFF; ","")&amp;IF(Z113="Manual Review","PHASE1_MANUAL_REVIEW; ","")&amp;IF(AND(LEFT(D113,1)="1",AZ113="Lumpy"),"LUMPY_CADENCE; ","")&amp;IF(AB113,"BORDERLINE_MOMENTUM; ","")&amp;IF(AC113,"FEB_SENSITIVE; ","")&amp;IF(AD113,"MATERIAL_BROKER_INCONSISTENCY"&amp;IF(AE113," (segment would change)","")&amp;"; ","")&amp;IF(AND(I113&gt;=3,O113&gt;0),IF(AI113&gt;=Assumptions!$B$75,"H2_SINGLE_MONTH_SPIKE; ",""),"")&amp;IF(AND(M113&gt;0,N113=0),"NO_FEB_GMV (Feb unconfirmed); ","")&amp;IF(AF113,"LOW_CONFIDENCE; ","")</f>
        <v>LOW_CONFIDENCE; </v>
      </c>
      <c r="AU113" s="2" t="str">
        <f aca="false">IF(LEFT(D113,1)="1",V113,"")</f>
        <v/>
      </c>
      <c r="AV113" s="2" t="str">
        <f aca="false">IF(LEFT(D113,1)="1",V113&gt;=Assumptions!$B$58,"")</f>
        <v/>
      </c>
      <c r="AW113" s="2" t="str">
        <f aca="false">IF(LEFT(D113,1)="1",W113,"")</f>
        <v/>
      </c>
      <c r="AX113" s="2" t="str">
        <f aca="false">IF(LEFT(D113,1)="1",X113,"")</f>
        <v/>
      </c>
      <c r="AY113" s="17" t="str">
        <f aca="false">IF(LEFT(D113,1)="1",J113/I113,"")</f>
        <v/>
      </c>
      <c r="AZ113" s="2" t="str">
        <f aca="false">IF(LEFT(D113,1)="1",IF(AND(K113&gt;=Assumptions!$B$83,I113&gt;=Assumptions!$B$84),"Regular","Lumpy"),"")</f>
        <v/>
      </c>
      <c r="BA113" s="2" t="str">
        <f aca="false">IF(LEFT(D113,1)="1",ROUND(6/K113,0),"")</f>
        <v/>
      </c>
      <c r="BB113" s="2" t="str">
        <f aca="false">IF(LEFT(D113,1)="1",IF(AZ113="Regular","Regular buyer: expected ~£"&amp;TEXT(H113/2,"#,##0")&amp;" per 90 days. At Risk if GMV to date &lt; "&amp;TEXT(Assumptions!$B$81,"0%")&amp;" of pro-rated expectation, checked from day "&amp;Assumptions!$B$82&amp;". Human-reviewed.","Irregular buyer ("&amp;I113&amp;" orders across "&amp;K113&amp;" months): no numeric GMV threshold. At Risk if no order within ~"&amp;BA113&amp;" month(s); AM reviews at day "&amp;Assumptions!$B$82&amp;" and "&amp;Assumptions!$B$85&amp;"."),"")</f>
        <v/>
      </c>
      <c r="BC113" s="2"/>
      <c r="BD113" s="2"/>
      <c r="BE113" s="2"/>
      <c r="BF113" s="2"/>
      <c r="BG113" s="2"/>
      <c r="BH113" s="2"/>
      <c r="BI113" s="2"/>
      <c r="BJ113" s="2" t="str">
        <f aca="false">IF(OR(NOT(LEFT(D113,1)="1"),BC113=""),"",IF(AZ113="Regular",AND(BC113&gt;=Assumptions!$B$82,N(BI113)&lt;Assumptions!$B$81*H113/180*BC113),AND(BC113&gt;=BA113*30,N(BG113)=0)))</f>
        <v/>
      </c>
      <c r="BK113" s="2" t="str">
        <f aca="false">IF(NOT(LEFT(D113,1)="1"),"N/A",IF(BC113="","Baseline",IF(BJ113,"At Risk",IF(AND(N(BD113)&gt;=Assumptions!$B$78,N(BE113)&gt;=Assumptions!$B$79,N(BH113)&gt;=1,N(BH113)/MAX(N(BG113),1)&gt;AY113),"Self-Serve Capability Demonstrated",IF(OR(N(BD113)&gt;=Assumptions!$B$76,N(BE113)&gt;=Assumptions!$B$77),"Progressing",IF(BC113&gt;=Assumptions!$B$85,"At Risk","Baseline"))))))</f>
        <v>N/A</v>
      </c>
      <c r="BL113" s="2" t="n">
        <f aca="false">(AND(C113="Broker-Reliant",OR(AK113="Discovery-to-Offer Enablement",AK113="Reinforce Successful Behaviour")))*1+(AND(G113="Declining",E113&lt;&gt;"Tail",AL113="Automated"))*1+(AND(Y113,AM113&lt;&gt;"Human Sign-Off Required"))*1+(AND(AA113,AM113&lt;&gt;"HOLD — Critical Data Issue"))*1+(AND(P113="Recent Inactivity",OR(AK113="Discovery-to-Offer Enablement",AK113="Reinforce Successful Behaviour")))*1+(AND(OR(LEFT(D113,1)="2",LEFT(D113,1)="3",LEFT(D113,1)="8"),AL113="Automated"))*1+((LEFT(D113,1)="1")&lt;&gt;(AK113="Guided Self-Serve Migration"))*1+(AND(AR113&lt;&gt;"",OR(F113&lt;&gt;"Low",U113="Mixed",AND(G113&lt;&gt;"Growing",G113&lt;&gt;"Stable"))))*1+ISNUMBER(SEARCH("chat",AP113))*1+ISNUMBER(SEARCH("video",AP113))*1+(AND(AA113,AL113="Automated",AM113&lt;&gt;"HOLD — Critical Data Issue"))*1</f>
        <v>0</v>
      </c>
    </row>
    <row r="114" customFormat="false" ht="15" hidden="false" customHeight="false" outlineLevel="0" collapsed="false">
      <c r="A114" s="2" t="s">
        <v>670</v>
      </c>
      <c r="B114" s="2" t="str">
        <f aca="false">INDEX(Segmentation!$B$2:$B$301,MATCH($A114,Segmentation!$A$2:$A$301,0))</f>
        <v>Account Managed</v>
      </c>
      <c r="C114" s="2" t="str">
        <f aca="false">INDEX(Segmentation!$H$2:$H$301,MATCH($A114,Segmentation!$A$2:$A$301,0))</f>
        <v>Broker-Reliant</v>
      </c>
      <c r="D114" s="2" t="str">
        <f aca="false">INDEX(Segmentation!$T$2:$T$301,MATCH($A114,Segmentation!$A$2:$A$301,0))</f>
        <v>5. Cost-to-Serve / Low-Touch</v>
      </c>
      <c r="E114" s="2" t="str">
        <f aca="false">INDEX(Segmentation!$J$2:$J$301,MATCH($A114,Segmentation!$A$2:$A$301,0))</f>
        <v>Tail</v>
      </c>
      <c r="F114" s="2" t="str">
        <f aca="false">INDEX(Segmentation!$G$2:$G$301,MATCH($A114,Segmentation!$A$2:$A$301,0))</f>
        <v>High</v>
      </c>
      <c r="G114" s="2" t="str">
        <f aca="false">INDEX(Segmentation!$N$2:$N$301,MATCH($A114,Segmentation!$A$2:$A$301,0))</f>
        <v>Lapsed</v>
      </c>
      <c r="H114" s="9" t="n">
        <f aca="false">INDEX(Segmentation!$I$2:$I$301,MATCH($A114,Segmentation!$A$2:$A$301,0))</f>
        <v>580</v>
      </c>
      <c r="I114" s="2" t="n">
        <f aca="false">INDEX(Segmentation!$O$2:$O$301,MATCH($A114,Segmentation!$A$2:$A$301,0))</f>
        <v>2</v>
      </c>
      <c r="J114" s="2" t="n">
        <f aca="false">INDEX(Segmentation!$Q$2:$Q$301,MATCH($A114,Segmentation!$A$2:$A$301,0))</f>
        <v>1</v>
      </c>
      <c r="K114" s="2" t="n">
        <f aca="false">INDEX(Segmentation!$W$2:$W$301,MATCH($A114,Segmentation!$A$2:$A$301,0))</f>
        <v>2</v>
      </c>
      <c r="L114" s="9" t="n">
        <f aca="false">INDEX('Commercial View'!$L$2:$L$301,MATCH($A114,'Commercial View'!$A$2:$A$301,0))</f>
        <v>0</v>
      </c>
      <c r="M114" s="9" t="n">
        <f aca="false">INDEX('Commercial View'!$M$2:$M$301,MATCH($A114,'Commercial View'!$A$2:$A$301,0))</f>
        <v>0</v>
      </c>
      <c r="N114" s="9" t="n">
        <f aca="false">INDEX('Commercial View'!$N$2:$N$301,MATCH($A114,'Commercial View'!$A$2:$A$301,0))</f>
        <v>0</v>
      </c>
      <c r="O114" s="9" t="n">
        <f aca="false">INDEX(Segmentation!$L$2:$L$301,MATCH($A114,Segmentation!$A$2:$A$301,0))</f>
        <v>0</v>
      </c>
      <c r="P114" s="2" t="str">
        <f aca="false">IF(OR(M114&gt;0,N114&gt;0),"Recently Active",IF(OR(I114&lt;=Assumptions!$B$48,K114&lt;=Assumptions!$B$49),"No Meaningful History","Recent Inactivity"))</f>
        <v>No Meaningful History</v>
      </c>
      <c r="Q114" s="2" t="str">
        <f aca="false">INDEX(Segmentation!$AF$2:$AF$301,MATCH($A114,Segmentation!$A$2:$A$301,0))</f>
        <v>Existing Customer</v>
      </c>
      <c r="R114" s="2" t="str">
        <f aca="false">INDEX(Segmentation!$AL$2:$AL$301,MATCH($A114,Segmentation!$A$2:$A$301,0))</f>
        <v>One-Off / Insufficient History — Verify</v>
      </c>
      <c r="S114" s="10" t="b">
        <f aca="false">INDEX(Segmentation!$AW$2:$AW$301,MATCH($A114,Segmentation!$A$2:$A$301,0))</f>
        <v>0</v>
      </c>
      <c r="T114" s="2" t="str">
        <f aca="false">INDEX('Feature Data'!$AD$2:$AD$301,MATCH($A114,'Feature Data'!$A$2:$A$301,0))</f>
        <v>Broker-led, product-blind</v>
      </c>
      <c r="U114" s="2" t="str">
        <f aca="false">INDEX('Feature Data'!$W$2:$W$301,MATCH($A114,'Feature Data'!$A$2:$A$301,0))</f>
        <v>Bundle-only</v>
      </c>
      <c r="V114" s="2" t="n">
        <f aca="false">INDEX('Feature Data'!$P$2:$P$301,MATCH($A114,'Feature Data'!$A$2:$A$301,0))</f>
        <v>6</v>
      </c>
      <c r="W114" s="2" t="n">
        <f aca="false">INDEX(Segmentation!$R$2:$R$301,MATCH($A114,Segmentation!$A$2:$A$301,0))</f>
        <v>3</v>
      </c>
      <c r="X114" s="2" t="n">
        <f aca="false">INDEX(Segmentation!$S$2:$S$301,MATCH($A114,Segmentation!$A$2:$A$301,0))</f>
        <v>2</v>
      </c>
      <c r="Y114" s="10" t="b">
        <f aca="false">INDEX(Segmentation!$AG$2:$AG$301,MATCH($A114,Segmentation!$A$2:$A$301,0))</f>
        <v>0</v>
      </c>
      <c r="Z114" s="2" t="str">
        <f aca="false">INDEX(Segmentation!$AU$2:$AU$301,MATCH($A114,Segmentation!$A$2:$A$301,0))</f>
        <v>Not Eligible</v>
      </c>
      <c r="AA114" s="10" t="b">
        <f aca="false">INDEX(Segmentation!$Z$2:$Z$301,MATCH($A114,Segmentation!$A$2:$A$301,0))</f>
        <v>0</v>
      </c>
      <c r="AB114" s="10" t="b">
        <f aca="false">INDEX(Segmentation!$AH$2:$AH$301,MATCH($A114,Segmentation!$A$2:$A$301,0))</f>
        <v>0</v>
      </c>
      <c r="AC114" s="10" t="b">
        <f aca="false">INDEX(Segmentation!$AK$2:$AK$301,MATCH($A114,Segmentation!$A$2:$A$301,0))</f>
        <v>0</v>
      </c>
      <c r="AD114" s="10" t="b">
        <f aca="false">INDEX(Segmentation!$AQ$2:$AQ$301,MATCH($A114,Segmentation!$A$2:$A$301,0))</f>
        <v>1</v>
      </c>
      <c r="AE114" s="10" t="b">
        <f aca="false">INDEX(Segmentation!$AT$2:$AT$301,MATCH($A114,Segmentation!$A$2:$A$301,0))</f>
        <v>0</v>
      </c>
      <c r="AF114" s="10" t="b">
        <f aca="false">INDEX(Segmentation!$X$2:$X$301,MATCH($A114,Segmentation!$A$2:$A$301,0))</f>
        <v>1</v>
      </c>
      <c r="AG114" s="10" t="b">
        <f aca="false">AND(F114="Low",V114&gt;=Assumptions!$B$71,X114&lt;Assumptions!$B$72)</f>
        <v>0</v>
      </c>
      <c r="AH114" s="10" t="b">
        <f aca="false">AND(F114="Low",OR(G114="Growing",G114="Stable"),P114="Recently Active",V114&gt;=Assumptions!$B$58,K114&gt;=Assumptions!$B$73)</f>
        <v>0</v>
      </c>
      <c r="AI114" s="17" t="str">
        <f aca="false">IF(O114&gt;0,MAX(L114:N114)/O114,"")</f>
        <v/>
      </c>
      <c r="AJ114" s="2" t="str">
        <f aca="false">IF(LEFT(D114,1)="1",IF(E114="Key","MIGRATION_KEY_SIGNOFF",IF(Z114="Ready","MIGRATION_PHASE1_READY",IF(Z114="Manual Review","MIGRATION_PHASE1_REVIEW","MIGRATION_PRE_ENTRY"))),IF(LEFT(D114,1)="2","DECLINING_KEY_CORE",IF(LEFT(D114,1)="3",IF(R114="Established Buyer Lapsed","LAPSED_ESTABLISHED","LAPSED_THIN_HISTORY"),IF(LEFT(D114,1)="4",IF(Q114="New Customer","NEW_CUSTOMER","RETURNED_CUSTOMER"),IF(LEFT(D114,1)="5",IF(P114="Recently Active","COST_TO_SERVE_ACTIVE","DORMANT_LOW_VALUE"),IF(LEFT(D114,1)="6",IF(P114="Recent Inactivity","RECENT_INACTIVITY",IF(AG114,"BROWSING_LOW_OFFERS","HEALTHY_STRONG_SELF_SERVE")),IF(LEFT(D114,1)="7",IF(P114="Recent Inactivity","RECENT_INACTIVITY",IF(Q114="New Customer","NEW_CUSTOMER","RETURNED_CUSTOMER")),IF(LEFT(D114,1)="8",IF(G114="Declining",IF(T114="Engaged but shrinking (Key/Core)","ENGAGED_BUT_SHRINKING","DECLINING_KEY_CORE"),IF(R114="Established Buyer Lapsed","LAPSED_ESTABLISHED","LAPSED_THIN_HISTORY")),IF(S114,IF(P114&lt;&gt;"Recently Active","DORMANT_LOW_VALUE",IF(AG114,"BROWSING_LOW_OFFERS",IF(AH114,"RISING_TAIL","RISING_TAIL_EARLY"))),IF(AND(AG114,P114="Recently Active",OR(G114="Growing",G114="Stable",G114="H2 Active / No H1 GMV"),I114&gt;=Assumptions!$B$74),"BROWSING_LOW_OFFERS","LONG_TAIL_STANDARD"))))))))))</f>
        <v>DORMANT_LOW_VALUE</v>
      </c>
      <c r="AK114" s="2" t="str">
        <f aca="false">INDEX('NBA Library'!$B$4:$B$21,MATCH(AJ114,'NBA Library'!$A$4:$A$21,0))</f>
        <v>Automated Nurture</v>
      </c>
      <c r="AL114" s="2" t="str">
        <f aca="false">INDEX('NBA Library'!$C$4:$C$21,MATCH(AJ114,'NBA Library'!$A$4:$A$21,0))</f>
        <v>Automated</v>
      </c>
      <c r="AM114" s="2" t="str">
        <f aca="false">IF(AA114,"HOLD — Critical Data Issue",IF(Y114,"Human Sign-Off Required",IF(Z114="Manual Review","Human Review Required",IF(AND(AL114="Automated",OR(AE114,AND(OR(AK114="Discovery-to-Offer Enablement",AK114="Reinforce Successful Behaviour"),OR(AC114,AB114)))),"Human Review Required",IF(AL114="Human","Ready — Human",IF(AL114="Hybrid","Ready — Hybrid","Ready — Automated"))))))</f>
        <v>Ready — Automated</v>
      </c>
      <c r="AN114" s="2" t="str">
        <f aca="false">IF(AA114,"P0",IF(AND(AJ114="BROWSING_LOW_OFFERS",E114="Tail"),"P3",IF(AND(AM114="Human Review Required",INDEX('NBA Library'!$D$4:$D$21,MATCH(AJ114,'NBA Library'!$A$4:$A$21,0))="P4"),"P3",INDEX('NBA Library'!$D$4:$D$21,MATCH(AJ114,'NBA Library'!$A$4:$A$21,0)))))</f>
        <v>P4</v>
      </c>
      <c r="AO114" s="2" t="str">
        <f aca="false">E114&amp;" "&amp;C114&amp;" account ("&amp;B114&amp;"); "&amp;G114&amp;" momentum; "&amp;P114&amp;"; £"&amp;TEXT(H114,"#,##0")&amp;" 6m GMV. "&amp;INDEX('NBA Library'!$G$4:$G$21,MATCH(AJ114,'NBA Library'!$A$4:$A$21,0))&amp;IF(LEFT(D114,1)="1"," Baseline: "&amp;V114&amp;" PDP views, "&amp;W114&amp;" app days, "&amp;X114&amp;" offers, "&amp;TEXT(J114/I114,"0%")&amp;" of orders self-serve.","")&amp;IF(AA114," Execution on HOLD until the Duplicate status is resolved.","")&amp;IF(Y114," Key account: explicit AM/leadership sign-off required before any migration activity.","")&amp;IF(AE114," Implied broker % from order counts would move this account to a different segment; review before automating.","")</f>
        <v>Tail Broker-Reliant account (Account Managed); Lapsed momentum; No Meaningful History; £580 6m GMV. Low-value account with no recent GMV. Avoid human time.</v>
      </c>
      <c r="AP114" s="2" t="str">
        <f aca="false">INDEX('NBA Library'!$E$4:$E$21,MATCH(AJ114,'NBA Library'!$A$4:$A$21,0))&amp;IF(AND(AJ114="NEW_CUSTOMER",AG114),"; introduce Make-an-Offer on items already browsed","")</f>
        <v>Automated reactivation only; no human time</v>
      </c>
      <c r="AQ114" s="2" t="str">
        <f aca="false">INDEX('NBA Library'!$F$4:$F$21,MATCH(AJ114,'NBA Library'!$A$4:$A$21,0))</f>
        <v>Any order within 90 days</v>
      </c>
      <c r="AR114" s="2" t="str">
        <f aca="false">IF(AND(F114="Low",OR(G114="Growing",G114="Stable"),P114="Recently Active",U114&lt;&gt;"Mixed",OR(AK114="Discovery-to-Offer Enablement",AK114="Reinforce Successful Behaviour"),AM114="Ready — Automated",OR(E114&lt;&gt;"Tail",S114)),"Range Expansion Test — trial "&amp;IF(U114="Bundle-only","handpick","bundles")&amp;" (experimental; not proven to lift GMV)","")</f>
        <v/>
      </c>
      <c r="AS114" s="2" t="str">
        <f aca="false">IF(AK114&lt;&gt;"Automated Nurture","",IF(AJ114="DORMANT_LOW_VALUE","Dormant",IF(AJ114="RISING_TAIL_EARLY","Rising tail – early pattern",IF(Q114="New Customer","New customer onboarding",IF(Q114="Returned Customer","Returned customer",IF(G114="Lapsed","Dormant",IF(T114="Engaged, not converting","Engaged, not converting",IF(T114="One-off low-touch buyer","One-off purchaser",IF(T114="Light-touch repeat buyer","Light-touch repeat buyer","Standard long tail")))))))))</f>
        <v>Dormant</v>
      </c>
      <c r="AT114" s="2" t="str">
        <f aca="false">IF(AA114,"CRITICAL_DATA_BLOCKER; ","")&amp;IF(Y114,"KEY_SIGNOFF; ","")&amp;IF(Z114="Manual Review","PHASE1_MANUAL_REVIEW; ","")&amp;IF(AND(LEFT(D114,1)="1",AZ114="Lumpy"),"LUMPY_CADENCE; ","")&amp;IF(AB114,"BORDERLINE_MOMENTUM; ","")&amp;IF(AC114,"FEB_SENSITIVE; ","")&amp;IF(AD114,"MATERIAL_BROKER_INCONSISTENCY"&amp;IF(AE114," (segment would change)","")&amp;"; ","")&amp;IF(AND(I114&gt;=3,O114&gt;0),IF(AI114&gt;=Assumptions!$B$75,"H2_SINGLE_MONTH_SPIKE; ",""),"")&amp;IF(AND(M114&gt;0,N114=0),"NO_FEB_GMV (Feb unconfirmed); ","")&amp;IF(AF114,"LOW_CONFIDENCE; ","")</f>
        <v>MATERIAL_BROKER_INCONSISTENCY; LOW_CONFIDENCE; </v>
      </c>
      <c r="AU114" s="2" t="str">
        <f aca="false">IF(LEFT(D114,1)="1",V114,"")</f>
        <v/>
      </c>
      <c r="AV114" s="2" t="str">
        <f aca="false">IF(LEFT(D114,1)="1",V114&gt;=Assumptions!$B$58,"")</f>
        <v/>
      </c>
      <c r="AW114" s="2" t="str">
        <f aca="false">IF(LEFT(D114,1)="1",W114,"")</f>
        <v/>
      </c>
      <c r="AX114" s="2" t="str">
        <f aca="false">IF(LEFT(D114,1)="1",X114,"")</f>
        <v/>
      </c>
      <c r="AY114" s="17" t="str">
        <f aca="false">IF(LEFT(D114,1)="1",J114/I114,"")</f>
        <v/>
      </c>
      <c r="AZ114" s="2" t="str">
        <f aca="false">IF(LEFT(D114,1)="1",IF(AND(K114&gt;=Assumptions!$B$83,I114&gt;=Assumptions!$B$84),"Regular","Lumpy"),"")</f>
        <v/>
      </c>
      <c r="BA114" s="2" t="str">
        <f aca="false">IF(LEFT(D114,1)="1",ROUND(6/K114,0),"")</f>
        <v/>
      </c>
      <c r="BB114" s="2" t="str">
        <f aca="false">IF(LEFT(D114,1)="1",IF(AZ114="Regular","Regular buyer: expected ~£"&amp;TEXT(H114/2,"#,##0")&amp;" per 90 days. At Risk if GMV to date &lt; "&amp;TEXT(Assumptions!$B$81,"0%")&amp;" of pro-rated expectation, checked from day "&amp;Assumptions!$B$82&amp;". Human-reviewed.","Irregular buyer ("&amp;I114&amp;" orders across "&amp;K114&amp;" months): no numeric GMV threshold. At Risk if no order within ~"&amp;BA114&amp;" month(s); AM reviews at day "&amp;Assumptions!$B$82&amp;" and "&amp;Assumptions!$B$85&amp;"."),"")</f>
        <v/>
      </c>
      <c r="BC114" s="2"/>
      <c r="BD114" s="2"/>
      <c r="BE114" s="2"/>
      <c r="BF114" s="2"/>
      <c r="BG114" s="2"/>
      <c r="BH114" s="2"/>
      <c r="BI114" s="2"/>
      <c r="BJ114" s="2" t="str">
        <f aca="false">IF(OR(NOT(LEFT(D114,1)="1"),BC114=""),"",IF(AZ114="Regular",AND(BC114&gt;=Assumptions!$B$82,N(BI114)&lt;Assumptions!$B$81*H114/180*BC114),AND(BC114&gt;=BA114*30,N(BG114)=0)))</f>
        <v/>
      </c>
      <c r="BK114" s="2" t="str">
        <f aca="false">IF(NOT(LEFT(D114,1)="1"),"N/A",IF(BC114="","Baseline",IF(BJ114,"At Risk",IF(AND(N(BD114)&gt;=Assumptions!$B$78,N(BE114)&gt;=Assumptions!$B$79,N(BH114)&gt;=1,N(BH114)/MAX(N(BG114),1)&gt;AY114),"Self-Serve Capability Demonstrated",IF(OR(N(BD114)&gt;=Assumptions!$B$76,N(BE114)&gt;=Assumptions!$B$77),"Progressing",IF(BC114&gt;=Assumptions!$B$85,"At Risk","Baseline"))))))</f>
        <v>N/A</v>
      </c>
      <c r="BL114" s="2" t="n">
        <f aca="false">(AND(C114="Broker-Reliant",OR(AK114="Discovery-to-Offer Enablement",AK114="Reinforce Successful Behaviour")))*1+(AND(G114="Declining",E114&lt;&gt;"Tail",AL114="Automated"))*1+(AND(Y114,AM114&lt;&gt;"Human Sign-Off Required"))*1+(AND(AA114,AM114&lt;&gt;"HOLD — Critical Data Issue"))*1+(AND(P114="Recent Inactivity",OR(AK114="Discovery-to-Offer Enablement",AK114="Reinforce Successful Behaviour")))*1+(AND(OR(LEFT(D114,1)="2",LEFT(D114,1)="3",LEFT(D114,1)="8"),AL114="Automated"))*1+((LEFT(D114,1)="1")&lt;&gt;(AK114="Guided Self-Serve Migration"))*1+(AND(AR114&lt;&gt;"",OR(F114&lt;&gt;"Low",U114="Mixed",AND(G114&lt;&gt;"Growing",G114&lt;&gt;"Stable"))))*1+ISNUMBER(SEARCH("chat",AP114))*1+ISNUMBER(SEARCH("video",AP114))*1+(AND(AA114,AL114="Automated",AM114&lt;&gt;"HOLD — Critical Data Issue"))*1</f>
        <v>0</v>
      </c>
    </row>
    <row r="115" customFormat="false" ht="15" hidden="false" customHeight="false" outlineLevel="0" collapsed="false">
      <c r="A115" s="2" t="s">
        <v>672</v>
      </c>
      <c r="B115" s="2" t="str">
        <f aca="false">INDEX(Segmentation!$B$2:$B$301,MATCH($A115,Segmentation!$A$2:$A$301,0))</f>
        <v>Account Managed</v>
      </c>
      <c r="C115" s="2" t="str">
        <f aca="false">INDEX(Segmentation!$H$2:$H$301,MATCH($A115,Segmentation!$A$2:$A$301,0))</f>
        <v>Broker-Reliant</v>
      </c>
      <c r="D115" s="2" t="str">
        <f aca="false">INDEX(Segmentation!$T$2:$T$301,MATCH($A115,Segmentation!$A$2:$A$301,0))</f>
        <v>5. Cost-to-Serve / Low-Touch</v>
      </c>
      <c r="E115" s="2" t="str">
        <f aca="false">INDEX(Segmentation!$J$2:$J$301,MATCH($A115,Segmentation!$A$2:$A$301,0))</f>
        <v>Tail</v>
      </c>
      <c r="F115" s="2" t="str">
        <f aca="false">INDEX(Segmentation!$G$2:$G$301,MATCH($A115,Segmentation!$A$2:$A$301,0))</f>
        <v>High</v>
      </c>
      <c r="G115" s="2" t="str">
        <f aca="false">INDEX(Segmentation!$N$2:$N$301,MATCH($A115,Segmentation!$A$2:$A$301,0))</f>
        <v>Lapsed</v>
      </c>
      <c r="H115" s="9" t="n">
        <f aca="false">INDEX(Segmentation!$I$2:$I$301,MATCH($A115,Segmentation!$A$2:$A$301,0))</f>
        <v>576</v>
      </c>
      <c r="I115" s="2" t="n">
        <f aca="false">INDEX(Segmentation!$O$2:$O$301,MATCH($A115,Segmentation!$A$2:$A$301,0))</f>
        <v>2</v>
      </c>
      <c r="J115" s="2" t="n">
        <f aca="false">INDEX(Segmentation!$Q$2:$Q$301,MATCH($A115,Segmentation!$A$2:$A$301,0))</f>
        <v>1</v>
      </c>
      <c r="K115" s="2" t="n">
        <f aca="false">INDEX(Segmentation!$W$2:$W$301,MATCH($A115,Segmentation!$A$2:$A$301,0))</f>
        <v>2</v>
      </c>
      <c r="L115" s="9" t="n">
        <f aca="false">INDEX('Commercial View'!$L$2:$L$301,MATCH($A115,'Commercial View'!$A$2:$A$301,0))</f>
        <v>0</v>
      </c>
      <c r="M115" s="9" t="n">
        <f aca="false">INDEX('Commercial View'!$M$2:$M$301,MATCH($A115,'Commercial View'!$A$2:$A$301,0))</f>
        <v>0</v>
      </c>
      <c r="N115" s="9" t="n">
        <f aca="false">INDEX('Commercial View'!$N$2:$N$301,MATCH($A115,'Commercial View'!$A$2:$A$301,0))</f>
        <v>0</v>
      </c>
      <c r="O115" s="9" t="n">
        <f aca="false">INDEX(Segmentation!$L$2:$L$301,MATCH($A115,Segmentation!$A$2:$A$301,0))</f>
        <v>0</v>
      </c>
      <c r="P115" s="2" t="str">
        <f aca="false">IF(OR(M115&gt;0,N115&gt;0),"Recently Active",IF(OR(I115&lt;=Assumptions!$B$48,K115&lt;=Assumptions!$B$49),"No Meaningful History","Recent Inactivity"))</f>
        <v>No Meaningful History</v>
      </c>
      <c r="Q115" s="2" t="str">
        <f aca="false">INDEX(Segmentation!$AF$2:$AF$301,MATCH($A115,Segmentation!$A$2:$A$301,0))</f>
        <v>Existing Customer</v>
      </c>
      <c r="R115" s="2" t="str">
        <f aca="false">INDEX(Segmentation!$AL$2:$AL$301,MATCH($A115,Segmentation!$A$2:$A$301,0))</f>
        <v>One-Off / Insufficient History — Verify</v>
      </c>
      <c r="S115" s="10" t="b">
        <f aca="false">INDEX(Segmentation!$AW$2:$AW$301,MATCH($A115,Segmentation!$A$2:$A$301,0))</f>
        <v>0</v>
      </c>
      <c r="T115" s="2" t="str">
        <f aca="false">INDEX('Feature Data'!$AD$2:$AD$301,MATCH($A115,'Feature Data'!$A$2:$A$301,0))</f>
        <v>Broker-led, product-blind</v>
      </c>
      <c r="U115" s="2" t="str">
        <f aca="false">INDEX('Feature Data'!$W$2:$W$301,MATCH($A115,'Feature Data'!$A$2:$A$301,0))</f>
        <v>Mixed</v>
      </c>
      <c r="V115" s="2" t="n">
        <f aca="false">INDEX('Feature Data'!$P$2:$P$301,MATCH($A115,'Feature Data'!$A$2:$A$301,0))</f>
        <v>4</v>
      </c>
      <c r="W115" s="2" t="n">
        <f aca="false">INDEX(Segmentation!$R$2:$R$301,MATCH($A115,Segmentation!$A$2:$A$301,0))</f>
        <v>3</v>
      </c>
      <c r="X115" s="2" t="n">
        <f aca="false">INDEX(Segmentation!$S$2:$S$301,MATCH($A115,Segmentation!$A$2:$A$301,0))</f>
        <v>1</v>
      </c>
      <c r="Y115" s="10" t="b">
        <f aca="false">INDEX(Segmentation!$AG$2:$AG$301,MATCH($A115,Segmentation!$A$2:$A$301,0))</f>
        <v>0</v>
      </c>
      <c r="Z115" s="2" t="str">
        <f aca="false">INDEX(Segmentation!$AU$2:$AU$301,MATCH($A115,Segmentation!$A$2:$A$301,0))</f>
        <v>Not Eligible</v>
      </c>
      <c r="AA115" s="10" t="b">
        <f aca="false">INDEX(Segmentation!$Z$2:$Z$301,MATCH($A115,Segmentation!$A$2:$A$301,0))</f>
        <v>0</v>
      </c>
      <c r="AB115" s="10" t="b">
        <f aca="false">INDEX(Segmentation!$AH$2:$AH$301,MATCH($A115,Segmentation!$A$2:$A$301,0))</f>
        <v>0</v>
      </c>
      <c r="AC115" s="10" t="b">
        <f aca="false">INDEX(Segmentation!$AK$2:$AK$301,MATCH($A115,Segmentation!$A$2:$A$301,0))</f>
        <v>0</v>
      </c>
      <c r="AD115" s="10" t="b">
        <f aca="false">INDEX(Segmentation!$AQ$2:$AQ$301,MATCH($A115,Segmentation!$A$2:$A$301,0))</f>
        <v>0</v>
      </c>
      <c r="AE115" s="10" t="b">
        <f aca="false">INDEX(Segmentation!$AT$2:$AT$301,MATCH($A115,Segmentation!$A$2:$A$301,0))</f>
        <v>0</v>
      </c>
      <c r="AF115" s="10" t="b">
        <f aca="false">INDEX(Segmentation!$X$2:$X$301,MATCH($A115,Segmentation!$A$2:$A$301,0))</f>
        <v>1</v>
      </c>
      <c r="AG115" s="10" t="b">
        <f aca="false">AND(F115="Low",V115&gt;=Assumptions!$B$71,X115&lt;Assumptions!$B$72)</f>
        <v>0</v>
      </c>
      <c r="AH115" s="10" t="b">
        <f aca="false">AND(F115="Low",OR(G115="Growing",G115="Stable"),P115="Recently Active",V115&gt;=Assumptions!$B$58,K115&gt;=Assumptions!$B$73)</f>
        <v>0</v>
      </c>
      <c r="AI115" s="17" t="str">
        <f aca="false">IF(O115&gt;0,MAX(L115:N115)/O115,"")</f>
        <v/>
      </c>
      <c r="AJ115" s="2" t="str">
        <f aca="false">IF(LEFT(D115,1)="1",IF(E115="Key","MIGRATION_KEY_SIGNOFF",IF(Z115="Ready","MIGRATION_PHASE1_READY",IF(Z115="Manual Review","MIGRATION_PHASE1_REVIEW","MIGRATION_PRE_ENTRY"))),IF(LEFT(D115,1)="2","DECLINING_KEY_CORE",IF(LEFT(D115,1)="3",IF(R115="Established Buyer Lapsed","LAPSED_ESTABLISHED","LAPSED_THIN_HISTORY"),IF(LEFT(D115,1)="4",IF(Q115="New Customer","NEW_CUSTOMER","RETURNED_CUSTOMER"),IF(LEFT(D115,1)="5",IF(P115="Recently Active","COST_TO_SERVE_ACTIVE","DORMANT_LOW_VALUE"),IF(LEFT(D115,1)="6",IF(P115="Recent Inactivity","RECENT_INACTIVITY",IF(AG115,"BROWSING_LOW_OFFERS","HEALTHY_STRONG_SELF_SERVE")),IF(LEFT(D115,1)="7",IF(P115="Recent Inactivity","RECENT_INACTIVITY",IF(Q115="New Customer","NEW_CUSTOMER","RETURNED_CUSTOMER")),IF(LEFT(D115,1)="8",IF(G115="Declining",IF(T115="Engaged but shrinking (Key/Core)","ENGAGED_BUT_SHRINKING","DECLINING_KEY_CORE"),IF(R115="Established Buyer Lapsed","LAPSED_ESTABLISHED","LAPSED_THIN_HISTORY")),IF(S115,IF(P115&lt;&gt;"Recently Active","DORMANT_LOW_VALUE",IF(AG115,"BROWSING_LOW_OFFERS",IF(AH115,"RISING_TAIL","RISING_TAIL_EARLY"))),IF(AND(AG115,P115="Recently Active",OR(G115="Growing",G115="Stable",G115="H2 Active / No H1 GMV"),I115&gt;=Assumptions!$B$74),"BROWSING_LOW_OFFERS","LONG_TAIL_STANDARD"))))))))))</f>
        <v>DORMANT_LOW_VALUE</v>
      </c>
      <c r="AK115" s="2" t="str">
        <f aca="false">INDEX('NBA Library'!$B$4:$B$21,MATCH(AJ115,'NBA Library'!$A$4:$A$21,0))</f>
        <v>Automated Nurture</v>
      </c>
      <c r="AL115" s="2" t="str">
        <f aca="false">INDEX('NBA Library'!$C$4:$C$21,MATCH(AJ115,'NBA Library'!$A$4:$A$21,0))</f>
        <v>Automated</v>
      </c>
      <c r="AM115" s="2" t="str">
        <f aca="false">IF(AA115,"HOLD — Critical Data Issue",IF(Y115,"Human Sign-Off Required",IF(Z115="Manual Review","Human Review Required",IF(AND(AL115="Automated",OR(AE115,AND(OR(AK115="Discovery-to-Offer Enablement",AK115="Reinforce Successful Behaviour"),OR(AC115,AB115)))),"Human Review Required",IF(AL115="Human","Ready — Human",IF(AL115="Hybrid","Ready — Hybrid","Ready — Automated"))))))</f>
        <v>Ready — Automated</v>
      </c>
      <c r="AN115" s="2" t="str">
        <f aca="false">IF(AA115,"P0",IF(AND(AJ115="BROWSING_LOW_OFFERS",E115="Tail"),"P3",IF(AND(AM115="Human Review Required",INDEX('NBA Library'!$D$4:$D$21,MATCH(AJ115,'NBA Library'!$A$4:$A$21,0))="P4"),"P3",INDEX('NBA Library'!$D$4:$D$21,MATCH(AJ115,'NBA Library'!$A$4:$A$21,0)))))</f>
        <v>P4</v>
      </c>
      <c r="AO115" s="2" t="str">
        <f aca="false">E115&amp;" "&amp;C115&amp;" account ("&amp;B115&amp;"); "&amp;G115&amp;" momentum; "&amp;P115&amp;"; £"&amp;TEXT(H115,"#,##0")&amp;" 6m GMV. "&amp;INDEX('NBA Library'!$G$4:$G$21,MATCH(AJ115,'NBA Library'!$A$4:$A$21,0))&amp;IF(LEFT(D115,1)="1"," Baseline: "&amp;V115&amp;" PDP views, "&amp;W115&amp;" app days, "&amp;X115&amp;" offers, "&amp;TEXT(J115/I115,"0%")&amp;" of orders self-serve.","")&amp;IF(AA115," Execution on HOLD until the Duplicate status is resolved.","")&amp;IF(Y115," Key account: explicit AM/leadership sign-off required before any migration activity.","")&amp;IF(AE115," Implied broker % from order counts would move this account to a different segment; review before automating.","")</f>
        <v>Tail Broker-Reliant account (Account Managed); Lapsed momentum; No Meaningful History; £576 6m GMV. Low-value account with no recent GMV. Avoid human time.</v>
      </c>
      <c r="AP115" s="2" t="str">
        <f aca="false">INDEX('NBA Library'!$E$4:$E$21,MATCH(AJ115,'NBA Library'!$A$4:$A$21,0))&amp;IF(AND(AJ115="NEW_CUSTOMER",AG115),"; introduce Make-an-Offer on items already browsed","")</f>
        <v>Automated reactivation only; no human time</v>
      </c>
      <c r="AQ115" s="2" t="str">
        <f aca="false">INDEX('NBA Library'!$F$4:$F$21,MATCH(AJ115,'NBA Library'!$A$4:$A$21,0))</f>
        <v>Any order within 90 days</v>
      </c>
      <c r="AR115" s="2" t="str">
        <f aca="false">IF(AND(F115="Low",OR(G115="Growing",G115="Stable"),P115="Recently Active",U115&lt;&gt;"Mixed",OR(AK115="Discovery-to-Offer Enablement",AK115="Reinforce Successful Behaviour"),AM115="Ready — Automated",OR(E115&lt;&gt;"Tail",S115)),"Range Expansion Test — trial "&amp;IF(U115="Bundle-only","handpick","bundles")&amp;" (experimental; not proven to lift GMV)","")</f>
        <v/>
      </c>
      <c r="AS115" s="2" t="str">
        <f aca="false">IF(AK115&lt;&gt;"Automated Nurture","",IF(AJ115="DORMANT_LOW_VALUE","Dormant",IF(AJ115="RISING_TAIL_EARLY","Rising tail – early pattern",IF(Q115="New Customer","New customer onboarding",IF(Q115="Returned Customer","Returned customer",IF(G115="Lapsed","Dormant",IF(T115="Engaged, not converting","Engaged, not converting",IF(T115="One-off low-touch buyer","One-off purchaser",IF(T115="Light-touch repeat buyer","Light-touch repeat buyer","Standard long tail")))))))))</f>
        <v>Dormant</v>
      </c>
      <c r="AT115" s="2" t="str">
        <f aca="false">IF(AA115,"CRITICAL_DATA_BLOCKER; ","")&amp;IF(Y115,"KEY_SIGNOFF; ","")&amp;IF(Z115="Manual Review","PHASE1_MANUAL_REVIEW; ","")&amp;IF(AND(LEFT(D115,1)="1",AZ115="Lumpy"),"LUMPY_CADENCE; ","")&amp;IF(AB115,"BORDERLINE_MOMENTUM; ","")&amp;IF(AC115,"FEB_SENSITIVE; ","")&amp;IF(AD115,"MATERIAL_BROKER_INCONSISTENCY"&amp;IF(AE115," (segment would change)","")&amp;"; ","")&amp;IF(AND(I115&gt;=3,O115&gt;0),IF(AI115&gt;=Assumptions!$B$75,"H2_SINGLE_MONTH_SPIKE; ",""),"")&amp;IF(AND(M115&gt;0,N115=0),"NO_FEB_GMV (Feb unconfirmed); ","")&amp;IF(AF115,"LOW_CONFIDENCE; ","")</f>
        <v>LOW_CONFIDENCE; </v>
      </c>
      <c r="AU115" s="2" t="str">
        <f aca="false">IF(LEFT(D115,1)="1",V115,"")</f>
        <v/>
      </c>
      <c r="AV115" s="2" t="str">
        <f aca="false">IF(LEFT(D115,1)="1",V115&gt;=Assumptions!$B$58,"")</f>
        <v/>
      </c>
      <c r="AW115" s="2" t="str">
        <f aca="false">IF(LEFT(D115,1)="1",W115,"")</f>
        <v/>
      </c>
      <c r="AX115" s="2" t="str">
        <f aca="false">IF(LEFT(D115,1)="1",X115,"")</f>
        <v/>
      </c>
      <c r="AY115" s="17" t="str">
        <f aca="false">IF(LEFT(D115,1)="1",J115/I115,"")</f>
        <v/>
      </c>
      <c r="AZ115" s="2" t="str">
        <f aca="false">IF(LEFT(D115,1)="1",IF(AND(K115&gt;=Assumptions!$B$83,I115&gt;=Assumptions!$B$84),"Regular","Lumpy"),"")</f>
        <v/>
      </c>
      <c r="BA115" s="2" t="str">
        <f aca="false">IF(LEFT(D115,1)="1",ROUND(6/K115,0),"")</f>
        <v/>
      </c>
      <c r="BB115" s="2" t="str">
        <f aca="false">IF(LEFT(D115,1)="1",IF(AZ115="Regular","Regular buyer: expected ~£"&amp;TEXT(H115/2,"#,##0")&amp;" per 90 days. At Risk if GMV to date &lt; "&amp;TEXT(Assumptions!$B$81,"0%")&amp;" of pro-rated expectation, checked from day "&amp;Assumptions!$B$82&amp;". Human-reviewed.","Irregular buyer ("&amp;I115&amp;" orders across "&amp;K115&amp;" months): no numeric GMV threshold. At Risk if no order within ~"&amp;BA115&amp;" month(s); AM reviews at day "&amp;Assumptions!$B$82&amp;" and "&amp;Assumptions!$B$85&amp;"."),"")</f>
        <v/>
      </c>
      <c r="BC115" s="2"/>
      <c r="BD115" s="2"/>
      <c r="BE115" s="2"/>
      <c r="BF115" s="2"/>
      <c r="BG115" s="2"/>
      <c r="BH115" s="2"/>
      <c r="BI115" s="2"/>
      <c r="BJ115" s="2" t="str">
        <f aca="false">IF(OR(NOT(LEFT(D115,1)="1"),BC115=""),"",IF(AZ115="Regular",AND(BC115&gt;=Assumptions!$B$82,N(BI115)&lt;Assumptions!$B$81*H115/180*BC115),AND(BC115&gt;=BA115*30,N(BG115)=0)))</f>
        <v/>
      </c>
      <c r="BK115" s="2" t="str">
        <f aca="false">IF(NOT(LEFT(D115,1)="1"),"N/A",IF(BC115="","Baseline",IF(BJ115,"At Risk",IF(AND(N(BD115)&gt;=Assumptions!$B$78,N(BE115)&gt;=Assumptions!$B$79,N(BH115)&gt;=1,N(BH115)/MAX(N(BG115),1)&gt;AY115),"Self-Serve Capability Demonstrated",IF(OR(N(BD115)&gt;=Assumptions!$B$76,N(BE115)&gt;=Assumptions!$B$77),"Progressing",IF(BC115&gt;=Assumptions!$B$85,"At Risk","Baseline"))))))</f>
        <v>N/A</v>
      </c>
      <c r="BL115" s="2" t="n">
        <f aca="false">(AND(C115="Broker-Reliant",OR(AK115="Discovery-to-Offer Enablement",AK115="Reinforce Successful Behaviour")))*1+(AND(G115="Declining",E115&lt;&gt;"Tail",AL115="Automated"))*1+(AND(Y115,AM115&lt;&gt;"Human Sign-Off Required"))*1+(AND(AA115,AM115&lt;&gt;"HOLD — Critical Data Issue"))*1+(AND(P115="Recent Inactivity",OR(AK115="Discovery-to-Offer Enablement",AK115="Reinforce Successful Behaviour")))*1+(AND(OR(LEFT(D115,1)="2",LEFT(D115,1)="3",LEFT(D115,1)="8"),AL115="Automated"))*1+((LEFT(D115,1)="1")&lt;&gt;(AK115="Guided Self-Serve Migration"))*1+(AND(AR115&lt;&gt;"",OR(F115&lt;&gt;"Low",U115="Mixed",AND(G115&lt;&gt;"Growing",G115&lt;&gt;"Stable"))))*1+ISNUMBER(SEARCH("chat",AP115))*1+ISNUMBER(SEARCH("video",AP115))*1+(AND(AA115,AL115="Automated",AM115&lt;&gt;"HOLD — Critical Data Issue"))*1</f>
        <v>0</v>
      </c>
    </row>
    <row r="116" customFormat="false" ht="15" hidden="false" customHeight="false" outlineLevel="0" collapsed="false">
      <c r="A116" s="2" t="s">
        <v>674</v>
      </c>
      <c r="B116" s="2" t="str">
        <f aca="false">INDEX(Segmentation!$B$2:$B$301,MATCH($A116,Segmentation!$A$2:$A$301,0))</f>
        <v>Account Managed</v>
      </c>
      <c r="C116" s="2" t="str">
        <f aca="false">INDEX(Segmentation!$H$2:$H$301,MATCH($A116,Segmentation!$A$2:$A$301,0))</f>
        <v>AM-Owned / Self-Serving</v>
      </c>
      <c r="D116" s="2" t="str">
        <f aca="false">INDEX(Segmentation!$T$2:$T$301,MATCH($A116,Segmentation!$A$2:$A$301,0))</f>
        <v>9. Long-Tail Automated Nurture</v>
      </c>
      <c r="E116" s="2" t="str">
        <f aca="false">INDEX(Segmentation!$J$2:$J$301,MATCH($A116,Segmentation!$A$2:$A$301,0))</f>
        <v>Tail</v>
      </c>
      <c r="F116" s="2" t="str">
        <f aca="false">INDEX(Segmentation!$G$2:$G$301,MATCH($A116,Segmentation!$A$2:$A$301,0))</f>
        <v>Low</v>
      </c>
      <c r="G116" s="2" t="str">
        <f aca="false">INDEX(Segmentation!$N$2:$N$301,MATCH($A116,Segmentation!$A$2:$A$301,0))</f>
        <v>Lapsed</v>
      </c>
      <c r="H116" s="9" t="n">
        <f aca="false">INDEX(Segmentation!$I$2:$I$301,MATCH($A116,Segmentation!$A$2:$A$301,0))</f>
        <v>574</v>
      </c>
      <c r="I116" s="2" t="n">
        <f aca="false">INDEX(Segmentation!$O$2:$O$301,MATCH($A116,Segmentation!$A$2:$A$301,0))</f>
        <v>1</v>
      </c>
      <c r="J116" s="2" t="n">
        <f aca="false">INDEX(Segmentation!$Q$2:$Q$301,MATCH($A116,Segmentation!$A$2:$A$301,0))</f>
        <v>1</v>
      </c>
      <c r="K116" s="2" t="n">
        <f aca="false">INDEX(Segmentation!$W$2:$W$301,MATCH($A116,Segmentation!$A$2:$A$301,0))</f>
        <v>1</v>
      </c>
      <c r="L116" s="9" t="n">
        <f aca="false">INDEX('Commercial View'!$L$2:$L$301,MATCH($A116,'Commercial View'!$A$2:$A$301,0))</f>
        <v>0</v>
      </c>
      <c r="M116" s="9" t="n">
        <f aca="false">INDEX('Commercial View'!$M$2:$M$301,MATCH($A116,'Commercial View'!$A$2:$A$301,0))</f>
        <v>0</v>
      </c>
      <c r="N116" s="9" t="n">
        <f aca="false">INDEX('Commercial View'!$N$2:$N$301,MATCH($A116,'Commercial View'!$A$2:$A$301,0))</f>
        <v>0</v>
      </c>
      <c r="O116" s="9" t="n">
        <f aca="false">INDEX(Segmentation!$L$2:$L$301,MATCH($A116,Segmentation!$A$2:$A$301,0))</f>
        <v>0</v>
      </c>
      <c r="P116" s="2" t="str">
        <f aca="false">IF(OR(M116&gt;0,N116&gt;0),"Recently Active",IF(OR(I116&lt;=Assumptions!$B$48,K116&lt;=Assumptions!$B$49),"No Meaningful History","Recent Inactivity"))</f>
        <v>No Meaningful History</v>
      </c>
      <c r="Q116" s="2" t="str">
        <f aca="false">INDEX(Segmentation!$AF$2:$AF$301,MATCH($A116,Segmentation!$A$2:$A$301,0))</f>
        <v>Existing Customer</v>
      </c>
      <c r="R116" s="2" t="str">
        <f aca="false">INDEX(Segmentation!$AL$2:$AL$301,MATCH($A116,Segmentation!$A$2:$A$301,0))</f>
        <v>One-Off / Insufficient History — Verify</v>
      </c>
      <c r="S116" s="10" t="b">
        <f aca="false">INDEX(Segmentation!$AW$2:$AW$301,MATCH($A116,Segmentation!$A$2:$A$301,0))</f>
        <v>0</v>
      </c>
      <c r="T116" s="2" t="str">
        <f aca="false">INDEX('Feature Data'!$AD$2:$AD$301,MATCH($A116,'Feature Data'!$A$2:$A$301,0))</f>
        <v>One-off low-touch buyer</v>
      </c>
      <c r="U116" s="2" t="str">
        <f aca="false">INDEX('Feature Data'!$W$2:$W$301,MATCH($A116,'Feature Data'!$A$2:$A$301,0))</f>
        <v>Bundle-only</v>
      </c>
      <c r="V116" s="2" t="n">
        <f aca="false">INDEX('Feature Data'!$P$2:$P$301,MATCH($A116,'Feature Data'!$A$2:$A$301,0))</f>
        <v>4</v>
      </c>
      <c r="W116" s="2" t="n">
        <f aca="false">INDEX(Segmentation!$R$2:$R$301,MATCH($A116,Segmentation!$A$2:$A$301,0))</f>
        <v>3</v>
      </c>
      <c r="X116" s="2" t="n">
        <f aca="false">INDEX(Segmentation!$S$2:$S$301,MATCH($A116,Segmentation!$A$2:$A$301,0))</f>
        <v>0</v>
      </c>
      <c r="Y116" s="10" t="b">
        <f aca="false">INDEX(Segmentation!$AG$2:$AG$301,MATCH($A116,Segmentation!$A$2:$A$301,0))</f>
        <v>0</v>
      </c>
      <c r="Z116" s="2" t="str">
        <f aca="false">INDEX(Segmentation!$AU$2:$AU$301,MATCH($A116,Segmentation!$A$2:$A$301,0))</f>
        <v>Not Eligible</v>
      </c>
      <c r="AA116" s="10" t="b">
        <f aca="false">INDEX(Segmentation!$Z$2:$Z$301,MATCH($A116,Segmentation!$A$2:$A$301,0))</f>
        <v>0</v>
      </c>
      <c r="AB116" s="10" t="b">
        <f aca="false">INDEX(Segmentation!$AH$2:$AH$301,MATCH($A116,Segmentation!$A$2:$A$301,0))</f>
        <v>0</v>
      </c>
      <c r="AC116" s="10" t="b">
        <f aca="false">INDEX(Segmentation!$AK$2:$AK$301,MATCH($A116,Segmentation!$A$2:$A$301,0))</f>
        <v>0</v>
      </c>
      <c r="AD116" s="10" t="b">
        <f aca="false">INDEX(Segmentation!$AQ$2:$AQ$301,MATCH($A116,Segmentation!$A$2:$A$301,0))</f>
        <v>0</v>
      </c>
      <c r="AE116" s="10" t="b">
        <f aca="false">INDEX(Segmentation!$AT$2:$AT$301,MATCH($A116,Segmentation!$A$2:$A$301,0))</f>
        <v>0</v>
      </c>
      <c r="AF116" s="10" t="b">
        <f aca="false">INDEX(Segmentation!$X$2:$X$301,MATCH($A116,Segmentation!$A$2:$A$301,0))</f>
        <v>1</v>
      </c>
      <c r="AG116" s="10" t="b">
        <f aca="false">AND(F116="Low",V116&gt;=Assumptions!$B$71,X116&lt;Assumptions!$B$72)</f>
        <v>0</v>
      </c>
      <c r="AH116" s="10" t="b">
        <f aca="false">AND(F116="Low",OR(G116="Growing",G116="Stable"),P116="Recently Active",V116&gt;=Assumptions!$B$58,K116&gt;=Assumptions!$B$73)</f>
        <v>0</v>
      </c>
      <c r="AI116" s="17" t="str">
        <f aca="false">IF(O116&gt;0,MAX(L116:N116)/O116,"")</f>
        <v/>
      </c>
      <c r="AJ116" s="2" t="str">
        <f aca="false">IF(LEFT(D116,1)="1",IF(E116="Key","MIGRATION_KEY_SIGNOFF",IF(Z116="Ready","MIGRATION_PHASE1_READY",IF(Z116="Manual Review","MIGRATION_PHASE1_REVIEW","MIGRATION_PRE_ENTRY"))),IF(LEFT(D116,1)="2","DECLINING_KEY_CORE",IF(LEFT(D116,1)="3",IF(R116="Established Buyer Lapsed","LAPSED_ESTABLISHED","LAPSED_THIN_HISTORY"),IF(LEFT(D116,1)="4",IF(Q116="New Customer","NEW_CUSTOMER","RETURNED_CUSTOMER"),IF(LEFT(D116,1)="5",IF(P116="Recently Active","COST_TO_SERVE_ACTIVE","DORMANT_LOW_VALUE"),IF(LEFT(D116,1)="6",IF(P116="Recent Inactivity","RECENT_INACTIVITY",IF(AG116,"BROWSING_LOW_OFFERS","HEALTHY_STRONG_SELF_SERVE")),IF(LEFT(D116,1)="7",IF(P116="Recent Inactivity","RECENT_INACTIVITY",IF(Q116="New Customer","NEW_CUSTOMER","RETURNED_CUSTOMER")),IF(LEFT(D116,1)="8",IF(G116="Declining",IF(T116="Engaged but shrinking (Key/Core)","ENGAGED_BUT_SHRINKING","DECLINING_KEY_CORE"),IF(R116="Established Buyer Lapsed","LAPSED_ESTABLISHED","LAPSED_THIN_HISTORY")),IF(S116,IF(P116&lt;&gt;"Recently Active","DORMANT_LOW_VALUE",IF(AG116,"BROWSING_LOW_OFFERS",IF(AH116,"RISING_TAIL","RISING_TAIL_EARLY"))),IF(AND(AG116,P116="Recently Active",OR(G116="Growing",G116="Stable",G116="H2 Active / No H1 GMV"),I116&gt;=Assumptions!$B$74),"BROWSING_LOW_OFFERS","LONG_TAIL_STANDARD"))))))))))</f>
        <v>LONG_TAIL_STANDARD</v>
      </c>
      <c r="AK116" s="2" t="str">
        <f aca="false">INDEX('NBA Library'!$B$4:$B$21,MATCH(AJ116,'NBA Library'!$A$4:$A$21,0))</f>
        <v>Automated Nurture</v>
      </c>
      <c r="AL116" s="2" t="str">
        <f aca="false">INDEX('NBA Library'!$C$4:$C$21,MATCH(AJ116,'NBA Library'!$A$4:$A$21,0))</f>
        <v>Automated</v>
      </c>
      <c r="AM116" s="2" t="str">
        <f aca="false">IF(AA116,"HOLD — Critical Data Issue",IF(Y116,"Human Sign-Off Required",IF(Z116="Manual Review","Human Review Required",IF(AND(AL116="Automated",OR(AE116,AND(OR(AK116="Discovery-to-Offer Enablement",AK116="Reinforce Successful Behaviour"),OR(AC116,AB116)))),"Human Review Required",IF(AL116="Human","Ready — Human",IF(AL116="Hybrid","Ready — Hybrid","Ready — Automated"))))))</f>
        <v>Ready — Automated</v>
      </c>
      <c r="AN116" s="2" t="str">
        <f aca="false">IF(AA116,"P0",IF(AND(AJ116="BROWSING_LOW_OFFERS",E116="Tail"),"P3",IF(AND(AM116="Human Review Required",INDEX('NBA Library'!$D$4:$D$21,MATCH(AJ116,'NBA Library'!$A$4:$A$21,0))="P4"),"P3",INDEX('NBA Library'!$D$4:$D$21,MATCH(AJ116,'NBA Library'!$A$4:$A$21,0)))))</f>
        <v>P4</v>
      </c>
      <c r="AO116" s="2" t="str">
        <f aca="false">E116&amp;" "&amp;C116&amp;" account ("&amp;B116&amp;"); "&amp;G116&amp;" momentum; "&amp;P116&amp;"; £"&amp;TEXT(H116,"#,##0")&amp;" 6m GMV. "&amp;INDEX('NBA Library'!$G$4:$G$21,MATCH(AJ116,'NBA Library'!$A$4:$A$21,0))&amp;IF(LEFT(D116,1)="1"," Baseline: "&amp;V116&amp;" PDP views, "&amp;W116&amp;" app days, "&amp;X116&amp;" offers, "&amp;TEXT(J116/I116,"0%")&amp;" of orders self-serve.","")&amp;IF(AA116," Execution on HOLD until the Duplicate status is resolved.","")&amp;IF(Y116," Key account: explicit AM/leadership sign-off required before any migration activity.","")&amp;IF(AE116," Implied broker % from order counts would move this account to a different segment; review before automating.","")</f>
        <v>Tail AM-Owned / Self-Serving account (Account Managed); Lapsed momentum; No Meaningful History; £574 6m GMV. Low-value, low-dependency account. Scalable automated engagement.</v>
      </c>
      <c r="AP116" s="2" t="str">
        <f aca="false">INDEX('NBA Library'!$E$4:$E$21,MATCH(AJ116,'NBA Library'!$A$4:$A$21,0))&amp;IF(AND(AJ116="NEW_CUSTOMER",AG116),"; introduce Make-an-Offer on items already browsed","")</f>
        <v>Scalable automated engagement matched to nurture sub-context</v>
      </c>
      <c r="AQ116" s="2" t="str">
        <f aca="false">INDEX('NBA Library'!$F$4:$F$21,MATCH(AJ116,'NBA Library'!$A$4:$A$21,0))</f>
        <v>Any repeat order within 90 days</v>
      </c>
      <c r="AR116" s="2" t="str">
        <f aca="false">IF(AND(F116="Low",OR(G116="Growing",G116="Stable"),P116="Recently Active",U116&lt;&gt;"Mixed",OR(AK116="Discovery-to-Offer Enablement",AK116="Reinforce Successful Behaviour"),AM116="Ready — Automated",OR(E116&lt;&gt;"Tail",S116)),"Range Expansion Test — trial "&amp;IF(U116="Bundle-only","handpick","bundles")&amp;" (experimental; not proven to lift GMV)","")</f>
        <v/>
      </c>
      <c r="AS116" s="2" t="str">
        <f aca="false">IF(AK116&lt;&gt;"Automated Nurture","",IF(AJ116="DORMANT_LOW_VALUE","Dormant",IF(AJ116="RISING_TAIL_EARLY","Rising tail – early pattern",IF(Q116="New Customer","New customer onboarding",IF(Q116="Returned Customer","Returned customer",IF(G116="Lapsed","Dormant",IF(T116="Engaged, not converting","Engaged, not converting",IF(T116="One-off low-touch buyer","One-off purchaser",IF(T116="Light-touch repeat buyer","Light-touch repeat buyer","Standard long tail")))))))))</f>
        <v>Dormant</v>
      </c>
      <c r="AT116" s="2" t="str">
        <f aca="false">IF(AA116,"CRITICAL_DATA_BLOCKER; ","")&amp;IF(Y116,"KEY_SIGNOFF; ","")&amp;IF(Z116="Manual Review","PHASE1_MANUAL_REVIEW; ","")&amp;IF(AND(LEFT(D116,1)="1",AZ116="Lumpy"),"LUMPY_CADENCE; ","")&amp;IF(AB116,"BORDERLINE_MOMENTUM; ","")&amp;IF(AC116,"FEB_SENSITIVE; ","")&amp;IF(AD116,"MATERIAL_BROKER_INCONSISTENCY"&amp;IF(AE116," (segment would change)","")&amp;"; ","")&amp;IF(AND(I116&gt;=3,O116&gt;0),IF(AI116&gt;=Assumptions!$B$75,"H2_SINGLE_MONTH_SPIKE; ",""),"")&amp;IF(AND(M116&gt;0,N116=0),"NO_FEB_GMV (Feb unconfirmed); ","")&amp;IF(AF116,"LOW_CONFIDENCE; ","")</f>
        <v>LOW_CONFIDENCE; </v>
      </c>
      <c r="AU116" s="2" t="str">
        <f aca="false">IF(LEFT(D116,1)="1",V116,"")</f>
        <v/>
      </c>
      <c r="AV116" s="2" t="str">
        <f aca="false">IF(LEFT(D116,1)="1",V116&gt;=Assumptions!$B$58,"")</f>
        <v/>
      </c>
      <c r="AW116" s="2" t="str">
        <f aca="false">IF(LEFT(D116,1)="1",W116,"")</f>
        <v/>
      </c>
      <c r="AX116" s="2" t="str">
        <f aca="false">IF(LEFT(D116,1)="1",X116,"")</f>
        <v/>
      </c>
      <c r="AY116" s="17" t="str">
        <f aca="false">IF(LEFT(D116,1)="1",J116/I116,"")</f>
        <v/>
      </c>
      <c r="AZ116" s="2" t="str">
        <f aca="false">IF(LEFT(D116,1)="1",IF(AND(K116&gt;=Assumptions!$B$83,I116&gt;=Assumptions!$B$84),"Regular","Lumpy"),"")</f>
        <v/>
      </c>
      <c r="BA116" s="2" t="str">
        <f aca="false">IF(LEFT(D116,1)="1",ROUND(6/K116,0),"")</f>
        <v/>
      </c>
      <c r="BB116" s="2" t="str">
        <f aca="false">IF(LEFT(D116,1)="1",IF(AZ116="Regular","Regular buyer: expected ~£"&amp;TEXT(H116/2,"#,##0")&amp;" per 90 days. At Risk if GMV to date &lt; "&amp;TEXT(Assumptions!$B$81,"0%")&amp;" of pro-rated expectation, checked from day "&amp;Assumptions!$B$82&amp;". Human-reviewed.","Irregular buyer ("&amp;I116&amp;" orders across "&amp;K116&amp;" months): no numeric GMV threshold. At Risk if no order within ~"&amp;BA116&amp;" month(s); AM reviews at day "&amp;Assumptions!$B$82&amp;" and "&amp;Assumptions!$B$85&amp;"."),"")</f>
        <v/>
      </c>
      <c r="BC116" s="2"/>
      <c r="BD116" s="2"/>
      <c r="BE116" s="2"/>
      <c r="BF116" s="2"/>
      <c r="BG116" s="2"/>
      <c r="BH116" s="2"/>
      <c r="BI116" s="2"/>
      <c r="BJ116" s="2" t="str">
        <f aca="false">IF(OR(NOT(LEFT(D116,1)="1"),BC116=""),"",IF(AZ116="Regular",AND(BC116&gt;=Assumptions!$B$82,N(BI116)&lt;Assumptions!$B$81*H116/180*BC116),AND(BC116&gt;=BA116*30,N(BG116)=0)))</f>
        <v/>
      </c>
      <c r="BK116" s="2" t="str">
        <f aca="false">IF(NOT(LEFT(D116,1)="1"),"N/A",IF(BC116="","Baseline",IF(BJ116,"At Risk",IF(AND(N(BD116)&gt;=Assumptions!$B$78,N(BE116)&gt;=Assumptions!$B$79,N(BH116)&gt;=1,N(BH116)/MAX(N(BG116),1)&gt;AY116),"Self-Serve Capability Demonstrated",IF(OR(N(BD116)&gt;=Assumptions!$B$76,N(BE116)&gt;=Assumptions!$B$77),"Progressing",IF(BC116&gt;=Assumptions!$B$85,"At Risk","Baseline"))))))</f>
        <v>N/A</v>
      </c>
      <c r="BL116" s="2" t="n">
        <f aca="false">(AND(C116="Broker-Reliant",OR(AK116="Discovery-to-Offer Enablement",AK116="Reinforce Successful Behaviour")))*1+(AND(G116="Declining",E116&lt;&gt;"Tail",AL116="Automated"))*1+(AND(Y116,AM116&lt;&gt;"Human Sign-Off Required"))*1+(AND(AA116,AM116&lt;&gt;"HOLD — Critical Data Issue"))*1+(AND(P116="Recent Inactivity",OR(AK116="Discovery-to-Offer Enablement",AK116="Reinforce Successful Behaviour")))*1+(AND(OR(LEFT(D116,1)="2",LEFT(D116,1)="3",LEFT(D116,1)="8"),AL116="Automated"))*1+((LEFT(D116,1)="1")&lt;&gt;(AK116="Guided Self-Serve Migration"))*1+(AND(AR116&lt;&gt;"",OR(F116&lt;&gt;"Low",U116="Mixed",AND(G116&lt;&gt;"Growing",G116&lt;&gt;"Stable"))))*1+ISNUMBER(SEARCH("chat",AP116))*1+ISNUMBER(SEARCH("video",AP116))*1+(AND(AA116,AL116="Automated",AM116&lt;&gt;"HOLD — Critical Data Issue"))*1</f>
        <v>0</v>
      </c>
    </row>
    <row r="117" customFormat="false" ht="15" hidden="false" customHeight="false" outlineLevel="0" collapsed="false">
      <c r="A117" s="2" t="s">
        <v>678</v>
      </c>
      <c r="B117" s="2" t="str">
        <f aca="false">INDEX(Segmentation!$B$2:$B$301,MATCH($A117,Segmentation!$A$2:$A$301,0))</f>
        <v>Account Managed</v>
      </c>
      <c r="C117" s="2" t="str">
        <f aca="false">INDEX(Segmentation!$H$2:$H$301,MATCH($A117,Segmentation!$A$2:$A$301,0))</f>
        <v>AM-Owned / Self-Serving</v>
      </c>
      <c r="D117" s="2" t="str">
        <f aca="false">INDEX(Segmentation!$T$2:$T$301,MATCH($A117,Segmentation!$A$2:$A$301,0))</f>
        <v>9. Long-Tail Automated Nurture</v>
      </c>
      <c r="E117" s="2" t="str">
        <f aca="false">INDEX(Segmentation!$J$2:$J$301,MATCH($A117,Segmentation!$A$2:$A$301,0))</f>
        <v>Tail</v>
      </c>
      <c r="F117" s="2" t="str">
        <f aca="false">INDEX(Segmentation!$G$2:$G$301,MATCH($A117,Segmentation!$A$2:$A$301,0))</f>
        <v>Low</v>
      </c>
      <c r="G117" s="2" t="str">
        <f aca="false">INDEX(Segmentation!$N$2:$N$301,MATCH($A117,Segmentation!$A$2:$A$301,0))</f>
        <v>Lapsed</v>
      </c>
      <c r="H117" s="9" t="n">
        <f aca="false">INDEX(Segmentation!$I$2:$I$301,MATCH($A117,Segmentation!$A$2:$A$301,0))</f>
        <v>523</v>
      </c>
      <c r="I117" s="2" t="n">
        <f aca="false">INDEX(Segmentation!$O$2:$O$301,MATCH($A117,Segmentation!$A$2:$A$301,0))</f>
        <v>5</v>
      </c>
      <c r="J117" s="2" t="n">
        <f aca="false">INDEX(Segmentation!$Q$2:$Q$301,MATCH($A117,Segmentation!$A$2:$A$301,0))</f>
        <v>5</v>
      </c>
      <c r="K117" s="2" t="n">
        <f aca="false">INDEX(Segmentation!$W$2:$W$301,MATCH($A117,Segmentation!$A$2:$A$301,0))</f>
        <v>2</v>
      </c>
      <c r="L117" s="9" t="n">
        <f aca="false">INDEX('Commercial View'!$L$2:$L$301,MATCH($A117,'Commercial View'!$A$2:$A$301,0))</f>
        <v>0</v>
      </c>
      <c r="M117" s="9" t="n">
        <f aca="false">INDEX('Commercial View'!$M$2:$M$301,MATCH($A117,'Commercial View'!$A$2:$A$301,0))</f>
        <v>0</v>
      </c>
      <c r="N117" s="9" t="n">
        <f aca="false">INDEX('Commercial View'!$N$2:$N$301,MATCH($A117,'Commercial View'!$A$2:$A$301,0))</f>
        <v>0</v>
      </c>
      <c r="O117" s="9" t="n">
        <f aca="false">INDEX(Segmentation!$L$2:$L$301,MATCH($A117,Segmentation!$A$2:$A$301,0))</f>
        <v>0</v>
      </c>
      <c r="P117" s="2" t="str">
        <f aca="false">IF(OR(M117&gt;0,N117&gt;0),"Recently Active",IF(OR(I117&lt;=Assumptions!$B$48,K117&lt;=Assumptions!$B$49),"No Meaningful History","Recent Inactivity"))</f>
        <v>Recent Inactivity</v>
      </c>
      <c r="Q117" s="2" t="str">
        <f aca="false">INDEX(Segmentation!$AF$2:$AF$301,MATCH($A117,Segmentation!$A$2:$A$301,0))</f>
        <v>Existing Customer</v>
      </c>
      <c r="R117" s="2" t="str">
        <f aca="false">INDEX(Segmentation!$AL$2:$AL$301,MATCH($A117,Segmentation!$A$2:$A$301,0))</f>
        <v>Established Buyer Lapsed</v>
      </c>
      <c r="S117" s="10" t="b">
        <f aca="false">INDEX(Segmentation!$AW$2:$AW$301,MATCH($A117,Segmentation!$A$2:$A$301,0))</f>
        <v>0</v>
      </c>
      <c r="T117" s="2" t="str">
        <f aca="false">INDEX('Feature Data'!$AD$2:$AD$301,MATCH($A117,'Feature Data'!$A$2:$A$301,0))</f>
        <v>Light-touch repeat buyer</v>
      </c>
      <c r="U117" s="2" t="str">
        <f aca="false">INDEX('Feature Data'!$W$2:$W$301,MATCH($A117,'Feature Data'!$A$2:$A$301,0))</f>
        <v>Mixed</v>
      </c>
      <c r="V117" s="2" t="n">
        <f aca="false">INDEX('Feature Data'!$P$2:$P$301,MATCH($A117,'Feature Data'!$A$2:$A$301,0))</f>
        <v>182</v>
      </c>
      <c r="W117" s="2" t="n">
        <f aca="false">INDEX(Segmentation!$R$2:$R$301,MATCH($A117,Segmentation!$A$2:$A$301,0))</f>
        <v>23</v>
      </c>
      <c r="X117" s="2" t="n">
        <f aca="false">INDEX(Segmentation!$S$2:$S$301,MATCH($A117,Segmentation!$A$2:$A$301,0))</f>
        <v>0</v>
      </c>
      <c r="Y117" s="10" t="b">
        <f aca="false">INDEX(Segmentation!$AG$2:$AG$301,MATCH($A117,Segmentation!$A$2:$A$301,0))</f>
        <v>0</v>
      </c>
      <c r="Z117" s="2" t="str">
        <f aca="false">INDEX(Segmentation!$AU$2:$AU$301,MATCH($A117,Segmentation!$A$2:$A$301,0))</f>
        <v>Not Eligible</v>
      </c>
      <c r="AA117" s="10" t="b">
        <f aca="false">INDEX(Segmentation!$Z$2:$Z$301,MATCH($A117,Segmentation!$A$2:$A$301,0))</f>
        <v>0</v>
      </c>
      <c r="AB117" s="10" t="b">
        <f aca="false">INDEX(Segmentation!$AH$2:$AH$301,MATCH($A117,Segmentation!$A$2:$A$301,0))</f>
        <v>0</v>
      </c>
      <c r="AC117" s="10" t="b">
        <f aca="false">INDEX(Segmentation!$AK$2:$AK$301,MATCH($A117,Segmentation!$A$2:$A$301,0))</f>
        <v>0</v>
      </c>
      <c r="AD117" s="10" t="b">
        <f aca="false">INDEX(Segmentation!$AQ$2:$AQ$301,MATCH($A117,Segmentation!$A$2:$A$301,0))</f>
        <v>0</v>
      </c>
      <c r="AE117" s="10" t="b">
        <f aca="false">INDEX(Segmentation!$AT$2:$AT$301,MATCH($A117,Segmentation!$A$2:$A$301,0))</f>
        <v>0</v>
      </c>
      <c r="AF117" s="10" t="b">
        <f aca="false">INDEX(Segmentation!$X$2:$X$301,MATCH($A117,Segmentation!$A$2:$A$301,0))</f>
        <v>0</v>
      </c>
      <c r="AG117" s="10" t="b">
        <f aca="false">AND(F117="Low",V117&gt;=Assumptions!$B$71,X117&lt;Assumptions!$B$72)</f>
        <v>1</v>
      </c>
      <c r="AH117" s="10" t="b">
        <f aca="false">AND(F117="Low",OR(G117="Growing",G117="Stable"),P117="Recently Active",V117&gt;=Assumptions!$B$58,K117&gt;=Assumptions!$B$73)</f>
        <v>0</v>
      </c>
      <c r="AI117" s="17" t="str">
        <f aca="false">IF(O117&gt;0,MAX(L117:N117)/O117,"")</f>
        <v/>
      </c>
      <c r="AJ117" s="2" t="str">
        <f aca="false">IF(LEFT(D117,1)="1",IF(E117="Key","MIGRATION_KEY_SIGNOFF",IF(Z117="Ready","MIGRATION_PHASE1_READY",IF(Z117="Manual Review","MIGRATION_PHASE1_REVIEW","MIGRATION_PRE_ENTRY"))),IF(LEFT(D117,1)="2","DECLINING_KEY_CORE",IF(LEFT(D117,1)="3",IF(R117="Established Buyer Lapsed","LAPSED_ESTABLISHED","LAPSED_THIN_HISTORY"),IF(LEFT(D117,1)="4",IF(Q117="New Customer","NEW_CUSTOMER","RETURNED_CUSTOMER"),IF(LEFT(D117,1)="5",IF(P117="Recently Active","COST_TO_SERVE_ACTIVE","DORMANT_LOW_VALUE"),IF(LEFT(D117,1)="6",IF(P117="Recent Inactivity","RECENT_INACTIVITY",IF(AG117,"BROWSING_LOW_OFFERS","HEALTHY_STRONG_SELF_SERVE")),IF(LEFT(D117,1)="7",IF(P117="Recent Inactivity","RECENT_INACTIVITY",IF(Q117="New Customer","NEW_CUSTOMER","RETURNED_CUSTOMER")),IF(LEFT(D117,1)="8",IF(G117="Declining",IF(T117="Engaged but shrinking (Key/Core)","ENGAGED_BUT_SHRINKING","DECLINING_KEY_CORE"),IF(R117="Established Buyer Lapsed","LAPSED_ESTABLISHED","LAPSED_THIN_HISTORY")),IF(S117,IF(P117&lt;&gt;"Recently Active","DORMANT_LOW_VALUE",IF(AG117,"BROWSING_LOW_OFFERS",IF(AH117,"RISING_TAIL","RISING_TAIL_EARLY"))),IF(AND(AG117,P117="Recently Active",OR(G117="Growing",G117="Stable",G117="H2 Active / No H1 GMV"),I117&gt;=Assumptions!$B$74),"BROWSING_LOW_OFFERS","LONG_TAIL_STANDARD"))))))))))</f>
        <v>LONG_TAIL_STANDARD</v>
      </c>
      <c r="AK117" s="2" t="str">
        <f aca="false">INDEX('NBA Library'!$B$4:$B$21,MATCH(AJ117,'NBA Library'!$A$4:$A$21,0))</f>
        <v>Automated Nurture</v>
      </c>
      <c r="AL117" s="2" t="str">
        <f aca="false">INDEX('NBA Library'!$C$4:$C$21,MATCH(AJ117,'NBA Library'!$A$4:$A$21,0))</f>
        <v>Automated</v>
      </c>
      <c r="AM117" s="2" t="str">
        <f aca="false">IF(AA117,"HOLD — Critical Data Issue",IF(Y117,"Human Sign-Off Required",IF(Z117="Manual Review","Human Review Required",IF(AND(AL117="Automated",OR(AE117,AND(OR(AK117="Discovery-to-Offer Enablement",AK117="Reinforce Successful Behaviour"),OR(AC117,AB117)))),"Human Review Required",IF(AL117="Human","Ready — Human",IF(AL117="Hybrid","Ready — Hybrid","Ready — Automated"))))))</f>
        <v>Ready — Automated</v>
      </c>
      <c r="AN117" s="2" t="str">
        <f aca="false">IF(AA117,"P0",IF(AND(AJ117="BROWSING_LOW_OFFERS",E117="Tail"),"P3",IF(AND(AM117="Human Review Required",INDEX('NBA Library'!$D$4:$D$21,MATCH(AJ117,'NBA Library'!$A$4:$A$21,0))="P4"),"P3",INDEX('NBA Library'!$D$4:$D$21,MATCH(AJ117,'NBA Library'!$A$4:$A$21,0)))))</f>
        <v>P4</v>
      </c>
      <c r="AO117" s="2" t="str">
        <f aca="false">E117&amp;" "&amp;C117&amp;" account ("&amp;B117&amp;"); "&amp;G117&amp;" momentum; "&amp;P117&amp;"; £"&amp;TEXT(H117,"#,##0")&amp;" 6m GMV. "&amp;INDEX('NBA Library'!$G$4:$G$21,MATCH(AJ117,'NBA Library'!$A$4:$A$21,0))&amp;IF(LEFT(D117,1)="1"," Baseline: "&amp;V117&amp;" PDP views, "&amp;W117&amp;" app days, "&amp;X117&amp;" offers, "&amp;TEXT(J117/I117,"0%")&amp;" of orders self-serve.","")&amp;IF(AA117," Execution on HOLD until the Duplicate status is resolved.","")&amp;IF(Y117," Key account: explicit AM/leadership sign-off required before any migration activity.","")&amp;IF(AE117," Implied broker % from order counts would move this account to a different segment; review before automating.","")</f>
        <v>Tail AM-Owned / Self-Serving account (Account Managed); Lapsed momentum; Recent Inactivity; £523 6m GMV. Low-value, low-dependency account. Scalable automated engagement.</v>
      </c>
      <c r="AP117" s="2" t="str">
        <f aca="false">INDEX('NBA Library'!$E$4:$E$21,MATCH(AJ117,'NBA Library'!$A$4:$A$21,0))&amp;IF(AND(AJ117="NEW_CUSTOMER",AG117),"; introduce Make-an-Offer on items already browsed","")</f>
        <v>Scalable automated engagement matched to nurture sub-context</v>
      </c>
      <c r="AQ117" s="2" t="str">
        <f aca="false">INDEX('NBA Library'!$F$4:$F$21,MATCH(AJ117,'NBA Library'!$A$4:$A$21,0))</f>
        <v>Any repeat order within 90 days</v>
      </c>
      <c r="AR117" s="2" t="str">
        <f aca="false">IF(AND(F117="Low",OR(G117="Growing",G117="Stable"),P117="Recently Active",U117&lt;&gt;"Mixed",OR(AK117="Discovery-to-Offer Enablement",AK117="Reinforce Successful Behaviour"),AM117="Ready — Automated",OR(E117&lt;&gt;"Tail",S117)),"Range Expansion Test — trial "&amp;IF(U117="Bundle-only","handpick","bundles")&amp;" (experimental; not proven to lift GMV)","")</f>
        <v/>
      </c>
      <c r="AS117" s="2" t="str">
        <f aca="false">IF(AK117&lt;&gt;"Automated Nurture","",IF(AJ117="DORMANT_LOW_VALUE","Dormant",IF(AJ117="RISING_TAIL_EARLY","Rising tail – early pattern",IF(Q117="New Customer","New customer onboarding",IF(Q117="Returned Customer","Returned customer",IF(G117="Lapsed","Dormant",IF(T117="Engaged, not converting","Engaged, not converting",IF(T117="One-off low-touch buyer","One-off purchaser",IF(T117="Light-touch repeat buyer","Light-touch repeat buyer","Standard long tail")))))))))</f>
        <v>Dormant</v>
      </c>
      <c r="AT117" s="2" t="str">
        <f aca="false">IF(AA117,"CRITICAL_DATA_BLOCKER; ","")&amp;IF(Y117,"KEY_SIGNOFF; ","")&amp;IF(Z117="Manual Review","PHASE1_MANUAL_REVIEW; ","")&amp;IF(AND(LEFT(D117,1)="1",AZ117="Lumpy"),"LUMPY_CADENCE; ","")&amp;IF(AB117,"BORDERLINE_MOMENTUM; ","")&amp;IF(AC117,"FEB_SENSITIVE; ","")&amp;IF(AD117,"MATERIAL_BROKER_INCONSISTENCY"&amp;IF(AE117," (segment would change)","")&amp;"; ","")&amp;IF(AND(I117&gt;=3,O117&gt;0),IF(AI117&gt;=Assumptions!$B$75,"H2_SINGLE_MONTH_SPIKE; ",""),"")&amp;IF(AND(M117&gt;0,N117=0),"NO_FEB_GMV (Feb unconfirmed); ","")&amp;IF(AF117,"LOW_CONFIDENCE; ","")</f>
        <v/>
      </c>
      <c r="AU117" s="2" t="str">
        <f aca="false">IF(LEFT(D117,1)="1",V117,"")</f>
        <v/>
      </c>
      <c r="AV117" s="2" t="str">
        <f aca="false">IF(LEFT(D117,1)="1",V117&gt;=Assumptions!$B$58,"")</f>
        <v/>
      </c>
      <c r="AW117" s="2" t="str">
        <f aca="false">IF(LEFT(D117,1)="1",W117,"")</f>
        <v/>
      </c>
      <c r="AX117" s="2" t="str">
        <f aca="false">IF(LEFT(D117,1)="1",X117,"")</f>
        <v/>
      </c>
      <c r="AY117" s="17" t="str">
        <f aca="false">IF(LEFT(D117,1)="1",J117/I117,"")</f>
        <v/>
      </c>
      <c r="AZ117" s="2" t="str">
        <f aca="false">IF(LEFT(D117,1)="1",IF(AND(K117&gt;=Assumptions!$B$83,I117&gt;=Assumptions!$B$84),"Regular","Lumpy"),"")</f>
        <v/>
      </c>
      <c r="BA117" s="2" t="str">
        <f aca="false">IF(LEFT(D117,1)="1",ROUND(6/K117,0),"")</f>
        <v/>
      </c>
      <c r="BB117" s="2" t="str">
        <f aca="false">IF(LEFT(D117,1)="1",IF(AZ117="Regular","Regular buyer: expected ~£"&amp;TEXT(H117/2,"#,##0")&amp;" per 90 days. At Risk if GMV to date &lt; "&amp;TEXT(Assumptions!$B$81,"0%")&amp;" of pro-rated expectation, checked from day "&amp;Assumptions!$B$82&amp;". Human-reviewed.","Irregular buyer ("&amp;I117&amp;" orders across "&amp;K117&amp;" months): no numeric GMV threshold. At Risk if no order within ~"&amp;BA117&amp;" month(s); AM reviews at day "&amp;Assumptions!$B$82&amp;" and "&amp;Assumptions!$B$85&amp;"."),"")</f>
        <v/>
      </c>
      <c r="BC117" s="2"/>
      <c r="BD117" s="2"/>
      <c r="BE117" s="2"/>
      <c r="BF117" s="2"/>
      <c r="BG117" s="2"/>
      <c r="BH117" s="2"/>
      <c r="BI117" s="2"/>
      <c r="BJ117" s="2" t="str">
        <f aca="false">IF(OR(NOT(LEFT(D117,1)="1"),BC117=""),"",IF(AZ117="Regular",AND(BC117&gt;=Assumptions!$B$82,N(BI117)&lt;Assumptions!$B$81*H117/180*BC117),AND(BC117&gt;=BA117*30,N(BG117)=0)))</f>
        <v/>
      </c>
      <c r="BK117" s="2" t="str">
        <f aca="false">IF(NOT(LEFT(D117,1)="1"),"N/A",IF(BC117="","Baseline",IF(BJ117,"At Risk",IF(AND(N(BD117)&gt;=Assumptions!$B$78,N(BE117)&gt;=Assumptions!$B$79,N(BH117)&gt;=1,N(BH117)/MAX(N(BG117),1)&gt;AY117),"Self-Serve Capability Demonstrated",IF(OR(N(BD117)&gt;=Assumptions!$B$76,N(BE117)&gt;=Assumptions!$B$77),"Progressing",IF(BC117&gt;=Assumptions!$B$85,"At Risk","Baseline"))))))</f>
        <v>N/A</v>
      </c>
      <c r="BL117" s="2" t="n">
        <f aca="false">(AND(C117="Broker-Reliant",OR(AK117="Discovery-to-Offer Enablement",AK117="Reinforce Successful Behaviour")))*1+(AND(G117="Declining",E117&lt;&gt;"Tail",AL117="Automated"))*1+(AND(Y117,AM117&lt;&gt;"Human Sign-Off Required"))*1+(AND(AA117,AM117&lt;&gt;"HOLD — Critical Data Issue"))*1+(AND(P117="Recent Inactivity",OR(AK117="Discovery-to-Offer Enablement",AK117="Reinforce Successful Behaviour")))*1+(AND(OR(LEFT(D117,1)="2",LEFT(D117,1)="3",LEFT(D117,1)="8"),AL117="Automated"))*1+((LEFT(D117,1)="1")&lt;&gt;(AK117="Guided Self-Serve Migration"))*1+(AND(AR117&lt;&gt;"",OR(F117&lt;&gt;"Low",U117="Mixed",AND(G117&lt;&gt;"Growing",G117&lt;&gt;"Stable"))))*1+ISNUMBER(SEARCH("chat",AP117))*1+ISNUMBER(SEARCH("video",AP117))*1+(AND(AA117,AL117="Automated",AM117&lt;&gt;"HOLD — Critical Data Issue"))*1</f>
        <v>0</v>
      </c>
    </row>
    <row r="118" customFormat="false" ht="15" hidden="false" customHeight="false" outlineLevel="0" collapsed="false">
      <c r="A118" s="2" t="s">
        <v>680</v>
      </c>
      <c r="B118" s="2" t="str">
        <f aca="false">INDEX(Segmentation!$B$2:$B$301,MATCH($A118,Segmentation!$A$2:$A$301,0))</f>
        <v>Account Managed</v>
      </c>
      <c r="C118" s="2" t="str">
        <f aca="false">INDEX(Segmentation!$H$2:$H$301,MATCH($A118,Segmentation!$A$2:$A$301,0))</f>
        <v>AM-Owned / Self-Serving</v>
      </c>
      <c r="D118" s="2" t="str">
        <f aca="false">INDEX(Segmentation!$T$2:$T$301,MATCH($A118,Segmentation!$A$2:$A$301,0))</f>
        <v>9. Long-Tail Automated Nurture</v>
      </c>
      <c r="E118" s="2" t="str">
        <f aca="false">INDEX(Segmentation!$J$2:$J$301,MATCH($A118,Segmentation!$A$2:$A$301,0))</f>
        <v>Tail</v>
      </c>
      <c r="F118" s="2" t="str">
        <f aca="false">INDEX(Segmentation!$G$2:$G$301,MATCH($A118,Segmentation!$A$2:$A$301,0))</f>
        <v>Low</v>
      </c>
      <c r="G118" s="2" t="str">
        <f aca="false">INDEX(Segmentation!$N$2:$N$301,MATCH($A118,Segmentation!$A$2:$A$301,0))</f>
        <v>H2 Active / No H1 GMV</v>
      </c>
      <c r="H118" s="9" t="n">
        <f aca="false">INDEX(Segmentation!$I$2:$I$301,MATCH($A118,Segmentation!$A$2:$A$301,0))</f>
        <v>519</v>
      </c>
      <c r="I118" s="2" t="n">
        <f aca="false">INDEX(Segmentation!$O$2:$O$301,MATCH($A118,Segmentation!$A$2:$A$301,0))</f>
        <v>1</v>
      </c>
      <c r="J118" s="2" t="n">
        <f aca="false">INDEX(Segmentation!$Q$2:$Q$301,MATCH($A118,Segmentation!$A$2:$A$301,0))</f>
        <v>1</v>
      </c>
      <c r="K118" s="2" t="n">
        <f aca="false">INDEX(Segmentation!$W$2:$W$301,MATCH($A118,Segmentation!$A$2:$A$301,0))</f>
        <v>1</v>
      </c>
      <c r="L118" s="9" t="n">
        <f aca="false">INDEX('Commercial View'!$L$2:$L$301,MATCH($A118,'Commercial View'!$A$2:$A$301,0))</f>
        <v>519</v>
      </c>
      <c r="M118" s="9" t="n">
        <f aca="false">INDEX('Commercial View'!$M$2:$M$301,MATCH($A118,'Commercial View'!$A$2:$A$301,0))</f>
        <v>0</v>
      </c>
      <c r="N118" s="9" t="n">
        <f aca="false">INDEX('Commercial View'!$N$2:$N$301,MATCH($A118,'Commercial View'!$A$2:$A$301,0))</f>
        <v>0</v>
      </c>
      <c r="O118" s="9" t="n">
        <f aca="false">INDEX(Segmentation!$L$2:$L$301,MATCH($A118,Segmentation!$A$2:$A$301,0))</f>
        <v>519</v>
      </c>
      <c r="P118" s="2" t="str">
        <f aca="false">IF(OR(M118&gt;0,N118&gt;0),"Recently Active",IF(OR(I118&lt;=Assumptions!$B$48,K118&lt;=Assumptions!$B$49),"No Meaningful History","Recent Inactivity"))</f>
        <v>No Meaningful History</v>
      </c>
      <c r="Q118" s="2" t="str">
        <f aca="false">INDEX(Segmentation!$AF$2:$AF$301,MATCH($A118,Segmentation!$A$2:$A$301,0))</f>
        <v>Returned Customer</v>
      </c>
      <c r="R118" s="2" t="str">
        <f aca="false">INDEX(Segmentation!$AL$2:$AL$301,MATCH($A118,Segmentation!$A$2:$A$301,0))</f>
        <v>N/A</v>
      </c>
      <c r="S118" s="10" t="b">
        <f aca="false">INDEX(Segmentation!$AW$2:$AW$301,MATCH($A118,Segmentation!$A$2:$A$301,0))</f>
        <v>0</v>
      </c>
      <c r="T118" s="2" t="str">
        <f aca="false">INDEX('Feature Data'!$AD$2:$AD$301,MATCH($A118,'Feature Data'!$A$2:$A$301,0))</f>
        <v>Engaged, not converting</v>
      </c>
      <c r="U118" s="2" t="str">
        <f aca="false">INDEX('Feature Data'!$W$2:$W$301,MATCH($A118,'Feature Data'!$A$2:$A$301,0))</f>
        <v>Bundle-only</v>
      </c>
      <c r="V118" s="2" t="n">
        <f aca="false">INDEX('Feature Data'!$P$2:$P$301,MATCH($A118,'Feature Data'!$A$2:$A$301,0))</f>
        <v>240</v>
      </c>
      <c r="W118" s="2" t="n">
        <f aca="false">INDEX(Segmentation!$R$2:$R$301,MATCH($A118,Segmentation!$A$2:$A$301,0))</f>
        <v>20</v>
      </c>
      <c r="X118" s="2" t="n">
        <f aca="false">INDEX(Segmentation!$S$2:$S$301,MATCH($A118,Segmentation!$A$2:$A$301,0))</f>
        <v>3</v>
      </c>
      <c r="Y118" s="10" t="b">
        <f aca="false">INDEX(Segmentation!$AG$2:$AG$301,MATCH($A118,Segmentation!$A$2:$A$301,0))</f>
        <v>0</v>
      </c>
      <c r="Z118" s="2" t="str">
        <f aca="false">INDEX(Segmentation!$AU$2:$AU$301,MATCH($A118,Segmentation!$A$2:$A$301,0))</f>
        <v>Not Eligible</v>
      </c>
      <c r="AA118" s="10" t="b">
        <f aca="false">INDEX(Segmentation!$Z$2:$Z$301,MATCH($A118,Segmentation!$A$2:$A$301,0))</f>
        <v>0</v>
      </c>
      <c r="AB118" s="10" t="b">
        <f aca="false">INDEX(Segmentation!$AH$2:$AH$301,MATCH($A118,Segmentation!$A$2:$A$301,0))</f>
        <v>0</v>
      </c>
      <c r="AC118" s="10" t="b">
        <f aca="false">INDEX(Segmentation!$AK$2:$AK$301,MATCH($A118,Segmentation!$A$2:$A$301,0))</f>
        <v>0</v>
      </c>
      <c r="AD118" s="10" t="b">
        <f aca="false">INDEX(Segmentation!$AQ$2:$AQ$301,MATCH($A118,Segmentation!$A$2:$A$301,0))</f>
        <v>0</v>
      </c>
      <c r="AE118" s="10" t="b">
        <f aca="false">INDEX(Segmentation!$AT$2:$AT$301,MATCH($A118,Segmentation!$A$2:$A$301,0))</f>
        <v>0</v>
      </c>
      <c r="AF118" s="10" t="b">
        <f aca="false">INDEX(Segmentation!$X$2:$X$301,MATCH($A118,Segmentation!$A$2:$A$301,0))</f>
        <v>1</v>
      </c>
      <c r="AG118" s="10" t="b">
        <f aca="false">AND(F118="Low",V118&gt;=Assumptions!$B$71,X118&lt;Assumptions!$B$72)</f>
        <v>0</v>
      </c>
      <c r="AH118" s="10" t="b">
        <f aca="false">AND(F118="Low",OR(G118="Growing",G118="Stable"),P118="Recently Active",V118&gt;=Assumptions!$B$58,K118&gt;=Assumptions!$B$73)</f>
        <v>0</v>
      </c>
      <c r="AI118" s="17" t="n">
        <f aca="false">IF(O118&gt;0,MAX(L118:N118)/O118,"")</f>
        <v>1</v>
      </c>
      <c r="AJ118" s="2" t="str">
        <f aca="false">IF(LEFT(D118,1)="1",IF(E118="Key","MIGRATION_KEY_SIGNOFF",IF(Z118="Ready","MIGRATION_PHASE1_READY",IF(Z118="Manual Review","MIGRATION_PHASE1_REVIEW","MIGRATION_PRE_ENTRY"))),IF(LEFT(D118,1)="2","DECLINING_KEY_CORE",IF(LEFT(D118,1)="3",IF(R118="Established Buyer Lapsed","LAPSED_ESTABLISHED","LAPSED_THIN_HISTORY"),IF(LEFT(D118,1)="4",IF(Q118="New Customer","NEW_CUSTOMER","RETURNED_CUSTOMER"),IF(LEFT(D118,1)="5",IF(P118="Recently Active","COST_TO_SERVE_ACTIVE","DORMANT_LOW_VALUE"),IF(LEFT(D118,1)="6",IF(P118="Recent Inactivity","RECENT_INACTIVITY",IF(AG118,"BROWSING_LOW_OFFERS","HEALTHY_STRONG_SELF_SERVE")),IF(LEFT(D118,1)="7",IF(P118="Recent Inactivity","RECENT_INACTIVITY",IF(Q118="New Customer","NEW_CUSTOMER","RETURNED_CUSTOMER")),IF(LEFT(D118,1)="8",IF(G118="Declining",IF(T118="Engaged but shrinking (Key/Core)","ENGAGED_BUT_SHRINKING","DECLINING_KEY_CORE"),IF(R118="Established Buyer Lapsed","LAPSED_ESTABLISHED","LAPSED_THIN_HISTORY")),IF(S118,IF(P118&lt;&gt;"Recently Active","DORMANT_LOW_VALUE",IF(AG118,"BROWSING_LOW_OFFERS",IF(AH118,"RISING_TAIL","RISING_TAIL_EARLY"))),IF(AND(AG118,P118="Recently Active",OR(G118="Growing",G118="Stable",G118="H2 Active / No H1 GMV"),I118&gt;=Assumptions!$B$74),"BROWSING_LOW_OFFERS","LONG_TAIL_STANDARD"))))))))))</f>
        <v>LONG_TAIL_STANDARD</v>
      </c>
      <c r="AK118" s="2" t="str">
        <f aca="false">INDEX('NBA Library'!$B$4:$B$21,MATCH(AJ118,'NBA Library'!$A$4:$A$21,0))</f>
        <v>Automated Nurture</v>
      </c>
      <c r="AL118" s="2" t="str">
        <f aca="false">INDEX('NBA Library'!$C$4:$C$21,MATCH(AJ118,'NBA Library'!$A$4:$A$21,0))</f>
        <v>Automated</v>
      </c>
      <c r="AM118" s="2" t="str">
        <f aca="false">IF(AA118,"HOLD — Critical Data Issue",IF(Y118,"Human Sign-Off Required",IF(Z118="Manual Review","Human Review Required",IF(AND(AL118="Automated",OR(AE118,AND(OR(AK118="Discovery-to-Offer Enablement",AK118="Reinforce Successful Behaviour"),OR(AC118,AB118)))),"Human Review Required",IF(AL118="Human","Ready — Human",IF(AL118="Hybrid","Ready — Hybrid","Ready — Automated"))))))</f>
        <v>Ready — Automated</v>
      </c>
      <c r="AN118" s="2" t="str">
        <f aca="false">IF(AA118,"P0",IF(AND(AJ118="BROWSING_LOW_OFFERS",E118="Tail"),"P3",IF(AND(AM118="Human Review Required",INDEX('NBA Library'!$D$4:$D$21,MATCH(AJ118,'NBA Library'!$A$4:$A$21,0))="P4"),"P3",INDEX('NBA Library'!$D$4:$D$21,MATCH(AJ118,'NBA Library'!$A$4:$A$21,0)))))</f>
        <v>P4</v>
      </c>
      <c r="AO118" s="2" t="str">
        <f aca="false">E118&amp;" "&amp;C118&amp;" account ("&amp;B118&amp;"); "&amp;G118&amp;" momentum; "&amp;P118&amp;"; £"&amp;TEXT(H118,"#,##0")&amp;" 6m GMV. "&amp;INDEX('NBA Library'!$G$4:$G$21,MATCH(AJ118,'NBA Library'!$A$4:$A$21,0))&amp;IF(LEFT(D118,1)="1"," Baseline: "&amp;V118&amp;" PDP views, "&amp;W118&amp;" app days, "&amp;X118&amp;" offers, "&amp;TEXT(J118/I118,"0%")&amp;" of orders self-serve.","")&amp;IF(AA118," Execution on HOLD until the Duplicate status is resolved.","")&amp;IF(Y118," Key account: explicit AM/leadership sign-off required before any migration activity.","")&amp;IF(AE118," Implied broker % from order counts would move this account to a different segment; review before automating.","")</f>
        <v>Tail AM-Owned / Self-Serving account (Account Managed); H2 Active / No H1 GMV momentum; No Meaningful History; £519 6m GMV. Low-value, low-dependency account. Scalable automated engagement.</v>
      </c>
      <c r="AP118" s="2" t="str">
        <f aca="false">INDEX('NBA Library'!$E$4:$E$21,MATCH(AJ118,'NBA Library'!$A$4:$A$21,0))&amp;IF(AND(AJ118="NEW_CUSTOMER",AG118),"; introduce Make-an-Offer on items already browsed","")</f>
        <v>Scalable automated engagement matched to nurture sub-context</v>
      </c>
      <c r="AQ118" s="2" t="str">
        <f aca="false">INDEX('NBA Library'!$F$4:$F$21,MATCH(AJ118,'NBA Library'!$A$4:$A$21,0))</f>
        <v>Any repeat order within 90 days</v>
      </c>
      <c r="AR118" s="2" t="str">
        <f aca="false">IF(AND(F118="Low",OR(G118="Growing",G118="Stable"),P118="Recently Active",U118&lt;&gt;"Mixed",OR(AK118="Discovery-to-Offer Enablement",AK118="Reinforce Successful Behaviour"),AM118="Ready — Automated",OR(E118&lt;&gt;"Tail",S118)),"Range Expansion Test — trial "&amp;IF(U118="Bundle-only","handpick","bundles")&amp;" (experimental; not proven to lift GMV)","")</f>
        <v/>
      </c>
      <c r="AS118" s="2" t="str">
        <f aca="false">IF(AK118&lt;&gt;"Automated Nurture","",IF(AJ118="DORMANT_LOW_VALUE","Dormant",IF(AJ118="RISING_TAIL_EARLY","Rising tail – early pattern",IF(Q118="New Customer","New customer onboarding",IF(Q118="Returned Customer","Returned customer",IF(G118="Lapsed","Dormant",IF(T118="Engaged, not converting","Engaged, not converting",IF(T118="One-off low-touch buyer","One-off purchaser",IF(T118="Light-touch repeat buyer","Light-touch repeat buyer","Standard long tail")))))))))</f>
        <v>Returned customer</v>
      </c>
      <c r="AT118" s="2" t="str">
        <f aca="false">IF(AA118,"CRITICAL_DATA_BLOCKER; ","")&amp;IF(Y118,"KEY_SIGNOFF; ","")&amp;IF(Z118="Manual Review","PHASE1_MANUAL_REVIEW; ","")&amp;IF(AND(LEFT(D118,1)="1",AZ118="Lumpy"),"LUMPY_CADENCE; ","")&amp;IF(AB118,"BORDERLINE_MOMENTUM; ","")&amp;IF(AC118,"FEB_SENSITIVE; ","")&amp;IF(AD118,"MATERIAL_BROKER_INCONSISTENCY"&amp;IF(AE118," (segment would change)","")&amp;"; ","")&amp;IF(AND(I118&gt;=3,O118&gt;0),IF(AI118&gt;=Assumptions!$B$75,"H2_SINGLE_MONTH_SPIKE; ",""),"")&amp;IF(AND(M118&gt;0,N118=0),"NO_FEB_GMV (Feb unconfirmed); ","")&amp;IF(AF118,"LOW_CONFIDENCE; ","")</f>
        <v>LOW_CONFIDENCE; </v>
      </c>
      <c r="AU118" s="2" t="str">
        <f aca="false">IF(LEFT(D118,1)="1",V118,"")</f>
        <v/>
      </c>
      <c r="AV118" s="2" t="str">
        <f aca="false">IF(LEFT(D118,1)="1",V118&gt;=Assumptions!$B$58,"")</f>
        <v/>
      </c>
      <c r="AW118" s="2" t="str">
        <f aca="false">IF(LEFT(D118,1)="1",W118,"")</f>
        <v/>
      </c>
      <c r="AX118" s="2" t="str">
        <f aca="false">IF(LEFT(D118,1)="1",X118,"")</f>
        <v/>
      </c>
      <c r="AY118" s="17" t="str">
        <f aca="false">IF(LEFT(D118,1)="1",J118/I118,"")</f>
        <v/>
      </c>
      <c r="AZ118" s="2" t="str">
        <f aca="false">IF(LEFT(D118,1)="1",IF(AND(K118&gt;=Assumptions!$B$83,I118&gt;=Assumptions!$B$84),"Regular","Lumpy"),"")</f>
        <v/>
      </c>
      <c r="BA118" s="2" t="str">
        <f aca="false">IF(LEFT(D118,1)="1",ROUND(6/K118,0),"")</f>
        <v/>
      </c>
      <c r="BB118" s="2" t="str">
        <f aca="false">IF(LEFT(D118,1)="1",IF(AZ118="Regular","Regular buyer: expected ~£"&amp;TEXT(H118/2,"#,##0")&amp;" per 90 days. At Risk if GMV to date &lt; "&amp;TEXT(Assumptions!$B$81,"0%")&amp;" of pro-rated expectation, checked from day "&amp;Assumptions!$B$82&amp;". Human-reviewed.","Irregular buyer ("&amp;I118&amp;" orders across "&amp;K118&amp;" months): no numeric GMV threshold. At Risk if no order within ~"&amp;BA118&amp;" month(s); AM reviews at day "&amp;Assumptions!$B$82&amp;" and "&amp;Assumptions!$B$85&amp;"."),"")</f>
        <v/>
      </c>
      <c r="BC118" s="2"/>
      <c r="BD118" s="2"/>
      <c r="BE118" s="2"/>
      <c r="BF118" s="2"/>
      <c r="BG118" s="2"/>
      <c r="BH118" s="2"/>
      <c r="BI118" s="2"/>
      <c r="BJ118" s="2" t="str">
        <f aca="false">IF(OR(NOT(LEFT(D118,1)="1"),BC118=""),"",IF(AZ118="Regular",AND(BC118&gt;=Assumptions!$B$82,N(BI118)&lt;Assumptions!$B$81*H118/180*BC118),AND(BC118&gt;=BA118*30,N(BG118)=0)))</f>
        <v/>
      </c>
      <c r="BK118" s="2" t="str">
        <f aca="false">IF(NOT(LEFT(D118,1)="1"),"N/A",IF(BC118="","Baseline",IF(BJ118,"At Risk",IF(AND(N(BD118)&gt;=Assumptions!$B$78,N(BE118)&gt;=Assumptions!$B$79,N(BH118)&gt;=1,N(BH118)/MAX(N(BG118),1)&gt;AY118),"Self-Serve Capability Demonstrated",IF(OR(N(BD118)&gt;=Assumptions!$B$76,N(BE118)&gt;=Assumptions!$B$77),"Progressing",IF(BC118&gt;=Assumptions!$B$85,"At Risk","Baseline"))))))</f>
        <v>N/A</v>
      </c>
      <c r="BL118" s="2" t="n">
        <f aca="false">(AND(C118="Broker-Reliant",OR(AK118="Discovery-to-Offer Enablement",AK118="Reinforce Successful Behaviour")))*1+(AND(G118="Declining",E118&lt;&gt;"Tail",AL118="Automated"))*1+(AND(Y118,AM118&lt;&gt;"Human Sign-Off Required"))*1+(AND(AA118,AM118&lt;&gt;"HOLD — Critical Data Issue"))*1+(AND(P118="Recent Inactivity",OR(AK118="Discovery-to-Offer Enablement",AK118="Reinforce Successful Behaviour")))*1+(AND(OR(LEFT(D118,1)="2",LEFT(D118,1)="3",LEFT(D118,1)="8"),AL118="Automated"))*1+((LEFT(D118,1)="1")&lt;&gt;(AK118="Guided Self-Serve Migration"))*1+(AND(AR118&lt;&gt;"",OR(F118&lt;&gt;"Low",U118="Mixed",AND(G118&lt;&gt;"Growing",G118&lt;&gt;"Stable"))))*1+ISNUMBER(SEARCH("chat",AP118))*1+ISNUMBER(SEARCH("video",AP118))*1+(AND(AA118,AL118="Automated",AM118&lt;&gt;"HOLD — Critical Data Issue"))*1</f>
        <v>0</v>
      </c>
    </row>
    <row r="119" customFormat="false" ht="15" hidden="false" customHeight="false" outlineLevel="0" collapsed="false">
      <c r="A119" s="2" t="s">
        <v>686</v>
      </c>
      <c r="B119" s="2" t="str">
        <f aca="false">INDEX(Segmentation!$B$2:$B$301,MATCH($A119,Segmentation!$A$2:$A$301,0))</f>
        <v>Account Managed</v>
      </c>
      <c r="C119" s="2" t="str">
        <f aca="false">INDEX(Segmentation!$H$2:$H$301,MATCH($A119,Segmentation!$A$2:$A$301,0))</f>
        <v>AM-Owned / Self-Serving</v>
      </c>
      <c r="D119" s="2" t="str">
        <f aca="false">INDEX(Segmentation!$T$2:$T$301,MATCH($A119,Segmentation!$A$2:$A$301,0))</f>
        <v>9. Long-Tail Automated Nurture</v>
      </c>
      <c r="E119" s="2" t="str">
        <f aca="false">INDEX(Segmentation!$J$2:$J$301,MATCH($A119,Segmentation!$A$2:$A$301,0))</f>
        <v>Tail</v>
      </c>
      <c r="F119" s="2" t="str">
        <f aca="false">INDEX(Segmentation!$G$2:$G$301,MATCH($A119,Segmentation!$A$2:$A$301,0))</f>
        <v>Low</v>
      </c>
      <c r="G119" s="2" t="str">
        <f aca="false">INDEX(Segmentation!$N$2:$N$301,MATCH($A119,Segmentation!$A$2:$A$301,0))</f>
        <v>Growing</v>
      </c>
      <c r="H119" s="9" t="n">
        <f aca="false">INDEX(Segmentation!$I$2:$I$301,MATCH($A119,Segmentation!$A$2:$A$301,0))</f>
        <v>489</v>
      </c>
      <c r="I119" s="2" t="n">
        <f aca="false">INDEX(Segmentation!$O$2:$O$301,MATCH($A119,Segmentation!$A$2:$A$301,0))</f>
        <v>3</v>
      </c>
      <c r="J119" s="2" t="n">
        <f aca="false">INDEX(Segmentation!$Q$2:$Q$301,MATCH($A119,Segmentation!$A$2:$A$301,0))</f>
        <v>3</v>
      </c>
      <c r="K119" s="2" t="n">
        <f aca="false">INDEX(Segmentation!$W$2:$W$301,MATCH($A119,Segmentation!$A$2:$A$301,0))</f>
        <v>3</v>
      </c>
      <c r="L119" s="9" t="n">
        <f aca="false">INDEX('Commercial View'!$L$2:$L$301,MATCH($A119,'Commercial View'!$A$2:$A$301,0))</f>
        <v>0</v>
      </c>
      <c r="M119" s="9" t="n">
        <f aca="false">INDEX('Commercial View'!$M$2:$M$301,MATCH($A119,'Commercial View'!$A$2:$A$301,0))</f>
        <v>186</v>
      </c>
      <c r="N119" s="9" t="n">
        <f aca="false">INDEX('Commercial View'!$N$2:$N$301,MATCH($A119,'Commercial View'!$A$2:$A$301,0))</f>
        <v>167</v>
      </c>
      <c r="O119" s="9" t="n">
        <f aca="false">INDEX(Segmentation!$L$2:$L$301,MATCH($A119,Segmentation!$A$2:$A$301,0))</f>
        <v>353</v>
      </c>
      <c r="P119" s="2" t="str">
        <f aca="false">IF(OR(M119&gt;0,N119&gt;0),"Recently Active",IF(OR(I119&lt;=Assumptions!$B$48,K119&lt;=Assumptions!$B$49),"No Meaningful History","Recent Inactivity"))</f>
        <v>Recently Active</v>
      </c>
      <c r="Q119" s="2" t="str">
        <f aca="false">INDEX(Segmentation!$AF$2:$AF$301,MATCH($A119,Segmentation!$A$2:$A$301,0))</f>
        <v>Existing Customer</v>
      </c>
      <c r="R119" s="2" t="str">
        <f aca="false">INDEX(Segmentation!$AL$2:$AL$301,MATCH($A119,Segmentation!$A$2:$A$301,0))</f>
        <v>N/A</v>
      </c>
      <c r="S119" s="10" t="b">
        <f aca="false">INDEX(Segmentation!$AW$2:$AW$301,MATCH($A119,Segmentation!$A$2:$A$301,0))</f>
        <v>0</v>
      </c>
      <c r="T119" s="2" t="str">
        <f aca="false">INDEX('Feature Data'!$AD$2:$AD$301,MATCH($A119,'Feature Data'!$A$2:$A$301,0))</f>
        <v>Light-touch repeat buyer</v>
      </c>
      <c r="U119" s="2" t="str">
        <f aca="false">INDEX('Feature Data'!$W$2:$W$301,MATCH($A119,'Feature Data'!$A$2:$A$301,0))</f>
        <v>Bundle-only</v>
      </c>
      <c r="V119" s="2" t="n">
        <f aca="false">INDEX('Feature Data'!$P$2:$P$301,MATCH($A119,'Feature Data'!$A$2:$A$301,0))</f>
        <v>182</v>
      </c>
      <c r="W119" s="2" t="n">
        <f aca="false">INDEX(Segmentation!$R$2:$R$301,MATCH($A119,Segmentation!$A$2:$A$301,0))</f>
        <v>11</v>
      </c>
      <c r="X119" s="2" t="n">
        <f aca="false">INDEX(Segmentation!$S$2:$S$301,MATCH($A119,Segmentation!$A$2:$A$301,0))</f>
        <v>4</v>
      </c>
      <c r="Y119" s="10" t="b">
        <f aca="false">INDEX(Segmentation!$AG$2:$AG$301,MATCH($A119,Segmentation!$A$2:$A$301,0))</f>
        <v>0</v>
      </c>
      <c r="Z119" s="2" t="str">
        <f aca="false">INDEX(Segmentation!$AU$2:$AU$301,MATCH($A119,Segmentation!$A$2:$A$301,0))</f>
        <v>Not Eligible</v>
      </c>
      <c r="AA119" s="10" t="b">
        <f aca="false">INDEX(Segmentation!$Z$2:$Z$301,MATCH($A119,Segmentation!$A$2:$A$301,0))</f>
        <v>0</v>
      </c>
      <c r="AB119" s="10" t="b">
        <f aca="false">INDEX(Segmentation!$AH$2:$AH$301,MATCH($A119,Segmentation!$A$2:$A$301,0))</f>
        <v>0</v>
      </c>
      <c r="AC119" s="10" t="b">
        <f aca="false">INDEX(Segmentation!$AK$2:$AK$301,MATCH($A119,Segmentation!$A$2:$A$301,0))</f>
        <v>0</v>
      </c>
      <c r="AD119" s="10" t="b">
        <f aca="false">INDEX(Segmentation!$AQ$2:$AQ$301,MATCH($A119,Segmentation!$A$2:$A$301,0))</f>
        <v>0</v>
      </c>
      <c r="AE119" s="10" t="b">
        <f aca="false">INDEX(Segmentation!$AT$2:$AT$301,MATCH($A119,Segmentation!$A$2:$A$301,0))</f>
        <v>0</v>
      </c>
      <c r="AF119" s="10" t="b">
        <f aca="false">INDEX(Segmentation!$X$2:$X$301,MATCH($A119,Segmentation!$A$2:$A$301,0))</f>
        <v>0</v>
      </c>
      <c r="AG119" s="10" t="b">
        <f aca="false">AND(F119="Low",V119&gt;=Assumptions!$B$71,X119&lt;Assumptions!$B$72)</f>
        <v>0</v>
      </c>
      <c r="AH119" s="10" t="b">
        <f aca="false">AND(F119="Low",OR(G119="Growing",G119="Stable"),P119="Recently Active",V119&gt;=Assumptions!$B$58,K119&gt;=Assumptions!$B$73)</f>
        <v>1</v>
      </c>
      <c r="AI119" s="17" t="n">
        <f aca="false">IF(O119&gt;0,MAX(L119:N119)/O119,"")</f>
        <v>0.526912181303116</v>
      </c>
      <c r="AJ119" s="2" t="str">
        <f aca="false">IF(LEFT(D119,1)="1",IF(E119="Key","MIGRATION_KEY_SIGNOFF",IF(Z119="Ready","MIGRATION_PHASE1_READY",IF(Z119="Manual Review","MIGRATION_PHASE1_REVIEW","MIGRATION_PRE_ENTRY"))),IF(LEFT(D119,1)="2","DECLINING_KEY_CORE",IF(LEFT(D119,1)="3",IF(R119="Established Buyer Lapsed","LAPSED_ESTABLISHED","LAPSED_THIN_HISTORY"),IF(LEFT(D119,1)="4",IF(Q119="New Customer","NEW_CUSTOMER","RETURNED_CUSTOMER"),IF(LEFT(D119,1)="5",IF(P119="Recently Active","COST_TO_SERVE_ACTIVE","DORMANT_LOW_VALUE"),IF(LEFT(D119,1)="6",IF(P119="Recent Inactivity","RECENT_INACTIVITY",IF(AG119,"BROWSING_LOW_OFFERS","HEALTHY_STRONG_SELF_SERVE")),IF(LEFT(D119,1)="7",IF(P119="Recent Inactivity","RECENT_INACTIVITY",IF(Q119="New Customer","NEW_CUSTOMER","RETURNED_CUSTOMER")),IF(LEFT(D119,1)="8",IF(G119="Declining",IF(T119="Engaged but shrinking (Key/Core)","ENGAGED_BUT_SHRINKING","DECLINING_KEY_CORE"),IF(R119="Established Buyer Lapsed","LAPSED_ESTABLISHED","LAPSED_THIN_HISTORY")),IF(S119,IF(P119&lt;&gt;"Recently Active","DORMANT_LOW_VALUE",IF(AG119,"BROWSING_LOW_OFFERS",IF(AH119,"RISING_TAIL","RISING_TAIL_EARLY"))),IF(AND(AG119,P119="Recently Active",OR(G119="Growing",G119="Stable",G119="H2 Active / No H1 GMV"),I119&gt;=Assumptions!$B$74),"BROWSING_LOW_OFFERS","LONG_TAIL_STANDARD"))))))))))</f>
        <v>LONG_TAIL_STANDARD</v>
      </c>
      <c r="AK119" s="2" t="str">
        <f aca="false">INDEX('NBA Library'!$B$4:$B$21,MATCH(AJ119,'NBA Library'!$A$4:$A$21,0))</f>
        <v>Automated Nurture</v>
      </c>
      <c r="AL119" s="2" t="str">
        <f aca="false">INDEX('NBA Library'!$C$4:$C$21,MATCH(AJ119,'NBA Library'!$A$4:$A$21,0))</f>
        <v>Automated</v>
      </c>
      <c r="AM119" s="2" t="str">
        <f aca="false">IF(AA119,"HOLD — Critical Data Issue",IF(Y119,"Human Sign-Off Required",IF(Z119="Manual Review","Human Review Required",IF(AND(AL119="Automated",OR(AE119,AND(OR(AK119="Discovery-to-Offer Enablement",AK119="Reinforce Successful Behaviour"),OR(AC119,AB119)))),"Human Review Required",IF(AL119="Human","Ready — Human",IF(AL119="Hybrid","Ready — Hybrid","Ready — Automated"))))))</f>
        <v>Ready — Automated</v>
      </c>
      <c r="AN119" s="2" t="str">
        <f aca="false">IF(AA119,"P0",IF(AND(AJ119="BROWSING_LOW_OFFERS",E119="Tail"),"P3",IF(AND(AM119="Human Review Required",INDEX('NBA Library'!$D$4:$D$21,MATCH(AJ119,'NBA Library'!$A$4:$A$21,0))="P4"),"P3",INDEX('NBA Library'!$D$4:$D$21,MATCH(AJ119,'NBA Library'!$A$4:$A$21,0)))))</f>
        <v>P4</v>
      </c>
      <c r="AO119" s="2" t="str">
        <f aca="false">E119&amp;" "&amp;C119&amp;" account ("&amp;B119&amp;"); "&amp;G119&amp;" momentum; "&amp;P119&amp;"; £"&amp;TEXT(H119,"#,##0")&amp;" 6m GMV. "&amp;INDEX('NBA Library'!$G$4:$G$21,MATCH(AJ119,'NBA Library'!$A$4:$A$21,0))&amp;IF(LEFT(D119,1)="1"," Baseline: "&amp;V119&amp;" PDP views, "&amp;W119&amp;" app days, "&amp;X119&amp;" offers, "&amp;TEXT(J119/I119,"0%")&amp;" of orders self-serve.","")&amp;IF(AA119," Execution on HOLD until the Duplicate status is resolved.","")&amp;IF(Y119," Key account: explicit AM/leadership sign-off required before any migration activity.","")&amp;IF(AE119," Implied broker % from order counts would move this account to a different segment; review before automating.","")</f>
        <v>Tail AM-Owned / Self-Serving account (Account Managed); Growing momentum; Recently Active; £489 6m GMV. Low-value, low-dependency account. Scalable automated engagement.</v>
      </c>
      <c r="AP119" s="2" t="str">
        <f aca="false">INDEX('NBA Library'!$E$4:$E$21,MATCH(AJ119,'NBA Library'!$A$4:$A$21,0))&amp;IF(AND(AJ119="NEW_CUSTOMER",AG119),"; introduce Make-an-Offer on items already browsed","")</f>
        <v>Scalable automated engagement matched to nurture sub-context</v>
      </c>
      <c r="AQ119" s="2" t="str">
        <f aca="false">INDEX('NBA Library'!$F$4:$F$21,MATCH(AJ119,'NBA Library'!$A$4:$A$21,0))</f>
        <v>Any repeat order within 90 days</v>
      </c>
      <c r="AR119" s="2" t="str">
        <f aca="false">IF(AND(F119="Low",OR(G119="Growing",G119="Stable"),P119="Recently Active",U119&lt;&gt;"Mixed",OR(AK119="Discovery-to-Offer Enablement",AK119="Reinforce Successful Behaviour"),AM119="Ready — Automated",OR(E119&lt;&gt;"Tail",S119)),"Range Expansion Test — trial "&amp;IF(U119="Bundle-only","handpick","bundles")&amp;" (experimental; not proven to lift GMV)","")</f>
        <v/>
      </c>
      <c r="AS119" s="2" t="str">
        <f aca="false">IF(AK119&lt;&gt;"Automated Nurture","",IF(AJ119="DORMANT_LOW_VALUE","Dormant",IF(AJ119="RISING_TAIL_EARLY","Rising tail – early pattern",IF(Q119="New Customer","New customer onboarding",IF(Q119="Returned Customer","Returned customer",IF(G119="Lapsed","Dormant",IF(T119="Engaged, not converting","Engaged, not converting",IF(T119="One-off low-touch buyer","One-off purchaser",IF(T119="Light-touch repeat buyer","Light-touch repeat buyer","Standard long tail")))))))))</f>
        <v>Light-touch repeat buyer</v>
      </c>
      <c r="AT119" s="2" t="str">
        <f aca="false">IF(AA119,"CRITICAL_DATA_BLOCKER; ","")&amp;IF(Y119,"KEY_SIGNOFF; ","")&amp;IF(Z119="Manual Review","PHASE1_MANUAL_REVIEW; ","")&amp;IF(AND(LEFT(D119,1)="1",AZ119="Lumpy"),"LUMPY_CADENCE; ","")&amp;IF(AB119,"BORDERLINE_MOMENTUM; ","")&amp;IF(AC119,"FEB_SENSITIVE; ","")&amp;IF(AD119,"MATERIAL_BROKER_INCONSISTENCY"&amp;IF(AE119," (segment would change)","")&amp;"; ","")&amp;IF(AND(I119&gt;=3,O119&gt;0),IF(AI119&gt;=Assumptions!$B$75,"H2_SINGLE_MONTH_SPIKE; ",""),"")&amp;IF(AND(M119&gt;0,N119=0),"NO_FEB_GMV (Feb unconfirmed); ","")&amp;IF(AF119,"LOW_CONFIDENCE; ","")</f>
        <v/>
      </c>
      <c r="AU119" s="2" t="str">
        <f aca="false">IF(LEFT(D119,1)="1",V119,"")</f>
        <v/>
      </c>
      <c r="AV119" s="2" t="str">
        <f aca="false">IF(LEFT(D119,1)="1",V119&gt;=Assumptions!$B$58,"")</f>
        <v/>
      </c>
      <c r="AW119" s="2" t="str">
        <f aca="false">IF(LEFT(D119,1)="1",W119,"")</f>
        <v/>
      </c>
      <c r="AX119" s="2" t="str">
        <f aca="false">IF(LEFT(D119,1)="1",X119,"")</f>
        <v/>
      </c>
      <c r="AY119" s="17" t="str">
        <f aca="false">IF(LEFT(D119,1)="1",J119/I119,"")</f>
        <v/>
      </c>
      <c r="AZ119" s="2" t="str">
        <f aca="false">IF(LEFT(D119,1)="1",IF(AND(K119&gt;=Assumptions!$B$83,I119&gt;=Assumptions!$B$84),"Regular","Lumpy"),"")</f>
        <v/>
      </c>
      <c r="BA119" s="2" t="str">
        <f aca="false">IF(LEFT(D119,1)="1",ROUND(6/K119,0),"")</f>
        <v/>
      </c>
      <c r="BB119" s="2" t="str">
        <f aca="false">IF(LEFT(D119,1)="1",IF(AZ119="Regular","Regular buyer: expected ~£"&amp;TEXT(H119/2,"#,##0")&amp;" per 90 days. At Risk if GMV to date &lt; "&amp;TEXT(Assumptions!$B$81,"0%")&amp;" of pro-rated expectation, checked from day "&amp;Assumptions!$B$82&amp;". Human-reviewed.","Irregular buyer ("&amp;I119&amp;" orders across "&amp;K119&amp;" months): no numeric GMV threshold. At Risk if no order within ~"&amp;BA119&amp;" month(s); AM reviews at day "&amp;Assumptions!$B$82&amp;" and "&amp;Assumptions!$B$85&amp;"."),"")</f>
        <v/>
      </c>
      <c r="BC119" s="2"/>
      <c r="BD119" s="2"/>
      <c r="BE119" s="2"/>
      <c r="BF119" s="2"/>
      <c r="BG119" s="2"/>
      <c r="BH119" s="2"/>
      <c r="BI119" s="2"/>
      <c r="BJ119" s="2" t="str">
        <f aca="false">IF(OR(NOT(LEFT(D119,1)="1"),BC119=""),"",IF(AZ119="Regular",AND(BC119&gt;=Assumptions!$B$82,N(BI119)&lt;Assumptions!$B$81*H119/180*BC119),AND(BC119&gt;=BA119*30,N(BG119)=0)))</f>
        <v/>
      </c>
      <c r="BK119" s="2" t="str">
        <f aca="false">IF(NOT(LEFT(D119,1)="1"),"N/A",IF(BC119="","Baseline",IF(BJ119,"At Risk",IF(AND(N(BD119)&gt;=Assumptions!$B$78,N(BE119)&gt;=Assumptions!$B$79,N(BH119)&gt;=1,N(BH119)/MAX(N(BG119),1)&gt;AY119),"Self-Serve Capability Demonstrated",IF(OR(N(BD119)&gt;=Assumptions!$B$76,N(BE119)&gt;=Assumptions!$B$77),"Progressing",IF(BC119&gt;=Assumptions!$B$85,"At Risk","Baseline"))))))</f>
        <v>N/A</v>
      </c>
      <c r="BL119" s="2" t="n">
        <f aca="false">(AND(C119="Broker-Reliant",OR(AK119="Discovery-to-Offer Enablement",AK119="Reinforce Successful Behaviour")))*1+(AND(G119="Declining",E119&lt;&gt;"Tail",AL119="Automated"))*1+(AND(Y119,AM119&lt;&gt;"Human Sign-Off Required"))*1+(AND(AA119,AM119&lt;&gt;"HOLD — Critical Data Issue"))*1+(AND(P119="Recent Inactivity",OR(AK119="Discovery-to-Offer Enablement",AK119="Reinforce Successful Behaviour")))*1+(AND(OR(LEFT(D119,1)="2",LEFT(D119,1)="3",LEFT(D119,1)="8"),AL119="Automated"))*1+((LEFT(D119,1)="1")&lt;&gt;(AK119="Guided Self-Serve Migration"))*1+(AND(AR119&lt;&gt;"",OR(F119&lt;&gt;"Low",U119="Mixed",AND(G119&lt;&gt;"Growing",G119&lt;&gt;"Stable"))))*1+ISNUMBER(SEARCH("chat",AP119))*1+ISNUMBER(SEARCH("video",AP119))*1+(AND(AA119,AL119="Automated",AM119&lt;&gt;"HOLD — Critical Data Issue"))*1</f>
        <v>0</v>
      </c>
    </row>
    <row r="120" customFormat="false" ht="15" hidden="false" customHeight="false" outlineLevel="0" collapsed="false">
      <c r="A120" s="2" t="s">
        <v>689</v>
      </c>
      <c r="B120" s="2" t="str">
        <f aca="false">INDEX(Segmentation!$B$2:$B$301,MATCH($A120,Segmentation!$A$2:$A$301,0))</f>
        <v>Account Managed</v>
      </c>
      <c r="C120" s="2" t="str">
        <f aca="false">INDEX(Segmentation!$H$2:$H$301,MATCH($A120,Segmentation!$A$2:$A$301,0))</f>
        <v>AM-Owned / Self-Serving</v>
      </c>
      <c r="D120" s="2" t="str">
        <f aca="false">INDEX(Segmentation!$T$2:$T$301,MATCH($A120,Segmentation!$A$2:$A$301,0))</f>
        <v>9. Long-Tail Automated Nurture</v>
      </c>
      <c r="E120" s="2" t="str">
        <f aca="false">INDEX(Segmentation!$J$2:$J$301,MATCH($A120,Segmentation!$A$2:$A$301,0))</f>
        <v>Tail</v>
      </c>
      <c r="F120" s="2" t="str">
        <f aca="false">INDEX(Segmentation!$G$2:$G$301,MATCH($A120,Segmentation!$A$2:$A$301,0))</f>
        <v>Low</v>
      </c>
      <c r="G120" s="2" t="str">
        <f aca="false">INDEX(Segmentation!$N$2:$N$301,MATCH($A120,Segmentation!$A$2:$A$301,0))</f>
        <v>Lapsed</v>
      </c>
      <c r="H120" s="9" t="n">
        <f aca="false">INDEX(Segmentation!$I$2:$I$301,MATCH($A120,Segmentation!$A$2:$A$301,0))</f>
        <v>489</v>
      </c>
      <c r="I120" s="2" t="n">
        <f aca="false">INDEX(Segmentation!$O$2:$O$301,MATCH($A120,Segmentation!$A$2:$A$301,0))</f>
        <v>2</v>
      </c>
      <c r="J120" s="2" t="n">
        <f aca="false">INDEX(Segmentation!$Q$2:$Q$301,MATCH($A120,Segmentation!$A$2:$A$301,0))</f>
        <v>2</v>
      </c>
      <c r="K120" s="2" t="n">
        <f aca="false">INDEX(Segmentation!$W$2:$W$301,MATCH($A120,Segmentation!$A$2:$A$301,0))</f>
        <v>1</v>
      </c>
      <c r="L120" s="9" t="n">
        <f aca="false">INDEX('Commercial View'!$L$2:$L$301,MATCH($A120,'Commercial View'!$A$2:$A$301,0))</f>
        <v>0</v>
      </c>
      <c r="M120" s="9" t="n">
        <f aca="false">INDEX('Commercial View'!$M$2:$M$301,MATCH($A120,'Commercial View'!$A$2:$A$301,0))</f>
        <v>0</v>
      </c>
      <c r="N120" s="9" t="n">
        <f aca="false">INDEX('Commercial View'!$N$2:$N$301,MATCH($A120,'Commercial View'!$A$2:$A$301,0))</f>
        <v>0</v>
      </c>
      <c r="O120" s="9" t="n">
        <f aca="false">INDEX(Segmentation!$L$2:$L$301,MATCH($A120,Segmentation!$A$2:$A$301,0))</f>
        <v>0</v>
      </c>
      <c r="P120" s="2" t="str">
        <f aca="false">IF(OR(M120&gt;0,N120&gt;0),"Recently Active",IF(OR(I120&lt;=Assumptions!$B$48,K120&lt;=Assumptions!$B$49),"No Meaningful History","Recent Inactivity"))</f>
        <v>No Meaningful History</v>
      </c>
      <c r="Q120" s="2" t="str">
        <f aca="false">INDEX(Segmentation!$AF$2:$AF$301,MATCH($A120,Segmentation!$A$2:$A$301,0))</f>
        <v>Existing Customer</v>
      </c>
      <c r="R120" s="2" t="str">
        <f aca="false">INDEX(Segmentation!$AL$2:$AL$301,MATCH($A120,Segmentation!$A$2:$A$301,0))</f>
        <v>One-Off / Insufficient History — Verify</v>
      </c>
      <c r="S120" s="10" t="b">
        <f aca="false">INDEX(Segmentation!$AW$2:$AW$301,MATCH($A120,Segmentation!$A$2:$A$301,0))</f>
        <v>0</v>
      </c>
      <c r="T120" s="2" t="str">
        <f aca="false">INDEX('Feature Data'!$AD$2:$AD$301,MATCH($A120,'Feature Data'!$A$2:$A$301,0))</f>
        <v>Engaged, not converting</v>
      </c>
      <c r="U120" s="2" t="str">
        <f aca="false">INDEX('Feature Data'!$W$2:$W$301,MATCH($A120,'Feature Data'!$A$2:$A$301,0))</f>
        <v>Bundle-only</v>
      </c>
      <c r="V120" s="2" t="n">
        <f aca="false">INDEX('Feature Data'!$P$2:$P$301,MATCH($A120,'Feature Data'!$A$2:$A$301,0))</f>
        <v>371</v>
      </c>
      <c r="W120" s="2" t="n">
        <f aca="false">INDEX(Segmentation!$R$2:$R$301,MATCH($A120,Segmentation!$A$2:$A$301,0))</f>
        <v>37</v>
      </c>
      <c r="X120" s="2" t="n">
        <f aca="false">INDEX(Segmentation!$S$2:$S$301,MATCH($A120,Segmentation!$A$2:$A$301,0))</f>
        <v>1</v>
      </c>
      <c r="Y120" s="10" t="b">
        <f aca="false">INDEX(Segmentation!$AG$2:$AG$301,MATCH($A120,Segmentation!$A$2:$A$301,0))</f>
        <v>0</v>
      </c>
      <c r="Z120" s="2" t="str">
        <f aca="false">INDEX(Segmentation!$AU$2:$AU$301,MATCH($A120,Segmentation!$A$2:$A$301,0))</f>
        <v>Not Eligible</v>
      </c>
      <c r="AA120" s="10" t="b">
        <f aca="false">INDEX(Segmentation!$Z$2:$Z$301,MATCH($A120,Segmentation!$A$2:$A$301,0))</f>
        <v>0</v>
      </c>
      <c r="AB120" s="10" t="b">
        <f aca="false">INDEX(Segmentation!$AH$2:$AH$301,MATCH($A120,Segmentation!$A$2:$A$301,0))</f>
        <v>0</v>
      </c>
      <c r="AC120" s="10" t="b">
        <f aca="false">INDEX(Segmentation!$AK$2:$AK$301,MATCH($A120,Segmentation!$A$2:$A$301,0))</f>
        <v>0</v>
      </c>
      <c r="AD120" s="10" t="b">
        <f aca="false">INDEX(Segmentation!$AQ$2:$AQ$301,MATCH($A120,Segmentation!$A$2:$A$301,0))</f>
        <v>0</v>
      </c>
      <c r="AE120" s="10" t="b">
        <f aca="false">INDEX(Segmentation!$AT$2:$AT$301,MATCH($A120,Segmentation!$A$2:$A$301,0))</f>
        <v>0</v>
      </c>
      <c r="AF120" s="10" t="b">
        <f aca="false">INDEX(Segmentation!$X$2:$X$301,MATCH($A120,Segmentation!$A$2:$A$301,0))</f>
        <v>1</v>
      </c>
      <c r="AG120" s="10" t="b">
        <f aca="false">AND(F120="Low",V120&gt;=Assumptions!$B$71,X120&lt;Assumptions!$B$72)</f>
        <v>1</v>
      </c>
      <c r="AH120" s="10" t="b">
        <f aca="false">AND(F120="Low",OR(G120="Growing",G120="Stable"),P120="Recently Active",V120&gt;=Assumptions!$B$58,K120&gt;=Assumptions!$B$73)</f>
        <v>0</v>
      </c>
      <c r="AI120" s="17" t="str">
        <f aca="false">IF(O120&gt;0,MAX(L120:N120)/O120,"")</f>
        <v/>
      </c>
      <c r="AJ120" s="2" t="str">
        <f aca="false">IF(LEFT(D120,1)="1",IF(E120="Key","MIGRATION_KEY_SIGNOFF",IF(Z120="Ready","MIGRATION_PHASE1_READY",IF(Z120="Manual Review","MIGRATION_PHASE1_REVIEW","MIGRATION_PRE_ENTRY"))),IF(LEFT(D120,1)="2","DECLINING_KEY_CORE",IF(LEFT(D120,1)="3",IF(R120="Established Buyer Lapsed","LAPSED_ESTABLISHED","LAPSED_THIN_HISTORY"),IF(LEFT(D120,1)="4",IF(Q120="New Customer","NEW_CUSTOMER","RETURNED_CUSTOMER"),IF(LEFT(D120,1)="5",IF(P120="Recently Active","COST_TO_SERVE_ACTIVE","DORMANT_LOW_VALUE"),IF(LEFT(D120,1)="6",IF(P120="Recent Inactivity","RECENT_INACTIVITY",IF(AG120,"BROWSING_LOW_OFFERS","HEALTHY_STRONG_SELF_SERVE")),IF(LEFT(D120,1)="7",IF(P120="Recent Inactivity","RECENT_INACTIVITY",IF(Q120="New Customer","NEW_CUSTOMER","RETURNED_CUSTOMER")),IF(LEFT(D120,1)="8",IF(G120="Declining",IF(T120="Engaged but shrinking (Key/Core)","ENGAGED_BUT_SHRINKING","DECLINING_KEY_CORE"),IF(R120="Established Buyer Lapsed","LAPSED_ESTABLISHED","LAPSED_THIN_HISTORY")),IF(S120,IF(P120&lt;&gt;"Recently Active","DORMANT_LOW_VALUE",IF(AG120,"BROWSING_LOW_OFFERS",IF(AH120,"RISING_TAIL","RISING_TAIL_EARLY"))),IF(AND(AG120,P120="Recently Active",OR(G120="Growing",G120="Stable",G120="H2 Active / No H1 GMV"),I120&gt;=Assumptions!$B$74),"BROWSING_LOW_OFFERS","LONG_TAIL_STANDARD"))))))))))</f>
        <v>LONG_TAIL_STANDARD</v>
      </c>
      <c r="AK120" s="2" t="str">
        <f aca="false">INDEX('NBA Library'!$B$4:$B$21,MATCH(AJ120,'NBA Library'!$A$4:$A$21,0))</f>
        <v>Automated Nurture</v>
      </c>
      <c r="AL120" s="2" t="str">
        <f aca="false">INDEX('NBA Library'!$C$4:$C$21,MATCH(AJ120,'NBA Library'!$A$4:$A$21,0))</f>
        <v>Automated</v>
      </c>
      <c r="AM120" s="2" t="str">
        <f aca="false">IF(AA120,"HOLD — Critical Data Issue",IF(Y120,"Human Sign-Off Required",IF(Z120="Manual Review","Human Review Required",IF(AND(AL120="Automated",OR(AE120,AND(OR(AK120="Discovery-to-Offer Enablement",AK120="Reinforce Successful Behaviour"),OR(AC120,AB120)))),"Human Review Required",IF(AL120="Human","Ready — Human",IF(AL120="Hybrid","Ready — Hybrid","Ready — Automated"))))))</f>
        <v>Ready — Automated</v>
      </c>
      <c r="AN120" s="2" t="str">
        <f aca="false">IF(AA120,"P0",IF(AND(AJ120="BROWSING_LOW_OFFERS",E120="Tail"),"P3",IF(AND(AM120="Human Review Required",INDEX('NBA Library'!$D$4:$D$21,MATCH(AJ120,'NBA Library'!$A$4:$A$21,0))="P4"),"P3",INDEX('NBA Library'!$D$4:$D$21,MATCH(AJ120,'NBA Library'!$A$4:$A$21,0)))))</f>
        <v>P4</v>
      </c>
      <c r="AO120" s="2" t="str">
        <f aca="false">E120&amp;" "&amp;C120&amp;" account ("&amp;B120&amp;"); "&amp;G120&amp;" momentum; "&amp;P120&amp;"; £"&amp;TEXT(H120,"#,##0")&amp;" 6m GMV. "&amp;INDEX('NBA Library'!$G$4:$G$21,MATCH(AJ120,'NBA Library'!$A$4:$A$21,0))&amp;IF(LEFT(D120,1)="1"," Baseline: "&amp;V120&amp;" PDP views, "&amp;W120&amp;" app days, "&amp;X120&amp;" offers, "&amp;TEXT(J120/I120,"0%")&amp;" of orders self-serve.","")&amp;IF(AA120," Execution on HOLD until the Duplicate status is resolved.","")&amp;IF(Y120," Key account: explicit AM/leadership sign-off required before any migration activity.","")&amp;IF(AE120," Implied broker % from order counts would move this account to a different segment; review before automating.","")</f>
        <v>Tail AM-Owned / Self-Serving account (Account Managed); Lapsed momentum; No Meaningful History; £489 6m GMV. Low-value, low-dependency account. Scalable automated engagement.</v>
      </c>
      <c r="AP120" s="2" t="str">
        <f aca="false">INDEX('NBA Library'!$E$4:$E$21,MATCH(AJ120,'NBA Library'!$A$4:$A$21,0))&amp;IF(AND(AJ120="NEW_CUSTOMER",AG120),"; introduce Make-an-Offer on items already browsed","")</f>
        <v>Scalable automated engagement matched to nurture sub-context</v>
      </c>
      <c r="AQ120" s="2" t="str">
        <f aca="false">INDEX('NBA Library'!$F$4:$F$21,MATCH(AJ120,'NBA Library'!$A$4:$A$21,0))</f>
        <v>Any repeat order within 90 days</v>
      </c>
      <c r="AR120" s="2" t="str">
        <f aca="false">IF(AND(F120="Low",OR(G120="Growing",G120="Stable"),P120="Recently Active",U120&lt;&gt;"Mixed",OR(AK120="Discovery-to-Offer Enablement",AK120="Reinforce Successful Behaviour"),AM120="Ready — Automated",OR(E120&lt;&gt;"Tail",S120)),"Range Expansion Test — trial "&amp;IF(U120="Bundle-only","handpick","bundles")&amp;" (experimental; not proven to lift GMV)","")</f>
        <v/>
      </c>
      <c r="AS120" s="2" t="str">
        <f aca="false">IF(AK120&lt;&gt;"Automated Nurture","",IF(AJ120="DORMANT_LOW_VALUE","Dormant",IF(AJ120="RISING_TAIL_EARLY","Rising tail – early pattern",IF(Q120="New Customer","New customer onboarding",IF(Q120="Returned Customer","Returned customer",IF(G120="Lapsed","Dormant",IF(T120="Engaged, not converting","Engaged, not converting",IF(T120="One-off low-touch buyer","One-off purchaser",IF(T120="Light-touch repeat buyer","Light-touch repeat buyer","Standard long tail")))))))))</f>
        <v>Dormant</v>
      </c>
      <c r="AT120" s="2" t="str">
        <f aca="false">IF(AA120,"CRITICAL_DATA_BLOCKER; ","")&amp;IF(Y120,"KEY_SIGNOFF; ","")&amp;IF(Z120="Manual Review","PHASE1_MANUAL_REVIEW; ","")&amp;IF(AND(LEFT(D120,1)="1",AZ120="Lumpy"),"LUMPY_CADENCE; ","")&amp;IF(AB120,"BORDERLINE_MOMENTUM; ","")&amp;IF(AC120,"FEB_SENSITIVE; ","")&amp;IF(AD120,"MATERIAL_BROKER_INCONSISTENCY"&amp;IF(AE120," (segment would change)","")&amp;"; ","")&amp;IF(AND(I120&gt;=3,O120&gt;0),IF(AI120&gt;=Assumptions!$B$75,"H2_SINGLE_MONTH_SPIKE; ",""),"")&amp;IF(AND(M120&gt;0,N120=0),"NO_FEB_GMV (Feb unconfirmed); ","")&amp;IF(AF120,"LOW_CONFIDENCE; ","")</f>
        <v>LOW_CONFIDENCE; </v>
      </c>
      <c r="AU120" s="2" t="str">
        <f aca="false">IF(LEFT(D120,1)="1",V120,"")</f>
        <v/>
      </c>
      <c r="AV120" s="2" t="str">
        <f aca="false">IF(LEFT(D120,1)="1",V120&gt;=Assumptions!$B$58,"")</f>
        <v/>
      </c>
      <c r="AW120" s="2" t="str">
        <f aca="false">IF(LEFT(D120,1)="1",W120,"")</f>
        <v/>
      </c>
      <c r="AX120" s="2" t="str">
        <f aca="false">IF(LEFT(D120,1)="1",X120,"")</f>
        <v/>
      </c>
      <c r="AY120" s="17" t="str">
        <f aca="false">IF(LEFT(D120,1)="1",J120/I120,"")</f>
        <v/>
      </c>
      <c r="AZ120" s="2" t="str">
        <f aca="false">IF(LEFT(D120,1)="1",IF(AND(K120&gt;=Assumptions!$B$83,I120&gt;=Assumptions!$B$84),"Regular","Lumpy"),"")</f>
        <v/>
      </c>
      <c r="BA120" s="2" t="str">
        <f aca="false">IF(LEFT(D120,1)="1",ROUND(6/K120,0),"")</f>
        <v/>
      </c>
      <c r="BB120" s="2" t="str">
        <f aca="false">IF(LEFT(D120,1)="1",IF(AZ120="Regular","Regular buyer: expected ~£"&amp;TEXT(H120/2,"#,##0")&amp;" per 90 days. At Risk if GMV to date &lt; "&amp;TEXT(Assumptions!$B$81,"0%")&amp;" of pro-rated expectation, checked from day "&amp;Assumptions!$B$82&amp;". Human-reviewed.","Irregular buyer ("&amp;I120&amp;" orders across "&amp;K120&amp;" months): no numeric GMV threshold. At Risk if no order within ~"&amp;BA120&amp;" month(s); AM reviews at day "&amp;Assumptions!$B$82&amp;" and "&amp;Assumptions!$B$85&amp;"."),"")</f>
        <v/>
      </c>
      <c r="BC120" s="2"/>
      <c r="BD120" s="2"/>
      <c r="BE120" s="2"/>
      <c r="BF120" s="2"/>
      <c r="BG120" s="2"/>
      <c r="BH120" s="2"/>
      <c r="BI120" s="2"/>
      <c r="BJ120" s="2" t="str">
        <f aca="false">IF(OR(NOT(LEFT(D120,1)="1"),BC120=""),"",IF(AZ120="Regular",AND(BC120&gt;=Assumptions!$B$82,N(BI120)&lt;Assumptions!$B$81*H120/180*BC120),AND(BC120&gt;=BA120*30,N(BG120)=0)))</f>
        <v/>
      </c>
      <c r="BK120" s="2" t="str">
        <f aca="false">IF(NOT(LEFT(D120,1)="1"),"N/A",IF(BC120="","Baseline",IF(BJ120,"At Risk",IF(AND(N(BD120)&gt;=Assumptions!$B$78,N(BE120)&gt;=Assumptions!$B$79,N(BH120)&gt;=1,N(BH120)/MAX(N(BG120),1)&gt;AY120),"Self-Serve Capability Demonstrated",IF(OR(N(BD120)&gt;=Assumptions!$B$76,N(BE120)&gt;=Assumptions!$B$77),"Progressing",IF(BC120&gt;=Assumptions!$B$85,"At Risk","Baseline"))))))</f>
        <v>N/A</v>
      </c>
      <c r="BL120" s="2" t="n">
        <f aca="false">(AND(C120="Broker-Reliant",OR(AK120="Discovery-to-Offer Enablement",AK120="Reinforce Successful Behaviour")))*1+(AND(G120="Declining",E120&lt;&gt;"Tail",AL120="Automated"))*1+(AND(Y120,AM120&lt;&gt;"Human Sign-Off Required"))*1+(AND(AA120,AM120&lt;&gt;"HOLD — Critical Data Issue"))*1+(AND(P120="Recent Inactivity",OR(AK120="Discovery-to-Offer Enablement",AK120="Reinforce Successful Behaviour")))*1+(AND(OR(LEFT(D120,1)="2",LEFT(D120,1)="3",LEFT(D120,1)="8"),AL120="Automated"))*1+((LEFT(D120,1)="1")&lt;&gt;(AK120="Guided Self-Serve Migration"))*1+(AND(AR120&lt;&gt;"",OR(F120&lt;&gt;"Low",U120="Mixed",AND(G120&lt;&gt;"Growing",G120&lt;&gt;"Stable"))))*1+ISNUMBER(SEARCH("chat",AP120))*1+ISNUMBER(SEARCH("video",AP120))*1+(AND(AA120,AL120="Automated",AM120&lt;&gt;"HOLD — Critical Data Issue"))*1</f>
        <v>0</v>
      </c>
    </row>
    <row r="121" customFormat="false" ht="15" hidden="false" customHeight="false" outlineLevel="0" collapsed="false">
      <c r="A121" s="2" t="s">
        <v>693</v>
      </c>
      <c r="B121" s="2" t="str">
        <f aca="false">INDEX(Segmentation!$B$2:$B$301,MATCH($A121,Segmentation!$A$2:$A$301,0))</f>
        <v>Account Managed</v>
      </c>
      <c r="C121" s="2" t="str">
        <f aca="false">INDEX(Segmentation!$H$2:$H$301,MATCH($A121,Segmentation!$A$2:$A$301,0))</f>
        <v>AM-Owned / Self-Serving</v>
      </c>
      <c r="D121" s="2" t="str">
        <f aca="false">INDEX(Segmentation!$T$2:$T$301,MATCH($A121,Segmentation!$A$2:$A$301,0))</f>
        <v>9. Long-Tail Automated Nurture</v>
      </c>
      <c r="E121" s="2" t="str">
        <f aca="false">INDEX(Segmentation!$J$2:$J$301,MATCH($A121,Segmentation!$A$2:$A$301,0))</f>
        <v>Tail</v>
      </c>
      <c r="F121" s="2" t="str">
        <f aca="false">INDEX(Segmentation!$G$2:$G$301,MATCH($A121,Segmentation!$A$2:$A$301,0))</f>
        <v>Low</v>
      </c>
      <c r="G121" s="2" t="str">
        <f aca="false">INDEX(Segmentation!$N$2:$N$301,MATCH($A121,Segmentation!$A$2:$A$301,0))</f>
        <v>Lapsed</v>
      </c>
      <c r="H121" s="9" t="n">
        <f aca="false">INDEX(Segmentation!$I$2:$I$301,MATCH($A121,Segmentation!$A$2:$A$301,0))</f>
        <v>471</v>
      </c>
      <c r="I121" s="2" t="n">
        <f aca="false">INDEX(Segmentation!$O$2:$O$301,MATCH($A121,Segmentation!$A$2:$A$301,0))</f>
        <v>3</v>
      </c>
      <c r="J121" s="2" t="n">
        <f aca="false">INDEX(Segmentation!$Q$2:$Q$301,MATCH($A121,Segmentation!$A$2:$A$301,0))</f>
        <v>2</v>
      </c>
      <c r="K121" s="2" t="n">
        <f aca="false">INDEX(Segmentation!$W$2:$W$301,MATCH($A121,Segmentation!$A$2:$A$301,0))</f>
        <v>2</v>
      </c>
      <c r="L121" s="9" t="n">
        <f aca="false">INDEX('Commercial View'!$L$2:$L$301,MATCH($A121,'Commercial View'!$A$2:$A$301,0))</f>
        <v>0</v>
      </c>
      <c r="M121" s="9" t="n">
        <f aca="false">INDEX('Commercial View'!$M$2:$M$301,MATCH($A121,'Commercial View'!$A$2:$A$301,0))</f>
        <v>0</v>
      </c>
      <c r="N121" s="9" t="n">
        <f aca="false">INDEX('Commercial View'!$N$2:$N$301,MATCH($A121,'Commercial View'!$A$2:$A$301,0))</f>
        <v>0</v>
      </c>
      <c r="O121" s="9" t="n">
        <f aca="false">INDEX(Segmentation!$L$2:$L$301,MATCH($A121,Segmentation!$A$2:$A$301,0))</f>
        <v>0</v>
      </c>
      <c r="P121" s="2" t="str">
        <f aca="false">IF(OR(M121&gt;0,N121&gt;0),"Recently Active",IF(OR(I121&lt;=Assumptions!$B$48,K121&lt;=Assumptions!$B$49),"No Meaningful History","Recent Inactivity"))</f>
        <v>Recent Inactivity</v>
      </c>
      <c r="Q121" s="2" t="str">
        <f aca="false">INDEX(Segmentation!$AF$2:$AF$301,MATCH($A121,Segmentation!$A$2:$A$301,0))</f>
        <v>Existing Customer</v>
      </c>
      <c r="R121" s="2" t="str">
        <f aca="false">INDEX(Segmentation!$AL$2:$AL$301,MATCH($A121,Segmentation!$A$2:$A$301,0))</f>
        <v>Established Buyer Lapsed</v>
      </c>
      <c r="S121" s="10" t="b">
        <f aca="false">INDEX(Segmentation!$AW$2:$AW$301,MATCH($A121,Segmentation!$A$2:$A$301,0))</f>
        <v>0</v>
      </c>
      <c r="T121" s="2" t="str">
        <f aca="false">INDEX('Feature Data'!$AD$2:$AD$301,MATCH($A121,'Feature Data'!$A$2:$A$301,0))</f>
        <v>Independent browser-buyer</v>
      </c>
      <c r="U121" s="2" t="str">
        <f aca="false">INDEX('Feature Data'!$W$2:$W$301,MATCH($A121,'Feature Data'!$A$2:$A$301,0))</f>
        <v>Handpick-only</v>
      </c>
      <c r="V121" s="2" t="n">
        <f aca="false">INDEX('Feature Data'!$P$2:$P$301,MATCH($A121,'Feature Data'!$A$2:$A$301,0))</f>
        <v>216</v>
      </c>
      <c r="W121" s="2" t="n">
        <f aca="false">INDEX(Segmentation!$R$2:$R$301,MATCH($A121,Segmentation!$A$2:$A$301,0))</f>
        <v>21</v>
      </c>
      <c r="X121" s="2" t="n">
        <f aca="false">INDEX(Segmentation!$S$2:$S$301,MATCH($A121,Segmentation!$A$2:$A$301,0))</f>
        <v>9</v>
      </c>
      <c r="Y121" s="10" t="b">
        <f aca="false">INDEX(Segmentation!$AG$2:$AG$301,MATCH($A121,Segmentation!$A$2:$A$301,0))</f>
        <v>0</v>
      </c>
      <c r="Z121" s="2" t="str">
        <f aca="false">INDEX(Segmentation!$AU$2:$AU$301,MATCH($A121,Segmentation!$A$2:$A$301,0))</f>
        <v>Not Eligible</v>
      </c>
      <c r="AA121" s="10" t="b">
        <f aca="false">INDEX(Segmentation!$Z$2:$Z$301,MATCH($A121,Segmentation!$A$2:$A$301,0))</f>
        <v>0</v>
      </c>
      <c r="AB121" s="10" t="b">
        <f aca="false">INDEX(Segmentation!$AH$2:$AH$301,MATCH($A121,Segmentation!$A$2:$A$301,0))</f>
        <v>0</v>
      </c>
      <c r="AC121" s="10" t="b">
        <f aca="false">INDEX(Segmentation!$AK$2:$AK$301,MATCH($A121,Segmentation!$A$2:$A$301,0))</f>
        <v>0</v>
      </c>
      <c r="AD121" s="10" t="b">
        <f aca="false">INDEX(Segmentation!$AQ$2:$AQ$301,MATCH($A121,Segmentation!$A$2:$A$301,0))</f>
        <v>1</v>
      </c>
      <c r="AE121" s="10" t="b">
        <f aca="false">INDEX(Segmentation!$AT$2:$AT$301,MATCH($A121,Segmentation!$A$2:$A$301,0))</f>
        <v>0</v>
      </c>
      <c r="AF121" s="10" t="b">
        <f aca="false">INDEX(Segmentation!$X$2:$X$301,MATCH($A121,Segmentation!$A$2:$A$301,0))</f>
        <v>0</v>
      </c>
      <c r="AG121" s="10" t="b">
        <f aca="false">AND(F121="Low",V121&gt;=Assumptions!$B$71,X121&lt;Assumptions!$B$72)</f>
        <v>0</v>
      </c>
      <c r="AH121" s="10" t="b">
        <f aca="false">AND(F121="Low",OR(G121="Growing",G121="Stable"),P121="Recently Active",V121&gt;=Assumptions!$B$58,K121&gt;=Assumptions!$B$73)</f>
        <v>0</v>
      </c>
      <c r="AI121" s="17" t="str">
        <f aca="false">IF(O121&gt;0,MAX(L121:N121)/O121,"")</f>
        <v/>
      </c>
      <c r="AJ121" s="2" t="str">
        <f aca="false">IF(LEFT(D121,1)="1",IF(E121="Key","MIGRATION_KEY_SIGNOFF",IF(Z121="Ready","MIGRATION_PHASE1_READY",IF(Z121="Manual Review","MIGRATION_PHASE1_REVIEW","MIGRATION_PRE_ENTRY"))),IF(LEFT(D121,1)="2","DECLINING_KEY_CORE",IF(LEFT(D121,1)="3",IF(R121="Established Buyer Lapsed","LAPSED_ESTABLISHED","LAPSED_THIN_HISTORY"),IF(LEFT(D121,1)="4",IF(Q121="New Customer","NEW_CUSTOMER","RETURNED_CUSTOMER"),IF(LEFT(D121,1)="5",IF(P121="Recently Active","COST_TO_SERVE_ACTIVE","DORMANT_LOW_VALUE"),IF(LEFT(D121,1)="6",IF(P121="Recent Inactivity","RECENT_INACTIVITY",IF(AG121,"BROWSING_LOW_OFFERS","HEALTHY_STRONG_SELF_SERVE")),IF(LEFT(D121,1)="7",IF(P121="Recent Inactivity","RECENT_INACTIVITY",IF(Q121="New Customer","NEW_CUSTOMER","RETURNED_CUSTOMER")),IF(LEFT(D121,1)="8",IF(G121="Declining",IF(T121="Engaged but shrinking (Key/Core)","ENGAGED_BUT_SHRINKING","DECLINING_KEY_CORE"),IF(R121="Established Buyer Lapsed","LAPSED_ESTABLISHED","LAPSED_THIN_HISTORY")),IF(S121,IF(P121&lt;&gt;"Recently Active","DORMANT_LOW_VALUE",IF(AG121,"BROWSING_LOW_OFFERS",IF(AH121,"RISING_TAIL","RISING_TAIL_EARLY"))),IF(AND(AG121,P121="Recently Active",OR(G121="Growing",G121="Stable",G121="H2 Active / No H1 GMV"),I121&gt;=Assumptions!$B$74),"BROWSING_LOW_OFFERS","LONG_TAIL_STANDARD"))))))))))</f>
        <v>LONG_TAIL_STANDARD</v>
      </c>
      <c r="AK121" s="2" t="str">
        <f aca="false">INDEX('NBA Library'!$B$4:$B$21,MATCH(AJ121,'NBA Library'!$A$4:$A$21,0))</f>
        <v>Automated Nurture</v>
      </c>
      <c r="AL121" s="2" t="str">
        <f aca="false">INDEX('NBA Library'!$C$4:$C$21,MATCH(AJ121,'NBA Library'!$A$4:$A$21,0))</f>
        <v>Automated</v>
      </c>
      <c r="AM121" s="2" t="str">
        <f aca="false">IF(AA121,"HOLD — Critical Data Issue",IF(Y121,"Human Sign-Off Required",IF(Z121="Manual Review","Human Review Required",IF(AND(AL121="Automated",OR(AE121,AND(OR(AK121="Discovery-to-Offer Enablement",AK121="Reinforce Successful Behaviour"),OR(AC121,AB121)))),"Human Review Required",IF(AL121="Human","Ready — Human",IF(AL121="Hybrid","Ready — Hybrid","Ready — Automated"))))))</f>
        <v>Ready — Automated</v>
      </c>
      <c r="AN121" s="2" t="str">
        <f aca="false">IF(AA121,"P0",IF(AND(AJ121="BROWSING_LOW_OFFERS",E121="Tail"),"P3",IF(AND(AM121="Human Review Required",INDEX('NBA Library'!$D$4:$D$21,MATCH(AJ121,'NBA Library'!$A$4:$A$21,0))="P4"),"P3",INDEX('NBA Library'!$D$4:$D$21,MATCH(AJ121,'NBA Library'!$A$4:$A$21,0)))))</f>
        <v>P4</v>
      </c>
      <c r="AO121" s="2" t="str">
        <f aca="false">E121&amp;" "&amp;C121&amp;" account ("&amp;B121&amp;"); "&amp;G121&amp;" momentum; "&amp;P121&amp;"; £"&amp;TEXT(H121,"#,##0")&amp;" 6m GMV. "&amp;INDEX('NBA Library'!$G$4:$G$21,MATCH(AJ121,'NBA Library'!$A$4:$A$21,0))&amp;IF(LEFT(D121,1)="1"," Baseline: "&amp;V121&amp;" PDP views, "&amp;W121&amp;" app days, "&amp;X121&amp;" offers, "&amp;TEXT(J121/I121,"0%")&amp;" of orders self-serve.","")&amp;IF(AA121," Execution on HOLD until the Duplicate status is resolved.","")&amp;IF(Y121," Key account: explicit AM/leadership sign-off required before any migration activity.","")&amp;IF(AE121," Implied broker % from order counts would move this account to a different segment; review before automating.","")</f>
        <v>Tail AM-Owned / Self-Serving account (Account Managed); Lapsed momentum; Recent Inactivity; £471 6m GMV. Low-value, low-dependency account. Scalable automated engagement.</v>
      </c>
      <c r="AP121" s="2" t="str">
        <f aca="false">INDEX('NBA Library'!$E$4:$E$21,MATCH(AJ121,'NBA Library'!$A$4:$A$21,0))&amp;IF(AND(AJ121="NEW_CUSTOMER",AG121),"; introduce Make-an-Offer on items already browsed","")</f>
        <v>Scalable automated engagement matched to nurture sub-context</v>
      </c>
      <c r="AQ121" s="2" t="str">
        <f aca="false">INDEX('NBA Library'!$F$4:$F$21,MATCH(AJ121,'NBA Library'!$A$4:$A$21,0))</f>
        <v>Any repeat order within 90 days</v>
      </c>
      <c r="AR121" s="2" t="str">
        <f aca="false">IF(AND(F121="Low",OR(G121="Growing",G121="Stable"),P121="Recently Active",U121&lt;&gt;"Mixed",OR(AK121="Discovery-to-Offer Enablement",AK121="Reinforce Successful Behaviour"),AM121="Ready — Automated",OR(E121&lt;&gt;"Tail",S121)),"Range Expansion Test — trial "&amp;IF(U121="Bundle-only","handpick","bundles")&amp;" (experimental; not proven to lift GMV)","")</f>
        <v/>
      </c>
      <c r="AS121" s="2" t="str">
        <f aca="false">IF(AK121&lt;&gt;"Automated Nurture","",IF(AJ121="DORMANT_LOW_VALUE","Dormant",IF(AJ121="RISING_TAIL_EARLY","Rising tail – early pattern",IF(Q121="New Customer","New customer onboarding",IF(Q121="Returned Customer","Returned customer",IF(G121="Lapsed","Dormant",IF(T121="Engaged, not converting","Engaged, not converting",IF(T121="One-off low-touch buyer","One-off purchaser",IF(T121="Light-touch repeat buyer","Light-touch repeat buyer","Standard long tail")))))))))</f>
        <v>Dormant</v>
      </c>
      <c r="AT121" s="2" t="str">
        <f aca="false">IF(AA121,"CRITICAL_DATA_BLOCKER; ","")&amp;IF(Y121,"KEY_SIGNOFF; ","")&amp;IF(Z121="Manual Review","PHASE1_MANUAL_REVIEW; ","")&amp;IF(AND(LEFT(D121,1)="1",AZ121="Lumpy"),"LUMPY_CADENCE; ","")&amp;IF(AB121,"BORDERLINE_MOMENTUM; ","")&amp;IF(AC121,"FEB_SENSITIVE; ","")&amp;IF(AD121,"MATERIAL_BROKER_INCONSISTENCY"&amp;IF(AE121," (segment would change)","")&amp;"; ","")&amp;IF(AND(I121&gt;=3,O121&gt;0),IF(AI121&gt;=Assumptions!$B$75,"H2_SINGLE_MONTH_SPIKE; ",""),"")&amp;IF(AND(M121&gt;0,N121=0),"NO_FEB_GMV (Feb unconfirmed); ","")&amp;IF(AF121,"LOW_CONFIDENCE; ","")</f>
        <v>MATERIAL_BROKER_INCONSISTENCY; </v>
      </c>
      <c r="AU121" s="2" t="str">
        <f aca="false">IF(LEFT(D121,1)="1",V121,"")</f>
        <v/>
      </c>
      <c r="AV121" s="2" t="str">
        <f aca="false">IF(LEFT(D121,1)="1",V121&gt;=Assumptions!$B$58,"")</f>
        <v/>
      </c>
      <c r="AW121" s="2" t="str">
        <f aca="false">IF(LEFT(D121,1)="1",W121,"")</f>
        <v/>
      </c>
      <c r="AX121" s="2" t="str">
        <f aca="false">IF(LEFT(D121,1)="1",X121,"")</f>
        <v/>
      </c>
      <c r="AY121" s="17" t="str">
        <f aca="false">IF(LEFT(D121,1)="1",J121/I121,"")</f>
        <v/>
      </c>
      <c r="AZ121" s="2" t="str">
        <f aca="false">IF(LEFT(D121,1)="1",IF(AND(K121&gt;=Assumptions!$B$83,I121&gt;=Assumptions!$B$84),"Regular","Lumpy"),"")</f>
        <v/>
      </c>
      <c r="BA121" s="2" t="str">
        <f aca="false">IF(LEFT(D121,1)="1",ROUND(6/K121,0),"")</f>
        <v/>
      </c>
      <c r="BB121" s="2" t="str">
        <f aca="false">IF(LEFT(D121,1)="1",IF(AZ121="Regular","Regular buyer: expected ~£"&amp;TEXT(H121/2,"#,##0")&amp;" per 90 days. At Risk if GMV to date &lt; "&amp;TEXT(Assumptions!$B$81,"0%")&amp;" of pro-rated expectation, checked from day "&amp;Assumptions!$B$82&amp;". Human-reviewed.","Irregular buyer ("&amp;I121&amp;" orders across "&amp;K121&amp;" months): no numeric GMV threshold. At Risk if no order within ~"&amp;BA121&amp;" month(s); AM reviews at day "&amp;Assumptions!$B$82&amp;" and "&amp;Assumptions!$B$85&amp;"."),"")</f>
        <v/>
      </c>
      <c r="BC121" s="2"/>
      <c r="BD121" s="2"/>
      <c r="BE121" s="2"/>
      <c r="BF121" s="2"/>
      <c r="BG121" s="2"/>
      <c r="BH121" s="2"/>
      <c r="BI121" s="2"/>
      <c r="BJ121" s="2" t="str">
        <f aca="false">IF(OR(NOT(LEFT(D121,1)="1"),BC121=""),"",IF(AZ121="Regular",AND(BC121&gt;=Assumptions!$B$82,N(BI121)&lt;Assumptions!$B$81*H121/180*BC121),AND(BC121&gt;=BA121*30,N(BG121)=0)))</f>
        <v/>
      </c>
      <c r="BK121" s="2" t="str">
        <f aca="false">IF(NOT(LEFT(D121,1)="1"),"N/A",IF(BC121="","Baseline",IF(BJ121,"At Risk",IF(AND(N(BD121)&gt;=Assumptions!$B$78,N(BE121)&gt;=Assumptions!$B$79,N(BH121)&gt;=1,N(BH121)/MAX(N(BG121),1)&gt;AY121),"Self-Serve Capability Demonstrated",IF(OR(N(BD121)&gt;=Assumptions!$B$76,N(BE121)&gt;=Assumptions!$B$77),"Progressing",IF(BC121&gt;=Assumptions!$B$85,"At Risk","Baseline"))))))</f>
        <v>N/A</v>
      </c>
      <c r="BL121" s="2" t="n">
        <f aca="false">(AND(C121="Broker-Reliant",OR(AK121="Discovery-to-Offer Enablement",AK121="Reinforce Successful Behaviour")))*1+(AND(G121="Declining",E121&lt;&gt;"Tail",AL121="Automated"))*1+(AND(Y121,AM121&lt;&gt;"Human Sign-Off Required"))*1+(AND(AA121,AM121&lt;&gt;"HOLD — Critical Data Issue"))*1+(AND(P121="Recent Inactivity",OR(AK121="Discovery-to-Offer Enablement",AK121="Reinforce Successful Behaviour")))*1+(AND(OR(LEFT(D121,1)="2",LEFT(D121,1)="3",LEFT(D121,1)="8"),AL121="Automated"))*1+((LEFT(D121,1)="1")&lt;&gt;(AK121="Guided Self-Serve Migration"))*1+(AND(AR121&lt;&gt;"",OR(F121&lt;&gt;"Low",U121="Mixed",AND(G121&lt;&gt;"Growing",G121&lt;&gt;"Stable"))))*1+ISNUMBER(SEARCH("chat",AP121))*1+ISNUMBER(SEARCH("video",AP121))*1+(AND(AA121,AL121="Automated",AM121&lt;&gt;"HOLD — Critical Data Issue"))*1</f>
        <v>0</v>
      </c>
    </row>
    <row r="122" customFormat="false" ht="15" hidden="false" customHeight="false" outlineLevel="0" collapsed="false">
      <c r="A122" s="2" t="s">
        <v>695</v>
      </c>
      <c r="B122" s="2" t="str">
        <f aca="false">INDEX(Segmentation!$B$2:$B$301,MATCH($A122,Segmentation!$A$2:$A$301,0))</f>
        <v>Account Managed</v>
      </c>
      <c r="C122" s="2" t="str">
        <f aca="false">INDEX(Segmentation!$H$2:$H$301,MATCH($A122,Segmentation!$A$2:$A$301,0))</f>
        <v>AM-Owned / Self-Serving</v>
      </c>
      <c r="D122" s="2" t="str">
        <f aca="false">INDEX(Segmentation!$T$2:$T$301,MATCH($A122,Segmentation!$A$2:$A$301,0))</f>
        <v>9. Long-Tail Automated Nurture</v>
      </c>
      <c r="E122" s="2" t="str">
        <f aca="false">INDEX(Segmentation!$J$2:$J$301,MATCH($A122,Segmentation!$A$2:$A$301,0))</f>
        <v>Tail</v>
      </c>
      <c r="F122" s="2" t="str">
        <f aca="false">INDEX(Segmentation!$G$2:$G$301,MATCH($A122,Segmentation!$A$2:$A$301,0))</f>
        <v>Low</v>
      </c>
      <c r="G122" s="2" t="str">
        <f aca="false">INDEX(Segmentation!$N$2:$N$301,MATCH($A122,Segmentation!$A$2:$A$301,0))</f>
        <v>Lapsed</v>
      </c>
      <c r="H122" s="9" t="n">
        <f aca="false">INDEX(Segmentation!$I$2:$I$301,MATCH($A122,Segmentation!$A$2:$A$301,0))</f>
        <v>468</v>
      </c>
      <c r="I122" s="2" t="n">
        <f aca="false">INDEX(Segmentation!$O$2:$O$301,MATCH($A122,Segmentation!$A$2:$A$301,0))</f>
        <v>1</v>
      </c>
      <c r="J122" s="2" t="n">
        <f aca="false">INDEX(Segmentation!$Q$2:$Q$301,MATCH($A122,Segmentation!$A$2:$A$301,0))</f>
        <v>1</v>
      </c>
      <c r="K122" s="2" t="n">
        <f aca="false">INDEX(Segmentation!$W$2:$W$301,MATCH($A122,Segmentation!$A$2:$A$301,0))</f>
        <v>1</v>
      </c>
      <c r="L122" s="9" t="n">
        <f aca="false">INDEX('Commercial View'!$L$2:$L$301,MATCH($A122,'Commercial View'!$A$2:$A$301,0))</f>
        <v>0</v>
      </c>
      <c r="M122" s="9" t="n">
        <f aca="false">INDEX('Commercial View'!$M$2:$M$301,MATCH($A122,'Commercial View'!$A$2:$A$301,0))</f>
        <v>0</v>
      </c>
      <c r="N122" s="9" t="n">
        <f aca="false">INDEX('Commercial View'!$N$2:$N$301,MATCH($A122,'Commercial View'!$A$2:$A$301,0))</f>
        <v>0</v>
      </c>
      <c r="O122" s="9" t="n">
        <f aca="false">INDEX(Segmentation!$L$2:$L$301,MATCH($A122,Segmentation!$A$2:$A$301,0))</f>
        <v>0</v>
      </c>
      <c r="P122" s="2" t="str">
        <f aca="false">IF(OR(M122&gt;0,N122&gt;0),"Recently Active",IF(OR(I122&lt;=Assumptions!$B$48,K122&lt;=Assumptions!$B$49),"No Meaningful History","Recent Inactivity"))</f>
        <v>No Meaningful History</v>
      </c>
      <c r="Q122" s="2" t="str">
        <f aca="false">INDEX(Segmentation!$AF$2:$AF$301,MATCH($A122,Segmentation!$A$2:$A$301,0))</f>
        <v>Existing Customer</v>
      </c>
      <c r="R122" s="2" t="str">
        <f aca="false">INDEX(Segmentation!$AL$2:$AL$301,MATCH($A122,Segmentation!$A$2:$A$301,0))</f>
        <v>One-Off / Insufficient History — Verify</v>
      </c>
      <c r="S122" s="10" t="b">
        <f aca="false">INDEX(Segmentation!$AW$2:$AW$301,MATCH($A122,Segmentation!$A$2:$A$301,0))</f>
        <v>0</v>
      </c>
      <c r="T122" s="2" t="str">
        <f aca="false">INDEX('Feature Data'!$AD$2:$AD$301,MATCH($A122,'Feature Data'!$A$2:$A$301,0))</f>
        <v>One-off low-touch buyer</v>
      </c>
      <c r="U122" s="2" t="str">
        <f aca="false">INDEX('Feature Data'!$W$2:$W$301,MATCH($A122,'Feature Data'!$A$2:$A$301,0))</f>
        <v>Handpick-only</v>
      </c>
      <c r="V122" s="2" t="n">
        <f aca="false">INDEX('Feature Data'!$P$2:$P$301,MATCH($A122,'Feature Data'!$A$2:$A$301,0))</f>
        <v>1</v>
      </c>
      <c r="W122" s="2" t="n">
        <f aca="false">INDEX(Segmentation!$R$2:$R$301,MATCH($A122,Segmentation!$A$2:$A$301,0))</f>
        <v>2</v>
      </c>
      <c r="X122" s="2" t="n">
        <f aca="false">INDEX(Segmentation!$S$2:$S$301,MATCH($A122,Segmentation!$A$2:$A$301,0))</f>
        <v>0</v>
      </c>
      <c r="Y122" s="10" t="b">
        <f aca="false">INDEX(Segmentation!$AG$2:$AG$301,MATCH($A122,Segmentation!$A$2:$A$301,0))</f>
        <v>0</v>
      </c>
      <c r="Z122" s="2" t="str">
        <f aca="false">INDEX(Segmentation!$AU$2:$AU$301,MATCH($A122,Segmentation!$A$2:$A$301,0))</f>
        <v>Not Eligible</v>
      </c>
      <c r="AA122" s="10" t="b">
        <f aca="false">INDEX(Segmentation!$Z$2:$Z$301,MATCH($A122,Segmentation!$A$2:$A$301,0))</f>
        <v>0</v>
      </c>
      <c r="AB122" s="10" t="b">
        <f aca="false">INDEX(Segmentation!$AH$2:$AH$301,MATCH($A122,Segmentation!$A$2:$A$301,0))</f>
        <v>0</v>
      </c>
      <c r="AC122" s="10" t="b">
        <f aca="false">INDEX(Segmentation!$AK$2:$AK$301,MATCH($A122,Segmentation!$A$2:$A$301,0))</f>
        <v>0</v>
      </c>
      <c r="AD122" s="10" t="b">
        <f aca="false">INDEX(Segmentation!$AQ$2:$AQ$301,MATCH($A122,Segmentation!$A$2:$A$301,0))</f>
        <v>0</v>
      </c>
      <c r="AE122" s="10" t="b">
        <f aca="false">INDEX(Segmentation!$AT$2:$AT$301,MATCH($A122,Segmentation!$A$2:$A$301,0))</f>
        <v>0</v>
      </c>
      <c r="AF122" s="10" t="b">
        <f aca="false">INDEX(Segmentation!$X$2:$X$301,MATCH($A122,Segmentation!$A$2:$A$301,0))</f>
        <v>1</v>
      </c>
      <c r="AG122" s="10" t="b">
        <f aca="false">AND(F122="Low",V122&gt;=Assumptions!$B$71,X122&lt;Assumptions!$B$72)</f>
        <v>0</v>
      </c>
      <c r="AH122" s="10" t="b">
        <f aca="false">AND(F122="Low",OR(G122="Growing",G122="Stable"),P122="Recently Active",V122&gt;=Assumptions!$B$58,K122&gt;=Assumptions!$B$73)</f>
        <v>0</v>
      </c>
      <c r="AI122" s="17" t="str">
        <f aca="false">IF(O122&gt;0,MAX(L122:N122)/O122,"")</f>
        <v/>
      </c>
      <c r="AJ122" s="2" t="str">
        <f aca="false">IF(LEFT(D122,1)="1",IF(E122="Key","MIGRATION_KEY_SIGNOFF",IF(Z122="Ready","MIGRATION_PHASE1_READY",IF(Z122="Manual Review","MIGRATION_PHASE1_REVIEW","MIGRATION_PRE_ENTRY"))),IF(LEFT(D122,1)="2","DECLINING_KEY_CORE",IF(LEFT(D122,1)="3",IF(R122="Established Buyer Lapsed","LAPSED_ESTABLISHED","LAPSED_THIN_HISTORY"),IF(LEFT(D122,1)="4",IF(Q122="New Customer","NEW_CUSTOMER","RETURNED_CUSTOMER"),IF(LEFT(D122,1)="5",IF(P122="Recently Active","COST_TO_SERVE_ACTIVE","DORMANT_LOW_VALUE"),IF(LEFT(D122,1)="6",IF(P122="Recent Inactivity","RECENT_INACTIVITY",IF(AG122,"BROWSING_LOW_OFFERS","HEALTHY_STRONG_SELF_SERVE")),IF(LEFT(D122,1)="7",IF(P122="Recent Inactivity","RECENT_INACTIVITY",IF(Q122="New Customer","NEW_CUSTOMER","RETURNED_CUSTOMER")),IF(LEFT(D122,1)="8",IF(G122="Declining",IF(T122="Engaged but shrinking (Key/Core)","ENGAGED_BUT_SHRINKING","DECLINING_KEY_CORE"),IF(R122="Established Buyer Lapsed","LAPSED_ESTABLISHED","LAPSED_THIN_HISTORY")),IF(S122,IF(P122&lt;&gt;"Recently Active","DORMANT_LOW_VALUE",IF(AG122,"BROWSING_LOW_OFFERS",IF(AH122,"RISING_TAIL","RISING_TAIL_EARLY"))),IF(AND(AG122,P122="Recently Active",OR(G122="Growing",G122="Stable",G122="H2 Active / No H1 GMV"),I122&gt;=Assumptions!$B$74),"BROWSING_LOW_OFFERS","LONG_TAIL_STANDARD"))))))))))</f>
        <v>LONG_TAIL_STANDARD</v>
      </c>
      <c r="AK122" s="2" t="str">
        <f aca="false">INDEX('NBA Library'!$B$4:$B$21,MATCH(AJ122,'NBA Library'!$A$4:$A$21,0))</f>
        <v>Automated Nurture</v>
      </c>
      <c r="AL122" s="2" t="str">
        <f aca="false">INDEX('NBA Library'!$C$4:$C$21,MATCH(AJ122,'NBA Library'!$A$4:$A$21,0))</f>
        <v>Automated</v>
      </c>
      <c r="AM122" s="2" t="str">
        <f aca="false">IF(AA122,"HOLD — Critical Data Issue",IF(Y122,"Human Sign-Off Required",IF(Z122="Manual Review","Human Review Required",IF(AND(AL122="Automated",OR(AE122,AND(OR(AK122="Discovery-to-Offer Enablement",AK122="Reinforce Successful Behaviour"),OR(AC122,AB122)))),"Human Review Required",IF(AL122="Human","Ready — Human",IF(AL122="Hybrid","Ready — Hybrid","Ready — Automated"))))))</f>
        <v>Ready — Automated</v>
      </c>
      <c r="AN122" s="2" t="str">
        <f aca="false">IF(AA122,"P0",IF(AND(AJ122="BROWSING_LOW_OFFERS",E122="Tail"),"P3",IF(AND(AM122="Human Review Required",INDEX('NBA Library'!$D$4:$D$21,MATCH(AJ122,'NBA Library'!$A$4:$A$21,0))="P4"),"P3",INDEX('NBA Library'!$D$4:$D$21,MATCH(AJ122,'NBA Library'!$A$4:$A$21,0)))))</f>
        <v>P4</v>
      </c>
      <c r="AO122" s="2" t="str">
        <f aca="false">E122&amp;" "&amp;C122&amp;" account ("&amp;B122&amp;"); "&amp;G122&amp;" momentum; "&amp;P122&amp;"; £"&amp;TEXT(H122,"#,##0")&amp;" 6m GMV. "&amp;INDEX('NBA Library'!$G$4:$G$21,MATCH(AJ122,'NBA Library'!$A$4:$A$21,0))&amp;IF(LEFT(D122,1)="1"," Baseline: "&amp;V122&amp;" PDP views, "&amp;W122&amp;" app days, "&amp;X122&amp;" offers, "&amp;TEXT(J122/I122,"0%")&amp;" of orders self-serve.","")&amp;IF(AA122," Execution on HOLD until the Duplicate status is resolved.","")&amp;IF(Y122," Key account: explicit AM/leadership sign-off required before any migration activity.","")&amp;IF(AE122," Implied broker % from order counts would move this account to a different segment; review before automating.","")</f>
        <v>Tail AM-Owned / Self-Serving account (Account Managed); Lapsed momentum; No Meaningful History; £468 6m GMV. Low-value, low-dependency account. Scalable automated engagement.</v>
      </c>
      <c r="AP122" s="2" t="str">
        <f aca="false">INDEX('NBA Library'!$E$4:$E$21,MATCH(AJ122,'NBA Library'!$A$4:$A$21,0))&amp;IF(AND(AJ122="NEW_CUSTOMER",AG122),"; introduce Make-an-Offer on items already browsed","")</f>
        <v>Scalable automated engagement matched to nurture sub-context</v>
      </c>
      <c r="AQ122" s="2" t="str">
        <f aca="false">INDEX('NBA Library'!$F$4:$F$21,MATCH(AJ122,'NBA Library'!$A$4:$A$21,0))</f>
        <v>Any repeat order within 90 days</v>
      </c>
      <c r="AR122" s="2" t="str">
        <f aca="false">IF(AND(F122="Low",OR(G122="Growing",G122="Stable"),P122="Recently Active",U122&lt;&gt;"Mixed",OR(AK122="Discovery-to-Offer Enablement",AK122="Reinforce Successful Behaviour"),AM122="Ready — Automated",OR(E122&lt;&gt;"Tail",S122)),"Range Expansion Test — trial "&amp;IF(U122="Bundle-only","handpick","bundles")&amp;" (experimental; not proven to lift GMV)","")</f>
        <v/>
      </c>
      <c r="AS122" s="2" t="str">
        <f aca="false">IF(AK122&lt;&gt;"Automated Nurture","",IF(AJ122="DORMANT_LOW_VALUE","Dormant",IF(AJ122="RISING_TAIL_EARLY","Rising tail – early pattern",IF(Q122="New Customer","New customer onboarding",IF(Q122="Returned Customer","Returned customer",IF(G122="Lapsed","Dormant",IF(T122="Engaged, not converting","Engaged, not converting",IF(T122="One-off low-touch buyer","One-off purchaser",IF(T122="Light-touch repeat buyer","Light-touch repeat buyer","Standard long tail")))))))))</f>
        <v>Dormant</v>
      </c>
      <c r="AT122" s="2" t="str">
        <f aca="false">IF(AA122,"CRITICAL_DATA_BLOCKER; ","")&amp;IF(Y122,"KEY_SIGNOFF; ","")&amp;IF(Z122="Manual Review","PHASE1_MANUAL_REVIEW; ","")&amp;IF(AND(LEFT(D122,1)="1",AZ122="Lumpy"),"LUMPY_CADENCE; ","")&amp;IF(AB122,"BORDERLINE_MOMENTUM; ","")&amp;IF(AC122,"FEB_SENSITIVE; ","")&amp;IF(AD122,"MATERIAL_BROKER_INCONSISTENCY"&amp;IF(AE122," (segment would change)","")&amp;"; ","")&amp;IF(AND(I122&gt;=3,O122&gt;0),IF(AI122&gt;=Assumptions!$B$75,"H2_SINGLE_MONTH_SPIKE; ",""),"")&amp;IF(AND(M122&gt;0,N122=0),"NO_FEB_GMV (Feb unconfirmed); ","")&amp;IF(AF122,"LOW_CONFIDENCE; ","")</f>
        <v>LOW_CONFIDENCE; </v>
      </c>
      <c r="AU122" s="2" t="str">
        <f aca="false">IF(LEFT(D122,1)="1",V122,"")</f>
        <v/>
      </c>
      <c r="AV122" s="2" t="str">
        <f aca="false">IF(LEFT(D122,1)="1",V122&gt;=Assumptions!$B$58,"")</f>
        <v/>
      </c>
      <c r="AW122" s="2" t="str">
        <f aca="false">IF(LEFT(D122,1)="1",W122,"")</f>
        <v/>
      </c>
      <c r="AX122" s="2" t="str">
        <f aca="false">IF(LEFT(D122,1)="1",X122,"")</f>
        <v/>
      </c>
      <c r="AY122" s="17" t="str">
        <f aca="false">IF(LEFT(D122,1)="1",J122/I122,"")</f>
        <v/>
      </c>
      <c r="AZ122" s="2" t="str">
        <f aca="false">IF(LEFT(D122,1)="1",IF(AND(K122&gt;=Assumptions!$B$83,I122&gt;=Assumptions!$B$84),"Regular","Lumpy"),"")</f>
        <v/>
      </c>
      <c r="BA122" s="2" t="str">
        <f aca="false">IF(LEFT(D122,1)="1",ROUND(6/K122,0),"")</f>
        <v/>
      </c>
      <c r="BB122" s="2" t="str">
        <f aca="false">IF(LEFT(D122,1)="1",IF(AZ122="Regular","Regular buyer: expected ~£"&amp;TEXT(H122/2,"#,##0")&amp;" per 90 days. At Risk if GMV to date &lt; "&amp;TEXT(Assumptions!$B$81,"0%")&amp;" of pro-rated expectation, checked from day "&amp;Assumptions!$B$82&amp;". Human-reviewed.","Irregular buyer ("&amp;I122&amp;" orders across "&amp;K122&amp;" months): no numeric GMV threshold. At Risk if no order within ~"&amp;BA122&amp;" month(s); AM reviews at day "&amp;Assumptions!$B$82&amp;" and "&amp;Assumptions!$B$85&amp;"."),"")</f>
        <v/>
      </c>
      <c r="BC122" s="2"/>
      <c r="BD122" s="2"/>
      <c r="BE122" s="2"/>
      <c r="BF122" s="2"/>
      <c r="BG122" s="2"/>
      <c r="BH122" s="2"/>
      <c r="BI122" s="2"/>
      <c r="BJ122" s="2" t="str">
        <f aca="false">IF(OR(NOT(LEFT(D122,1)="1"),BC122=""),"",IF(AZ122="Regular",AND(BC122&gt;=Assumptions!$B$82,N(BI122)&lt;Assumptions!$B$81*H122/180*BC122),AND(BC122&gt;=BA122*30,N(BG122)=0)))</f>
        <v/>
      </c>
      <c r="BK122" s="2" t="str">
        <f aca="false">IF(NOT(LEFT(D122,1)="1"),"N/A",IF(BC122="","Baseline",IF(BJ122,"At Risk",IF(AND(N(BD122)&gt;=Assumptions!$B$78,N(BE122)&gt;=Assumptions!$B$79,N(BH122)&gt;=1,N(BH122)/MAX(N(BG122),1)&gt;AY122),"Self-Serve Capability Demonstrated",IF(OR(N(BD122)&gt;=Assumptions!$B$76,N(BE122)&gt;=Assumptions!$B$77),"Progressing",IF(BC122&gt;=Assumptions!$B$85,"At Risk","Baseline"))))))</f>
        <v>N/A</v>
      </c>
      <c r="BL122" s="2" t="n">
        <f aca="false">(AND(C122="Broker-Reliant",OR(AK122="Discovery-to-Offer Enablement",AK122="Reinforce Successful Behaviour")))*1+(AND(G122="Declining",E122&lt;&gt;"Tail",AL122="Automated"))*1+(AND(Y122,AM122&lt;&gt;"Human Sign-Off Required"))*1+(AND(AA122,AM122&lt;&gt;"HOLD — Critical Data Issue"))*1+(AND(P122="Recent Inactivity",OR(AK122="Discovery-to-Offer Enablement",AK122="Reinforce Successful Behaviour")))*1+(AND(OR(LEFT(D122,1)="2",LEFT(D122,1)="3",LEFT(D122,1)="8"),AL122="Automated"))*1+((LEFT(D122,1)="1")&lt;&gt;(AK122="Guided Self-Serve Migration"))*1+(AND(AR122&lt;&gt;"",OR(F122&lt;&gt;"Low",U122="Mixed",AND(G122&lt;&gt;"Growing",G122&lt;&gt;"Stable"))))*1+ISNUMBER(SEARCH("chat",AP122))*1+ISNUMBER(SEARCH("video",AP122))*1+(AND(AA122,AL122="Automated",AM122&lt;&gt;"HOLD — Critical Data Issue"))*1</f>
        <v>0</v>
      </c>
    </row>
    <row r="123" customFormat="false" ht="15" hidden="false" customHeight="false" outlineLevel="0" collapsed="false">
      <c r="A123" s="2" t="s">
        <v>699</v>
      </c>
      <c r="B123" s="2" t="str">
        <f aca="false">INDEX(Segmentation!$B$2:$B$301,MATCH($A123,Segmentation!$A$2:$A$301,0))</f>
        <v>Account Managed</v>
      </c>
      <c r="C123" s="2" t="str">
        <f aca="false">INDEX(Segmentation!$H$2:$H$301,MATCH($A123,Segmentation!$A$2:$A$301,0))</f>
        <v>AM-Owned / Self-Serving</v>
      </c>
      <c r="D123" s="2" t="str">
        <f aca="false">INDEX(Segmentation!$T$2:$T$301,MATCH($A123,Segmentation!$A$2:$A$301,0))</f>
        <v>9. Long-Tail Automated Nurture</v>
      </c>
      <c r="E123" s="2" t="str">
        <f aca="false">INDEX(Segmentation!$J$2:$J$301,MATCH($A123,Segmentation!$A$2:$A$301,0))</f>
        <v>Tail</v>
      </c>
      <c r="F123" s="2" t="str">
        <f aca="false">INDEX(Segmentation!$G$2:$G$301,MATCH($A123,Segmentation!$A$2:$A$301,0))</f>
        <v>Low</v>
      </c>
      <c r="G123" s="2" t="str">
        <f aca="false">INDEX(Segmentation!$N$2:$N$301,MATCH($A123,Segmentation!$A$2:$A$301,0))</f>
        <v>Lapsed</v>
      </c>
      <c r="H123" s="9" t="n">
        <f aca="false">INDEX(Segmentation!$I$2:$I$301,MATCH($A123,Segmentation!$A$2:$A$301,0))</f>
        <v>459</v>
      </c>
      <c r="I123" s="2" t="n">
        <f aca="false">INDEX(Segmentation!$O$2:$O$301,MATCH($A123,Segmentation!$A$2:$A$301,0))</f>
        <v>4</v>
      </c>
      <c r="J123" s="2" t="n">
        <f aca="false">INDEX(Segmentation!$Q$2:$Q$301,MATCH($A123,Segmentation!$A$2:$A$301,0))</f>
        <v>4</v>
      </c>
      <c r="K123" s="2" t="n">
        <f aca="false">INDEX(Segmentation!$W$2:$W$301,MATCH($A123,Segmentation!$A$2:$A$301,0))</f>
        <v>2</v>
      </c>
      <c r="L123" s="9" t="n">
        <f aca="false">INDEX('Commercial View'!$L$2:$L$301,MATCH($A123,'Commercial View'!$A$2:$A$301,0))</f>
        <v>0</v>
      </c>
      <c r="M123" s="9" t="n">
        <f aca="false">INDEX('Commercial View'!$M$2:$M$301,MATCH($A123,'Commercial View'!$A$2:$A$301,0))</f>
        <v>0</v>
      </c>
      <c r="N123" s="9" t="n">
        <f aca="false">INDEX('Commercial View'!$N$2:$N$301,MATCH($A123,'Commercial View'!$A$2:$A$301,0))</f>
        <v>0</v>
      </c>
      <c r="O123" s="9" t="n">
        <f aca="false">INDEX(Segmentation!$L$2:$L$301,MATCH($A123,Segmentation!$A$2:$A$301,0))</f>
        <v>0</v>
      </c>
      <c r="P123" s="2" t="str">
        <f aca="false">IF(OR(M123&gt;0,N123&gt;0),"Recently Active",IF(OR(I123&lt;=Assumptions!$B$48,K123&lt;=Assumptions!$B$49),"No Meaningful History","Recent Inactivity"))</f>
        <v>Recent Inactivity</v>
      </c>
      <c r="Q123" s="2" t="str">
        <f aca="false">INDEX(Segmentation!$AF$2:$AF$301,MATCH($A123,Segmentation!$A$2:$A$301,0))</f>
        <v>Existing Customer</v>
      </c>
      <c r="R123" s="2" t="str">
        <f aca="false">INDEX(Segmentation!$AL$2:$AL$301,MATCH($A123,Segmentation!$A$2:$A$301,0))</f>
        <v>Established Buyer Lapsed</v>
      </c>
      <c r="S123" s="10" t="b">
        <f aca="false">INDEX(Segmentation!$AW$2:$AW$301,MATCH($A123,Segmentation!$A$2:$A$301,0))</f>
        <v>0</v>
      </c>
      <c r="T123" s="2" t="str">
        <f aca="false">INDEX('Feature Data'!$AD$2:$AD$301,MATCH($A123,'Feature Data'!$A$2:$A$301,0))</f>
        <v>Independent browser-buyer</v>
      </c>
      <c r="U123" s="2" t="str">
        <f aca="false">INDEX('Feature Data'!$W$2:$W$301,MATCH($A123,'Feature Data'!$A$2:$A$301,0))</f>
        <v>Handpick-only</v>
      </c>
      <c r="V123" s="2" t="n">
        <f aca="false">INDEX('Feature Data'!$P$2:$P$301,MATCH($A123,'Feature Data'!$A$2:$A$301,0))</f>
        <v>209</v>
      </c>
      <c r="W123" s="2" t="n">
        <f aca="false">INDEX(Segmentation!$R$2:$R$301,MATCH($A123,Segmentation!$A$2:$A$301,0))</f>
        <v>26</v>
      </c>
      <c r="X123" s="2" t="n">
        <f aca="false">INDEX(Segmentation!$S$2:$S$301,MATCH($A123,Segmentation!$A$2:$A$301,0))</f>
        <v>9</v>
      </c>
      <c r="Y123" s="10" t="b">
        <f aca="false">INDEX(Segmentation!$AG$2:$AG$301,MATCH($A123,Segmentation!$A$2:$A$301,0))</f>
        <v>0</v>
      </c>
      <c r="Z123" s="2" t="str">
        <f aca="false">INDEX(Segmentation!$AU$2:$AU$301,MATCH($A123,Segmentation!$A$2:$A$301,0))</f>
        <v>Not Eligible</v>
      </c>
      <c r="AA123" s="10" t="b">
        <f aca="false">INDEX(Segmentation!$Z$2:$Z$301,MATCH($A123,Segmentation!$A$2:$A$301,0))</f>
        <v>0</v>
      </c>
      <c r="AB123" s="10" t="b">
        <f aca="false">INDEX(Segmentation!$AH$2:$AH$301,MATCH($A123,Segmentation!$A$2:$A$301,0))</f>
        <v>0</v>
      </c>
      <c r="AC123" s="10" t="b">
        <f aca="false">INDEX(Segmentation!$AK$2:$AK$301,MATCH($A123,Segmentation!$A$2:$A$301,0))</f>
        <v>0</v>
      </c>
      <c r="AD123" s="10" t="b">
        <f aca="false">INDEX(Segmentation!$AQ$2:$AQ$301,MATCH($A123,Segmentation!$A$2:$A$301,0))</f>
        <v>0</v>
      </c>
      <c r="AE123" s="10" t="b">
        <f aca="false">INDEX(Segmentation!$AT$2:$AT$301,MATCH($A123,Segmentation!$A$2:$A$301,0))</f>
        <v>0</v>
      </c>
      <c r="AF123" s="10" t="b">
        <f aca="false">INDEX(Segmentation!$X$2:$X$301,MATCH($A123,Segmentation!$A$2:$A$301,0))</f>
        <v>0</v>
      </c>
      <c r="AG123" s="10" t="b">
        <f aca="false">AND(F123="Low",V123&gt;=Assumptions!$B$71,X123&lt;Assumptions!$B$72)</f>
        <v>0</v>
      </c>
      <c r="AH123" s="10" t="b">
        <f aca="false">AND(F123="Low",OR(G123="Growing",G123="Stable"),P123="Recently Active",V123&gt;=Assumptions!$B$58,K123&gt;=Assumptions!$B$73)</f>
        <v>0</v>
      </c>
      <c r="AI123" s="17" t="str">
        <f aca="false">IF(O123&gt;0,MAX(L123:N123)/O123,"")</f>
        <v/>
      </c>
      <c r="AJ123" s="2" t="str">
        <f aca="false">IF(LEFT(D123,1)="1",IF(E123="Key","MIGRATION_KEY_SIGNOFF",IF(Z123="Ready","MIGRATION_PHASE1_READY",IF(Z123="Manual Review","MIGRATION_PHASE1_REVIEW","MIGRATION_PRE_ENTRY"))),IF(LEFT(D123,1)="2","DECLINING_KEY_CORE",IF(LEFT(D123,1)="3",IF(R123="Established Buyer Lapsed","LAPSED_ESTABLISHED","LAPSED_THIN_HISTORY"),IF(LEFT(D123,1)="4",IF(Q123="New Customer","NEW_CUSTOMER","RETURNED_CUSTOMER"),IF(LEFT(D123,1)="5",IF(P123="Recently Active","COST_TO_SERVE_ACTIVE","DORMANT_LOW_VALUE"),IF(LEFT(D123,1)="6",IF(P123="Recent Inactivity","RECENT_INACTIVITY",IF(AG123,"BROWSING_LOW_OFFERS","HEALTHY_STRONG_SELF_SERVE")),IF(LEFT(D123,1)="7",IF(P123="Recent Inactivity","RECENT_INACTIVITY",IF(Q123="New Customer","NEW_CUSTOMER","RETURNED_CUSTOMER")),IF(LEFT(D123,1)="8",IF(G123="Declining",IF(T123="Engaged but shrinking (Key/Core)","ENGAGED_BUT_SHRINKING","DECLINING_KEY_CORE"),IF(R123="Established Buyer Lapsed","LAPSED_ESTABLISHED","LAPSED_THIN_HISTORY")),IF(S123,IF(P123&lt;&gt;"Recently Active","DORMANT_LOW_VALUE",IF(AG123,"BROWSING_LOW_OFFERS",IF(AH123,"RISING_TAIL","RISING_TAIL_EARLY"))),IF(AND(AG123,P123="Recently Active",OR(G123="Growing",G123="Stable",G123="H2 Active / No H1 GMV"),I123&gt;=Assumptions!$B$74),"BROWSING_LOW_OFFERS","LONG_TAIL_STANDARD"))))))))))</f>
        <v>LONG_TAIL_STANDARD</v>
      </c>
      <c r="AK123" s="2" t="str">
        <f aca="false">INDEX('NBA Library'!$B$4:$B$21,MATCH(AJ123,'NBA Library'!$A$4:$A$21,0))</f>
        <v>Automated Nurture</v>
      </c>
      <c r="AL123" s="2" t="str">
        <f aca="false">INDEX('NBA Library'!$C$4:$C$21,MATCH(AJ123,'NBA Library'!$A$4:$A$21,0))</f>
        <v>Automated</v>
      </c>
      <c r="AM123" s="2" t="str">
        <f aca="false">IF(AA123,"HOLD — Critical Data Issue",IF(Y123,"Human Sign-Off Required",IF(Z123="Manual Review","Human Review Required",IF(AND(AL123="Automated",OR(AE123,AND(OR(AK123="Discovery-to-Offer Enablement",AK123="Reinforce Successful Behaviour"),OR(AC123,AB123)))),"Human Review Required",IF(AL123="Human","Ready — Human",IF(AL123="Hybrid","Ready — Hybrid","Ready — Automated"))))))</f>
        <v>Ready — Automated</v>
      </c>
      <c r="AN123" s="2" t="str">
        <f aca="false">IF(AA123,"P0",IF(AND(AJ123="BROWSING_LOW_OFFERS",E123="Tail"),"P3",IF(AND(AM123="Human Review Required",INDEX('NBA Library'!$D$4:$D$21,MATCH(AJ123,'NBA Library'!$A$4:$A$21,0))="P4"),"P3",INDEX('NBA Library'!$D$4:$D$21,MATCH(AJ123,'NBA Library'!$A$4:$A$21,0)))))</f>
        <v>P4</v>
      </c>
      <c r="AO123" s="2" t="str">
        <f aca="false">E123&amp;" "&amp;C123&amp;" account ("&amp;B123&amp;"); "&amp;G123&amp;" momentum; "&amp;P123&amp;"; £"&amp;TEXT(H123,"#,##0")&amp;" 6m GMV. "&amp;INDEX('NBA Library'!$G$4:$G$21,MATCH(AJ123,'NBA Library'!$A$4:$A$21,0))&amp;IF(LEFT(D123,1)="1"," Baseline: "&amp;V123&amp;" PDP views, "&amp;W123&amp;" app days, "&amp;X123&amp;" offers, "&amp;TEXT(J123/I123,"0%")&amp;" of orders self-serve.","")&amp;IF(AA123," Execution on HOLD until the Duplicate status is resolved.","")&amp;IF(Y123," Key account: explicit AM/leadership sign-off required before any migration activity.","")&amp;IF(AE123," Implied broker % from order counts would move this account to a different segment; review before automating.","")</f>
        <v>Tail AM-Owned / Self-Serving account (Account Managed); Lapsed momentum; Recent Inactivity; £459 6m GMV. Low-value, low-dependency account. Scalable automated engagement.</v>
      </c>
      <c r="AP123" s="2" t="str">
        <f aca="false">INDEX('NBA Library'!$E$4:$E$21,MATCH(AJ123,'NBA Library'!$A$4:$A$21,0))&amp;IF(AND(AJ123="NEW_CUSTOMER",AG123),"; introduce Make-an-Offer on items already browsed","")</f>
        <v>Scalable automated engagement matched to nurture sub-context</v>
      </c>
      <c r="AQ123" s="2" t="str">
        <f aca="false">INDEX('NBA Library'!$F$4:$F$21,MATCH(AJ123,'NBA Library'!$A$4:$A$21,0))</f>
        <v>Any repeat order within 90 days</v>
      </c>
      <c r="AR123" s="2" t="str">
        <f aca="false">IF(AND(F123="Low",OR(G123="Growing",G123="Stable"),P123="Recently Active",U123&lt;&gt;"Mixed",OR(AK123="Discovery-to-Offer Enablement",AK123="Reinforce Successful Behaviour"),AM123="Ready — Automated",OR(E123&lt;&gt;"Tail",S123)),"Range Expansion Test — trial "&amp;IF(U123="Bundle-only","handpick","bundles")&amp;" (experimental; not proven to lift GMV)","")</f>
        <v/>
      </c>
      <c r="AS123" s="2" t="str">
        <f aca="false">IF(AK123&lt;&gt;"Automated Nurture","",IF(AJ123="DORMANT_LOW_VALUE","Dormant",IF(AJ123="RISING_TAIL_EARLY","Rising tail – early pattern",IF(Q123="New Customer","New customer onboarding",IF(Q123="Returned Customer","Returned customer",IF(G123="Lapsed","Dormant",IF(T123="Engaged, not converting","Engaged, not converting",IF(T123="One-off low-touch buyer","One-off purchaser",IF(T123="Light-touch repeat buyer","Light-touch repeat buyer","Standard long tail")))))))))</f>
        <v>Dormant</v>
      </c>
      <c r="AT123" s="2" t="str">
        <f aca="false">IF(AA123,"CRITICAL_DATA_BLOCKER; ","")&amp;IF(Y123,"KEY_SIGNOFF; ","")&amp;IF(Z123="Manual Review","PHASE1_MANUAL_REVIEW; ","")&amp;IF(AND(LEFT(D123,1)="1",AZ123="Lumpy"),"LUMPY_CADENCE; ","")&amp;IF(AB123,"BORDERLINE_MOMENTUM; ","")&amp;IF(AC123,"FEB_SENSITIVE; ","")&amp;IF(AD123,"MATERIAL_BROKER_INCONSISTENCY"&amp;IF(AE123," (segment would change)","")&amp;"; ","")&amp;IF(AND(I123&gt;=3,O123&gt;0),IF(AI123&gt;=Assumptions!$B$75,"H2_SINGLE_MONTH_SPIKE; ",""),"")&amp;IF(AND(M123&gt;0,N123=0),"NO_FEB_GMV (Feb unconfirmed); ","")&amp;IF(AF123,"LOW_CONFIDENCE; ","")</f>
        <v/>
      </c>
      <c r="AU123" s="2" t="str">
        <f aca="false">IF(LEFT(D123,1)="1",V123,"")</f>
        <v/>
      </c>
      <c r="AV123" s="2" t="str">
        <f aca="false">IF(LEFT(D123,1)="1",V123&gt;=Assumptions!$B$58,"")</f>
        <v/>
      </c>
      <c r="AW123" s="2" t="str">
        <f aca="false">IF(LEFT(D123,1)="1",W123,"")</f>
        <v/>
      </c>
      <c r="AX123" s="2" t="str">
        <f aca="false">IF(LEFT(D123,1)="1",X123,"")</f>
        <v/>
      </c>
      <c r="AY123" s="17" t="str">
        <f aca="false">IF(LEFT(D123,1)="1",J123/I123,"")</f>
        <v/>
      </c>
      <c r="AZ123" s="2" t="str">
        <f aca="false">IF(LEFT(D123,1)="1",IF(AND(K123&gt;=Assumptions!$B$83,I123&gt;=Assumptions!$B$84),"Regular","Lumpy"),"")</f>
        <v/>
      </c>
      <c r="BA123" s="2" t="str">
        <f aca="false">IF(LEFT(D123,1)="1",ROUND(6/K123,0),"")</f>
        <v/>
      </c>
      <c r="BB123" s="2" t="str">
        <f aca="false">IF(LEFT(D123,1)="1",IF(AZ123="Regular","Regular buyer: expected ~£"&amp;TEXT(H123/2,"#,##0")&amp;" per 90 days. At Risk if GMV to date &lt; "&amp;TEXT(Assumptions!$B$81,"0%")&amp;" of pro-rated expectation, checked from day "&amp;Assumptions!$B$82&amp;". Human-reviewed.","Irregular buyer ("&amp;I123&amp;" orders across "&amp;K123&amp;" months): no numeric GMV threshold. At Risk if no order within ~"&amp;BA123&amp;" month(s); AM reviews at day "&amp;Assumptions!$B$82&amp;" and "&amp;Assumptions!$B$85&amp;"."),"")</f>
        <v/>
      </c>
      <c r="BC123" s="2"/>
      <c r="BD123" s="2"/>
      <c r="BE123" s="2"/>
      <c r="BF123" s="2"/>
      <c r="BG123" s="2"/>
      <c r="BH123" s="2"/>
      <c r="BI123" s="2"/>
      <c r="BJ123" s="2" t="str">
        <f aca="false">IF(OR(NOT(LEFT(D123,1)="1"),BC123=""),"",IF(AZ123="Regular",AND(BC123&gt;=Assumptions!$B$82,N(BI123)&lt;Assumptions!$B$81*H123/180*BC123),AND(BC123&gt;=BA123*30,N(BG123)=0)))</f>
        <v/>
      </c>
      <c r="BK123" s="2" t="str">
        <f aca="false">IF(NOT(LEFT(D123,1)="1"),"N/A",IF(BC123="","Baseline",IF(BJ123,"At Risk",IF(AND(N(BD123)&gt;=Assumptions!$B$78,N(BE123)&gt;=Assumptions!$B$79,N(BH123)&gt;=1,N(BH123)/MAX(N(BG123),1)&gt;AY123),"Self-Serve Capability Demonstrated",IF(OR(N(BD123)&gt;=Assumptions!$B$76,N(BE123)&gt;=Assumptions!$B$77),"Progressing",IF(BC123&gt;=Assumptions!$B$85,"At Risk","Baseline"))))))</f>
        <v>N/A</v>
      </c>
      <c r="BL123" s="2" t="n">
        <f aca="false">(AND(C123="Broker-Reliant",OR(AK123="Discovery-to-Offer Enablement",AK123="Reinforce Successful Behaviour")))*1+(AND(G123="Declining",E123&lt;&gt;"Tail",AL123="Automated"))*1+(AND(Y123,AM123&lt;&gt;"Human Sign-Off Required"))*1+(AND(AA123,AM123&lt;&gt;"HOLD — Critical Data Issue"))*1+(AND(P123="Recent Inactivity",OR(AK123="Discovery-to-Offer Enablement",AK123="Reinforce Successful Behaviour")))*1+(AND(OR(LEFT(D123,1)="2",LEFT(D123,1)="3",LEFT(D123,1)="8"),AL123="Automated"))*1+((LEFT(D123,1)="1")&lt;&gt;(AK123="Guided Self-Serve Migration"))*1+(AND(AR123&lt;&gt;"",OR(F123&lt;&gt;"Low",U123="Mixed",AND(G123&lt;&gt;"Growing",G123&lt;&gt;"Stable"))))*1+ISNUMBER(SEARCH("chat",AP123))*1+ISNUMBER(SEARCH("video",AP123))*1+(AND(AA123,AL123="Automated",AM123&lt;&gt;"HOLD — Critical Data Issue"))*1</f>
        <v>0</v>
      </c>
    </row>
    <row r="124" customFormat="false" ht="15" hidden="false" customHeight="false" outlineLevel="0" collapsed="false">
      <c r="A124" s="2" t="s">
        <v>703</v>
      </c>
      <c r="B124" s="2" t="str">
        <f aca="false">INDEX(Segmentation!$B$2:$B$301,MATCH($A124,Segmentation!$A$2:$A$301,0))</f>
        <v>Account Managed</v>
      </c>
      <c r="C124" s="2" t="str">
        <f aca="false">INDEX(Segmentation!$H$2:$H$301,MATCH($A124,Segmentation!$A$2:$A$301,0))</f>
        <v>Broker-Reliant</v>
      </c>
      <c r="D124" s="2" t="str">
        <f aca="false">INDEX(Segmentation!$T$2:$T$301,MATCH($A124,Segmentation!$A$2:$A$301,0))</f>
        <v>5. Cost-to-Serve / Low-Touch</v>
      </c>
      <c r="E124" s="2" t="str">
        <f aca="false">INDEX(Segmentation!$J$2:$J$301,MATCH($A124,Segmentation!$A$2:$A$301,0))</f>
        <v>Tail</v>
      </c>
      <c r="F124" s="2" t="str">
        <f aca="false">INDEX(Segmentation!$G$2:$G$301,MATCH($A124,Segmentation!$A$2:$A$301,0))</f>
        <v>High</v>
      </c>
      <c r="G124" s="2" t="str">
        <f aca="false">INDEX(Segmentation!$N$2:$N$301,MATCH($A124,Segmentation!$A$2:$A$301,0))</f>
        <v>H2 Active / No H1 GMV</v>
      </c>
      <c r="H124" s="9" t="n">
        <f aca="false">INDEX(Segmentation!$I$2:$I$301,MATCH($A124,Segmentation!$A$2:$A$301,0))</f>
        <v>454</v>
      </c>
      <c r="I124" s="2" t="n">
        <f aca="false">INDEX(Segmentation!$O$2:$O$301,MATCH($A124,Segmentation!$A$2:$A$301,0))</f>
        <v>3</v>
      </c>
      <c r="J124" s="2" t="n">
        <f aca="false">INDEX(Segmentation!$Q$2:$Q$301,MATCH($A124,Segmentation!$A$2:$A$301,0))</f>
        <v>1</v>
      </c>
      <c r="K124" s="2" t="n">
        <f aca="false">INDEX(Segmentation!$W$2:$W$301,MATCH($A124,Segmentation!$A$2:$A$301,0))</f>
        <v>1</v>
      </c>
      <c r="L124" s="9" t="n">
        <f aca="false">INDEX('Commercial View'!$L$2:$L$301,MATCH($A124,'Commercial View'!$A$2:$A$301,0))</f>
        <v>454</v>
      </c>
      <c r="M124" s="9" t="n">
        <f aca="false">INDEX('Commercial View'!$M$2:$M$301,MATCH($A124,'Commercial View'!$A$2:$A$301,0))</f>
        <v>0</v>
      </c>
      <c r="N124" s="9" t="n">
        <f aca="false">INDEX('Commercial View'!$N$2:$N$301,MATCH($A124,'Commercial View'!$A$2:$A$301,0))</f>
        <v>0</v>
      </c>
      <c r="O124" s="9" t="n">
        <f aca="false">INDEX(Segmentation!$L$2:$L$301,MATCH($A124,Segmentation!$A$2:$A$301,0))</f>
        <v>454</v>
      </c>
      <c r="P124" s="2" t="str">
        <f aca="false">IF(OR(M124&gt;0,N124&gt;0),"Recently Active",IF(OR(I124&lt;=Assumptions!$B$48,K124&lt;=Assumptions!$B$49),"No Meaningful History","Recent Inactivity"))</f>
        <v>No Meaningful History</v>
      </c>
      <c r="Q124" s="2" t="str">
        <f aca="false">INDEX(Segmentation!$AF$2:$AF$301,MATCH($A124,Segmentation!$A$2:$A$301,0))</f>
        <v>Returned Customer</v>
      </c>
      <c r="R124" s="2" t="str">
        <f aca="false">INDEX(Segmentation!$AL$2:$AL$301,MATCH($A124,Segmentation!$A$2:$A$301,0))</f>
        <v>N/A</v>
      </c>
      <c r="S124" s="10" t="b">
        <f aca="false">INDEX(Segmentation!$AW$2:$AW$301,MATCH($A124,Segmentation!$A$2:$A$301,0))</f>
        <v>0</v>
      </c>
      <c r="T124" s="2" t="str">
        <f aca="false">INDEX('Feature Data'!$AD$2:$AD$301,MATCH($A124,'Feature Data'!$A$2:$A$301,0))</f>
        <v>Broker-led, product-blind</v>
      </c>
      <c r="U124" s="2" t="str">
        <f aca="false">INDEX('Feature Data'!$W$2:$W$301,MATCH($A124,'Feature Data'!$A$2:$A$301,0))</f>
        <v>Bundle-only</v>
      </c>
      <c r="V124" s="2" t="n">
        <f aca="false">INDEX('Feature Data'!$P$2:$P$301,MATCH($A124,'Feature Data'!$A$2:$A$301,0))</f>
        <v>1</v>
      </c>
      <c r="W124" s="2" t="n">
        <f aca="false">INDEX(Segmentation!$R$2:$R$301,MATCH($A124,Segmentation!$A$2:$A$301,0))</f>
        <v>4</v>
      </c>
      <c r="X124" s="2" t="n">
        <f aca="false">INDEX(Segmentation!$S$2:$S$301,MATCH($A124,Segmentation!$A$2:$A$301,0))</f>
        <v>1</v>
      </c>
      <c r="Y124" s="10" t="b">
        <f aca="false">INDEX(Segmentation!$AG$2:$AG$301,MATCH($A124,Segmentation!$A$2:$A$301,0))</f>
        <v>0</v>
      </c>
      <c r="Z124" s="2" t="str">
        <f aca="false">INDEX(Segmentation!$AU$2:$AU$301,MATCH($A124,Segmentation!$A$2:$A$301,0))</f>
        <v>Not Eligible</v>
      </c>
      <c r="AA124" s="10" t="b">
        <f aca="false">INDEX(Segmentation!$Z$2:$Z$301,MATCH($A124,Segmentation!$A$2:$A$301,0))</f>
        <v>0</v>
      </c>
      <c r="AB124" s="10" t="b">
        <f aca="false">INDEX(Segmentation!$AH$2:$AH$301,MATCH($A124,Segmentation!$A$2:$A$301,0))</f>
        <v>0</v>
      </c>
      <c r="AC124" s="10" t="b">
        <f aca="false">INDEX(Segmentation!$AK$2:$AK$301,MATCH($A124,Segmentation!$A$2:$A$301,0))</f>
        <v>0</v>
      </c>
      <c r="AD124" s="10" t="b">
        <f aca="false">INDEX(Segmentation!$AQ$2:$AQ$301,MATCH($A124,Segmentation!$A$2:$A$301,0))</f>
        <v>0</v>
      </c>
      <c r="AE124" s="10" t="b">
        <f aca="false">INDEX(Segmentation!$AT$2:$AT$301,MATCH($A124,Segmentation!$A$2:$A$301,0))</f>
        <v>0</v>
      </c>
      <c r="AF124" s="10" t="b">
        <f aca="false">INDEX(Segmentation!$X$2:$X$301,MATCH($A124,Segmentation!$A$2:$A$301,0))</f>
        <v>0</v>
      </c>
      <c r="AG124" s="10" t="b">
        <f aca="false">AND(F124="Low",V124&gt;=Assumptions!$B$71,X124&lt;Assumptions!$B$72)</f>
        <v>0</v>
      </c>
      <c r="AH124" s="10" t="b">
        <f aca="false">AND(F124="Low",OR(G124="Growing",G124="Stable"),P124="Recently Active",V124&gt;=Assumptions!$B$58,K124&gt;=Assumptions!$B$73)</f>
        <v>0</v>
      </c>
      <c r="AI124" s="17" t="n">
        <f aca="false">IF(O124&gt;0,MAX(L124:N124)/O124,"")</f>
        <v>1</v>
      </c>
      <c r="AJ124" s="2" t="str">
        <f aca="false">IF(LEFT(D124,1)="1",IF(E124="Key","MIGRATION_KEY_SIGNOFF",IF(Z124="Ready","MIGRATION_PHASE1_READY",IF(Z124="Manual Review","MIGRATION_PHASE1_REVIEW","MIGRATION_PRE_ENTRY"))),IF(LEFT(D124,1)="2","DECLINING_KEY_CORE",IF(LEFT(D124,1)="3",IF(R124="Established Buyer Lapsed","LAPSED_ESTABLISHED","LAPSED_THIN_HISTORY"),IF(LEFT(D124,1)="4",IF(Q124="New Customer","NEW_CUSTOMER","RETURNED_CUSTOMER"),IF(LEFT(D124,1)="5",IF(P124="Recently Active","COST_TO_SERVE_ACTIVE","DORMANT_LOW_VALUE"),IF(LEFT(D124,1)="6",IF(P124="Recent Inactivity","RECENT_INACTIVITY",IF(AG124,"BROWSING_LOW_OFFERS","HEALTHY_STRONG_SELF_SERVE")),IF(LEFT(D124,1)="7",IF(P124="Recent Inactivity","RECENT_INACTIVITY",IF(Q124="New Customer","NEW_CUSTOMER","RETURNED_CUSTOMER")),IF(LEFT(D124,1)="8",IF(G124="Declining",IF(T124="Engaged but shrinking (Key/Core)","ENGAGED_BUT_SHRINKING","DECLINING_KEY_CORE"),IF(R124="Established Buyer Lapsed","LAPSED_ESTABLISHED","LAPSED_THIN_HISTORY")),IF(S124,IF(P124&lt;&gt;"Recently Active","DORMANT_LOW_VALUE",IF(AG124,"BROWSING_LOW_OFFERS",IF(AH124,"RISING_TAIL","RISING_TAIL_EARLY"))),IF(AND(AG124,P124="Recently Active",OR(G124="Growing",G124="Stable",G124="H2 Active / No H1 GMV"),I124&gt;=Assumptions!$B$74),"BROWSING_LOW_OFFERS","LONG_TAIL_STANDARD"))))))))))</f>
        <v>DORMANT_LOW_VALUE</v>
      </c>
      <c r="AK124" s="2" t="str">
        <f aca="false">INDEX('NBA Library'!$B$4:$B$21,MATCH(AJ124,'NBA Library'!$A$4:$A$21,0))</f>
        <v>Automated Nurture</v>
      </c>
      <c r="AL124" s="2" t="str">
        <f aca="false">INDEX('NBA Library'!$C$4:$C$21,MATCH(AJ124,'NBA Library'!$A$4:$A$21,0))</f>
        <v>Automated</v>
      </c>
      <c r="AM124" s="2" t="str">
        <f aca="false">IF(AA124,"HOLD — Critical Data Issue",IF(Y124,"Human Sign-Off Required",IF(Z124="Manual Review","Human Review Required",IF(AND(AL124="Automated",OR(AE124,AND(OR(AK124="Discovery-to-Offer Enablement",AK124="Reinforce Successful Behaviour"),OR(AC124,AB124)))),"Human Review Required",IF(AL124="Human","Ready — Human",IF(AL124="Hybrid","Ready — Hybrid","Ready — Automated"))))))</f>
        <v>Ready — Automated</v>
      </c>
      <c r="AN124" s="2" t="str">
        <f aca="false">IF(AA124,"P0",IF(AND(AJ124="BROWSING_LOW_OFFERS",E124="Tail"),"P3",IF(AND(AM124="Human Review Required",INDEX('NBA Library'!$D$4:$D$21,MATCH(AJ124,'NBA Library'!$A$4:$A$21,0))="P4"),"P3",INDEX('NBA Library'!$D$4:$D$21,MATCH(AJ124,'NBA Library'!$A$4:$A$21,0)))))</f>
        <v>P4</v>
      </c>
      <c r="AO124" s="2" t="str">
        <f aca="false">E124&amp;" "&amp;C124&amp;" account ("&amp;B124&amp;"); "&amp;G124&amp;" momentum; "&amp;P124&amp;"; £"&amp;TEXT(H124,"#,##0")&amp;" 6m GMV. "&amp;INDEX('NBA Library'!$G$4:$G$21,MATCH(AJ124,'NBA Library'!$A$4:$A$21,0))&amp;IF(LEFT(D124,1)="1"," Baseline: "&amp;V124&amp;" PDP views, "&amp;W124&amp;" app days, "&amp;X124&amp;" offers, "&amp;TEXT(J124/I124,"0%")&amp;" of orders self-serve.","")&amp;IF(AA124," Execution on HOLD until the Duplicate status is resolved.","")&amp;IF(Y124," Key account: explicit AM/leadership sign-off required before any migration activity.","")&amp;IF(AE124," Implied broker % from order counts would move this account to a different segment; review before automating.","")</f>
        <v>Tail Broker-Reliant account (Account Managed); H2 Active / No H1 GMV momentum; No Meaningful History; £454 6m GMV. Low-value account with no recent GMV. Avoid human time.</v>
      </c>
      <c r="AP124" s="2" t="str">
        <f aca="false">INDEX('NBA Library'!$E$4:$E$21,MATCH(AJ124,'NBA Library'!$A$4:$A$21,0))&amp;IF(AND(AJ124="NEW_CUSTOMER",AG124),"; introduce Make-an-Offer on items already browsed","")</f>
        <v>Automated reactivation only; no human time</v>
      </c>
      <c r="AQ124" s="2" t="str">
        <f aca="false">INDEX('NBA Library'!$F$4:$F$21,MATCH(AJ124,'NBA Library'!$A$4:$A$21,0))</f>
        <v>Any order within 90 days</v>
      </c>
      <c r="AR124" s="2" t="str">
        <f aca="false">IF(AND(F124="Low",OR(G124="Growing",G124="Stable"),P124="Recently Active",U124&lt;&gt;"Mixed",OR(AK124="Discovery-to-Offer Enablement",AK124="Reinforce Successful Behaviour"),AM124="Ready — Automated",OR(E124&lt;&gt;"Tail",S124)),"Range Expansion Test — trial "&amp;IF(U124="Bundle-only","handpick","bundles")&amp;" (experimental; not proven to lift GMV)","")</f>
        <v/>
      </c>
      <c r="AS124" s="2" t="str">
        <f aca="false">IF(AK124&lt;&gt;"Automated Nurture","",IF(AJ124="DORMANT_LOW_VALUE","Dormant",IF(AJ124="RISING_TAIL_EARLY","Rising tail – early pattern",IF(Q124="New Customer","New customer onboarding",IF(Q124="Returned Customer","Returned customer",IF(G124="Lapsed","Dormant",IF(T124="Engaged, not converting","Engaged, not converting",IF(T124="One-off low-touch buyer","One-off purchaser",IF(T124="Light-touch repeat buyer","Light-touch repeat buyer","Standard long tail")))))))))</f>
        <v>Dormant</v>
      </c>
      <c r="AT124" s="2" t="str">
        <f aca="false">IF(AA124,"CRITICAL_DATA_BLOCKER; ","")&amp;IF(Y124,"KEY_SIGNOFF; ","")&amp;IF(Z124="Manual Review","PHASE1_MANUAL_REVIEW; ","")&amp;IF(AND(LEFT(D124,1)="1",AZ124="Lumpy"),"LUMPY_CADENCE; ","")&amp;IF(AB124,"BORDERLINE_MOMENTUM; ","")&amp;IF(AC124,"FEB_SENSITIVE; ","")&amp;IF(AD124,"MATERIAL_BROKER_INCONSISTENCY"&amp;IF(AE124," (segment would change)","")&amp;"; ","")&amp;IF(AND(I124&gt;=3,O124&gt;0),IF(AI124&gt;=Assumptions!$B$75,"H2_SINGLE_MONTH_SPIKE; ",""),"")&amp;IF(AND(M124&gt;0,N124=0),"NO_FEB_GMV (Feb unconfirmed); ","")&amp;IF(AF124,"LOW_CONFIDENCE; ","")</f>
        <v>H2_SINGLE_MONTH_SPIKE; </v>
      </c>
      <c r="AU124" s="2" t="str">
        <f aca="false">IF(LEFT(D124,1)="1",V124,"")</f>
        <v/>
      </c>
      <c r="AV124" s="2" t="str">
        <f aca="false">IF(LEFT(D124,1)="1",V124&gt;=Assumptions!$B$58,"")</f>
        <v/>
      </c>
      <c r="AW124" s="2" t="str">
        <f aca="false">IF(LEFT(D124,1)="1",W124,"")</f>
        <v/>
      </c>
      <c r="AX124" s="2" t="str">
        <f aca="false">IF(LEFT(D124,1)="1",X124,"")</f>
        <v/>
      </c>
      <c r="AY124" s="17" t="str">
        <f aca="false">IF(LEFT(D124,1)="1",J124/I124,"")</f>
        <v/>
      </c>
      <c r="AZ124" s="2" t="str">
        <f aca="false">IF(LEFT(D124,1)="1",IF(AND(K124&gt;=Assumptions!$B$83,I124&gt;=Assumptions!$B$84),"Regular","Lumpy"),"")</f>
        <v/>
      </c>
      <c r="BA124" s="2" t="str">
        <f aca="false">IF(LEFT(D124,1)="1",ROUND(6/K124,0),"")</f>
        <v/>
      </c>
      <c r="BB124" s="2" t="str">
        <f aca="false">IF(LEFT(D124,1)="1",IF(AZ124="Regular","Regular buyer: expected ~£"&amp;TEXT(H124/2,"#,##0")&amp;" per 90 days. At Risk if GMV to date &lt; "&amp;TEXT(Assumptions!$B$81,"0%")&amp;" of pro-rated expectation, checked from day "&amp;Assumptions!$B$82&amp;". Human-reviewed.","Irregular buyer ("&amp;I124&amp;" orders across "&amp;K124&amp;" months): no numeric GMV threshold. At Risk if no order within ~"&amp;BA124&amp;" month(s); AM reviews at day "&amp;Assumptions!$B$82&amp;" and "&amp;Assumptions!$B$85&amp;"."),"")</f>
        <v/>
      </c>
      <c r="BC124" s="2"/>
      <c r="BD124" s="2"/>
      <c r="BE124" s="2"/>
      <c r="BF124" s="2"/>
      <c r="BG124" s="2"/>
      <c r="BH124" s="2"/>
      <c r="BI124" s="2"/>
      <c r="BJ124" s="2" t="str">
        <f aca="false">IF(OR(NOT(LEFT(D124,1)="1"),BC124=""),"",IF(AZ124="Regular",AND(BC124&gt;=Assumptions!$B$82,N(BI124)&lt;Assumptions!$B$81*H124/180*BC124),AND(BC124&gt;=BA124*30,N(BG124)=0)))</f>
        <v/>
      </c>
      <c r="BK124" s="2" t="str">
        <f aca="false">IF(NOT(LEFT(D124,1)="1"),"N/A",IF(BC124="","Baseline",IF(BJ124,"At Risk",IF(AND(N(BD124)&gt;=Assumptions!$B$78,N(BE124)&gt;=Assumptions!$B$79,N(BH124)&gt;=1,N(BH124)/MAX(N(BG124),1)&gt;AY124),"Self-Serve Capability Demonstrated",IF(OR(N(BD124)&gt;=Assumptions!$B$76,N(BE124)&gt;=Assumptions!$B$77),"Progressing",IF(BC124&gt;=Assumptions!$B$85,"At Risk","Baseline"))))))</f>
        <v>N/A</v>
      </c>
      <c r="BL124" s="2" t="n">
        <f aca="false">(AND(C124="Broker-Reliant",OR(AK124="Discovery-to-Offer Enablement",AK124="Reinforce Successful Behaviour")))*1+(AND(G124="Declining",E124&lt;&gt;"Tail",AL124="Automated"))*1+(AND(Y124,AM124&lt;&gt;"Human Sign-Off Required"))*1+(AND(AA124,AM124&lt;&gt;"HOLD — Critical Data Issue"))*1+(AND(P124="Recent Inactivity",OR(AK124="Discovery-to-Offer Enablement",AK124="Reinforce Successful Behaviour")))*1+(AND(OR(LEFT(D124,1)="2",LEFT(D124,1)="3",LEFT(D124,1)="8"),AL124="Automated"))*1+((LEFT(D124,1)="1")&lt;&gt;(AK124="Guided Self-Serve Migration"))*1+(AND(AR124&lt;&gt;"",OR(F124&lt;&gt;"Low",U124="Mixed",AND(G124&lt;&gt;"Growing",G124&lt;&gt;"Stable"))))*1+ISNUMBER(SEARCH("chat",AP124))*1+ISNUMBER(SEARCH("video",AP124))*1+(AND(AA124,AL124="Automated",AM124&lt;&gt;"HOLD — Critical Data Issue"))*1</f>
        <v>0</v>
      </c>
    </row>
    <row r="125" customFormat="false" ht="15" hidden="false" customHeight="false" outlineLevel="0" collapsed="false">
      <c r="A125" s="2" t="s">
        <v>705</v>
      </c>
      <c r="B125" s="2" t="str">
        <f aca="false">INDEX(Segmentation!$B$2:$B$301,MATCH($A125,Segmentation!$A$2:$A$301,0))</f>
        <v>Account Managed</v>
      </c>
      <c r="C125" s="2" t="str">
        <f aca="false">INDEX(Segmentation!$H$2:$H$301,MATCH($A125,Segmentation!$A$2:$A$301,0))</f>
        <v>AM-Owned / Self-Serving</v>
      </c>
      <c r="D125" s="2" t="str">
        <f aca="false">INDEX(Segmentation!$T$2:$T$301,MATCH($A125,Segmentation!$A$2:$A$301,0))</f>
        <v>9. Long-Tail Automated Nurture</v>
      </c>
      <c r="E125" s="2" t="str">
        <f aca="false">INDEX(Segmentation!$J$2:$J$301,MATCH($A125,Segmentation!$A$2:$A$301,0))</f>
        <v>Tail</v>
      </c>
      <c r="F125" s="2" t="str">
        <f aca="false">INDEX(Segmentation!$G$2:$G$301,MATCH($A125,Segmentation!$A$2:$A$301,0))</f>
        <v>Low</v>
      </c>
      <c r="G125" s="2" t="str">
        <f aca="false">INDEX(Segmentation!$N$2:$N$301,MATCH($A125,Segmentation!$A$2:$A$301,0))</f>
        <v>Lapsed</v>
      </c>
      <c r="H125" s="9" t="n">
        <f aca="false">INDEX(Segmentation!$I$2:$I$301,MATCH($A125,Segmentation!$A$2:$A$301,0))</f>
        <v>447</v>
      </c>
      <c r="I125" s="2" t="n">
        <f aca="false">INDEX(Segmentation!$O$2:$O$301,MATCH($A125,Segmentation!$A$2:$A$301,0))</f>
        <v>1</v>
      </c>
      <c r="J125" s="2" t="n">
        <f aca="false">INDEX(Segmentation!$Q$2:$Q$301,MATCH($A125,Segmentation!$A$2:$A$301,0))</f>
        <v>1</v>
      </c>
      <c r="K125" s="2" t="n">
        <f aca="false">INDEX(Segmentation!$W$2:$W$301,MATCH($A125,Segmentation!$A$2:$A$301,0))</f>
        <v>1</v>
      </c>
      <c r="L125" s="9" t="n">
        <f aca="false">INDEX('Commercial View'!$L$2:$L$301,MATCH($A125,'Commercial View'!$A$2:$A$301,0))</f>
        <v>0</v>
      </c>
      <c r="M125" s="9" t="n">
        <f aca="false">INDEX('Commercial View'!$M$2:$M$301,MATCH($A125,'Commercial View'!$A$2:$A$301,0))</f>
        <v>0</v>
      </c>
      <c r="N125" s="9" t="n">
        <f aca="false">INDEX('Commercial View'!$N$2:$N$301,MATCH($A125,'Commercial View'!$A$2:$A$301,0))</f>
        <v>0</v>
      </c>
      <c r="O125" s="9" t="n">
        <f aca="false">INDEX(Segmentation!$L$2:$L$301,MATCH($A125,Segmentation!$A$2:$A$301,0))</f>
        <v>0</v>
      </c>
      <c r="P125" s="2" t="str">
        <f aca="false">IF(OR(M125&gt;0,N125&gt;0),"Recently Active",IF(OR(I125&lt;=Assumptions!$B$48,K125&lt;=Assumptions!$B$49),"No Meaningful History","Recent Inactivity"))</f>
        <v>No Meaningful History</v>
      </c>
      <c r="Q125" s="2" t="str">
        <f aca="false">INDEX(Segmentation!$AF$2:$AF$301,MATCH($A125,Segmentation!$A$2:$A$301,0))</f>
        <v>Existing Customer</v>
      </c>
      <c r="R125" s="2" t="str">
        <f aca="false">INDEX(Segmentation!$AL$2:$AL$301,MATCH($A125,Segmentation!$A$2:$A$301,0))</f>
        <v>One-Off / Insufficient History — Verify</v>
      </c>
      <c r="S125" s="10" t="b">
        <f aca="false">INDEX(Segmentation!$AW$2:$AW$301,MATCH($A125,Segmentation!$A$2:$A$301,0))</f>
        <v>0</v>
      </c>
      <c r="T125" s="2" t="str">
        <f aca="false">INDEX('Feature Data'!$AD$2:$AD$301,MATCH($A125,'Feature Data'!$A$2:$A$301,0))</f>
        <v>One-off low-touch buyer</v>
      </c>
      <c r="U125" s="2" t="str">
        <f aca="false">INDEX('Feature Data'!$W$2:$W$301,MATCH($A125,'Feature Data'!$A$2:$A$301,0))</f>
        <v>Bundle-only</v>
      </c>
      <c r="V125" s="2" t="n">
        <f aca="false">INDEX('Feature Data'!$P$2:$P$301,MATCH($A125,'Feature Data'!$A$2:$A$301,0))</f>
        <v>29</v>
      </c>
      <c r="W125" s="2" t="n">
        <f aca="false">INDEX(Segmentation!$R$2:$R$301,MATCH($A125,Segmentation!$A$2:$A$301,0))</f>
        <v>4</v>
      </c>
      <c r="X125" s="2" t="n">
        <f aca="false">INDEX(Segmentation!$S$2:$S$301,MATCH($A125,Segmentation!$A$2:$A$301,0))</f>
        <v>2</v>
      </c>
      <c r="Y125" s="10" t="b">
        <f aca="false">INDEX(Segmentation!$AG$2:$AG$301,MATCH($A125,Segmentation!$A$2:$A$301,0))</f>
        <v>0</v>
      </c>
      <c r="Z125" s="2" t="str">
        <f aca="false">INDEX(Segmentation!$AU$2:$AU$301,MATCH($A125,Segmentation!$A$2:$A$301,0))</f>
        <v>Not Eligible</v>
      </c>
      <c r="AA125" s="10" t="b">
        <f aca="false">INDEX(Segmentation!$Z$2:$Z$301,MATCH($A125,Segmentation!$A$2:$A$301,0))</f>
        <v>0</v>
      </c>
      <c r="AB125" s="10" t="b">
        <f aca="false">INDEX(Segmentation!$AH$2:$AH$301,MATCH($A125,Segmentation!$A$2:$A$301,0))</f>
        <v>0</v>
      </c>
      <c r="AC125" s="10" t="b">
        <f aca="false">INDEX(Segmentation!$AK$2:$AK$301,MATCH($A125,Segmentation!$A$2:$A$301,0))</f>
        <v>0</v>
      </c>
      <c r="AD125" s="10" t="b">
        <f aca="false">INDEX(Segmentation!$AQ$2:$AQ$301,MATCH($A125,Segmentation!$A$2:$A$301,0))</f>
        <v>0</v>
      </c>
      <c r="AE125" s="10" t="b">
        <f aca="false">INDEX(Segmentation!$AT$2:$AT$301,MATCH($A125,Segmentation!$A$2:$A$301,0))</f>
        <v>0</v>
      </c>
      <c r="AF125" s="10" t="b">
        <f aca="false">INDEX(Segmentation!$X$2:$X$301,MATCH($A125,Segmentation!$A$2:$A$301,0))</f>
        <v>1</v>
      </c>
      <c r="AG125" s="10" t="b">
        <f aca="false">AND(F125="Low",V125&gt;=Assumptions!$B$71,X125&lt;Assumptions!$B$72)</f>
        <v>0</v>
      </c>
      <c r="AH125" s="10" t="b">
        <f aca="false">AND(F125="Low",OR(G125="Growing",G125="Stable"),P125="Recently Active",V125&gt;=Assumptions!$B$58,K125&gt;=Assumptions!$B$73)</f>
        <v>0</v>
      </c>
      <c r="AI125" s="17" t="str">
        <f aca="false">IF(O125&gt;0,MAX(L125:N125)/O125,"")</f>
        <v/>
      </c>
      <c r="AJ125" s="2" t="str">
        <f aca="false">IF(LEFT(D125,1)="1",IF(E125="Key","MIGRATION_KEY_SIGNOFF",IF(Z125="Ready","MIGRATION_PHASE1_READY",IF(Z125="Manual Review","MIGRATION_PHASE1_REVIEW","MIGRATION_PRE_ENTRY"))),IF(LEFT(D125,1)="2","DECLINING_KEY_CORE",IF(LEFT(D125,1)="3",IF(R125="Established Buyer Lapsed","LAPSED_ESTABLISHED","LAPSED_THIN_HISTORY"),IF(LEFT(D125,1)="4",IF(Q125="New Customer","NEW_CUSTOMER","RETURNED_CUSTOMER"),IF(LEFT(D125,1)="5",IF(P125="Recently Active","COST_TO_SERVE_ACTIVE","DORMANT_LOW_VALUE"),IF(LEFT(D125,1)="6",IF(P125="Recent Inactivity","RECENT_INACTIVITY",IF(AG125,"BROWSING_LOW_OFFERS","HEALTHY_STRONG_SELF_SERVE")),IF(LEFT(D125,1)="7",IF(P125="Recent Inactivity","RECENT_INACTIVITY",IF(Q125="New Customer","NEW_CUSTOMER","RETURNED_CUSTOMER")),IF(LEFT(D125,1)="8",IF(G125="Declining",IF(T125="Engaged but shrinking (Key/Core)","ENGAGED_BUT_SHRINKING","DECLINING_KEY_CORE"),IF(R125="Established Buyer Lapsed","LAPSED_ESTABLISHED","LAPSED_THIN_HISTORY")),IF(S125,IF(P125&lt;&gt;"Recently Active","DORMANT_LOW_VALUE",IF(AG125,"BROWSING_LOW_OFFERS",IF(AH125,"RISING_TAIL","RISING_TAIL_EARLY"))),IF(AND(AG125,P125="Recently Active",OR(G125="Growing",G125="Stable",G125="H2 Active / No H1 GMV"),I125&gt;=Assumptions!$B$74),"BROWSING_LOW_OFFERS","LONG_TAIL_STANDARD"))))))))))</f>
        <v>LONG_TAIL_STANDARD</v>
      </c>
      <c r="AK125" s="2" t="str">
        <f aca="false">INDEX('NBA Library'!$B$4:$B$21,MATCH(AJ125,'NBA Library'!$A$4:$A$21,0))</f>
        <v>Automated Nurture</v>
      </c>
      <c r="AL125" s="2" t="str">
        <f aca="false">INDEX('NBA Library'!$C$4:$C$21,MATCH(AJ125,'NBA Library'!$A$4:$A$21,0))</f>
        <v>Automated</v>
      </c>
      <c r="AM125" s="2" t="str">
        <f aca="false">IF(AA125,"HOLD — Critical Data Issue",IF(Y125,"Human Sign-Off Required",IF(Z125="Manual Review","Human Review Required",IF(AND(AL125="Automated",OR(AE125,AND(OR(AK125="Discovery-to-Offer Enablement",AK125="Reinforce Successful Behaviour"),OR(AC125,AB125)))),"Human Review Required",IF(AL125="Human","Ready — Human",IF(AL125="Hybrid","Ready — Hybrid","Ready — Automated"))))))</f>
        <v>Ready — Automated</v>
      </c>
      <c r="AN125" s="2" t="str">
        <f aca="false">IF(AA125,"P0",IF(AND(AJ125="BROWSING_LOW_OFFERS",E125="Tail"),"P3",IF(AND(AM125="Human Review Required",INDEX('NBA Library'!$D$4:$D$21,MATCH(AJ125,'NBA Library'!$A$4:$A$21,0))="P4"),"P3",INDEX('NBA Library'!$D$4:$D$21,MATCH(AJ125,'NBA Library'!$A$4:$A$21,0)))))</f>
        <v>P4</v>
      </c>
      <c r="AO125" s="2" t="str">
        <f aca="false">E125&amp;" "&amp;C125&amp;" account ("&amp;B125&amp;"); "&amp;G125&amp;" momentum; "&amp;P125&amp;"; £"&amp;TEXT(H125,"#,##0")&amp;" 6m GMV. "&amp;INDEX('NBA Library'!$G$4:$G$21,MATCH(AJ125,'NBA Library'!$A$4:$A$21,0))&amp;IF(LEFT(D125,1)="1"," Baseline: "&amp;V125&amp;" PDP views, "&amp;W125&amp;" app days, "&amp;X125&amp;" offers, "&amp;TEXT(J125/I125,"0%")&amp;" of orders self-serve.","")&amp;IF(AA125," Execution on HOLD until the Duplicate status is resolved.","")&amp;IF(Y125," Key account: explicit AM/leadership sign-off required before any migration activity.","")&amp;IF(AE125," Implied broker % from order counts would move this account to a different segment; review before automating.","")</f>
        <v>Tail AM-Owned / Self-Serving account (Account Managed); Lapsed momentum; No Meaningful History; £447 6m GMV. Low-value, low-dependency account. Scalable automated engagement.</v>
      </c>
      <c r="AP125" s="2" t="str">
        <f aca="false">INDEX('NBA Library'!$E$4:$E$21,MATCH(AJ125,'NBA Library'!$A$4:$A$21,0))&amp;IF(AND(AJ125="NEW_CUSTOMER",AG125),"; introduce Make-an-Offer on items already browsed","")</f>
        <v>Scalable automated engagement matched to nurture sub-context</v>
      </c>
      <c r="AQ125" s="2" t="str">
        <f aca="false">INDEX('NBA Library'!$F$4:$F$21,MATCH(AJ125,'NBA Library'!$A$4:$A$21,0))</f>
        <v>Any repeat order within 90 days</v>
      </c>
      <c r="AR125" s="2" t="str">
        <f aca="false">IF(AND(F125="Low",OR(G125="Growing",G125="Stable"),P125="Recently Active",U125&lt;&gt;"Mixed",OR(AK125="Discovery-to-Offer Enablement",AK125="Reinforce Successful Behaviour"),AM125="Ready — Automated",OR(E125&lt;&gt;"Tail",S125)),"Range Expansion Test — trial "&amp;IF(U125="Bundle-only","handpick","bundles")&amp;" (experimental; not proven to lift GMV)","")</f>
        <v/>
      </c>
      <c r="AS125" s="2" t="str">
        <f aca="false">IF(AK125&lt;&gt;"Automated Nurture","",IF(AJ125="DORMANT_LOW_VALUE","Dormant",IF(AJ125="RISING_TAIL_EARLY","Rising tail – early pattern",IF(Q125="New Customer","New customer onboarding",IF(Q125="Returned Customer","Returned customer",IF(G125="Lapsed","Dormant",IF(T125="Engaged, not converting","Engaged, not converting",IF(T125="One-off low-touch buyer","One-off purchaser",IF(T125="Light-touch repeat buyer","Light-touch repeat buyer","Standard long tail")))))))))</f>
        <v>Dormant</v>
      </c>
      <c r="AT125" s="2" t="str">
        <f aca="false">IF(AA125,"CRITICAL_DATA_BLOCKER; ","")&amp;IF(Y125,"KEY_SIGNOFF; ","")&amp;IF(Z125="Manual Review","PHASE1_MANUAL_REVIEW; ","")&amp;IF(AND(LEFT(D125,1)="1",AZ125="Lumpy"),"LUMPY_CADENCE; ","")&amp;IF(AB125,"BORDERLINE_MOMENTUM; ","")&amp;IF(AC125,"FEB_SENSITIVE; ","")&amp;IF(AD125,"MATERIAL_BROKER_INCONSISTENCY"&amp;IF(AE125," (segment would change)","")&amp;"; ","")&amp;IF(AND(I125&gt;=3,O125&gt;0),IF(AI125&gt;=Assumptions!$B$75,"H2_SINGLE_MONTH_SPIKE; ",""),"")&amp;IF(AND(M125&gt;0,N125=0),"NO_FEB_GMV (Feb unconfirmed); ","")&amp;IF(AF125,"LOW_CONFIDENCE; ","")</f>
        <v>LOW_CONFIDENCE; </v>
      </c>
      <c r="AU125" s="2" t="str">
        <f aca="false">IF(LEFT(D125,1)="1",V125,"")</f>
        <v/>
      </c>
      <c r="AV125" s="2" t="str">
        <f aca="false">IF(LEFT(D125,1)="1",V125&gt;=Assumptions!$B$58,"")</f>
        <v/>
      </c>
      <c r="AW125" s="2" t="str">
        <f aca="false">IF(LEFT(D125,1)="1",W125,"")</f>
        <v/>
      </c>
      <c r="AX125" s="2" t="str">
        <f aca="false">IF(LEFT(D125,1)="1",X125,"")</f>
        <v/>
      </c>
      <c r="AY125" s="17" t="str">
        <f aca="false">IF(LEFT(D125,1)="1",J125/I125,"")</f>
        <v/>
      </c>
      <c r="AZ125" s="2" t="str">
        <f aca="false">IF(LEFT(D125,1)="1",IF(AND(K125&gt;=Assumptions!$B$83,I125&gt;=Assumptions!$B$84),"Regular","Lumpy"),"")</f>
        <v/>
      </c>
      <c r="BA125" s="2" t="str">
        <f aca="false">IF(LEFT(D125,1)="1",ROUND(6/K125,0),"")</f>
        <v/>
      </c>
      <c r="BB125" s="2" t="str">
        <f aca="false">IF(LEFT(D125,1)="1",IF(AZ125="Regular","Regular buyer: expected ~£"&amp;TEXT(H125/2,"#,##0")&amp;" per 90 days. At Risk if GMV to date &lt; "&amp;TEXT(Assumptions!$B$81,"0%")&amp;" of pro-rated expectation, checked from day "&amp;Assumptions!$B$82&amp;". Human-reviewed.","Irregular buyer ("&amp;I125&amp;" orders across "&amp;K125&amp;" months): no numeric GMV threshold. At Risk if no order within ~"&amp;BA125&amp;" month(s); AM reviews at day "&amp;Assumptions!$B$82&amp;" and "&amp;Assumptions!$B$85&amp;"."),"")</f>
        <v/>
      </c>
      <c r="BC125" s="2"/>
      <c r="BD125" s="2"/>
      <c r="BE125" s="2"/>
      <c r="BF125" s="2"/>
      <c r="BG125" s="2"/>
      <c r="BH125" s="2"/>
      <c r="BI125" s="2"/>
      <c r="BJ125" s="2" t="str">
        <f aca="false">IF(OR(NOT(LEFT(D125,1)="1"),BC125=""),"",IF(AZ125="Regular",AND(BC125&gt;=Assumptions!$B$82,N(BI125)&lt;Assumptions!$B$81*H125/180*BC125),AND(BC125&gt;=BA125*30,N(BG125)=0)))</f>
        <v/>
      </c>
      <c r="BK125" s="2" t="str">
        <f aca="false">IF(NOT(LEFT(D125,1)="1"),"N/A",IF(BC125="","Baseline",IF(BJ125,"At Risk",IF(AND(N(BD125)&gt;=Assumptions!$B$78,N(BE125)&gt;=Assumptions!$B$79,N(BH125)&gt;=1,N(BH125)/MAX(N(BG125),1)&gt;AY125),"Self-Serve Capability Demonstrated",IF(OR(N(BD125)&gt;=Assumptions!$B$76,N(BE125)&gt;=Assumptions!$B$77),"Progressing",IF(BC125&gt;=Assumptions!$B$85,"At Risk","Baseline"))))))</f>
        <v>N/A</v>
      </c>
      <c r="BL125" s="2" t="n">
        <f aca="false">(AND(C125="Broker-Reliant",OR(AK125="Discovery-to-Offer Enablement",AK125="Reinforce Successful Behaviour")))*1+(AND(G125="Declining",E125&lt;&gt;"Tail",AL125="Automated"))*1+(AND(Y125,AM125&lt;&gt;"Human Sign-Off Required"))*1+(AND(AA125,AM125&lt;&gt;"HOLD — Critical Data Issue"))*1+(AND(P125="Recent Inactivity",OR(AK125="Discovery-to-Offer Enablement",AK125="Reinforce Successful Behaviour")))*1+(AND(OR(LEFT(D125,1)="2",LEFT(D125,1)="3",LEFT(D125,1)="8"),AL125="Automated"))*1+((LEFT(D125,1)="1")&lt;&gt;(AK125="Guided Self-Serve Migration"))*1+(AND(AR125&lt;&gt;"",OR(F125&lt;&gt;"Low",U125="Mixed",AND(G125&lt;&gt;"Growing",G125&lt;&gt;"Stable"))))*1+ISNUMBER(SEARCH("chat",AP125))*1+ISNUMBER(SEARCH("video",AP125))*1+(AND(AA125,AL125="Automated",AM125&lt;&gt;"HOLD — Critical Data Issue"))*1</f>
        <v>0</v>
      </c>
    </row>
    <row r="126" customFormat="false" ht="15" hidden="false" customHeight="false" outlineLevel="0" collapsed="false">
      <c r="A126" s="2" t="s">
        <v>707</v>
      </c>
      <c r="B126" s="2" t="str">
        <f aca="false">INDEX(Segmentation!$B$2:$B$301,MATCH($A126,Segmentation!$A$2:$A$301,0))</f>
        <v>Account Managed</v>
      </c>
      <c r="C126" s="2" t="str">
        <f aca="false">INDEX(Segmentation!$H$2:$H$301,MATCH($A126,Segmentation!$A$2:$A$301,0))</f>
        <v>AM-Owned / Self-Serving</v>
      </c>
      <c r="D126" s="2" t="str">
        <f aca="false">INDEX(Segmentation!$T$2:$T$301,MATCH($A126,Segmentation!$A$2:$A$301,0))</f>
        <v>9. Long-Tail Automated Nurture</v>
      </c>
      <c r="E126" s="2" t="str">
        <f aca="false">INDEX(Segmentation!$J$2:$J$301,MATCH($A126,Segmentation!$A$2:$A$301,0))</f>
        <v>Tail</v>
      </c>
      <c r="F126" s="2" t="str">
        <f aca="false">INDEX(Segmentation!$G$2:$G$301,MATCH($A126,Segmentation!$A$2:$A$301,0))</f>
        <v>Low</v>
      </c>
      <c r="G126" s="2" t="str">
        <f aca="false">INDEX(Segmentation!$N$2:$N$301,MATCH($A126,Segmentation!$A$2:$A$301,0))</f>
        <v>Lapsed</v>
      </c>
      <c r="H126" s="9" t="n">
        <f aca="false">INDEX(Segmentation!$I$2:$I$301,MATCH($A126,Segmentation!$A$2:$A$301,0))</f>
        <v>446</v>
      </c>
      <c r="I126" s="2" t="n">
        <f aca="false">INDEX(Segmentation!$O$2:$O$301,MATCH($A126,Segmentation!$A$2:$A$301,0))</f>
        <v>2</v>
      </c>
      <c r="J126" s="2" t="n">
        <f aca="false">INDEX(Segmentation!$Q$2:$Q$301,MATCH($A126,Segmentation!$A$2:$A$301,0))</f>
        <v>2</v>
      </c>
      <c r="K126" s="2" t="n">
        <f aca="false">INDEX(Segmentation!$W$2:$W$301,MATCH($A126,Segmentation!$A$2:$A$301,0))</f>
        <v>1</v>
      </c>
      <c r="L126" s="9" t="n">
        <f aca="false">INDEX('Commercial View'!$L$2:$L$301,MATCH($A126,'Commercial View'!$A$2:$A$301,0))</f>
        <v>0</v>
      </c>
      <c r="M126" s="9" t="n">
        <f aca="false">INDEX('Commercial View'!$M$2:$M$301,MATCH($A126,'Commercial View'!$A$2:$A$301,0))</f>
        <v>0</v>
      </c>
      <c r="N126" s="9" t="n">
        <f aca="false">INDEX('Commercial View'!$N$2:$N$301,MATCH($A126,'Commercial View'!$A$2:$A$301,0))</f>
        <v>0</v>
      </c>
      <c r="O126" s="9" t="n">
        <f aca="false">INDEX(Segmentation!$L$2:$L$301,MATCH($A126,Segmentation!$A$2:$A$301,0))</f>
        <v>0</v>
      </c>
      <c r="P126" s="2" t="str">
        <f aca="false">IF(OR(M126&gt;0,N126&gt;0),"Recently Active",IF(OR(I126&lt;=Assumptions!$B$48,K126&lt;=Assumptions!$B$49),"No Meaningful History","Recent Inactivity"))</f>
        <v>No Meaningful History</v>
      </c>
      <c r="Q126" s="2" t="str">
        <f aca="false">INDEX(Segmentation!$AF$2:$AF$301,MATCH($A126,Segmentation!$A$2:$A$301,0))</f>
        <v>Existing Customer</v>
      </c>
      <c r="R126" s="2" t="str">
        <f aca="false">INDEX(Segmentation!$AL$2:$AL$301,MATCH($A126,Segmentation!$A$2:$A$301,0))</f>
        <v>One-Off / Insufficient History — Verify</v>
      </c>
      <c r="S126" s="10" t="b">
        <f aca="false">INDEX(Segmentation!$AW$2:$AW$301,MATCH($A126,Segmentation!$A$2:$A$301,0))</f>
        <v>0</v>
      </c>
      <c r="T126" s="2" t="str">
        <f aca="false">INDEX('Feature Data'!$AD$2:$AD$301,MATCH($A126,'Feature Data'!$A$2:$A$301,0))</f>
        <v>Engaged, not converting</v>
      </c>
      <c r="U126" s="2" t="str">
        <f aca="false">INDEX('Feature Data'!$W$2:$W$301,MATCH($A126,'Feature Data'!$A$2:$A$301,0))</f>
        <v>Bundle-only</v>
      </c>
      <c r="V126" s="2" t="n">
        <f aca="false">INDEX('Feature Data'!$P$2:$P$301,MATCH($A126,'Feature Data'!$A$2:$A$301,0))</f>
        <v>210</v>
      </c>
      <c r="W126" s="2" t="n">
        <f aca="false">INDEX(Segmentation!$R$2:$R$301,MATCH($A126,Segmentation!$A$2:$A$301,0))</f>
        <v>22</v>
      </c>
      <c r="X126" s="2" t="n">
        <f aca="false">INDEX(Segmentation!$S$2:$S$301,MATCH($A126,Segmentation!$A$2:$A$301,0))</f>
        <v>2</v>
      </c>
      <c r="Y126" s="10" t="b">
        <f aca="false">INDEX(Segmentation!$AG$2:$AG$301,MATCH($A126,Segmentation!$A$2:$A$301,0))</f>
        <v>0</v>
      </c>
      <c r="Z126" s="2" t="str">
        <f aca="false">INDEX(Segmentation!$AU$2:$AU$301,MATCH($A126,Segmentation!$A$2:$A$301,0))</f>
        <v>Not Eligible</v>
      </c>
      <c r="AA126" s="10" t="b">
        <f aca="false">INDEX(Segmentation!$Z$2:$Z$301,MATCH($A126,Segmentation!$A$2:$A$301,0))</f>
        <v>0</v>
      </c>
      <c r="AB126" s="10" t="b">
        <f aca="false">INDEX(Segmentation!$AH$2:$AH$301,MATCH($A126,Segmentation!$A$2:$A$301,0))</f>
        <v>0</v>
      </c>
      <c r="AC126" s="10" t="b">
        <f aca="false">INDEX(Segmentation!$AK$2:$AK$301,MATCH($A126,Segmentation!$A$2:$A$301,0))</f>
        <v>0</v>
      </c>
      <c r="AD126" s="10" t="b">
        <f aca="false">INDEX(Segmentation!$AQ$2:$AQ$301,MATCH($A126,Segmentation!$A$2:$A$301,0))</f>
        <v>0</v>
      </c>
      <c r="AE126" s="10" t="b">
        <f aca="false">INDEX(Segmentation!$AT$2:$AT$301,MATCH($A126,Segmentation!$A$2:$A$301,0))</f>
        <v>0</v>
      </c>
      <c r="AF126" s="10" t="b">
        <f aca="false">INDEX(Segmentation!$X$2:$X$301,MATCH($A126,Segmentation!$A$2:$A$301,0))</f>
        <v>1</v>
      </c>
      <c r="AG126" s="10" t="b">
        <f aca="false">AND(F126="Low",V126&gt;=Assumptions!$B$71,X126&lt;Assumptions!$B$72)</f>
        <v>1</v>
      </c>
      <c r="AH126" s="10" t="b">
        <f aca="false">AND(F126="Low",OR(G126="Growing",G126="Stable"),P126="Recently Active",V126&gt;=Assumptions!$B$58,K126&gt;=Assumptions!$B$73)</f>
        <v>0</v>
      </c>
      <c r="AI126" s="17" t="str">
        <f aca="false">IF(O126&gt;0,MAX(L126:N126)/O126,"")</f>
        <v/>
      </c>
      <c r="AJ126" s="2" t="str">
        <f aca="false">IF(LEFT(D126,1)="1",IF(E126="Key","MIGRATION_KEY_SIGNOFF",IF(Z126="Ready","MIGRATION_PHASE1_READY",IF(Z126="Manual Review","MIGRATION_PHASE1_REVIEW","MIGRATION_PRE_ENTRY"))),IF(LEFT(D126,1)="2","DECLINING_KEY_CORE",IF(LEFT(D126,1)="3",IF(R126="Established Buyer Lapsed","LAPSED_ESTABLISHED","LAPSED_THIN_HISTORY"),IF(LEFT(D126,1)="4",IF(Q126="New Customer","NEW_CUSTOMER","RETURNED_CUSTOMER"),IF(LEFT(D126,1)="5",IF(P126="Recently Active","COST_TO_SERVE_ACTIVE","DORMANT_LOW_VALUE"),IF(LEFT(D126,1)="6",IF(P126="Recent Inactivity","RECENT_INACTIVITY",IF(AG126,"BROWSING_LOW_OFFERS","HEALTHY_STRONG_SELF_SERVE")),IF(LEFT(D126,1)="7",IF(P126="Recent Inactivity","RECENT_INACTIVITY",IF(Q126="New Customer","NEW_CUSTOMER","RETURNED_CUSTOMER")),IF(LEFT(D126,1)="8",IF(G126="Declining",IF(T126="Engaged but shrinking (Key/Core)","ENGAGED_BUT_SHRINKING","DECLINING_KEY_CORE"),IF(R126="Established Buyer Lapsed","LAPSED_ESTABLISHED","LAPSED_THIN_HISTORY")),IF(S126,IF(P126&lt;&gt;"Recently Active","DORMANT_LOW_VALUE",IF(AG126,"BROWSING_LOW_OFFERS",IF(AH126,"RISING_TAIL","RISING_TAIL_EARLY"))),IF(AND(AG126,P126="Recently Active",OR(G126="Growing",G126="Stable",G126="H2 Active / No H1 GMV"),I126&gt;=Assumptions!$B$74),"BROWSING_LOW_OFFERS","LONG_TAIL_STANDARD"))))))))))</f>
        <v>LONG_TAIL_STANDARD</v>
      </c>
      <c r="AK126" s="2" t="str">
        <f aca="false">INDEX('NBA Library'!$B$4:$B$21,MATCH(AJ126,'NBA Library'!$A$4:$A$21,0))</f>
        <v>Automated Nurture</v>
      </c>
      <c r="AL126" s="2" t="str">
        <f aca="false">INDEX('NBA Library'!$C$4:$C$21,MATCH(AJ126,'NBA Library'!$A$4:$A$21,0))</f>
        <v>Automated</v>
      </c>
      <c r="AM126" s="2" t="str">
        <f aca="false">IF(AA126,"HOLD — Critical Data Issue",IF(Y126,"Human Sign-Off Required",IF(Z126="Manual Review","Human Review Required",IF(AND(AL126="Automated",OR(AE126,AND(OR(AK126="Discovery-to-Offer Enablement",AK126="Reinforce Successful Behaviour"),OR(AC126,AB126)))),"Human Review Required",IF(AL126="Human","Ready — Human",IF(AL126="Hybrid","Ready — Hybrid","Ready — Automated"))))))</f>
        <v>Ready — Automated</v>
      </c>
      <c r="AN126" s="2" t="str">
        <f aca="false">IF(AA126,"P0",IF(AND(AJ126="BROWSING_LOW_OFFERS",E126="Tail"),"P3",IF(AND(AM126="Human Review Required",INDEX('NBA Library'!$D$4:$D$21,MATCH(AJ126,'NBA Library'!$A$4:$A$21,0))="P4"),"P3",INDEX('NBA Library'!$D$4:$D$21,MATCH(AJ126,'NBA Library'!$A$4:$A$21,0)))))</f>
        <v>P4</v>
      </c>
      <c r="AO126" s="2" t="str">
        <f aca="false">E126&amp;" "&amp;C126&amp;" account ("&amp;B126&amp;"); "&amp;G126&amp;" momentum; "&amp;P126&amp;"; £"&amp;TEXT(H126,"#,##0")&amp;" 6m GMV. "&amp;INDEX('NBA Library'!$G$4:$G$21,MATCH(AJ126,'NBA Library'!$A$4:$A$21,0))&amp;IF(LEFT(D126,1)="1"," Baseline: "&amp;V126&amp;" PDP views, "&amp;W126&amp;" app days, "&amp;X126&amp;" offers, "&amp;TEXT(J126/I126,"0%")&amp;" of orders self-serve.","")&amp;IF(AA126," Execution on HOLD until the Duplicate status is resolved.","")&amp;IF(Y126," Key account: explicit AM/leadership sign-off required before any migration activity.","")&amp;IF(AE126," Implied broker % from order counts would move this account to a different segment; review before automating.","")</f>
        <v>Tail AM-Owned / Self-Serving account (Account Managed); Lapsed momentum; No Meaningful History; £446 6m GMV. Low-value, low-dependency account. Scalable automated engagement.</v>
      </c>
      <c r="AP126" s="2" t="str">
        <f aca="false">INDEX('NBA Library'!$E$4:$E$21,MATCH(AJ126,'NBA Library'!$A$4:$A$21,0))&amp;IF(AND(AJ126="NEW_CUSTOMER",AG126),"; introduce Make-an-Offer on items already browsed","")</f>
        <v>Scalable automated engagement matched to nurture sub-context</v>
      </c>
      <c r="AQ126" s="2" t="str">
        <f aca="false">INDEX('NBA Library'!$F$4:$F$21,MATCH(AJ126,'NBA Library'!$A$4:$A$21,0))</f>
        <v>Any repeat order within 90 days</v>
      </c>
      <c r="AR126" s="2" t="str">
        <f aca="false">IF(AND(F126="Low",OR(G126="Growing",G126="Stable"),P126="Recently Active",U126&lt;&gt;"Mixed",OR(AK126="Discovery-to-Offer Enablement",AK126="Reinforce Successful Behaviour"),AM126="Ready — Automated",OR(E126&lt;&gt;"Tail",S126)),"Range Expansion Test — trial "&amp;IF(U126="Bundle-only","handpick","bundles")&amp;" (experimental; not proven to lift GMV)","")</f>
        <v/>
      </c>
      <c r="AS126" s="2" t="str">
        <f aca="false">IF(AK126&lt;&gt;"Automated Nurture","",IF(AJ126="DORMANT_LOW_VALUE","Dormant",IF(AJ126="RISING_TAIL_EARLY","Rising tail – early pattern",IF(Q126="New Customer","New customer onboarding",IF(Q126="Returned Customer","Returned customer",IF(G126="Lapsed","Dormant",IF(T126="Engaged, not converting","Engaged, not converting",IF(T126="One-off low-touch buyer","One-off purchaser",IF(T126="Light-touch repeat buyer","Light-touch repeat buyer","Standard long tail")))))))))</f>
        <v>Dormant</v>
      </c>
      <c r="AT126" s="2" t="str">
        <f aca="false">IF(AA126,"CRITICAL_DATA_BLOCKER; ","")&amp;IF(Y126,"KEY_SIGNOFF; ","")&amp;IF(Z126="Manual Review","PHASE1_MANUAL_REVIEW; ","")&amp;IF(AND(LEFT(D126,1)="1",AZ126="Lumpy"),"LUMPY_CADENCE; ","")&amp;IF(AB126,"BORDERLINE_MOMENTUM; ","")&amp;IF(AC126,"FEB_SENSITIVE; ","")&amp;IF(AD126,"MATERIAL_BROKER_INCONSISTENCY"&amp;IF(AE126," (segment would change)","")&amp;"; ","")&amp;IF(AND(I126&gt;=3,O126&gt;0),IF(AI126&gt;=Assumptions!$B$75,"H2_SINGLE_MONTH_SPIKE; ",""),"")&amp;IF(AND(M126&gt;0,N126=0),"NO_FEB_GMV (Feb unconfirmed); ","")&amp;IF(AF126,"LOW_CONFIDENCE; ","")</f>
        <v>LOW_CONFIDENCE; </v>
      </c>
      <c r="AU126" s="2" t="str">
        <f aca="false">IF(LEFT(D126,1)="1",V126,"")</f>
        <v/>
      </c>
      <c r="AV126" s="2" t="str">
        <f aca="false">IF(LEFT(D126,1)="1",V126&gt;=Assumptions!$B$58,"")</f>
        <v/>
      </c>
      <c r="AW126" s="2" t="str">
        <f aca="false">IF(LEFT(D126,1)="1",W126,"")</f>
        <v/>
      </c>
      <c r="AX126" s="2" t="str">
        <f aca="false">IF(LEFT(D126,1)="1",X126,"")</f>
        <v/>
      </c>
      <c r="AY126" s="17" t="str">
        <f aca="false">IF(LEFT(D126,1)="1",J126/I126,"")</f>
        <v/>
      </c>
      <c r="AZ126" s="2" t="str">
        <f aca="false">IF(LEFT(D126,1)="1",IF(AND(K126&gt;=Assumptions!$B$83,I126&gt;=Assumptions!$B$84),"Regular","Lumpy"),"")</f>
        <v/>
      </c>
      <c r="BA126" s="2" t="str">
        <f aca="false">IF(LEFT(D126,1)="1",ROUND(6/K126,0),"")</f>
        <v/>
      </c>
      <c r="BB126" s="2" t="str">
        <f aca="false">IF(LEFT(D126,1)="1",IF(AZ126="Regular","Regular buyer: expected ~£"&amp;TEXT(H126/2,"#,##0")&amp;" per 90 days. At Risk if GMV to date &lt; "&amp;TEXT(Assumptions!$B$81,"0%")&amp;" of pro-rated expectation, checked from day "&amp;Assumptions!$B$82&amp;". Human-reviewed.","Irregular buyer ("&amp;I126&amp;" orders across "&amp;K126&amp;" months): no numeric GMV threshold. At Risk if no order within ~"&amp;BA126&amp;" month(s); AM reviews at day "&amp;Assumptions!$B$82&amp;" and "&amp;Assumptions!$B$85&amp;"."),"")</f>
        <v/>
      </c>
      <c r="BC126" s="2"/>
      <c r="BD126" s="2"/>
      <c r="BE126" s="2"/>
      <c r="BF126" s="2"/>
      <c r="BG126" s="2"/>
      <c r="BH126" s="2"/>
      <c r="BI126" s="2"/>
      <c r="BJ126" s="2" t="str">
        <f aca="false">IF(OR(NOT(LEFT(D126,1)="1"),BC126=""),"",IF(AZ126="Regular",AND(BC126&gt;=Assumptions!$B$82,N(BI126)&lt;Assumptions!$B$81*H126/180*BC126),AND(BC126&gt;=BA126*30,N(BG126)=0)))</f>
        <v/>
      </c>
      <c r="BK126" s="2" t="str">
        <f aca="false">IF(NOT(LEFT(D126,1)="1"),"N/A",IF(BC126="","Baseline",IF(BJ126,"At Risk",IF(AND(N(BD126)&gt;=Assumptions!$B$78,N(BE126)&gt;=Assumptions!$B$79,N(BH126)&gt;=1,N(BH126)/MAX(N(BG126),1)&gt;AY126),"Self-Serve Capability Demonstrated",IF(OR(N(BD126)&gt;=Assumptions!$B$76,N(BE126)&gt;=Assumptions!$B$77),"Progressing",IF(BC126&gt;=Assumptions!$B$85,"At Risk","Baseline"))))))</f>
        <v>N/A</v>
      </c>
      <c r="BL126" s="2" t="n">
        <f aca="false">(AND(C126="Broker-Reliant",OR(AK126="Discovery-to-Offer Enablement",AK126="Reinforce Successful Behaviour")))*1+(AND(G126="Declining",E126&lt;&gt;"Tail",AL126="Automated"))*1+(AND(Y126,AM126&lt;&gt;"Human Sign-Off Required"))*1+(AND(AA126,AM126&lt;&gt;"HOLD — Critical Data Issue"))*1+(AND(P126="Recent Inactivity",OR(AK126="Discovery-to-Offer Enablement",AK126="Reinforce Successful Behaviour")))*1+(AND(OR(LEFT(D126,1)="2",LEFT(D126,1)="3",LEFT(D126,1)="8"),AL126="Automated"))*1+((LEFT(D126,1)="1")&lt;&gt;(AK126="Guided Self-Serve Migration"))*1+(AND(AR126&lt;&gt;"",OR(F126&lt;&gt;"Low",U126="Mixed",AND(G126&lt;&gt;"Growing",G126&lt;&gt;"Stable"))))*1+ISNUMBER(SEARCH("chat",AP126))*1+ISNUMBER(SEARCH("video",AP126))*1+(AND(AA126,AL126="Automated",AM126&lt;&gt;"HOLD — Critical Data Issue"))*1</f>
        <v>0</v>
      </c>
    </row>
    <row r="127" customFormat="false" ht="15" hidden="false" customHeight="false" outlineLevel="0" collapsed="false">
      <c r="A127" s="2" t="s">
        <v>709</v>
      </c>
      <c r="B127" s="2" t="str">
        <f aca="false">INDEX(Segmentation!$B$2:$B$301,MATCH($A127,Segmentation!$A$2:$A$301,0))</f>
        <v>Account Managed</v>
      </c>
      <c r="C127" s="2" t="str">
        <f aca="false">INDEX(Segmentation!$H$2:$H$301,MATCH($A127,Segmentation!$A$2:$A$301,0))</f>
        <v>AM-Owned / Self-Serving</v>
      </c>
      <c r="D127" s="2" t="str">
        <f aca="false">INDEX(Segmentation!$T$2:$T$301,MATCH($A127,Segmentation!$A$2:$A$301,0))</f>
        <v>9. Long-Tail Automated Nurture</v>
      </c>
      <c r="E127" s="2" t="str">
        <f aca="false">INDEX(Segmentation!$J$2:$J$301,MATCH($A127,Segmentation!$A$2:$A$301,0))</f>
        <v>Tail</v>
      </c>
      <c r="F127" s="2" t="str">
        <f aca="false">INDEX(Segmentation!$G$2:$G$301,MATCH($A127,Segmentation!$A$2:$A$301,0))</f>
        <v>Low</v>
      </c>
      <c r="G127" s="2" t="str">
        <f aca="false">INDEX(Segmentation!$N$2:$N$301,MATCH($A127,Segmentation!$A$2:$A$301,0))</f>
        <v>Lapsed</v>
      </c>
      <c r="H127" s="9" t="n">
        <f aca="false">INDEX(Segmentation!$I$2:$I$301,MATCH($A127,Segmentation!$A$2:$A$301,0))</f>
        <v>443</v>
      </c>
      <c r="I127" s="2" t="n">
        <f aca="false">INDEX(Segmentation!$O$2:$O$301,MATCH($A127,Segmentation!$A$2:$A$301,0))</f>
        <v>1</v>
      </c>
      <c r="J127" s="2" t="n">
        <f aca="false">INDEX(Segmentation!$Q$2:$Q$301,MATCH($A127,Segmentation!$A$2:$A$301,0))</f>
        <v>1</v>
      </c>
      <c r="K127" s="2" t="n">
        <f aca="false">INDEX(Segmentation!$W$2:$W$301,MATCH($A127,Segmentation!$A$2:$A$301,0))</f>
        <v>1</v>
      </c>
      <c r="L127" s="9" t="n">
        <f aca="false">INDEX('Commercial View'!$L$2:$L$301,MATCH($A127,'Commercial View'!$A$2:$A$301,0))</f>
        <v>0</v>
      </c>
      <c r="M127" s="9" t="n">
        <f aca="false">INDEX('Commercial View'!$M$2:$M$301,MATCH($A127,'Commercial View'!$A$2:$A$301,0))</f>
        <v>0</v>
      </c>
      <c r="N127" s="9" t="n">
        <f aca="false">INDEX('Commercial View'!$N$2:$N$301,MATCH($A127,'Commercial View'!$A$2:$A$301,0))</f>
        <v>0</v>
      </c>
      <c r="O127" s="9" t="n">
        <f aca="false">INDEX(Segmentation!$L$2:$L$301,MATCH($A127,Segmentation!$A$2:$A$301,0))</f>
        <v>0</v>
      </c>
      <c r="P127" s="2" t="str">
        <f aca="false">IF(OR(M127&gt;0,N127&gt;0),"Recently Active",IF(OR(I127&lt;=Assumptions!$B$48,K127&lt;=Assumptions!$B$49),"No Meaningful History","Recent Inactivity"))</f>
        <v>No Meaningful History</v>
      </c>
      <c r="Q127" s="2" t="str">
        <f aca="false">INDEX(Segmentation!$AF$2:$AF$301,MATCH($A127,Segmentation!$A$2:$A$301,0))</f>
        <v>Existing Customer</v>
      </c>
      <c r="R127" s="2" t="str">
        <f aca="false">INDEX(Segmentation!$AL$2:$AL$301,MATCH($A127,Segmentation!$A$2:$A$301,0))</f>
        <v>One-Off / Insufficient History — Verify</v>
      </c>
      <c r="S127" s="10" t="b">
        <f aca="false">INDEX(Segmentation!$AW$2:$AW$301,MATCH($A127,Segmentation!$A$2:$A$301,0))</f>
        <v>0</v>
      </c>
      <c r="T127" s="2" t="str">
        <f aca="false">INDEX('Feature Data'!$AD$2:$AD$301,MATCH($A127,'Feature Data'!$A$2:$A$301,0))</f>
        <v>One-off low-touch buyer</v>
      </c>
      <c r="U127" s="2" t="str">
        <f aca="false">INDEX('Feature Data'!$W$2:$W$301,MATCH($A127,'Feature Data'!$A$2:$A$301,0))</f>
        <v>Handpick-only</v>
      </c>
      <c r="V127" s="2" t="n">
        <f aca="false">INDEX('Feature Data'!$P$2:$P$301,MATCH($A127,'Feature Data'!$A$2:$A$301,0))</f>
        <v>63</v>
      </c>
      <c r="W127" s="2" t="n">
        <f aca="false">INDEX(Segmentation!$R$2:$R$301,MATCH($A127,Segmentation!$A$2:$A$301,0))</f>
        <v>16</v>
      </c>
      <c r="X127" s="2" t="n">
        <f aca="false">INDEX(Segmentation!$S$2:$S$301,MATCH($A127,Segmentation!$A$2:$A$301,0))</f>
        <v>0</v>
      </c>
      <c r="Y127" s="10" t="b">
        <f aca="false">INDEX(Segmentation!$AG$2:$AG$301,MATCH($A127,Segmentation!$A$2:$A$301,0))</f>
        <v>0</v>
      </c>
      <c r="Z127" s="2" t="str">
        <f aca="false">INDEX(Segmentation!$AU$2:$AU$301,MATCH($A127,Segmentation!$A$2:$A$301,0))</f>
        <v>Not Eligible</v>
      </c>
      <c r="AA127" s="10" t="b">
        <f aca="false">INDEX(Segmentation!$Z$2:$Z$301,MATCH($A127,Segmentation!$A$2:$A$301,0))</f>
        <v>0</v>
      </c>
      <c r="AB127" s="10" t="b">
        <f aca="false">INDEX(Segmentation!$AH$2:$AH$301,MATCH($A127,Segmentation!$A$2:$A$301,0))</f>
        <v>0</v>
      </c>
      <c r="AC127" s="10" t="b">
        <f aca="false">INDEX(Segmentation!$AK$2:$AK$301,MATCH($A127,Segmentation!$A$2:$A$301,0))</f>
        <v>0</v>
      </c>
      <c r="AD127" s="10" t="b">
        <f aca="false">INDEX(Segmentation!$AQ$2:$AQ$301,MATCH($A127,Segmentation!$A$2:$A$301,0))</f>
        <v>0</v>
      </c>
      <c r="AE127" s="10" t="b">
        <f aca="false">INDEX(Segmentation!$AT$2:$AT$301,MATCH($A127,Segmentation!$A$2:$A$301,0))</f>
        <v>0</v>
      </c>
      <c r="AF127" s="10" t="b">
        <f aca="false">INDEX(Segmentation!$X$2:$X$301,MATCH($A127,Segmentation!$A$2:$A$301,0))</f>
        <v>1</v>
      </c>
      <c r="AG127" s="10" t="b">
        <f aca="false">AND(F127="Low",V127&gt;=Assumptions!$B$71,X127&lt;Assumptions!$B$72)</f>
        <v>1</v>
      </c>
      <c r="AH127" s="10" t="b">
        <f aca="false">AND(F127="Low",OR(G127="Growing",G127="Stable"),P127="Recently Active",V127&gt;=Assumptions!$B$58,K127&gt;=Assumptions!$B$73)</f>
        <v>0</v>
      </c>
      <c r="AI127" s="17" t="str">
        <f aca="false">IF(O127&gt;0,MAX(L127:N127)/O127,"")</f>
        <v/>
      </c>
      <c r="AJ127" s="2" t="str">
        <f aca="false">IF(LEFT(D127,1)="1",IF(E127="Key","MIGRATION_KEY_SIGNOFF",IF(Z127="Ready","MIGRATION_PHASE1_READY",IF(Z127="Manual Review","MIGRATION_PHASE1_REVIEW","MIGRATION_PRE_ENTRY"))),IF(LEFT(D127,1)="2","DECLINING_KEY_CORE",IF(LEFT(D127,1)="3",IF(R127="Established Buyer Lapsed","LAPSED_ESTABLISHED","LAPSED_THIN_HISTORY"),IF(LEFT(D127,1)="4",IF(Q127="New Customer","NEW_CUSTOMER","RETURNED_CUSTOMER"),IF(LEFT(D127,1)="5",IF(P127="Recently Active","COST_TO_SERVE_ACTIVE","DORMANT_LOW_VALUE"),IF(LEFT(D127,1)="6",IF(P127="Recent Inactivity","RECENT_INACTIVITY",IF(AG127,"BROWSING_LOW_OFFERS","HEALTHY_STRONG_SELF_SERVE")),IF(LEFT(D127,1)="7",IF(P127="Recent Inactivity","RECENT_INACTIVITY",IF(Q127="New Customer","NEW_CUSTOMER","RETURNED_CUSTOMER")),IF(LEFT(D127,1)="8",IF(G127="Declining",IF(T127="Engaged but shrinking (Key/Core)","ENGAGED_BUT_SHRINKING","DECLINING_KEY_CORE"),IF(R127="Established Buyer Lapsed","LAPSED_ESTABLISHED","LAPSED_THIN_HISTORY")),IF(S127,IF(P127&lt;&gt;"Recently Active","DORMANT_LOW_VALUE",IF(AG127,"BROWSING_LOW_OFFERS",IF(AH127,"RISING_TAIL","RISING_TAIL_EARLY"))),IF(AND(AG127,P127="Recently Active",OR(G127="Growing",G127="Stable",G127="H2 Active / No H1 GMV"),I127&gt;=Assumptions!$B$74),"BROWSING_LOW_OFFERS","LONG_TAIL_STANDARD"))))))))))</f>
        <v>LONG_TAIL_STANDARD</v>
      </c>
      <c r="AK127" s="2" t="str">
        <f aca="false">INDEX('NBA Library'!$B$4:$B$21,MATCH(AJ127,'NBA Library'!$A$4:$A$21,0))</f>
        <v>Automated Nurture</v>
      </c>
      <c r="AL127" s="2" t="str">
        <f aca="false">INDEX('NBA Library'!$C$4:$C$21,MATCH(AJ127,'NBA Library'!$A$4:$A$21,0))</f>
        <v>Automated</v>
      </c>
      <c r="AM127" s="2" t="str">
        <f aca="false">IF(AA127,"HOLD — Critical Data Issue",IF(Y127,"Human Sign-Off Required",IF(Z127="Manual Review","Human Review Required",IF(AND(AL127="Automated",OR(AE127,AND(OR(AK127="Discovery-to-Offer Enablement",AK127="Reinforce Successful Behaviour"),OR(AC127,AB127)))),"Human Review Required",IF(AL127="Human","Ready — Human",IF(AL127="Hybrid","Ready — Hybrid","Ready — Automated"))))))</f>
        <v>Ready — Automated</v>
      </c>
      <c r="AN127" s="2" t="str">
        <f aca="false">IF(AA127,"P0",IF(AND(AJ127="BROWSING_LOW_OFFERS",E127="Tail"),"P3",IF(AND(AM127="Human Review Required",INDEX('NBA Library'!$D$4:$D$21,MATCH(AJ127,'NBA Library'!$A$4:$A$21,0))="P4"),"P3",INDEX('NBA Library'!$D$4:$D$21,MATCH(AJ127,'NBA Library'!$A$4:$A$21,0)))))</f>
        <v>P4</v>
      </c>
      <c r="AO127" s="2" t="str">
        <f aca="false">E127&amp;" "&amp;C127&amp;" account ("&amp;B127&amp;"); "&amp;G127&amp;" momentum; "&amp;P127&amp;"; £"&amp;TEXT(H127,"#,##0")&amp;" 6m GMV. "&amp;INDEX('NBA Library'!$G$4:$G$21,MATCH(AJ127,'NBA Library'!$A$4:$A$21,0))&amp;IF(LEFT(D127,1)="1"," Baseline: "&amp;V127&amp;" PDP views, "&amp;W127&amp;" app days, "&amp;X127&amp;" offers, "&amp;TEXT(J127/I127,"0%")&amp;" of orders self-serve.","")&amp;IF(AA127," Execution on HOLD until the Duplicate status is resolved.","")&amp;IF(Y127," Key account: explicit AM/leadership sign-off required before any migration activity.","")&amp;IF(AE127," Implied broker % from order counts would move this account to a different segment; review before automating.","")</f>
        <v>Tail AM-Owned / Self-Serving account (Account Managed); Lapsed momentum; No Meaningful History; £443 6m GMV. Low-value, low-dependency account. Scalable automated engagement.</v>
      </c>
      <c r="AP127" s="2" t="str">
        <f aca="false">INDEX('NBA Library'!$E$4:$E$21,MATCH(AJ127,'NBA Library'!$A$4:$A$21,0))&amp;IF(AND(AJ127="NEW_CUSTOMER",AG127),"; introduce Make-an-Offer on items already browsed","")</f>
        <v>Scalable automated engagement matched to nurture sub-context</v>
      </c>
      <c r="AQ127" s="2" t="str">
        <f aca="false">INDEX('NBA Library'!$F$4:$F$21,MATCH(AJ127,'NBA Library'!$A$4:$A$21,0))</f>
        <v>Any repeat order within 90 days</v>
      </c>
      <c r="AR127" s="2" t="str">
        <f aca="false">IF(AND(F127="Low",OR(G127="Growing",G127="Stable"),P127="Recently Active",U127&lt;&gt;"Mixed",OR(AK127="Discovery-to-Offer Enablement",AK127="Reinforce Successful Behaviour"),AM127="Ready — Automated",OR(E127&lt;&gt;"Tail",S127)),"Range Expansion Test — trial "&amp;IF(U127="Bundle-only","handpick","bundles")&amp;" (experimental; not proven to lift GMV)","")</f>
        <v/>
      </c>
      <c r="AS127" s="2" t="str">
        <f aca="false">IF(AK127&lt;&gt;"Automated Nurture","",IF(AJ127="DORMANT_LOW_VALUE","Dormant",IF(AJ127="RISING_TAIL_EARLY","Rising tail – early pattern",IF(Q127="New Customer","New customer onboarding",IF(Q127="Returned Customer","Returned customer",IF(G127="Lapsed","Dormant",IF(T127="Engaged, not converting","Engaged, not converting",IF(T127="One-off low-touch buyer","One-off purchaser",IF(T127="Light-touch repeat buyer","Light-touch repeat buyer","Standard long tail")))))))))</f>
        <v>Dormant</v>
      </c>
      <c r="AT127" s="2" t="str">
        <f aca="false">IF(AA127,"CRITICAL_DATA_BLOCKER; ","")&amp;IF(Y127,"KEY_SIGNOFF; ","")&amp;IF(Z127="Manual Review","PHASE1_MANUAL_REVIEW; ","")&amp;IF(AND(LEFT(D127,1)="1",AZ127="Lumpy"),"LUMPY_CADENCE; ","")&amp;IF(AB127,"BORDERLINE_MOMENTUM; ","")&amp;IF(AC127,"FEB_SENSITIVE; ","")&amp;IF(AD127,"MATERIAL_BROKER_INCONSISTENCY"&amp;IF(AE127," (segment would change)","")&amp;"; ","")&amp;IF(AND(I127&gt;=3,O127&gt;0),IF(AI127&gt;=Assumptions!$B$75,"H2_SINGLE_MONTH_SPIKE; ",""),"")&amp;IF(AND(M127&gt;0,N127=0),"NO_FEB_GMV (Feb unconfirmed); ","")&amp;IF(AF127,"LOW_CONFIDENCE; ","")</f>
        <v>LOW_CONFIDENCE; </v>
      </c>
      <c r="AU127" s="2" t="str">
        <f aca="false">IF(LEFT(D127,1)="1",V127,"")</f>
        <v/>
      </c>
      <c r="AV127" s="2" t="str">
        <f aca="false">IF(LEFT(D127,1)="1",V127&gt;=Assumptions!$B$58,"")</f>
        <v/>
      </c>
      <c r="AW127" s="2" t="str">
        <f aca="false">IF(LEFT(D127,1)="1",W127,"")</f>
        <v/>
      </c>
      <c r="AX127" s="2" t="str">
        <f aca="false">IF(LEFT(D127,1)="1",X127,"")</f>
        <v/>
      </c>
      <c r="AY127" s="17" t="str">
        <f aca="false">IF(LEFT(D127,1)="1",J127/I127,"")</f>
        <v/>
      </c>
      <c r="AZ127" s="2" t="str">
        <f aca="false">IF(LEFT(D127,1)="1",IF(AND(K127&gt;=Assumptions!$B$83,I127&gt;=Assumptions!$B$84),"Regular","Lumpy"),"")</f>
        <v/>
      </c>
      <c r="BA127" s="2" t="str">
        <f aca="false">IF(LEFT(D127,1)="1",ROUND(6/K127,0),"")</f>
        <v/>
      </c>
      <c r="BB127" s="2" t="str">
        <f aca="false">IF(LEFT(D127,1)="1",IF(AZ127="Regular","Regular buyer: expected ~£"&amp;TEXT(H127/2,"#,##0")&amp;" per 90 days. At Risk if GMV to date &lt; "&amp;TEXT(Assumptions!$B$81,"0%")&amp;" of pro-rated expectation, checked from day "&amp;Assumptions!$B$82&amp;". Human-reviewed.","Irregular buyer ("&amp;I127&amp;" orders across "&amp;K127&amp;" months): no numeric GMV threshold. At Risk if no order within ~"&amp;BA127&amp;" month(s); AM reviews at day "&amp;Assumptions!$B$82&amp;" and "&amp;Assumptions!$B$85&amp;"."),"")</f>
        <v/>
      </c>
      <c r="BC127" s="2"/>
      <c r="BD127" s="2"/>
      <c r="BE127" s="2"/>
      <c r="BF127" s="2"/>
      <c r="BG127" s="2"/>
      <c r="BH127" s="2"/>
      <c r="BI127" s="2"/>
      <c r="BJ127" s="2" t="str">
        <f aca="false">IF(OR(NOT(LEFT(D127,1)="1"),BC127=""),"",IF(AZ127="Regular",AND(BC127&gt;=Assumptions!$B$82,N(BI127)&lt;Assumptions!$B$81*H127/180*BC127),AND(BC127&gt;=BA127*30,N(BG127)=0)))</f>
        <v/>
      </c>
      <c r="BK127" s="2" t="str">
        <f aca="false">IF(NOT(LEFT(D127,1)="1"),"N/A",IF(BC127="","Baseline",IF(BJ127,"At Risk",IF(AND(N(BD127)&gt;=Assumptions!$B$78,N(BE127)&gt;=Assumptions!$B$79,N(BH127)&gt;=1,N(BH127)/MAX(N(BG127),1)&gt;AY127),"Self-Serve Capability Demonstrated",IF(OR(N(BD127)&gt;=Assumptions!$B$76,N(BE127)&gt;=Assumptions!$B$77),"Progressing",IF(BC127&gt;=Assumptions!$B$85,"At Risk","Baseline"))))))</f>
        <v>N/A</v>
      </c>
      <c r="BL127" s="2" t="n">
        <f aca="false">(AND(C127="Broker-Reliant",OR(AK127="Discovery-to-Offer Enablement",AK127="Reinforce Successful Behaviour")))*1+(AND(G127="Declining",E127&lt;&gt;"Tail",AL127="Automated"))*1+(AND(Y127,AM127&lt;&gt;"Human Sign-Off Required"))*1+(AND(AA127,AM127&lt;&gt;"HOLD — Critical Data Issue"))*1+(AND(P127="Recent Inactivity",OR(AK127="Discovery-to-Offer Enablement",AK127="Reinforce Successful Behaviour")))*1+(AND(OR(LEFT(D127,1)="2",LEFT(D127,1)="3",LEFT(D127,1)="8"),AL127="Automated"))*1+((LEFT(D127,1)="1")&lt;&gt;(AK127="Guided Self-Serve Migration"))*1+(AND(AR127&lt;&gt;"",OR(F127&lt;&gt;"Low",U127="Mixed",AND(G127&lt;&gt;"Growing",G127&lt;&gt;"Stable"))))*1+ISNUMBER(SEARCH("chat",AP127))*1+ISNUMBER(SEARCH("video",AP127))*1+(AND(AA127,AL127="Automated",AM127&lt;&gt;"HOLD — Critical Data Issue"))*1</f>
        <v>0</v>
      </c>
    </row>
    <row r="128" customFormat="false" ht="15" hidden="false" customHeight="false" outlineLevel="0" collapsed="false">
      <c r="A128" s="2" t="s">
        <v>724</v>
      </c>
      <c r="B128" s="2" t="str">
        <f aca="false">INDEX(Segmentation!$B$2:$B$301,MATCH($A128,Segmentation!$A$2:$A$301,0))</f>
        <v>Account Managed</v>
      </c>
      <c r="C128" s="2" t="str">
        <f aca="false">INDEX(Segmentation!$H$2:$H$301,MATCH($A128,Segmentation!$A$2:$A$301,0))</f>
        <v>AM-Owned / Self-Serving</v>
      </c>
      <c r="D128" s="2" t="str">
        <f aca="false">INDEX(Segmentation!$T$2:$T$301,MATCH($A128,Segmentation!$A$2:$A$301,0))</f>
        <v>9. Long-Tail Automated Nurture</v>
      </c>
      <c r="E128" s="2" t="str">
        <f aca="false">INDEX(Segmentation!$J$2:$J$301,MATCH($A128,Segmentation!$A$2:$A$301,0))</f>
        <v>Tail</v>
      </c>
      <c r="F128" s="2" t="str">
        <f aca="false">INDEX(Segmentation!$G$2:$G$301,MATCH($A128,Segmentation!$A$2:$A$301,0))</f>
        <v>Low</v>
      </c>
      <c r="G128" s="2" t="str">
        <f aca="false">INDEX(Segmentation!$N$2:$N$301,MATCH($A128,Segmentation!$A$2:$A$301,0))</f>
        <v>Lapsed</v>
      </c>
      <c r="H128" s="9" t="n">
        <f aca="false">INDEX(Segmentation!$I$2:$I$301,MATCH($A128,Segmentation!$A$2:$A$301,0))</f>
        <v>392</v>
      </c>
      <c r="I128" s="2" t="n">
        <f aca="false">INDEX(Segmentation!$O$2:$O$301,MATCH($A128,Segmentation!$A$2:$A$301,0))</f>
        <v>1</v>
      </c>
      <c r="J128" s="2" t="n">
        <f aca="false">INDEX(Segmentation!$Q$2:$Q$301,MATCH($A128,Segmentation!$A$2:$A$301,0))</f>
        <v>1</v>
      </c>
      <c r="K128" s="2" t="n">
        <f aca="false">INDEX(Segmentation!$W$2:$W$301,MATCH($A128,Segmentation!$A$2:$A$301,0))</f>
        <v>1</v>
      </c>
      <c r="L128" s="9" t="n">
        <f aca="false">INDEX('Commercial View'!$L$2:$L$301,MATCH($A128,'Commercial View'!$A$2:$A$301,0))</f>
        <v>0</v>
      </c>
      <c r="M128" s="9" t="n">
        <f aca="false">INDEX('Commercial View'!$M$2:$M$301,MATCH($A128,'Commercial View'!$A$2:$A$301,0))</f>
        <v>0</v>
      </c>
      <c r="N128" s="9" t="n">
        <f aca="false">INDEX('Commercial View'!$N$2:$N$301,MATCH($A128,'Commercial View'!$A$2:$A$301,0))</f>
        <v>0</v>
      </c>
      <c r="O128" s="9" t="n">
        <f aca="false">INDEX(Segmentation!$L$2:$L$301,MATCH($A128,Segmentation!$A$2:$A$301,0))</f>
        <v>0</v>
      </c>
      <c r="P128" s="2" t="str">
        <f aca="false">IF(OR(M128&gt;0,N128&gt;0),"Recently Active",IF(OR(I128&lt;=Assumptions!$B$48,K128&lt;=Assumptions!$B$49),"No Meaningful History","Recent Inactivity"))</f>
        <v>No Meaningful History</v>
      </c>
      <c r="Q128" s="2" t="str">
        <f aca="false">INDEX(Segmentation!$AF$2:$AF$301,MATCH($A128,Segmentation!$A$2:$A$301,0))</f>
        <v>Existing Customer</v>
      </c>
      <c r="R128" s="2" t="str">
        <f aca="false">INDEX(Segmentation!$AL$2:$AL$301,MATCH($A128,Segmentation!$A$2:$A$301,0))</f>
        <v>One-Off / Insufficient History — Verify</v>
      </c>
      <c r="S128" s="10" t="b">
        <f aca="false">INDEX(Segmentation!$AW$2:$AW$301,MATCH($A128,Segmentation!$A$2:$A$301,0))</f>
        <v>0</v>
      </c>
      <c r="T128" s="2" t="str">
        <f aca="false">INDEX('Feature Data'!$AD$2:$AD$301,MATCH($A128,'Feature Data'!$A$2:$A$301,0))</f>
        <v>One-off low-touch buyer</v>
      </c>
      <c r="U128" s="2" t="str">
        <f aca="false">INDEX('Feature Data'!$W$2:$W$301,MATCH($A128,'Feature Data'!$A$2:$A$301,0))</f>
        <v>Bundle-only</v>
      </c>
      <c r="V128" s="2" t="n">
        <f aca="false">INDEX('Feature Data'!$P$2:$P$301,MATCH($A128,'Feature Data'!$A$2:$A$301,0))</f>
        <v>55</v>
      </c>
      <c r="W128" s="2" t="n">
        <f aca="false">INDEX(Segmentation!$R$2:$R$301,MATCH($A128,Segmentation!$A$2:$A$301,0))</f>
        <v>13</v>
      </c>
      <c r="X128" s="2" t="n">
        <f aca="false">INDEX(Segmentation!$S$2:$S$301,MATCH($A128,Segmentation!$A$2:$A$301,0))</f>
        <v>1</v>
      </c>
      <c r="Y128" s="10" t="b">
        <f aca="false">INDEX(Segmentation!$AG$2:$AG$301,MATCH($A128,Segmentation!$A$2:$A$301,0))</f>
        <v>0</v>
      </c>
      <c r="Z128" s="2" t="str">
        <f aca="false">INDEX(Segmentation!$AU$2:$AU$301,MATCH($A128,Segmentation!$A$2:$A$301,0))</f>
        <v>Not Eligible</v>
      </c>
      <c r="AA128" s="10" t="b">
        <f aca="false">INDEX(Segmentation!$Z$2:$Z$301,MATCH($A128,Segmentation!$A$2:$A$301,0))</f>
        <v>0</v>
      </c>
      <c r="AB128" s="10" t="b">
        <f aca="false">INDEX(Segmentation!$AH$2:$AH$301,MATCH($A128,Segmentation!$A$2:$A$301,0))</f>
        <v>0</v>
      </c>
      <c r="AC128" s="10" t="b">
        <f aca="false">INDEX(Segmentation!$AK$2:$AK$301,MATCH($A128,Segmentation!$A$2:$A$301,0))</f>
        <v>0</v>
      </c>
      <c r="AD128" s="10" t="b">
        <f aca="false">INDEX(Segmentation!$AQ$2:$AQ$301,MATCH($A128,Segmentation!$A$2:$A$301,0))</f>
        <v>0</v>
      </c>
      <c r="AE128" s="10" t="b">
        <f aca="false">INDEX(Segmentation!$AT$2:$AT$301,MATCH($A128,Segmentation!$A$2:$A$301,0))</f>
        <v>0</v>
      </c>
      <c r="AF128" s="10" t="b">
        <f aca="false">INDEX(Segmentation!$X$2:$X$301,MATCH($A128,Segmentation!$A$2:$A$301,0))</f>
        <v>1</v>
      </c>
      <c r="AG128" s="10" t="b">
        <f aca="false">AND(F128="Low",V128&gt;=Assumptions!$B$71,X128&lt;Assumptions!$B$72)</f>
        <v>1</v>
      </c>
      <c r="AH128" s="10" t="b">
        <f aca="false">AND(F128="Low",OR(G128="Growing",G128="Stable"),P128="Recently Active",V128&gt;=Assumptions!$B$58,K128&gt;=Assumptions!$B$73)</f>
        <v>0</v>
      </c>
      <c r="AI128" s="17" t="str">
        <f aca="false">IF(O128&gt;0,MAX(L128:N128)/O128,"")</f>
        <v/>
      </c>
      <c r="AJ128" s="2" t="str">
        <f aca="false">IF(LEFT(D128,1)="1",IF(E128="Key","MIGRATION_KEY_SIGNOFF",IF(Z128="Ready","MIGRATION_PHASE1_READY",IF(Z128="Manual Review","MIGRATION_PHASE1_REVIEW","MIGRATION_PRE_ENTRY"))),IF(LEFT(D128,1)="2","DECLINING_KEY_CORE",IF(LEFT(D128,1)="3",IF(R128="Established Buyer Lapsed","LAPSED_ESTABLISHED","LAPSED_THIN_HISTORY"),IF(LEFT(D128,1)="4",IF(Q128="New Customer","NEW_CUSTOMER","RETURNED_CUSTOMER"),IF(LEFT(D128,1)="5",IF(P128="Recently Active","COST_TO_SERVE_ACTIVE","DORMANT_LOW_VALUE"),IF(LEFT(D128,1)="6",IF(P128="Recent Inactivity","RECENT_INACTIVITY",IF(AG128,"BROWSING_LOW_OFFERS","HEALTHY_STRONG_SELF_SERVE")),IF(LEFT(D128,1)="7",IF(P128="Recent Inactivity","RECENT_INACTIVITY",IF(Q128="New Customer","NEW_CUSTOMER","RETURNED_CUSTOMER")),IF(LEFT(D128,1)="8",IF(G128="Declining",IF(T128="Engaged but shrinking (Key/Core)","ENGAGED_BUT_SHRINKING","DECLINING_KEY_CORE"),IF(R128="Established Buyer Lapsed","LAPSED_ESTABLISHED","LAPSED_THIN_HISTORY")),IF(S128,IF(P128&lt;&gt;"Recently Active","DORMANT_LOW_VALUE",IF(AG128,"BROWSING_LOW_OFFERS",IF(AH128,"RISING_TAIL","RISING_TAIL_EARLY"))),IF(AND(AG128,P128="Recently Active",OR(G128="Growing",G128="Stable",G128="H2 Active / No H1 GMV"),I128&gt;=Assumptions!$B$74),"BROWSING_LOW_OFFERS","LONG_TAIL_STANDARD"))))))))))</f>
        <v>LONG_TAIL_STANDARD</v>
      </c>
      <c r="AK128" s="2" t="str">
        <f aca="false">INDEX('NBA Library'!$B$4:$B$21,MATCH(AJ128,'NBA Library'!$A$4:$A$21,0))</f>
        <v>Automated Nurture</v>
      </c>
      <c r="AL128" s="2" t="str">
        <f aca="false">INDEX('NBA Library'!$C$4:$C$21,MATCH(AJ128,'NBA Library'!$A$4:$A$21,0))</f>
        <v>Automated</v>
      </c>
      <c r="AM128" s="2" t="str">
        <f aca="false">IF(AA128,"HOLD — Critical Data Issue",IF(Y128,"Human Sign-Off Required",IF(Z128="Manual Review","Human Review Required",IF(AND(AL128="Automated",OR(AE128,AND(OR(AK128="Discovery-to-Offer Enablement",AK128="Reinforce Successful Behaviour"),OR(AC128,AB128)))),"Human Review Required",IF(AL128="Human","Ready — Human",IF(AL128="Hybrid","Ready — Hybrid","Ready — Automated"))))))</f>
        <v>Ready — Automated</v>
      </c>
      <c r="AN128" s="2" t="str">
        <f aca="false">IF(AA128,"P0",IF(AND(AJ128="BROWSING_LOW_OFFERS",E128="Tail"),"P3",IF(AND(AM128="Human Review Required",INDEX('NBA Library'!$D$4:$D$21,MATCH(AJ128,'NBA Library'!$A$4:$A$21,0))="P4"),"P3",INDEX('NBA Library'!$D$4:$D$21,MATCH(AJ128,'NBA Library'!$A$4:$A$21,0)))))</f>
        <v>P4</v>
      </c>
      <c r="AO128" s="2" t="str">
        <f aca="false">E128&amp;" "&amp;C128&amp;" account ("&amp;B128&amp;"); "&amp;G128&amp;" momentum; "&amp;P128&amp;"; £"&amp;TEXT(H128,"#,##0")&amp;" 6m GMV. "&amp;INDEX('NBA Library'!$G$4:$G$21,MATCH(AJ128,'NBA Library'!$A$4:$A$21,0))&amp;IF(LEFT(D128,1)="1"," Baseline: "&amp;V128&amp;" PDP views, "&amp;W128&amp;" app days, "&amp;X128&amp;" offers, "&amp;TEXT(J128/I128,"0%")&amp;" of orders self-serve.","")&amp;IF(AA128," Execution on HOLD until the Duplicate status is resolved.","")&amp;IF(Y128," Key account: explicit AM/leadership sign-off required before any migration activity.","")&amp;IF(AE128," Implied broker % from order counts would move this account to a different segment; review before automating.","")</f>
        <v>Tail AM-Owned / Self-Serving account (Account Managed); Lapsed momentum; No Meaningful History; £392 6m GMV. Low-value, low-dependency account. Scalable automated engagement.</v>
      </c>
      <c r="AP128" s="2" t="str">
        <f aca="false">INDEX('NBA Library'!$E$4:$E$21,MATCH(AJ128,'NBA Library'!$A$4:$A$21,0))&amp;IF(AND(AJ128="NEW_CUSTOMER",AG128),"; introduce Make-an-Offer on items already browsed","")</f>
        <v>Scalable automated engagement matched to nurture sub-context</v>
      </c>
      <c r="AQ128" s="2" t="str">
        <f aca="false">INDEX('NBA Library'!$F$4:$F$21,MATCH(AJ128,'NBA Library'!$A$4:$A$21,0))</f>
        <v>Any repeat order within 90 days</v>
      </c>
      <c r="AR128" s="2" t="str">
        <f aca="false">IF(AND(F128="Low",OR(G128="Growing",G128="Stable"),P128="Recently Active",U128&lt;&gt;"Mixed",OR(AK128="Discovery-to-Offer Enablement",AK128="Reinforce Successful Behaviour"),AM128="Ready — Automated",OR(E128&lt;&gt;"Tail",S128)),"Range Expansion Test — trial "&amp;IF(U128="Bundle-only","handpick","bundles")&amp;" (experimental; not proven to lift GMV)","")</f>
        <v/>
      </c>
      <c r="AS128" s="2" t="str">
        <f aca="false">IF(AK128&lt;&gt;"Automated Nurture","",IF(AJ128="DORMANT_LOW_VALUE","Dormant",IF(AJ128="RISING_TAIL_EARLY","Rising tail – early pattern",IF(Q128="New Customer","New customer onboarding",IF(Q128="Returned Customer","Returned customer",IF(G128="Lapsed","Dormant",IF(T128="Engaged, not converting","Engaged, not converting",IF(T128="One-off low-touch buyer","One-off purchaser",IF(T128="Light-touch repeat buyer","Light-touch repeat buyer","Standard long tail")))))))))</f>
        <v>Dormant</v>
      </c>
      <c r="AT128" s="2" t="str">
        <f aca="false">IF(AA128,"CRITICAL_DATA_BLOCKER; ","")&amp;IF(Y128,"KEY_SIGNOFF; ","")&amp;IF(Z128="Manual Review","PHASE1_MANUAL_REVIEW; ","")&amp;IF(AND(LEFT(D128,1)="1",AZ128="Lumpy"),"LUMPY_CADENCE; ","")&amp;IF(AB128,"BORDERLINE_MOMENTUM; ","")&amp;IF(AC128,"FEB_SENSITIVE; ","")&amp;IF(AD128,"MATERIAL_BROKER_INCONSISTENCY"&amp;IF(AE128," (segment would change)","")&amp;"; ","")&amp;IF(AND(I128&gt;=3,O128&gt;0),IF(AI128&gt;=Assumptions!$B$75,"H2_SINGLE_MONTH_SPIKE; ",""),"")&amp;IF(AND(M128&gt;0,N128=0),"NO_FEB_GMV (Feb unconfirmed); ","")&amp;IF(AF128,"LOW_CONFIDENCE; ","")</f>
        <v>LOW_CONFIDENCE; </v>
      </c>
      <c r="AU128" s="2" t="str">
        <f aca="false">IF(LEFT(D128,1)="1",V128,"")</f>
        <v/>
      </c>
      <c r="AV128" s="2" t="str">
        <f aca="false">IF(LEFT(D128,1)="1",V128&gt;=Assumptions!$B$58,"")</f>
        <v/>
      </c>
      <c r="AW128" s="2" t="str">
        <f aca="false">IF(LEFT(D128,1)="1",W128,"")</f>
        <v/>
      </c>
      <c r="AX128" s="2" t="str">
        <f aca="false">IF(LEFT(D128,1)="1",X128,"")</f>
        <v/>
      </c>
      <c r="AY128" s="17" t="str">
        <f aca="false">IF(LEFT(D128,1)="1",J128/I128,"")</f>
        <v/>
      </c>
      <c r="AZ128" s="2" t="str">
        <f aca="false">IF(LEFT(D128,1)="1",IF(AND(K128&gt;=Assumptions!$B$83,I128&gt;=Assumptions!$B$84),"Regular","Lumpy"),"")</f>
        <v/>
      </c>
      <c r="BA128" s="2" t="str">
        <f aca="false">IF(LEFT(D128,1)="1",ROUND(6/K128,0),"")</f>
        <v/>
      </c>
      <c r="BB128" s="2" t="str">
        <f aca="false">IF(LEFT(D128,1)="1",IF(AZ128="Regular","Regular buyer: expected ~£"&amp;TEXT(H128/2,"#,##0")&amp;" per 90 days. At Risk if GMV to date &lt; "&amp;TEXT(Assumptions!$B$81,"0%")&amp;" of pro-rated expectation, checked from day "&amp;Assumptions!$B$82&amp;". Human-reviewed.","Irregular buyer ("&amp;I128&amp;" orders across "&amp;K128&amp;" months): no numeric GMV threshold. At Risk if no order within ~"&amp;BA128&amp;" month(s); AM reviews at day "&amp;Assumptions!$B$82&amp;" and "&amp;Assumptions!$B$85&amp;"."),"")</f>
        <v/>
      </c>
      <c r="BC128" s="2"/>
      <c r="BD128" s="2"/>
      <c r="BE128" s="2"/>
      <c r="BF128" s="2"/>
      <c r="BG128" s="2"/>
      <c r="BH128" s="2"/>
      <c r="BI128" s="2"/>
      <c r="BJ128" s="2" t="str">
        <f aca="false">IF(OR(NOT(LEFT(D128,1)="1"),BC128=""),"",IF(AZ128="Regular",AND(BC128&gt;=Assumptions!$B$82,N(BI128)&lt;Assumptions!$B$81*H128/180*BC128),AND(BC128&gt;=BA128*30,N(BG128)=0)))</f>
        <v/>
      </c>
      <c r="BK128" s="2" t="str">
        <f aca="false">IF(NOT(LEFT(D128,1)="1"),"N/A",IF(BC128="","Baseline",IF(BJ128,"At Risk",IF(AND(N(BD128)&gt;=Assumptions!$B$78,N(BE128)&gt;=Assumptions!$B$79,N(BH128)&gt;=1,N(BH128)/MAX(N(BG128),1)&gt;AY128),"Self-Serve Capability Demonstrated",IF(OR(N(BD128)&gt;=Assumptions!$B$76,N(BE128)&gt;=Assumptions!$B$77),"Progressing",IF(BC128&gt;=Assumptions!$B$85,"At Risk","Baseline"))))))</f>
        <v>N/A</v>
      </c>
      <c r="BL128" s="2" t="n">
        <f aca="false">(AND(C128="Broker-Reliant",OR(AK128="Discovery-to-Offer Enablement",AK128="Reinforce Successful Behaviour")))*1+(AND(G128="Declining",E128&lt;&gt;"Tail",AL128="Automated"))*1+(AND(Y128,AM128&lt;&gt;"Human Sign-Off Required"))*1+(AND(AA128,AM128&lt;&gt;"HOLD — Critical Data Issue"))*1+(AND(P128="Recent Inactivity",OR(AK128="Discovery-to-Offer Enablement",AK128="Reinforce Successful Behaviour")))*1+(AND(OR(LEFT(D128,1)="2",LEFT(D128,1)="3",LEFT(D128,1)="8"),AL128="Automated"))*1+((LEFT(D128,1)="1")&lt;&gt;(AK128="Guided Self-Serve Migration"))*1+(AND(AR128&lt;&gt;"",OR(F128&lt;&gt;"Low",U128="Mixed",AND(G128&lt;&gt;"Growing",G128&lt;&gt;"Stable"))))*1+ISNUMBER(SEARCH("chat",AP128))*1+ISNUMBER(SEARCH("video",AP128))*1+(AND(AA128,AL128="Automated",AM128&lt;&gt;"HOLD — Critical Data Issue"))*1</f>
        <v>0</v>
      </c>
    </row>
    <row r="129" customFormat="false" ht="15" hidden="false" customHeight="false" outlineLevel="0" collapsed="false">
      <c r="A129" s="2" t="s">
        <v>726</v>
      </c>
      <c r="B129" s="2" t="str">
        <f aca="false">INDEX(Segmentation!$B$2:$B$301,MATCH($A129,Segmentation!$A$2:$A$301,0))</f>
        <v>Account Managed</v>
      </c>
      <c r="C129" s="2" t="str">
        <f aca="false">INDEX(Segmentation!$H$2:$H$301,MATCH($A129,Segmentation!$A$2:$A$301,0))</f>
        <v>Broker-Reliant</v>
      </c>
      <c r="D129" s="2" t="str">
        <f aca="false">INDEX(Segmentation!$T$2:$T$301,MATCH($A129,Segmentation!$A$2:$A$301,0))</f>
        <v>5. Cost-to-Serve / Low-Touch</v>
      </c>
      <c r="E129" s="2" t="str">
        <f aca="false">INDEX(Segmentation!$J$2:$J$301,MATCH($A129,Segmentation!$A$2:$A$301,0))</f>
        <v>Tail</v>
      </c>
      <c r="F129" s="2" t="str">
        <f aca="false">INDEX(Segmentation!$G$2:$G$301,MATCH($A129,Segmentation!$A$2:$A$301,0))</f>
        <v>High</v>
      </c>
      <c r="G129" s="2" t="str">
        <f aca="false">INDEX(Segmentation!$N$2:$N$301,MATCH($A129,Segmentation!$A$2:$A$301,0))</f>
        <v>Lapsed</v>
      </c>
      <c r="H129" s="9" t="n">
        <f aca="false">INDEX(Segmentation!$I$2:$I$301,MATCH($A129,Segmentation!$A$2:$A$301,0))</f>
        <v>386</v>
      </c>
      <c r="I129" s="2" t="n">
        <f aca="false">INDEX(Segmentation!$O$2:$O$301,MATCH($A129,Segmentation!$A$2:$A$301,0))</f>
        <v>2</v>
      </c>
      <c r="J129" s="2" t="n">
        <f aca="false">INDEX(Segmentation!$Q$2:$Q$301,MATCH($A129,Segmentation!$A$2:$A$301,0))</f>
        <v>1</v>
      </c>
      <c r="K129" s="2" t="n">
        <f aca="false">INDEX(Segmentation!$W$2:$W$301,MATCH($A129,Segmentation!$A$2:$A$301,0))</f>
        <v>1</v>
      </c>
      <c r="L129" s="9" t="n">
        <f aca="false">INDEX('Commercial View'!$L$2:$L$301,MATCH($A129,'Commercial View'!$A$2:$A$301,0))</f>
        <v>0</v>
      </c>
      <c r="M129" s="9" t="n">
        <f aca="false">INDEX('Commercial View'!$M$2:$M$301,MATCH($A129,'Commercial View'!$A$2:$A$301,0))</f>
        <v>0</v>
      </c>
      <c r="N129" s="9" t="n">
        <f aca="false">INDEX('Commercial View'!$N$2:$N$301,MATCH($A129,'Commercial View'!$A$2:$A$301,0))</f>
        <v>0</v>
      </c>
      <c r="O129" s="9" t="n">
        <f aca="false">INDEX(Segmentation!$L$2:$L$301,MATCH($A129,Segmentation!$A$2:$A$301,0))</f>
        <v>0</v>
      </c>
      <c r="P129" s="2" t="str">
        <f aca="false">IF(OR(M129&gt;0,N129&gt;0),"Recently Active",IF(OR(I129&lt;=Assumptions!$B$48,K129&lt;=Assumptions!$B$49),"No Meaningful History","Recent Inactivity"))</f>
        <v>No Meaningful History</v>
      </c>
      <c r="Q129" s="2" t="str">
        <f aca="false">INDEX(Segmentation!$AF$2:$AF$301,MATCH($A129,Segmentation!$A$2:$A$301,0))</f>
        <v>Existing Customer</v>
      </c>
      <c r="R129" s="2" t="str">
        <f aca="false">INDEX(Segmentation!$AL$2:$AL$301,MATCH($A129,Segmentation!$A$2:$A$301,0))</f>
        <v>One-Off / Insufficient History — Verify</v>
      </c>
      <c r="S129" s="10" t="b">
        <f aca="false">INDEX(Segmentation!$AW$2:$AW$301,MATCH($A129,Segmentation!$A$2:$A$301,0))</f>
        <v>0</v>
      </c>
      <c r="T129" s="2" t="str">
        <f aca="false">INDEX('Feature Data'!$AD$2:$AD$301,MATCH($A129,'Feature Data'!$A$2:$A$301,0))</f>
        <v>Broker-led, product-blind</v>
      </c>
      <c r="U129" s="2" t="str">
        <f aca="false">INDEX('Feature Data'!$W$2:$W$301,MATCH($A129,'Feature Data'!$A$2:$A$301,0))</f>
        <v>Bundle-only</v>
      </c>
      <c r="V129" s="2" t="n">
        <f aca="false">INDEX('Feature Data'!$P$2:$P$301,MATCH($A129,'Feature Data'!$A$2:$A$301,0))</f>
        <v>1</v>
      </c>
      <c r="W129" s="2" t="n">
        <f aca="false">INDEX(Segmentation!$R$2:$R$301,MATCH($A129,Segmentation!$A$2:$A$301,0))</f>
        <v>7</v>
      </c>
      <c r="X129" s="2" t="n">
        <f aca="false">INDEX(Segmentation!$S$2:$S$301,MATCH($A129,Segmentation!$A$2:$A$301,0))</f>
        <v>1</v>
      </c>
      <c r="Y129" s="10" t="b">
        <f aca="false">INDEX(Segmentation!$AG$2:$AG$301,MATCH($A129,Segmentation!$A$2:$A$301,0))</f>
        <v>0</v>
      </c>
      <c r="Z129" s="2" t="str">
        <f aca="false">INDEX(Segmentation!$AU$2:$AU$301,MATCH($A129,Segmentation!$A$2:$A$301,0))</f>
        <v>Not Eligible</v>
      </c>
      <c r="AA129" s="10" t="b">
        <f aca="false">INDEX(Segmentation!$Z$2:$Z$301,MATCH($A129,Segmentation!$A$2:$A$301,0))</f>
        <v>0</v>
      </c>
      <c r="AB129" s="10" t="b">
        <f aca="false">INDEX(Segmentation!$AH$2:$AH$301,MATCH($A129,Segmentation!$A$2:$A$301,0))</f>
        <v>0</v>
      </c>
      <c r="AC129" s="10" t="b">
        <f aca="false">INDEX(Segmentation!$AK$2:$AK$301,MATCH($A129,Segmentation!$A$2:$A$301,0))</f>
        <v>0</v>
      </c>
      <c r="AD129" s="10" t="b">
        <f aca="false">INDEX(Segmentation!$AQ$2:$AQ$301,MATCH($A129,Segmentation!$A$2:$A$301,0))</f>
        <v>1</v>
      </c>
      <c r="AE129" s="10" t="b">
        <f aca="false">INDEX(Segmentation!$AT$2:$AT$301,MATCH($A129,Segmentation!$A$2:$A$301,0))</f>
        <v>0</v>
      </c>
      <c r="AF129" s="10" t="b">
        <f aca="false">INDEX(Segmentation!$X$2:$X$301,MATCH($A129,Segmentation!$A$2:$A$301,0))</f>
        <v>1</v>
      </c>
      <c r="AG129" s="10" t="b">
        <f aca="false">AND(F129="Low",V129&gt;=Assumptions!$B$71,X129&lt;Assumptions!$B$72)</f>
        <v>0</v>
      </c>
      <c r="AH129" s="10" t="b">
        <f aca="false">AND(F129="Low",OR(G129="Growing",G129="Stable"),P129="Recently Active",V129&gt;=Assumptions!$B$58,K129&gt;=Assumptions!$B$73)</f>
        <v>0</v>
      </c>
      <c r="AI129" s="17" t="str">
        <f aca="false">IF(O129&gt;0,MAX(L129:N129)/O129,"")</f>
        <v/>
      </c>
      <c r="AJ129" s="2" t="str">
        <f aca="false">IF(LEFT(D129,1)="1",IF(E129="Key","MIGRATION_KEY_SIGNOFF",IF(Z129="Ready","MIGRATION_PHASE1_READY",IF(Z129="Manual Review","MIGRATION_PHASE1_REVIEW","MIGRATION_PRE_ENTRY"))),IF(LEFT(D129,1)="2","DECLINING_KEY_CORE",IF(LEFT(D129,1)="3",IF(R129="Established Buyer Lapsed","LAPSED_ESTABLISHED","LAPSED_THIN_HISTORY"),IF(LEFT(D129,1)="4",IF(Q129="New Customer","NEW_CUSTOMER","RETURNED_CUSTOMER"),IF(LEFT(D129,1)="5",IF(P129="Recently Active","COST_TO_SERVE_ACTIVE","DORMANT_LOW_VALUE"),IF(LEFT(D129,1)="6",IF(P129="Recent Inactivity","RECENT_INACTIVITY",IF(AG129,"BROWSING_LOW_OFFERS","HEALTHY_STRONG_SELF_SERVE")),IF(LEFT(D129,1)="7",IF(P129="Recent Inactivity","RECENT_INACTIVITY",IF(Q129="New Customer","NEW_CUSTOMER","RETURNED_CUSTOMER")),IF(LEFT(D129,1)="8",IF(G129="Declining",IF(T129="Engaged but shrinking (Key/Core)","ENGAGED_BUT_SHRINKING","DECLINING_KEY_CORE"),IF(R129="Established Buyer Lapsed","LAPSED_ESTABLISHED","LAPSED_THIN_HISTORY")),IF(S129,IF(P129&lt;&gt;"Recently Active","DORMANT_LOW_VALUE",IF(AG129,"BROWSING_LOW_OFFERS",IF(AH129,"RISING_TAIL","RISING_TAIL_EARLY"))),IF(AND(AG129,P129="Recently Active",OR(G129="Growing",G129="Stable",G129="H2 Active / No H1 GMV"),I129&gt;=Assumptions!$B$74),"BROWSING_LOW_OFFERS","LONG_TAIL_STANDARD"))))))))))</f>
        <v>DORMANT_LOW_VALUE</v>
      </c>
      <c r="AK129" s="2" t="str">
        <f aca="false">INDEX('NBA Library'!$B$4:$B$21,MATCH(AJ129,'NBA Library'!$A$4:$A$21,0))</f>
        <v>Automated Nurture</v>
      </c>
      <c r="AL129" s="2" t="str">
        <f aca="false">INDEX('NBA Library'!$C$4:$C$21,MATCH(AJ129,'NBA Library'!$A$4:$A$21,0))</f>
        <v>Automated</v>
      </c>
      <c r="AM129" s="2" t="str">
        <f aca="false">IF(AA129,"HOLD — Critical Data Issue",IF(Y129,"Human Sign-Off Required",IF(Z129="Manual Review","Human Review Required",IF(AND(AL129="Automated",OR(AE129,AND(OR(AK129="Discovery-to-Offer Enablement",AK129="Reinforce Successful Behaviour"),OR(AC129,AB129)))),"Human Review Required",IF(AL129="Human","Ready — Human",IF(AL129="Hybrid","Ready — Hybrid","Ready — Automated"))))))</f>
        <v>Ready — Automated</v>
      </c>
      <c r="AN129" s="2" t="str">
        <f aca="false">IF(AA129,"P0",IF(AND(AJ129="BROWSING_LOW_OFFERS",E129="Tail"),"P3",IF(AND(AM129="Human Review Required",INDEX('NBA Library'!$D$4:$D$21,MATCH(AJ129,'NBA Library'!$A$4:$A$21,0))="P4"),"P3",INDEX('NBA Library'!$D$4:$D$21,MATCH(AJ129,'NBA Library'!$A$4:$A$21,0)))))</f>
        <v>P4</v>
      </c>
      <c r="AO129" s="2" t="str">
        <f aca="false">E129&amp;" "&amp;C129&amp;" account ("&amp;B129&amp;"); "&amp;G129&amp;" momentum; "&amp;P129&amp;"; £"&amp;TEXT(H129,"#,##0")&amp;" 6m GMV. "&amp;INDEX('NBA Library'!$G$4:$G$21,MATCH(AJ129,'NBA Library'!$A$4:$A$21,0))&amp;IF(LEFT(D129,1)="1"," Baseline: "&amp;V129&amp;" PDP views, "&amp;W129&amp;" app days, "&amp;X129&amp;" offers, "&amp;TEXT(J129/I129,"0%")&amp;" of orders self-serve.","")&amp;IF(AA129," Execution on HOLD until the Duplicate status is resolved.","")&amp;IF(Y129," Key account: explicit AM/leadership sign-off required before any migration activity.","")&amp;IF(AE129," Implied broker % from order counts would move this account to a different segment; review before automating.","")</f>
        <v>Tail Broker-Reliant account (Account Managed); Lapsed momentum; No Meaningful History; £386 6m GMV. Low-value account with no recent GMV. Avoid human time.</v>
      </c>
      <c r="AP129" s="2" t="str">
        <f aca="false">INDEX('NBA Library'!$E$4:$E$21,MATCH(AJ129,'NBA Library'!$A$4:$A$21,0))&amp;IF(AND(AJ129="NEW_CUSTOMER",AG129),"; introduce Make-an-Offer on items already browsed","")</f>
        <v>Automated reactivation only; no human time</v>
      </c>
      <c r="AQ129" s="2" t="str">
        <f aca="false">INDEX('NBA Library'!$F$4:$F$21,MATCH(AJ129,'NBA Library'!$A$4:$A$21,0))</f>
        <v>Any order within 90 days</v>
      </c>
      <c r="AR129" s="2" t="str">
        <f aca="false">IF(AND(F129="Low",OR(G129="Growing",G129="Stable"),P129="Recently Active",U129&lt;&gt;"Mixed",OR(AK129="Discovery-to-Offer Enablement",AK129="Reinforce Successful Behaviour"),AM129="Ready — Automated",OR(E129&lt;&gt;"Tail",S129)),"Range Expansion Test — trial "&amp;IF(U129="Bundle-only","handpick","bundles")&amp;" (experimental; not proven to lift GMV)","")</f>
        <v/>
      </c>
      <c r="AS129" s="2" t="str">
        <f aca="false">IF(AK129&lt;&gt;"Automated Nurture","",IF(AJ129="DORMANT_LOW_VALUE","Dormant",IF(AJ129="RISING_TAIL_EARLY","Rising tail – early pattern",IF(Q129="New Customer","New customer onboarding",IF(Q129="Returned Customer","Returned customer",IF(G129="Lapsed","Dormant",IF(T129="Engaged, not converting","Engaged, not converting",IF(T129="One-off low-touch buyer","One-off purchaser",IF(T129="Light-touch repeat buyer","Light-touch repeat buyer","Standard long tail")))))))))</f>
        <v>Dormant</v>
      </c>
      <c r="AT129" s="2" t="str">
        <f aca="false">IF(AA129,"CRITICAL_DATA_BLOCKER; ","")&amp;IF(Y129,"KEY_SIGNOFF; ","")&amp;IF(Z129="Manual Review","PHASE1_MANUAL_REVIEW; ","")&amp;IF(AND(LEFT(D129,1)="1",AZ129="Lumpy"),"LUMPY_CADENCE; ","")&amp;IF(AB129,"BORDERLINE_MOMENTUM; ","")&amp;IF(AC129,"FEB_SENSITIVE; ","")&amp;IF(AD129,"MATERIAL_BROKER_INCONSISTENCY"&amp;IF(AE129," (segment would change)","")&amp;"; ","")&amp;IF(AND(I129&gt;=3,O129&gt;0),IF(AI129&gt;=Assumptions!$B$75,"H2_SINGLE_MONTH_SPIKE; ",""),"")&amp;IF(AND(M129&gt;0,N129=0),"NO_FEB_GMV (Feb unconfirmed); ","")&amp;IF(AF129,"LOW_CONFIDENCE; ","")</f>
        <v>MATERIAL_BROKER_INCONSISTENCY; LOW_CONFIDENCE; </v>
      </c>
      <c r="AU129" s="2" t="str">
        <f aca="false">IF(LEFT(D129,1)="1",V129,"")</f>
        <v/>
      </c>
      <c r="AV129" s="2" t="str">
        <f aca="false">IF(LEFT(D129,1)="1",V129&gt;=Assumptions!$B$58,"")</f>
        <v/>
      </c>
      <c r="AW129" s="2" t="str">
        <f aca="false">IF(LEFT(D129,1)="1",W129,"")</f>
        <v/>
      </c>
      <c r="AX129" s="2" t="str">
        <f aca="false">IF(LEFT(D129,1)="1",X129,"")</f>
        <v/>
      </c>
      <c r="AY129" s="17" t="str">
        <f aca="false">IF(LEFT(D129,1)="1",J129/I129,"")</f>
        <v/>
      </c>
      <c r="AZ129" s="2" t="str">
        <f aca="false">IF(LEFT(D129,1)="1",IF(AND(K129&gt;=Assumptions!$B$83,I129&gt;=Assumptions!$B$84),"Regular","Lumpy"),"")</f>
        <v/>
      </c>
      <c r="BA129" s="2" t="str">
        <f aca="false">IF(LEFT(D129,1)="1",ROUND(6/K129,0),"")</f>
        <v/>
      </c>
      <c r="BB129" s="2" t="str">
        <f aca="false">IF(LEFT(D129,1)="1",IF(AZ129="Regular","Regular buyer: expected ~£"&amp;TEXT(H129/2,"#,##0")&amp;" per 90 days. At Risk if GMV to date &lt; "&amp;TEXT(Assumptions!$B$81,"0%")&amp;" of pro-rated expectation, checked from day "&amp;Assumptions!$B$82&amp;". Human-reviewed.","Irregular buyer ("&amp;I129&amp;" orders across "&amp;K129&amp;" months): no numeric GMV threshold. At Risk if no order within ~"&amp;BA129&amp;" month(s); AM reviews at day "&amp;Assumptions!$B$82&amp;" and "&amp;Assumptions!$B$85&amp;"."),"")</f>
        <v/>
      </c>
      <c r="BC129" s="2"/>
      <c r="BD129" s="2"/>
      <c r="BE129" s="2"/>
      <c r="BF129" s="2"/>
      <c r="BG129" s="2"/>
      <c r="BH129" s="2"/>
      <c r="BI129" s="2"/>
      <c r="BJ129" s="2" t="str">
        <f aca="false">IF(OR(NOT(LEFT(D129,1)="1"),BC129=""),"",IF(AZ129="Regular",AND(BC129&gt;=Assumptions!$B$82,N(BI129)&lt;Assumptions!$B$81*H129/180*BC129),AND(BC129&gt;=BA129*30,N(BG129)=0)))</f>
        <v/>
      </c>
      <c r="BK129" s="2" t="str">
        <f aca="false">IF(NOT(LEFT(D129,1)="1"),"N/A",IF(BC129="","Baseline",IF(BJ129,"At Risk",IF(AND(N(BD129)&gt;=Assumptions!$B$78,N(BE129)&gt;=Assumptions!$B$79,N(BH129)&gt;=1,N(BH129)/MAX(N(BG129),1)&gt;AY129),"Self-Serve Capability Demonstrated",IF(OR(N(BD129)&gt;=Assumptions!$B$76,N(BE129)&gt;=Assumptions!$B$77),"Progressing",IF(BC129&gt;=Assumptions!$B$85,"At Risk","Baseline"))))))</f>
        <v>N/A</v>
      </c>
      <c r="BL129" s="2" t="n">
        <f aca="false">(AND(C129="Broker-Reliant",OR(AK129="Discovery-to-Offer Enablement",AK129="Reinforce Successful Behaviour")))*1+(AND(G129="Declining",E129&lt;&gt;"Tail",AL129="Automated"))*1+(AND(Y129,AM129&lt;&gt;"Human Sign-Off Required"))*1+(AND(AA129,AM129&lt;&gt;"HOLD — Critical Data Issue"))*1+(AND(P129="Recent Inactivity",OR(AK129="Discovery-to-Offer Enablement",AK129="Reinforce Successful Behaviour")))*1+(AND(OR(LEFT(D129,1)="2",LEFT(D129,1)="3",LEFT(D129,1)="8"),AL129="Automated"))*1+((LEFT(D129,1)="1")&lt;&gt;(AK129="Guided Self-Serve Migration"))*1+(AND(AR129&lt;&gt;"",OR(F129&lt;&gt;"Low",U129="Mixed",AND(G129&lt;&gt;"Growing",G129&lt;&gt;"Stable"))))*1+ISNUMBER(SEARCH("chat",AP129))*1+ISNUMBER(SEARCH("video",AP129))*1+(AND(AA129,AL129="Automated",AM129&lt;&gt;"HOLD — Critical Data Issue"))*1</f>
        <v>0</v>
      </c>
    </row>
    <row r="130" customFormat="false" ht="15" hidden="false" customHeight="false" outlineLevel="0" collapsed="false">
      <c r="A130" s="2" t="s">
        <v>730</v>
      </c>
      <c r="B130" s="2" t="str">
        <f aca="false">INDEX(Segmentation!$B$2:$B$301,MATCH($A130,Segmentation!$A$2:$A$301,0))</f>
        <v>Account Managed</v>
      </c>
      <c r="C130" s="2" t="str">
        <f aca="false">INDEX(Segmentation!$H$2:$H$301,MATCH($A130,Segmentation!$A$2:$A$301,0))</f>
        <v>Broker-Reliant</v>
      </c>
      <c r="D130" s="2" t="str">
        <f aca="false">INDEX(Segmentation!$T$2:$T$301,MATCH($A130,Segmentation!$A$2:$A$301,0))</f>
        <v>5. Cost-to-Serve / Low-Touch</v>
      </c>
      <c r="E130" s="2" t="str">
        <f aca="false">INDEX(Segmentation!$J$2:$J$301,MATCH($A130,Segmentation!$A$2:$A$301,0))</f>
        <v>Tail</v>
      </c>
      <c r="F130" s="2" t="str">
        <f aca="false">INDEX(Segmentation!$G$2:$G$301,MATCH($A130,Segmentation!$A$2:$A$301,0))</f>
        <v>High</v>
      </c>
      <c r="G130" s="2" t="str">
        <f aca="false">INDEX(Segmentation!$N$2:$N$301,MATCH($A130,Segmentation!$A$2:$A$301,0))</f>
        <v>Lapsed</v>
      </c>
      <c r="H130" s="9" t="n">
        <f aca="false">INDEX(Segmentation!$I$2:$I$301,MATCH($A130,Segmentation!$A$2:$A$301,0))</f>
        <v>379</v>
      </c>
      <c r="I130" s="2" t="n">
        <f aca="false">INDEX(Segmentation!$O$2:$O$301,MATCH($A130,Segmentation!$A$2:$A$301,0))</f>
        <v>2</v>
      </c>
      <c r="J130" s="2" t="n">
        <f aca="false">INDEX(Segmentation!$Q$2:$Q$301,MATCH($A130,Segmentation!$A$2:$A$301,0))</f>
        <v>1</v>
      </c>
      <c r="K130" s="2" t="n">
        <f aca="false">INDEX(Segmentation!$W$2:$W$301,MATCH($A130,Segmentation!$A$2:$A$301,0))</f>
        <v>2</v>
      </c>
      <c r="L130" s="9" t="n">
        <f aca="false">INDEX('Commercial View'!$L$2:$L$301,MATCH($A130,'Commercial View'!$A$2:$A$301,0))</f>
        <v>0</v>
      </c>
      <c r="M130" s="9" t="n">
        <f aca="false">INDEX('Commercial View'!$M$2:$M$301,MATCH($A130,'Commercial View'!$A$2:$A$301,0))</f>
        <v>0</v>
      </c>
      <c r="N130" s="9" t="n">
        <f aca="false">INDEX('Commercial View'!$N$2:$N$301,MATCH($A130,'Commercial View'!$A$2:$A$301,0))</f>
        <v>0</v>
      </c>
      <c r="O130" s="9" t="n">
        <f aca="false">INDEX(Segmentation!$L$2:$L$301,MATCH($A130,Segmentation!$A$2:$A$301,0))</f>
        <v>0</v>
      </c>
      <c r="P130" s="2" t="str">
        <f aca="false">IF(OR(M130&gt;0,N130&gt;0),"Recently Active",IF(OR(I130&lt;=Assumptions!$B$48,K130&lt;=Assumptions!$B$49),"No Meaningful History","Recent Inactivity"))</f>
        <v>No Meaningful History</v>
      </c>
      <c r="Q130" s="2" t="str">
        <f aca="false">INDEX(Segmentation!$AF$2:$AF$301,MATCH($A130,Segmentation!$A$2:$A$301,0))</f>
        <v>Existing Customer</v>
      </c>
      <c r="R130" s="2" t="str">
        <f aca="false">INDEX(Segmentation!$AL$2:$AL$301,MATCH($A130,Segmentation!$A$2:$A$301,0))</f>
        <v>One-Off / Insufficient History — Verify</v>
      </c>
      <c r="S130" s="10" t="b">
        <f aca="false">INDEX(Segmentation!$AW$2:$AW$301,MATCH($A130,Segmentation!$A$2:$A$301,0))</f>
        <v>0</v>
      </c>
      <c r="T130" s="2" t="str">
        <f aca="false">INDEX('Feature Data'!$AD$2:$AD$301,MATCH($A130,'Feature Data'!$A$2:$A$301,0))</f>
        <v>Broker-led, product-blind</v>
      </c>
      <c r="U130" s="2" t="str">
        <f aca="false">INDEX('Feature Data'!$W$2:$W$301,MATCH($A130,'Feature Data'!$A$2:$A$301,0))</f>
        <v>Bundle-only</v>
      </c>
      <c r="V130" s="2" t="n">
        <f aca="false">INDEX('Feature Data'!$P$2:$P$301,MATCH($A130,'Feature Data'!$A$2:$A$301,0))</f>
        <v>6</v>
      </c>
      <c r="W130" s="2" t="n">
        <f aca="false">INDEX(Segmentation!$R$2:$R$301,MATCH($A130,Segmentation!$A$2:$A$301,0))</f>
        <v>4</v>
      </c>
      <c r="X130" s="2" t="n">
        <f aca="false">INDEX(Segmentation!$S$2:$S$301,MATCH($A130,Segmentation!$A$2:$A$301,0))</f>
        <v>1</v>
      </c>
      <c r="Y130" s="10" t="b">
        <f aca="false">INDEX(Segmentation!$AG$2:$AG$301,MATCH($A130,Segmentation!$A$2:$A$301,0))</f>
        <v>0</v>
      </c>
      <c r="Z130" s="2" t="str">
        <f aca="false">INDEX(Segmentation!$AU$2:$AU$301,MATCH($A130,Segmentation!$A$2:$A$301,0))</f>
        <v>Not Eligible</v>
      </c>
      <c r="AA130" s="10" t="b">
        <f aca="false">INDEX(Segmentation!$Z$2:$Z$301,MATCH($A130,Segmentation!$A$2:$A$301,0))</f>
        <v>0</v>
      </c>
      <c r="AB130" s="10" t="b">
        <f aca="false">INDEX(Segmentation!$AH$2:$AH$301,MATCH($A130,Segmentation!$A$2:$A$301,0))</f>
        <v>0</v>
      </c>
      <c r="AC130" s="10" t="b">
        <f aca="false">INDEX(Segmentation!$AK$2:$AK$301,MATCH($A130,Segmentation!$A$2:$A$301,0))</f>
        <v>0</v>
      </c>
      <c r="AD130" s="10" t="b">
        <f aca="false">INDEX(Segmentation!$AQ$2:$AQ$301,MATCH($A130,Segmentation!$A$2:$A$301,0))</f>
        <v>0</v>
      </c>
      <c r="AE130" s="10" t="b">
        <f aca="false">INDEX(Segmentation!$AT$2:$AT$301,MATCH($A130,Segmentation!$A$2:$A$301,0))</f>
        <v>0</v>
      </c>
      <c r="AF130" s="10" t="b">
        <f aca="false">INDEX(Segmentation!$X$2:$X$301,MATCH($A130,Segmentation!$A$2:$A$301,0))</f>
        <v>1</v>
      </c>
      <c r="AG130" s="10" t="b">
        <f aca="false">AND(F130="Low",V130&gt;=Assumptions!$B$71,X130&lt;Assumptions!$B$72)</f>
        <v>0</v>
      </c>
      <c r="AH130" s="10" t="b">
        <f aca="false">AND(F130="Low",OR(G130="Growing",G130="Stable"),P130="Recently Active",V130&gt;=Assumptions!$B$58,K130&gt;=Assumptions!$B$73)</f>
        <v>0</v>
      </c>
      <c r="AI130" s="17" t="str">
        <f aca="false">IF(O130&gt;0,MAX(L130:N130)/O130,"")</f>
        <v/>
      </c>
      <c r="AJ130" s="2" t="str">
        <f aca="false">IF(LEFT(D130,1)="1",IF(E130="Key","MIGRATION_KEY_SIGNOFF",IF(Z130="Ready","MIGRATION_PHASE1_READY",IF(Z130="Manual Review","MIGRATION_PHASE1_REVIEW","MIGRATION_PRE_ENTRY"))),IF(LEFT(D130,1)="2","DECLINING_KEY_CORE",IF(LEFT(D130,1)="3",IF(R130="Established Buyer Lapsed","LAPSED_ESTABLISHED","LAPSED_THIN_HISTORY"),IF(LEFT(D130,1)="4",IF(Q130="New Customer","NEW_CUSTOMER","RETURNED_CUSTOMER"),IF(LEFT(D130,1)="5",IF(P130="Recently Active","COST_TO_SERVE_ACTIVE","DORMANT_LOW_VALUE"),IF(LEFT(D130,1)="6",IF(P130="Recent Inactivity","RECENT_INACTIVITY",IF(AG130,"BROWSING_LOW_OFFERS","HEALTHY_STRONG_SELF_SERVE")),IF(LEFT(D130,1)="7",IF(P130="Recent Inactivity","RECENT_INACTIVITY",IF(Q130="New Customer","NEW_CUSTOMER","RETURNED_CUSTOMER")),IF(LEFT(D130,1)="8",IF(G130="Declining",IF(T130="Engaged but shrinking (Key/Core)","ENGAGED_BUT_SHRINKING","DECLINING_KEY_CORE"),IF(R130="Established Buyer Lapsed","LAPSED_ESTABLISHED","LAPSED_THIN_HISTORY")),IF(S130,IF(P130&lt;&gt;"Recently Active","DORMANT_LOW_VALUE",IF(AG130,"BROWSING_LOW_OFFERS",IF(AH130,"RISING_TAIL","RISING_TAIL_EARLY"))),IF(AND(AG130,P130="Recently Active",OR(G130="Growing",G130="Stable",G130="H2 Active / No H1 GMV"),I130&gt;=Assumptions!$B$74),"BROWSING_LOW_OFFERS","LONG_TAIL_STANDARD"))))))))))</f>
        <v>DORMANT_LOW_VALUE</v>
      </c>
      <c r="AK130" s="2" t="str">
        <f aca="false">INDEX('NBA Library'!$B$4:$B$21,MATCH(AJ130,'NBA Library'!$A$4:$A$21,0))</f>
        <v>Automated Nurture</v>
      </c>
      <c r="AL130" s="2" t="str">
        <f aca="false">INDEX('NBA Library'!$C$4:$C$21,MATCH(AJ130,'NBA Library'!$A$4:$A$21,0))</f>
        <v>Automated</v>
      </c>
      <c r="AM130" s="2" t="str">
        <f aca="false">IF(AA130,"HOLD — Critical Data Issue",IF(Y130,"Human Sign-Off Required",IF(Z130="Manual Review","Human Review Required",IF(AND(AL130="Automated",OR(AE130,AND(OR(AK130="Discovery-to-Offer Enablement",AK130="Reinforce Successful Behaviour"),OR(AC130,AB130)))),"Human Review Required",IF(AL130="Human","Ready — Human",IF(AL130="Hybrid","Ready — Hybrid","Ready — Automated"))))))</f>
        <v>Ready — Automated</v>
      </c>
      <c r="AN130" s="2" t="str">
        <f aca="false">IF(AA130,"P0",IF(AND(AJ130="BROWSING_LOW_OFFERS",E130="Tail"),"P3",IF(AND(AM130="Human Review Required",INDEX('NBA Library'!$D$4:$D$21,MATCH(AJ130,'NBA Library'!$A$4:$A$21,0))="P4"),"P3",INDEX('NBA Library'!$D$4:$D$21,MATCH(AJ130,'NBA Library'!$A$4:$A$21,0)))))</f>
        <v>P4</v>
      </c>
      <c r="AO130" s="2" t="str">
        <f aca="false">E130&amp;" "&amp;C130&amp;" account ("&amp;B130&amp;"); "&amp;G130&amp;" momentum; "&amp;P130&amp;"; £"&amp;TEXT(H130,"#,##0")&amp;" 6m GMV. "&amp;INDEX('NBA Library'!$G$4:$G$21,MATCH(AJ130,'NBA Library'!$A$4:$A$21,0))&amp;IF(LEFT(D130,1)="1"," Baseline: "&amp;V130&amp;" PDP views, "&amp;W130&amp;" app days, "&amp;X130&amp;" offers, "&amp;TEXT(J130/I130,"0%")&amp;" of orders self-serve.","")&amp;IF(AA130," Execution on HOLD until the Duplicate status is resolved.","")&amp;IF(Y130," Key account: explicit AM/leadership sign-off required before any migration activity.","")&amp;IF(AE130," Implied broker % from order counts would move this account to a different segment; review before automating.","")</f>
        <v>Tail Broker-Reliant account (Account Managed); Lapsed momentum; No Meaningful History; £379 6m GMV. Low-value account with no recent GMV. Avoid human time.</v>
      </c>
      <c r="AP130" s="2" t="str">
        <f aca="false">INDEX('NBA Library'!$E$4:$E$21,MATCH(AJ130,'NBA Library'!$A$4:$A$21,0))&amp;IF(AND(AJ130="NEW_CUSTOMER",AG130),"; introduce Make-an-Offer on items already browsed","")</f>
        <v>Automated reactivation only; no human time</v>
      </c>
      <c r="AQ130" s="2" t="str">
        <f aca="false">INDEX('NBA Library'!$F$4:$F$21,MATCH(AJ130,'NBA Library'!$A$4:$A$21,0))</f>
        <v>Any order within 90 days</v>
      </c>
      <c r="AR130" s="2" t="str">
        <f aca="false">IF(AND(F130="Low",OR(G130="Growing",G130="Stable"),P130="Recently Active",U130&lt;&gt;"Mixed",OR(AK130="Discovery-to-Offer Enablement",AK130="Reinforce Successful Behaviour"),AM130="Ready — Automated",OR(E130&lt;&gt;"Tail",S130)),"Range Expansion Test — trial "&amp;IF(U130="Bundle-only","handpick","bundles")&amp;" (experimental; not proven to lift GMV)","")</f>
        <v/>
      </c>
      <c r="AS130" s="2" t="str">
        <f aca="false">IF(AK130&lt;&gt;"Automated Nurture","",IF(AJ130="DORMANT_LOW_VALUE","Dormant",IF(AJ130="RISING_TAIL_EARLY","Rising tail – early pattern",IF(Q130="New Customer","New customer onboarding",IF(Q130="Returned Customer","Returned customer",IF(G130="Lapsed","Dormant",IF(T130="Engaged, not converting","Engaged, not converting",IF(T130="One-off low-touch buyer","One-off purchaser",IF(T130="Light-touch repeat buyer","Light-touch repeat buyer","Standard long tail")))))))))</f>
        <v>Dormant</v>
      </c>
      <c r="AT130" s="2" t="str">
        <f aca="false">IF(AA130,"CRITICAL_DATA_BLOCKER; ","")&amp;IF(Y130,"KEY_SIGNOFF; ","")&amp;IF(Z130="Manual Review","PHASE1_MANUAL_REVIEW; ","")&amp;IF(AND(LEFT(D130,1)="1",AZ130="Lumpy"),"LUMPY_CADENCE; ","")&amp;IF(AB130,"BORDERLINE_MOMENTUM; ","")&amp;IF(AC130,"FEB_SENSITIVE; ","")&amp;IF(AD130,"MATERIAL_BROKER_INCONSISTENCY"&amp;IF(AE130," (segment would change)","")&amp;"; ","")&amp;IF(AND(I130&gt;=3,O130&gt;0),IF(AI130&gt;=Assumptions!$B$75,"H2_SINGLE_MONTH_SPIKE; ",""),"")&amp;IF(AND(M130&gt;0,N130=0),"NO_FEB_GMV (Feb unconfirmed); ","")&amp;IF(AF130,"LOW_CONFIDENCE; ","")</f>
        <v>LOW_CONFIDENCE; </v>
      </c>
      <c r="AU130" s="2" t="str">
        <f aca="false">IF(LEFT(D130,1)="1",V130,"")</f>
        <v/>
      </c>
      <c r="AV130" s="2" t="str">
        <f aca="false">IF(LEFT(D130,1)="1",V130&gt;=Assumptions!$B$58,"")</f>
        <v/>
      </c>
      <c r="AW130" s="2" t="str">
        <f aca="false">IF(LEFT(D130,1)="1",W130,"")</f>
        <v/>
      </c>
      <c r="AX130" s="2" t="str">
        <f aca="false">IF(LEFT(D130,1)="1",X130,"")</f>
        <v/>
      </c>
      <c r="AY130" s="17" t="str">
        <f aca="false">IF(LEFT(D130,1)="1",J130/I130,"")</f>
        <v/>
      </c>
      <c r="AZ130" s="2" t="str">
        <f aca="false">IF(LEFT(D130,1)="1",IF(AND(K130&gt;=Assumptions!$B$83,I130&gt;=Assumptions!$B$84),"Regular","Lumpy"),"")</f>
        <v/>
      </c>
      <c r="BA130" s="2" t="str">
        <f aca="false">IF(LEFT(D130,1)="1",ROUND(6/K130,0),"")</f>
        <v/>
      </c>
      <c r="BB130" s="2" t="str">
        <f aca="false">IF(LEFT(D130,1)="1",IF(AZ130="Regular","Regular buyer: expected ~£"&amp;TEXT(H130/2,"#,##0")&amp;" per 90 days. At Risk if GMV to date &lt; "&amp;TEXT(Assumptions!$B$81,"0%")&amp;" of pro-rated expectation, checked from day "&amp;Assumptions!$B$82&amp;". Human-reviewed.","Irregular buyer ("&amp;I130&amp;" orders across "&amp;K130&amp;" months): no numeric GMV threshold. At Risk if no order within ~"&amp;BA130&amp;" month(s); AM reviews at day "&amp;Assumptions!$B$82&amp;" and "&amp;Assumptions!$B$85&amp;"."),"")</f>
        <v/>
      </c>
      <c r="BC130" s="2"/>
      <c r="BD130" s="2"/>
      <c r="BE130" s="2"/>
      <c r="BF130" s="2"/>
      <c r="BG130" s="2"/>
      <c r="BH130" s="2"/>
      <c r="BI130" s="2"/>
      <c r="BJ130" s="2" t="str">
        <f aca="false">IF(OR(NOT(LEFT(D130,1)="1"),BC130=""),"",IF(AZ130="Regular",AND(BC130&gt;=Assumptions!$B$82,N(BI130)&lt;Assumptions!$B$81*H130/180*BC130),AND(BC130&gt;=BA130*30,N(BG130)=0)))</f>
        <v/>
      </c>
      <c r="BK130" s="2" t="str">
        <f aca="false">IF(NOT(LEFT(D130,1)="1"),"N/A",IF(BC130="","Baseline",IF(BJ130,"At Risk",IF(AND(N(BD130)&gt;=Assumptions!$B$78,N(BE130)&gt;=Assumptions!$B$79,N(BH130)&gt;=1,N(BH130)/MAX(N(BG130),1)&gt;AY130),"Self-Serve Capability Demonstrated",IF(OR(N(BD130)&gt;=Assumptions!$B$76,N(BE130)&gt;=Assumptions!$B$77),"Progressing",IF(BC130&gt;=Assumptions!$B$85,"At Risk","Baseline"))))))</f>
        <v>N/A</v>
      </c>
      <c r="BL130" s="2" t="n">
        <f aca="false">(AND(C130="Broker-Reliant",OR(AK130="Discovery-to-Offer Enablement",AK130="Reinforce Successful Behaviour")))*1+(AND(G130="Declining",E130&lt;&gt;"Tail",AL130="Automated"))*1+(AND(Y130,AM130&lt;&gt;"Human Sign-Off Required"))*1+(AND(AA130,AM130&lt;&gt;"HOLD — Critical Data Issue"))*1+(AND(P130="Recent Inactivity",OR(AK130="Discovery-to-Offer Enablement",AK130="Reinforce Successful Behaviour")))*1+(AND(OR(LEFT(D130,1)="2",LEFT(D130,1)="3",LEFT(D130,1)="8"),AL130="Automated"))*1+((LEFT(D130,1)="1")&lt;&gt;(AK130="Guided Self-Serve Migration"))*1+(AND(AR130&lt;&gt;"",OR(F130&lt;&gt;"Low",U130="Mixed",AND(G130&lt;&gt;"Growing",G130&lt;&gt;"Stable"))))*1+ISNUMBER(SEARCH("chat",AP130))*1+ISNUMBER(SEARCH("video",AP130))*1+(AND(AA130,AL130="Automated",AM130&lt;&gt;"HOLD — Critical Data Issue"))*1</f>
        <v>0</v>
      </c>
    </row>
    <row r="131" customFormat="false" ht="15" hidden="false" customHeight="false" outlineLevel="0" collapsed="false">
      <c r="A131" s="2" t="s">
        <v>732</v>
      </c>
      <c r="B131" s="2" t="str">
        <f aca="false">INDEX(Segmentation!$B$2:$B$301,MATCH($A131,Segmentation!$A$2:$A$301,0))</f>
        <v>Account Managed</v>
      </c>
      <c r="C131" s="2" t="str">
        <f aca="false">INDEX(Segmentation!$H$2:$H$301,MATCH($A131,Segmentation!$A$2:$A$301,0))</f>
        <v>AM-Owned / Self-Serving</v>
      </c>
      <c r="D131" s="2" t="str">
        <f aca="false">INDEX(Segmentation!$T$2:$T$301,MATCH($A131,Segmentation!$A$2:$A$301,0))</f>
        <v>9. Long-Tail Automated Nurture</v>
      </c>
      <c r="E131" s="2" t="str">
        <f aca="false">INDEX(Segmentation!$J$2:$J$301,MATCH($A131,Segmentation!$A$2:$A$301,0))</f>
        <v>Tail</v>
      </c>
      <c r="F131" s="2" t="str">
        <f aca="false">INDEX(Segmentation!$G$2:$G$301,MATCH($A131,Segmentation!$A$2:$A$301,0))</f>
        <v>Low</v>
      </c>
      <c r="G131" s="2" t="str">
        <f aca="false">INDEX(Segmentation!$N$2:$N$301,MATCH($A131,Segmentation!$A$2:$A$301,0))</f>
        <v>Lapsed</v>
      </c>
      <c r="H131" s="9" t="n">
        <f aca="false">INDEX(Segmentation!$I$2:$I$301,MATCH($A131,Segmentation!$A$2:$A$301,0))</f>
        <v>377</v>
      </c>
      <c r="I131" s="2" t="n">
        <f aca="false">INDEX(Segmentation!$O$2:$O$301,MATCH($A131,Segmentation!$A$2:$A$301,0))</f>
        <v>1</v>
      </c>
      <c r="J131" s="2" t="n">
        <f aca="false">INDEX(Segmentation!$Q$2:$Q$301,MATCH($A131,Segmentation!$A$2:$A$301,0))</f>
        <v>1</v>
      </c>
      <c r="K131" s="2" t="n">
        <f aca="false">INDEX(Segmentation!$W$2:$W$301,MATCH($A131,Segmentation!$A$2:$A$301,0))</f>
        <v>1</v>
      </c>
      <c r="L131" s="9" t="n">
        <f aca="false">INDEX('Commercial View'!$L$2:$L$301,MATCH($A131,'Commercial View'!$A$2:$A$301,0))</f>
        <v>0</v>
      </c>
      <c r="M131" s="9" t="n">
        <f aca="false">INDEX('Commercial View'!$M$2:$M$301,MATCH($A131,'Commercial View'!$A$2:$A$301,0))</f>
        <v>0</v>
      </c>
      <c r="N131" s="9" t="n">
        <f aca="false">INDEX('Commercial View'!$N$2:$N$301,MATCH($A131,'Commercial View'!$A$2:$A$301,0))</f>
        <v>0</v>
      </c>
      <c r="O131" s="9" t="n">
        <f aca="false">INDEX(Segmentation!$L$2:$L$301,MATCH($A131,Segmentation!$A$2:$A$301,0))</f>
        <v>0</v>
      </c>
      <c r="P131" s="2" t="str">
        <f aca="false">IF(OR(M131&gt;0,N131&gt;0),"Recently Active",IF(OR(I131&lt;=Assumptions!$B$48,K131&lt;=Assumptions!$B$49),"No Meaningful History","Recent Inactivity"))</f>
        <v>No Meaningful History</v>
      </c>
      <c r="Q131" s="2" t="str">
        <f aca="false">INDEX(Segmentation!$AF$2:$AF$301,MATCH($A131,Segmentation!$A$2:$A$301,0))</f>
        <v>Existing Customer</v>
      </c>
      <c r="R131" s="2" t="str">
        <f aca="false">INDEX(Segmentation!$AL$2:$AL$301,MATCH($A131,Segmentation!$A$2:$A$301,0))</f>
        <v>One-Off / Insufficient History — Verify</v>
      </c>
      <c r="S131" s="10" t="b">
        <f aca="false">INDEX(Segmentation!$AW$2:$AW$301,MATCH($A131,Segmentation!$A$2:$A$301,0))</f>
        <v>0</v>
      </c>
      <c r="T131" s="2" t="str">
        <f aca="false">INDEX('Feature Data'!$AD$2:$AD$301,MATCH($A131,'Feature Data'!$A$2:$A$301,0))</f>
        <v>One-off low-touch buyer</v>
      </c>
      <c r="U131" s="2" t="str">
        <f aca="false">INDEX('Feature Data'!$W$2:$W$301,MATCH($A131,'Feature Data'!$A$2:$A$301,0))</f>
        <v>Handpick-only</v>
      </c>
      <c r="V131" s="2" t="n">
        <f aca="false">INDEX('Feature Data'!$P$2:$P$301,MATCH($A131,'Feature Data'!$A$2:$A$301,0))</f>
        <v>29</v>
      </c>
      <c r="W131" s="2" t="n">
        <f aca="false">INDEX(Segmentation!$R$2:$R$301,MATCH($A131,Segmentation!$A$2:$A$301,0))</f>
        <v>8</v>
      </c>
      <c r="X131" s="2" t="n">
        <f aca="false">INDEX(Segmentation!$S$2:$S$301,MATCH($A131,Segmentation!$A$2:$A$301,0))</f>
        <v>1</v>
      </c>
      <c r="Y131" s="10" t="b">
        <f aca="false">INDEX(Segmentation!$AG$2:$AG$301,MATCH($A131,Segmentation!$A$2:$A$301,0))</f>
        <v>0</v>
      </c>
      <c r="Z131" s="2" t="str">
        <f aca="false">INDEX(Segmentation!$AU$2:$AU$301,MATCH($A131,Segmentation!$A$2:$A$301,0))</f>
        <v>Not Eligible</v>
      </c>
      <c r="AA131" s="10" t="b">
        <f aca="false">INDEX(Segmentation!$Z$2:$Z$301,MATCH($A131,Segmentation!$A$2:$A$301,0))</f>
        <v>0</v>
      </c>
      <c r="AB131" s="10" t="b">
        <f aca="false">INDEX(Segmentation!$AH$2:$AH$301,MATCH($A131,Segmentation!$A$2:$A$301,0))</f>
        <v>0</v>
      </c>
      <c r="AC131" s="10" t="b">
        <f aca="false">INDEX(Segmentation!$AK$2:$AK$301,MATCH($A131,Segmentation!$A$2:$A$301,0))</f>
        <v>0</v>
      </c>
      <c r="AD131" s="10" t="b">
        <f aca="false">INDEX(Segmentation!$AQ$2:$AQ$301,MATCH($A131,Segmentation!$A$2:$A$301,0))</f>
        <v>0</v>
      </c>
      <c r="AE131" s="10" t="b">
        <f aca="false">INDEX(Segmentation!$AT$2:$AT$301,MATCH($A131,Segmentation!$A$2:$A$301,0))</f>
        <v>0</v>
      </c>
      <c r="AF131" s="10" t="b">
        <f aca="false">INDEX(Segmentation!$X$2:$X$301,MATCH($A131,Segmentation!$A$2:$A$301,0))</f>
        <v>1</v>
      </c>
      <c r="AG131" s="10" t="b">
        <f aca="false">AND(F131="Low",V131&gt;=Assumptions!$B$71,X131&lt;Assumptions!$B$72)</f>
        <v>0</v>
      </c>
      <c r="AH131" s="10" t="b">
        <f aca="false">AND(F131="Low",OR(G131="Growing",G131="Stable"),P131="Recently Active",V131&gt;=Assumptions!$B$58,K131&gt;=Assumptions!$B$73)</f>
        <v>0</v>
      </c>
      <c r="AI131" s="17" t="str">
        <f aca="false">IF(O131&gt;0,MAX(L131:N131)/O131,"")</f>
        <v/>
      </c>
      <c r="AJ131" s="2" t="str">
        <f aca="false">IF(LEFT(D131,1)="1",IF(E131="Key","MIGRATION_KEY_SIGNOFF",IF(Z131="Ready","MIGRATION_PHASE1_READY",IF(Z131="Manual Review","MIGRATION_PHASE1_REVIEW","MIGRATION_PRE_ENTRY"))),IF(LEFT(D131,1)="2","DECLINING_KEY_CORE",IF(LEFT(D131,1)="3",IF(R131="Established Buyer Lapsed","LAPSED_ESTABLISHED","LAPSED_THIN_HISTORY"),IF(LEFT(D131,1)="4",IF(Q131="New Customer","NEW_CUSTOMER","RETURNED_CUSTOMER"),IF(LEFT(D131,1)="5",IF(P131="Recently Active","COST_TO_SERVE_ACTIVE","DORMANT_LOW_VALUE"),IF(LEFT(D131,1)="6",IF(P131="Recent Inactivity","RECENT_INACTIVITY",IF(AG131,"BROWSING_LOW_OFFERS","HEALTHY_STRONG_SELF_SERVE")),IF(LEFT(D131,1)="7",IF(P131="Recent Inactivity","RECENT_INACTIVITY",IF(Q131="New Customer","NEW_CUSTOMER","RETURNED_CUSTOMER")),IF(LEFT(D131,1)="8",IF(G131="Declining",IF(T131="Engaged but shrinking (Key/Core)","ENGAGED_BUT_SHRINKING","DECLINING_KEY_CORE"),IF(R131="Established Buyer Lapsed","LAPSED_ESTABLISHED","LAPSED_THIN_HISTORY")),IF(S131,IF(P131&lt;&gt;"Recently Active","DORMANT_LOW_VALUE",IF(AG131,"BROWSING_LOW_OFFERS",IF(AH131,"RISING_TAIL","RISING_TAIL_EARLY"))),IF(AND(AG131,P131="Recently Active",OR(G131="Growing",G131="Stable",G131="H2 Active / No H1 GMV"),I131&gt;=Assumptions!$B$74),"BROWSING_LOW_OFFERS","LONG_TAIL_STANDARD"))))))))))</f>
        <v>LONG_TAIL_STANDARD</v>
      </c>
      <c r="AK131" s="2" t="str">
        <f aca="false">INDEX('NBA Library'!$B$4:$B$21,MATCH(AJ131,'NBA Library'!$A$4:$A$21,0))</f>
        <v>Automated Nurture</v>
      </c>
      <c r="AL131" s="2" t="str">
        <f aca="false">INDEX('NBA Library'!$C$4:$C$21,MATCH(AJ131,'NBA Library'!$A$4:$A$21,0))</f>
        <v>Automated</v>
      </c>
      <c r="AM131" s="2" t="str">
        <f aca="false">IF(AA131,"HOLD — Critical Data Issue",IF(Y131,"Human Sign-Off Required",IF(Z131="Manual Review","Human Review Required",IF(AND(AL131="Automated",OR(AE131,AND(OR(AK131="Discovery-to-Offer Enablement",AK131="Reinforce Successful Behaviour"),OR(AC131,AB131)))),"Human Review Required",IF(AL131="Human","Ready — Human",IF(AL131="Hybrid","Ready — Hybrid","Ready — Automated"))))))</f>
        <v>Ready — Automated</v>
      </c>
      <c r="AN131" s="2" t="str">
        <f aca="false">IF(AA131,"P0",IF(AND(AJ131="BROWSING_LOW_OFFERS",E131="Tail"),"P3",IF(AND(AM131="Human Review Required",INDEX('NBA Library'!$D$4:$D$21,MATCH(AJ131,'NBA Library'!$A$4:$A$21,0))="P4"),"P3",INDEX('NBA Library'!$D$4:$D$21,MATCH(AJ131,'NBA Library'!$A$4:$A$21,0)))))</f>
        <v>P4</v>
      </c>
      <c r="AO131" s="2" t="str">
        <f aca="false">E131&amp;" "&amp;C131&amp;" account ("&amp;B131&amp;"); "&amp;G131&amp;" momentum; "&amp;P131&amp;"; £"&amp;TEXT(H131,"#,##0")&amp;" 6m GMV. "&amp;INDEX('NBA Library'!$G$4:$G$21,MATCH(AJ131,'NBA Library'!$A$4:$A$21,0))&amp;IF(LEFT(D131,1)="1"," Baseline: "&amp;V131&amp;" PDP views, "&amp;W131&amp;" app days, "&amp;X131&amp;" offers, "&amp;TEXT(J131/I131,"0%")&amp;" of orders self-serve.","")&amp;IF(AA131," Execution on HOLD until the Duplicate status is resolved.","")&amp;IF(Y131," Key account: explicit AM/leadership sign-off required before any migration activity.","")&amp;IF(AE131," Implied broker % from order counts would move this account to a different segment; review before automating.","")</f>
        <v>Tail AM-Owned / Self-Serving account (Account Managed); Lapsed momentum; No Meaningful History; £377 6m GMV. Low-value, low-dependency account. Scalable automated engagement.</v>
      </c>
      <c r="AP131" s="2" t="str">
        <f aca="false">INDEX('NBA Library'!$E$4:$E$21,MATCH(AJ131,'NBA Library'!$A$4:$A$21,0))&amp;IF(AND(AJ131="NEW_CUSTOMER",AG131),"; introduce Make-an-Offer on items already browsed","")</f>
        <v>Scalable automated engagement matched to nurture sub-context</v>
      </c>
      <c r="AQ131" s="2" t="str">
        <f aca="false">INDEX('NBA Library'!$F$4:$F$21,MATCH(AJ131,'NBA Library'!$A$4:$A$21,0))</f>
        <v>Any repeat order within 90 days</v>
      </c>
      <c r="AR131" s="2" t="str">
        <f aca="false">IF(AND(F131="Low",OR(G131="Growing",G131="Stable"),P131="Recently Active",U131&lt;&gt;"Mixed",OR(AK131="Discovery-to-Offer Enablement",AK131="Reinforce Successful Behaviour"),AM131="Ready — Automated",OR(E131&lt;&gt;"Tail",S131)),"Range Expansion Test — trial "&amp;IF(U131="Bundle-only","handpick","bundles")&amp;" (experimental; not proven to lift GMV)","")</f>
        <v/>
      </c>
      <c r="AS131" s="2" t="str">
        <f aca="false">IF(AK131&lt;&gt;"Automated Nurture","",IF(AJ131="DORMANT_LOW_VALUE","Dormant",IF(AJ131="RISING_TAIL_EARLY","Rising tail – early pattern",IF(Q131="New Customer","New customer onboarding",IF(Q131="Returned Customer","Returned customer",IF(G131="Lapsed","Dormant",IF(T131="Engaged, not converting","Engaged, not converting",IF(T131="One-off low-touch buyer","One-off purchaser",IF(T131="Light-touch repeat buyer","Light-touch repeat buyer","Standard long tail")))))))))</f>
        <v>Dormant</v>
      </c>
      <c r="AT131" s="2" t="str">
        <f aca="false">IF(AA131,"CRITICAL_DATA_BLOCKER; ","")&amp;IF(Y131,"KEY_SIGNOFF; ","")&amp;IF(Z131="Manual Review","PHASE1_MANUAL_REVIEW; ","")&amp;IF(AND(LEFT(D131,1)="1",AZ131="Lumpy"),"LUMPY_CADENCE; ","")&amp;IF(AB131,"BORDERLINE_MOMENTUM; ","")&amp;IF(AC131,"FEB_SENSITIVE; ","")&amp;IF(AD131,"MATERIAL_BROKER_INCONSISTENCY"&amp;IF(AE131," (segment would change)","")&amp;"; ","")&amp;IF(AND(I131&gt;=3,O131&gt;0),IF(AI131&gt;=Assumptions!$B$75,"H2_SINGLE_MONTH_SPIKE; ",""),"")&amp;IF(AND(M131&gt;0,N131=0),"NO_FEB_GMV (Feb unconfirmed); ","")&amp;IF(AF131,"LOW_CONFIDENCE; ","")</f>
        <v>LOW_CONFIDENCE; </v>
      </c>
      <c r="AU131" s="2" t="str">
        <f aca="false">IF(LEFT(D131,1)="1",V131,"")</f>
        <v/>
      </c>
      <c r="AV131" s="2" t="str">
        <f aca="false">IF(LEFT(D131,1)="1",V131&gt;=Assumptions!$B$58,"")</f>
        <v/>
      </c>
      <c r="AW131" s="2" t="str">
        <f aca="false">IF(LEFT(D131,1)="1",W131,"")</f>
        <v/>
      </c>
      <c r="AX131" s="2" t="str">
        <f aca="false">IF(LEFT(D131,1)="1",X131,"")</f>
        <v/>
      </c>
      <c r="AY131" s="17" t="str">
        <f aca="false">IF(LEFT(D131,1)="1",J131/I131,"")</f>
        <v/>
      </c>
      <c r="AZ131" s="2" t="str">
        <f aca="false">IF(LEFT(D131,1)="1",IF(AND(K131&gt;=Assumptions!$B$83,I131&gt;=Assumptions!$B$84),"Regular","Lumpy"),"")</f>
        <v/>
      </c>
      <c r="BA131" s="2" t="str">
        <f aca="false">IF(LEFT(D131,1)="1",ROUND(6/K131,0),"")</f>
        <v/>
      </c>
      <c r="BB131" s="2" t="str">
        <f aca="false">IF(LEFT(D131,1)="1",IF(AZ131="Regular","Regular buyer: expected ~£"&amp;TEXT(H131/2,"#,##0")&amp;" per 90 days. At Risk if GMV to date &lt; "&amp;TEXT(Assumptions!$B$81,"0%")&amp;" of pro-rated expectation, checked from day "&amp;Assumptions!$B$82&amp;". Human-reviewed.","Irregular buyer ("&amp;I131&amp;" orders across "&amp;K131&amp;" months): no numeric GMV threshold. At Risk if no order within ~"&amp;BA131&amp;" month(s); AM reviews at day "&amp;Assumptions!$B$82&amp;" and "&amp;Assumptions!$B$85&amp;"."),"")</f>
        <v/>
      </c>
      <c r="BC131" s="2"/>
      <c r="BD131" s="2"/>
      <c r="BE131" s="2"/>
      <c r="BF131" s="2"/>
      <c r="BG131" s="2"/>
      <c r="BH131" s="2"/>
      <c r="BI131" s="2"/>
      <c r="BJ131" s="2" t="str">
        <f aca="false">IF(OR(NOT(LEFT(D131,1)="1"),BC131=""),"",IF(AZ131="Regular",AND(BC131&gt;=Assumptions!$B$82,N(BI131)&lt;Assumptions!$B$81*H131/180*BC131),AND(BC131&gt;=BA131*30,N(BG131)=0)))</f>
        <v/>
      </c>
      <c r="BK131" s="2" t="str">
        <f aca="false">IF(NOT(LEFT(D131,1)="1"),"N/A",IF(BC131="","Baseline",IF(BJ131,"At Risk",IF(AND(N(BD131)&gt;=Assumptions!$B$78,N(BE131)&gt;=Assumptions!$B$79,N(BH131)&gt;=1,N(BH131)/MAX(N(BG131),1)&gt;AY131),"Self-Serve Capability Demonstrated",IF(OR(N(BD131)&gt;=Assumptions!$B$76,N(BE131)&gt;=Assumptions!$B$77),"Progressing",IF(BC131&gt;=Assumptions!$B$85,"At Risk","Baseline"))))))</f>
        <v>N/A</v>
      </c>
      <c r="BL131" s="2" t="n">
        <f aca="false">(AND(C131="Broker-Reliant",OR(AK131="Discovery-to-Offer Enablement",AK131="Reinforce Successful Behaviour")))*1+(AND(G131="Declining",E131&lt;&gt;"Tail",AL131="Automated"))*1+(AND(Y131,AM131&lt;&gt;"Human Sign-Off Required"))*1+(AND(AA131,AM131&lt;&gt;"HOLD — Critical Data Issue"))*1+(AND(P131="Recent Inactivity",OR(AK131="Discovery-to-Offer Enablement",AK131="Reinforce Successful Behaviour")))*1+(AND(OR(LEFT(D131,1)="2",LEFT(D131,1)="3",LEFT(D131,1)="8"),AL131="Automated"))*1+((LEFT(D131,1)="1")&lt;&gt;(AK131="Guided Self-Serve Migration"))*1+(AND(AR131&lt;&gt;"",OR(F131&lt;&gt;"Low",U131="Mixed",AND(G131&lt;&gt;"Growing",G131&lt;&gt;"Stable"))))*1+ISNUMBER(SEARCH("chat",AP131))*1+ISNUMBER(SEARCH("video",AP131))*1+(AND(AA131,AL131="Automated",AM131&lt;&gt;"HOLD — Critical Data Issue"))*1</f>
        <v>0</v>
      </c>
    </row>
    <row r="132" customFormat="false" ht="15" hidden="false" customHeight="false" outlineLevel="0" collapsed="false">
      <c r="A132" s="2" t="s">
        <v>738</v>
      </c>
      <c r="B132" s="2" t="str">
        <f aca="false">INDEX(Segmentation!$B$2:$B$301,MATCH($A132,Segmentation!$A$2:$A$301,0))</f>
        <v>Account Managed</v>
      </c>
      <c r="C132" s="2" t="str">
        <f aca="false">INDEX(Segmentation!$H$2:$H$301,MATCH($A132,Segmentation!$A$2:$A$301,0))</f>
        <v>AM-Owned / Self-Serving</v>
      </c>
      <c r="D132" s="2" t="str">
        <f aca="false">INDEX(Segmentation!$T$2:$T$301,MATCH($A132,Segmentation!$A$2:$A$301,0))</f>
        <v>9. Long-Tail Automated Nurture</v>
      </c>
      <c r="E132" s="2" t="str">
        <f aca="false">INDEX(Segmentation!$J$2:$J$301,MATCH($A132,Segmentation!$A$2:$A$301,0))</f>
        <v>Tail</v>
      </c>
      <c r="F132" s="2" t="str">
        <f aca="false">INDEX(Segmentation!$G$2:$G$301,MATCH($A132,Segmentation!$A$2:$A$301,0))</f>
        <v>Low</v>
      </c>
      <c r="G132" s="2" t="str">
        <f aca="false">INDEX(Segmentation!$N$2:$N$301,MATCH($A132,Segmentation!$A$2:$A$301,0))</f>
        <v>H2 Active / No H1 GMV</v>
      </c>
      <c r="H132" s="9" t="n">
        <f aca="false">INDEX(Segmentation!$I$2:$I$301,MATCH($A132,Segmentation!$A$2:$A$301,0))</f>
        <v>363</v>
      </c>
      <c r="I132" s="2" t="n">
        <f aca="false">INDEX(Segmentation!$O$2:$O$301,MATCH($A132,Segmentation!$A$2:$A$301,0))</f>
        <v>1</v>
      </c>
      <c r="J132" s="2" t="n">
        <f aca="false">INDEX(Segmentation!$Q$2:$Q$301,MATCH($A132,Segmentation!$A$2:$A$301,0))</f>
        <v>1</v>
      </c>
      <c r="K132" s="2" t="n">
        <f aca="false">INDEX(Segmentation!$W$2:$W$301,MATCH($A132,Segmentation!$A$2:$A$301,0))</f>
        <v>1</v>
      </c>
      <c r="L132" s="9" t="n">
        <f aca="false">INDEX('Commercial View'!$L$2:$L$301,MATCH($A132,'Commercial View'!$A$2:$A$301,0))</f>
        <v>0</v>
      </c>
      <c r="M132" s="9" t="n">
        <f aca="false">INDEX('Commercial View'!$M$2:$M$301,MATCH($A132,'Commercial View'!$A$2:$A$301,0))</f>
        <v>363</v>
      </c>
      <c r="N132" s="9" t="n">
        <f aca="false">INDEX('Commercial View'!$N$2:$N$301,MATCH($A132,'Commercial View'!$A$2:$A$301,0))</f>
        <v>0</v>
      </c>
      <c r="O132" s="9" t="n">
        <f aca="false">INDEX(Segmentation!$L$2:$L$301,MATCH($A132,Segmentation!$A$2:$A$301,0))</f>
        <v>363</v>
      </c>
      <c r="P132" s="2" t="str">
        <f aca="false">IF(OR(M132&gt;0,N132&gt;0),"Recently Active",IF(OR(I132&lt;=Assumptions!$B$48,K132&lt;=Assumptions!$B$49),"No Meaningful History","Recent Inactivity"))</f>
        <v>Recently Active</v>
      </c>
      <c r="Q132" s="2" t="str">
        <f aca="false">INDEX(Segmentation!$AF$2:$AF$301,MATCH($A132,Segmentation!$A$2:$A$301,0))</f>
        <v>Returned Customer</v>
      </c>
      <c r="R132" s="2" t="str">
        <f aca="false">INDEX(Segmentation!$AL$2:$AL$301,MATCH($A132,Segmentation!$A$2:$A$301,0))</f>
        <v>N/A</v>
      </c>
      <c r="S132" s="10" t="b">
        <f aca="false">INDEX(Segmentation!$AW$2:$AW$301,MATCH($A132,Segmentation!$A$2:$A$301,0))</f>
        <v>0</v>
      </c>
      <c r="T132" s="2" t="str">
        <f aca="false">INDEX('Feature Data'!$AD$2:$AD$301,MATCH($A132,'Feature Data'!$A$2:$A$301,0))</f>
        <v>One-off low-touch buyer</v>
      </c>
      <c r="U132" s="2" t="str">
        <f aca="false">INDEX('Feature Data'!$W$2:$W$301,MATCH($A132,'Feature Data'!$A$2:$A$301,0))</f>
        <v>Handpick-only</v>
      </c>
      <c r="V132" s="2" t="n">
        <f aca="false">INDEX('Feature Data'!$P$2:$P$301,MATCH($A132,'Feature Data'!$A$2:$A$301,0))</f>
        <v>113</v>
      </c>
      <c r="W132" s="2" t="n">
        <f aca="false">INDEX(Segmentation!$R$2:$R$301,MATCH($A132,Segmentation!$A$2:$A$301,0))</f>
        <v>10</v>
      </c>
      <c r="X132" s="2" t="n">
        <f aca="false">INDEX(Segmentation!$S$2:$S$301,MATCH($A132,Segmentation!$A$2:$A$301,0))</f>
        <v>0</v>
      </c>
      <c r="Y132" s="10" t="b">
        <f aca="false">INDEX(Segmentation!$AG$2:$AG$301,MATCH($A132,Segmentation!$A$2:$A$301,0))</f>
        <v>0</v>
      </c>
      <c r="Z132" s="2" t="str">
        <f aca="false">INDEX(Segmentation!$AU$2:$AU$301,MATCH($A132,Segmentation!$A$2:$A$301,0))</f>
        <v>Not Eligible</v>
      </c>
      <c r="AA132" s="10" t="b">
        <f aca="false">INDEX(Segmentation!$Z$2:$Z$301,MATCH($A132,Segmentation!$A$2:$A$301,0))</f>
        <v>0</v>
      </c>
      <c r="AB132" s="10" t="b">
        <f aca="false">INDEX(Segmentation!$AH$2:$AH$301,MATCH($A132,Segmentation!$A$2:$A$301,0))</f>
        <v>0</v>
      </c>
      <c r="AC132" s="10" t="b">
        <f aca="false">INDEX(Segmentation!$AK$2:$AK$301,MATCH($A132,Segmentation!$A$2:$A$301,0))</f>
        <v>0</v>
      </c>
      <c r="AD132" s="10" t="b">
        <f aca="false">INDEX(Segmentation!$AQ$2:$AQ$301,MATCH($A132,Segmentation!$A$2:$A$301,0))</f>
        <v>0</v>
      </c>
      <c r="AE132" s="10" t="b">
        <f aca="false">INDEX(Segmentation!$AT$2:$AT$301,MATCH($A132,Segmentation!$A$2:$A$301,0))</f>
        <v>0</v>
      </c>
      <c r="AF132" s="10" t="b">
        <f aca="false">INDEX(Segmentation!$X$2:$X$301,MATCH($A132,Segmentation!$A$2:$A$301,0))</f>
        <v>1</v>
      </c>
      <c r="AG132" s="10" t="b">
        <f aca="false">AND(F132="Low",V132&gt;=Assumptions!$B$71,X132&lt;Assumptions!$B$72)</f>
        <v>1</v>
      </c>
      <c r="AH132" s="10" t="b">
        <f aca="false">AND(F132="Low",OR(G132="Growing",G132="Stable"),P132="Recently Active",V132&gt;=Assumptions!$B$58,K132&gt;=Assumptions!$B$73)</f>
        <v>0</v>
      </c>
      <c r="AI132" s="17" t="n">
        <f aca="false">IF(O132&gt;0,MAX(L132:N132)/O132,"")</f>
        <v>1</v>
      </c>
      <c r="AJ132" s="2" t="str">
        <f aca="false">IF(LEFT(D132,1)="1",IF(E132="Key","MIGRATION_KEY_SIGNOFF",IF(Z132="Ready","MIGRATION_PHASE1_READY",IF(Z132="Manual Review","MIGRATION_PHASE1_REVIEW","MIGRATION_PRE_ENTRY"))),IF(LEFT(D132,1)="2","DECLINING_KEY_CORE",IF(LEFT(D132,1)="3",IF(R132="Established Buyer Lapsed","LAPSED_ESTABLISHED","LAPSED_THIN_HISTORY"),IF(LEFT(D132,1)="4",IF(Q132="New Customer","NEW_CUSTOMER","RETURNED_CUSTOMER"),IF(LEFT(D132,1)="5",IF(P132="Recently Active","COST_TO_SERVE_ACTIVE","DORMANT_LOW_VALUE"),IF(LEFT(D132,1)="6",IF(P132="Recent Inactivity","RECENT_INACTIVITY",IF(AG132,"BROWSING_LOW_OFFERS","HEALTHY_STRONG_SELF_SERVE")),IF(LEFT(D132,1)="7",IF(P132="Recent Inactivity","RECENT_INACTIVITY",IF(Q132="New Customer","NEW_CUSTOMER","RETURNED_CUSTOMER")),IF(LEFT(D132,1)="8",IF(G132="Declining",IF(T132="Engaged but shrinking (Key/Core)","ENGAGED_BUT_SHRINKING","DECLINING_KEY_CORE"),IF(R132="Established Buyer Lapsed","LAPSED_ESTABLISHED","LAPSED_THIN_HISTORY")),IF(S132,IF(P132&lt;&gt;"Recently Active","DORMANT_LOW_VALUE",IF(AG132,"BROWSING_LOW_OFFERS",IF(AH132,"RISING_TAIL","RISING_TAIL_EARLY"))),IF(AND(AG132,P132="Recently Active",OR(G132="Growing",G132="Stable",G132="H2 Active / No H1 GMV"),I132&gt;=Assumptions!$B$74),"BROWSING_LOW_OFFERS","LONG_TAIL_STANDARD"))))))))))</f>
        <v>LONG_TAIL_STANDARD</v>
      </c>
      <c r="AK132" s="2" t="str">
        <f aca="false">INDEX('NBA Library'!$B$4:$B$21,MATCH(AJ132,'NBA Library'!$A$4:$A$21,0))</f>
        <v>Automated Nurture</v>
      </c>
      <c r="AL132" s="2" t="str">
        <f aca="false">INDEX('NBA Library'!$C$4:$C$21,MATCH(AJ132,'NBA Library'!$A$4:$A$21,0))</f>
        <v>Automated</v>
      </c>
      <c r="AM132" s="2" t="str">
        <f aca="false">IF(AA132,"HOLD — Critical Data Issue",IF(Y132,"Human Sign-Off Required",IF(Z132="Manual Review","Human Review Required",IF(AND(AL132="Automated",OR(AE132,AND(OR(AK132="Discovery-to-Offer Enablement",AK132="Reinforce Successful Behaviour"),OR(AC132,AB132)))),"Human Review Required",IF(AL132="Human","Ready — Human",IF(AL132="Hybrid","Ready — Hybrid","Ready — Automated"))))))</f>
        <v>Ready — Automated</v>
      </c>
      <c r="AN132" s="2" t="str">
        <f aca="false">IF(AA132,"P0",IF(AND(AJ132="BROWSING_LOW_OFFERS",E132="Tail"),"P3",IF(AND(AM132="Human Review Required",INDEX('NBA Library'!$D$4:$D$21,MATCH(AJ132,'NBA Library'!$A$4:$A$21,0))="P4"),"P3",INDEX('NBA Library'!$D$4:$D$21,MATCH(AJ132,'NBA Library'!$A$4:$A$21,0)))))</f>
        <v>P4</v>
      </c>
      <c r="AO132" s="2" t="str">
        <f aca="false">E132&amp;" "&amp;C132&amp;" account ("&amp;B132&amp;"); "&amp;G132&amp;" momentum; "&amp;P132&amp;"; £"&amp;TEXT(H132,"#,##0")&amp;" 6m GMV. "&amp;INDEX('NBA Library'!$G$4:$G$21,MATCH(AJ132,'NBA Library'!$A$4:$A$21,0))&amp;IF(LEFT(D132,1)="1"," Baseline: "&amp;V132&amp;" PDP views, "&amp;W132&amp;" app days, "&amp;X132&amp;" offers, "&amp;TEXT(J132/I132,"0%")&amp;" of orders self-serve.","")&amp;IF(AA132," Execution on HOLD until the Duplicate status is resolved.","")&amp;IF(Y132," Key account: explicit AM/leadership sign-off required before any migration activity.","")&amp;IF(AE132," Implied broker % from order counts would move this account to a different segment; review before automating.","")</f>
        <v>Tail AM-Owned / Self-Serving account (Account Managed); H2 Active / No H1 GMV momentum; Recently Active; £363 6m GMV. Low-value, low-dependency account. Scalable automated engagement.</v>
      </c>
      <c r="AP132" s="2" t="str">
        <f aca="false">INDEX('NBA Library'!$E$4:$E$21,MATCH(AJ132,'NBA Library'!$A$4:$A$21,0))&amp;IF(AND(AJ132="NEW_CUSTOMER",AG132),"; introduce Make-an-Offer on items already browsed","")</f>
        <v>Scalable automated engagement matched to nurture sub-context</v>
      </c>
      <c r="AQ132" s="2" t="str">
        <f aca="false">INDEX('NBA Library'!$F$4:$F$21,MATCH(AJ132,'NBA Library'!$A$4:$A$21,0))</f>
        <v>Any repeat order within 90 days</v>
      </c>
      <c r="AR132" s="2" t="str">
        <f aca="false">IF(AND(F132="Low",OR(G132="Growing",G132="Stable"),P132="Recently Active",U132&lt;&gt;"Mixed",OR(AK132="Discovery-to-Offer Enablement",AK132="Reinforce Successful Behaviour"),AM132="Ready — Automated",OR(E132&lt;&gt;"Tail",S132)),"Range Expansion Test — trial "&amp;IF(U132="Bundle-only","handpick","bundles")&amp;" (experimental; not proven to lift GMV)","")</f>
        <v/>
      </c>
      <c r="AS132" s="2" t="str">
        <f aca="false">IF(AK132&lt;&gt;"Automated Nurture","",IF(AJ132="DORMANT_LOW_VALUE","Dormant",IF(AJ132="RISING_TAIL_EARLY","Rising tail – early pattern",IF(Q132="New Customer","New customer onboarding",IF(Q132="Returned Customer","Returned customer",IF(G132="Lapsed","Dormant",IF(T132="Engaged, not converting","Engaged, not converting",IF(T132="One-off low-touch buyer","One-off purchaser",IF(T132="Light-touch repeat buyer","Light-touch repeat buyer","Standard long tail")))))))))</f>
        <v>Returned customer</v>
      </c>
      <c r="AT132" s="2" t="str">
        <f aca="false">IF(AA132,"CRITICAL_DATA_BLOCKER; ","")&amp;IF(Y132,"KEY_SIGNOFF; ","")&amp;IF(Z132="Manual Review","PHASE1_MANUAL_REVIEW; ","")&amp;IF(AND(LEFT(D132,1)="1",AZ132="Lumpy"),"LUMPY_CADENCE; ","")&amp;IF(AB132,"BORDERLINE_MOMENTUM; ","")&amp;IF(AC132,"FEB_SENSITIVE; ","")&amp;IF(AD132,"MATERIAL_BROKER_INCONSISTENCY"&amp;IF(AE132," (segment would change)","")&amp;"; ","")&amp;IF(AND(I132&gt;=3,O132&gt;0),IF(AI132&gt;=Assumptions!$B$75,"H2_SINGLE_MONTH_SPIKE; ",""),"")&amp;IF(AND(M132&gt;0,N132=0),"NO_FEB_GMV (Feb unconfirmed); ","")&amp;IF(AF132,"LOW_CONFIDENCE; ","")</f>
        <v>NO_FEB_GMV (Feb unconfirmed); LOW_CONFIDENCE; </v>
      </c>
      <c r="AU132" s="2" t="str">
        <f aca="false">IF(LEFT(D132,1)="1",V132,"")</f>
        <v/>
      </c>
      <c r="AV132" s="2" t="str">
        <f aca="false">IF(LEFT(D132,1)="1",V132&gt;=Assumptions!$B$58,"")</f>
        <v/>
      </c>
      <c r="AW132" s="2" t="str">
        <f aca="false">IF(LEFT(D132,1)="1",W132,"")</f>
        <v/>
      </c>
      <c r="AX132" s="2" t="str">
        <f aca="false">IF(LEFT(D132,1)="1",X132,"")</f>
        <v/>
      </c>
      <c r="AY132" s="17" t="str">
        <f aca="false">IF(LEFT(D132,1)="1",J132/I132,"")</f>
        <v/>
      </c>
      <c r="AZ132" s="2" t="str">
        <f aca="false">IF(LEFT(D132,1)="1",IF(AND(K132&gt;=Assumptions!$B$83,I132&gt;=Assumptions!$B$84),"Regular","Lumpy"),"")</f>
        <v/>
      </c>
      <c r="BA132" s="2" t="str">
        <f aca="false">IF(LEFT(D132,1)="1",ROUND(6/K132,0),"")</f>
        <v/>
      </c>
      <c r="BB132" s="2" t="str">
        <f aca="false">IF(LEFT(D132,1)="1",IF(AZ132="Regular","Regular buyer: expected ~£"&amp;TEXT(H132/2,"#,##0")&amp;" per 90 days. At Risk if GMV to date &lt; "&amp;TEXT(Assumptions!$B$81,"0%")&amp;" of pro-rated expectation, checked from day "&amp;Assumptions!$B$82&amp;". Human-reviewed.","Irregular buyer ("&amp;I132&amp;" orders across "&amp;K132&amp;" months): no numeric GMV threshold. At Risk if no order within ~"&amp;BA132&amp;" month(s); AM reviews at day "&amp;Assumptions!$B$82&amp;" and "&amp;Assumptions!$B$85&amp;"."),"")</f>
        <v/>
      </c>
      <c r="BC132" s="2"/>
      <c r="BD132" s="2"/>
      <c r="BE132" s="2"/>
      <c r="BF132" s="2"/>
      <c r="BG132" s="2"/>
      <c r="BH132" s="2"/>
      <c r="BI132" s="2"/>
      <c r="BJ132" s="2" t="str">
        <f aca="false">IF(OR(NOT(LEFT(D132,1)="1"),BC132=""),"",IF(AZ132="Regular",AND(BC132&gt;=Assumptions!$B$82,N(BI132)&lt;Assumptions!$B$81*H132/180*BC132),AND(BC132&gt;=BA132*30,N(BG132)=0)))</f>
        <v/>
      </c>
      <c r="BK132" s="2" t="str">
        <f aca="false">IF(NOT(LEFT(D132,1)="1"),"N/A",IF(BC132="","Baseline",IF(BJ132,"At Risk",IF(AND(N(BD132)&gt;=Assumptions!$B$78,N(BE132)&gt;=Assumptions!$B$79,N(BH132)&gt;=1,N(BH132)/MAX(N(BG132),1)&gt;AY132),"Self-Serve Capability Demonstrated",IF(OR(N(BD132)&gt;=Assumptions!$B$76,N(BE132)&gt;=Assumptions!$B$77),"Progressing",IF(BC132&gt;=Assumptions!$B$85,"At Risk","Baseline"))))))</f>
        <v>N/A</v>
      </c>
      <c r="BL132" s="2" t="n">
        <f aca="false">(AND(C132="Broker-Reliant",OR(AK132="Discovery-to-Offer Enablement",AK132="Reinforce Successful Behaviour")))*1+(AND(G132="Declining",E132&lt;&gt;"Tail",AL132="Automated"))*1+(AND(Y132,AM132&lt;&gt;"Human Sign-Off Required"))*1+(AND(AA132,AM132&lt;&gt;"HOLD — Critical Data Issue"))*1+(AND(P132="Recent Inactivity",OR(AK132="Discovery-to-Offer Enablement",AK132="Reinforce Successful Behaviour")))*1+(AND(OR(LEFT(D132,1)="2",LEFT(D132,1)="3",LEFT(D132,1)="8"),AL132="Automated"))*1+((LEFT(D132,1)="1")&lt;&gt;(AK132="Guided Self-Serve Migration"))*1+(AND(AR132&lt;&gt;"",OR(F132&lt;&gt;"Low",U132="Mixed",AND(G132&lt;&gt;"Growing",G132&lt;&gt;"Stable"))))*1+ISNUMBER(SEARCH("chat",AP132))*1+ISNUMBER(SEARCH("video",AP132))*1+(AND(AA132,AL132="Automated",AM132&lt;&gt;"HOLD — Critical Data Issue"))*1</f>
        <v>0</v>
      </c>
    </row>
    <row r="133" customFormat="false" ht="15" hidden="false" customHeight="false" outlineLevel="0" collapsed="false">
      <c r="A133" s="2" t="s">
        <v>740</v>
      </c>
      <c r="B133" s="2" t="str">
        <f aca="false">INDEX(Segmentation!$B$2:$B$301,MATCH($A133,Segmentation!$A$2:$A$301,0))</f>
        <v>Account Managed</v>
      </c>
      <c r="C133" s="2" t="str">
        <f aca="false">INDEX(Segmentation!$H$2:$H$301,MATCH($A133,Segmentation!$A$2:$A$301,0))</f>
        <v>AM-Owned / Self-Serving</v>
      </c>
      <c r="D133" s="2" t="str">
        <f aca="false">INDEX(Segmentation!$T$2:$T$301,MATCH($A133,Segmentation!$A$2:$A$301,0))</f>
        <v>9. Long-Tail Automated Nurture</v>
      </c>
      <c r="E133" s="2" t="str">
        <f aca="false">INDEX(Segmentation!$J$2:$J$301,MATCH($A133,Segmentation!$A$2:$A$301,0))</f>
        <v>Tail</v>
      </c>
      <c r="F133" s="2" t="str">
        <f aca="false">INDEX(Segmentation!$G$2:$G$301,MATCH($A133,Segmentation!$A$2:$A$301,0))</f>
        <v>Low</v>
      </c>
      <c r="G133" s="2" t="str">
        <f aca="false">INDEX(Segmentation!$N$2:$N$301,MATCH($A133,Segmentation!$A$2:$A$301,0))</f>
        <v>Lapsed</v>
      </c>
      <c r="H133" s="9" t="n">
        <f aca="false">INDEX(Segmentation!$I$2:$I$301,MATCH($A133,Segmentation!$A$2:$A$301,0))</f>
        <v>360</v>
      </c>
      <c r="I133" s="2" t="n">
        <f aca="false">INDEX(Segmentation!$O$2:$O$301,MATCH($A133,Segmentation!$A$2:$A$301,0))</f>
        <v>1</v>
      </c>
      <c r="J133" s="2" t="n">
        <f aca="false">INDEX(Segmentation!$Q$2:$Q$301,MATCH($A133,Segmentation!$A$2:$A$301,0))</f>
        <v>1</v>
      </c>
      <c r="K133" s="2" t="n">
        <f aca="false">INDEX(Segmentation!$W$2:$W$301,MATCH($A133,Segmentation!$A$2:$A$301,0))</f>
        <v>1</v>
      </c>
      <c r="L133" s="9" t="n">
        <f aca="false">INDEX('Commercial View'!$L$2:$L$301,MATCH($A133,'Commercial View'!$A$2:$A$301,0))</f>
        <v>0</v>
      </c>
      <c r="M133" s="9" t="n">
        <f aca="false">INDEX('Commercial View'!$M$2:$M$301,MATCH($A133,'Commercial View'!$A$2:$A$301,0))</f>
        <v>0</v>
      </c>
      <c r="N133" s="9" t="n">
        <f aca="false">INDEX('Commercial View'!$N$2:$N$301,MATCH($A133,'Commercial View'!$A$2:$A$301,0))</f>
        <v>0</v>
      </c>
      <c r="O133" s="9" t="n">
        <f aca="false">INDEX(Segmentation!$L$2:$L$301,MATCH($A133,Segmentation!$A$2:$A$301,0))</f>
        <v>0</v>
      </c>
      <c r="P133" s="2" t="str">
        <f aca="false">IF(OR(M133&gt;0,N133&gt;0),"Recently Active",IF(OR(I133&lt;=Assumptions!$B$48,K133&lt;=Assumptions!$B$49),"No Meaningful History","Recent Inactivity"))</f>
        <v>No Meaningful History</v>
      </c>
      <c r="Q133" s="2" t="str">
        <f aca="false">INDEX(Segmentation!$AF$2:$AF$301,MATCH($A133,Segmentation!$A$2:$A$301,0))</f>
        <v>Existing Customer</v>
      </c>
      <c r="R133" s="2" t="str">
        <f aca="false">INDEX(Segmentation!$AL$2:$AL$301,MATCH($A133,Segmentation!$A$2:$A$301,0))</f>
        <v>One-Off / Insufficient History — Verify</v>
      </c>
      <c r="S133" s="10" t="b">
        <f aca="false">INDEX(Segmentation!$AW$2:$AW$301,MATCH($A133,Segmentation!$A$2:$A$301,0))</f>
        <v>0</v>
      </c>
      <c r="T133" s="2" t="str">
        <f aca="false">INDEX('Feature Data'!$AD$2:$AD$301,MATCH($A133,'Feature Data'!$A$2:$A$301,0))</f>
        <v>Engaged, not converting</v>
      </c>
      <c r="U133" s="2" t="str">
        <f aca="false">INDEX('Feature Data'!$W$2:$W$301,MATCH($A133,'Feature Data'!$A$2:$A$301,0))</f>
        <v>Bundle-only</v>
      </c>
      <c r="V133" s="2" t="n">
        <f aca="false">INDEX('Feature Data'!$P$2:$P$301,MATCH($A133,'Feature Data'!$A$2:$A$301,0))</f>
        <v>144</v>
      </c>
      <c r="W133" s="2" t="n">
        <f aca="false">INDEX(Segmentation!$R$2:$R$301,MATCH($A133,Segmentation!$A$2:$A$301,0))</f>
        <v>21</v>
      </c>
      <c r="X133" s="2" t="n">
        <f aca="false">INDEX(Segmentation!$S$2:$S$301,MATCH($A133,Segmentation!$A$2:$A$301,0))</f>
        <v>0</v>
      </c>
      <c r="Y133" s="10" t="b">
        <f aca="false">INDEX(Segmentation!$AG$2:$AG$301,MATCH($A133,Segmentation!$A$2:$A$301,0))</f>
        <v>0</v>
      </c>
      <c r="Z133" s="2" t="str">
        <f aca="false">INDEX(Segmentation!$AU$2:$AU$301,MATCH($A133,Segmentation!$A$2:$A$301,0))</f>
        <v>Not Eligible</v>
      </c>
      <c r="AA133" s="10" t="b">
        <f aca="false">INDEX(Segmentation!$Z$2:$Z$301,MATCH($A133,Segmentation!$A$2:$A$301,0))</f>
        <v>0</v>
      </c>
      <c r="AB133" s="10" t="b">
        <f aca="false">INDEX(Segmentation!$AH$2:$AH$301,MATCH($A133,Segmentation!$A$2:$A$301,0))</f>
        <v>0</v>
      </c>
      <c r="AC133" s="10" t="b">
        <f aca="false">INDEX(Segmentation!$AK$2:$AK$301,MATCH($A133,Segmentation!$A$2:$A$301,0))</f>
        <v>0</v>
      </c>
      <c r="AD133" s="10" t="b">
        <f aca="false">INDEX(Segmentation!$AQ$2:$AQ$301,MATCH($A133,Segmentation!$A$2:$A$301,0))</f>
        <v>0</v>
      </c>
      <c r="AE133" s="10" t="b">
        <f aca="false">INDEX(Segmentation!$AT$2:$AT$301,MATCH($A133,Segmentation!$A$2:$A$301,0))</f>
        <v>0</v>
      </c>
      <c r="AF133" s="10" t="b">
        <f aca="false">INDEX(Segmentation!$X$2:$X$301,MATCH($A133,Segmentation!$A$2:$A$301,0))</f>
        <v>1</v>
      </c>
      <c r="AG133" s="10" t="b">
        <f aca="false">AND(F133="Low",V133&gt;=Assumptions!$B$71,X133&lt;Assumptions!$B$72)</f>
        <v>1</v>
      </c>
      <c r="AH133" s="10" t="b">
        <f aca="false">AND(F133="Low",OR(G133="Growing",G133="Stable"),P133="Recently Active",V133&gt;=Assumptions!$B$58,K133&gt;=Assumptions!$B$73)</f>
        <v>0</v>
      </c>
      <c r="AI133" s="17" t="str">
        <f aca="false">IF(O133&gt;0,MAX(L133:N133)/O133,"")</f>
        <v/>
      </c>
      <c r="AJ133" s="2" t="str">
        <f aca="false">IF(LEFT(D133,1)="1",IF(E133="Key","MIGRATION_KEY_SIGNOFF",IF(Z133="Ready","MIGRATION_PHASE1_READY",IF(Z133="Manual Review","MIGRATION_PHASE1_REVIEW","MIGRATION_PRE_ENTRY"))),IF(LEFT(D133,1)="2","DECLINING_KEY_CORE",IF(LEFT(D133,1)="3",IF(R133="Established Buyer Lapsed","LAPSED_ESTABLISHED","LAPSED_THIN_HISTORY"),IF(LEFT(D133,1)="4",IF(Q133="New Customer","NEW_CUSTOMER","RETURNED_CUSTOMER"),IF(LEFT(D133,1)="5",IF(P133="Recently Active","COST_TO_SERVE_ACTIVE","DORMANT_LOW_VALUE"),IF(LEFT(D133,1)="6",IF(P133="Recent Inactivity","RECENT_INACTIVITY",IF(AG133,"BROWSING_LOW_OFFERS","HEALTHY_STRONG_SELF_SERVE")),IF(LEFT(D133,1)="7",IF(P133="Recent Inactivity","RECENT_INACTIVITY",IF(Q133="New Customer","NEW_CUSTOMER","RETURNED_CUSTOMER")),IF(LEFT(D133,1)="8",IF(G133="Declining",IF(T133="Engaged but shrinking (Key/Core)","ENGAGED_BUT_SHRINKING","DECLINING_KEY_CORE"),IF(R133="Established Buyer Lapsed","LAPSED_ESTABLISHED","LAPSED_THIN_HISTORY")),IF(S133,IF(P133&lt;&gt;"Recently Active","DORMANT_LOW_VALUE",IF(AG133,"BROWSING_LOW_OFFERS",IF(AH133,"RISING_TAIL","RISING_TAIL_EARLY"))),IF(AND(AG133,P133="Recently Active",OR(G133="Growing",G133="Stable",G133="H2 Active / No H1 GMV"),I133&gt;=Assumptions!$B$74),"BROWSING_LOW_OFFERS","LONG_TAIL_STANDARD"))))))))))</f>
        <v>LONG_TAIL_STANDARD</v>
      </c>
      <c r="AK133" s="2" t="str">
        <f aca="false">INDEX('NBA Library'!$B$4:$B$21,MATCH(AJ133,'NBA Library'!$A$4:$A$21,0))</f>
        <v>Automated Nurture</v>
      </c>
      <c r="AL133" s="2" t="str">
        <f aca="false">INDEX('NBA Library'!$C$4:$C$21,MATCH(AJ133,'NBA Library'!$A$4:$A$21,0))</f>
        <v>Automated</v>
      </c>
      <c r="AM133" s="2" t="str">
        <f aca="false">IF(AA133,"HOLD — Critical Data Issue",IF(Y133,"Human Sign-Off Required",IF(Z133="Manual Review","Human Review Required",IF(AND(AL133="Automated",OR(AE133,AND(OR(AK133="Discovery-to-Offer Enablement",AK133="Reinforce Successful Behaviour"),OR(AC133,AB133)))),"Human Review Required",IF(AL133="Human","Ready — Human",IF(AL133="Hybrid","Ready — Hybrid","Ready — Automated"))))))</f>
        <v>Ready — Automated</v>
      </c>
      <c r="AN133" s="2" t="str">
        <f aca="false">IF(AA133,"P0",IF(AND(AJ133="BROWSING_LOW_OFFERS",E133="Tail"),"P3",IF(AND(AM133="Human Review Required",INDEX('NBA Library'!$D$4:$D$21,MATCH(AJ133,'NBA Library'!$A$4:$A$21,0))="P4"),"P3",INDEX('NBA Library'!$D$4:$D$21,MATCH(AJ133,'NBA Library'!$A$4:$A$21,0)))))</f>
        <v>P4</v>
      </c>
      <c r="AO133" s="2" t="str">
        <f aca="false">E133&amp;" "&amp;C133&amp;" account ("&amp;B133&amp;"); "&amp;G133&amp;" momentum; "&amp;P133&amp;"; £"&amp;TEXT(H133,"#,##0")&amp;" 6m GMV. "&amp;INDEX('NBA Library'!$G$4:$G$21,MATCH(AJ133,'NBA Library'!$A$4:$A$21,0))&amp;IF(LEFT(D133,1)="1"," Baseline: "&amp;V133&amp;" PDP views, "&amp;W133&amp;" app days, "&amp;X133&amp;" offers, "&amp;TEXT(J133/I133,"0%")&amp;" of orders self-serve.","")&amp;IF(AA133," Execution on HOLD until the Duplicate status is resolved.","")&amp;IF(Y133," Key account: explicit AM/leadership sign-off required before any migration activity.","")&amp;IF(AE133," Implied broker % from order counts would move this account to a different segment; review before automating.","")</f>
        <v>Tail AM-Owned / Self-Serving account (Account Managed); Lapsed momentum; No Meaningful History; £360 6m GMV. Low-value, low-dependency account. Scalable automated engagement.</v>
      </c>
      <c r="AP133" s="2" t="str">
        <f aca="false">INDEX('NBA Library'!$E$4:$E$21,MATCH(AJ133,'NBA Library'!$A$4:$A$21,0))&amp;IF(AND(AJ133="NEW_CUSTOMER",AG133),"; introduce Make-an-Offer on items already browsed","")</f>
        <v>Scalable automated engagement matched to nurture sub-context</v>
      </c>
      <c r="AQ133" s="2" t="str">
        <f aca="false">INDEX('NBA Library'!$F$4:$F$21,MATCH(AJ133,'NBA Library'!$A$4:$A$21,0))</f>
        <v>Any repeat order within 90 days</v>
      </c>
      <c r="AR133" s="2" t="str">
        <f aca="false">IF(AND(F133="Low",OR(G133="Growing",G133="Stable"),P133="Recently Active",U133&lt;&gt;"Mixed",OR(AK133="Discovery-to-Offer Enablement",AK133="Reinforce Successful Behaviour"),AM133="Ready — Automated",OR(E133&lt;&gt;"Tail",S133)),"Range Expansion Test — trial "&amp;IF(U133="Bundle-only","handpick","bundles")&amp;" (experimental; not proven to lift GMV)","")</f>
        <v/>
      </c>
      <c r="AS133" s="2" t="str">
        <f aca="false">IF(AK133&lt;&gt;"Automated Nurture","",IF(AJ133="DORMANT_LOW_VALUE","Dormant",IF(AJ133="RISING_TAIL_EARLY","Rising tail – early pattern",IF(Q133="New Customer","New customer onboarding",IF(Q133="Returned Customer","Returned customer",IF(G133="Lapsed","Dormant",IF(T133="Engaged, not converting","Engaged, not converting",IF(T133="One-off low-touch buyer","One-off purchaser",IF(T133="Light-touch repeat buyer","Light-touch repeat buyer","Standard long tail")))))))))</f>
        <v>Dormant</v>
      </c>
      <c r="AT133" s="2" t="str">
        <f aca="false">IF(AA133,"CRITICAL_DATA_BLOCKER; ","")&amp;IF(Y133,"KEY_SIGNOFF; ","")&amp;IF(Z133="Manual Review","PHASE1_MANUAL_REVIEW; ","")&amp;IF(AND(LEFT(D133,1)="1",AZ133="Lumpy"),"LUMPY_CADENCE; ","")&amp;IF(AB133,"BORDERLINE_MOMENTUM; ","")&amp;IF(AC133,"FEB_SENSITIVE; ","")&amp;IF(AD133,"MATERIAL_BROKER_INCONSISTENCY"&amp;IF(AE133," (segment would change)","")&amp;"; ","")&amp;IF(AND(I133&gt;=3,O133&gt;0),IF(AI133&gt;=Assumptions!$B$75,"H2_SINGLE_MONTH_SPIKE; ",""),"")&amp;IF(AND(M133&gt;0,N133=0),"NO_FEB_GMV (Feb unconfirmed); ","")&amp;IF(AF133,"LOW_CONFIDENCE; ","")</f>
        <v>LOW_CONFIDENCE; </v>
      </c>
      <c r="AU133" s="2" t="str">
        <f aca="false">IF(LEFT(D133,1)="1",V133,"")</f>
        <v/>
      </c>
      <c r="AV133" s="2" t="str">
        <f aca="false">IF(LEFT(D133,1)="1",V133&gt;=Assumptions!$B$58,"")</f>
        <v/>
      </c>
      <c r="AW133" s="2" t="str">
        <f aca="false">IF(LEFT(D133,1)="1",W133,"")</f>
        <v/>
      </c>
      <c r="AX133" s="2" t="str">
        <f aca="false">IF(LEFT(D133,1)="1",X133,"")</f>
        <v/>
      </c>
      <c r="AY133" s="17" t="str">
        <f aca="false">IF(LEFT(D133,1)="1",J133/I133,"")</f>
        <v/>
      </c>
      <c r="AZ133" s="2" t="str">
        <f aca="false">IF(LEFT(D133,1)="1",IF(AND(K133&gt;=Assumptions!$B$83,I133&gt;=Assumptions!$B$84),"Regular","Lumpy"),"")</f>
        <v/>
      </c>
      <c r="BA133" s="2" t="str">
        <f aca="false">IF(LEFT(D133,1)="1",ROUND(6/K133,0),"")</f>
        <v/>
      </c>
      <c r="BB133" s="2" t="str">
        <f aca="false">IF(LEFT(D133,1)="1",IF(AZ133="Regular","Regular buyer: expected ~£"&amp;TEXT(H133/2,"#,##0")&amp;" per 90 days. At Risk if GMV to date &lt; "&amp;TEXT(Assumptions!$B$81,"0%")&amp;" of pro-rated expectation, checked from day "&amp;Assumptions!$B$82&amp;". Human-reviewed.","Irregular buyer ("&amp;I133&amp;" orders across "&amp;K133&amp;" months): no numeric GMV threshold. At Risk if no order within ~"&amp;BA133&amp;" month(s); AM reviews at day "&amp;Assumptions!$B$82&amp;" and "&amp;Assumptions!$B$85&amp;"."),"")</f>
        <v/>
      </c>
      <c r="BC133" s="2"/>
      <c r="BD133" s="2"/>
      <c r="BE133" s="2"/>
      <c r="BF133" s="2"/>
      <c r="BG133" s="2"/>
      <c r="BH133" s="2"/>
      <c r="BI133" s="2"/>
      <c r="BJ133" s="2" t="str">
        <f aca="false">IF(OR(NOT(LEFT(D133,1)="1"),BC133=""),"",IF(AZ133="Regular",AND(BC133&gt;=Assumptions!$B$82,N(BI133)&lt;Assumptions!$B$81*H133/180*BC133),AND(BC133&gt;=BA133*30,N(BG133)=0)))</f>
        <v/>
      </c>
      <c r="BK133" s="2" t="str">
        <f aca="false">IF(NOT(LEFT(D133,1)="1"),"N/A",IF(BC133="","Baseline",IF(BJ133,"At Risk",IF(AND(N(BD133)&gt;=Assumptions!$B$78,N(BE133)&gt;=Assumptions!$B$79,N(BH133)&gt;=1,N(BH133)/MAX(N(BG133),1)&gt;AY133),"Self-Serve Capability Demonstrated",IF(OR(N(BD133)&gt;=Assumptions!$B$76,N(BE133)&gt;=Assumptions!$B$77),"Progressing",IF(BC133&gt;=Assumptions!$B$85,"At Risk","Baseline"))))))</f>
        <v>N/A</v>
      </c>
      <c r="BL133" s="2" t="n">
        <f aca="false">(AND(C133="Broker-Reliant",OR(AK133="Discovery-to-Offer Enablement",AK133="Reinforce Successful Behaviour")))*1+(AND(G133="Declining",E133&lt;&gt;"Tail",AL133="Automated"))*1+(AND(Y133,AM133&lt;&gt;"Human Sign-Off Required"))*1+(AND(AA133,AM133&lt;&gt;"HOLD — Critical Data Issue"))*1+(AND(P133="Recent Inactivity",OR(AK133="Discovery-to-Offer Enablement",AK133="Reinforce Successful Behaviour")))*1+(AND(OR(LEFT(D133,1)="2",LEFT(D133,1)="3",LEFT(D133,1)="8"),AL133="Automated"))*1+((LEFT(D133,1)="1")&lt;&gt;(AK133="Guided Self-Serve Migration"))*1+(AND(AR133&lt;&gt;"",OR(F133&lt;&gt;"Low",U133="Mixed",AND(G133&lt;&gt;"Growing",G133&lt;&gt;"Stable"))))*1+ISNUMBER(SEARCH("chat",AP133))*1+ISNUMBER(SEARCH("video",AP133))*1+(AND(AA133,AL133="Automated",AM133&lt;&gt;"HOLD — Critical Data Issue"))*1</f>
        <v>0</v>
      </c>
    </row>
    <row r="134" customFormat="false" ht="15" hidden="false" customHeight="false" outlineLevel="0" collapsed="false">
      <c r="A134" s="2" t="s">
        <v>742</v>
      </c>
      <c r="B134" s="2" t="str">
        <f aca="false">INDEX(Segmentation!$B$2:$B$301,MATCH($A134,Segmentation!$A$2:$A$301,0))</f>
        <v>Account Managed</v>
      </c>
      <c r="C134" s="2" t="str">
        <f aca="false">INDEX(Segmentation!$H$2:$H$301,MATCH($A134,Segmentation!$A$2:$A$301,0))</f>
        <v>AM-Owned / Self-Serving</v>
      </c>
      <c r="D134" s="2" t="str">
        <f aca="false">INDEX(Segmentation!$T$2:$T$301,MATCH($A134,Segmentation!$A$2:$A$301,0))</f>
        <v>9. Long-Tail Automated Nurture</v>
      </c>
      <c r="E134" s="2" t="str">
        <f aca="false">INDEX(Segmentation!$J$2:$J$301,MATCH($A134,Segmentation!$A$2:$A$301,0))</f>
        <v>Tail</v>
      </c>
      <c r="F134" s="2" t="str">
        <f aca="false">INDEX(Segmentation!$G$2:$G$301,MATCH($A134,Segmentation!$A$2:$A$301,0))</f>
        <v>Low</v>
      </c>
      <c r="G134" s="2" t="str">
        <f aca="false">INDEX(Segmentation!$N$2:$N$301,MATCH($A134,Segmentation!$A$2:$A$301,0))</f>
        <v>Lapsed</v>
      </c>
      <c r="H134" s="9" t="n">
        <f aca="false">INDEX(Segmentation!$I$2:$I$301,MATCH($A134,Segmentation!$A$2:$A$301,0))</f>
        <v>356</v>
      </c>
      <c r="I134" s="2" t="n">
        <f aca="false">INDEX(Segmentation!$O$2:$O$301,MATCH($A134,Segmentation!$A$2:$A$301,0))</f>
        <v>1</v>
      </c>
      <c r="J134" s="2" t="n">
        <f aca="false">INDEX(Segmentation!$Q$2:$Q$301,MATCH($A134,Segmentation!$A$2:$A$301,0))</f>
        <v>1</v>
      </c>
      <c r="K134" s="2" t="n">
        <f aca="false">INDEX(Segmentation!$W$2:$W$301,MATCH($A134,Segmentation!$A$2:$A$301,0))</f>
        <v>1</v>
      </c>
      <c r="L134" s="9" t="n">
        <f aca="false">INDEX('Commercial View'!$L$2:$L$301,MATCH($A134,'Commercial View'!$A$2:$A$301,0))</f>
        <v>0</v>
      </c>
      <c r="M134" s="9" t="n">
        <f aca="false">INDEX('Commercial View'!$M$2:$M$301,MATCH($A134,'Commercial View'!$A$2:$A$301,0))</f>
        <v>0</v>
      </c>
      <c r="N134" s="9" t="n">
        <f aca="false">INDEX('Commercial View'!$N$2:$N$301,MATCH($A134,'Commercial View'!$A$2:$A$301,0))</f>
        <v>0</v>
      </c>
      <c r="O134" s="9" t="n">
        <f aca="false">INDEX(Segmentation!$L$2:$L$301,MATCH($A134,Segmentation!$A$2:$A$301,0))</f>
        <v>0</v>
      </c>
      <c r="P134" s="2" t="str">
        <f aca="false">IF(OR(M134&gt;0,N134&gt;0),"Recently Active",IF(OR(I134&lt;=Assumptions!$B$48,K134&lt;=Assumptions!$B$49),"No Meaningful History","Recent Inactivity"))</f>
        <v>No Meaningful History</v>
      </c>
      <c r="Q134" s="2" t="str">
        <f aca="false">INDEX(Segmentation!$AF$2:$AF$301,MATCH($A134,Segmentation!$A$2:$A$301,0))</f>
        <v>Existing Customer</v>
      </c>
      <c r="R134" s="2" t="str">
        <f aca="false">INDEX(Segmentation!$AL$2:$AL$301,MATCH($A134,Segmentation!$A$2:$A$301,0))</f>
        <v>One-Off / Insufficient History — Verify</v>
      </c>
      <c r="S134" s="10" t="b">
        <f aca="false">INDEX(Segmentation!$AW$2:$AW$301,MATCH($A134,Segmentation!$A$2:$A$301,0))</f>
        <v>0</v>
      </c>
      <c r="T134" s="2" t="str">
        <f aca="false">INDEX('Feature Data'!$AD$2:$AD$301,MATCH($A134,'Feature Data'!$A$2:$A$301,0))</f>
        <v>One-off low-touch buyer</v>
      </c>
      <c r="U134" s="2" t="str">
        <f aca="false">INDEX('Feature Data'!$W$2:$W$301,MATCH($A134,'Feature Data'!$A$2:$A$301,0))</f>
        <v>Bundle-only</v>
      </c>
      <c r="V134" s="2" t="n">
        <f aca="false">INDEX('Feature Data'!$P$2:$P$301,MATCH($A134,'Feature Data'!$A$2:$A$301,0))</f>
        <v>65</v>
      </c>
      <c r="W134" s="2" t="n">
        <f aca="false">INDEX(Segmentation!$R$2:$R$301,MATCH($A134,Segmentation!$A$2:$A$301,0))</f>
        <v>3</v>
      </c>
      <c r="X134" s="2" t="n">
        <f aca="false">INDEX(Segmentation!$S$2:$S$301,MATCH($A134,Segmentation!$A$2:$A$301,0))</f>
        <v>0</v>
      </c>
      <c r="Y134" s="10" t="b">
        <f aca="false">INDEX(Segmentation!$AG$2:$AG$301,MATCH($A134,Segmentation!$A$2:$A$301,0))</f>
        <v>0</v>
      </c>
      <c r="Z134" s="2" t="str">
        <f aca="false">INDEX(Segmentation!$AU$2:$AU$301,MATCH($A134,Segmentation!$A$2:$A$301,0))</f>
        <v>Not Eligible</v>
      </c>
      <c r="AA134" s="10" t="b">
        <f aca="false">INDEX(Segmentation!$Z$2:$Z$301,MATCH($A134,Segmentation!$A$2:$A$301,0))</f>
        <v>0</v>
      </c>
      <c r="AB134" s="10" t="b">
        <f aca="false">INDEX(Segmentation!$AH$2:$AH$301,MATCH($A134,Segmentation!$A$2:$A$301,0))</f>
        <v>0</v>
      </c>
      <c r="AC134" s="10" t="b">
        <f aca="false">INDEX(Segmentation!$AK$2:$AK$301,MATCH($A134,Segmentation!$A$2:$A$301,0))</f>
        <v>0</v>
      </c>
      <c r="AD134" s="10" t="b">
        <f aca="false">INDEX(Segmentation!$AQ$2:$AQ$301,MATCH($A134,Segmentation!$A$2:$A$301,0))</f>
        <v>0</v>
      </c>
      <c r="AE134" s="10" t="b">
        <f aca="false">INDEX(Segmentation!$AT$2:$AT$301,MATCH($A134,Segmentation!$A$2:$A$301,0))</f>
        <v>0</v>
      </c>
      <c r="AF134" s="10" t="b">
        <f aca="false">INDEX(Segmentation!$X$2:$X$301,MATCH($A134,Segmentation!$A$2:$A$301,0))</f>
        <v>1</v>
      </c>
      <c r="AG134" s="10" t="b">
        <f aca="false">AND(F134="Low",V134&gt;=Assumptions!$B$71,X134&lt;Assumptions!$B$72)</f>
        <v>1</v>
      </c>
      <c r="AH134" s="10" t="b">
        <f aca="false">AND(F134="Low",OR(G134="Growing",G134="Stable"),P134="Recently Active",V134&gt;=Assumptions!$B$58,K134&gt;=Assumptions!$B$73)</f>
        <v>0</v>
      </c>
      <c r="AI134" s="17" t="str">
        <f aca="false">IF(O134&gt;0,MAX(L134:N134)/O134,"")</f>
        <v/>
      </c>
      <c r="AJ134" s="2" t="str">
        <f aca="false">IF(LEFT(D134,1)="1",IF(E134="Key","MIGRATION_KEY_SIGNOFF",IF(Z134="Ready","MIGRATION_PHASE1_READY",IF(Z134="Manual Review","MIGRATION_PHASE1_REVIEW","MIGRATION_PRE_ENTRY"))),IF(LEFT(D134,1)="2","DECLINING_KEY_CORE",IF(LEFT(D134,1)="3",IF(R134="Established Buyer Lapsed","LAPSED_ESTABLISHED","LAPSED_THIN_HISTORY"),IF(LEFT(D134,1)="4",IF(Q134="New Customer","NEW_CUSTOMER","RETURNED_CUSTOMER"),IF(LEFT(D134,1)="5",IF(P134="Recently Active","COST_TO_SERVE_ACTIVE","DORMANT_LOW_VALUE"),IF(LEFT(D134,1)="6",IF(P134="Recent Inactivity","RECENT_INACTIVITY",IF(AG134,"BROWSING_LOW_OFFERS","HEALTHY_STRONG_SELF_SERVE")),IF(LEFT(D134,1)="7",IF(P134="Recent Inactivity","RECENT_INACTIVITY",IF(Q134="New Customer","NEW_CUSTOMER","RETURNED_CUSTOMER")),IF(LEFT(D134,1)="8",IF(G134="Declining",IF(T134="Engaged but shrinking (Key/Core)","ENGAGED_BUT_SHRINKING","DECLINING_KEY_CORE"),IF(R134="Established Buyer Lapsed","LAPSED_ESTABLISHED","LAPSED_THIN_HISTORY")),IF(S134,IF(P134&lt;&gt;"Recently Active","DORMANT_LOW_VALUE",IF(AG134,"BROWSING_LOW_OFFERS",IF(AH134,"RISING_TAIL","RISING_TAIL_EARLY"))),IF(AND(AG134,P134="Recently Active",OR(G134="Growing",G134="Stable",G134="H2 Active / No H1 GMV"),I134&gt;=Assumptions!$B$74),"BROWSING_LOW_OFFERS","LONG_TAIL_STANDARD"))))))))))</f>
        <v>LONG_TAIL_STANDARD</v>
      </c>
      <c r="AK134" s="2" t="str">
        <f aca="false">INDEX('NBA Library'!$B$4:$B$21,MATCH(AJ134,'NBA Library'!$A$4:$A$21,0))</f>
        <v>Automated Nurture</v>
      </c>
      <c r="AL134" s="2" t="str">
        <f aca="false">INDEX('NBA Library'!$C$4:$C$21,MATCH(AJ134,'NBA Library'!$A$4:$A$21,0))</f>
        <v>Automated</v>
      </c>
      <c r="AM134" s="2" t="str">
        <f aca="false">IF(AA134,"HOLD — Critical Data Issue",IF(Y134,"Human Sign-Off Required",IF(Z134="Manual Review","Human Review Required",IF(AND(AL134="Automated",OR(AE134,AND(OR(AK134="Discovery-to-Offer Enablement",AK134="Reinforce Successful Behaviour"),OR(AC134,AB134)))),"Human Review Required",IF(AL134="Human","Ready — Human",IF(AL134="Hybrid","Ready — Hybrid","Ready — Automated"))))))</f>
        <v>Ready — Automated</v>
      </c>
      <c r="AN134" s="2" t="str">
        <f aca="false">IF(AA134,"P0",IF(AND(AJ134="BROWSING_LOW_OFFERS",E134="Tail"),"P3",IF(AND(AM134="Human Review Required",INDEX('NBA Library'!$D$4:$D$21,MATCH(AJ134,'NBA Library'!$A$4:$A$21,0))="P4"),"P3",INDEX('NBA Library'!$D$4:$D$21,MATCH(AJ134,'NBA Library'!$A$4:$A$21,0)))))</f>
        <v>P4</v>
      </c>
      <c r="AO134" s="2" t="str">
        <f aca="false">E134&amp;" "&amp;C134&amp;" account ("&amp;B134&amp;"); "&amp;G134&amp;" momentum; "&amp;P134&amp;"; £"&amp;TEXT(H134,"#,##0")&amp;" 6m GMV. "&amp;INDEX('NBA Library'!$G$4:$G$21,MATCH(AJ134,'NBA Library'!$A$4:$A$21,0))&amp;IF(LEFT(D134,1)="1"," Baseline: "&amp;V134&amp;" PDP views, "&amp;W134&amp;" app days, "&amp;X134&amp;" offers, "&amp;TEXT(J134/I134,"0%")&amp;" of orders self-serve.","")&amp;IF(AA134," Execution on HOLD until the Duplicate status is resolved.","")&amp;IF(Y134," Key account: explicit AM/leadership sign-off required before any migration activity.","")&amp;IF(AE134," Implied broker % from order counts would move this account to a different segment; review before automating.","")</f>
        <v>Tail AM-Owned / Self-Serving account (Account Managed); Lapsed momentum; No Meaningful History; £356 6m GMV. Low-value, low-dependency account. Scalable automated engagement.</v>
      </c>
      <c r="AP134" s="2" t="str">
        <f aca="false">INDEX('NBA Library'!$E$4:$E$21,MATCH(AJ134,'NBA Library'!$A$4:$A$21,0))&amp;IF(AND(AJ134="NEW_CUSTOMER",AG134),"; introduce Make-an-Offer on items already browsed","")</f>
        <v>Scalable automated engagement matched to nurture sub-context</v>
      </c>
      <c r="AQ134" s="2" t="str">
        <f aca="false">INDEX('NBA Library'!$F$4:$F$21,MATCH(AJ134,'NBA Library'!$A$4:$A$21,0))</f>
        <v>Any repeat order within 90 days</v>
      </c>
      <c r="AR134" s="2" t="str">
        <f aca="false">IF(AND(F134="Low",OR(G134="Growing",G134="Stable"),P134="Recently Active",U134&lt;&gt;"Mixed",OR(AK134="Discovery-to-Offer Enablement",AK134="Reinforce Successful Behaviour"),AM134="Ready — Automated",OR(E134&lt;&gt;"Tail",S134)),"Range Expansion Test — trial "&amp;IF(U134="Bundle-only","handpick","bundles")&amp;" (experimental; not proven to lift GMV)","")</f>
        <v/>
      </c>
      <c r="AS134" s="2" t="str">
        <f aca="false">IF(AK134&lt;&gt;"Automated Nurture","",IF(AJ134="DORMANT_LOW_VALUE","Dormant",IF(AJ134="RISING_TAIL_EARLY","Rising tail – early pattern",IF(Q134="New Customer","New customer onboarding",IF(Q134="Returned Customer","Returned customer",IF(G134="Lapsed","Dormant",IF(T134="Engaged, not converting","Engaged, not converting",IF(T134="One-off low-touch buyer","One-off purchaser",IF(T134="Light-touch repeat buyer","Light-touch repeat buyer","Standard long tail")))))))))</f>
        <v>Dormant</v>
      </c>
      <c r="AT134" s="2" t="str">
        <f aca="false">IF(AA134,"CRITICAL_DATA_BLOCKER; ","")&amp;IF(Y134,"KEY_SIGNOFF; ","")&amp;IF(Z134="Manual Review","PHASE1_MANUAL_REVIEW; ","")&amp;IF(AND(LEFT(D134,1)="1",AZ134="Lumpy"),"LUMPY_CADENCE; ","")&amp;IF(AB134,"BORDERLINE_MOMENTUM; ","")&amp;IF(AC134,"FEB_SENSITIVE; ","")&amp;IF(AD134,"MATERIAL_BROKER_INCONSISTENCY"&amp;IF(AE134," (segment would change)","")&amp;"; ","")&amp;IF(AND(I134&gt;=3,O134&gt;0),IF(AI134&gt;=Assumptions!$B$75,"H2_SINGLE_MONTH_SPIKE; ",""),"")&amp;IF(AND(M134&gt;0,N134=0),"NO_FEB_GMV (Feb unconfirmed); ","")&amp;IF(AF134,"LOW_CONFIDENCE; ","")</f>
        <v>LOW_CONFIDENCE; </v>
      </c>
      <c r="AU134" s="2" t="str">
        <f aca="false">IF(LEFT(D134,1)="1",V134,"")</f>
        <v/>
      </c>
      <c r="AV134" s="2" t="str">
        <f aca="false">IF(LEFT(D134,1)="1",V134&gt;=Assumptions!$B$58,"")</f>
        <v/>
      </c>
      <c r="AW134" s="2" t="str">
        <f aca="false">IF(LEFT(D134,1)="1",W134,"")</f>
        <v/>
      </c>
      <c r="AX134" s="2" t="str">
        <f aca="false">IF(LEFT(D134,1)="1",X134,"")</f>
        <v/>
      </c>
      <c r="AY134" s="17" t="str">
        <f aca="false">IF(LEFT(D134,1)="1",J134/I134,"")</f>
        <v/>
      </c>
      <c r="AZ134" s="2" t="str">
        <f aca="false">IF(LEFT(D134,1)="1",IF(AND(K134&gt;=Assumptions!$B$83,I134&gt;=Assumptions!$B$84),"Regular","Lumpy"),"")</f>
        <v/>
      </c>
      <c r="BA134" s="2" t="str">
        <f aca="false">IF(LEFT(D134,1)="1",ROUND(6/K134,0),"")</f>
        <v/>
      </c>
      <c r="BB134" s="2" t="str">
        <f aca="false">IF(LEFT(D134,1)="1",IF(AZ134="Regular","Regular buyer: expected ~£"&amp;TEXT(H134/2,"#,##0")&amp;" per 90 days. At Risk if GMV to date &lt; "&amp;TEXT(Assumptions!$B$81,"0%")&amp;" of pro-rated expectation, checked from day "&amp;Assumptions!$B$82&amp;". Human-reviewed.","Irregular buyer ("&amp;I134&amp;" orders across "&amp;K134&amp;" months): no numeric GMV threshold. At Risk if no order within ~"&amp;BA134&amp;" month(s); AM reviews at day "&amp;Assumptions!$B$82&amp;" and "&amp;Assumptions!$B$85&amp;"."),"")</f>
        <v/>
      </c>
      <c r="BC134" s="2"/>
      <c r="BD134" s="2"/>
      <c r="BE134" s="2"/>
      <c r="BF134" s="2"/>
      <c r="BG134" s="2"/>
      <c r="BH134" s="2"/>
      <c r="BI134" s="2"/>
      <c r="BJ134" s="2" t="str">
        <f aca="false">IF(OR(NOT(LEFT(D134,1)="1"),BC134=""),"",IF(AZ134="Regular",AND(BC134&gt;=Assumptions!$B$82,N(BI134)&lt;Assumptions!$B$81*H134/180*BC134),AND(BC134&gt;=BA134*30,N(BG134)=0)))</f>
        <v/>
      </c>
      <c r="BK134" s="2" t="str">
        <f aca="false">IF(NOT(LEFT(D134,1)="1"),"N/A",IF(BC134="","Baseline",IF(BJ134,"At Risk",IF(AND(N(BD134)&gt;=Assumptions!$B$78,N(BE134)&gt;=Assumptions!$B$79,N(BH134)&gt;=1,N(BH134)/MAX(N(BG134),1)&gt;AY134),"Self-Serve Capability Demonstrated",IF(OR(N(BD134)&gt;=Assumptions!$B$76,N(BE134)&gt;=Assumptions!$B$77),"Progressing",IF(BC134&gt;=Assumptions!$B$85,"At Risk","Baseline"))))))</f>
        <v>N/A</v>
      </c>
      <c r="BL134" s="2" t="n">
        <f aca="false">(AND(C134="Broker-Reliant",OR(AK134="Discovery-to-Offer Enablement",AK134="Reinforce Successful Behaviour")))*1+(AND(G134="Declining",E134&lt;&gt;"Tail",AL134="Automated"))*1+(AND(Y134,AM134&lt;&gt;"Human Sign-Off Required"))*1+(AND(AA134,AM134&lt;&gt;"HOLD — Critical Data Issue"))*1+(AND(P134="Recent Inactivity",OR(AK134="Discovery-to-Offer Enablement",AK134="Reinforce Successful Behaviour")))*1+(AND(OR(LEFT(D134,1)="2",LEFT(D134,1)="3",LEFT(D134,1)="8"),AL134="Automated"))*1+((LEFT(D134,1)="1")&lt;&gt;(AK134="Guided Self-Serve Migration"))*1+(AND(AR134&lt;&gt;"",OR(F134&lt;&gt;"Low",U134="Mixed",AND(G134&lt;&gt;"Growing",G134&lt;&gt;"Stable"))))*1+ISNUMBER(SEARCH("chat",AP134))*1+ISNUMBER(SEARCH("video",AP134))*1+(AND(AA134,AL134="Automated",AM134&lt;&gt;"HOLD — Critical Data Issue"))*1</f>
        <v>0</v>
      </c>
    </row>
    <row r="135" customFormat="false" ht="15" hidden="false" customHeight="false" outlineLevel="0" collapsed="false">
      <c r="A135" s="2" t="s">
        <v>744</v>
      </c>
      <c r="B135" s="2" t="str">
        <f aca="false">INDEX(Segmentation!$B$2:$B$301,MATCH($A135,Segmentation!$A$2:$A$301,0))</f>
        <v>Account Managed</v>
      </c>
      <c r="C135" s="2" t="str">
        <f aca="false">INDEX(Segmentation!$H$2:$H$301,MATCH($A135,Segmentation!$A$2:$A$301,0))</f>
        <v>AM-Owned / Self-Serving</v>
      </c>
      <c r="D135" s="2" t="str">
        <f aca="false">INDEX(Segmentation!$T$2:$T$301,MATCH($A135,Segmentation!$A$2:$A$301,0))</f>
        <v>9. Long-Tail Automated Nurture</v>
      </c>
      <c r="E135" s="2" t="str">
        <f aca="false">INDEX(Segmentation!$J$2:$J$301,MATCH($A135,Segmentation!$A$2:$A$301,0))</f>
        <v>Tail</v>
      </c>
      <c r="F135" s="2" t="str">
        <f aca="false">INDEX(Segmentation!$G$2:$G$301,MATCH($A135,Segmentation!$A$2:$A$301,0))</f>
        <v>Low</v>
      </c>
      <c r="G135" s="2" t="str">
        <f aca="false">INDEX(Segmentation!$N$2:$N$301,MATCH($A135,Segmentation!$A$2:$A$301,0))</f>
        <v>H2 Active / No H1 GMV</v>
      </c>
      <c r="H135" s="9" t="n">
        <f aca="false">INDEX(Segmentation!$I$2:$I$301,MATCH($A135,Segmentation!$A$2:$A$301,0))</f>
        <v>355</v>
      </c>
      <c r="I135" s="2" t="n">
        <f aca="false">INDEX(Segmentation!$O$2:$O$301,MATCH($A135,Segmentation!$A$2:$A$301,0))</f>
        <v>1</v>
      </c>
      <c r="J135" s="2" t="n">
        <f aca="false">INDEX(Segmentation!$Q$2:$Q$301,MATCH($A135,Segmentation!$A$2:$A$301,0))</f>
        <v>1</v>
      </c>
      <c r="K135" s="2" t="n">
        <f aca="false">INDEX(Segmentation!$W$2:$W$301,MATCH($A135,Segmentation!$A$2:$A$301,0))</f>
        <v>1</v>
      </c>
      <c r="L135" s="9" t="n">
        <f aca="false">INDEX('Commercial View'!$L$2:$L$301,MATCH($A135,'Commercial View'!$A$2:$A$301,0))</f>
        <v>0</v>
      </c>
      <c r="M135" s="9" t="n">
        <f aca="false">INDEX('Commercial View'!$M$2:$M$301,MATCH($A135,'Commercial View'!$A$2:$A$301,0))</f>
        <v>0</v>
      </c>
      <c r="N135" s="9" t="n">
        <f aca="false">INDEX('Commercial View'!$N$2:$N$301,MATCH($A135,'Commercial View'!$A$2:$A$301,0))</f>
        <v>355</v>
      </c>
      <c r="O135" s="9" t="n">
        <f aca="false">INDEX(Segmentation!$L$2:$L$301,MATCH($A135,Segmentation!$A$2:$A$301,0))</f>
        <v>355</v>
      </c>
      <c r="P135" s="2" t="str">
        <f aca="false">IF(OR(M135&gt;0,N135&gt;0),"Recently Active",IF(OR(I135&lt;=Assumptions!$B$48,K135&lt;=Assumptions!$B$49),"No Meaningful History","Recent Inactivity"))</f>
        <v>Recently Active</v>
      </c>
      <c r="Q135" s="2" t="str">
        <f aca="false">INDEX(Segmentation!$AF$2:$AF$301,MATCH($A135,Segmentation!$A$2:$A$301,0))</f>
        <v>Returned Customer</v>
      </c>
      <c r="R135" s="2" t="str">
        <f aca="false">INDEX(Segmentation!$AL$2:$AL$301,MATCH($A135,Segmentation!$A$2:$A$301,0))</f>
        <v>N/A</v>
      </c>
      <c r="S135" s="10" t="b">
        <f aca="false">INDEX(Segmentation!$AW$2:$AW$301,MATCH($A135,Segmentation!$A$2:$A$301,0))</f>
        <v>0</v>
      </c>
      <c r="T135" s="2" t="str">
        <f aca="false">INDEX('Feature Data'!$AD$2:$AD$301,MATCH($A135,'Feature Data'!$A$2:$A$301,0))</f>
        <v>Engaged, not converting</v>
      </c>
      <c r="U135" s="2" t="str">
        <f aca="false">INDEX('Feature Data'!$W$2:$W$301,MATCH($A135,'Feature Data'!$A$2:$A$301,0))</f>
        <v>Bundle-only</v>
      </c>
      <c r="V135" s="2" t="n">
        <f aca="false">INDEX('Feature Data'!$P$2:$P$301,MATCH($A135,'Feature Data'!$A$2:$A$301,0))</f>
        <v>268</v>
      </c>
      <c r="W135" s="2" t="n">
        <f aca="false">INDEX(Segmentation!$R$2:$R$301,MATCH($A135,Segmentation!$A$2:$A$301,0))</f>
        <v>11</v>
      </c>
      <c r="X135" s="2" t="n">
        <f aca="false">INDEX(Segmentation!$S$2:$S$301,MATCH($A135,Segmentation!$A$2:$A$301,0))</f>
        <v>16</v>
      </c>
      <c r="Y135" s="10" t="b">
        <f aca="false">INDEX(Segmentation!$AG$2:$AG$301,MATCH($A135,Segmentation!$A$2:$A$301,0))</f>
        <v>0</v>
      </c>
      <c r="Z135" s="2" t="str">
        <f aca="false">INDEX(Segmentation!$AU$2:$AU$301,MATCH($A135,Segmentation!$A$2:$A$301,0))</f>
        <v>Not Eligible</v>
      </c>
      <c r="AA135" s="10" t="b">
        <f aca="false">INDEX(Segmentation!$Z$2:$Z$301,MATCH($A135,Segmentation!$A$2:$A$301,0))</f>
        <v>0</v>
      </c>
      <c r="AB135" s="10" t="b">
        <f aca="false">INDEX(Segmentation!$AH$2:$AH$301,MATCH($A135,Segmentation!$A$2:$A$301,0))</f>
        <v>0</v>
      </c>
      <c r="AC135" s="10" t="b">
        <f aca="false">INDEX(Segmentation!$AK$2:$AK$301,MATCH($A135,Segmentation!$A$2:$A$301,0))</f>
        <v>1</v>
      </c>
      <c r="AD135" s="10" t="b">
        <f aca="false">INDEX(Segmentation!$AQ$2:$AQ$301,MATCH($A135,Segmentation!$A$2:$A$301,0))</f>
        <v>0</v>
      </c>
      <c r="AE135" s="10" t="b">
        <f aca="false">INDEX(Segmentation!$AT$2:$AT$301,MATCH($A135,Segmentation!$A$2:$A$301,0))</f>
        <v>0</v>
      </c>
      <c r="AF135" s="10" t="b">
        <f aca="false">INDEX(Segmentation!$X$2:$X$301,MATCH($A135,Segmentation!$A$2:$A$301,0))</f>
        <v>1</v>
      </c>
      <c r="AG135" s="10" t="b">
        <f aca="false">AND(F135="Low",V135&gt;=Assumptions!$B$71,X135&lt;Assumptions!$B$72)</f>
        <v>0</v>
      </c>
      <c r="AH135" s="10" t="b">
        <f aca="false">AND(F135="Low",OR(G135="Growing",G135="Stable"),P135="Recently Active",V135&gt;=Assumptions!$B$58,K135&gt;=Assumptions!$B$73)</f>
        <v>0</v>
      </c>
      <c r="AI135" s="17" t="n">
        <f aca="false">IF(O135&gt;0,MAX(L135:N135)/O135,"")</f>
        <v>1</v>
      </c>
      <c r="AJ135" s="2" t="str">
        <f aca="false">IF(LEFT(D135,1)="1",IF(E135="Key","MIGRATION_KEY_SIGNOFF",IF(Z135="Ready","MIGRATION_PHASE1_READY",IF(Z135="Manual Review","MIGRATION_PHASE1_REVIEW","MIGRATION_PRE_ENTRY"))),IF(LEFT(D135,1)="2","DECLINING_KEY_CORE",IF(LEFT(D135,1)="3",IF(R135="Established Buyer Lapsed","LAPSED_ESTABLISHED","LAPSED_THIN_HISTORY"),IF(LEFT(D135,1)="4",IF(Q135="New Customer","NEW_CUSTOMER","RETURNED_CUSTOMER"),IF(LEFT(D135,1)="5",IF(P135="Recently Active","COST_TO_SERVE_ACTIVE","DORMANT_LOW_VALUE"),IF(LEFT(D135,1)="6",IF(P135="Recent Inactivity","RECENT_INACTIVITY",IF(AG135,"BROWSING_LOW_OFFERS","HEALTHY_STRONG_SELF_SERVE")),IF(LEFT(D135,1)="7",IF(P135="Recent Inactivity","RECENT_INACTIVITY",IF(Q135="New Customer","NEW_CUSTOMER","RETURNED_CUSTOMER")),IF(LEFT(D135,1)="8",IF(G135="Declining",IF(T135="Engaged but shrinking (Key/Core)","ENGAGED_BUT_SHRINKING","DECLINING_KEY_CORE"),IF(R135="Established Buyer Lapsed","LAPSED_ESTABLISHED","LAPSED_THIN_HISTORY")),IF(S135,IF(P135&lt;&gt;"Recently Active","DORMANT_LOW_VALUE",IF(AG135,"BROWSING_LOW_OFFERS",IF(AH135,"RISING_TAIL","RISING_TAIL_EARLY"))),IF(AND(AG135,P135="Recently Active",OR(G135="Growing",G135="Stable",G135="H2 Active / No H1 GMV"),I135&gt;=Assumptions!$B$74),"BROWSING_LOW_OFFERS","LONG_TAIL_STANDARD"))))))))))</f>
        <v>LONG_TAIL_STANDARD</v>
      </c>
      <c r="AK135" s="2" t="str">
        <f aca="false">INDEX('NBA Library'!$B$4:$B$21,MATCH(AJ135,'NBA Library'!$A$4:$A$21,0))</f>
        <v>Automated Nurture</v>
      </c>
      <c r="AL135" s="2" t="str">
        <f aca="false">INDEX('NBA Library'!$C$4:$C$21,MATCH(AJ135,'NBA Library'!$A$4:$A$21,0))</f>
        <v>Automated</v>
      </c>
      <c r="AM135" s="2" t="str">
        <f aca="false">IF(AA135,"HOLD — Critical Data Issue",IF(Y135,"Human Sign-Off Required",IF(Z135="Manual Review","Human Review Required",IF(AND(AL135="Automated",OR(AE135,AND(OR(AK135="Discovery-to-Offer Enablement",AK135="Reinforce Successful Behaviour"),OR(AC135,AB135)))),"Human Review Required",IF(AL135="Human","Ready — Human",IF(AL135="Hybrid","Ready — Hybrid","Ready — Automated"))))))</f>
        <v>Ready — Automated</v>
      </c>
      <c r="AN135" s="2" t="str">
        <f aca="false">IF(AA135,"P0",IF(AND(AJ135="BROWSING_LOW_OFFERS",E135="Tail"),"P3",IF(AND(AM135="Human Review Required",INDEX('NBA Library'!$D$4:$D$21,MATCH(AJ135,'NBA Library'!$A$4:$A$21,0))="P4"),"P3",INDEX('NBA Library'!$D$4:$D$21,MATCH(AJ135,'NBA Library'!$A$4:$A$21,0)))))</f>
        <v>P4</v>
      </c>
      <c r="AO135" s="2" t="str">
        <f aca="false">E135&amp;" "&amp;C135&amp;" account ("&amp;B135&amp;"); "&amp;G135&amp;" momentum; "&amp;P135&amp;"; £"&amp;TEXT(H135,"#,##0")&amp;" 6m GMV. "&amp;INDEX('NBA Library'!$G$4:$G$21,MATCH(AJ135,'NBA Library'!$A$4:$A$21,0))&amp;IF(LEFT(D135,1)="1"," Baseline: "&amp;V135&amp;" PDP views, "&amp;W135&amp;" app days, "&amp;X135&amp;" offers, "&amp;TEXT(J135/I135,"0%")&amp;" of orders self-serve.","")&amp;IF(AA135," Execution on HOLD until the Duplicate status is resolved.","")&amp;IF(Y135," Key account: explicit AM/leadership sign-off required before any migration activity.","")&amp;IF(AE135," Implied broker % from order counts would move this account to a different segment; review before automating.","")</f>
        <v>Tail AM-Owned / Self-Serving account (Account Managed); H2 Active / No H1 GMV momentum; Recently Active; £355 6m GMV. Low-value, low-dependency account. Scalable automated engagement.</v>
      </c>
      <c r="AP135" s="2" t="str">
        <f aca="false">INDEX('NBA Library'!$E$4:$E$21,MATCH(AJ135,'NBA Library'!$A$4:$A$21,0))&amp;IF(AND(AJ135="NEW_CUSTOMER",AG135),"; introduce Make-an-Offer on items already browsed","")</f>
        <v>Scalable automated engagement matched to nurture sub-context</v>
      </c>
      <c r="AQ135" s="2" t="str">
        <f aca="false">INDEX('NBA Library'!$F$4:$F$21,MATCH(AJ135,'NBA Library'!$A$4:$A$21,0))</f>
        <v>Any repeat order within 90 days</v>
      </c>
      <c r="AR135" s="2" t="str">
        <f aca="false">IF(AND(F135="Low",OR(G135="Growing",G135="Stable"),P135="Recently Active",U135&lt;&gt;"Mixed",OR(AK135="Discovery-to-Offer Enablement",AK135="Reinforce Successful Behaviour"),AM135="Ready — Automated",OR(E135&lt;&gt;"Tail",S135)),"Range Expansion Test — trial "&amp;IF(U135="Bundle-only","handpick","bundles")&amp;" (experimental; not proven to lift GMV)","")</f>
        <v/>
      </c>
      <c r="AS135" s="2" t="str">
        <f aca="false">IF(AK135&lt;&gt;"Automated Nurture","",IF(AJ135="DORMANT_LOW_VALUE","Dormant",IF(AJ135="RISING_TAIL_EARLY","Rising tail – early pattern",IF(Q135="New Customer","New customer onboarding",IF(Q135="Returned Customer","Returned customer",IF(G135="Lapsed","Dormant",IF(T135="Engaged, not converting","Engaged, not converting",IF(T135="One-off low-touch buyer","One-off purchaser",IF(T135="Light-touch repeat buyer","Light-touch repeat buyer","Standard long tail")))))))))</f>
        <v>Returned customer</v>
      </c>
      <c r="AT135" s="2" t="str">
        <f aca="false">IF(AA135,"CRITICAL_DATA_BLOCKER; ","")&amp;IF(Y135,"KEY_SIGNOFF; ","")&amp;IF(Z135="Manual Review","PHASE1_MANUAL_REVIEW; ","")&amp;IF(AND(LEFT(D135,1)="1",AZ135="Lumpy"),"LUMPY_CADENCE; ","")&amp;IF(AB135,"BORDERLINE_MOMENTUM; ","")&amp;IF(AC135,"FEB_SENSITIVE; ","")&amp;IF(AD135,"MATERIAL_BROKER_INCONSISTENCY"&amp;IF(AE135," (segment would change)","")&amp;"; ","")&amp;IF(AND(I135&gt;=3,O135&gt;0),IF(AI135&gt;=Assumptions!$B$75,"H2_SINGLE_MONTH_SPIKE; ",""),"")&amp;IF(AND(M135&gt;0,N135=0),"NO_FEB_GMV (Feb unconfirmed); ","")&amp;IF(AF135,"LOW_CONFIDENCE; ","")</f>
        <v>FEB_SENSITIVE; LOW_CONFIDENCE; </v>
      </c>
      <c r="AU135" s="2" t="str">
        <f aca="false">IF(LEFT(D135,1)="1",V135,"")</f>
        <v/>
      </c>
      <c r="AV135" s="2" t="str">
        <f aca="false">IF(LEFT(D135,1)="1",V135&gt;=Assumptions!$B$58,"")</f>
        <v/>
      </c>
      <c r="AW135" s="2" t="str">
        <f aca="false">IF(LEFT(D135,1)="1",W135,"")</f>
        <v/>
      </c>
      <c r="AX135" s="2" t="str">
        <f aca="false">IF(LEFT(D135,1)="1",X135,"")</f>
        <v/>
      </c>
      <c r="AY135" s="17" t="str">
        <f aca="false">IF(LEFT(D135,1)="1",J135/I135,"")</f>
        <v/>
      </c>
      <c r="AZ135" s="2" t="str">
        <f aca="false">IF(LEFT(D135,1)="1",IF(AND(K135&gt;=Assumptions!$B$83,I135&gt;=Assumptions!$B$84),"Regular","Lumpy"),"")</f>
        <v/>
      </c>
      <c r="BA135" s="2" t="str">
        <f aca="false">IF(LEFT(D135,1)="1",ROUND(6/K135,0),"")</f>
        <v/>
      </c>
      <c r="BB135" s="2" t="str">
        <f aca="false">IF(LEFT(D135,1)="1",IF(AZ135="Regular","Regular buyer: expected ~£"&amp;TEXT(H135/2,"#,##0")&amp;" per 90 days. At Risk if GMV to date &lt; "&amp;TEXT(Assumptions!$B$81,"0%")&amp;" of pro-rated expectation, checked from day "&amp;Assumptions!$B$82&amp;". Human-reviewed.","Irregular buyer ("&amp;I135&amp;" orders across "&amp;K135&amp;" months): no numeric GMV threshold. At Risk if no order within ~"&amp;BA135&amp;" month(s); AM reviews at day "&amp;Assumptions!$B$82&amp;" and "&amp;Assumptions!$B$85&amp;"."),"")</f>
        <v/>
      </c>
      <c r="BC135" s="2"/>
      <c r="BD135" s="2"/>
      <c r="BE135" s="2"/>
      <c r="BF135" s="2"/>
      <c r="BG135" s="2"/>
      <c r="BH135" s="2"/>
      <c r="BI135" s="2"/>
      <c r="BJ135" s="2" t="str">
        <f aca="false">IF(OR(NOT(LEFT(D135,1)="1"),BC135=""),"",IF(AZ135="Regular",AND(BC135&gt;=Assumptions!$B$82,N(BI135)&lt;Assumptions!$B$81*H135/180*BC135),AND(BC135&gt;=BA135*30,N(BG135)=0)))</f>
        <v/>
      </c>
      <c r="BK135" s="2" t="str">
        <f aca="false">IF(NOT(LEFT(D135,1)="1"),"N/A",IF(BC135="","Baseline",IF(BJ135,"At Risk",IF(AND(N(BD135)&gt;=Assumptions!$B$78,N(BE135)&gt;=Assumptions!$B$79,N(BH135)&gt;=1,N(BH135)/MAX(N(BG135),1)&gt;AY135),"Self-Serve Capability Demonstrated",IF(OR(N(BD135)&gt;=Assumptions!$B$76,N(BE135)&gt;=Assumptions!$B$77),"Progressing",IF(BC135&gt;=Assumptions!$B$85,"At Risk","Baseline"))))))</f>
        <v>N/A</v>
      </c>
      <c r="BL135" s="2" t="n">
        <f aca="false">(AND(C135="Broker-Reliant",OR(AK135="Discovery-to-Offer Enablement",AK135="Reinforce Successful Behaviour")))*1+(AND(G135="Declining",E135&lt;&gt;"Tail",AL135="Automated"))*1+(AND(Y135,AM135&lt;&gt;"Human Sign-Off Required"))*1+(AND(AA135,AM135&lt;&gt;"HOLD — Critical Data Issue"))*1+(AND(P135="Recent Inactivity",OR(AK135="Discovery-to-Offer Enablement",AK135="Reinforce Successful Behaviour")))*1+(AND(OR(LEFT(D135,1)="2",LEFT(D135,1)="3",LEFT(D135,1)="8"),AL135="Automated"))*1+((LEFT(D135,1)="1")&lt;&gt;(AK135="Guided Self-Serve Migration"))*1+(AND(AR135&lt;&gt;"",OR(F135&lt;&gt;"Low",U135="Mixed",AND(G135&lt;&gt;"Growing",G135&lt;&gt;"Stable"))))*1+ISNUMBER(SEARCH("chat",AP135))*1+ISNUMBER(SEARCH("video",AP135))*1+(AND(AA135,AL135="Automated",AM135&lt;&gt;"HOLD — Critical Data Issue"))*1</f>
        <v>0</v>
      </c>
    </row>
    <row r="136" customFormat="false" ht="15" hidden="false" customHeight="false" outlineLevel="0" collapsed="false">
      <c r="A136" s="2" t="s">
        <v>746</v>
      </c>
      <c r="B136" s="2" t="str">
        <f aca="false">INDEX(Segmentation!$B$2:$B$301,MATCH($A136,Segmentation!$A$2:$A$301,0))</f>
        <v>Account Managed</v>
      </c>
      <c r="C136" s="2" t="str">
        <f aca="false">INDEX(Segmentation!$H$2:$H$301,MATCH($A136,Segmentation!$A$2:$A$301,0))</f>
        <v>AM-Owned / Self-Serving</v>
      </c>
      <c r="D136" s="2" t="str">
        <f aca="false">INDEX(Segmentation!$T$2:$T$301,MATCH($A136,Segmentation!$A$2:$A$301,0))</f>
        <v>9. Long-Tail Automated Nurture</v>
      </c>
      <c r="E136" s="2" t="str">
        <f aca="false">INDEX(Segmentation!$J$2:$J$301,MATCH($A136,Segmentation!$A$2:$A$301,0))</f>
        <v>Tail</v>
      </c>
      <c r="F136" s="2" t="str">
        <f aca="false">INDEX(Segmentation!$G$2:$G$301,MATCH($A136,Segmentation!$A$2:$A$301,0))</f>
        <v>Low</v>
      </c>
      <c r="G136" s="2" t="str">
        <f aca="false">INDEX(Segmentation!$N$2:$N$301,MATCH($A136,Segmentation!$A$2:$A$301,0))</f>
        <v>Lapsed</v>
      </c>
      <c r="H136" s="9" t="n">
        <f aca="false">INDEX(Segmentation!$I$2:$I$301,MATCH($A136,Segmentation!$A$2:$A$301,0))</f>
        <v>353</v>
      </c>
      <c r="I136" s="2" t="n">
        <f aca="false">INDEX(Segmentation!$O$2:$O$301,MATCH($A136,Segmentation!$A$2:$A$301,0))</f>
        <v>2</v>
      </c>
      <c r="J136" s="2" t="n">
        <f aca="false">INDEX(Segmentation!$Q$2:$Q$301,MATCH($A136,Segmentation!$A$2:$A$301,0))</f>
        <v>2</v>
      </c>
      <c r="K136" s="2" t="n">
        <f aca="false">INDEX(Segmentation!$W$2:$W$301,MATCH($A136,Segmentation!$A$2:$A$301,0))</f>
        <v>2</v>
      </c>
      <c r="L136" s="9" t="n">
        <f aca="false">INDEX('Commercial View'!$L$2:$L$301,MATCH($A136,'Commercial View'!$A$2:$A$301,0))</f>
        <v>0</v>
      </c>
      <c r="M136" s="9" t="n">
        <f aca="false">INDEX('Commercial View'!$M$2:$M$301,MATCH($A136,'Commercial View'!$A$2:$A$301,0))</f>
        <v>0</v>
      </c>
      <c r="N136" s="9" t="n">
        <f aca="false">INDEX('Commercial View'!$N$2:$N$301,MATCH($A136,'Commercial View'!$A$2:$A$301,0))</f>
        <v>0</v>
      </c>
      <c r="O136" s="9" t="n">
        <f aca="false">INDEX(Segmentation!$L$2:$L$301,MATCH($A136,Segmentation!$A$2:$A$301,0))</f>
        <v>0</v>
      </c>
      <c r="P136" s="2" t="str">
        <f aca="false">IF(OR(M136&gt;0,N136&gt;0),"Recently Active",IF(OR(I136&lt;=Assumptions!$B$48,K136&lt;=Assumptions!$B$49),"No Meaningful History","Recent Inactivity"))</f>
        <v>No Meaningful History</v>
      </c>
      <c r="Q136" s="2" t="str">
        <f aca="false">INDEX(Segmentation!$AF$2:$AF$301,MATCH($A136,Segmentation!$A$2:$A$301,0))</f>
        <v>Existing Customer</v>
      </c>
      <c r="R136" s="2" t="str">
        <f aca="false">INDEX(Segmentation!$AL$2:$AL$301,MATCH($A136,Segmentation!$A$2:$A$301,0))</f>
        <v>One-Off / Insufficient History — Verify</v>
      </c>
      <c r="S136" s="10" t="b">
        <f aca="false">INDEX(Segmentation!$AW$2:$AW$301,MATCH($A136,Segmentation!$A$2:$A$301,0))</f>
        <v>0</v>
      </c>
      <c r="T136" s="2" t="str">
        <f aca="false">INDEX('Feature Data'!$AD$2:$AD$301,MATCH($A136,'Feature Data'!$A$2:$A$301,0))</f>
        <v>Light-touch repeat buyer</v>
      </c>
      <c r="U136" s="2" t="str">
        <f aca="false">INDEX('Feature Data'!$W$2:$W$301,MATCH($A136,'Feature Data'!$A$2:$A$301,0))</f>
        <v>Bundle-only</v>
      </c>
      <c r="V136" s="2" t="n">
        <f aca="false">INDEX('Feature Data'!$P$2:$P$301,MATCH($A136,'Feature Data'!$A$2:$A$301,0))</f>
        <v>62</v>
      </c>
      <c r="W136" s="2" t="n">
        <f aca="false">INDEX(Segmentation!$R$2:$R$301,MATCH($A136,Segmentation!$A$2:$A$301,0))</f>
        <v>7</v>
      </c>
      <c r="X136" s="2" t="n">
        <f aca="false">INDEX(Segmentation!$S$2:$S$301,MATCH($A136,Segmentation!$A$2:$A$301,0))</f>
        <v>0</v>
      </c>
      <c r="Y136" s="10" t="b">
        <f aca="false">INDEX(Segmentation!$AG$2:$AG$301,MATCH($A136,Segmentation!$A$2:$A$301,0))</f>
        <v>0</v>
      </c>
      <c r="Z136" s="2" t="str">
        <f aca="false">INDEX(Segmentation!$AU$2:$AU$301,MATCH($A136,Segmentation!$A$2:$A$301,0))</f>
        <v>Not Eligible</v>
      </c>
      <c r="AA136" s="10" t="b">
        <f aca="false">INDEX(Segmentation!$Z$2:$Z$301,MATCH($A136,Segmentation!$A$2:$A$301,0))</f>
        <v>0</v>
      </c>
      <c r="AB136" s="10" t="b">
        <f aca="false">INDEX(Segmentation!$AH$2:$AH$301,MATCH($A136,Segmentation!$A$2:$A$301,0))</f>
        <v>0</v>
      </c>
      <c r="AC136" s="10" t="b">
        <f aca="false">INDEX(Segmentation!$AK$2:$AK$301,MATCH($A136,Segmentation!$A$2:$A$301,0))</f>
        <v>0</v>
      </c>
      <c r="AD136" s="10" t="b">
        <f aca="false">INDEX(Segmentation!$AQ$2:$AQ$301,MATCH($A136,Segmentation!$A$2:$A$301,0))</f>
        <v>0</v>
      </c>
      <c r="AE136" s="10" t="b">
        <f aca="false">INDEX(Segmentation!$AT$2:$AT$301,MATCH($A136,Segmentation!$A$2:$A$301,0))</f>
        <v>0</v>
      </c>
      <c r="AF136" s="10" t="b">
        <f aca="false">INDEX(Segmentation!$X$2:$X$301,MATCH($A136,Segmentation!$A$2:$A$301,0))</f>
        <v>1</v>
      </c>
      <c r="AG136" s="10" t="b">
        <f aca="false">AND(F136="Low",V136&gt;=Assumptions!$B$71,X136&lt;Assumptions!$B$72)</f>
        <v>1</v>
      </c>
      <c r="AH136" s="10" t="b">
        <f aca="false">AND(F136="Low",OR(G136="Growing",G136="Stable"),P136="Recently Active",V136&gt;=Assumptions!$B$58,K136&gt;=Assumptions!$B$73)</f>
        <v>0</v>
      </c>
      <c r="AI136" s="17" t="str">
        <f aca="false">IF(O136&gt;0,MAX(L136:N136)/O136,"")</f>
        <v/>
      </c>
      <c r="AJ136" s="2" t="str">
        <f aca="false">IF(LEFT(D136,1)="1",IF(E136="Key","MIGRATION_KEY_SIGNOFF",IF(Z136="Ready","MIGRATION_PHASE1_READY",IF(Z136="Manual Review","MIGRATION_PHASE1_REVIEW","MIGRATION_PRE_ENTRY"))),IF(LEFT(D136,1)="2","DECLINING_KEY_CORE",IF(LEFT(D136,1)="3",IF(R136="Established Buyer Lapsed","LAPSED_ESTABLISHED","LAPSED_THIN_HISTORY"),IF(LEFT(D136,1)="4",IF(Q136="New Customer","NEW_CUSTOMER","RETURNED_CUSTOMER"),IF(LEFT(D136,1)="5",IF(P136="Recently Active","COST_TO_SERVE_ACTIVE","DORMANT_LOW_VALUE"),IF(LEFT(D136,1)="6",IF(P136="Recent Inactivity","RECENT_INACTIVITY",IF(AG136,"BROWSING_LOW_OFFERS","HEALTHY_STRONG_SELF_SERVE")),IF(LEFT(D136,1)="7",IF(P136="Recent Inactivity","RECENT_INACTIVITY",IF(Q136="New Customer","NEW_CUSTOMER","RETURNED_CUSTOMER")),IF(LEFT(D136,1)="8",IF(G136="Declining",IF(T136="Engaged but shrinking (Key/Core)","ENGAGED_BUT_SHRINKING","DECLINING_KEY_CORE"),IF(R136="Established Buyer Lapsed","LAPSED_ESTABLISHED","LAPSED_THIN_HISTORY")),IF(S136,IF(P136&lt;&gt;"Recently Active","DORMANT_LOW_VALUE",IF(AG136,"BROWSING_LOW_OFFERS",IF(AH136,"RISING_TAIL","RISING_TAIL_EARLY"))),IF(AND(AG136,P136="Recently Active",OR(G136="Growing",G136="Stable",G136="H2 Active / No H1 GMV"),I136&gt;=Assumptions!$B$74),"BROWSING_LOW_OFFERS","LONG_TAIL_STANDARD"))))))))))</f>
        <v>LONG_TAIL_STANDARD</v>
      </c>
      <c r="AK136" s="2" t="str">
        <f aca="false">INDEX('NBA Library'!$B$4:$B$21,MATCH(AJ136,'NBA Library'!$A$4:$A$21,0))</f>
        <v>Automated Nurture</v>
      </c>
      <c r="AL136" s="2" t="str">
        <f aca="false">INDEX('NBA Library'!$C$4:$C$21,MATCH(AJ136,'NBA Library'!$A$4:$A$21,0))</f>
        <v>Automated</v>
      </c>
      <c r="AM136" s="2" t="str">
        <f aca="false">IF(AA136,"HOLD — Critical Data Issue",IF(Y136,"Human Sign-Off Required",IF(Z136="Manual Review","Human Review Required",IF(AND(AL136="Automated",OR(AE136,AND(OR(AK136="Discovery-to-Offer Enablement",AK136="Reinforce Successful Behaviour"),OR(AC136,AB136)))),"Human Review Required",IF(AL136="Human","Ready — Human",IF(AL136="Hybrid","Ready — Hybrid","Ready — Automated"))))))</f>
        <v>Ready — Automated</v>
      </c>
      <c r="AN136" s="2" t="str">
        <f aca="false">IF(AA136,"P0",IF(AND(AJ136="BROWSING_LOW_OFFERS",E136="Tail"),"P3",IF(AND(AM136="Human Review Required",INDEX('NBA Library'!$D$4:$D$21,MATCH(AJ136,'NBA Library'!$A$4:$A$21,0))="P4"),"P3",INDEX('NBA Library'!$D$4:$D$21,MATCH(AJ136,'NBA Library'!$A$4:$A$21,0)))))</f>
        <v>P4</v>
      </c>
      <c r="AO136" s="2" t="str">
        <f aca="false">E136&amp;" "&amp;C136&amp;" account ("&amp;B136&amp;"); "&amp;G136&amp;" momentum; "&amp;P136&amp;"; £"&amp;TEXT(H136,"#,##0")&amp;" 6m GMV. "&amp;INDEX('NBA Library'!$G$4:$G$21,MATCH(AJ136,'NBA Library'!$A$4:$A$21,0))&amp;IF(LEFT(D136,1)="1"," Baseline: "&amp;V136&amp;" PDP views, "&amp;W136&amp;" app days, "&amp;X136&amp;" offers, "&amp;TEXT(J136/I136,"0%")&amp;" of orders self-serve.","")&amp;IF(AA136," Execution on HOLD until the Duplicate status is resolved.","")&amp;IF(Y136," Key account: explicit AM/leadership sign-off required before any migration activity.","")&amp;IF(AE136," Implied broker % from order counts would move this account to a different segment; review before automating.","")</f>
        <v>Tail AM-Owned / Self-Serving account (Account Managed); Lapsed momentum; No Meaningful History; £353 6m GMV. Low-value, low-dependency account. Scalable automated engagement.</v>
      </c>
      <c r="AP136" s="2" t="str">
        <f aca="false">INDEX('NBA Library'!$E$4:$E$21,MATCH(AJ136,'NBA Library'!$A$4:$A$21,0))&amp;IF(AND(AJ136="NEW_CUSTOMER",AG136),"; introduce Make-an-Offer on items already browsed","")</f>
        <v>Scalable automated engagement matched to nurture sub-context</v>
      </c>
      <c r="AQ136" s="2" t="str">
        <f aca="false">INDEX('NBA Library'!$F$4:$F$21,MATCH(AJ136,'NBA Library'!$A$4:$A$21,0))</f>
        <v>Any repeat order within 90 days</v>
      </c>
      <c r="AR136" s="2" t="str">
        <f aca="false">IF(AND(F136="Low",OR(G136="Growing",G136="Stable"),P136="Recently Active",U136&lt;&gt;"Mixed",OR(AK136="Discovery-to-Offer Enablement",AK136="Reinforce Successful Behaviour"),AM136="Ready — Automated",OR(E136&lt;&gt;"Tail",S136)),"Range Expansion Test — trial "&amp;IF(U136="Bundle-only","handpick","bundles")&amp;" (experimental; not proven to lift GMV)","")</f>
        <v/>
      </c>
      <c r="AS136" s="2" t="str">
        <f aca="false">IF(AK136&lt;&gt;"Automated Nurture","",IF(AJ136="DORMANT_LOW_VALUE","Dormant",IF(AJ136="RISING_TAIL_EARLY","Rising tail – early pattern",IF(Q136="New Customer","New customer onboarding",IF(Q136="Returned Customer","Returned customer",IF(G136="Lapsed","Dormant",IF(T136="Engaged, not converting","Engaged, not converting",IF(T136="One-off low-touch buyer","One-off purchaser",IF(T136="Light-touch repeat buyer","Light-touch repeat buyer","Standard long tail")))))))))</f>
        <v>Dormant</v>
      </c>
      <c r="AT136" s="2" t="str">
        <f aca="false">IF(AA136,"CRITICAL_DATA_BLOCKER; ","")&amp;IF(Y136,"KEY_SIGNOFF; ","")&amp;IF(Z136="Manual Review","PHASE1_MANUAL_REVIEW; ","")&amp;IF(AND(LEFT(D136,1)="1",AZ136="Lumpy"),"LUMPY_CADENCE; ","")&amp;IF(AB136,"BORDERLINE_MOMENTUM; ","")&amp;IF(AC136,"FEB_SENSITIVE; ","")&amp;IF(AD136,"MATERIAL_BROKER_INCONSISTENCY"&amp;IF(AE136," (segment would change)","")&amp;"; ","")&amp;IF(AND(I136&gt;=3,O136&gt;0),IF(AI136&gt;=Assumptions!$B$75,"H2_SINGLE_MONTH_SPIKE; ",""),"")&amp;IF(AND(M136&gt;0,N136=0),"NO_FEB_GMV (Feb unconfirmed); ","")&amp;IF(AF136,"LOW_CONFIDENCE; ","")</f>
        <v>LOW_CONFIDENCE; </v>
      </c>
      <c r="AU136" s="2" t="str">
        <f aca="false">IF(LEFT(D136,1)="1",V136,"")</f>
        <v/>
      </c>
      <c r="AV136" s="2" t="str">
        <f aca="false">IF(LEFT(D136,1)="1",V136&gt;=Assumptions!$B$58,"")</f>
        <v/>
      </c>
      <c r="AW136" s="2" t="str">
        <f aca="false">IF(LEFT(D136,1)="1",W136,"")</f>
        <v/>
      </c>
      <c r="AX136" s="2" t="str">
        <f aca="false">IF(LEFT(D136,1)="1",X136,"")</f>
        <v/>
      </c>
      <c r="AY136" s="17" t="str">
        <f aca="false">IF(LEFT(D136,1)="1",J136/I136,"")</f>
        <v/>
      </c>
      <c r="AZ136" s="2" t="str">
        <f aca="false">IF(LEFT(D136,1)="1",IF(AND(K136&gt;=Assumptions!$B$83,I136&gt;=Assumptions!$B$84),"Regular","Lumpy"),"")</f>
        <v/>
      </c>
      <c r="BA136" s="2" t="str">
        <f aca="false">IF(LEFT(D136,1)="1",ROUND(6/K136,0),"")</f>
        <v/>
      </c>
      <c r="BB136" s="2" t="str">
        <f aca="false">IF(LEFT(D136,1)="1",IF(AZ136="Regular","Regular buyer: expected ~£"&amp;TEXT(H136/2,"#,##0")&amp;" per 90 days. At Risk if GMV to date &lt; "&amp;TEXT(Assumptions!$B$81,"0%")&amp;" of pro-rated expectation, checked from day "&amp;Assumptions!$B$82&amp;". Human-reviewed.","Irregular buyer ("&amp;I136&amp;" orders across "&amp;K136&amp;" months): no numeric GMV threshold. At Risk if no order within ~"&amp;BA136&amp;" month(s); AM reviews at day "&amp;Assumptions!$B$82&amp;" and "&amp;Assumptions!$B$85&amp;"."),"")</f>
        <v/>
      </c>
      <c r="BC136" s="2"/>
      <c r="BD136" s="2"/>
      <c r="BE136" s="2"/>
      <c r="BF136" s="2"/>
      <c r="BG136" s="2"/>
      <c r="BH136" s="2"/>
      <c r="BI136" s="2"/>
      <c r="BJ136" s="2" t="str">
        <f aca="false">IF(OR(NOT(LEFT(D136,1)="1"),BC136=""),"",IF(AZ136="Regular",AND(BC136&gt;=Assumptions!$B$82,N(BI136)&lt;Assumptions!$B$81*H136/180*BC136),AND(BC136&gt;=BA136*30,N(BG136)=0)))</f>
        <v/>
      </c>
      <c r="BK136" s="2" t="str">
        <f aca="false">IF(NOT(LEFT(D136,1)="1"),"N/A",IF(BC136="","Baseline",IF(BJ136,"At Risk",IF(AND(N(BD136)&gt;=Assumptions!$B$78,N(BE136)&gt;=Assumptions!$B$79,N(BH136)&gt;=1,N(BH136)/MAX(N(BG136),1)&gt;AY136),"Self-Serve Capability Demonstrated",IF(OR(N(BD136)&gt;=Assumptions!$B$76,N(BE136)&gt;=Assumptions!$B$77),"Progressing",IF(BC136&gt;=Assumptions!$B$85,"At Risk","Baseline"))))))</f>
        <v>N/A</v>
      </c>
      <c r="BL136" s="2" t="n">
        <f aca="false">(AND(C136="Broker-Reliant",OR(AK136="Discovery-to-Offer Enablement",AK136="Reinforce Successful Behaviour")))*1+(AND(G136="Declining",E136&lt;&gt;"Tail",AL136="Automated"))*1+(AND(Y136,AM136&lt;&gt;"Human Sign-Off Required"))*1+(AND(AA136,AM136&lt;&gt;"HOLD — Critical Data Issue"))*1+(AND(P136="Recent Inactivity",OR(AK136="Discovery-to-Offer Enablement",AK136="Reinforce Successful Behaviour")))*1+(AND(OR(LEFT(D136,1)="2",LEFT(D136,1)="3",LEFT(D136,1)="8"),AL136="Automated"))*1+((LEFT(D136,1)="1")&lt;&gt;(AK136="Guided Self-Serve Migration"))*1+(AND(AR136&lt;&gt;"",OR(F136&lt;&gt;"Low",U136="Mixed",AND(G136&lt;&gt;"Growing",G136&lt;&gt;"Stable"))))*1+ISNUMBER(SEARCH("chat",AP136))*1+ISNUMBER(SEARCH("video",AP136))*1+(AND(AA136,AL136="Automated",AM136&lt;&gt;"HOLD — Critical Data Issue"))*1</f>
        <v>0</v>
      </c>
    </row>
    <row r="137" customFormat="false" ht="15" hidden="false" customHeight="false" outlineLevel="0" collapsed="false">
      <c r="A137" s="2" t="s">
        <v>750</v>
      </c>
      <c r="B137" s="2" t="str">
        <f aca="false">INDEX(Segmentation!$B$2:$B$301,MATCH($A137,Segmentation!$A$2:$A$301,0))</f>
        <v>Account Managed</v>
      </c>
      <c r="C137" s="2" t="str">
        <f aca="false">INDEX(Segmentation!$H$2:$H$301,MATCH($A137,Segmentation!$A$2:$A$301,0))</f>
        <v>Broker-Reliant</v>
      </c>
      <c r="D137" s="2" t="str">
        <f aca="false">INDEX(Segmentation!$T$2:$T$301,MATCH($A137,Segmentation!$A$2:$A$301,0))</f>
        <v>5. Cost-to-Serve / Low-Touch</v>
      </c>
      <c r="E137" s="2" t="str">
        <f aca="false">INDEX(Segmentation!$J$2:$J$301,MATCH($A137,Segmentation!$A$2:$A$301,0))</f>
        <v>Tail</v>
      </c>
      <c r="F137" s="2" t="str">
        <f aca="false">INDEX(Segmentation!$G$2:$G$301,MATCH($A137,Segmentation!$A$2:$A$301,0))</f>
        <v>High</v>
      </c>
      <c r="G137" s="2" t="str">
        <f aca="false">INDEX(Segmentation!$N$2:$N$301,MATCH($A137,Segmentation!$A$2:$A$301,0))</f>
        <v>Lapsed</v>
      </c>
      <c r="H137" s="9" t="n">
        <f aca="false">INDEX(Segmentation!$I$2:$I$301,MATCH($A137,Segmentation!$A$2:$A$301,0))</f>
        <v>345</v>
      </c>
      <c r="I137" s="2" t="n">
        <f aca="false">INDEX(Segmentation!$O$2:$O$301,MATCH($A137,Segmentation!$A$2:$A$301,0))</f>
        <v>2</v>
      </c>
      <c r="J137" s="2" t="n">
        <f aca="false">INDEX(Segmentation!$Q$2:$Q$301,MATCH($A137,Segmentation!$A$2:$A$301,0))</f>
        <v>1</v>
      </c>
      <c r="K137" s="2" t="n">
        <f aca="false">INDEX(Segmentation!$W$2:$W$301,MATCH($A137,Segmentation!$A$2:$A$301,0))</f>
        <v>1</v>
      </c>
      <c r="L137" s="9" t="n">
        <f aca="false">INDEX('Commercial View'!$L$2:$L$301,MATCH($A137,'Commercial View'!$A$2:$A$301,0))</f>
        <v>0</v>
      </c>
      <c r="M137" s="9" t="n">
        <f aca="false">INDEX('Commercial View'!$M$2:$M$301,MATCH($A137,'Commercial View'!$A$2:$A$301,0))</f>
        <v>0</v>
      </c>
      <c r="N137" s="9" t="n">
        <f aca="false">INDEX('Commercial View'!$N$2:$N$301,MATCH($A137,'Commercial View'!$A$2:$A$301,0))</f>
        <v>0</v>
      </c>
      <c r="O137" s="9" t="n">
        <f aca="false">INDEX(Segmentation!$L$2:$L$301,MATCH($A137,Segmentation!$A$2:$A$301,0))</f>
        <v>0</v>
      </c>
      <c r="P137" s="2" t="str">
        <f aca="false">IF(OR(M137&gt;0,N137&gt;0),"Recently Active",IF(OR(I137&lt;=Assumptions!$B$48,K137&lt;=Assumptions!$B$49),"No Meaningful History","Recent Inactivity"))</f>
        <v>No Meaningful History</v>
      </c>
      <c r="Q137" s="2" t="str">
        <f aca="false">INDEX(Segmentation!$AF$2:$AF$301,MATCH($A137,Segmentation!$A$2:$A$301,0))</f>
        <v>Existing Customer</v>
      </c>
      <c r="R137" s="2" t="str">
        <f aca="false">INDEX(Segmentation!$AL$2:$AL$301,MATCH($A137,Segmentation!$A$2:$A$301,0))</f>
        <v>One-Off / Insufficient History — Verify</v>
      </c>
      <c r="S137" s="10" t="b">
        <f aca="false">INDEX(Segmentation!$AW$2:$AW$301,MATCH($A137,Segmentation!$A$2:$A$301,0))</f>
        <v>0</v>
      </c>
      <c r="T137" s="2" t="str">
        <f aca="false">INDEX('Feature Data'!$AD$2:$AD$301,MATCH($A137,'Feature Data'!$A$2:$A$301,0))</f>
        <v>Broker-led, product-blind</v>
      </c>
      <c r="U137" s="2" t="str">
        <f aca="false">INDEX('Feature Data'!$W$2:$W$301,MATCH($A137,'Feature Data'!$A$2:$A$301,0))</f>
        <v>Bundle-only</v>
      </c>
      <c r="V137" s="2" t="n">
        <f aca="false">INDEX('Feature Data'!$P$2:$P$301,MATCH($A137,'Feature Data'!$A$2:$A$301,0))</f>
        <v>9</v>
      </c>
      <c r="W137" s="2" t="n">
        <f aca="false">INDEX(Segmentation!$R$2:$R$301,MATCH($A137,Segmentation!$A$2:$A$301,0))</f>
        <v>3</v>
      </c>
      <c r="X137" s="2" t="n">
        <f aca="false">INDEX(Segmentation!$S$2:$S$301,MATCH($A137,Segmentation!$A$2:$A$301,0))</f>
        <v>1</v>
      </c>
      <c r="Y137" s="10" t="b">
        <f aca="false">INDEX(Segmentation!$AG$2:$AG$301,MATCH($A137,Segmentation!$A$2:$A$301,0))</f>
        <v>0</v>
      </c>
      <c r="Z137" s="2" t="str">
        <f aca="false">INDEX(Segmentation!$AU$2:$AU$301,MATCH($A137,Segmentation!$A$2:$A$301,0))</f>
        <v>Not Eligible</v>
      </c>
      <c r="AA137" s="10" t="b">
        <f aca="false">INDEX(Segmentation!$Z$2:$Z$301,MATCH($A137,Segmentation!$A$2:$A$301,0))</f>
        <v>0</v>
      </c>
      <c r="AB137" s="10" t="b">
        <f aca="false">INDEX(Segmentation!$AH$2:$AH$301,MATCH($A137,Segmentation!$A$2:$A$301,0))</f>
        <v>0</v>
      </c>
      <c r="AC137" s="10" t="b">
        <f aca="false">INDEX(Segmentation!$AK$2:$AK$301,MATCH($A137,Segmentation!$A$2:$A$301,0))</f>
        <v>0</v>
      </c>
      <c r="AD137" s="10" t="b">
        <f aca="false">INDEX(Segmentation!$AQ$2:$AQ$301,MATCH($A137,Segmentation!$A$2:$A$301,0))</f>
        <v>0</v>
      </c>
      <c r="AE137" s="10" t="b">
        <f aca="false">INDEX(Segmentation!$AT$2:$AT$301,MATCH($A137,Segmentation!$A$2:$A$301,0))</f>
        <v>0</v>
      </c>
      <c r="AF137" s="10" t="b">
        <f aca="false">INDEX(Segmentation!$X$2:$X$301,MATCH($A137,Segmentation!$A$2:$A$301,0))</f>
        <v>1</v>
      </c>
      <c r="AG137" s="10" t="b">
        <f aca="false">AND(F137="Low",V137&gt;=Assumptions!$B$71,X137&lt;Assumptions!$B$72)</f>
        <v>0</v>
      </c>
      <c r="AH137" s="10" t="b">
        <f aca="false">AND(F137="Low",OR(G137="Growing",G137="Stable"),P137="Recently Active",V137&gt;=Assumptions!$B$58,K137&gt;=Assumptions!$B$73)</f>
        <v>0</v>
      </c>
      <c r="AI137" s="17" t="str">
        <f aca="false">IF(O137&gt;0,MAX(L137:N137)/O137,"")</f>
        <v/>
      </c>
      <c r="AJ137" s="2" t="str">
        <f aca="false">IF(LEFT(D137,1)="1",IF(E137="Key","MIGRATION_KEY_SIGNOFF",IF(Z137="Ready","MIGRATION_PHASE1_READY",IF(Z137="Manual Review","MIGRATION_PHASE1_REVIEW","MIGRATION_PRE_ENTRY"))),IF(LEFT(D137,1)="2","DECLINING_KEY_CORE",IF(LEFT(D137,1)="3",IF(R137="Established Buyer Lapsed","LAPSED_ESTABLISHED","LAPSED_THIN_HISTORY"),IF(LEFT(D137,1)="4",IF(Q137="New Customer","NEW_CUSTOMER","RETURNED_CUSTOMER"),IF(LEFT(D137,1)="5",IF(P137="Recently Active","COST_TO_SERVE_ACTIVE","DORMANT_LOW_VALUE"),IF(LEFT(D137,1)="6",IF(P137="Recent Inactivity","RECENT_INACTIVITY",IF(AG137,"BROWSING_LOW_OFFERS","HEALTHY_STRONG_SELF_SERVE")),IF(LEFT(D137,1)="7",IF(P137="Recent Inactivity","RECENT_INACTIVITY",IF(Q137="New Customer","NEW_CUSTOMER","RETURNED_CUSTOMER")),IF(LEFT(D137,1)="8",IF(G137="Declining",IF(T137="Engaged but shrinking (Key/Core)","ENGAGED_BUT_SHRINKING","DECLINING_KEY_CORE"),IF(R137="Established Buyer Lapsed","LAPSED_ESTABLISHED","LAPSED_THIN_HISTORY")),IF(S137,IF(P137&lt;&gt;"Recently Active","DORMANT_LOW_VALUE",IF(AG137,"BROWSING_LOW_OFFERS",IF(AH137,"RISING_TAIL","RISING_TAIL_EARLY"))),IF(AND(AG137,P137="Recently Active",OR(G137="Growing",G137="Stable",G137="H2 Active / No H1 GMV"),I137&gt;=Assumptions!$B$74),"BROWSING_LOW_OFFERS","LONG_TAIL_STANDARD"))))))))))</f>
        <v>DORMANT_LOW_VALUE</v>
      </c>
      <c r="AK137" s="2" t="str">
        <f aca="false">INDEX('NBA Library'!$B$4:$B$21,MATCH(AJ137,'NBA Library'!$A$4:$A$21,0))</f>
        <v>Automated Nurture</v>
      </c>
      <c r="AL137" s="2" t="str">
        <f aca="false">INDEX('NBA Library'!$C$4:$C$21,MATCH(AJ137,'NBA Library'!$A$4:$A$21,0))</f>
        <v>Automated</v>
      </c>
      <c r="AM137" s="2" t="str">
        <f aca="false">IF(AA137,"HOLD — Critical Data Issue",IF(Y137,"Human Sign-Off Required",IF(Z137="Manual Review","Human Review Required",IF(AND(AL137="Automated",OR(AE137,AND(OR(AK137="Discovery-to-Offer Enablement",AK137="Reinforce Successful Behaviour"),OR(AC137,AB137)))),"Human Review Required",IF(AL137="Human","Ready — Human",IF(AL137="Hybrid","Ready — Hybrid","Ready — Automated"))))))</f>
        <v>Ready — Automated</v>
      </c>
      <c r="AN137" s="2" t="str">
        <f aca="false">IF(AA137,"P0",IF(AND(AJ137="BROWSING_LOW_OFFERS",E137="Tail"),"P3",IF(AND(AM137="Human Review Required",INDEX('NBA Library'!$D$4:$D$21,MATCH(AJ137,'NBA Library'!$A$4:$A$21,0))="P4"),"P3",INDEX('NBA Library'!$D$4:$D$21,MATCH(AJ137,'NBA Library'!$A$4:$A$21,0)))))</f>
        <v>P4</v>
      </c>
      <c r="AO137" s="2" t="str">
        <f aca="false">E137&amp;" "&amp;C137&amp;" account ("&amp;B137&amp;"); "&amp;G137&amp;" momentum; "&amp;P137&amp;"; £"&amp;TEXT(H137,"#,##0")&amp;" 6m GMV. "&amp;INDEX('NBA Library'!$G$4:$G$21,MATCH(AJ137,'NBA Library'!$A$4:$A$21,0))&amp;IF(LEFT(D137,1)="1"," Baseline: "&amp;V137&amp;" PDP views, "&amp;W137&amp;" app days, "&amp;X137&amp;" offers, "&amp;TEXT(J137/I137,"0%")&amp;" of orders self-serve.","")&amp;IF(AA137," Execution on HOLD until the Duplicate status is resolved.","")&amp;IF(Y137," Key account: explicit AM/leadership sign-off required before any migration activity.","")&amp;IF(AE137," Implied broker % from order counts would move this account to a different segment; review before automating.","")</f>
        <v>Tail Broker-Reliant account (Account Managed); Lapsed momentum; No Meaningful History; £345 6m GMV. Low-value account with no recent GMV. Avoid human time.</v>
      </c>
      <c r="AP137" s="2" t="str">
        <f aca="false">INDEX('NBA Library'!$E$4:$E$21,MATCH(AJ137,'NBA Library'!$A$4:$A$21,0))&amp;IF(AND(AJ137="NEW_CUSTOMER",AG137),"; introduce Make-an-Offer on items already browsed","")</f>
        <v>Automated reactivation only; no human time</v>
      </c>
      <c r="AQ137" s="2" t="str">
        <f aca="false">INDEX('NBA Library'!$F$4:$F$21,MATCH(AJ137,'NBA Library'!$A$4:$A$21,0))</f>
        <v>Any order within 90 days</v>
      </c>
      <c r="AR137" s="2" t="str">
        <f aca="false">IF(AND(F137="Low",OR(G137="Growing",G137="Stable"),P137="Recently Active",U137&lt;&gt;"Mixed",OR(AK137="Discovery-to-Offer Enablement",AK137="Reinforce Successful Behaviour"),AM137="Ready — Automated",OR(E137&lt;&gt;"Tail",S137)),"Range Expansion Test — trial "&amp;IF(U137="Bundle-only","handpick","bundles")&amp;" (experimental; not proven to lift GMV)","")</f>
        <v/>
      </c>
      <c r="AS137" s="2" t="str">
        <f aca="false">IF(AK137&lt;&gt;"Automated Nurture","",IF(AJ137="DORMANT_LOW_VALUE","Dormant",IF(AJ137="RISING_TAIL_EARLY","Rising tail – early pattern",IF(Q137="New Customer","New customer onboarding",IF(Q137="Returned Customer","Returned customer",IF(G137="Lapsed","Dormant",IF(T137="Engaged, not converting","Engaged, not converting",IF(T137="One-off low-touch buyer","One-off purchaser",IF(T137="Light-touch repeat buyer","Light-touch repeat buyer","Standard long tail")))))))))</f>
        <v>Dormant</v>
      </c>
      <c r="AT137" s="2" t="str">
        <f aca="false">IF(AA137,"CRITICAL_DATA_BLOCKER; ","")&amp;IF(Y137,"KEY_SIGNOFF; ","")&amp;IF(Z137="Manual Review","PHASE1_MANUAL_REVIEW; ","")&amp;IF(AND(LEFT(D137,1)="1",AZ137="Lumpy"),"LUMPY_CADENCE; ","")&amp;IF(AB137,"BORDERLINE_MOMENTUM; ","")&amp;IF(AC137,"FEB_SENSITIVE; ","")&amp;IF(AD137,"MATERIAL_BROKER_INCONSISTENCY"&amp;IF(AE137," (segment would change)","")&amp;"; ","")&amp;IF(AND(I137&gt;=3,O137&gt;0),IF(AI137&gt;=Assumptions!$B$75,"H2_SINGLE_MONTH_SPIKE; ",""),"")&amp;IF(AND(M137&gt;0,N137=0),"NO_FEB_GMV (Feb unconfirmed); ","")&amp;IF(AF137,"LOW_CONFIDENCE; ","")</f>
        <v>LOW_CONFIDENCE; </v>
      </c>
      <c r="AU137" s="2" t="str">
        <f aca="false">IF(LEFT(D137,1)="1",V137,"")</f>
        <v/>
      </c>
      <c r="AV137" s="2" t="str">
        <f aca="false">IF(LEFT(D137,1)="1",V137&gt;=Assumptions!$B$58,"")</f>
        <v/>
      </c>
      <c r="AW137" s="2" t="str">
        <f aca="false">IF(LEFT(D137,1)="1",W137,"")</f>
        <v/>
      </c>
      <c r="AX137" s="2" t="str">
        <f aca="false">IF(LEFT(D137,1)="1",X137,"")</f>
        <v/>
      </c>
      <c r="AY137" s="17" t="str">
        <f aca="false">IF(LEFT(D137,1)="1",J137/I137,"")</f>
        <v/>
      </c>
      <c r="AZ137" s="2" t="str">
        <f aca="false">IF(LEFT(D137,1)="1",IF(AND(K137&gt;=Assumptions!$B$83,I137&gt;=Assumptions!$B$84),"Regular","Lumpy"),"")</f>
        <v/>
      </c>
      <c r="BA137" s="2" t="str">
        <f aca="false">IF(LEFT(D137,1)="1",ROUND(6/K137,0),"")</f>
        <v/>
      </c>
      <c r="BB137" s="2" t="str">
        <f aca="false">IF(LEFT(D137,1)="1",IF(AZ137="Regular","Regular buyer: expected ~£"&amp;TEXT(H137/2,"#,##0")&amp;" per 90 days. At Risk if GMV to date &lt; "&amp;TEXT(Assumptions!$B$81,"0%")&amp;" of pro-rated expectation, checked from day "&amp;Assumptions!$B$82&amp;". Human-reviewed.","Irregular buyer ("&amp;I137&amp;" orders across "&amp;K137&amp;" months): no numeric GMV threshold. At Risk if no order within ~"&amp;BA137&amp;" month(s); AM reviews at day "&amp;Assumptions!$B$82&amp;" and "&amp;Assumptions!$B$85&amp;"."),"")</f>
        <v/>
      </c>
      <c r="BC137" s="2"/>
      <c r="BD137" s="2"/>
      <c r="BE137" s="2"/>
      <c r="BF137" s="2"/>
      <c r="BG137" s="2"/>
      <c r="BH137" s="2"/>
      <c r="BI137" s="2"/>
      <c r="BJ137" s="2" t="str">
        <f aca="false">IF(OR(NOT(LEFT(D137,1)="1"),BC137=""),"",IF(AZ137="Regular",AND(BC137&gt;=Assumptions!$B$82,N(BI137)&lt;Assumptions!$B$81*H137/180*BC137),AND(BC137&gt;=BA137*30,N(BG137)=0)))</f>
        <v/>
      </c>
      <c r="BK137" s="2" t="str">
        <f aca="false">IF(NOT(LEFT(D137,1)="1"),"N/A",IF(BC137="","Baseline",IF(BJ137,"At Risk",IF(AND(N(BD137)&gt;=Assumptions!$B$78,N(BE137)&gt;=Assumptions!$B$79,N(BH137)&gt;=1,N(BH137)/MAX(N(BG137),1)&gt;AY137),"Self-Serve Capability Demonstrated",IF(OR(N(BD137)&gt;=Assumptions!$B$76,N(BE137)&gt;=Assumptions!$B$77),"Progressing",IF(BC137&gt;=Assumptions!$B$85,"At Risk","Baseline"))))))</f>
        <v>N/A</v>
      </c>
      <c r="BL137" s="2" t="n">
        <f aca="false">(AND(C137="Broker-Reliant",OR(AK137="Discovery-to-Offer Enablement",AK137="Reinforce Successful Behaviour")))*1+(AND(G137="Declining",E137&lt;&gt;"Tail",AL137="Automated"))*1+(AND(Y137,AM137&lt;&gt;"Human Sign-Off Required"))*1+(AND(AA137,AM137&lt;&gt;"HOLD — Critical Data Issue"))*1+(AND(P137="Recent Inactivity",OR(AK137="Discovery-to-Offer Enablement",AK137="Reinforce Successful Behaviour")))*1+(AND(OR(LEFT(D137,1)="2",LEFT(D137,1)="3",LEFT(D137,1)="8"),AL137="Automated"))*1+((LEFT(D137,1)="1")&lt;&gt;(AK137="Guided Self-Serve Migration"))*1+(AND(AR137&lt;&gt;"",OR(F137&lt;&gt;"Low",U137="Mixed",AND(G137&lt;&gt;"Growing",G137&lt;&gt;"Stable"))))*1+ISNUMBER(SEARCH("chat",AP137))*1+ISNUMBER(SEARCH("video",AP137))*1+(AND(AA137,AL137="Automated",AM137&lt;&gt;"HOLD — Critical Data Issue"))*1</f>
        <v>0</v>
      </c>
    </row>
    <row r="138" customFormat="false" ht="15" hidden="false" customHeight="false" outlineLevel="0" collapsed="false">
      <c r="A138" s="2" t="s">
        <v>754</v>
      </c>
      <c r="B138" s="2" t="str">
        <f aca="false">INDEX(Segmentation!$B$2:$B$301,MATCH($A138,Segmentation!$A$2:$A$301,0))</f>
        <v>Account Managed</v>
      </c>
      <c r="C138" s="2" t="str">
        <f aca="false">INDEX(Segmentation!$H$2:$H$301,MATCH($A138,Segmentation!$A$2:$A$301,0))</f>
        <v>AM-Owned / Self-Serving</v>
      </c>
      <c r="D138" s="2" t="str">
        <f aca="false">INDEX(Segmentation!$T$2:$T$301,MATCH($A138,Segmentation!$A$2:$A$301,0))</f>
        <v>9. Long-Tail Automated Nurture</v>
      </c>
      <c r="E138" s="2" t="str">
        <f aca="false">INDEX(Segmentation!$J$2:$J$301,MATCH($A138,Segmentation!$A$2:$A$301,0))</f>
        <v>Tail</v>
      </c>
      <c r="F138" s="2" t="str">
        <f aca="false">INDEX(Segmentation!$G$2:$G$301,MATCH($A138,Segmentation!$A$2:$A$301,0))</f>
        <v>Low</v>
      </c>
      <c r="G138" s="2" t="str">
        <f aca="false">INDEX(Segmentation!$N$2:$N$301,MATCH($A138,Segmentation!$A$2:$A$301,0))</f>
        <v>Declining</v>
      </c>
      <c r="H138" s="9" t="n">
        <f aca="false">INDEX(Segmentation!$I$2:$I$301,MATCH($A138,Segmentation!$A$2:$A$301,0))</f>
        <v>344</v>
      </c>
      <c r="I138" s="2" t="n">
        <f aca="false">INDEX(Segmentation!$O$2:$O$301,MATCH($A138,Segmentation!$A$2:$A$301,0))</f>
        <v>2</v>
      </c>
      <c r="J138" s="2" t="n">
        <f aca="false">INDEX(Segmentation!$Q$2:$Q$301,MATCH($A138,Segmentation!$A$2:$A$301,0))</f>
        <v>2</v>
      </c>
      <c r="K138" s="2" t="n">
        <f aca="false">INDEX(Segmentation!$W$2:$W$301,MATCH($A138,Segmentation!$A$2:$A$301,0))</f>
        <v>2</v>
      </c>
      <c r="L138" s="9" t="n">
        <f aca="false">INDEX('Commercial View'!$L$2:$L$301,MATCH($A138,'Commercial View'!$A$2:$A$301,0))</f>
        <v>0</v>
      </c>
      <c r="M138" s="9" t="n">
        <f aca="false">INDEX('Commercial View'!$M$2:$M$301,MATCH($A138,'Commercial View'!$A$2:$A$301,0))</f>
        <v>0</v>
      </c>
      <c r="N138" s="9" t="n">
        <f aca="false">INDEX('Commercial View'!$N$2:$N$301,MATCH($A138,'Commercial View'!$A$2:$A$301,0))</f>
        <v>50</v>
      </c>
      <c r="O138" s="9" t="n">
        <f aca="false">INDEX(Segmentation!$L$2:$L$301,MATCH($A138,Segmentation!$A$2:$A$301,0))</f>
        <v>50</v>
      </c>
      <c r="P138" s="2" t="str">
        <f aca="false">IF(OR(M138&gt;0,N138&gt;0),"Recently Active",IF(OR(I138&lt;=Assumptions!$B$48,K138&lt;=Assumptions!$B$49),"No Meaningful History","Recent Inactivity"))</f>
        <v>Recently Active</v>
      </c>
      <c r="Q138" s="2" t="str">
        <f aca="false">INDEX(Segmentation!$AF$2:$AF$301,MATCH($A138,Segmentation!$A$2:$A$301,0))</f>
        <v>Existing Customer</v>
      </c>
      <c r="R138" s="2" t="str">
        <f aca="false">INDEX(Segmentation!$AL$2:$AL$301,MATCH($A138,Segmentation!$A$2:$A$301,0))</f>
        <v>N/A</v>
      </c>
      <c r="S138" s="10" t="b">
        <f aca="false">INDEX(Segmentation!$AW$2:$AW$301,MATCH($A138,Segmentation!$A$2:$A$301,0))</f>
        <v>0</v>
      </c>
      <c r="T138" s="2" t="str">
        <f aca="false">INDEX('Feature Data'!$AD$2:$AD$301,MATCH($A138,'Feature Data'!$A$2:$A$301,0))</f>
        <v>Engaged, not converting</v>
      </c>
      <c r="U138" s="2" t="str">
        <f aca="false">INDEX('Feature Data'!$W$2:$W$301,MATCH($A138,'Feature Data'!$A$2:$A$301,0))</f>
        <v>Handpick-only</v>
      </c>
      <c r="V138" s="2" t="n">
        <f aca="false">INDEX('Feature Data'!$P$2:$P$301,MATCH($A138,'Feature Data'!$A$2:$A$301,0))</f>
        <v>310</v>
      </c>
      <c r="W138" s="2" t="n">
        <f aca="false">INDEX(Segmentation!$R$2:$R$301,MATCH($A138,Segmentation!$A$2:$A$301,0))</f>
        <v>18</v>
      </c>
      <c r="X138" s="2" t="n">
        <f aca="false">INDEX(Segmentation!$S$2:$S$301,MATCH($A138,Segmentation!$A$2:$A$301,0))</f>
        <v>50</v>
      </c>
      <c r="Y138" s="10" t="b">
        <f aca="false">INDEX(Segmentation!$AG$2:$AG$301,MATCH($A138,Segmentation!$A$2:$A$301,0))</f>
        <v>0</v>
      </c>
      <c r="Z138" s="2" t="str">
        <f aca="false">INDEX(Segmentation!$AU$2:$AU$301,MATCH($A138,Segmentation!$A$2:$A$301,0))</f>
        <v>Not Eligible</v>
      </c>
      <c r="AA138" s="10" t="b">
        <f aca="false">INDEX(Segmentation!$Z$2:$Z$301,MATCH($A138,Segmentation!$A$2:$A$301,0))</f>
        <v>0</v>
      </c>
      <c r="AB138" s="10" t="b">
        <f aca="false">INDEX(Segmentation!$AH$2:$AH$301,MATCH($A138,Segmentation!$A$2:$A$301,0))</f>
        <v>0</v>
      </c>
      <c r="AC138" s="10" t="b">
        <f aca="false">INDEX(Segmentation!$AK$2:$AK$301,MATCH($A138,Segmentation!$A$2:$A$301,0))</f>
        <v>1</v>
      </c>
      <c r="AD138" s="10" t="b">
        <f aca="false">INDEX(Segmentation!$AQ$2:$AQ$301,MATCH($A138,Segmentation!$A$2:$A$301,0))</f>
        <v>0</v>
      </c>
      <c r="AE138" s="10" t="b">
        <f aca="false">INDEX(Segmentation!$AT$2:$AT$301,MATCH($A138,Segmentation!$A$2:$A$301,0))</f>
        <v>0</v>
      </c>
      <c r="AF138" s="10" t="b">
        <f aca="false">INDEX(Segmentation!$X$2:$X$301,MATCH($A138,Segmentation!$A$2:$A$301,0))</f>
        <v>1</v>
      </c>
      <c r="AG138" s="10" t="b">
        <f aca="false">AND(F138="Low",V138&gt;=Assumptions!$B$71,X138&lt;Assumptions!$B$72)</f>
        <v>0</v>
      </c>
      <c r="AH138" s="10" t="b">
        <f aca="false">AND(F138="Low",OR(G138="Growing",G138="Stable"),P138="Recently Active",V138&gt;=Assumptions!$B$58,K138&gt;=Assumptions!$B$73)</f>
        <v>0</v>
      </c>
      <c r="AI138" s="17" t="n">
        <f aca="false">IF(O138&gt;0,MAX(L138:N138)/O138,"")</f>
        <v>1</v>
      </c>
      <c r="AJ138" s="2" t="str">
        <f aca="false">IF(LEFT(D138,1)="1",IF(E138="Key","MIGRATION_KEY_SIGNOFF",IF(Z138="Ready","MIGRATION_PHASE1_READY",IF(Z138="Manual Review","MIGRATION_PHASE1_REVIEW","MIGRATION_PRE_ENTRY"))),IF(LEFT(D138,1)="2","DECLINING_KEY_CORE",IF(LEFT(D138,1)="3",IF(R138="Established Buyer Lapsed","LAPSED_ESTABLISHED","LAPSED_THIN_HISTORY"),IF(LEFT(D138,1)="4",IF(Q138="New Customer","NEW_CUSTOMER","RETURNED_CUSTOMER"),IF(LEFT(D138,1)="5",IF(P138="Recently Active","COST_TO_SERVE_ACTIVE","DORMANT_LOW_VALUE"),IF(LEFT(D138,1)="6",IF(P138="Recent Inactivity","RECENT_INACTIVITY",IF(AG138,"BROWSING_LOW_OFFERS","HEALTHY_STRONG_SELF_SERVE")),IF(LEFT(D138,1)="7",IF(P138="Recent Inactivity","RECENT_INACTIVITY",IF(Q138="New Customer","NEW_CUSTOMER","RETURNED_CUSTOMER")),IF(LEFT(D138,1)="8",IF(G138="Declining",IF(T138="Engaged but shrinking (Key/Core)","ENGAGED_BUT_SHRINKING","DECLINING_KEY_CORE"),IF(R138="Established Buyer Lapsed","LAPSED_ESTABLISHED","LAPSED_THIN_HISTORY")),IF(S138,IF(P138&lt;&gt;"Recently Active","DORMANT_LOW_VALUE",IF(AG138,"BROWSING_LOW_OFFERS",IF(AH138,"RISING_TAIL","RISING_TAIL_EARLY"))),IF(AND(AG138,P138="Recently Active",OR(G138="Growing",G138="Stable",G138="H2 Active / No H1 GMV"),I138&gt;=Assumptions!$B$74),"BROWSING_LOW_OFFERS","LONG_TAIL_STANDARD"))))))))))</f>
        <v>LONG_TAIL_STANDARD</v>
      </c>
      <c r="AK138" s="2" t="str">
        <f aca="false">INDEX('NBA Library'!$B$4:$B$21,MATCH(AJ138,'NBA Library'!$A$4:$A$21,0))</f>
        <v>Automated Nurture</v>
      </c>
      <c r="AL138" s="2" t="str">
        <f aca="false">INDEX('NBA Library'!$C$4:$C$21,MATCH(AJ138,'NBA Library'!$A$4:$A$21,0))</f>
        <v>Automated</v>
      </c>
      <c r="AM138" s="2" t="str">
        <f aca="false">IF(AA138,"HOLD — Critical Data Issue",IF(Y138,"Human Sign-Off Required",IF(Z138="Manual Review","Human Review Required",IF(AND(AL138="Automated",OR(AE138,AND(OR(AK138="Discovery-to-Offer Enablement",AK138="Reinforce Successful Behaviour"),OR(AC138,AB138)))),"Human Review Required",IF(AL138="Human","Ready — Human",IF(AL138="Hybrid","Ready — Hybrid","Ready — Automated"))))))</f>
        <v>Ready — Automated</v>
      </c>
      <c r="AN138" s="2" t="str">
        <f aca="false">IF(AA138,"P0",IF(AND(AJ138="BROWSING_LOW_OFFERS",E138="Tail"),"P3",IF(AND(AM138="Human Review Required",INDEX('NBA Library'!$D$4:$D$21,MATCH(AJ138,'NBA Library'!$A$4:$A$21,0))="P4"),"P3",INDEX('NBA Library'!$D$4:$D$21,MATCH(AJ138,'NBA Library'!$A$4:$A$21,0)))))</f>
        <v>P4</v>
      </c>
      <c r="AO138" s="2" t="str">
        <f aca="false">E138&amp;" "&amp;C138&amp;" account ("&amp;B138&amp;"); "&amp;G138&amp;" momentum; "&amp;P138&amp;"; £"&amp;TEXT(H138,"#,##0")&amp;" 6m GMV. "&amp;INDEX('NBA Library'!$G$4:$G$21,MATCH(AJ138,'NBA Library'!$A$4:$A$21,0))&amp;IF(LEFT(D138,1)="1"," Baseline: "&amp;V138&amp;" PDP views, "&amp;W138&amp;" app days, "&amp;X138&amp;" offers, "&amp;TEXT(J138/I138,"0%")&amp;" of orders self-serve.","")&amp;IF(AA138," Execution on HOLD until the Duplicate status is resolved.","")&amp;IF(Y138," Key account: explicit AM/leadership sign-off required before any migration activity.","")&amp;IF(AE138," Implied broker % from order counts would move this account to a different segment; review before automating.","")</f>
        <v>Tail AM-Owned / Self-Serving account (Account Managed); Declining momentum; Recently Active; £344 6m GMV. Low-value, low-dependency account. Scalable automated engagement.</v>
      </c>
      <c r="AP138" s="2" t="str">
        <f aca="false">INDEX('NBA Library'!$E$4:$E$21,MATCH(AJ138,'NBA Library'!$A$4:$A$21,0))&amp;IF(AND(AJ138="NEW_CUSTOMER",AG138),"; introduce Make-an-Offer on items already browsed","")</f>
        <v>Scalable automated engagement matched to nurture sub-context</v>
      </c>
      <c r="AQ138" s="2" t="str">
        <f aca="false">INDEX('NBA Library'!$F$4:$F$21,MATCH(AJ138,'NBA Library'!$A$4:$A$21,0))</f>
        <v>Any repeat order within 90 days</v>
      </c>
      <c r="AR138" s="2" t="str">
        <f aca="false">IF(AND(F138="Low",OR(G138="Growing",G138="Stable"),P138="Recently Active",U138&lt;&gt;"Mixed",OR(AK138="Discovery-to-Offer Enablement",AK138="Reinforce Successful Behaviour"),AM138="Ready — Automated",OR(E138&lt;&gt;"Tail",S138)),"Range Expansion Test — trial "&amp;IF(U138="Bundle-only","handpick","bundles")&amp;" (experimental; not proven to lift GMV)","")</f>
        <v/>
      </c>
      <c r="AS138" s="2" t="str">
        <f aca="false">IF(AK138&lt;&gt;"Automated Nurture","",IF(AJ138="DORMANT_LOW_VALUE","Dormant",IF(AJ138="RISING_TAIL_EARLY","Rising tail – early pattern",IF(Q138="New Customer","New customer onboarding",IF(Q138="Returned Customer","Returned customer",IF(G138="Lapsed","Dormant",IF(T138="Engaged, not converting","Engaged, not converting",IF(T138="One-off low-touch buyer","One-off purchaser",IF(T138="Light-touch repeat buyer","Light-touch repeat buyer","Standard long tail")))))))))</f>
        <v>Engaged, not converting</v>
      </c>
      <c r="AT138" s="2" t="str">
        <f aca="false">IF(AA138,"CRITICAL_DATA_BLOCKER; ","")&amp;IF(Y138,"KEY_SIGNOFF; ","")&amp;IF(Z138="Manual Review","PHASE1_MANUAL_REVIEW; ","")&amp;IF(AND(LEFT(D138,1)="1",AZ138="Lumpy"),"LUMPY_CADENCE; ","")&amp;IF(AB138,"BORDERLINE_MOMENTUM; ","")&amp;IF(AC138,"FEB_SENSITIVE; ","")&amp;IF(AD138,"MATERIAL_BROKER_INCONSISTENCY"&amp;IF(AE138," (segment would change)","")&amp;"; ","")&amp;IF(AND(I138&gt;=3,O138&gt;0),IF(AI138&gt;=Assumptions!$B$75,"H2_SINGLE_MONTH_SPIKE; ",""),"")&amp;IF(AND(M138&gt;0,N138=0),"NO_FEB_GMV (Feb unconfirmed); ","")&amp;IF(AF138,"LOW_CONFIDENCE; ","")</f>
        <v>FEB_SENSITIVE; LOW_CONFIDENCE; </v>
      </c>
      <c r="AU138" s="2" t="str">
        <f aca="false">IF(LEFT(D138,1)="1",V138,"")</f>
        <v/>
      </c>
      <c r="AV138" s="2" t="str">
        <f aca="false">IF(LEFT(D138,1)="1",V138&gt;=Assumptions!$B$58,"")</f>
        <v/>
      </c>
      <c r="AW138" s="2" t="str">
        <f aca="false">IF(LEFT(D138,1)="1",W138,"")</f>
        <v/>
      </c>
      <c r="AX138" s="2" t="str">
        <f aca="false">IF(LEFT(D138,1)="1",X138,"")</f>
        <v/>
      </c>
      <c r="AY138" s="17" t="str">
        <f aca="false">IF(LEFT(D138,1)="1",J138/I138,"")</f>
        <v/>
      </c>
      <c r="AZ138" s="2" t="str">
        <f aca="false">IF(LEFT(D138,1)="1",IF(AND(K138&gt;=Assumptions!$B$83,I138&gt;=Assumptions!$B$84),"Regular","Lumpy"),"")</f>
        <v/>
      </c>
      <c r="BA138" s="2" t="str">
        <f aca="false">IF(LEFT(D138,1)="1",ROUND(6/K138,0),"")</f>
        <v/>
      </c>
      <c r="BB138" s="2" t="str">
        <f aca="false">IF(LEFT(D138,1)="1",IF(AZ138="Regular","Regular buyer: expected ~£"&amp;TEXT(H138/2,"#,##0")&amp;" per 90 days. At Risk if GMV to date &lt; "&amp;TEXT(Assumptions!$B$81,"0%")&amp;" of pro-rated expectation, checked from day "&amp;Assumptions!$B$82&amp;". Human-reviewed.","Irregular buyer ("&amp;I138&amp;" orders across "&amp;K138&amp;" months): no numeric GMV threshold. At Risk if no order within ~"&amp;BA138&amp;" month(s); AM reviews at day "&amp;Assumptions!$B$82&amp;" and "&amp;Assumptions!$B$85&amp;"."),"")</f>
        <v/>
      </c>
      <c r="BC138" s="2"/>
      <c r="BD138" s="2"/>
      <c r="BE138" s="2"/>
      <c r="BF138" s="2"/>
      <c r="BG138" s="2"/>
      <c r="BH138" s="2"/>
      <c r="BI138" s="2"/>
      <c r="BJ138" s="2" t="str">
        <f aca="false">IF(OR(NOT(LEFT(D138,1)="1"),BC138=""),"",IF(AZ138="Regular",AND(BC138&gt;=Assumptions!$B$82,N(BI138)&lt;Assumptions!$B$81*H138/180*BC138),AND(BC138&gt;=BA138*30,N(BG138)=0)))</f>
        <v/>
      </c>
      <c r="BK138" s="2" t="str">
        <f aca="false">IF(NOT(LEFT(D138,1)="1"),"N/A",IF(BC138="","Baseline",IF(BJ138,"At Risk",IF(AND(N(BD138)&gt;=Assumptions!$B$78,N(BE138)&gt;=Assumptions!$B$79,N(BH138)&gt;=1,N(BH138)/MAX(N(BG138),1)&gt;AY138),"Self-Serve Capability Demonstrated",IF(OR(N(BD138)&gt;=Assumptions!$B$76,N(BE138)&gt;=Assumptions!$B$77),"Progressing",IF(BC138&gt;=Assumptions!$B$85,"At Risk","Baseline"))))))</f>
        <v>N/A</v>
      </c>
      <c r="BL138" s="2" t="n">
        <f aca="false">(AND(C138="Broker-Reliant",OR(AK138="Discovery-to-Offer Enablement",AK138="Reinforce Successful Behaviour")))*1+(AND(G138="Declining",E138&lt;&gt;"Tail",AL138="Automated"))*1+(AND(Y138,AM138&lt;&gt;"Human Sign-Off Required"))*1+(AND(AA138,AM138&lt;&gt;"HOLD — Critical Data Issue"))*1+(AND(P138="Recent Inactivity",OR(AK138="Discovery-to-Offer Enablement",AK138="Reinforce Successful Behaviour")))*1+(AND(OR(LEFT(D138,1)="2",LEFT(D138,1)="3",LEFT(D138,1)="8"),AL138="Automated"))*1+((LEFT(D138,1)="1")&lt;&gt;(AK138="Guided Self-Serve Migration"))*1+(AND(AR138&lt;&gt;"",OR(F138&lt;&gt;"Low",U138="Mixed",AND(G138&lt;&gt;"Growing",G138&lt;&gt;"Stable"))))*1+ISNUMBER(SEARCH("chat",AP138))*1+ISNUMBER(SEARCH("video",AP138))*1+(AND(AA138,AL138="Automated",AM138&lt;&gt;"HOLD — Critical Data Issue"))*1</f>
        <v>0</v>
      </c>
    </row>
    <row r="139" customFormat="false" ht="15" hidden="false" customHeight="false" outlineLevel="0" collapsed="false">
      <c r="A139" s="2" t="s">
        <v>762</v>
      </c>
      <c r="B139" s="2" t="str">
        <f aca="false">INDEX(Segmentation!$B$2:$B$301,MATCH($A139,Segmentation!$A$2:$A$301,0))</f>
        <v>Account Managed</v>
      </c>
      <c r="C139" s="2" t="str">
        <f aca="false">INDEX(Segmentation!$H$2:$H$301,MATCH($A139,Segmentation!$A$2:$A$301,0))</f>
        <v>AM-Owned / Self-Serving</v>
      </c>
      <c r="D139" s="2" t="str">
        <f aca="false">INDEX(Segmentation!$T$2:$T$301,MATCH($A139,Segmentation!$A$2:$A$301,0))</f>
        <v>9. Long-Tail Automated Nurture</v>
      </c>
      <c r="E139" s="2" t="str">
        <f aca="false">INDEX(Segmentation!$J$2:$J$301,MATCH($A139,Segmentation!$A$2:$A$301,0))</f>
        <v>Tail</v>
      </c>
      <c r="F139" s="2" t="str">
        <f aca="false">INDEX(Segmentation!$G$2:$G$301,MATCH($A139,Segmentation!$A$2:$A$301,0))</f>
        <v>Low</v>
      </c>
      <c r="G139" s="2" t="str">
        <f aca="false">INDEX(Segmentation!$N$2:$N$301,MATCH($A139,Segmentation!$A$2:$A$301,0))</f>
        <v>Lapsed</v>
      </c>
      <c r="H139" s="9" t="n">
        <f aca="false">INDEX(Segmentation!$I$2:$I$301,MATCH($A139,Segmentation!$A$2:$A$301,0))</f>
        <v>329</v>
      </c>
      <c r="I139" s="2" t="n">
        <f aca="false">INDEX(Segmentation!$O$2:$O$301,MATCH($A139,Segmentation!$A$2:$A$301,0))</f>
        <v>2</v>
      </c>
      <c r="J139" s="2" t="n">
        <f aca="false">INDEX(Segmentation!$Q$2:$Q$301,MATCH($A139,Segmentation!$A$2:$A$301,0))</f>
        <v>2</v>
      </c>
      <c r="K139" s="2" t="n">
        <f aca="false">INDEX(Segmentation!$W$2:$W$301,MATCH($A139,Segmentation!$A$2:$A$301,0))</f>
        <v>2</v>
      </c>
      <c r="L139" s="9" t="n">
        <f aca="false">INDEX('Commercial View'!$L$2:$L$301,MATCH($A139,'Commercial View'!$A$2:$A$301,0))</f>
        <v>0</v>
      </c>
      <c r="M139" s="9" t="n">
        <f aca="false">INDEX('Commercial View'!$M$2:$M$301,MATCH($A139,'Commercial View'!$A$2:$A$301,0))</f>
        <v>0</v>
      </c>
      <c r="N139" s="9" t="n">
        <f aca="false">INDEX('Commercial View'!$N$2:$N$301,MATCH($A139,'Commercial View'!$A$2:$A$301,0))</f>
        <v>0</v>
      </c>
      <c r="O139" s="9" t="n">
        <f aca="false">INDEX(Segmentation!$L$2:$L$301,MATCH($A139,Segmentation!$A$2:$A$301,0))</f>
        <v>0</v>
      </c>
      <c r="P139" s="2" t="str">
        <f aca="false">IF(OR(M139&gt;0,N139&gt;0),"Recently Active",IF(OR(I139&lt;=Assumptions!$B$48,K139&lt;=Assumptions!$B$49),"No Meaningful History","Recent Inactivity"))</f>
        <v>No Meaningful History</v>
      </c>
      <c r="Q139" s="2" t="str">
        <f aca="false">INDEX(Segmentation!$AF$2:$AF$301,MATCH($A139,Segmentation!$A$2:$A$301,0))</f>
        <v>Existing Customer</v>
      </c>
      <c r="R139" s="2" t="str">
        <f aca="false">INDEX(Segmentation!$AL$2:$AL$301,MATCH($A139,Segmentation!$A$2:$A$301,0))</f>
        <v>One-Off / Insufficient History — Verify</v>
      </c>
      <c r="S139" s="10" t="b">
        <f aca="false">INDEX(Segmentation!$AW$2:$AW$301,MATCH($A139,Segmentation!$A$2:$A$301,0))</f>
        <v>0</v>
      </c>
      <c r="T139" s="2" t="str">
        <f aca="false">INDEX('Feature Data'!$AD$2:$AD$301,MATCH($A139,'Feature Data'!$A$2:$A$301,0))</f>
        <v>Engaged, not converting</v>
      </c>
      <c r="U139" s="2" t="str">
        <f aca="false">INDEX('Feature Data'!$W$2:$W$301,MATCH($A139,'Feature Data'!$A$2:$A$301,0))</f>
        <v>Bundle-only</v>
      </c>
      <c r="V139" s="2" t="n">
        <f aca="false">INDEX('Feature Data'!$P$2:$P$301,MATCH($A139,'Feature Data'!$A$2:$A$301,0))</f>
        <v>454</v>
      </c>
      <c r="W139" s="2" t="n">
        <f aca="false">INDEX(Segmentation!$R$2:$R$301,MATCH($A139,Segmentation!$A$2:$A$301,0))</f>
        <v>41</v>
      </c>
      <c r="X139" s="2" t="n">
        <f aca="false">INDEX(Segmentation!$S$2:$S$301,MATCH($A139,Segmentation!$A$2:$A$301,0))</f>
        <v>1</v>
      </c>
      <c r="Y139" s="10" t="b">
        <f aca="false">INDEX(Segmentation!$AG$2:$AG$301,MATCH($A139,Segmentation!$A$2:$A$301,0))</f>
        <v>0</v>
      </c>
      <c r="Z139" s="2" t="str">
        <f aca="false">INDEX(Segmentation!$AU$2:$AU$301,MATCH($A139,Segmentation!$A$2:$A$301,0))</f>
        <v>Not Eligible</v>
      </c>
      <c r="AA139" s="10" t="b">
        <f aca="false">INDEX(Segmentation!$Z$2:$Z$301,MATCH($A139,Segmentation!$A$2:$A$301,0))</f>
        <v>0</v>
      </c>
      <c r="AB139" s="10" t="b">
        <f aca="false">INDEX(Segmentation!$AH$2:$AH$301,MATCH($A139,Segmentation!$A$2:$A$301,0))</f>
        <v>0</v>
      </c>
      <c r="AC139" s="10" t="b">
        <f aca="false">INDEX(Segmentation!$AK$2:$AK$301,MATCH($A139,Segmentation!$A$2:$A$301,0))</f>
        <v>0</v>
      </c>
      <c r="AD139" s="10" t="b">
        <f aca="false">INDEX(Segmentation!$AQ$2:$AQ$301,MATCH($A139,Segmentation!$A$2:$A$301,0))</f>
        <v>0</v>
      </c>
      <c r="AE139" s="10" t="b">
        <f aca="false">INDEX(Segmentation!$AT$2:$AT$301,MATCH($A139,Segmentation!$A$2:$A$301,0))</f>
        <v>0</v>
      </c>
      <c r="AF139" s="10" t="b">
        <f aca="false">INDEX(Segmentation!$X$2:$X$301,MATCH($A139,Segmentation!$A$2:$A$301,0))</f>
        <v>1</v>
      </c>
      <c r="AG139" s="10" t="b">
        <f aca="false">AND(F139="Low",V139&gt;=Assumptions!$B$71,X139&lt;Assumptions!$B$72)</f>
        <v>1</v>
      </c>
      <c r="AH139" s="10" t="b">
        <f aca="false">AND(F139="Low",OR(G139="Growing",G139="Stable"),P139="Recently Active",V139&gt;=Assumptions!$B$58,K139&gt;=Assumptions!$B$73)</f>
        <v>0</v>
      </c>
      <c r="AI139" s="17" t="str">
        <f aca="false">IF(O139&gt;0,MAX(L139:N139)/O139,"")</f>
        <v/>
      </c>
      <c r="AJ139" s="2" t="str">
        <f aca="false">IF(LEFT(D139,1)="1",IF(E139="Key","MIGRATION_KEY_SIGNOFF",IF(Z139="Ready","MIGRATION_PHASE1_READY",IF(Z139="Manual Review","MIGRATION_PHASE1_REVIEW","MIGRATION_PRE_ENTRY"))),IF(LEFT(D139,1)="2","DECLINING_KEY_CORE",IF(LEFT(D139,1)="3",IF(R139="Established Buyer Lapsed","LAPSED_ESTABLISHED","LAPSED_THIN_HISTORY"),IF(LEFT(D139,1)="4",IF(Q139="New Customer","NEW_CUSTOMER","RETURNED_CUSTOMER"),IF(LEFT(D139,1)="5",IF(P139="Recently Active","COST_TO_SERVE_ACTIVE","DORMANT_LOW_VALUE"),IF(LEFT(D139,1)="6",IF(P139="Recent Inactivity","RECENT_INACTIVITY",IF(AG139,"BROWSING_LOW_OFFERS","HEALTHY_STRONG_SELF_SERVE")),IF(LEFT(D139,1)="7",IF(P139="Recent Inactivity","RECENT_INACTIVITY",IF(Q139="New Customer","NEW_CUSTOMER","RETURNED_CUSTOMER")),IF(LEFT(D139,1)="8",IF(G139="Declining",IF(T139="Engaged but shrinking (Key/Core)","ENGAGED_BUT_SHRINKING","DECLINING_KEY_CORE"),IF(R139="Established Buyer Lapsed","LAPSED_ESTABLISHED","LAPSED_THIN_HISTORY")),IF(S139,IF(P139&lt;&gt;"Recently Active","DORMANT_LOW_VALUE",IF(AG139,"BROWSING_LOW_OFFERS",IF(AH139,"RISING_TAIL","RISING_TAIL_EARLY"))),IF(AND(AG139,P139="Recently Active",OR(G139="Growing",G139="Stable",G139="H2 Active / No H1 GMV"),I139&gt;=Assumptions!$B$74),"BROWSING_LOW_OFFERS","LONG_TAIL_STANDARD"))))))))))</f>
        <v>LONG_TAIL_STANDARD</v>
      </c>
      <c r="AK139" s="2" t="str">
        <f aca="false">INDEX('NBA Library'!$B$4:$B$21,MATCH(AJ139,'NBA Library'!$A$4:$A$21,0))</f>
        <v>Automated Nurture</v>
      </c>
      <c r="AL139" s="2" t="str">
        <f aca="false">INDEX('NBA Library'!$C$4:$C$21,MATCH(AJ139,'NBA Library'!$A$4:$A$21,0))</f>
        <v>Automated</v>
      </c>
      <c r="AM139" s="2" t="str">
        <f aca="false">IF(AA139,"HOLD — Critical Data Issue",IF(Y139,"Human Sign-Off Required",IF(Z139="Manual Review","Human Review Required",IF(AND(AL139="Automated",OR(AE139,AND(OR(AK139="Discovery-to-Offer Enablement",AK139="Reinforce Successful Behaviour"),OR(AC139,AB139)))),"Human Review Required",IF(AL139="Human","Ready — Human",IF(AL139="Hybrid","Ready — Hybrid","Ready — Automated"))))))</f>
        <v>Ready — Automated</v>
      </c>
      <c r="AN139" s="2" t="str">
        <f aca="false">IF(AA139,"P0",IF(AND(AJ139="BROWSING_LOW_OFFERS",E139="Tail"),"P3",IF(AND(AM139="Human Review Required",INDEX('NBA Library'!$D$4:$D$21,MATCH(AJ139,'NBA Library'!$A$4:$A$21,0))="P4"),"P3",INDEX('NBA Library'!$D$4:$D$21,MATCH(AJ139,'NBA Library'!$A$4:$A$21,0)))))</f>
        <v>P4</v>
      </c>
      <c r="AO139" s="2" t="str">
        <f aca="false">E139&amp;" "&amp;C139&amp;" account ("&amp;B139&amp;"); "&amp;G139&amp;" momentum; "&amp;P139&amp;"; £"&amp;TEXT(H139,"#,##0")&amp;" 6m GMV. "&amp;INDEX('NBA Library'!$G$4:$G$21,MATCH(AJ139,'NBA Library'!$A$4:$A$21,0))&amp;IF(LEFT(D139,1)="1"," Baseline: "&amp;V139&amp;" PDP views, "&amp;W139&amp;" app days, "&amp;X139&amp;" offers, "&amp;TEXT(J139/I139,"0%")&amp;" of orders self-serve.","")&amp;IF(AA139," Execution on HOLD until the Duplicate status is resolved.","")&amp;IF(Y139," Key account: explicit AM/leadership sign-off required before any migration activity.","")&amp;IF(AE139," Implied broker % from order counts would move this account to a different segment; review before automating.","")</f>
        <v>Tail AM-Owned / Self-Serving account (Account Managed); Lapsed momentum; No Meaningful History; £329 6m GMV. Low-value, low-dependency account. Scalable automated engagement.</v>
      </c>
      <c r="AP139" s="2" t="str">
        <f aca="false">INDEX('NBA Library'!$E$4:$E$21,MATCH(AJ139,'NBA Library'!$A$4:$A$21,0))&amp;IF(AND(AJ139="NEW_CUSTOMER",AG139),"; introduce Make-an-Offer on items already browsed","")</f>
        <v>Scalable automated engagement matched to nurture sub-context</v>
      </c>
      <c r="AQ139" s="2" t="str">
        <f aca="false">INDEX('NBA Library'!$F$4:$F$21,MATCH(AJ139,'NBA Library'!$A$4:$A$21,0))</f>
        <v>Any repeat order within 90 days</v>
      </c>
      <c r="AR139" s="2" t="str">
        <f aca="false">IF(AND(F139="Low",OR(G139="Growing",G139="Stable"),P139="Recently Active",U139&lt;&gt;"Mixed",OR(AK139="Discovery-to-Offer Enablement",AK139="Reinforce Successful Behaviour"),AM139="Ready — Automated",OR(E139&lt;&gt;"Tail",S139)),"Range Expansion Test — trial "&amp;IF(U139="Bundle-only","handpick","bundles")&amp;" (experimental; not proven to lift GMV)","")</f>
        <v/>
      </c>
      <c r="AS139" s="2" t="str">
        <f aca="false">IF(AK139&lt;&gt;"Automated Nurture","",IF(AJ139="DORMANT_LOW_VALUE","Dormant",IF(AJ139="RISING_TAIL_EARLY","Rising tail – early pattern",IF(Q139="New Customer","New customer onboarding",IF(Q139="Returned Customer","Returned customer",IF(G139="Lapsed","Dormant",IF(T139="Engaged, not converting","Engaged, not converting",IF(T139="One-off low-touch buyer","One-off purchaser",IF(T139="Light-touch repeat buyer","Light-touch repeat buyer","Standard long tail")))))))))</f>
        <v>Dormant</v>
      </c>
      <c r="AT139" s="2" t="str">
        <f aca="false">IF(AA139,"CRITICAL_DATA_BLOCKER; ","")&amp;IF(Y139,"KEY_SIGNOFF; ","")&amp;IF(Z139="Manual Review","PHASE1_MANUAL_REVIEW; ","")&amp;IF(AND(LEFT(D139,1)="1",AZ139="Lumpy"),"LUMPY_CADENCE; ","")&amp;IF(AB139,"BORDERLINE_MOMENTUM; ","")&amp;IF(AC139,"FEB_SENSITIVE; ","")&amp;IF(AD139,"MATERIAL_BROKER_INCONSISTENCY"&amp;IF(AE139," (segment would change)","")&amp;"; ","")&amp;IF(AND(I139&gt;=3,O139&gt;0),IF(AI139&gt;=Assumptions!$B$75,"H2_SINGLE_MONTH_SPIKE; ",""),"")&amp;IF(AND(M139&gt;0,N139=0),"NO_FEB_GMV (Feb unconfirmed); ","")&amp;IF(AF139,"LOW_CONFIDENCE; ","")</f>
        <v>LOW_CONFIDENCE; </v>
      </c>
      <c r="AU139" s="2" t="str">
        <f aca="false">IF(LEFT(D139,1)="1",V139,"")</f>
        <v/>
      </c>
      <c r="AV139" s="2" t="str">
        <f aca="false">IF(LEFT(D139,1)="1",V139&gt;=Assumptions!$B$58,"")</f>
        <v/>
      </c>
      <c r="AW139" s="2" t="str">
        <f aca="false">IF(LEFT(D139,1)="1",W139,"")</f>
        <v/>
      </c>
      <c r="AX139" s="2" t="str">
        <f aca="false">IF(LEFT(D139,1)="1",X139,"")</f>
        <v/>
      </c>
      <c r="AY139" s="17" t="str">
        <f aca="false">IF(LEFT(D139,1)="1",J139/I139,"")</f>
        <v/>
      </c>
      <c r="AZ139" s="2" t="str">
        <f aca="false">IF(LEFT(D139,1)="1",IF(AND(K139&gt;=Assumptions!$B$83,I139&gt;=Assumptions!$B$84),"Regular","Lumpy"),"")</f>
        <v/>
      </c>
      <c r="BA139" s="2" t="str">
        <f aca="false">IF(LEFT(D139,1)="1",ROUND(6/K139,0),"")</f>
        <v/>
      </c>
      <c r="BB139" s="2" t="str">
        <f aca="false">IF(LEFT(D139,1)="1",IF(AZ139="Regular","Regular buyer: expected ~£"&amp;TEXT(H139/2,"#,##0")&amp;" per 90 days. At Risk if GMV to date &lt; "&amp;TEXT(Assumptions!$B$81,"0%")&amp;" of pro-rated expectation, checked from day "&amp;Assumptions!$B$82&amp;". Human-reviewed.","Irregular buyer ("&amp;I139&amp;" orders across "&amp;K139&amp;" months): no numeric GMV threshold. At Risk if no order within ~"&amp;BA139&amp;" month(s); AM reviews at day "&amp;Assumptions!$B$82&amp;" and "&amp;Assumptions!$B$85&amp;"."),"")</f>
        <v/>
      </c>
      <c r="BC139" s="2"/>
      <c r="BD139" s="2"/>
      <c r="BE139" s="2"/>
      <c r="BF139" s="2"/>
      <c r="BG139" s="2"/>
      <c r="BH139" s="2"/>
      <c r="BI139" s="2"/>
      <c r="BJ139" s="2" t="str">
        <f aca="false">IF(OR(NOT(LEFT(D139,1)="1"),BC139=""),"",IF(AZ139="Regular",AND(BC139&gt;=Assumptions!$B$82,N(BI139)&lt;Assumptions!$B$81*H139/180*BC139),AND(BC139&gt;=BA139*30,N(BG139)=0)))</f>
        <v/>
      </c>
      <c r="BK139" s="2" t="str">
        <f aca="false">IF(NOT(LEFT(D139,1)="1"),"N/A",IF(BC139="","Baseline",IF(BJ139,"At Risk",IF(AND(N(BD139)&gt;=Assumptions!$B$78,N(BE139)&gt;=Assumptions!$B$79,N(BH139)&gt;=1,N(BH139)/MAX(N(BG139),1)&gt;AY139),"Self-Serve Capability Demonstrated",IF(OR(N(BD139)&gt;=Assumptions!$B$76,N(BE139)&gt;=Assumptions!$B$77),"Progressing",IF(BC139&gt;=Assumptions!$B$85,"At Risk","Baseline"))))))</f>
        <v>N/A</v>
      </c>
      <c r="BL139" s="2" t="n">
        <f aca="false">(AND(C139="Broker-Reliant",OR(AK139="Discovery-to-Offer Enablement",AK139="Reinforce Successful Behaviour")))*1+(AND(G139="Declining",E139&lt;&gt;"Tail",AL139="Automated"))*1+(AND(Y139,AM139&lt;&gt;"Human Sign-Off Required"))*1+(AND(AA139,AM139&lt;&gt;"HOLD — Critical Data Issue"))*1+(AND(P139="Recent Inactivity",OR(AK139="Discovery-to-Offer Enablement",AK139="Reinforce Successful Behaviour")))*1+(AND(OR(LEFT(D139,1)="2",LEFT(D139,1)="3",LEFT(D139,1)="8"),AL139="Automated"))*1+((LEFT(D139,1)="1")&lt;&gt;(AK139="Guided Self-Serve Migration"))*1+(AND(AR139&lt;&gt;"",OR(F139&lt;&gt;"Low",U139="Mixed",AND(G139&lt;&gt;"Growing",G139&lt;&gt;"Stable"))))*1+ISNUMBER(SEARCH("chat",AP139))*1+ISNUMBER(SEARCH("video",AP139))*1+(AND(AA139,AL139="Automated",AM139&lt;&gt;"HOLD — Critical Data Issue"))*1</f>
        <v>0</v>
      </c>
    </row>
    <row r="140" customFormat="false" ht="15" hidden="false" customHeight="false" outlineLevel="0" collapsed="false">
      <c r="A140" s="2" t="s">
        <v>764</v>
      </c>
      <c r="B140" s="2" t="str">
        <f aca="false">INDEX(Segmentation!$B$2:$B$301,MATCH($A140,Segmentation!$A$2:$A$301,0))</f>
        <v>Account Managed</v>
      </c>
      <c r="C140" s="2" t="str">
        <f aca="false">INDEX(Segmentation!$H$2:$H$301,MATCH($A140,Segmentation!$A$2:$A$301,0))</f>
        <v>AM-Owned / Self-Serving</v>
      </c>
      <c r="D140" s="2" t="str">
        <f aca="false">INDEX(Segmentation!$T$2:$T$301,MATCH($A140,Segmentation!$A$2:$A$301,0))</f>
        <v>9. Long-Tail Automated Nurture</v>
      </c>
      <c r="E140" s="2" t="str">
        <f aca="false">INDEX(Segmentation!$J$2:$J$301,MATCH($A140,Segmentation!$A$2:$A$301,0))</f>
        <v>Tail</v>
      </c>
      <c r="F140" s="2" t="str">
        <f aca="false">INDEX(Segmentation!$G$2:$G$301,MATCH($A140,Segmentation!$A$2:$A$301,0))</f>
        <v>Low</v>
      </c>
      <c r="G140" s="2" t="str">
        <f aca="false">INDEX(Segmentation!$N$2:$N$301,MATCH($A140,Segmentation!$A$2:$A$301,0))</f>
        <v>Lapsed</v>
      </c>
      <c r="H140" s="9" t="n">
        <f aca="false">INDEX(Segmentation!$I$2:$I$301,MATCH($A140,Segmentation!$A$2:$A$301,0))</f>
        <v>322</v>
      </c>
      <c r="I140" s="2" t="n">
        <f aca="false">INDEX(Segmentation!$O$2:$O$301,MATCH($A140,Segmentation!$A$2:$A$301,0))</f>
        <v>1</v>
      </c>
      <c r="J140" s="2" t="n">
        <f aca="false">INDEX(Segmentation!$Q$2:$Q$301,MATCH($A140,Segmentation!$A$2:$A$301,0))</f>
        <v>1</v>
      </c>
      <c r="K140" s="2" t="n">
        <f aca="false">INDEX(Segmentation!$W$2:$W$301,MATCH($A140,Segmentation!$A$2:$A$301,0))</f>
        <v>1</v>
      </c>
      <c r="L140" s="9" t="n">
        <f aca="false">INDEX('Commercial View'!$L$2:$L$301,MATCH($A140,'Commercial View'!$A$2:$A$301,0))</f>
        <v>0</v>
      </c>
      <c r="M140" s="9" t="n">
        <f aca="false">INDEX('Commercial View'!$M$2:$M$301,MATCH($A140,'Commercial View'!$A$2:$A$301,0))</f>
        <v>0</v>
      </c>
      <c r="N140" s="9" t="n">
        <f aca="false">INDEX('Commercial View'!$N$2:$N$301,MATCH($A140,'Commercial View'!$A$2:$A$301,0))</f>
        <v>0</v>
      </c>
      <c r="O140" s="9" t="n">
        <f aca="false">INDEX(Segmentation!$L$2:$L$301,MATCH($A140,Segmentation!$A$2:$A$301,0))</f>
        <v>0</v>
      </c>
      <c r="P140" s="2" t="str">
        <f aca="false">IF(OR(M140&gt;0,N140&gt;0),"Recently Active",IF(OR(I140&lt;=Assumptions!$B$48,K140&lt;=Assumptions!$B$49),"No Meaningful History","Recent Inactivity"))</f>
        <v>No Meaningful History</v>
      </c>
      <c r="Q140" s="2" t="str">
        <f aca="false">INDEX(Segmentation!$AF$2:$AF$301,MATCH($A140,Segmentation!$A$2:$A$301,0))</f>
        <v>Existing Customer</v>
      </c>
      <c r="R140" s="2" t="str">
        <f aca="false">INDEX(Segmentation!$AL$2:$AL$301,MATCH($A140,Segmentation!$A$2:$A$301,0))</f>
        <v>One-Off / Insufficient History — Verify</v>
      </c>
      <c r="S140" s="10" t="b">
        <f aca="false">INDEX(Segmentation!$AW$2:$AW$301,MATCH($A140,Segmentation!$A$2:$A$301,0))</f>
        <v>0</v>
      </c>
      <c r="T140" s="2" t="str">
        <f aca="false">INDEX('Feature Data'!$AD$2:$AD$301,MATCH($A140,'Feature Data'!$A$2:$A$301,0))</f>
        <v>One-off low-touch buyer</v>
      </c>
      <c r="U140" s="2" t="str">
        <f aca="false">INDEX('Feature Data'!$W$2:$W$301,MATCH($A140,'Feature Data'!$A$2:$A$301,0))</f>
        <v>Bundle-only</v>
      </c>
      <c r="V140" s="2" t="n">
        <f aca="false">INDEX('Feature Data'!$P$2:$P$301,MATCH($A140,'Feature Data'!$A$2:$A$301,0))</f>
        <v>93</v>
      </c>
      <c r="W140" s="2" t="n">
        <f aca="false">INDEX(Segmentation!$R$2:$R$301,MATCH($A140,Segmentation!$A$2:$A$301,0))</f>
        <v>8</v>
      </c>
      <c r="X140" s="2" t="n">
        <f aca="false">INDEX(Segmentation!$S$2:$S$301,MATCH($A140,Segmentation!$A$2:$A$301,0))</f>
        <v>0</v>
      </c>
      <c r="Y140" s="10" t="b">
        <f aca="false">INDEX(Segmentation!$AG$2:$AG$301,MATCH($A140,Segmentation!$A$2:$A$301,0))</f>
        <v>0</v>
      </c>
      <c r="Z140" s="2" t="str">
        <f aca="false">INDEX(Segmentation!$AU$2:$AU$301,MATCH($A140,Segmentation!$A$2:$A$301,0))</f>
        <v>Not Eligible</v>
      </c>
      <c r="AA140" s="10" t="b">
        <f aca="false">INDEX(Segmentation!$Z$2:$Z$301,MATCH($A140,Segmentation!$A$2:$A$301,0))</f>
        <v>0</v>
      </c>
      <c r="AB140" s="10" t="b">
        <f aca="false">INDEX(Segmentation!$AH$2:$AH$301,MATCH($A140,Segmentation!$A$2:$A$301,0))</f>
        <v>0</v>
      </c>
      <c r="AC140" s="10" t="b">
        <f aca="false">INDEX(Segmentation!$AK$2:$AK$301,MATCH($A140,Segmentation!$A$2:$A$301,0))</f>
        <v>0</v>
      </c>
      <c r="AD140" s="10" t="b">
        <f aca="false">INDEX(Segmentation!$AQ$2:$AQ$301,MATCH($A140,Segmentation!$A$2:$A$301,0))</f>
        <v>0</v>
      </c>
      <c r="AE140" s="10" t="b">
        <f aca="false">INDEX(Segmentation!$AT$2:$AT$301,MATCH($A140,Segmentation!$A$2:$A$301,0))</f>
        <v>0</v>
      </c>
      <c r="AF140" s="10" t="b">
        <f aca="false">INDEX(Segmentation!$X$2:$X$301,MATCH($A140,Segmentation!$A$2:$A$301,0))</f>
        <v>1</v>
      </c>
      <c r="AG140" s="10" t="b">
        <f aca="false">AND(F140="Low",V140&gt;=Assumptions!$B$71,X140&lt;Assumptions!$B$72)</f>
        <v>1</v>
      </c>
      <c r="AH140" s="10" t="b">
        <f aca="false">AND(F140="Low",OR(G140="Growing",G140="Stable"),P140="Recently Active",V140&gt;=Assumptions!$B$58,K140&gt;=Assumptions!$B$73)</f>
        <v>0</v>
      </c>
      <c r="AI140" s="17" t="str">
        <f aca="false">IF(O140&gt;0,MAX(L140:N140)/O140,"")</f>
        <v/>
      </c>
      <c r="AJ140" s="2" t="str">
        <f aca="false">IF(LEFT(D140,1)="1",IF(E140="Key","MIGRATION_KEY_SIGNOFF",IF(Z140="Ready","MIGRATION_PHASE1_READY",IF(Z140="Manual Review","MIGRATION_PHASE1_REVIEW","MIGRATION_PRE_ENTRY"))),IF(LEFT(D140,1)="2","DECLINING_KEY_CORE",IF(LEFT(D140,1)="3",IF(R140="Established Buyer Lapsed","LAPSED_ESTABLISHED","LAPSED_THIN_HISTORY"),IF(LEFT(D140,1)="4",IF(Q140="New Customer","NEW_CUSTOMER","RETURNED_CUSTOMER"),IF(LEFT(D140,1)="5",IF(P140="Recently Active","COST_TO_SERVE_ACTIVE","DORMANT_LOW_VALUE"),IF(LEFT(D140,1)="6",IF(P140="Recent Inactivity","RECENT_INACTIVITY",IF(AG140,"BROWSING_LOW_OFFERS","HEALTHY_STRONG_SELF_SERVE")),IF(LEFT(D140,1)="7",IF(P140="Recent Inactivity","RECENT_INACTIVITY",IF(Q140="New Customer","NEW_CUSTOMER","RETURNED_CUSTOMER")),IF(LEFT(D140,1)="8",IF(G140="Declining",IF(T140="Engaged but shrinking (Key/Core)","ENGAGED_BUT_SHRINKING","DECLINING_KEY_CORE"),IF(R140="Established Buyer Lapsed","LAPSED_ESTABLISHED","LAPSED_THIN_HISTORY")),IF(S140,IF(P140&lt;&gt;"Recently Active","DORMANT_LOW_VALUE",IF(AG140,"BROWSING_LOW_OFFERS",IF(AH140,"RISING_TAIL","RISING_TAIL_EARLY"))),IF(AND(AG140,P140="Recently Active",OR(G140="Growing",G140="Stable",G140="H2 Active / No H1 GMV"),I140&gt;=Assumptions!$B$74),"BROWSING_LOW_OFFERS","LONG_TAIL_STANDARD"))))))))))</f>
        <v>LONG_TAIL_STANDARD</v>
      </c>
      <c r="AK140" s="2" t="str">
        <f aca="false">INDEX('NBA Library'!$B$4:$B$21,MATCH(AJ140,'NBA Library'!$A$4:$A$21,0))</f>
        <v>Automated Nurture</v>
      </c>
      <c r="AL140" s="2" t="str">
        <f aca="false">INDEX('NBA Library'!$C$4:$C$21,MATCH(AJ140,'NBA Library'!$A$4:$A$21,0))</f>
        <v>Automated</v>
      </c>
      <c r="AM140" s="2" t="str">
        <f aca="false">IF(AA140,"HOLD — Critical Data Issue",IF(Y140,"Human Sign-Off Required",IF(Z140="Manual Review","Human Review Required",IF(AND(AL140="Automated",OR(AE140,AND(OR(AK140="Discovery-to-Offer Enablement",AK140="Reinforce Successful Behaviour"),OR(AC140,AB140)))),"Human Review Required",IF(AL140="Human","Ready — Human",IF(AL140="Hybrid","Ready — Hybrid","Ready — Automated"))))))</f>
        <v>Ready — Automated</v>
      </c>
      <c r="AN140" s="2" t="str">
        <f aca="false">IF(AA140,"P0",IF(AND(AJ140="BROWSING_LOW_OFFERS",E140="Tail"),"P3",IF(AND(AM140="Human Review Required",INDEX('NBA Library'!$D$4:$D$21,MATCH(AJ140,'NBA Library'!$A$4:$A$21,0))="P4"),"P3",INDEX('NBA Library'!$D$4:$D$21,MATCH(AJ140,'NBA Library'!$A$4:$A$21,0)))))</f>
        <v>P4</v>
      </c>
      <c r="AO140" s="2" t="str">
        <f aca="false">E140&amp;" "&amp;C140&amp;" account ("&amp;B140&amp;"); "&amp;G140&amp;" momentum; "&amp;P140&amp;"; £"&amp;TEXT(H140,"#,##0")&amp;" 6m GMV. "&amp;INDEX('NBA Library'!$G$4:$G$21,MATCH(AJ140,'NBA Library'!$A$4:$A$21,0))&amp;IF(LEFT(D140,1)="1"," Baseline: "&amp;V140&amp;" PDP views, "&amp;W140&amp;" app days, "&amp;X140&amp;" offers, "&amp;TEXT(J140/I140,"0%")&amp;" of orders self-serve.","")&amp;IF(AA140," Execution on HOLD until the Duplicate status is resolved.","")&amp;IF(Y140," Key account: explicit AM/leadership sign-off required before any migration activity.","")&amp;IF(AE140," Implied broker % from order counts would move this account to a different segment; review before automating.","")</f>
        <v>Tail AM-Owned / Self-Serving account (Account Managed); Lapsed momentum; No Meaningful History; £322 6m GMV. Low-value, low-dependency account. Scalable automated engagement.</v>
      </c>
      <c r="AP140" s="2" t="str">
        <f aca="false">INDEX('NBA Library'!$E$4:$E$21,MATCH(AJ140,'NBA Library'!$A$4:$A$21,0))&amp;IF(AND(AJ140="NEW_CUSTOMER",AG140),"; introduce Make-an-Offer on items already browsed","")</f>
        <v>Scalable automated engagement matched to nurture sub-context</v>
      </c>
      <c r="AQ140" s="2" t="str">
        <f aca="false">INDEX('NBA Library'!$F$4:$F$21,MATCH(AJ140,'NBA Library'!$A$4:$A$21,0))</f>
        <v>Any repeat order within 90 days</v>
      </c>
      <c r="AR140" s="2" t="str">
        <f aca="false">IF(AND(F140="Low",OR(G140="Growing",G140="Stable"),P140="Recently Active",U140&lt;&gt;"Mixed",OR(AK140="Discovery-to-Offer Enablement",AK140="Reinforce Successful Behaviour"),AM140="Ready — Automated",OR(E140&lt;&gt;"Tail",S140)),"Range Expansion Test — trial "&amp;IF(U140="Bundle-only","handpick","bundles")&amp;" (experimental; not proven to lift GMV)","")</f>
        <v/>
      </c>
      <c r="AS140" s="2" t="str">
        <f aca="false">IF(AK140&lt;&gt;"Automated Nurture","",IF(AJ140="DORMANT_LOW_VALUE","Dormant",IF(AJ140="RISING_TAIL_EARLY","Rising tail – early pattern",IF(Q140="New Customer","New customer onboarding",IF(Q140="Returned Customer","Returned customer",IF(G140="Lapsed","Dormant",IF(T140="Engaged, not converting","Engaged, not converting",IF(T140="One-off low-touch buyer","One-off purchaser",IF(T140="Light-touch repeat buyer","Light-touch repeat buyer","Standard long tail")))))))))</f>
        <v>Dormant</v>
      </c>
      <c r="AT140" s="2" t="str">
        <f aca="false">IF(AA140,"CRITICAL_DATA_BLOCKER; ","")&amp;IF(Y140,"KEY_SIGNOFF; ","")&amp;IF(Z140="Manual Review","PHASE1_MANUAL_REVIEW; ","")&amp;IF(AND(LEFT(D140,1)="1",AZ140="Lumpy"),"LUMPY_CADENCE; ","")&amp;IF(AB140,"BORDERLINE_MOMENTUM; ","")&amp;IF(AC140,"FEB_SENSITIVE; ","")&amp;IF(AD140,"MATERIAL_BROKER_INCONSISTENCY"&amp;IF(AE140," (segment would change)","")&amp;"; ","")&amp;IF(AND(I140&gt;=3,O140&gt;0),IF(AI140&gt;=Assumptions!$B$75,"H2_SINGLE_MONTH_SPIKE; ",""),"")&amp;IF(AND(M140&gt;0,N140=0),"NO_FEB_GMV (Feb unconfirmed); ","")&amp;IF(AF140,"LOW_CONFIDENCE; ","")</f>
        <v>LOW_CONFIDENCE; </v>
      </c>
      <c r="AU140" s="2" t="str">
        <f aca="false">IF(LEFT(D140,1)="1",V140,"")</f>
        <v/>
      </c>
      <c r="AV140" s="2" t="str">
        <f aca="false">IF(LEFT(D140,1)="1",V140&gt;=Assumptions!$B$58,"")</f>
        <v/>
      </c>
      <c r="AW140" s="2" t="str">
        <f aca="false">IF(LEFT(D140,1)="1",W140,"")</f>
        <v/>
      </c>
      <c r="AX140" s="2" t="str">
        <f aca="false">IF(LEFT(D140,1)="1",X140,"")</f>
        <v/>
      </c>
      <c r="AY140" s="17" t="str">
        <f aca="false">IF(LEFT(D140,1)="1",J140/I140,"")</f>
        <v/>
      </c>
      <c r="AZ140" s="2" t="str">
        <f aca="false">IF(LEFT(D140,1)="1",IF(AND(K140&gt;=Assumptions!$B$83,I140&gt;=Assumptions!$B$84),"Regular","Lumpy"),"")</f>
        <v/>
      </c>
      <c r="BA140" s="2" t="str">
        <f aca="false">IF(LEFT(D140,1)="1",ROUND(6/K140,0),"")</f>
        <v/>
      </c>
      <c r="BB140" s="2" t="str">
        <f aca="false">IF(LEFT(D140,1)="1",IF(AZ140="Regular","Regular buyer: expected ~£"&amp;TEXT(H140/2,"#,##0")&amp;" per 90 days. At Risk if GMV to date &lt; "&amp;TEXT(Assumptions!$B$81,"0%")&amp;" of pro-rated expectation, checked from day "&amp;Assumptions!$B$82&amp;". Human-reviewed.","Irregular buyer ("&amp;I140&amp;" orders across "&amp;K140&amp;" months): no numeric GMV threshold. At Risk if no order within ~"&amp;BA140&amp;" month(s); AM reviews at day "&amp;Assumptions!$B$82&amp;" and "&amp;Assumptions!$B$85&amp;"."),"")</f>
        <v/>
      </c>
      <c r="BC140" s="2"/>
      <c r="BD140" s="2"/>
      <c r="BE140" s="2"/>
      <c r="BF140" s="2"/>
      <c r="BG140" s="2"/>
      <c r="BH140" s="2"/>
      <c r="BI140" s="2"/>
      <c r="BJ140" s="2" t="str">
        <f aca="false">IF(OR(NOT(LEFT(D140,1)="1"),BC140=""),"",IF(AZ140="Regular",AND(BC140&gt;=Assumptions!$B$82,N(BI140)&lt;Assumptions!$B$81*H140/180*BC140),AND(BC140&gt;=BA140*30,N(BG140)=0)))</f>
        <v/>
      </c>
      <c r="BK140" s="2" t="str">
        <f aca="false">IF(NOT(LEFT(D140,1)="1"),"N/A",IF(BC140="","Baseline",IF(BJ140,"At Risk",IF(AND(N(BD140)&gt;=Assumptions!$B$78,N(BE140)&gt;=Assumptions!$B$79,N(BH140)&gt;=1,N(BH140)/MAX(N(BG140),1)&gt;AY140),"Self-Serve Capability Demonstrated",IF(OR(N(BD140)&gt;=Assumptions!$B$76,N(BE140)&gt;=Assumptions!$B$77),"Progressing",IF(BC140&gt;=Assumptions!$B$85,"At Risk","Baseline"))))))</f>
        <v>N/A</v>
      </c>
      <c r="BL140" s="2" t="n">
        <f aca="false">(AND(C140="Broker-Reliant",OR(AK140="Discovery-to-Offer Enablement",AK140="Reinforce Successful Behaviour")))*1+(AND(G140="Declining",E140&lt;&gt;"Tail",AL140="Automated"))*1+(AND(Y140,AM140&lt;&gt;"Human Sign-Off Required"))*1+(AND(AA140,AM140&lt;&gt;"HOLD — Critical Data Issue"))*1+(AND(P140="Recent Inactivity",OR(AK140="Discovery-to-Offer Enablement",AK140="Reinforce Successful Behaviour")))*1+(AND(OR(LEFT(D140,1)="2",LEFT(D140,1)="3",LEFT(D140,1)="8"),AL140="Automated"))*1+((LEFT(D140,1)="1")&lt;&gt;(AK140="Guided Self-Serve Migration"))*1+(AND(AR140&lt;&gt;"",OR(F140&lt;&gt;"Low",U140="Mixed",AND(G140&lt;&gt;"Growing",G140&lt;&gt;"Stable"))))*1+ISNUMBER(SEARCH("chat",AP140))*1+ISNUMBER(SEARCH("video",AP140))*1+(AND(AA140,AL140="Automated",AM140&lt;&gt;"HOLD — Critical Data Issue"))*1</f>
        <v>0</v>
      </c>
    </row>
    <row r="141" customFormat="false" ht="15" hidden="false" customHeight="false" outlineLevel="0" collapsed="false">
      <c r="A141" s="2" t="s">
        <v>768</v>
      </c>
      <c r="B141" s="2" t="str">
        <f aca="false">INDEX(Segmentation!$B$2:$B$301,MATCH($A141,Segmentation!$A$2:$A$301,0))</f>
        <v>Account Managed</v>
      </c>
      <c r="C141" s="2" t="str">
        <f aca="false">INDEX(Segmentation!$H$2:$H$301,MATCH($A141,Segmentation!$A$2:$A$301,0))</f>
        <v>AM-Owned / Self-Serving</v>
      </c>
      <c r="D141" s="2" t="str">
        <f aca="false">INDEX(Segmentation!$T$2:$T$301,MATCH($A141,Segmentation!$A$2:$A$301,0))</f>
        <v>9. Long-Tail Automated Nurture</v>
      </c>
      <c r="E141" s="2" t="str">
        <f aca="false">INDEX(Segmentation!$J$2:$J$301,MATCH($A141,Segmentation!$A$2:$A$301,0))</f>
        <v>Tail</v>
      </c>
      <c r="F141" s="2" t="str">
        <f aca="false">INDEX(Segmentation!$G$2:$G$301,MATCH($A141,Segmentation!$A$2:$A$301,0))</f>
        <v>Low</v>
      </c>
      <c r="G141" s="2" t="str">
        <f aca="false">INDEX(Segmentation!$N$2:$N$301,MATCH($A141,Segmentation!$A$2:$A$301,0))</f>
        <v>Lapsed</v>
      </c>
      <c r="H141" s="9" t="n">
        <f aca="false">INDEX(Segmentation!$I$2:$I$301,MATCH($A141,Segmentation!$A$2:$A$301,0))</f>
        <v>320</v>
      </c>
      <c r="I141" s="2" t="n">
        <f aca="false">INDEX(Segmentation!$O$2:$O$301,MATCH($A141,Segmentation!$A$2:$A$301,0))</f>
        <v>1</v>
      </c>
      <c r="J141" s="2" t="n">
        <f aca="false">INDEX(Segmentation!$Q$2:$Q$301,MATCH($A141,Segmentation!$A$2:$A$301,0))</f>
        <v>1</v>
      </c>
      <c r="K141" s="2" t="n">
        <f aca="false">INDEX(Segmentation!$W$2:$W$301,MATCH($A141,Segmentation!$A$2:$A$301,0))</f>
        <v>1</v>
      </c>
      <c r="L141" s="9" t="n">
        <f aca="false">INDEX('Commercial View'!$L$2:$L$301,MATCH($A141,'Commercial View'!$A$2:$A$301,0))</f>
        <v>0</v>
      </c>
      <c r="M141" s="9" t="n">
        <f aca="false">INDEX('Commercial View'!$M$2:$M$301,MATCH($A141,'Commercial View'!$A$2:$A$301,0))</f>
        <v>0</v>
      </c>
      <c r="N141" s="9" t="n">
        <f aca="false">INDEX('Commercial View'!$N$2:$N$301,MATCH($A141,'Commercial View'!$A$2:$A$301,0))</f>
        <v>0</v>
      </c>
      <c r="O141" s="9" t="n">
        <f aca="false">INDEX(Segmentation!$L$2:$L$301,MATCH($A141,Segmentation!$A$2:$A$301,0))</f>
        <v>0</v>
      </c>
      <c r="P141" s="2" t="str">
        <f aca="false">IF(OR(M141&gt;0,N141&gt;0),"Recently Active",IF(OR(I141&lt;=Assumptions!$B$48,K141&lt;=Assumptions!$B$49),"No Meaningful History","Recent Inactivity"))</f>
        <v>No Meaningful History</v>
      </c>
      <c r="Q141" s="2" t="str">
        <f aca="false">INDEX(Segmentation!$AF$2:$AF$301,MATCH($A141,Segmentation!$A$2:$A$301,0))</f>
        <v>Existing Customer</v>
      </c>
      <c r="R141" s="2" t="str">
        <f aca="false">INDEX(Segmentation!$AL$2:$AL$301,MATCH($A141,Segmentation!$A$2:$A$301,0))</f>
        <v>One-Off / Insufficient History — Verify</v>
      </c>
      <c r="S141" s="10" t="b">
        <f aca="false">INDEX(Segmentation!$AW$2:$AW$301,MATCH($A141,Segmentation!$A$2:$A$301,0))</f>
        <v>0</v>
      </c>
      <c r="T141" s="2" t="str">
        <f aca="false">INDEX('Feature Data'!$AD$2:$AD$301,MATCH($A141,'Feature Data'!$A$2:$A$301,0))</f>
        <v>One-off low-touch buyer</v>
      </c>
      <c r="U141" s="2" t="str">
        <f aca="false">INDEX('Feature Data'!$W$2:$W$301,MATCH($A141,'Feature Data'!$A$2:$A$301,0))</f>
        <v>Bundle-only</v>
      </c>
      <c r="V141" s="2" t="n">
        <f aca="false">INDEX('Feature Data'!$P$2:$P$301,MATCH($A141,'Feature Data'!$A$2:$A$301,0))</f>
        <v>0</v>
      </c>
      <c r="W141" s="2" t="n">
        <f aca="false">INDEX(Segmentation!$R$2:$R$301,MATCH($A141,Segmentation!$A$2:$A$301,0))</f>
        <v>0</v>
      </c>
      <c r="X141" s="2" t="n">
        <f aca="false">INDEX(Segmentation!$S$2:$S$301,MATCH($A141,Segmentation!$A$2:$A$301,0))</f>
        <v>0</v>
      </c>
      <c r="Y141" s="10" t="b">
        <f aca="false">INDEX(Segmentation!$AG$2:$AG$301,MATCH($A141,Segmentation!$A$2:$A$301,0))</f>
        <v>0</v>
      </c>
      <c r="Z141" s="2" t="str">
        <f aca="false">INDEX(Segmentation!$AU$2:$AU$301,MATCH($A141,Segmentation!$A$2:$A$301,0))</f>
        <v>Not Eligible</v>
      </c>
      <c r="AA141" s="10" t="b">
        <f aca="false">INDEX(Segmentation!$Z$2:$Z$301,MATCH($A141,Segmentation!$A$2:$A$301,0))</f>
        <v>0</v>
      </c>
      <c r="AB141" s="10" t="b">
        <f aca="false">INDEX(Segmentation!$AH$2:$AH$301,MATCH($A141,Segmentation!$A$2:$A$301,0))</f>
        <v>0</v>
      </c>
      <c r="AC141" s="10" t="b">
        <f aca="false">INDEX(Segmentation!$AK$2:$AK$301,MATCH($A141,Segmentation!$A$2:$A$301,0))</f>
        <v>0</v>
      </c>
      <c r="AD141" s="10" t="b">
        <f aca="false">INDEX(Segmentation!$AQ$2:$AQ$301,MATCH($A141,Segmentation!$A$2:$A$301,0))</f>
        <v>0</v>
      </c>
      <c r="AE141" s="10" t="b">
        <f aca="false">INDEX(Segmentation!$AT$2:$AT$301,MATCH($A141,Segmentation!$A$2:$A$301,0))</f>
        <v>0</v>
      </c>
      <c r="AF141" s="10" t="b">
        <f aca="false">INDEX(Segmentation!$X$2:$X$301,MATCH($A141,Segmentation!$A$2:$A$301,0))</f>
        <v>1</v>
      </c>
      <c r="AG141" s="10" t="b">
        <f aca="false">AND(F141="Low",V141&gt;=Assumptions!$B$71,X141&lt;Assumptions!$B$72)</f>
        <v>0</v>
      </c>
      <c r="AH141" s="10" t="b">
        <f aca="false">AND(F141="Low",OR(G141="Growing",G141="Stable"),P141="Recently Active",V141&gt;=Assumptions!$B$58,K141&gt;=Assumptions!$B$73)</f>
        <v>0</v>
      </c>
      <c r="AI141" s="17" t="str">
        <f aca="false">IF(O141&gt;0,MAX(L141:N141)/O141,"")</f>
        <v/>
      </c>
      <c r="AJ141" s="2" t="str">
        <f aca="false">IF(LEFT(D141,1)="1",IF(E141="Key","MIGRATION_KEY_SIGNOFF",IF(Z141="Ready","MIGRATION_PHASE1_READY",IF(Z141="Manual Review","MIGRATION_PHASE1_REVIEW","MIGRATION_PRE_ENTRY"))),IF(LEFT(D141,1)="2","DECLINING_KEY_CORE",IF(LEFT(D141,1)="3",IF(R141="Established Buyer Lapsed","LAPSED_ESTABLISHED","LAPSED_THIN_HISTORY"),IF(LEFT(D141,1)="4",IF(Q141="New Customer","NEW_CUSTOMER","RETURNED_CUSTOMER"),IF(LEFT(D141,1)="5",IF(P141="Recently Active","COST_TO_SERVE_ACTIVE","DORMANT_LOW_VALUE"),IF(LEFT(D141,1)="6",IF(P141="Recent Inactivity","RECENT_INACTIVITY",IF(AG141,"BROWSING_LOW_OFFERS","HEALTHY_STRONG_SELF_SERVE")),IF(LEFT(D141,1)="7",IF(P141="Recent Inactivity","RECENT_INACTIVITY",IF(Q141="New Customer","NEW_CUSTOMER","RETURNED_CUSTOMER")),IF(LEFT(D141,1)="8",IF(G141="Declining",IF(T141="Engaged but shrinking (Key/Core)","ENGAGED_BUT_SHRINKING","DECLINING_KEY_CORE"),IF(R141="Established Buyer Lapsed","LAPSED_ESTABLISHED","LAPSED_THIN_HISTORY")),IF(S141,IF(P141&lt;&gt;"Recently Active","DORMANT_LOW_VALUE",IF(AG141,"BROWSING_LOW_OFFERS",IF(AH141,"RISING_TAIL","RISING_TAIL_EARLY"))),IF(AND(AG141,P141="Recently Active",OR(G141="Growing",G141="Stable",G141="H2 Active / No H1 GMV"),I141&gt;=Assumptions!$B$74),"BROWSING_LOW_OFFERS","LONG_TAIL_STANDARD"))))))))))</f>
        <v>LONG_TAIL_STANDARD</v>
      </c>
      <c r="AK141" s="2" t="str">
        <f aca="false">INDEX('NBA Library'!$B$4:$B$21,MATCH(AJ141,'NBA Library'!$A$4:$A$21,0))</f>
        <v>Automated Nurture</v>
      </c>
      <c r="AL141" s="2" t="str">
        <f aca="false">INDEX('NBA Library'!$C$4:$C$21,MATCH(AJ141,'NBA Library'!$A$4:$A$21,0))</f>
        <v>Automated</v>
      </c>
      <c r="AM141" s="2" t="str">
        <f aca="false">IF(AA141,"HOLD — Critical Data Issue",IF(Y141,"Human Sign-Off Required",IF(Z141="Manual Review","Human Review Required",IF(AND(AL141="Automated",OR(AE141,AND(OR(AK141="Discovery-to-Offer Enablement",AK141="Reinforce Successful Behaviour"),OR(AC141,AB141)))),"Human Review Required",IF(AL141="Human","Ready — Human",IF(AL141="Hybrid","Ready — Hybrid","Ready — Automated"))))))</f>
        <v>Ready — Automated</v>
      </c>
      <c r="AN141" s="2" t="str">
        <f aca="false">IF(AA141,"P0",IF(AND(AJ141="BROWSING_LOW_OFFERS",E141="Tail"),"P3",IF(AND(AM141="Human Review Required",INDEX('NBA Library'!$D$4:$D$21,MATCH(AJ141,'NBA Library'!$A$4:$A$21,0))="P4"),"P3",INDEX('NBA Library'!$D$4:$D$21,MATCH(AJ141,'NBA Library'!$A$4:$A$21,0)))))</f>
        <v>P4</v>
      </c>
      <c r="AO141" s="2" t="str">
        <f aca="false">E141&amp;" "&amp;C141&amp;" account ("&amp;B141&amp;"); "&amp;G141&amp;" momentum; "&amp;P141&amp;"; £"&amp;TEXT(H141,"#,##0")&amp;" 6m GMV. "&amp;INDEX('NBA Library'!$G$4:$G$21,MATCH(AJ141,'NBA Library'!$A$4:$A$21,0))&amp;IF(LEFT(D141,1)="1"," Baseline: "&amp;V141&amp;" PDP views, "&amp;W141&amp;" app days, "&amp;X141&amp;" offers, "&amp;TEXT(J141/I141,"0%")&amp;" of orders self-serve.","")&amp;IF(AA141," Execution on HOLD until the Duplicate status is resolved.","")&amp;IF(Y141," Key account: explicit AM/leadership sign-off required before any migration activity.","")&amp;IF(AE141," Implied broker % from order counts would move this account to a different segment; review before automating.","")</f>
        <v>Tail AM-Owned / Self-Serving account (Account Managed); Lapsed momentum; No Meaningful History; £320 6m GMV. Low-value, low-dependency account. Scalable automated engagement.</v>
      </c>
      <c r="AP141" s="2" t="str">
        <f aca="false">INDEX('NBA Library'!$E$4:$E$21,MATCH(AJ141,'NBA Library'!$A$4:$A$21,0))&amp;IF(AND(AJ141="NEW_CUSTOMER",AG141),"; introduce Make-an-Offer on items already browsed","")</f>
        <v>Scalable automated engagement matched to nurture sub-context</v>
      </c>
      <c r="AQ141" s="2" t="str">
        <f aca="false">INDEX('NBA Library'!$F$4:$F$21,MATCH(AJ141,'NBA Library'!$A$4:$A$21,0))</f>
        <v>Any repeat order within 90 days</v>
      </c>
      <c r="AR141" s="2" t="str">
        <f aca="false">IF(AND(F141="Low",OR(G141="Growing",G141="Stable"),P141="Recently Active",U141&lt;&gt;"Mixed",OR(AK141="Discovery-to-Offer Enablement",AK141="Reinforce Successful Behaviour"),AM141="Ready — Automated",OR(E141&lt;&gt;"Tail",S141)),"Range Expansion Test — trial "&amp;IF(U141="Bundle-only","handpick","bundles")&amp;" (experimental; not proven to lift GMV)","")</f>
        <v/>
      </c>
      <c r="AS141" s="2" t="str">
        <f aca="false">IF(AK141&lt;&gt;"Automated Nurture","",IF(AJ141="DORMANT_LOW_VALUE","Dormant",IF(AJ141="RISING_TAIL_EARLY","Rising tail – early pattern",IF(Q141="New Customer","New customer onboarding",IF(Q141="Returned Customer","Returned customer",IF(G141="Lapsed","Dormant",IF(T141="Engaged, not converting","Engaged, not converting",IF(T141="One-off low-touch buyer","One-off purchaser",IF(T141="Light-touch repeat buyer","Light-touch repeat buyer","Standard long tail")))))))))</f>
        <v>Dormant</v>
      </c>
      <c r="AT141" s="2" t="str">
        <f aca="false">IF(AA141,"CRITICAL_DATA_BLOCKER; ","")&amp;IF(Y141,"KEY_SIGNOFF; ","")&amp;IF(Z141="Manual Review","PHASE1_MANUAL_REVIEW; ","")&amp;IF(AND(LEFT(D141,1)="1",AZ141="Lumpy"),"LUMPY_CADENCE; ","")&amp;IF(AB141,"BORDERLINE_MOMENTUM; ","")&amp;IF(AC141,"FEB_SENSITIVE; ","")&amp;IF(AD141,"MATERIAL_BROKER_INCONSISTENCY"&amp;IF(AE141," (segment would change)","")&amp;"; ","")&amp;IF(AND(I141&gt;=3,O141&gt;0),IF(AI141&gt;=Assumptions!$B$75,"H2_SINGLE_MONTH_SPIKE; ",""),"")&amp;IF(AND(M141&gt;0,N141=0),"NO_FEB_GMV (Feb unconfirmed); ","")&amp;IF(AF141,"LOW_CONFIDENCE; ","")</f>
        <v>LOW_CONFIDENCE; </v>
      </c>
      <c r="AU141" s="2" t="str">
        <f aca="false">IF(LEFT(D141,1)="1",V141,"")</f>
        <v/>
      </c>
      <c r="AV141" s="2" t="str">
        <f aca="false">IF(LEFT(D141,1)="1",V141&gt;=Assumptions!$B$58,"")</f>
        <v/>
      </c>
      <c r="AW141" s="2" t="str">
        <f aca="false">IF(LEFT(D141,1)="1",W141,"")</f>
        <v/>
      </c>
      <c r="AX141" s="2" t="str">
        <f aca="false">IF(LEFT(D141,1)="1",X141,"")</f>
        <v/>
      </c>
      <c r="AY141" s="17" t="str">
        <f aca="false">IF(LEFT(D141,1)="1",J141/I141,"")</f>
        <v/>
      </c>
      <c r="AZ141" s="2" t="str">
        <f aca="false">IF(LEFT(D141,1)="1",IF(AND(K141&gt;=Assumptions!$B$83,I141&gt;=Assumptions!$B$84),"Regular","Lumpy"),"")</f>
        <v/>
      </c>
      <c r="BA141" s="2" t="str">
        <f aca="false">IF(LEFT(D141,1)="1",ROUND(6/K141,0),"")</f>
        <v/>
      </c>
      <c r="BB141" s="2" t="str">
        <f aca="false">IF(LEFT(D141,1)="1",IF(AZ141="Regular","Regular buyer: expected ~£"&amp;TEXT(H141/2,"#,##0")&amp;" per 90 days. At Risk if GMV to date &lt; "&amp;TEXT(Assumptions!$B$81,"0%")&amp;" of pro-rated expectation, checked from day "&amp;Assumptions!$B$82&amp;". Human-reviewed.","Irregular buyer ("&amp;I141&amp;" orders across "&amp;K141&amp;" months): no numeric GMV threshold. At Risk if no order within ~"&amp;BA141&amp;" month(s); AM reviews at day "&amp;Assumptions!$B$82&amp;" and "&amp;Assumptions!$B$85&amp;"."),"")</f>
        <v/>
      </c>
      <c r="BC141" s="2"/>
      <c r="BD141" s="2"/>
      <c r="BE141" s="2"/>
      <c r="BF141" s="2"/>
      <c r="BG141" s="2"/>
      <c r="BH141" s="2"/>
      <c r="BI141" s="2"/>
      <c r="BJ141" s="2" t="str">
        <f aca="false">IF(OR(NOT(LEFT(D141,1)="1"),BC141=""),"",IF(AZ141="Regular",AND(BC141&gt;=Assumptions!$B$82,N(BI141)&lt;Assumptions!$B$81*H141/180*BC141),AND(BC141&gt;=BA141*30,N(BG141)=0)))</f>
        <v/>
      </c>
      <c r="BK141" s="2" t="str">
        <f aca="false">IF(NOT(LEFT(D141,1)="1"),"N/A",IF(BC141="","Baseline",IF(BJ141,"At Risk",IF(AND(N(BD141)&gt;=Assumptions!$B$78,N(BE141)&gt;=Assumptions!$B$79,N(BH141)&gt;=1,N(BH141)/MAX(N(BG141),1)&gt;AY141),"Self-Serve Capability Demonstrated",IF(OR(N(BD141)&gt;=Assumptions!$B$76,N(BE141)&gt;=Assumptions!$B$77),"Progressing",IF(BC141&gt;=Assumptions!$B$85,"At Risk","Baseline"))))))</f>
        <v>N/A</v>
      </c>
      <c r="BL141" s="2" t="n">
        <f aca="false">(AND(C141="Broker-Reliant",OR(AK141="Discovery-to-Offer Enablement",AK141="Reinforce Successful Behaviour")))*1+(AND(G141="Declining",E141&lt;&gt;"Tail",AL141="Automated"))*1+(AND(Y141,AM141&lt;&gt;"Human Sign-Off Required"))*1+(AND(AA141,AM141&lt;&gt;"HOLD — Critical Data Issue"))*1+(AND(P141="Recent Inactivity",OR(AK141="Discovery-to-Offer Enablement",AK141="Reinforce Successful Behaviour")))*1+(AND(OR(LEFT(D141,1)="2",LEFT(D141,1)="3",LEFT(D141,1)="8"),AL141="Automated"))*1+((LEFT(D141,1)="1")&lt;&gt;(AK141="Guided Self-Serve Migration"))*1+(AND(AR141&lt;&gt;"",OR(F141&lt;&gt;"Low",U141="Mixed",AND(G141&lt;&gt;"Growing",G141&lt;&gt;"Stable"))))*1+ISNUMBER(SEARCH("chat",AP141))*1+ISNUMBER(SEARCH("video",AP141))*1+(AND(AA141,AL141="Automated",AM141&lt;&gt;"HOLD — Critical Data Issue"))*1</f>
        <v>0</v>
      </c>
    </row>
    <row r="142" customFormat="false" ht="15" hidden="false" customHeight="false" outlineLevel="0" collapsed="false">
      <c r="A142" s="2" t="s">
        <v>772</v>
      </c>
      <c r="B142" s="2" t="str">
        <f aca="false">INDEX(Segmentation!$B$2:$B$301,MATCH($A142,Segmentation!$A$2:$A$301,0))</f>
        <v>Account Managed</v>
      </c>
      <c r="C142" s="2" t="str">
        <f aca="false">INDEX(Segmentation!$H$2:$H$301,MATCH($A142,Segmentation!$A$2:$A$301,0))</f>
        <v>AM-Owned / Self-Serving</v>
      </c>
      <c r="D142" s="2" t="str">
        <f aca="false">INDEX(Segmentation!$T$2:$T$301,MATCH($A142,Segmentation!$A$2:$A$301,0))</f>
        <v>9. Long-Tail Automated Nurture</v>
      </c>
      <c r="E142" s="2" t="str">
        <f aca="false">INDEX(Segmentation!$J$2:$J$301,MATCH($A142,Segmentation!$A$2:$A$301,0))</f>
        <v>Tail</v>
      </c>
      <c r="F142" s="2" t="str">
        <f aca="false">INDEX(Segmentation!$G$2:$G$301,MATCH($A142,Segmentation!$A$2:$A$301,0))</f>
        <v>Low</v>
      </c>
      <c r="G142" s="2" t="str">
        <f aca="false">INDEX(Segmentation!$N$2:$N$301,MATCH($A142,Segmentation!$A$2:$A$301,0))</f>
        <v>H2 Active / No H1 GMV</v>
      </c>
      <c r="H142" s="9" t="n">
        <f aca="false">INDEX(Segmentation!$I$2:$I$301,MATCH($A142,Segmentation!$A$2:$A$301,0))</f>
        <v>313</v>
      </c>
      <c r="I142" s="2" t="n">
        <f aca="false">INDEX(Segmentation!$O$2:$O$301,MATCH($A142,Segmentation!$A$2:$A$301,0))</f>
        <v>1</v>
      </c>
      <c r="J142" s="2" t="n">
        <f aca="false">INDEX(Segmentation!$Q$2:$Q$301,MATCH($A142,Segmentation!$A$2:$A$301,0))</f>
        <v>1</v>
      </c>
      <c r="K142" s="2" t="n">
        <f aca="false">INDEX(Segmentation!$W$2:$W$301,MATCH($A142,Segmentation!$A$2:$A$301,0))</f>
        <v>1</v>
      </c>
      <c r="L142" s="9" t="n">
        <f aca="false">INDEX('Commercial View'!$L$2:$L$301,MATCH($A142,'Commercial View'!$A$2:$A$301,0))</f>
        <v>0</v>
      </c>
      <c r="M142" s="9" t="n">
        <f aca="false">INDEX('Commercial View'!$M$2:$M$301,MATCH($A142,'Commercial View'!$A$2:$A$301,0))</f>
        <v>313</v>
      </c>
      <c r="N142" s="9" t="n">
        <f aca="false">INDEX('Commercial View'!$N$2:$N$301,MATCH($A142,'Commercial View'!$A$2:$A$301,0))</f>
        <v>0</v>
      </c>
      <c r="O142" s="9" t="n">
        <f aca="false">INDEX(Segmentation!$L$2:$L$301,MATCH($A142,Segmentation!$A$2:$A$301,0))</f>
        <v>313</v>
      </c>
      <c r="P142" s="2" t="str">
        <f aca="false">IF(OR(M142&gt;0,N142&gt;0),"Recently Active",IF(OR(I142&lt;=Assumptions!$B$48,K142&lt;=Assumptions!$B$49),"No Meaningful History","Recent Inactivity"))</f>
        <v>Recently Active</v>
      </c>
      <c r="Q142" s="2" t="str">
        <f aca="false">INDEX(Segmentation!$AF$2:$AF$301,MATCH($A142,Segmentation!$A$2:$A$301,0))</f>
        <v>Returned Customer</v>
      </c>
      <c r="R142" s="2" t="str">
        <f aca="false">INDEX(Segmentation!$AL$2:$AL$301,MATCH($A142,Segmentation!$A$2:$A$301,0))</f>
        <v>N/A</v>
      </c>
      <c r="S142" s="10" t="b">
        <f aca="false">INDEX(Segmentation!$AW$2:$AW$301,MATCH($A142,Segmentation!$A$2:$A$301,0))</f>
        <v>0</v>
      </c>
      <c r="T142" s="2" t="str">
        <f aca="false">INDEX('Feature Data'!$AD$2:$AD$301,MATCH($A142,'Feature Data'!$A$2:$A$301,0))</f>
        <v>Engaged, not converting</v>
      </c>
      <c r="U142" s="2" t="str">
        <f aca="false">INDEX('Feature Data'!$W$2:$W$301,MATCH($A142,'Feature Data'!$A$2:$A$301,0))</f>
        <v>Bundle-only</v>
      </c>
      <c r="V142" s="2" t="n">
        <f aca="false">INDEX('Feature Data'!$P$2:$P$301,MATCH($A142,'Feature Data'!$A$2:$A$301,0))</f>
        <v>338</v>
      </c>
      <c r="W142" s="2" t="n">
        <f aca="false">INDEX(Segmentation!$R$2:$R$301,MATCH($A142,Segmentation!$A$2:$A$301,0))</f>
        <v>23</v>
      </c>
      <c r="X142" s="2" t="n">
        <f aca="false">INDEX(Segmentation!$S$2:$S$301,MATCH($A142,Segmentation!$A$2:$A$301,0))</f>
        <v>10</v>
      </c>
      <c r="Y142" s="10" t="b">
        <f aca="false">INDEX(Segmentation!$AG$2:$AG$301,MATCH($A142,Segmentation!$A$2:$A$301,0))</f>
        <v>0</v>
      </c>
      <c r="Z142" s="2" t="str">
        <f aca="false">INDEX(Segmentation!$AU$2:$AU$301,MATCH($A142,Segmentation!$A$2:$A$301,0))</f>
        <v>Not Eligible</v>
      </c>
      <c r="AA142" s="10" t="b">
        <f aca="false">INDEX(Segmentation!$Z$2:$Z$301,MATCH($A142,Segmentation!$A$2:$A$301,0))</f>
        <v>0</v>
      </c>
      <c r="AB142" s="10" t="b">
        <f aca="false">INDEX(Segmentation!$AH$2:$AH$301,MATCH($A142,Segmentation!$A$2:$A$301,0))</f>
        <v>0</v>
      </c>
      <c r="AC142" s="10" t="b">
        <f aca="false">INDEX(Segmentation!$AK$2:$AK$301,MATCH($A142,Segmentation!$A$2:$A$301,0))</f>
        <v>0</v>
      </c>
      <c r="AD142" s="10" t="b">
        <f aca="false">INDEX(Segmentation!$AQ$2:$AQ$301,MATCH($A142,Segmentation!$A$2:$A$301,0))</f>
        <v>0</v>
      </c>
      <c r="AE142" s="10" t="b">
        <f aca="false">INDEX(Segmentation!$AT$2:$AT$301,MATCH($A142,Segmentation!$A$2:$A$301,0))</f>
        <v>0</v>
      </c>
      <c r="AF142" s="10" t="b">
        <f aca="false">INDEX(Segmentation!$X$2:$X$301,MATCH($A142,Segmentation!$A$2:$A$301,0))</f>
        <v>1</v>
      </c>
      <c r="AG142" s="10" t="b">
        <f aca="false">AND(F142="Low",V142&gt;=Assumptions!$B$71,X142&lt;Assumptions!$B$72)</f>
        <v>0</v>
      </c>
      <c r="AH142" s="10" t="b">
        <f aca="false">AND(F142="Low",OR(G142="Growing",G142="Stable"),P142="Recently Active",V142&gt;=Assumptions!$B$58,K142&gt;=Assumptions!$B$73)</f>
        <v>0</v>
      </c>
      <c r="AI142" s="17" t="n">
        <f aca="false">IF(O142&gt;0,MAX(L142:N142)/O142,"")</f>
        <v>1</v>
      </c>
      <c r="AJ142" s="2" t="str">
        <f aca="false">IF(LEFT(D142,1)="1",IF(E142="Key","MIGRATION_KEY_SIGNOFF",IF(Z142="Ready","MIGRATION_PHASE1_READY",IF(Z142="Manual Review","MIGRATION_PHASE1_REVIEW","MIGRATION_PRE_ENTRY"))),IF(LEFT(D142,1)="2","DECLINING_KEY_CORE",IF(LEFT(D142,1)="3",IF(R142="Established Buyer Lapsed","LAPSED_ESTABLISHED","LAPSED_THIN_HISTORY"),IF(LEFT(D142,1)="4",IF(Q142="New Customer","NEW_CUSTOMER","RETURNED_CUSTOMER"),IF(LEFT(D142,1)="5",IF(P142="Recently Active","COST_TO_SERVE_ACTIVE","DORMANT_LOW_VALUE"),IF(LEFT(D142,1)="6",IF(P142="Recent Inactivity","RECENT_INACTIVITY",IF(AG142,"BROWSING_LOW_OFFERS","HEALTHY_STRONG_SELF_SERVE")),IF(LEFT(D142,1)="7",IF(P142="Recent Inactivity","RECENT_INACTIVITY",IF(Q142="New Customer","NEW_CUSTOMER","RETURNED_CUSTOMER")),IF(LEFT(D142,1)="8",IF(G142="Declining",IF(T142="Engaged but shrinking (Key/Core)","ENGAGED_BUT_SHRINKING","DECLINING_KEY_CORE"),IF(R142="Established Buyer Lapsed","LAPSED_ESTABLISHED","LAPSED_THIN_HISTORY")),IF(S142,IF(P142&lt;&gt;"Recently Active","DORMANT_LOW_VALUE",IF(AG142,"BROWSING_LOW_OFFERS",IF(AH142,"RISING_TAIL","RISING_TAIL_EARLY"))),IF(AND(AG142,P142="Recently Active",OR(G142="Growing",G142="Stable",G142="H2 Active / No H1 GMV"),I142&gt;=Assumptions!$B$74),"BROWSING_LOW_OFFERS","LONG_TAIL_STANDARD"))))))))))</f>
        <v>LONG_TAIL_STANDARD</v>
      </c>
      <c r="AK142" s="2" t="str">
        <f aca="false">INDEX('NBA Library'!$B$4:$B$21,MATCH(AJ142,'NBA Library'!$A$4:$A$21,0))</f>
        <v>Automated Nurture</v>
      </c>
      <c r="AL142" s="2" t="str">
        <f aca="false">INDEX('NBA Library'!$C$4:$C$21,MATCH(AJ142,'NBA Library'!$A$4:$A$21,0))</f>
        <v>Automated</v>
      </c>
      <c r="AM142" s="2" t="str">
        <f aca="false">IF(AA142,"HOLD — Critical Data Issue",IF(Y142,"Human Sign-Off Required",IF(Z142="Manual Review","Human Review Required",IF(AND(AL142="Automated",OR(AE142,AND(OR(AK142="Discovery-to-Offer Enablement",AK142="Reinforce Successful Behaviour"),OR(AC142,AB142)))),"Human Review Required",IF(AL142="Human","Ready — Human",IF(AL142="Hybrid","Ready — Hybrid","Ready — Automated"))))))</f>
        <v>Ready — Automated</v>
      </c>
      <c r="AN142" s="2" t="str">
        <f aca="false">IF(AA142,"P0",IF(AND(AJ142="BROWSING_LOW_OFFERS",E142="Tail"),"P3",IF(AND(AM142="Human Review Required",INDEX('NBA Library'!$D$4:$D$21,MATCH(AJ142,'NBA Library'!$A$4:$A$21,0))="P4"),"P3",INDEX('NBA Library'!$D$4:$D$21,MATCH(AJ142,'NBA Library'!$A$4:$A$21,0)))))</f>
        <v>P4</v>
      </c>
      <c r="AO142" s="2" t="str">
        <f aca="false">E142&amp;" "&amp;C142&amp;" account ("&amp;B142&amp;"); "&amp;G142&amp;" momentum; "&amp;P142&amp;"; £"&amp;TEXT(H142,"#,##0")&amp;" 6m GMV. "&amp;INDEX('NBA Library'!$G$4:$G$21,MATCH(AJ142,'NBA Library'!$A$4:$A$21,0))&amp;IF(LEFT(D142,1)="1"," Baseline: "&amp;V142&amp;" PDP views, "&amp;W142&amp;" app days, "&amp;X142&amp;" offers, "&amp;TEXT(J142/I142,"0%")&amp;" of orders self-serve.","")&amp;IF(AA142," Execution on HOLD until the Duplicate status is resolved.","")&amp;IF(Y142," Key account: explicit AM/leadership sign-off required before any migration activity.","")&amp;IF(AE142," Implied broker % from order counts would move this account to a different segment; review before automating.","")</f>
        <v>Tail AM-Owned / Self-Serving account (Account Managed); H2 Active / No H1 GMV momentum; Recently Active; £313 6m GMV. Low-value, low-dependency account. Scalable automated engagement.</v>
      </c>
      <c r="AP142" s="2" t="str">
        <f aca="false">INDEX('NBA Library'!$E$4:$E$21,MATCH(AJ142,'NBA Library'!$A$4:$A$21,0))&amp;IF(AND(AJ142="NEW_CUSTOMER",AG142),"; introduce Make-an-Offer on items already browsed","")</f>
        <v>Scalable automated engagement matched to nurture sub-context</v>
      </c>
      <c r="AQ142" s="2" t="str">
        <f aca="false">INDEX('NBA Library'!$F$4:$F$21,MATCH(AJ142,'NBA Library'!$A$4:$A$21,0))</f>
        <v>Any repeat order within 90 days</v>
      </c>
      <c r="AR142" s="2" t="str">
        <f aca="false">IF(AND(F142="Low",OR(G142="Growing",G142="Stable"),P142="Recently Active",U142&lt;&gt;"Mixed",OR(AK142="Discovery-to-Offer Enablement",AK142="Reinforce Successful Behaviour"),AM142="Ready — Automated",OR(E142&lt;&gt;"Tail",S142)),"Range Expansion Test — trial "&amp;IF(U142="Bundle-only","handpick","bundles")&amp;" (experimental; not proven to lift GMV)","")</f>
        <v/>
      </c>
      <c r="AS142" s="2" t="str">
        <f aca="false">IF(AK142&lt;&gt;"Automated Nurture","",IF(AJ142="DORMANT_LOW_VALUE","Dormant",IF(AJ142="RISING_TAIL_EARLY","Rising tail – early pattern",IF(Q142="New Customer","New customer onboarding",IF(Q142="Returned Customer","Returned customer",IF(G142="Lapsed","Dormant",IF(T142="Engaged, not converting","Engaged, not converting",IF(T142="One-off low-touch buyer","One-off purchaser",IF(T142="Light-touch repeat buyer","Light-touch repeat buyer","Standard long tail")))))))))</f>
        <v>Returned customer</v>
      </c>
      <c r="AT142" s="2" t="str">
        <f aca="false">IF(AA142,"CRITICAL_DATA_BLOCKER; ","")&amp;IF(Y142,"KEY_SIGNOFF; ","")&amp;IF(Z142="Manual Review","PHASE1_MANUAL_REVIEW; ","")&amp;IF(AND(LEFT(D142,1)="1",AZ142="Lumpy"),"LUMPY_CADENCE; ","")&amp;IF(AB142,"BORDERLINE_MOMENTUM; ","")&amp;IF(AC142,"FEB_SENSITIVE; ","")&amp;IF(AD142,"MATERIAL_BROKER_INCONSISTENCY"&amp;IF(AE142," (segment would change)","")&amp;"; ","")&amp;IF(AND(I142&gt;=3,O142&gt;0),IF(AI142&gt;=Assumptions!$B$75,"H2_SINGLE_MONTH_SPIKE; ",""),"")&amp;IF(AND(M142&gt;0,N142=0),"NO_FEB_GMV (Feb unconfirmed); ","")&amp;IF(AF142,"LOW_CONFIDENCE; ","")</f>
        <v>NO_FEB_GMV (Feb unconfirmed); LOW_CONFIDENCE; </v>
      </c>
      <c r="AU142" s="2" t="str">
        <f aca="false">IF(LEFT(D142,1)="1",V142,"")</f>
        <v/>
      </c>
      <c r="AV142" s="2" t="str">
        <f aca="false">IF(LEFT(D142,1)="1",V142&gt;=Assumptions!$B$58,"")</f>
        <v/>
      </c>
      <c r="AW142" s="2" t="str">
        <f aca="false">IF(LEFT(D142,1)="1",W142,"")</f>
        <v/>
      </c>
      <c r="AX142" s="2" t="str">
        <f aca="false">IF(LEFT(D142,1)="1",X142,"")</f>
        <v/>
      </c>
      <c r="AY142" s="17" t="str">
        <f aca="false">IF(LEFT(D142,1)="1",J142/I142,"")</f>
        <v/>
      </c>
      <c r="AZ142" s="2" t="str">
        <f aca="false">IF(LEFT(D142,1)="1",IF(AND(K142&gt;=Assumptions!$B$83,I142&gt;=Assumptions!$B$84),"Regular","Lumpy"),"")</f>
        <v/>
      </c>
      <c r="BA142" s="2" t="str">
        <f aca="false">IF(LEFT(D142,1)="1",ROUND(6/K142,0),"")</f>
        <v/>
      </c>
      <c r="BB142" s="2" t="str">
        <f aca="false">IF(LEFT(D142,1)="1",IF(AZ142="Regular","Regular buyer: expected ~£"&amp;TEXT(H142/2,"#,##0")&amp;" per 90 days. At Risk if GMV to date &lt; "&amp;TEXT(Assumptions!$B$81,"0%")&amp;" of pro-rated expectation, checked from day "&amp;Assumptions!$B$82&amp;". Human-reviewed.","Irregular buyer ("&amp;I142&amp;" orders across "&amp;K142&amp;" months): no numeric GMV threshold. At Risk if no order within ~"&amp;BA142&amp;" month(s); AM reviews at day "&amp;Assumptions!$B$82&amp;" and "&amp;Assumptions!$B$85&amp;"."),"")</f>
        <v/>
      </c>
      <c r="BC142" s="2"/>
      <c r="BD142" s="2"/>
      <c r="BE142" s="2"/>
      <c r="BF142" s="2"/>
      <c r="BG142" s="2"/>
      <c r="BH142" s="2"/>
      <c r="BI142" s="2"/>
      <c r="BJ142" s="2" t="str">
        <f aca="false">IF(OR(NOT(LEFT(D142,1)="1"),BC142=""),"",IF(AZ142="Regular",AND(BC142&gt;=Assumptions!$B$82,N(BI142)&lt;Assumptions!$B$81*H142/180*BC142),AND(BC142&gt;=BA142*30,N(BG142)=0)))</f>
        <v/>
      </c>
      <c r="BK142" s="2" t="str">
        <f aca="false">IF(NOT(LEFT(D142,1)="1"),"N/A",IF(BC142="","Baseline",IF(BJ142,"At Risk",IF(AND(N(BD142)&gt;=Assumptions!$B$78,N(BE142)&gt;=Assumptions!$B$79,N(BH142)&gt;=1,N(BH142)/MAX(N(BG142),1)&gt;AY142),"Self-Serve Capability Demonstrated",IF(OR(N(BD142)&gt;=Assumptions!$B$76,N(BE142)&gt;=Assumptions!$B$77),"Progressing",IF(BC142&gt;=Assumptions!$B$85,"At Risk","Baseline"))))))</f>
        <v>N/A</v>
      </c>
      <c r="BL142" s="2" t="n">
        <f aca="false">(AND(C142="Broker-Reliant",OR(AK142="Discovery-to-Offer Enablement",AK142="Reinforce Successful Behaviour")))*1+(AND(G142="Declining",E142&lt;&gt;"Tail",AL142="Automated"))*1+(AND(Y142,AM142&lt;&gt;"Human Sign-Off Required"))*1+(AND(AA142,AM142&lt;&gt;"HOLD — Critical Data Issue"))*1+(AND(P142="Recent Inactivity",OR(AK142="Discovery-to-Offer Enablement",AK142="Reinforce Successful Behaviour")))*1+(AND(OR(LEFT(D142,1)="2",LEFT(D142,1)="3",LEFT(D142,1)="8"),AL142="Automated"))*1+((LEFT(D142,1)="1")&lt;&gt;(AK142="Guided Self-Serve Migration"))*1+(AND(AR142&lt;&gt;"",OR(F142&lt;&gt;"Low",U142="Mixed",AND(G142&lt;&gt;"Growing",G142&lt;&gt;"Stable"))))*1+ISNUMBER(SEARCH("chat",AP142))*1+ISNUMBER(SEARCH("video",AP142))*1+(AND(AA142,AL142="Automated",AM142&lt;&gt;"HOLD — Critical Data Issue"))*1</f>
        <v>0</v>
      </c>
    </row>
    <row r="143" customFormat="false" ht="15" hidden="false" customHeight="false" outlineLevel="0" collapsed="false">
      <c r="A143" s="2" t="s">
        <v>774</v>
      </c>
      <c r="B143" s="2" t="str">
        <f aca="false">INDEX(Segmentation!$B$2:$B$301,MATCH($A143,Segmentation!$A$2:$A$301,0))</f>
        <v>Account Managed</v>
      </c>
      <c r="C143" s="2" t="str">
        <f aca="false">INDEX(Segmentation!$H$2:$H$301,MATCH($A143,Segmentation!$A$2:$A$301,0))</f>
        <v>AM-Owned / Self-Serving</v>
      </c>
      <c r="D143" s="2" t="str">
        <f aca="false">INDEX(Segmentation!$T$2:$T$301,MATCH($A143,Segmentation!$A$2:$A$301,0))</f>
        <v>9. Long-Tail Automated Nurture</v>
      </c>
      <c r="E143" s="2" t="str">
        <f aca="false">INDEX(Segmentation!$J$2:$J$301,MATCH($A143,Segmentation!$A$2:$A$301,0))</f>
        <v>Tail</v>
      </c>
      <c r="F143" s="2" t="str">
        <f aca="false">INDEX(Segmentation!$G$2:$G$301,MATCH($A143,Segmentation!$A$2:$A$301,0))</f>
        <v>Low</v>
      </c>
      <c r="G143" s="2" t="str">
        <f aca="false">INDEX(Segmentation!$N$2:$N$301,MATCH($A143,Segmentation!$A$2:$A$301,0))</f>
        <v>Lapsed</v>
      </c>
      <c r="H143" s="9" t="n">
        <f aca="false">INDEX(Segmentation!$I$2:$I$301,MATCH($A143,Segmentation!$A$2:$A$301,0))</f>
        <v>312</v>
      </c>
      <c r="I143" s="2" t="n">
        <f aca="false">INDEX(Segmentation!$O$2:$O$301,MATCH($A143,Segmentation!$A$2:$A$301,0))</f>
        <v>1</v>
      </c>
      <c r="J143" s="2" t="n">
        <f aca="false">INDEX(Segmentation!$Q$2:$Q$301,MATCH($A143,Segmentation!$A$2:$A$301,0))</f>
        <v>1</v>
      </c>
      <c r="K143" s="2" t="n">
        <f aca="false">INDEX(Segmentation!$W$2:$W$301,MATCH($A143,Segmentation!$A$2:$A$301,0))</f>
        <v>1</v>
      </c>
      <c r="L143" s="9" t="n">
        <f aca="false">INDEX('Commercial View'!$L$2:$L$301,MATCH($A143,'Commercial View'!$A$2:$A$301,0))</f>
        <v>0</v>
      </c>
      <c r="M143" s="9" t="n">
        <f aca="false">INDEX('Commercial View'!$M$2:$M$301,MATCH($A143,'Commercial View'!$A$2:$A$301,0))</f>
        <v>0</v>
      </c>
      <c r="N143" s="9" t="n">
        <f aca="false">INDEX('Commercial View'!$N$2:$N$301,MATCH($A143,'Commercial View'!$A$2:$A$301,0))</f>
        <v>0</v>
      </c>
      <c r="O143" s="9" t="n">
        <f aca="false">INDEX(Segmentation!$L$2:$L$301,MATCH($A143,Segmentation!$A$2:$A$301,0))</f>
        <v>0</v>
      </c>
      <c r="P143" s="2" t="str">
        <f aca="false">IF(OR(M143&gt;0,N143&gt;0),"Recently Active",IF(OR(I143&lt;=Assumptions!$B$48,K143&lt;=Assumptions!$B$49),"No Meaningful History","Recent Inactivity"))</f>
        <v>No Meaningful History</v>
      </c>
      <c r="Q143" s="2" t="str">
        <f aca="false">INDEX(Segmentation!$AF$2:$AF$301,MATCH($A143,Segmentation!$A$2:$A$301,0))</f>
        <v>Existing Customer</v>
      </c>
      <c r="R143" s="2" t="str">
        <f aca="false">INDEX(Segmentation!$AL$2:$AL$301,MATCH($A143,Segmentation!$A$2:$A$301,0))</f>
        <v>One-Off / Insufficient History — Verify</v>
      </c>
      <c r="S143" s="10" t="b">
        <f aca="false">INDEX(Segmentation!$AW$2:$AW$301,MATCH($A143,Segmentation!$A$2:$A$301,0))</f>
        <v>0</v>
      </c>
      <c r="T143" s="2" t="str">
        <f aca="false">INDEX('Feature Data'!$AD$2:$AD$301,MATCH($A143,'Feature Data'!$A$2:$A$301,0))</f>
        <v>One-off low-touch buyer</v>
      </c>
      <c r="U143" s="2" t="str">
        <f aca="false">INDEX('Feature Data'!$W$2:$W$301,MATCH($A143,'Feature Data'!$A$2:$A$301,0))</f>
        <v>Handpick-only</v>
      </c>
      <c r="V143" s="2" t="n">
        <f aca="false">INDEX('Feature Data'!$P$2:$P$301,MATCH($A143,'Feature Data'!$A$2:$A$301,0))</f>
        <v>8</v>
      </c>
      <c r="W143" s="2" t="n">
        <f aca="false">INDEX(Segmentation!$R$2:$R$301,MATCH($A143,Segmentation!$A$2:$A$301,0))</f>
        <v>3</v>
      </c>
      <c r="X143" s="2" t="n">
        <f aca="false">INDEX(Segmentation!$S$2:$S$301,MATCH($A143,Segmentation!$A$2:$A$301,0))</f>
        <v>0</v>
      </c>
      <c r="Y143" s="10" t="b">
        <f aca="false">INDEX(Segmentation!$AG$2:$AG$301,MATCH($A143,Segmentation!$A$2:$A$301,0))</f>
        <v>0</v>
      </c>
      <c r="Z143" s="2" t="str">
        <f aca="false">INDEX(Segmentation!$AU$2:$AU$301,MATCH($A143,Segmentation!$A$2:$A$301,0))</f>
        <v>Not Eligible</v>
      </c>
      <c r="AA143" s="10" t="b">
        <f aca="false">INDEX(Segmentation!$Z$2:$Z$301,MATCH($A143,Segmentation!$A$2:$A$301,0))</f>
        <v>0</v>
      </c>
      <c r="AB143" s="10" t="b">
        <f aca="false">INDEX(Segmentation!$AH$2:$AH$301,MATCH($A143,Segmentation!$A$2:$A$301,0))</f>
        <v>0</v>
      </c>
      <c r="AC143" s="10" t="b">
        <f aca="false">INDEX(Segmentation!$AK$2:$AK$301,MATCH($A143,Segmentation!$A$2:$A$301,0))</f>
        <v>0</v>
      </c>
      <c r="AD143" s="10" t="b">
        <f aca="false">INDEX(Segmentation!$AQ$2:$AQ$301,MATCH($A143,Segmentation!$A$2:$A$301,0))</f>
        <v>0</v>
      </c>
      <c r="AE143" s="10" t="b">
        <f aca="false">INDEX(Segmentation!$AT$2:$AT$301,MATCH($A143,Segmentation!$A$2:$A$301,0))</f>
        <v>0</v>
      </c>
      <c r="AF143" s="10" t="b">
        <f aca="false">INDEX(Segmentation!$X$2:$X$301,MATCH($A143,Segmentation!$A$2:$A$301,0))</f>
        <v>1</v>
      </c>
      <c r="AG143" s="10" t="b">
        <f aca="false">AND(F143="Low",V143&gt;=Assumptions!$B$71,X143&lt;Assumptions!$B$72)</f>
        <v>0</v>
      </c>
      <c r="AH143" s="10" t="b">
        <f aca="false">AND(F143="Low",OR(G143="Growing",G143="Stable"),P143="Recently Active",V143&gt;=Assumptions!$B$58,K143&gt;=Assumptions!$B$73)</f>
        <v>0</v>
      </c>
      <c r="AI143" s="17" t="str">
        <f aca="false">IF(O143&gt;0,MAX(L143:N143)/O143,"")</f>
        <v/>
      </c>
      <c r="AJ143" s="2" t="str">
        <f aca="false">IF(LEFT(D143,1)="1",IF(E143="Key","MIGRATION_KEY_SIGNOFF",IF(Z143="Ready","MIGRATION_PHASE1_READY",IF(Z143="Manual Review","MIGRATION_PHASE1_REVIEW","MIGRATION_PRE_ENTRY"))),IF(LEFT(D143,1)="2","DECLINING_KEY_CORE",IF(LEFT(D143,1)="3",IF(R143="Established Buyer Lapsed","LAPSED_ESTABLISHED","LAPSED_THIN_HISTORY"),IF(LEFT(D143,1)="4",IF(Q143="New Customer","NEW_CUSTOMER","RETURNED_CUSTOMER"),IF(LEFT(D143,1)="5",IF(P143="Recently Active","COST_TO_SERVE_ACTIVE","DORMANT_LOW_VALUE"),IF(LEFT(D143,1)="6",IF(P143="Recent Inactivity","RECENT_INACTIVITY",IF(AG143,"BROWSING_LOW_OFFERS","HEALTHY_STRONG_SELF_SERVE")),IF(LEFT(D143,1)="7",IF(P143="Recent Inactivity","RECENT_INACTIVITY",IF(Q143="New Customer","NEW_CUSTOMER","RETURNED_CUSTOMER")),IF(LEFT(D143,1)="8",IF(G143="Declining",IF(T143="Engaged but shrinking (Key/Core)","ENGAGED_BUT_SHRINKING","DECLINING_KEY_CORE"),IF(R143="Established Buyer Lapsed","LAPSED_ESTABLISHED","LAPSED_THIN_HISTORY")),IF(S143,IF(P143&lt;&gt;"Recently Active","DORMANT_LOW_VALUE",IF(AG143,"BROWSING_LOW_OFFERS",IF(AH143,"RISING_TAIL","RISING_TAIL_EARLY"))),IF(AND(AG143,P143="Recently Active",OR(G143="Growing",G143="Stable",G143="H2 Active / No H1 GMV"),I143&gt;=Assumptions!$B$74),"BROWSING_LOW_OFFERS","LONG_TAIL_STANDARD"))))))))))</f>
        <v>LONG_TAIL_STANDARD</v>
      </c>
      <c r="AK143" s="2" t="str">
        <f aca="false">INDEX('NBA Library'!$B$4:$B$21,MATCH(AJ143,'NBA Library'!$A$4:$A$21,0))</f>
        <v>Automated Nurture</v>
      </c>
      <c r="AL143" s="2" t="str">
        <f aca="false">INDEX('NBA Library'!$C$4:$C$21,MATCH(AJ143,'NBA Library'!$A$4:$A$21,0))</f>
        <v>Automated</v>
      </c>
      <c r="AM143" s="2" t="str">
        <f aca="false">IF(AA143,"HOLD — Critical Data Issue",IF(Y143,"Human Sign-Off Required",IF(Z143="Manual Review","Human Review Required",IF(AND(AL143="Automated",OR(AE143,AND(OR(AK143="Discovery-to-Offer Enablement",AK143="Reinforce Successful Behaviour"),OR(AC143,AB143)))),"Human Review Required",IF(AL143="Human","Ready — Human",IF(AL143="Hybrid","Ready — Hybrid","Ready — Automated"))))))</f>
        <v>Ready — Automated</v>
      </c>
      <c r="AN143" s="2" t="str">
        <f aca="false">IF(AA143,"P0",IF(AND(AJ143="BROWSING_LOW_OFFERS",E143="Tail"),"P3",IF(AND(AM143="Human Review Required",INDEX('NBA Library'!$D$4:$D$21,MATCH(AJ143,'NBA Library'!$A$4:$A$21,0))="P4"),"P3",INDEX('NBA Library'!$D$4:$D$21,MATCH(AJ143,'NBA Library'!$A$4:$A$21,0)))))</f>
        <v>P4</v>
      </c>
      <c r="AO143" s="2" t="str">
        <f aca="false">E143&amp;" "&amp;C143&amp;" account ("&amp;B143&amp;"); "&amp;G143&amp;" momentum; "&amp;P143&amp;"; £"&amp;TEXT(H143,"#,##0")&amp;" 6m GMV. "&amp;INDEX('NBA Library'!$G$4:$G$21,MATCH(AJ143,'NBA Library'!$A$4:$A$21,0))&amp;IF(LEFT(D143,1)="1"," Baseline: "&amp;V143&amp;" PDP views, "&amp;W143&amp;" app days, "&amp;X143&amp;" offers, "&amp;TEXT(J143/I143,"0%")&amp;" of orders self-serve.","")&amp;IF(AA143," Execution on HOLD until the Duplicate status is resolved.","")&amp;IF(Y143," Key account: explicit AM/leadership sign-off required before any migration activity.","")&amp;IF(AE143," Implied broker % from order counts would move this account to a different segment; review before automating.","")</f>
        <v>Tail AM-Owned / Self-Serving account (Account Managed); Lapsed momentum; No Meaningful History; £312 6m GMV. Low-value, low-dependency account. Scalable automated engagement.</v>
      </c>
      <c r="AP143" s="2" t="str">
        <f aca="false">INDEX('NBA Library'!$E$4:$E$21,MATCH(AJ143,'NBA Library'!$A$4:$A$21,0))&amp;IF(AND(AJ143="NEW_CUSTOMER",AG143),"; introduce Make-an-Offer on items already browsed","")</f>
        <v>Scalable automated engagement matched to nurture sub-context</v>
      </c>
      <c r="AQ143" s="2" t="str">
        <f aca="false">INDEX('NBA Library'!$F$4:$F$21,MATCH(AJ143,'NBA Library'!$A$4:$A$21,0))</f>
        <v>Any repeat order within 90 days</v>
      </c>
      <c r="AR143" s="2" t="str">
        <f aca="false">IF(AND(F143="Low",OR(G143="Growing",G143="Stable"),P143="Recently Active",U143&lt;&gt;"Mixed",OR(AK143="Discovery-to-Offer Enablement",AK143="Reinforce Successful Behaviour"),AM143="Ready — Automated",OR(E143&lt;&gt;"Tail",S143)),"Range Expansion Test — trial "&amp;IF(U143="Bundle-only","handpick","bundles")&amp;" (experimental; not proven to lift GMV)","")</f>
        <v/>
      </c>
      <c r="AS143" s="2" t="str">
        <f aca="false">IF(AK143&lt;&gt;"Automated Nurture","",IF(AJ143="DORMANT_LOW_VALUE","Dormant",IF(AJ143="RISING_TAIL_EARLY","Rising tail – early pattern",IF(Q143="New Customer","New customer onboarding",IF(Q143="Returned Customer","Returned customer",IF(G143="Lapsed","Dormant",IF(T143="Engaged, not converting","Engaged, not converting",IF(T143="One-off low-touch buyer","One-off purchaser",IF(T143="Light-touch repeat buyer","Light-touch repeat buyer","Standard long tail")))))))))</f>
        <v>Dormant</v>
      </c>
      <c r="AT143" s="2" t="str">
        <f aca="false">IF(AA143,"CRITICAL_DATA_BLOCKER; ","")&amp;IF(Y143,"KEY_SIGNOFF; ","")&amp;IF(Z143="Manual Review","PHASE1_MANUAL_REVIEW; ","")&amp;IF(AND(LEFT(D143,1)="1",AZ143="Lumpy"),"LUMPY_CADENCE; ","")&amp;IF(AB143,"BORDERLINE_MOMENTUM; ","")&amp;IF(AC143,"FEB_SENSITIVE; ","")&amp;IF(AD143,"MATERIAL_BROKER_INCONSISTENCY"&amp;IF(AE143," (segment would change)","")&amp;"; ","")&amp;IF(AND(I143&gt;=3,O143&gt;0),IF(AI143&gt;=Assumptions!$B$75,"H2_SINGLE_MONTH_SPIKE; ",""),"")&amp;IF(AND(M143&gt;0,N143=0),"NO_FEB_GMV (Feb unconfirmed); ","")&amp;IF(AF143,"LOW_CONFIDENCE; ","")</f>
        <v>LOW_CONFIDENCE; </v>
      </c>
      <c r="AU143" s="2" t="str">
        <f aca="false">IF(LEFT(D143,1)="1",V143,"")</f>
        <v/>
      </c>
      <c r="AV143" s="2" t="str">
        <f aca="false">IF(LEFT(D143,1)="1",V143&gt;=Assumptions!$B$58,"")</f>
        <v/>
      </c>
      <c r="AW143" s="2" t="str">
        <f aca="false">IF(LEFT(D143,1)="1",W143,"")</f>
        <v/>
      </c>
      <c r="AX143" s="2" t="str">
        <f aca="false">IF(LEFT(D143,1)="1",X143,"")</f>
        <v/>
      </c>
      <c r="AY143" s="17" t="str">
        <f aca="false">IF(LEFT(D143,1)="1",J143/I143,"")</f>
        <v/>
      </c>
      <c r="AZ143" s="2" t="str">
        <f aca="false">IF(LEFT(D143,1)="1",IF(AND(K143&gt;=Assumptions!$B$83,I143&gt;=Assumptions!$B$84),"Regular","Lumpy"),"")</f>
        <v/>
      </c>
      <c r="BA143" s="2" t="str">
        <f aca="false">IF(LEFT(D143,1)="1",ROUND(6/K143,0),"")</f>
        <v/>
      </c>
      <c r="BB143" s="2" t="str">
        <f aca="false">IF(LEFT(D143,1)="1",IF(AZ143="Regular","Regular buyer: expected ~£"&amp;TEXT(H143/2,"#,##0")&amp;" per 90 days. At Risk if GMV to date &lt; "&amp;TEXT(Assumptions!$B$81,"0%")&amp;" of pro-rated expectation, checked from day "&amp;Assumptions!$B$82&amp;". Human-reviewed.","Irregular buyer ("&amp;I143&amp;" orders across "&amp;K143&amp;" months): no numeric GMV threshold. At Risk if no order within ~"&amp;BA143&amp;" month(s); AM reviews at day "&amp;Assumptions!$B$82&amp;" and "&amp;Assumptions!$B$85&amp;"."),"")</f>
        <v/>
      </c>
      <c r="BC143" s="2"/>
      <c r="BD143" s="2"/>
      <c r="BE143" s="2"/>
      <c r="BF143" s="2"/>
      <c r="BG143" s="2"/>
      <c r="BH143" s="2"/>
      <c r="BI143" s="2"/>
      <c r="BJ143" s="2" t="str">
        <f aca="false">IF(OR(NOT(LEFT(D143,1)="1"),BC143=""),"",IF(AZ143="Regular",AND(BC143&gt;=Assumptions!$B$82,N(BI143)&lt;Assumptions!$B$81*H143/180*BC143),AND(BC143&gt;=BA143*30,N(BG143)=0)))</f>
        <v/>
      </c>
      <c r="BK143" s="2" t="str">
        <f aca="false">IF(NOT(LEFT(D143,1)="1"),"N/A",IF(BC143="","Baseline",IF(BJ143,"At Risk",IF(AND(N(BD143)&gt;=Assumptions!$B$78,N(BE143)&gt;=Assumptions!$B$79,N(BH143)&gt;=1,N(BH143)/MAX(N(BG143),1)&gt;AY143),"Self-Serve Capability Demonstrated",IF(OR(N(BD143)&gt;=Assumptions!$B$76,N(BE143)&gt;=Assumptions!$B$77),"Progressing",IF(BC143&gt;=Assumptions!$B$85,"At Risk","Baseline"))))))</f>
        <v>N/A</v>
      </c>
      <c r="BL143" s="2" t="n">
        <f aca="false">(AND(C143="Broker-Reliant",OR(AK143="Discovery-to-Offer Enablement",AK143="Reinforce Successful Behaviour")))*1+(AND(G143="Declining",E143&lt;&gt;"Tail",AL143="Automated"))*1+(AND(Y143,AM143&lt;&gt;"Human Sign-Off Required"))*1+(AND(AA143,AM143&lt;&gt;"HOLD — Critical Data Issue"))*1+(AND(P143="Recent Inactivity",OR(AK143="Discovery-to-Offer Enablement",AK143="Reinforce Successful Behaviour")))*1+(AND(OR(LEFT(D143,1)="2",LEFT(D143,1)="3",LEFT(D143,1)="8"),AL143="Automated"))*1+((LEFT(D143,1)="1")&lt;&gt;(AK143="Guided Self-Serve Migration"))*1+(AND(AR143&lt;&gt;"",OR(F143&lt;&gt;"Low",U143="Mixed",AND(G143&lt;&gt;"Growing",G143&lt;&gt;"Stable"))))*1+ISNUMBER(SEARCH("chat",AP143))*1+ISNUMBER(SEARCH("video",AP143))*1+(AND(AA143,AL143="Automated",AM143&lt;&gt;"HOLD — Critical Data Issue"))*1</f>
        <v>0</v>
      </c>
    </row>
    <row r="144" customFormat="false" ht="15" hidden="false" customHeight="false" outlineLevel="0" collapsed="false">
      <c r="A144" s="2" t="s">
        <v>778</v>
      </c>
      <c r="B144" s="2" t="str">
        <f aca="false">INDEX(Segmentation!$B$2:$B$301,MATCH($A144,Segmentation!$A$2:$A$301,0))</f>
        <v>Account Managed</v>
      </c>
      <c r="C144" s="2" t="str">
        <f aca="false">INDEX(Segmentation!$H$2:$H$301,MATCH($A144,Segmentation!$A$2:$A$301,0))</f>
        <v>AM-Owned / Self-Serving</v>
      </c>
      <c r="D144" s="2" t="str">
        <f aca="false">INDEX(Segmentation!$T$2:$T$301,MATCH($A144,Segmentation!$A$2:$A$301,0))</f>
        <v>9. Long-Tail Automated Nurture</v>
      </c>
      <c r="E144" s="2" t="str">
        <f aca="false">INDEX(Segmentation!$J$2:$J$301,MATCH($A144,Segmentation!$A$2:$A$301,0))</f>
        <v>Tail</v>
      </c>
      <c r="F144" s="2" t="str">
        <f aca="false">INDEX(Segmentation!$G$2:$G$301,MATCH($A144,Segmentation!$A$2:$A$301,0))</f>
        <v>Low</v>
      </c>
      <c r="G144" s="2" t="str">
        <f aca="false">INDEX(Segmentation!$N$2:$N$301,MATCH($A144,Segmentation!$A$2:$A$301,0))</f>
        <v>Lapsed</v>
      </c>
      <c r="H144" s="9" t="n">
        <f aca="false">INDEX(Segmentation!$I$2:$I$301,MATCH($A144,Segmentation!$A$2:$A$301,0))</f>
        <v>308</v>
      </c>
      <c r="I144" s="2" t="n">
        <f aca="false">INDEX(Segmentation!$O$2:$O$301,MATCH($A144,Segmentation!$A$2:$A$301,0))</f>
        <v>1</v>
      </c>
      <c r="J144" s="2" t="n">
        <f aca="false">INDEX(Segmentation!$Q$2:$Q$301,MATCH($A144,Segmentation!$A$2:$A$301,0))</f>
        <v>1</v>
      </c>
      <c r="K144" s="2" t="n">
        <f aca="false">INDEX(Segmentation!$W$2:$W$301,MATCH($A144,Segmentation!$A$2:$A$301,0))</f>
        <v>1</v>
      </c>
      <c r="L144" s="9" t="n">
        <f aca="false">INDEX('Commercial View'!$L$2:$L$301,MATCH($A144,'Commercial View'!$A$2:$A$301,0))</f>
        <v>0</v>
      </c>
      <c r="M144" s="9" t="n">
        <f aca="false">INDEX('Commercial View'!$M$2:$M$301,MATCH($A144,'Commercial View'!$A$2:$A$301,0))</f>
        <v>0</v>
      </c>
      <c r="N144" s="9" t="n">
        <f aca="false">INDEX('Commercial View'!$N$2:$N$301,MATCH($A144,'Commercial View'!$A$2:$A$301,0))</f>
        <v>0</v>
      </c>
      <c r="O144" s="9" t="n">
        <f aca="false">INDEX(Segmentation!$L$2:$L$301,MATCH($A144,Segmentation!$A$2:$A$301,0))</f>
        <v>0</v>
      </c>
      <c r="P144" s="2" t="str">
        <f aca="false">IF(OR(M144&gt;0,N144&gt;0),"Recently Active",IF(OR(I144&lt;=Assumptions!$B$48,K144&lt;=Assumptions!$B$49),"No Meaningful History","Recent Inactivity"))</f>
        <v>No Meaningful History</v>
      </c>
      <c r="Q144" s="2" t="str">
        <f aca="false">INDEX(Segmentation!$AF$2:$AF$301,MATCH($A144,Segmentation!$A$2:$A$301,0))</f>
        <v>Existing Customer</v>
      </c>
      <c r="R144" s="2" t="str">
        <f aca="false">INDEX(Segmentation!$AL$2:$AL$301,MATCH($A144,Segmentation!$A$2:$A$301,0))</f>
        <v>One-Off / Insufficient History — Verify</v>
      </c>
      <c r="S144" s="10" t="b">
        <f aca="false">INDEX(Segmentation!$AW$2:$AW$301,MATCH($A144,Segmentation!$A$2:$A$301,0))</f>
        <v>0</v>
      </c>
      <c r="T144" s="2" t="str">
        <f aca="false">INDEX('Feature Data'!$AD$2:$AD$301,MATCH($A144,'Feature Data'!$A$2:$A$301,0))</f>
        <v>One-off low-touch buyer</v>
      </c>
      <c r="U144" s="2" t="str">
        <f aca="false">INDEX('Feature Data'!$W$2:$W$301,MATCH($A144,'Feature Data'!$A$2:$A$301,0))</f>
        <v>Bundle-only</v>
      </c>
      <c r="V144" s="2" t="n">
        <f aca="false">INDEX('Feature Data'!$P$2:$P$301,MATCH($A144,'Feature Data'!$A$2:$A$301,0))</f>
        <v>96</v>
      </c>
      <c r="W144" s="2" t="n">
        <f aca="false">INDEX(Segmentation!$R$2:$R$301,MATCH($A144,Segmentation!$A$2:$A$301,0))</f>
        <v>18</v>
      </c>
      <c r="X144" s="2" t="n">
        <f aca="false">INDEX(Segmentation!$S$2:$S$301,MATCH($A144,Segmentation!$A$2:$A$301,0))</f>
        <v>1</v>
      </c>
      <c r="Y144" s="10" t="b">
        <f aca="false">INDEX(Segmentation!$AG$2:$AG$301,MATCH($A144,Segmentation!$A$2:$A$301,0))</f>
        <v>0</v>
      </c>
      <c r="Z144" s="2" t="str">
        <f aca="false">INDEX(Segmentation!$AU$2:$AU$301,MATCH($A144,Segmentation!$A$2:$A$301,0))</f>
        <v>Not Eligible</v>
      </c>
      <c r="AA144" s="10" t="b">
        <f aca="false">INDEX(Segmentation!$Z$2:$Z$301,MATCH($A144,Segmentation!$A$2:$A$301,0))</f>
        <v>0</v>
      </c>
      <c r="AB144" s="10" t="b">
        <f aca="false">INDEX(Segmentation!$AH$2:$AH$301,MATCH($A144,Segmentation!$A$2:$A$301,0))</f>
        <v>0</v>
      </c>
      <c r="AC144" s="10" t="b">
        <f aca="false">INDEX(Segmentation!$AK$2:$AK$301,MATCH($A144,Segmentation!$A$2:$A$301,0))</f>
        <v>0</v>
      </c>
      <c r="AD144" s="10" t="b">
        <f aca="false">INDEX(Segmentation!$AQ$2:$AQ$301,MATCH($A144,Segmentation!$A$2:$A$301,0))</f>
        <v>0</v>
      </c>
      <c r="AE144" s="10" t="b">
        <f aca="false">INDEX(Segmentation!$AT$2:$AT$301,MATCH($A144,Segmentation!$A$2:$A$301,0))</f>
        <v>0</v>
      </c>
      <c r="AF144" s="10" t="b">
        <f aca="false">INDEX(Segmentation!$X$2:$X$301,MATCH($A144,Segmentation!$A$2:$A$301,0))</f>
        <v>1</v>
      </c>
      <c r="AG144" s="10" t="b">
        <f aca="false">AND(F144="Low",V144&gt;=Assumptions!$B$71,X144&lt;Assumptions!$B$72)</f>
        <v>1</v>
      </c>
      <c r="AH144" s="10" t="b">
        <f aca="false">AND(F144="Low",OR(G144="Growing",G144="Stable"),P144="Recently Active",V144&gt;=Assumptions!$B$58,K144&gt;=Assumptions!$B$73)</f>
        <v>0</v>
      </c>
      <c r="AI144" s="17" t="str">
        <f aca="false">IF(O144&gt;0,MAX(L144:N144)/O144,"")</f>
        <v/>
      </c>
      <c r="AJ144" s="2" t="str">
        <f aca="false">IF(LEFT(D144,1)="1",IF(E144="Key","MIGRATION_KEY_SIGNOFF",IF(Z144="Ready","MIGRATION_PHASE1_READY",IF(Z144="Manual Review","MIGRATION_PHASE1_REVIEW","MIGRATION_PRE_ENTRY"))),IF(LEFT(D144,1)="2","DECLINING_KEY_CORE",IF(LEFT(D144,1)="3",IF(R144="Established Buyer Lapsed","LAPSED_ESTABLISHED","LAPSED_THIN_HISTORY"),IF(LEFT(D144,1)="4",IF(Q144="New Customer","NEW_CUSTOMER","RETURNED_CUSTOMER"),IF(LEFT(D144,1)="5",IF(P144="Recently Active","COST_TO_SERVE_ACTIVE","DORMANT_LOW_VALUE"),IF(LEFT(D144,1)="6",IF(P144="Recent Inactivity","RECENT_INACTIVITY",IF(AG144,"BROWSING_LOW_OFFERS","HEALTHY_STRONG_SELF_SERVE")),IF(LEFT(D144,1)="7",IF(P144="Recent Inactivity","RECENT_INACTIVITY",IF(Q144="New Customer","NEW_CUSTOMER","RETURNED_CUSTOMER")),IF(LEFT(D144,1)="8",IF(G144="Declining",IF(T144="Engaged but shrinking (Key/Core)","ENGAGED_BUT_SHRINKING","DECLINING_KEY_CORE"),IF(R144="Established Buyer Lapsed","LAPSED_ESTABLISHED","LAPSED_THIN_HISTORY")),IF(S144,IF(P144&lt;&gt;"Recently Active","DORMANT_LOW_VALUE",IF(AG144,"BROWSING_LOW_OFFERS",IF(AH144,"RISING_TAIL","RISING_TAIL_EARLY"))),IF(AND(AG144,P144="Recently Active",OR(G144="Growing",G144="Stable",G144="H2 Active / No H1 GMV"),I144&gt;=Assumptions!$B$74),"BROWSING_LOW_OFFERS","LONG_TAIL_STANDARD"))))))))))</f>
        <v>LONG_TAIL_STANDARD</v>
      </c>
      <c r="AK144" s="2" t="str">
        <f aca="false">INDEX('NBA Library'!$B$4:$B$21,MATCH(AJ144,'NBA Library'!$A$4:$A$21,0))</f>
        <v>Automated Nurture</v>
      </c>
      <c r="AL144" s="2" t="str">
        <f aca="false">INDEX('NBA Library'!$C$4:$C$21,MATCH(AJ144,'NBA Library'!$A$4:$A$21,0))</f>
        <v>Automated</v>
      </c>
      <c r="AM144" s="2" t="str">
        <f aca="false">IF(AA144,"HOLD — Critical Data Issue",IF(Y144,"Human Sign-Off Required",IF(Z144="Manual Review","Human Review Required",IF(AND(AL144="Automated",OR(AE144,AND(OR(AK144="Discovery-to-Offer Enablement",AK144="Reinforce Successful Behaviour"),OR(AC144,AB144)))),"Human Review Required",IF(AL144="Human","Ready — Human",IF(AL144="Hybrid","Ready — Hybrid","Ready — Automated"))))))</f>
        <v>Ready — Automated</v>
      </c>
      <c r="AN144" s="2" t="str">
        <f aca="false">IF(AA144,"P0",IF(AND(AJ144="BROWSING_LOW_OFFERS",E144="Tail"),"P3",IF(AND(AM144="Human Review Required",INDEX('NBA Library'!$D$4:$D$21,MATCH(AJ144,'NBA Library'!$A$4:$A$21,0))="P4"),"P3",INDEX('NBA Library'!$D$4:$D$21,MATCH(AJ144,'NBA Library'!$A$4:$A$21,0)))))</f>
        <v>P4</v>
      </c>
      <c r="AO144" s="2" t="str">
        <f aca="false">E144&amp;" "&amp;C144&amp;" account ("&amp;B144&amp;"); "&amp;G144&amp;" momentum; "&amp;P144&amp;"; £"&amp;TEXT(H144,"#,##0")&amp;" 6m GMV. "&amp;INDEX('NBA Library'!$G$4:$G$21,MATCH(AJ144,'NBA Library'!$A$4:$A$21,0))&amp;IF(LEFT(D144,1)="1"," Baseline: "&amp;V144&amp;" PDP views, "&amp;W144&amp;" app days, "&amp;X144&amp;" offers, "&amp;TEXT(J144/I144,"0%")&amp;" of orders self-serve.","")&amp;IF(AA144," Execution on HOLD until the Duplicate status is resolved.","")&amp;IF(Y144," Key account: explicit AM/leadership sign-off required before any migration activity.","")&amp;IF(AE144," Implied broker % from order counts would move this account to a different segment; review before automating.","")</f>
        <v>Tail AM-Owned / Self-Serving account (Account Managed); Lapsed momentum; No Meaningful History; £308 6m GMV. Low-value, low-dependency account. Scalable automated engagement.</v>
      </c>
      <c r="AP144" s="2" t="str">
        <f aca="false">INDEX('NBA Library'!$E$4:$E$21,MATCH(AJ144,'NBA Library'!$A$4:$A$21,0))&amp;IF(AND(AJ144="NEW_CUSTOMER",AG144),"; introduce Make-an-Offer on items already browsed","")</f>
        <v>Scalable automated engagement matched to nurture sub-context</v>
      </c>
      <c r="AQ144" s="2" t="str">
        <f aca="false">INDEX('NBA Library'!$F$4:$F$21,MATCH(AJ144,'NBA Library'!$A$4:$A$21,0))</f>
        <v>Any repeat order within 90 days</v>
      </c>
      <c r="AR144" s="2" t="str">
        <f aca="false">IF(AND(F144="Low",OR(G144="Growing",G144="Stable"),P144="Recently Active",U144&lt;&gt;"Mixed",OR(AK144="Discovery-to-Offer Enablement",AK144="Reinforce Successful Behaviour"),AM144="Ready — Automated",OR(E144&lt;&gt;"Tail",S144)),"Range Expansion Test — trial "&amp;IF(U144="Bundle-only","handpick","bundles")&amp;" (experimental; not proven to lift GMV)","")</f>
        <v/>
      </c>
      <c r="AS144" s="2" t="str">
        <f aca="false">IF(AK144&lt;&gt;"Automated Nurture","",IF(AJ144="DORMANT_LOW_VALUE","Dormant",IF(AJ144="RISING_TAIL_EARLY","Rising tail – early pattern",IF(Q144="New Customer","New customer onboarding",IF(Q144="Returned Customer","Returned customer",IF(G144="Lapsed","Dormant",IF(T144="Engaged, not converting","Engaged, not converting",IF(T144="One-off low-touch buyer","One-off purchaser",IF(T144="Light-touch repeat buyer","Light-touch repeat buyer","Standard long tail")))))))))</f>
        <v>Dormant</v>
      </c>
      <c r="AT144" s="2" t="str">
        <f aca="false">IF(AA144,"CRITICAL_DATA_BLOCKER; ","")&amp;IF(Y144,"KEY_SIGNOFF; ","")&amp;IF(Z144="Manual Review","PHASE1_MANUAL_REVIEW; ","")&amp;IF(AND(LEFT(D144,1)="1",AZ144="Lumpy"),"LUMPY_CADENCE; ","")&amp;IF(AB144,"BORDERLINE_MOMENTUM; ","")&amp;IF(AC144,"FEB_SENSITIVE; ","")&amp;IF(AD144,"MATERIAL_BROKER_INCONSISTENCY"&amp;IF(AE144," (segment would change)","")&amp;"; ","")&amp;IF(AND(I144&gt;=3,O144&gt;0),IF(AI144&gt;=Assumptions!$B$75,"H2_SINGLE_MONTH_SPIKE; ",""),"")&amp;IF(AND(M144&gt;0,N144=0),"NO_FEB_GMV (Feb unconfirmed); ","")&amp;IF(AF144,"LOW_CONFIDENCE; ","")</f>
        <v>LOW_CONFIDENCE; </v>
      </c>
      <c r="AU144" s="2" t="str">
        <f aca="false">IF(LEFT(D144,1)="1",V144,"")</f>
        <v/>
      </c>
      <c r="AV144" s="2" t="str">
        <f aca="false">IF(LEFT(D144,1)="1",V144&gt;=Assumptions!$B$58,"")</f>
        <v/>
      </c>
      <c r="AW144" s="2" t="str">
        <f aca="false">IF(LEFT(D144,1)="1",W144,"")</f>
        <v/>
      </c>
      <c r="AX144" s="2" t="str">
        <f aca="false">IF(LEFT(D144,1)="1",X144,"")</f>
        <v/>
      </c>
      <c r="AY144" s="17" t="str">
        <f aca="false">IF(LEFT(D144,1)="1",J144/I144,"")</f>
        <v/>
      </c>
      <c r="AZ144" s="2" t="str">
        <f aca="false">IF(LEFT(D144,1)="1",IF(AND(K144&gt;=Assumptions!$B$83,I144&gt;=Assumptions!$B$84),"Regular","Lumpy"),"")</f>
        <v/>
      </c>
      <c r="BA144" s="2" t="str">
        <f aca="false">IF(LEFT(D144,1)="1",ROUND(6/K144,0),"")</f>
        <v/>
      </c>
      <c r="BB144" s="2" t="str">
        <f aca="false">IF(LEFT(D144,1)="1",IF(AZ144="Regular","Regular buyer: expected ~£"&amp;TEXT(H144/2,"#,##0")&amp;" per 90 days. At Risk if GMV to date &lt; "&amp;TEXT(Assumptions!$B$81,"0%")&amp;" of pro-rated expectation, checked from day "&amp;Assumptions!$B$82&amp;". Human-reviewed.","Irregular buyer ("&amp;I144&amp;" orders across "&amp;K144&amp;" months): no numeric GMV threshold. At Risk if no order within ~"&amp;BA144&amp;" month(s); AM reviews at day "&amp;Assumptions!$B$82&amp;" and "&amp;Assumptions!$B$85&amp;"."),"")</f>
        <v/>
      </c>
      <c r="BC144" s="2"/>
      <c r="BD144" s="2"/>
      <c r="BE144" s="2"/>
      <c r="BF144" s="2"/>
      <c r="BG144" s="2"/>
      <c r="BH144" s="2"/>
      <c r="BI144" s="2"/>
      <c r="BJ144" s="2" t="str">
        <f aca="false">IF(OR(NOT(LEFT(D144,1)="1"),BC144=""),"",IF(AZ144="Regular",AND(BC144&gt;=Assumptions!$B$82,N(BI144)&lt;Assumptions!$B$81*H144/180*BC144),AND(BC144&gt;=BA144*30,N(BG144)=0)))</f>
        <v/>
      </c>
      <c r="BK144" s="2" t="str">
        <f aca="false">IF(NOT(LEFT(D144,1)="1"),"N/A",IF(BC144="","Baseline",IF(BJ144,"At Risk",IF(AND(N(BD144)&gt;=Assumptions!$B$78,N(BE144)&gt;=Assumptions!$B$79,N(BH144)&gt;=1,N(BH144)/MAX(N(BG144),1)&gt;AY144),"Self-Serve Capability Demonstrated",IF(OR(N(BD144)&gt;=Assumptions!$B$76,N(BE144)&gt;=Assumptions!$B$77),"Progressing",IF(BC144&gt;=Assumptions!$B$85,"At Risk","Baseline"))))))</f>
        <v>N/A</v>
      </c>
      <c r="BL144" s="2" t="n">
        <f aca="false">(AND(C144="Broker-Reliant",OR(AK144="Discovery-to-Offer Enablement",AK144="Reinforce Successful Behaviour")))*1+(AND(G144="Declining",E144&lt;&gt;"Tail",AL144="Automated"))*1+(AND(Y144,AM144&lt;&gt;"Human Sign-Off Required"))*1+(AND(AA144,AM144&lt;&gt;"HOLD — Critical Data Issue"))*1+(AND(P144="Recent Inactivity",OR(AK144="Discovery-to-Offer Enablement",AK144="Reinforce Successful Behaviour")))*1+(AND(OR(LEFT(D144,1)="2",LEFT(D144,1)="3",LEFT(D144,1)="8"),AL144="Automated"))*1+((LEFT(D144,1)="1")&lt;&gt;(AK144="Guided Self-Serve Migration"))*1+(AND(AR144&lt;&gt;"",OR(F144&lt;&gt;"Low",U144="Mixed",AND(G144&lt;&gt;"Growing",G144&lt;&gt;"Stable"))))*1+ISNUMBER(SEARCH("chat",AP144))*1+ISNUMBER(SEARCH("video",AP144))*1+(AND(AA144,AL144="Automated",AM144&lt;&gt;"HOLD — Critical Data Issue"))*1</f>
        <v>0</v>
      </c>
    </row>
    <row r="145" customFormat="false" ht="15" hidden="false" customHeight="false" outlineLevel="0" collapsed="false">
      <c r="A145" s="2" t="s">
        <v>782</v>
      </c>
      <c r="B145" s="2" t="str">
        <f aca="false">INDEX(Segmentation!$B$2:$B$301,MATCH($A145,Segmentation!$A$2:$A$301,0))</f>
        <v>Account Managed</v>
      </c>
      <c r="C145" s="2" t="str">
        <f aca="false">INDEX(Segmentation!$H$2:$H$301,MATCH($A145,Segmentation!$A$2:$A$301,0))</f>
        <v>AM-Owned / Self-Serving</v>
      </c>
      <c r="D145" s="2" t="str">
        <f aca="false">INDEX(Segmentation!$T$2:$T$301,MATCH($A145,Segmentation!$A$2:$A$301,0))</f>
        <v>9. Long-Tail Automated Nurture</v>
      </c>
      <c r="E145" s="2" t="str">
        <f aca="false">INDEX(Segmentation!$J$2:$J$301,MATCH($A145,Segmentation!$A$2:$A$301,0))</f>
        <v>Tail</v>
      </c>
      <c r="F145" s="2" t="str">
        <f aca="false">INDEX(Segmentation!$G$2:$G$301,MATCH($A145,Segmentation!$A$2:$A$301,0))</f>
        <v>Low</v>
      </c>
      <c r="G145" s="2" t="str">
        <f aca="false">INDEX(Segmentation!$N$2:$N$301,MATCH($A145,Segmentation!$A$2:$A$301,0))</f>
        <v>Lapsed</v>
      </c>
      <c r="H145" s="9" t="n">
        <f aca="false">INDEX(Segmentation!$I$2:$I$301,MATCH($A145,Segmentation!$A$2:$A$301,0))</f>
        <v>306</v>
      </c>
      <c r="I145" s="2" t="n">
        <f aca="false">INDEX(Segmentation!$O$2:$O$301,MATCH($A145,Segmentation!$A$2:$A$301,0))</f>
        <v>1</v>
      </c>
      <c r="J145" s="2" t="n">
        <f aca="false">INDEX(Segmentation!$Q$2:$Q$301,MATCH($A145,Segmentation!$A$2:$A$301,0))</f>
        <v>1</v>
      </c>
      <c r="K145" s="2" t="n">
        <f aca="false">INDEX(Segmentation!$W$2:$W$301,MATCH($A145,Segmentation!$A$2:$A$301,0))</f>
        <v>1</v>
      </c>
      <c r="L145" s="9" t="n">
        <f aca="false">INDEX('Commercial View'!$L$2:$L$301,MATCH($A145,'Commercial View'!$A$2:$A$301,0))</f>
        <v>0</v>
      </c>
      <c r="M145" s="9" t="n">
        <f aca="false">INDEX('Commercial View'!$M$2:$M$301,MATCH($A145,'Commercial View'!$A$2:$A$301,0))</f>
        <v>0</v>
      </c>
      <c r="N145" s="9" t="n">
        <f aca="false">INDEX('Commercial View'!$N$2:$N$301,MATCH($A145,'Commercial View'!$A$2:$A$301,0))</f>
        <v>0</v>
      </c>
      <c r="O145" s="9" t="n">
        <f aca="false">INDEX(Segmentation!$L$2:$L$301,MATCH($A145,Segmentation!$A$2:$A$301,0))</f>
        <v>0</v>
      </c>
      <c r="P145" s="2" t="str">
        <f aca="false">IF(OR(M145&gt;0,N145&gt;0),"Recently Active",IF(OR(I145&lt;=Assumptions!$B$48,K145&lt;=Assumptions!$B$49),"No Meaningful History","Recent Inactivity"))</f>
        <v>No Meaningful History</v>
      </c>
      <c r="Q145" s="2" t="str">
        <f aca="false">INDEX(Segmentation!$AF$2:$AF$301,MATCH($A145,Segmentation!$A$2:$A$301,0))</f>
        <v>Existing Customer</v>
      </c>
      <c r="R145" s="2" t="str">
        <f aca="false">INDEX(Segmentation!$AL$2:$AL$301,MATCH($A145,Segmentation!$A$2:$A$301,0))</f>
        <v>One-Off / Insufficient History — Verify</v>
      </c>
      <c r="S145" s="10" t="b">
        <f aca="false">INDEX(Segmentation!$AW$2:$AW$301,MATCH($A145,Segmentation!$A$2:$A$301,0))</f>
        <v>0</v>
      </c>
      <c r="T145" s="2" t="str">
        <f aca="false">INDEX('Feature Data'!$AD$2:$AD$301,MATCH($A145,'Feature Data'!$A$2:$A$301,0))</f>
        <v>One-off low-touch buyer</v>
      </c>
      <c r="U145" s="2" t="str">
        <f aca="false">INDEX('Feature Data'!$W$2:$W$301,MATCH($A145,'Feature Data'!$A$2:$A$301,0))</f>
        <v>Bundle-only</v>
      </c>
      <c r="V145" s="2" t="n">
        <f aca="false">INDEX('Feature Data'!$P$2:$P$301,MATCH($A145,'Feature Data'!$A$2:$A$301,0))</f>
        <v>169</v>
      </c>
      <c r="W145" s="2" t="n">
        <f aca="false">INDEX(Segmentation!$R$2:$R$301,MATCH($A145,Segmentation!$A$2:$A$301,0))</f>
        <v>13</v>
      </c>
      <c r="X145" s="2" t="n">
        <f aca="false">INDEX(Segmentation!$S$2:$S$301,MATCH($A145,Segmentation!$A$2:$A$301,0))</f>
        <v>4</v>
      </c>
      <c r="Y145" s="10" t="b">
        <f aca="false">INDEX(Segmentation!$AG$2:$AG$301,MATCH($A145,Segmentation!$A$2:$A$301,0))</f>
        <v>0</v>
      </c>
      <c r="Z145" s="2" t="str">
        <f aca="false">INDEX(Segmentation!$AU$2:$AU$301,MATCH($A145,Segmentation!$A$2:$A$301,0))</f>
        <v>Not Eligible</v>
      </c>
      <c r="AA145" s="10" t="b">
        <f aca="false">INDEX(Segmentation!$Z$2:$Z$301,MATCH($A145,Segmentation!$A$2:$A$301,0))</f>
        <v>0</v>
      </c>
      <c r="AB145" s="10" t="b">
        <f aca="false">INDEX(Segmentation!$AH$2:$AH$301,MATCH($A145,Segmentation!$A$2:$A$301,0))</f>
        <v>0</v>
      </c>
      <c r="AC145" s="10" t="b">
        <f aca="false">INDEX(Segmentation!$AK$2:$AK$301,MATCH($A145,Segmentation!$A$2:$A$301,0))</f>
        <v>0</v>
      </c>
      <c r="AD145" s="10" t="b">
        <f aca="false">INDEX(Segmentation!$AQ$2:$AQ$301,MATCH($A145,Segmentation!$A$2:$A$301,0))</f>
        <v>0</v>
      </c>
      <c r="AE145" s="10" t="b">
        <f aca="false">INDEX(Segmentation!$AT$2:$AT$301,MATCH($A145,Segmentation!$A$2:$A$301,0))</f>
        <v>0</v>
      </c>
      <c r="AF145" s="10" t="b">
        <f aca="false">INDEX(Segmentation!$X$2:$X$301,MATCH($A145,Segmentation!$A$2:$A$301,0))</f>
        <v>1</v>
      </c>
      <c r="AG145" s="10" t="b">
        <f aca="false">AND(F145="Low",V145&gt;=Assumptions!$B$71,X145&lt;Assumptions!$B$72)</f>
        <v>0</v>
      </c>
      <c r="AH145" s="10" t="b">
        <f aca="false">AND(F145="Low",OR(G145="Growing",G145="Stable"),P145="Recently Active",V145&gt;=Assumptions!$B$58,K145&gt;=Assumptions!$B$73)</f>
        <v>0</v>
      </c>
      <c r="AI145" s="17" t="str">
        <f aca="false">IF(O145&gt;0,MAX(L145:N145)/O145,"")</f>
        <v/>
      </c>
      <c r="AJ145" s="2" t="str">
        <f aca="false">IF(LEFT(D145,1)="1",IF(E145="Key","MIGRATION_KEY_SIGNOFF",IF(Z145="Ready","MIGRATION_PHASE1_READY",IF(Z145="Manual Review","MIGRATION_PHASE1_REVIEW","MIGRATION_PRE_ENTRY"))),IF(LEFT(D145,1)="2","DECLINING_KEY_CORE",IF(LEFT(D145,1)="3",IF(R145="Established Buyer Lapsed","LAPSED_ESTABLISHED","LAPSED_THIN_HISTORY"),IF(LEFT(D145,1)="4",IF(Q145="New Customer","NEW_CUSTOMER","RETURNED_CUSTOMER"),IF(LEFT(D145,1)="5",IF(P145="Recently Active","COST_TO_SERVE_ACTIVE","DORMANT_LOW_VALUE"),IF(LEFT(D145,1)="6",IF(P145="Recent Inactivity","RECENT_INACTIVITY",IF(AG145,"BROWSING_LOW_OFFERS","HEALTHY_STRONG_SELF_SERVE")),IF(LEFT(D145,1)="7",IF(P145="Recent Inactivity","RECENT_INACTIVITY",IF(Q145="New Customer","NEW_CUSTOMER","RETURNED_CUSTOMER")),IF(LEFT(D145,1)="8",IF(G145="Declining",IF(T145="Engaged but shrinking (Key/Core)","ENGAGED_BUT_SHRINKING","DECLINING_KEY_CORE"),IF(R145="Established Buyer Lapsed","LAPSED_ESTABLISHED","LAPSED_THIN_HISTORY")),IF(S145,IF(P145&lt;&gt;"Recently Active","DORMANT_LOW_VALUE",IF(AG145,"BROWSING_LOW_OFFERS",IF(AH145,"RISING_TAIL","RISING_TAIL_EARLY"))),IF(AND(AG145,P145="Recently Active",OR(G145="Growing",G145="Stable",G145="H2 Active / No H1 GMV"),I145&gt;=Assumptions!$B$74),"BROWSING_LOW_OFFERS","LONG_TAIL_STANDARD"))))))))))</f>
        <v>LONG_TAIL_STANDARD</v>
      </c>
      <c r="AK145" s="2" t="str">
        <f aca="false">INDEX('NBA Library'!$B$4:$B$21,MATCH(AJ145,'NBA Library'!$A$4:$A$21,0))</f>
        <v>Automated Nurture</v>
      </c>
      <c r="AL145" s="2" t="str">
        <f aca="false">INDEX('NBA Library'!$C$4:$C$21,MATCH(AJ145,'NBA Library'!$A$4:$A$21,0))</f>
        <v>Automated</v>
      </c>
      <c r="AM145" s="2" t="str">
        <f aca="false">IF(AA145,"HOLD — Critical Data Issue",IF(Y145,"Human Sign-Off Required",IF(Z145="Manual Review","Human Review Required",IF(AND(AL145="Automated",OR(AE145,AND(OR(AK145="Discovery-to-Offer Enablement",AK145="Reinforce Successful Behaviour"),OR(AC145,AB145)))),"Human Review Required",IF(AL145="Human","Ready — Human",IF(AL145="Hybrid","Ready — Hybrid","Ready — Automated"))))))</f>
        <v>Ready — Automated</v>
      </c>
      <c r="AN145" s="2" t="str">
        <f aca="false">IF(AA145,"P0",IF(AND(AJ145="BROWSING_LOW_OFFERS",E145="Tail"),"P3",IF(AND(AM145="Human Review Required",INDEX('NBA Library'!$D$4:$D$21,MATCH(AJ145,'NBA Library'!$A$4:$A$21,0))="P4"),"P3",INDEX('NBA Library'!$D$4:$D$21,MATCH(AJ145,'NBA Library'!$A$4:$A$21,0)))))</f>
        <v>P4</v>
      </c>
      <c r="AO145" s="2" t="str">
        <f aca="false">E145&amp;" "&amp;C145&amp;" account ("&amp;B145&amp;"); "&amp;G145&amp;" momentum; "&amp;P145&amp;"; £"&amp;TEXT(H145,"#,##0")&amp;" 6m GMV. "&amp;INDEX('NBA Library'!$G$4:$G$21,MATCH(AJ145,'NBA Library'!$A$4:$A$21,0))&amp;IF(LEFT(D145,1)="1"," Baseline: "&amp;V145&amp;" PDP views, "&amp;W145&amp;" app days, "&amp;X145&amp;" offers, "&amp;TEXT(J145/I145,"0%")&amp;" of orders self-serve.","")&amp;IF(AA145," Execution on HOLD until the Duplicate status is resolved.","")&amp;IF(Y145," Key account: explicit AM/leadership sign-off required before any migration activity.","")&amp;IF(AE145," Implied broker % from order counts would move this account to a different segment; review before automating.","")</f>
        <v>Tail AM-Owned / Self-Serving account (Account Managed); Lapsed momentum; No Meaningful History; £306 6m GMV. Low-value, low-dependency account. Scalable automated engagement.</v>
      </c>
      <c r="AP145" s="2" t="str">
        <f aca="false">INDEX('NBA Library'!$E$4:$E$21,MATCH(AJ145,'NBA Library'!$A$4:$A$21,0))&amp;IF(AND(AJ145="NEW_CUSTOMER",AG145),"; introduce Make-an-Offer on items already browsed","")</f>
        <v>Scalable automated engagement matched to nurture sub-context</v>
      </c>
      <c r="AQ145" s="2" t="str">
        <f aca="false">INDEX('NBA Library'!$F$4:$F$21,MATCH(AJ145,'NBA Library'!$A$4:$A$21,0))</f>
        <v>Any repeat order within 90 days</v>
      </c>
      <c r="AR145" s="2" t="str">
        <f aca="false">IF(AND(F145="Low",OR(G145="Growing",G145="Stable"),P145="Recently Active",U145&lt;&gt;"Mixed",OR(AK145="Discovery-to-Offer Enablement",AK145="Reinforce Successful Behaviour"),AM145="Ready — Automated",OR(E145&lt;&gt;"Tail",S145)),"Range Expansion Test — trial "&amp;IF(U145="Bundle-only","handpick","bundles")&amp;" (experimental; not proven to lift GMV)","")</f>
        <v/>
      </c>
      <c r="AS145" s="2" t="str">
        <f aca="false">IF(AK145&lt;&gt;"Automated Nurture","",IF(AJ145="DORMANT_LOW_VALUE","Dormant",IF(AJ145="RISING_TAIL_EARLY","Rising tail – early pattern",IF(Q145="New Customer","New customer onboarding",IF(Q145="Returned Customer","Returned customer",IF(G145="Lapsed","Dormant",IF(T145="Engaged, not converting","Engaged, not converting",IF(T145="One-off low-touch buyer","One-off purchaser",IF(T145="Light-touch repeat buyer","Light-touch repeat buyer","Standard long tail")))))))))</f>
        <v>Dormant</v>
      </c>
      <c r="AT145" s="2" t="str">
        <f aca="false">IF(AA145,"CRITICAL_DATA_BLOCKER; ","")&amp;IF(Y145,"KEY_SIGNOFF; ","")&amp;IF(Z145="Manual Review","PHASE1_MANUAL_REVIEW; ","")&amp;IF(AND(LEFT(D145,1)="1",AZ145="Lumpy"),"LUMPY_CADENCE; ","")&amp;IF(AB145,"BORDERLINE_MOMENTUM; ","")&amp;IF(AC145,"FEB_SENSITIVE; ","")&amp;IF(AD145,"MATERIAL_BROKER_INCONSISTENCY"&amp;IF(AE145," (segment would change)","")&amp;"; ","")&amp;IF(AND(I145&gt;=3,O145&gt;0),IF(AI145&gt;=Assumptions!$B$75,"H2_SINGLE_MONTH_SPIKE; ",""),"")&amp;IF(AND(M145&gt;0,N145=0),"NO_FEB_GMV (Feb unconfirmed); ","")&amp;IF(AF145,"LOW_CONFIDENCE; ","")</f>
        <v>LOW_CONFIDENCE; </v>
      </c>
      <c r="AU145" s="2" t="str">
        <f aca="false">IF(LEFT(D145,1)="1",V145,"")</f>
        <v/>
      </c>
      <c r="AV145" s="2" t="str">
        <f aca="false">IF(LEFT(D145,1)="1",V145&gt;=Assumptions!$B$58,"")</f>
        <v/>
      </c>
      <c r="AW145" s="2" t="str">
        <f aca="false">IF(LEFT(D145,1)="1",W145,"")</f>
        <v/>
      </c>
      <c r="AX145" s="2" t="str">
        <f aca="false">IF(LEFT(D145,1)="1",X145,"")</f>
        <v/>
      </c>
      <c r="AY145" s="17" t="str">
        <f aca="false">IF(LEFT(D145,1)="1",J145/I145,"")</f>
        <v/>
      </c>
      <c r="AZ145" s="2" t="str">
        <f aca="false">IF(LEFT(D145,1)="1",IF(AND(K145&gt;=Assumptions!$B$83,I145&gt;=Assumptions!$B$84),"Regular","Lumpy"),"")</f>
        <v/>
      </c>
      <c r="BA145" s="2" t="str">
        <f aca="false">IF(LEFT(D145,1)="1",ROUND(6/K145,0),"")</f>
        <v/>
      </c>
      <c r="BB145" s="2" t="str">
        <f aca="false">IF(LEFT(D145,1)="1",IF(AZ145="Regular","Regular buyer: expected ~£"&amp;TEXT(H145/2,"#,##0")&amp;" per 90 days. At Risk if GMV to date &lt; "&amp;TEXT(Assumptions!$B$81,"0%")&amp;" of pro-rated expectation, checked from day "&amp;Assumptions!$B$82&amp;". Human-reviewed.","Irregular buyer ("&amp;I145&amp;" orders across "&amp;K145&amp;" months): no numeric GMV threshold. At Risk if no order within ~"&amp;BA145&amp;" month(s); AM reviews at day "&amp;Assumptions!$B$82&amp;" and "&amp;Assumptions!$B$85&amp;"."),"")</f>
        <v/>
      </c>
      <c r="BC145" s="2"/>
      <c r="BD145" s="2"/>
      <c r="BE145" s="2"/>
      <c r="BF145" s="2"/>
      <c r="BG145" s="2"/>
      <c r="BH145" s="2"/>
      <c r="BI145" s="2"/>
      <c r="BJ145" s="2" t="str">
        <f aca="false">IF(OR(NOT(LEFT(D145,1)="1"),BC145=""),"",IF(AZ145="Regular",AND(BC145&gt;=Assumptions!$B$82,N(BI145)&lt;Assumptions!$B$81*H145/180*BC145),AND(BC145&gt;=BA145*30,N(BG145)=0)))</f>
        <v/>
      </c>
      <c r="BK145" s="2" t="str">
        <f aca="false">IF(NOT(LEFT(D145,1)="1"),"N/A",IF(BC145="","Baseline",IF(BJ145,"At Risk",IF(AND(N(BD145)&gt;=Assumptions!$B$78,N(BE145)&gt;=Assumptions!$B$79,N(BH145)&gt;=1,N(BH145)/MAX(N(BG145),1)&gt;AY145),"Self-Serve Capability Demonstrated",IF(OR(N(BD145)&gt;=Assumptions!$B$76,N(BE145)&gt;=Assumptions!$B$77),"Progressing",IF(BC145&gt;=Assumptions!$B$85,"At Risk","Baseline"))))))</f>
        <v>N/A</v>
      </c>
      <c r="BL145" s="2" t="n">
        <f aca="false">(AND(C145="Broker-Reliant",OR(AK145="Discovery-to-Offer Enablement",AK145="Reinforce Successful Behaviour")))*1+(AND(G145="Declining",E145&lt;&gt;"Tail",AL145="Automated"))*1+(AND(Y145,AM145&lt;&gt;"Human Sign-Off Required"))*1+(AND(AA145,AM145&lt;&gt;"HOLD — Critical Data Issue"))*1+(AND(P145="Recent Inactivity",OR(AK145="Discovery-to-Offer Enablement",AK145="Reinforce Successful Behaviour")))*1+(AND(OR(LEFT(D145,1)="2",LEFT(D145,1)="3",LEFT(D145,1)="8"),AL145="Automated"))*1+((LEFT(D145,1)="1")&lt;&gt;(AK145="Guided Self-Serve Migration"))*1+(AND(AR145&lt;&gt;"",OR(F145&lt;&gt;"Low",U145="Mixed",AND(G145&lt;&gt;"Growing",G145&lt;&gt;"Stable"))))*1+ISNUMBER(SEARCH("chat",AP145))*1+ISNUMBER(SEARCH("video",AP145))*1+(AND(AA145,AL145="Automated",AM145&lt;&gt;"HOLD — Critical Data Issue"))*1</f>
        <v>0</v>
      </c>
    </row>
    <row r="146" customFormat="false" ht="15" hidden="false" customHeight="false" outlineLevel="0" collapsed="false">
      <c r="A146" s="2" t="s">
        <v>784</v>
      </c>
      <c r="B146" s="2" t="str">
        <f aca="false">INDEX(Segmentation!$B$2:$B$301,MATCH($A146,Segmentation!$A$2:$A$301,0))</f>
        <v>Account Managed</v>
      </c>
      <c r="C146" s="2" t="str">
        <f aca="false">INDEX(Segmentation!$H$2:$H$301,MATCH($A146,Segmentation!$A$2:$A$301,0))</f>
        <v>AM-Owned / Self-Serving</v>
      </c>
      <c r="D146" s="2" t="str">
        <f aca="false">INDEX(Segmentation!$T$2:$T$301,MATCH($A146,Segmentation!$A$2:$A$301,0))</f>
        <v>9. Long-Tail Automated Nurture</v>
      </c>
      <c r="E146" s="2" t="str">
        <f aca="false">INDEX(Segmentation!$J$2:$J$301,MATCH($A146,Segmentation!$A$2:$A$301,0))</f>
        <v>Tail</v>
      </c>
      <c r="F146" s="2" t="str">
        <f aca="false">INDEX(Segmentation!$G$2:$G$301,MATCH($A146,Segmentation!$A$2:$A$301,0))</f>
        <v>Low</v>
      </c>
      <c r="G146" s="2" t="str">
        <f aca="false">INDEX(Segmentation!$N$2:$N$301,MATCH($A146,Segmentation!$A$2:$A$301,0))</f>
        <v>H2 Active / No H1 GMV</v>
      </c>
      <c r="H146" s="9" t="n">
        <f aca="false">INDEX(Segmentation!$I$2:$I$301,MATCH($A146,Segmentation!$A$2:$A$301,0))</f>
        <v>305</v>
      </c>
      <c r="I146" s="2" t="n">
        <f aca="false">INDEX(Segmentation!$O$2:$O$301,MATCH($A146,Segmentation!$A$2:$A$301,0))</f>
        <v>1</v>
      </c>
      <c r="J146" s="2" t="n">
        <f aca="false">INDEX(Segmentation!$Q$2:$Q$301,MATCH($A146,Segmentation!$A$2:$A$301,0))</f>
        <v>1</v>
      </c>
      <c r="K146" s="2" t="n">
        <f aca="false">INDEX(Segmentation!$W$2:$W$301,MATCH($A146,Segmentation!$A$2:$A$301,0))</f>
        <v>1</v>
      </c>
      <c r="L146" s="9" t="n">
        <f aca="false">INDEX('Commercial View'!$L$2:$L$301,MATCH($A146,'Commercial View'!$A$2:$A$301,0))</f>
        <v>0</v>
      </c>
      <c r="M146" s="9" t="n">
        <f aca="false">INDEX('Commercial View'!$M$2:$M$301,MATCH($A146,'Commercial View'!$A$2:$A$301,0))</f>
        <v>0</v>
      </c>
      <c r="N146" s="9" t="n">
        <f aca="false">INDEX('Commercial View'!$N$2:$N$301,MATCH($A146,'Commercial View'!$A$2:$A$301,0))</f>
        <v>305</v>
      </c>
      <c r="O146" s="9" t="n">
        <f aca="false">INDEX(Segmentation!$L$2:$L$301,MATCH($A146,Segmentation!$A$2:$A$301,0))</f>
        <v>305</v>
      </c>
      <c r="P146" s="2" t="str">
        <f aca="false">IF(OR(M146&gt;0,N146&gt;0),"Recently Active",IF(OR(I146&lt;=Assumptions!$B$48,K146&lt;=Assumptions!$B$49),"No Meaningful History","Recent Inactivity"))</f>
        <v>Recently Active</v>
      </c>
      <c r="Q146" s="2" t="str">
        <f aca="false">INDEX(Segmentation!$AF$2:$AF$301,MATCH($A146,Segmentation!$A$2:$A$301,0))</f>
        <v>Returned Customer</v>
      </c>
      <c r="R146" s="2" t="str">
        <f aca="false">INDEX(Segmentation!$AL$2:$AL$301,MATCH($A146,Segmentation!$A$2:$A$301,0))</f>
        <v>N/A</v>
      </c>
      <c r="S146" s="10" t="b">
        <f aca="false">INDEX(Segmentation!$AW$2:$AW$301,MATCH($A146,Segmentation!$A$2:$A$301,0))</f>
        <v>0</v>
      </c>
      <c r="T146" s="2" t="str">
        <f aca="false">INDEX('Feature Data'!$AD$2:$AD$301,MATCH($A146,'Feature Data'!$A$2:$A$301,0))</f>
        <v>One-off low-touch buyer</v>
      </c>
      <c r="U146" s="2" t="str">
        <f aca="false">INDEX('Feature Data'!$W$2:$W$301,MATCH($A146,'Feature Data'!$A$2:$A$301,0))</f>
        <v>Bundle-only</v>
      </c>
      <c r="V146" s="2" t="n">
        <f aca="false">INDEX('Feature Data'!$P$2:$P$301,MATCH($A146,'Feature Data'!$A$2:$A$301,0))</f>
        <v>0</v>
      </c>
      <c r="W146" s="2" t="n">
        <f aca="false">INDEX(Segmentation!$R$2:$R$301,MATCH($A146,Segmentation!$A$2:$A$301,0))</f>
        <v>1</v>
      </c>
      <c r="X146" s="2" t="n">
        <f aca="false">INDEX(Segmentation!$S$2:$S$301,MATCH($A146,Segmentation!$A$2:$A$301,0))</f>
        <v>0</v>
      </c>
      <c r="Y146" s="10" t="b">
        <f aca="false">INDEX(Segmentation!$AG$2:$AG$301,MATCH($A146,Segmentation!$A$2:$A$301,0))</f>
        <v>0</v>
      </c>
      <c r="Z146" s="2" t="str">
        <f aca="false">INDEX(Segmentation!$AU$2:$AU$301,MATCH($A146,Segmentation!$A$2:$A$301,0))</f>
        <v>Not Eligible</v>
      </c>
      <c r="AA146" s="10" t="b">
        <f aca="false">INDEX(Segmentation!$Z$2:$Z$301,MATCH($A146,Segmentation!$A$2:$A$301,0))</f>
        <v>0</v>
      </c>
      <c r="AB146" s="10" t="b">
        <f aca="false">INDEX(Segmentation!$AH$2:$AH$301,MATCH($A146,Segmentation!$A$2:$A$301,0))</f>
        <v>0</v>
      </c>
      <c r="AC146" s="10" t="b">
        <f aca="false">INDEX(Segmentation!$AK$2:$AK$301,MATCH($A146,Segmentation!$A$2:$A$301,0))</f>
        <v>1</v>
      </c>
      <c r="AD146" s="10" t="b">
        <f aca="false">INDEX(Segmentation!$AQ$2:$AQ$301,MATCH($A146,Segmentation!$A$2:$A$301,0))</f>
        <v>0</v>
      </c>
      <c r="AE146" s="10" t="b">
        <f aca="false">INDEX(Segmentation!$AT$2:$AT$301,MATCH($A146,Segmentation!$A$2:$A$301,0))</f>
        <v>0</v>
      </c>
      <c r="AF146" s="10" t="b">
        <f aca="false">INDEX(Segmentation!$X$2:$X$301,MATCH($A146,Segmentation!$A$2:$A$301,0))</f>
        <v>1</v>
      </c>
      <c r="AG146" s="10" t="b">
        <f aca="false">AND(F146="Low",V146&gt;=Assumptions!$B$71,X146&lt;Assumptions!$B$72)</f>
        <v>0</v>
      </c>
      <c r="AH146" s="10" t="b">
        <f aca="false">AND(F146="Low",OR(G146="Growing",G146="Stable"),P146="Recently Active",V146&gt;=Assumptions!$B$58,K146&gt;=Assumptions!$B$73)</f>
        <v>0</v>
      </c>
      <c r="AI146" s="17" t="n">
        <f aca="false">IF(O146&gt;0,MAX(L146:N146)/O146,"")</f>
        <v>1</v>
      </c>
      <c r="AJ146" s="2" t="str">
        <f aca="false">IF(LEFT(D146,1)="1",IF(E146="Key","MIGRATION_KEY_SIGNOFF",IF(Z146="Ready","MIGRATION_PHASE1_READY",IF(Z146="Manual Review","MIGRATION_PHASE1_REVIEW","MIGRATION_PRE_ENTRY"))),IF(LEFT(D146,1)="2","DECLINING_KEY_CORE",IF(LEFT(D146,1)="3",IF(R146="Established Buyer Lapsed","LAPSED_ESTABLISHED","LAPSED_THIN_HISTORY"),IF(LEFT(D146,1)="4",IF(Q146="New Customer","NEW_CUSTOMER","RETURNED_CUSTOMER"),IF(LEFT(D146,1)="5",IF(P146="Recently Active","COST_TO_SERVE_ACTIVE","DORMANT_LOW_VALUE"),IF(LEFT(D146,1)="6",IF(P146="Recent Inactivity","RECENT_INACTIVITY",IF(AG146,"BROWSING_LOW_OFFERS","HEALTHY_STRONG_SELF_SERVE")),IF(LEFT(D146,1)="7",IF(P146="Recent Inactivity","RECENT_INACTIVITY",IF(Q146="New Customer","NEW_CUSTOMER","RETURNED_CUSTOMER")),IF(LEFT(D146,1)="8",IF(G146="Declining",IF(T146="Engaged but shrinking (Key/Core)","ENGAGED_BUT_SHRINKING","DECLINING_KEY_CORE"),IF(R146="Established Buyer Lapsed","LAPSED_ESTABLISHED","LAPSED_THIN_HISTORY")),IF(S146,IF(P146&lt;&gt;"Recently Active","DORMANT_LOW_VALUE",IF(AG146,"BROWSING_LOW_OFFERS",IF(AH146,"RISING_TAIL","RISING_TAIL_EARLY"))),IF(AND(AG146,P146="Recently Active",OR(G146="Growing",G146="Stable",G146="H2 Active / No H1 GMV"),I146&gt;=Assumptions!$B$74),"BROWSING_LOW_OFFERS","LONG_TAIL_STANDARD"))))))))))</f>
        <v>LONG_TAIL_STANDARD</v>
      </c>
      <c r="AK146" s="2" t="str">
        <f aca="false">INDEX('NBA Library'!$B$4:$B$21,MATCH(AJ146,'NBA Library'!$A$4:$A$21,0))</f>
        <v>Automated Nurture</v>
      </c>
      <c r="AL146" s="2" t="str">
        <f aca="false">INDEX('NBA Library'!$C$4:$C$21,MATCH(AJ146,'NBA Library'!$A$4:$A$21,0))</f>
        <v>Automated</v>
      </c>
      <c r="AM146" s="2" t="str">
        <f aca="false">IF(AA146,"HOLD — Critical Data Issue",IF(Y146,"Human Sign-Off Required",IF(Z146="Manual Review","Human Review Required",IF(AND(AL146="Automated",OR(AE146,AND(OR(AK146="Discovery-to-Offer Enablement",AK146="Reinforce Successful Behaviour"),OR(AC146,AB146)))),"Human Review Required",IF(AL146="Human","Ready — Human",IF(AL146="Hybrid","Ready — Hybrid","Ready — Automated"))))))</f>
        <v>Ready — Automated</v>
      </c>
      <c r="AN146" s="2" t="str">
        <f aca="false">IF(AA146,"P0",IF(AND(AJ146="BROWSING_LOW_OFFERS",E146="Tail"),"P3",IF(AND(AM146="Human Review Required",INDEX('NBA Library'!$D$4:$D$21,MATCH(AJ146,'NBA Library'!$A$4:$A$21,0))="P4"),"P3",INDEX('NBA Library'!$D$4:$D$21,MATCH(AJ146,'NBA Library'!$A$4:$A$21,0)))))</f>
        <v>P4</v>
      </c>
      <c r="AO146" s="2" t="str">
        <f aca="false">E146&amp;" "&amp;C146&amp;" account ("&amp;B146&amp;"); "&amp;G146&amp;" momentum; "&amp;P146&amp;"; £"&amp;TEXT(H146,"#,##0")&amp;" 6m GMV. "&amp;INDEX('NBA Library'!$G$4:$G$21,MATCH(AJ146,'NBA Library'!$A$4:$A$21,0))&amp;IF(LEFT(D146,1)="1"," Baseline: "&amp;V146&amp;" PDP views, "&amp;W146&amp;" app days, "&amp;X146&amp;" offers, "&amp;TEXT(J146/I146,"0%")&amp;" of orders self-serve.","")&amp;IF(AA146," Execution on HOLD until the Duplicate status is resolved.","")&amp;IF(Y146," Key account: explicit AM/leadership sign-off required before any migration activity.","")&amp;IF(AE146," Implied broker % from order counts would move this account to a different segment; review before automating.","")</f>
        <v>Tail AM-Owned / Self-Serving account (Account Managed); H2 Active / No H1 GMV momentum; Recently Active; £305 6m GMV. Low-value, low-dependency account. Scalable automated engagement.</v>
      </c>
      <c r="AP146" s="2" t="str">
        <f aca="false">INDEX('NBA Library'!$E$4:$E$21,MATCH(AJ146,'NBA Library'!$A$4:$A$21,0))&amp;IF(AND(AJ146="NEW_CUSTOMER",AG146),"; introduce Make-an-Offer on items already browsed","")</f>
        <v>Scalable automated engagement matched to nurture sub-context</v>
      </c>
      <c r="AQ146" s="2" t="str">
        <f aca="false">INDEX('NBA Library'!$F$4:$F$21,MATCH(AJ146,'NBA Library'!$A$4:$A$21,0))</f>
        <v>Any repeat order within 90 days</v>
      </c>
      <c r="AR146" s="2" t="str">
        <f aca="false">IF(AND(F146="Low",OR(G146="Growing",G146="Stable"),P146="Recently Active",U146&lt;&gt;"Mixed",OR(AK146="Discovery-to-Offer Enablement",AK146="Reinforce Successful Behaviour"),AM146="Ready — Automated",OR(E146&lt;&gt;"Tail",S146)),"Range Expansion Test — trial "&amp;IF(U146="Bundle-only","handpick","bundles")&amp;" (experimental; not proven to lift GMV)","")</f>
        <v/>
      </c>
      <c r="AS146" s="2" t="str">
        <f aca="false">IF(AK146&lt;&gt;"Automated Nurture","",IF(AJ146="DORMANT_LOW_VALUE","Dormant",IF(AJ146="RISING_TAIL_EARLY","Rising tail – early pattern",IF(Q146="New Customer","New customer onboarding",IF(Q146="Returned Customer","Returned customer",IF(G146="Lapsed","Dormant",IF(T146="Engaged, not converting","Engaged, not converting",IF(T146="One-off low-touch buyer","One-off purchaser",IF(T146="Light-touch repeat buyer","Light-touch repeat buyer","Standard long tail")))))))))</f>
        <v>Returned customer</v>
      </c>
      <c r="AT146" s="2" t="str">
        <f aca="false">IF(AA146,"CRITICAL_DATA_BLOCKER; ","")&amp;IF(Y146,"KEY_SIGNOFF; ","")&amp;IF(Z146="Manual Review","PHASE1_MANUAL_REVIEW; ","")&amp;IF(AND(LEFT(D146,1)="1",AZ146="Lumpy"),"LUMPY_CADENCE; ","")&amp;IF(AB146,"BORDERLINE_MOMENTUM; ","")&amp;IF(AC146,"FEB_SENSITIVE; ","")&amp;IF(AD146,"MATERIAL_BROKER_INCONSISTENCY"&amp;IF(AE146," (segment would change)","")&amp;"; ","")&amp;IF(AND(I146&gt;=3,O146&gt;0),IF(AI146&gt;=Assumptions!$B$75,"H2_SINGLE_MONTH_SPIKE; ",""),"")&amp;IF(AND(M146&gt;0,N146=0),"NO_FEB_GMV (Feb unconfirmed); ","")&amp;IF(AF146,"LOW_CONFIDENCE; ","")</f>
        <v>FEB_SENSITIVE; LOW_CONFIDENCE; </v>
      </c>
      <c r="AU146" s="2" t="str">
        <f aca="false">IF(LEFT(D146,1)="1",V146,"")</f>
        <v/>
      </c>
      <c r="AV146" s="2" t="str">
        <f aca="false">IF(LEFT(D146,1)="1",V146&gt;=Assumptions!$B$58,"")</f>
        <v/>
      </c>
      <c r="AW146" s="2" t="str">
        <f aca="false">IF(LEFT(D146,1)="1",W146,"")</f>
        <v/>
      </c>
      <c r="AX146" s="2" t="str">
        <f aca="false">IF(LEFT(D146,1)="1",X146,"")</f>
        <v/>
      </c>
      <c r="AY146" s="17" t="str">
        <f aca="false">IF(LEFT(D146,1)="1",J146/I146,"")</f>
        <v/>
      </c>
      <c r="AZ146" s="2" t="str">
        <f aca="false">IF(LEFT(D146,1)="1",IF(AND(K146&gt;=Assumptions!$B$83,I146&gt;=Assumptions!$B$84),"Regular","Lumpy"),"")</f>
        <v/>
      </c>
      <c r="BA146" s="2" t="str">
        <f aca="false">IF(LEFT(D146,1)="1",ROUND(6/K146,0),"")</f>
        <v/>
      </c>
      <c r="BB146" s="2" t="str">
        <f aca="false">IF(LEFT(D146,1)="1",IF(AZ146="Regular","Regular buyer: expected ~£"&amp;TEXT(H146/2,"#,##0")&amp;" per 90 days. At Risk if GMV to date &lt; "&amp;TEXT(Assumptions!$B$81,"0%")&amp;" of pro-rated expectation, checked from day "&amp;Assumptions!$B$82&amp;". Human-reviewed.","Irregular buyer ("&amp;I146&amp;" orders across "&amp;K146&amp;" months): no numeric GMV threshold. At Risk if no order within ~"&amp;BA146&amp;" month(s); AM reviews at day "&amp;Assumptions!$B$82&amp;" and "&amp;Assumptions!$B$85&amp;"."),"")</f>
        <v/>
      </c>
      <c r="BC146" s="2"/>
      <c r="BD146" s="2"/>
      <c r="BE146" s="2"/>
      <c r="BF146" s="2"/>
      <c r="BG146" s="2"/>
      <c r="BH146" s="2"/>
      <c r="BI146" s="2"/>
      <c r="BJ146" s="2" t="str">
        <f aca="false">IF(OR(NOT(LEFT(D146,1)="1"),BC146=""),"",IF(AZ146="Regular",AND(BC146&gt;=Assumptions!$B$82,N(BI146)&lt;Assumptions!$B$81*H146/180*BC146),AND(BC146&gt;=BA146*30,N(BG146)=0)))</f>
        <v/>
      </c>
      <c r="BK146" s="2" t="str">
        <f aca="false">IF(NOT(LEFT(D146,1)="1"),"N/A",IF(BC146="","Baseline",IF(BJ146,"At Risk",IF(AND(N(BD146)&gt;=Assumptions!$B$78,N(BE146)&gt;=Assumptions!$B$79,N(BH146)&gt;=1,N(BH146)/MAX(N(BG146),1)&gt;AY146),"Self-Serve Capability Demonstrated",IF(OR(N(BD146)&gt;=Assumptions!$B$76,N(BE146)&gt;=Assumptions!$B$77),"Progressing",IF(BC146&gt;=Assumptions!$B$85,"At Risk","Baseline"))))))</f>
        <v>N/A</v>
      </c>
      <c r="BL146" s="2" t="n">
        <f aca="false">(AND(C146="Broker-Reliant",OR(AK146="Discovery-to-Offer Enablement",AK146="Reinforce Successful Behaviour")))*1+(AND(G146="Declining",E146&lt;&gt;"Tail",AL146="Automated"))*1+(AND(Y146,AM146&lt;&gt;"Human Sign-Off Required"))*1+(AND(AA146,AM146&lt;&gt;"HOLD — Critical Data Issue"))*1+(AND(P146="Recent Inactivity",OR(AK146="Discovery-to-Offer Enablement",AK146="Reinforce Successful Behaviour")))*1+(AND(OR(LEFT(D146,1)="2",LEFT(D146,1)="3",LEFT(D146,1)="8"),AL146="Automated"))*1+((LEFT(D146,1)="1")&lt;&gt;(AK146="Guided Self-Serve Migration"))*1+(AND(AR146&lt;&gt;"",OR(F146&lt;&gt;"Low",U146="Mixed",AND(G146&lt;&gt;"Growing",G146&lt;&gt;"Stable"))))*1+ISNUMBER(SEARCH("chat",AP146))*1+ISNUMBER(SEARCH("video",AP146))*1+(AND(AA146,AL146="Automated",AM146&lt;&gt;"HOLD — Critical Data Issue"))*1</f>
        <v>0</v>
      </c>
    </row>
    <row r="147" customFormat="false" ht="15" hidden="false" customHeight="false" outlineLevel="0" collapsed="false">
      <c r="A147" s="2" t="s">
        <v>790</v>
      </c>
      <c r="B147" s="2" t="str">
        <f aca="false">INDEX(Segmentation!$B$2:$B$301,MATCH($A147,Segmentation!$A$2:$A$301,0))</f>
        <v>Account Managed</v>
      </c>
      <c r="C147" s="2" t="str">
        <f aca="false">INDEX(Segmentation!$H$2:$H$301,MATCH($A147,Segmentation!$A$2:$A$301,0))</f>
        <v>AM-Owned / Self-Serving</v>
      </c>
      <c r="D147" s="2" t="str">
        <f aca="false">INDEX(Segmentation!$T$2:$T$301,MATCH($A147,Segmentation!$A$2:$A$301,0))</f>
        <v>9. Long-Tail Automated Nurture</v>
      </c>
      <c r="E147" s="2" t="str">
        <f aca="false">INDEX(Segmentation!$J$2:$J$301,MATCH($A147,Segmentation!$A$2:$A$301,0))</f>
        <v>Tail</v>
      </c>
      <c r="F147" s="2" t="str">
        <f aca="false">INDEX(Segmentation!$G$2:$G$301,MATCH($A147,Segmentation!$A$2:$A$301,0))</f>
        <v>Low</v>
      </c>
      <c r="G147" s="2" t="str">
        <f aca="false">INDEX(Segmentation!$N$2:$N$301,MATCH($A147,Segmentation!$A$2:$A$301,0))</f>
        <v>Lapsed</v>
      </c>
      <c r="H147" s="9" t="n">
        <f aca="false">INDEX(Segmentation!$I$2:$I$301,MATCH($A147,Segmentation!$A$2:$A$301,0))</f>
        <v>298</v>
      </c>
      <c r="I147" s="2" t="n">
        <f aca="false">INDEX(Segmentation!$O$2:$O$301,MATCH($A147,Segmentation!$A$2:$A$301,0))</f>
        <v>3</v>
      </c>
      <c r="J147" s="2" t="n">
        <f aca="false">INDEX(Segmentation!$Q$2:$Q$301,MATCH($A147,Segmentation!$A$2:$A$301,0))</f>
        <v>3</v>
      </c>
      <c r="K147" s="2" t="n">
        <f aca="false">INDEX(Segmentation!$W$2:$W$301,MATCH($A147,Segmentation!$A$2:$A$301,0))</f>
        <v>3</v>
      </c>
      <c r="L147" s="9" t="n">
        <f aca="false">INDEX('Commercial View'!$L$2:$L$301,MATCH($A147,'Commercial View'!$A$2:$A$301,0))</f>
        <v>0</v>
      </c>
      <c r="M147" s="9" t="n">
        <f aca="false">INDEX('Commercial View'!$M$2:$M$301,MATCH($A147,'Commercial View'!$A$2:$A$301,0))</f>
        <v>0</v>
      </c>
      <c r="N147" s="9" t="n">
        <f aca="false">INDEX('Commercial View'!$N$2:$N$301,MATCH($A147,'Commercial View'!$A$2:$A$301,0))</f>
        <v>0</v>
      </c>
      <c r="O147" s="9" t="n">
        <f aca="false">INDEX(Segmentation!$L$2:$L$301,MATCH($A147,Segmentation!$A$2:$A$301,0))</f>
        <v>0</v>
      </c>
      <c r="P147" s="2" t="str">
        <f aca="false">IF(OR(M147&gt;0,N147&gt;0),"Recently Active",IF(OR(I147&lt;=Assumptions!$B$48,K147&lt;=Assumptions!$B$49),"No Meaningful History","Recent Inactivity"))</f>
        <v>Recent Inactivity</v>
      </c>
      <c r="Q147" s="2" t="str">
        <f aca="false">INDEX(Segmentation!$AF$2:$AF$301,MATCH($A147,Segmentation!$A$2:$A$301,0))</f>
        <v>Existing Customer</v>
      </c>
      <c r="R147" s="2" t="str">
        <f aca="false">INDEX(Segmentation!$AL$2:$AL$301,MATCH($A147,Segmentation!$A$2:$A$301,0))</f>
        <v>Established Buyer Lapsed</v>
      </c>
      <c r="S147" s="10" t="b">
        <f aca="false">INDEX(Segmentation!$AW$2:$AW$301,MATCH($A147,Segmentation!$A$2:$A$301,0))</f>
        <v>0</v>
      </c>
      <c r="T147" s="2" t="str">
        <f aca="false">INDEX('Feature Data'!$AD$2:$AD$301,MATCH($A147,'Feature Data'!$A$2:$A$301,0))</f>
        <v>Light-touch repeat buyer</v>
      </c>
      <c r="U147" s="2" t="str">
        <f aca="false">INDEX('Feature Data'!$W$2:$W$301,MATCH($A147,'Feature Data'!$A$2:$A$301,0))</f>
        <v>Bundle-only</v>
      </c>
      <c r="V147" s="2" t="n">
        <f aca="false">INDEX('Feature Data'!$P$2:$P$301,MATCH($A147,'Feature Data'!$A$2:$A$301,0))</f>
        <v>279</v>
      </c>
      <c r="W147" s="2" t="n">
        <f aca="false">INDEX(Segmentation!$R$2:$R$301,MATCH($A147,Segmentation!$A$2:$A$301,0))</f>
        <v>20</v>
      </c>
      <c r="X147" s="2" t="n">
        <f aca="false">INDEX(Segmentation!$S$2:$S$301,MATCH($A147,Segmentation!$A$2:$A$301,0))</f>
        <v>0</v>
      </c>
      <c r="Y147" s="10" t="b">
        <f aca="false">INDEX(Segmentation!$AG$2:$AG$301,MATCH($A147,Segmentation!$A$2:$A$301,0))</f>
        <v>0</v>
      </c>
      <c r="Z147" s="2" t="str">
        <f aca="false">INDEX(Segmentation!$AU$2:$AU$301,MATCH($A147,Segmentation!$A$2:$A$301,0))</f>
        <v>Not Eligible</v>
      </c>
      <c r="AA147" s="10" t="b">
        <f aca="false">INDEX(Segmentation!$Z$2:$Z$301,MATCH($A147,Segmentation!$A$2:$A$301,0))</f>
        <v>0</v>
      </c>
      <c r="AB147" s="10" t="b">
        <f aca="false">INDEX(Segmentation!$AH$2:$AH$301,MATCH($A147,Segmentation!$A$2:$A$301,0))</f>
        <v>0</v>
      </c>
      <c r="AC147" s="10" t="b">
        <f aca="false">INDEX(Segmentation!$AK$2:$AK$301,MATCH($A147,Segmentation!$A$2:$A$301,0))</f>
        <v>0</v>
      </c>
      <c r="AD147" s="10" t="b">
        <f aca="false">INDEX(Segmentation!$AQ$2:$AQ$301,MATCH($A147,Segmentation!$A$2:$A$301,0))</f>
        <v>0</v>
      </c>
      <c r="AE147" s="10" t="b">
        <f aca="false">INDEX(Segmentation!$AT$2:$AT$301,MATCH($A147,Segmentation!$A$2:$A$301,0))</f>
        <v>0</v>
      </c>
      <c r="AF147" s="10" t="b">
        <f aca="false">INDEX(Segmentation!$X$2:$X$301,MATCH($A147,Segmentation!$A$2:$A$301,0))</f>
        <v>0</v>
      </c>
      <c r="AG147" s="10" t="b">
        <f aca="false">AND(F147="Low",V147&gt;=Assumptions!$B$71,X147&lt;Assumptions!$B$72)</f>
        <v>1</v>
      </c>
      <c r="AH147" s="10" t="b">
        <f aca="false">AND(F147="Low",OR(G147="Growing",G147="Stable"),P147="Recently Active",V147&gt;=Assumptions!$B$58,K147&gt;=Assumptions!$B$73)</f>
        <v>0</v>
      </c>
      <c r="AI147" s="17" t="str">
        <f aca="false">IF(O147&gt;0,MAX(L147:N147)/O147,"")</f>
        <v/>
      </c>
      <c r="AJ147" s="2" t="str">
        <f aca="false">IF(LEFT(D147,1)="1",IF(E147="Key","MIGRATION_KEY_SIGNOFF",IF(Z147="Ready","MIGRATION_PHASE1_READY",IF(Z147="Manual Review","MIGRATION_PHASE1_REVIEW","MIGRATION_PRE_ENTRY"))),IF(LEFT(D147,1)="2","DECLINING_KEY_CORE",IF(LEFT(D147,1)="3",IF(R147="Established Buyer Lapsed","LAPSED_ESTABLISHED","LAPSED_THIN_HISTORY"),IF(LEFT(D147,1)="4",IF(Q147="New Customer","NEW_CUSTOMER","RETURNED_CUSTOMER"),IF(LEFT(D147,1)="5",IF(P147="Recently Active","COST_TO_SERVE_ACTIVE","DORMANT_LOW_VALUE"),IF(LEFT(D147,1)="6",IF(P147="Recent Inactivity","RECENT_INACTIVITY",IF(AG147,"BROWSING_LOW_OFFERS","HEALTHY_STRONG_SELF_SERVE")),IF(LEFT(D147,1)="7",IF(P147="Recent Inactivity","RECENT_INACTIVITY",IF(Q147="New Customer","NEW_CUSTOMER","RETURNED_CUSTOMER")),IF(LEFT(D147,1)="8",IF(G147="Declining",IF(T147="Engaged but shrinking (Key/Core)","ENGAGED_BUT_SHRINKING","DECLINING_KEY_CORE"),IF(R147="Established Buyer Lapsed","LAPSED_ESTABLISHED","LAPSED_THIN_HISTORY")),IF(S147,IF(P147&lt;&gt;"Recently Active","DORMANT_LOW_VALUE",IF(AG147,"BROWSING_LOW_OFFERS",IF(AH147,"RISING_TAIL","RISING_TAIL_EARLY"))),IF(AND(AG147,P147="Recently Active",OR(G147="Growing",G147="Stable",G147="H2 Active / No H1 GMV"),I147&gt;=Assumptions!$B$74),"BROWSING_LOW_OFFERS","LONG_TAIL_STANDARD"))))))))))</f>
        <v>LONG_TAIL_STANDARD</v>
      </c>
      <c r="AK147" s="2" t="str">
        <f aca="false">INDEX('NBA Library'!$B$4:$B$21,MATCH(AJ147,'NBA Library'!$A$4:$A$21,0))</f>
        <v>Automated Nurture</v>
      </c>
      <c r="AL147" s="2" t="str">
        <f aca="false">INDEX('NBA Library'!$C$4:$C$21,MATCH(AJ147,'NBA Library'!$A$4:$A$21,0))</f>
        <v>Automated</v>
      </c>
      <c r="AM147" s="2" t="str">
        <f aca="false">IF(AA147,"HOLD — Critical Data Issue",IF(Y147,"Human Sign-Off Required",IF(Z147="Manual Review","Human Review Required",IF(AND(AL147="Automated",OR(AE147,AND(OR(AK147="Discovery-to-Offer Enablement",AK147="Reinforce Successful Behaviour"),OR(AC147,AB147)))),"Human Review Required",IF(AL147="Human","Ready — Human",IF(AL147="Hybrid","Ready — Hybrid","Ready — Automated"))))))</f>
        <v>Ready — Automated</v>
      </c>
      <c r="AN147" s="2" t="str">
        <f aca="false">IF(AA147,"P0",IF(AND(AJ147="BROWSING_LOW_OFFERS",E147="Tail"),"P3",IF(AND(AM147="Human Review Required",INDEX('NBA Library'!$D$4:$D$21,MATCH(AJ147,'NBA Library'!$A$4:$A$21,0))="P4"),"P3",INDEX('NBA Library'!$D$4:$D$21,MATCH(AJ147,'NBA Library'!$A$4:$A$21,0)))))</f>
        <v>P4</v>
      </c>
      <c r="AO147" s="2" t="str">
        <f aca="false">E147&amp;" "&amp;C147&amp;" account ("&amp;B147&amp;"); "&amp;G147&amp;" momentum; "&amp;P147&amp;"; £"&amp;TEXT(H147,"#,##0")&amp;" 6m GMV. "&amp;INDEX('NBA Library'!$G$4:$G$21,MATCH(AJ147,'NBA Library'!$A$4:$A$21,0))&amp;IF(LEFT(D147,1)="1"," Baseline: "&amp;V147&amp;" PDP views, "&amp;W147&amp;" app days, "&amp;X147&amp;" offers, "&amp;TEXT(J147/I147,"0%")&amp;" of orders self-serve.","")&amp;IF(AA147," Execution on HOLD until the Duplicate status is resolved.","")&amp;IF(Y147," Key account: explicit AM/leadership sign-off required before any migration activity.","")&amp;IF(AE147," Implied broker % from order counts would move this account to a different segment; review before automating.","")</f>
        <v>Tail AM-Owned / Self-Serving account (Account Managed); Lapsed momentum; Recent Inactivity; £298 6m GMV. Low-value, low-dependency account. Scalable automated engagement.</v>
      </c>
      <c r="AP147" s="2" t="str">
        <f aca="false">INDEX('NBA Library'!$E$4:$E$21,MATCH(AJ147,'NBA Library'!$A$4:$A$21,0))&amp;IF(AND(AJ147="NEW_CUSTOMER",AG147),"; introduce Make-an-Offer on items already browsed","")</f>
        <v>Scalable automated engagement matched to nurture sub-context</v>
      </c>
      <c r="AQ147" s="2" t="str">
        <f aca="false">INDEX('NBA Library'!$F$4:$F$21,MATCH(AJ147,'NBA Library'!$A$4:$A$21,0))</f>
        <v>Any repeat order within 90 days</v>
      </c>
      <c r="AR147" s="2" t="str">
        <f aca="false">IF(AND(F147="Low",OR(G147="Growing",G147="Stable"),P147="Recently Active",U147&lt;&gt;"Mixed",OR(AK147="Discovery-to-Offer Enablement",AK147="Reinforce Successful Behaviour"),AM147="Ready — Automated",OR(E147&lt;&gt;"Tail",S147)),"Range Expansion Test — trial "&amp;IF(U147="Bundle-only","handpick","bundles")&amp;" (experimental; not proven to lift GMV)","")</f>
        <v/>
      </c>
      <c r="AS147" s="2" t="str">
        <f aca="false">IF(AK147&lt;&gt;"Automated Nurture","",IF(AJ147="DORMANT_LOW_VALUE","Dormant",IF(AJ147="RISING_TAIL_EARLY","Rising tail – early pattern",IF(Q147="New Customer","New customer onboarding",IF(Q147="Returned Customer","Returned customer",IF(G147="Lapsed","Dormant",IF(T147="Engaged, not converting","Engaged, not converting",IF(T147="One-off low-touch buyer","One-off purchaser",IF(T147="Light-touch repeat buyer","Light-touch repeat buyer","Standard long tail")))))))))</f>
        <v>Dormant</v>
      </c>
      <c r="AT147" s="2" t="str">
        <f aca="false">IF(AA147,"CRITICAL_DATA_BLOCKER; ","")&amp;IF(Y147,"KEY_SIGNOFF; ","")&amp;IF(Z147="Manual Review","PHASE1_MANUAL_REVIEW; ","")&amp;IF(AND(LEFT(D147,1)="1",AZ147="Lumpy"),"LUMPY_CADENCE; ","")&amp;IF(AB147,"BORDERLINE_MOMENTUM; ","")&amp;IF(AC147,"FEB_SENSITIVE; ","")&amp;IF(AD147,"MATERIAL_BROKER_INCONSISTENCY"&amp;IF(AE147," (segment would change)","")&amp;"; ","")&amp;IF(AND(I147&gt;=3,O147&gt;0),IF(AI147&gt;=Assumptions!$B$75,"H2_SINGLE_MONTH_SPIKE; ",""),"")&amp;IF(AND(M147&gt;0,N147=0),"NO_FEB_GMV (Feb unconfirmed); ","")&amp;IF(AF147,"LOW_CONFIDENCE; ","")</f>
        <v/>
      </c>
      <c r="AU147" s="2" t="str">
        <f aca="false">IF(LEFT(D147,1)="1",V147,"")</f>
        <v/>
      </c>
      <c r="AV147" s="2" t="str">
        <f aca="false">IF(LEFT(D147,1)="1",V147&gt;=Assumptions!$B$58,"")</f>
        <v/>
      </c>
      <c r="AW147" s="2" t="str">
        <f aca="false">IF(LEFT(D147,1)="1",W147,"")</f>
        <v/>
      </c>
      <c r="AX147" s="2" t="str">
        <f aca="false">IF(LEFT(D147,1)="1",X147,"")</f>
        <v/>
      </c>
      <c r="AY147" s="17" t="str">
        <f aca="false">IF(LEFT(D147,1)="1",J147/I147,"")</f>
        <v/>
      </c>
      <c r="AZ147" s="2" t="str">
        <f aca="false">IF(LEFT(D147,1)="1",IF(AND(K147&gt;=Assumptions!$B$83,I147&gt;=Assumptions!$B$84),"Regular","Lumpy"),"")</f>
        <v/>
      </c>
      <c r="BA147" s="2" t="str">
        <f aca="false">IF(LEFT(D147,1)="1",ROUND(6/K147,0),"")</f>
        <v/>
      </c>
      <c r="BB147" s="2" t="str">
        <f aca="false">IF(LEFT(D147,1)="1",IF(AZ147="Regular","Regular buyer: expected ~£"&amp;TEXT(H147/2,"#,##0")&amp;" per 90 days. At Risk if GMV to date &lt; "&amp;TEXT(Assumptions!$B$81,"0%")&amp;" of pro-rated expectation, checked from day "&amp;Assumptions!$B$82&amp;". Human-reviewed.","Irregular buyer ("&amp;I147&amp;" orders across "&amp;K147&amp;" months): no numeric GMV threshold. At Risk if no order within ~"&amp;BA147&amp;" month(s); AM reviews at day "&amp;Assumptions!$B$82&amp;" and "&amp;Assumptions!$B$85&amp;"."),"")</f>
        <v/>
      </c>
      <c r="BC147" s="2"/>
      <c r="BD147" s="2"/>
      <c r="BE147" s="2"/>
      <c r="BF147" s="2"/>
      <c r="BG147" s="2"/>
      <c r="BH147" s="2"/>
      <c r="BI147" s="2"/>
      <c r="BJ147" s="2" t="str">
        <f aca="false">IF(OR(NOT(LEFT(D147,1)="1"),BC147=""),"",IF(AZ147="Regular",AND(BC147&gt;=Assumptions!$B$82,N(BI147)&lt;Assumptions!$B$81*H147/180*BC147),AND(BC147&gt;=BA147*30,N(BG147)=0)))</f>
        <v/>
      </c>
      <c r="BK147" s="2" t="str">
        <f aca="false">IF(NOT(LEFT(D147,1)="1"),"N/A",IF(BC147="","Baseline",IF(BJ147,"At Risk",IF(AND(N(BD147)&gt;=Assumptions!$B$78,N(BE147)&gt;=Assumptions!$B$79,N(BH147)&gt;=1,N(BH147)/MAX(N(BG147),1)&gt;AY147),"Self-Serve Capability Demonstrated",IF(OR(N(BD147)&gt;=Assumptions!$B$76,N(BE147)&gt;=Assumptions!$B$77),"Progressing",IF(BC147&gt;=Assumptions!$B$85,"At Risk","Baseline"))))))</f>
        <v>N/A</v>
      </c>
      <c r="BL147" s="2" t="n">
        <f aca="false">(AND(C147="Broker-Reliant",OR(AK147="Discovery-to-Offer Enablement",AK147="Reinforce Successful Behaviour")))*1+(AND(G147="Declining",E147&lt;&gt;"Tail",AL147="Automated"))*1+(AND(Y147,AM147&lt;&gt;"Human Sign-Off Required"))*1+(AND(AA147,AM147&lt;&gt;"HOLD — Critical Data Issue"))*1+(AND(P147="Recent Inactivity",OR(AK147="Discovery-to-Offer Enablement",AK147="Reinforce Successful Behaviour")))*1+(AND(OR(LEFT(D147,1)="2",LEFT(D147,1)="3",LEFT(D147,1)="8"),AL147="Automated"))*1+((LEFT(D147,1)="1")&lt;&gt;(AK147="Guided Self-Serve Migration"))*1+(AND(AR147&lt;&gt;"",OR(F147&lt;&gt;"Low",U147="Mixed",AND(G147&lt;&gt;"Growing",G147&lt;&gt;"Stable"))))*1+ISNUMBER(SEARCH("chat",AP147))*1+ISNUMBER(SEARCH("video",AP147))*1+(AND(AA147,AL147="Automated",AM147&lt;&gt;"HOLD — Critical Data Issue"))*1</f>
        <v>0</v>
      </c>
    </row>
    <row r="148" customFormat="false" ht="15" hidden="false" customHeight="false" outlineLevel="0" collapsed="false">
      <c r="A148" s="2" t="s">
        <v>794</v>
      </c>
      <c r="B148" s="2" t="str">
        <f aca="false">INDEX(Segmentation!$B$2:$B$301,MATCH($A148,Segmentation!$A$2:$A$301,0))</f>
        <v>Account Managed</v>
      </c>
      <c r="C148" s="2" t="str">
        <f aca="false">INDEX(Segmentation!$H$2:$H$301,MATCH($A148,Segmentation!$A$2:$A$301,0))</f>
        <v>AM-Owned / Self-Serving</v>
      </c>
      <c r="D148" s="2" t="str">
        <f aca="false">INDEX(Segmentation!$T$2:$T$301,MATCH($A148,Segmentation!$A$2:$A$301,0))</f>
        <v>9. Long-Tail Automated Nurture</v>
      </c>
      <c r="E148" s="2" t="str">
        <f aca="false">INDEX(Segmentation!$J$2:$J$301,MATCH($A148,Segmentation!$A$2:$A$301,0))</f>
        <v>Tail</v>
      </c>
      <c r="F148" s="2" t="str">
        <f aca="false">INDEX(Segmentation!$G$2:$G$301,MATCH($A148,Segmentation!$A$2:$A$301,0))</f>
        <v>Low</v>
      </c>
      <c r="G148" s="2" t="str">
        <f aca="false">INDEX(Segmentation!$N$2:$N$301,MATCH($A148,Segmentation!$A$2:$A$301,0))</f>
        <v>Lapsed</v>
      </c>
      <c r="H148" s="9" t="n">
        <f aca="false">INDEX(Segmentation!$I$2:$I$301,MATCH($A148,Segmentation!$A$2:$A$301,0))</f>
        <v>296</v>
      </c>
      <c r="I148" s="2" t="n">
        <f aca="false">INDEX(Segmentation!$O$2:$O$301,MATCH($A148,Segmentation!$A$2:$A$301,0))</f>
        <v>1</v>
      </c>
      <c r="J148" s="2" t="n">
        <f aca="false">INDEX(Segmentation!$Q$2:$Q$301,MATCH($A148,Segmentation!$A$2:$A$301,0))</f>
        <v>1</v>
      </c>
      <c r="K148" s="2" t="n">
        <f aca="false">INDEX(Segmentation!$W$2:$W$301,MATCH($A148,Segmentation!$A$2:$A$301,0))</f>
        <v>1</v>
      </c>
      <c r="L148" s="9" t="n">
        <f aca="false">INDEX('Commercial View'!$L$2:$L$301,MATCH($A148,'Commercial View'!$A$2:$A$301,0))</f>
        <v>0</v>
      </c>
      <c r="M148" s="9" t="n">
        <f aca="false">INDEX('Commercial View'!$M$2:$M$301,MATCH($A148,'Commercial View'!$A$2:$A$301,0))</f>
        <v>0</v>
      </c>
      <c r="N148" s="9" t="n">
        <f aca="false">INDEX('Commercial View'!$N$2:$N$301,MATCH($A148,'Commercial View'!$A$2:$A$301,0))</f>
        <v>0</v>
      </c>
      <c r="O148" s="9" t="n">
        <f aca="false">INDEX(Segmentation!$L$2:$L$301,MATCH($A148,Segmentation!$A$2:$A$301,0))</f>
        <v>0</v>
      </c>
      <c r="P148" s="2" t="str">
        <f aca="false">IF(OR(M148&gt;0,N148&gt;0),"Recently Active",IF(OR(I148&lt;=Assumptions!$B$48,K148&lt;=Assumptions!$B$49),"No Meaningful History","Recent Inactivity"))</f>
        <v>No Meaningful History</v>
      </c>
      <c r="Q148" s="2" t="str">
        <f aca="false">INDEX(Segmentation!$AF$2:$AF$301,MATCH($A148,Segmentation!$A$2:$A$301,0))</f>
        <v>Existing Customer</v>
      </c>
      <c r="R148" s="2" t="str">
        <f aca="false">INDEX(Segmentation!$AL$2:$AL$301,MATCH($A148,Segmentation!$A$2:$A$301,0))</f>
        <v>One-Off / Insufficient History — Verify</v>
      </c>
      <c r="S148" s="10" t="b">
        <f aca="false">INDEX(Segmentation!$AW$2:$AW$301,MATCH($A148,Segmentation!$A$2:$A$301,0))</f>
        <v>0</v>
      </c>
      <c r="T148" s="2" t="str">
        <f aca="false">INDEX('Feature Data'!$AD$2:$AD$301,MATCH($A148,'Feature Data'!$A$2:$A$301,0))</f>
        <v>One-off low-touch buyer</v>
      </c>
      <c r="U148" s="2" t="str">
        <f aca="false">INDEX('Feature Data'!$W$2:$W$301,MATCH($A148,'Feature Data'!$A$2:$A$301,0))</f>
        <v>Bundle-only</v>
      </c>
      <c r="V148" s="2" t="n">
        <f aca="false">INDEX('Feature Data'!$P$2:$P$301,MATCH($A148,'Feature Data'!$A$2:$A$301,0))</f>
        <v>75</v>
      </c>
      <c r="W148" s="2" t="n">
        <f aca="false">INDEX(Segmentation!$R$2:$R$301,MATCH($A148,Segmentation!$A$2:$A$301,0))</f>
        <v>1</v>
      </c>
      <c r="X148" s="2" t="n">
        <f aca="false">INDEX(Segmentation!$S$2:$S$301,MATCH($A148,Segmentation!$A$2:$A$301,0))</f>
        <v>6</v>
      </c>
      <c r="Y148" s="10" t="b">
        <f aca="false">INDEX(Segmentation!$AG$2:$AG$301,MATCH($A148,Segmentation!$A$2:$A$301,0))</f>
        <v>0</v>
      </c>
      <c r="Z148" s="2" t="str">
        <f aca="false">INDEX(Segmentation!$AU$2:$AU$301,MATCH($A148,Segmentation!$A$2:$A$301,0))</f>
        <v>Not Eligible</v>
      </c>
      <c r="AA148" s="10" t="b">
        <f aca="false">INDEX(Segmentation!$Z$2:$Z$301,MATCH($A148,Segmentation!$A$2:$A$301,0))</f>
        <v>0</v>
      </c>
      <c r="AB148" s="10" t="b">
        <f aca="false">INDEX(Segmentation!$AH$2:$AH$301,MATCH($A148,Segmentation!$A$2:$A$301,0))</f>
        <v>0</v>
      </c>
      <c r="AC148" s="10" t="b">
        <f aca="false">INDEX(Segmentation!$AK$2:$AK$301,MATCH($A148,Segmentation!$A$2:$A$301,0))</f>
        <v>0</v>
      </c>
      <c r="AD148" s="10" t="b">
        <f aca="false">INDEX(Segmentation!$AQ$2:$AQ$301,MATCH($A148,Segmentation!$A$2:$A$301,0))</f>
        <v>0</v>
      </c>
      <c r="AE148" s="10" t="b">
        <f aca="false">INDEX(Segmentation!$AT$2:$AT$301,MATCH($A148,Segmentation!$A$2:$A$301,0))</f>
        <v>0</v>
      </c>
      <c r="AF148" s="10" t="b">
        <f aca="false">INDEX(Segmentation!$X$2:$X$301,MATCH($A148,Segmentation!$A$2:$A$301,0))</f>
        <v>1</v>
      </c>
      <c r="AG148" s="10" t="b">
        <f aca="false">AND(F148="Low",V148&gt;=Assumptions!$B$71,X148&lt;Assumptions!$B$72)</f>
        <v>0</v>
      </c>
      <c r="AH148" s="10" t="b">
        <f aca="false">AND(F148="Low",OR(G148="Growing",G148="Stable"),P148="Recently Active",V148&gt;=Assumptions!$B$58,K148&gt;=Assumptions!$B$73)</f>
        <v>0</v>
      </c>
      <c r="AI148" s="17" t="str">
        <f aca="false">IF(O148&gt;0,MAX(L148:N148)/O148,"")</f>
        <v/>
      </c>
      <c r="AJ148" s="2" t="str">
        <f aca="false">IF(LEFT(D148,1)="1",IF(E148="Key","MIGRATION_KEY_SIGNOFF",IF(Z148="Ready","MIGRATION_PHASE1_READY",IF(Z148="Manual Review","MIGRATION_PHASE1_REVIEW","MIGRATION_PRE_ENTRY"))),IF(LEFT(D148,1)="2","DECLINING_KEY_CORE",IF(LEFT(D148,1)="3",IF(R148="Established Buyer Lapsed","LAPSED_ESTABLISHED","LAPSED_THIN_HISTORY"),IF(LEFT(D148,1)="4",IF(Q148="New Customer","NEW_CUSTOMER","RETURNED_CUSTOMER"),IF(LEFT(D148,1)="5",IF(P148="Recently Active","COST_TO_SERVE_ACTIVE","DORMANT_LOW_VALUE"),IF(LEFT(D148,1)="6",IF(P148="Recent Inactivity","RECENT_INACTIVITY",IF(AG148,"BROWSING_LOW_OFFERS","HEALTHY_STRONG_SELF_SERVE")),IF(LEFT(D148,1)="7",IF(P148="Recent Inactivity","RECENT_INACTIVITY",IF(Q148="New Customer","NEW_CUSTOMER","RETURNED_CUSTOMER")),IF(LEFT(D148,1)="8",IF(G148="Declining",IF(T148="Engaged but shrinking (Key/Core)","ENGAGED_BUT_SHRINKING","DECLINING_KEY_CORE"),IF(R148="Established Buyer Lapsed","LAPSED_ESTABLISHED","LAPSED_THIN_HISTORY")),IF(S148,IF(P148&lt;&gt;"Recently Active","DORMANT_LOW_VALUE",IF(AG148,"BROWSING_LOW_OFFERS",IF(AH148,"RISING_TAIL","RISING_TAIL_EARLY"))),IF(AND(AG148,P148="Recently Active",OR(G148="Growing",G148="Stable",G148="H2 Active / No H1 GMV"),I148&gt;=Assumptions!$B$74),"BROWSING_LOW_OFFERS","LONG_TAIL_STANDARD"))))))))))</f>
        <v>LONG_TAIL_STANDARD</v>
      </c>
      <c r="AK148" s="2" t="str">
        <f aca="false">INDEX('NBA Library'!$B$4:$B$21,MATCH(AJ148,'NBA Library'!$A$4:$A$21,0))</f>
        <v>Automated Nurture</v>
      </c>
      <c r="AL148" s="2" t="str">
        <f aca="false">INDEX('NBA Library'!$C$4:$C$21,MATCH(AJ148,'NBA Library'!$A$4:$A$21,0))</f>
        <v>Automated</v>
      </c>
      <c r="AM148" s="2" t="str">
        <f aca="false">IF(AA148,"HOLD — Critical Data Issue",IF(Y148,"Human Sign-Off Required",IF(Z148="Manual Review","Human Review Required",IF(AND(AL148="Automated",OR(AE148,AND(OR(AK148="Discovery-to-Offer Enablement",AK148="Reinforce Successful Behaviour"),OR(AC148,AB148)))),"Human Review Required",IF(AL148="Human","Ready — Human",IF(AL148="Hybrid","Ready — Hybrid","Ready — Automated"))))))</f>
        <v>Ready — Automated</v>
      </c>
      <c r="AN148" s="2" t="str">
        <f aca="false">IF(AA148,"P0",IF(AND(AJ148="BROWSING_LOW_OFFERS",E148="Tail"),"P3",IF(AND(AM148="Human Review Required",INDEX('NBA Library'!$D$4:$D$21,MATCH(AJ148,'NBA Library'!$A$4:$A$21,0))="P4"),"P3",INDEX('NBA Library'!$D$4:$D$21,MATCH(AJ148,'NBA Library'!$A$4:$A$21,0)))))</f>
        <v>P4</v>
      </c>
      <c r="AO148" s="2" t="str">
        <f aca="false">E148&amp;" "&amp;C148&amp;" account ("&amp;B148&amp;"); "&amp;G148&amp;" momentum; "&amp;P148&amp;"; £"&amp;TEXT(H148,"#,##0")&amp;" 6m GMV. "&amp;INDEX('NBA Library'!$G$4:$G$21,MATCH(AJ148,'NBA Library'!$A$4:$A$21,0))&amp;IF(LEFT(D148,1)="1"," Baseline: "&amp;V148&amp;" PDP views, "&amp;W148&amp;" app days, "&amp;X148&amp;" offers, "&amp;TEXT(J148/I148,"0%")&amp;" of orders self-serve.","")&amp;IF(AA148," Execution on HOLD until the Duplicate status is resolved.","")&amp;IF(Y148," Key account: explicit AM/leadership sign-off required before any migration activity.","")&amp;IF(AE148," Implied broker % from order counts would move this account to a different segment; review before automating.","")</f>
        <v>Tail AM-Owned / Self-Serving account (Account Managed); Lapsed momentum; No Meaningful History; £296 6m GMV. Low-value, low-dependency account. Scalable automated engagement.</v>
      </c>
      <c r="AP148" s="2" t="str">
        <f aca="false">INDEX('NBA Library'!$E$4:$E$21,MATCH(AJ148,'NBA Library'!$A$4:$A$21,0))&amp;IF(AND(AJ148="NEW_CUSTOMER",AG148),"; introduce Make-an-Offer on items already browsed","")</f>
        <v>Scalable automated engagement matched to nurture sub-context</v>
      </c>
      <c r="AQ148" s="2" t="str">
        <f aca="false">INDEX('NBA Library'!$F$4:$F$21,MATCH(AJ148,'NBA Library'!$A$4:$A$21,0))</f>
        <v>Any repeat order within 90 days</v>
      </c>
      <c r="AR148" s="2" t="str">
        <f aca="false">IF(AND(F148="Low",OR(G148="Growing",G148="Stable"),P148="Recently Active",U148&lt;&gt;"Mixed",OR(AK148="Discovery-to-Offer Enablement",AK148="Reinforce Successful Behaviour"),AM148="Ready — Automated",OR(E148&lt;&gt;"Tail",S148)),"Range Expansion Test — trial "&amp;IF(U148="Bundle-only","handpick","bundles")&amp;" (experimental; not proven to lift GMV)","")</f>
        <v/>
      </c>
      <c r="AS148" s="2" t="str">
        <f aca="false">IF(AK148&lt;&gt;"Automated Nurture","",IF(AJ148="DORMANT_LOW_VALUE","Dormant",IF(AJ148="RISING_TAIL_EARLY","Rising tail – early pattern",IF(Q148="New Customer","New customer onboarding",IF(Q148="Returned Customer","Returned customer",IF(G148="Lapsed","Dormant",IF(T148="Engaged, not converting","Engaged, not converting",IF(T148="One-off low-touch buyer","One-off purchaser",IF(T148="Light-touch repeat buyer","Light-touch repeat buyer","Standard long tail")))))))))</f>
        <v>Dormant</v>
      </c>
      <c r="AT148" s="2" t="str">
        <f aca="false">IF(AA148,"CRITICAL_DATA_BLOCKER; ","")&amp;IF(Y148,"KEY_SIGNOFF; ","")&amp;IF(Z148="Manual Review","PHASE1_MANUAL_REVIEW; ","")&amp;IF(AND(LEFT(D148,1)="1",AZ148="Lumpy"),"LUMPY_CADENCE; ","")&amp;IF(AB148,"BORDERLINE_MOMENTUM; ","")&amp;IF(AC148,"FEB_SENSITIVE; ","")&amp;IF(AD148,"MATERIAL_BROKER_INCONSISTENCY"&amp;IF(AE148," (segment would change)","")&amp;"; ","")&amp;IF(AND(I148&gt;=3,O148&gt;0),IF(AI148&gt;=Assumptions!$B$75,"H2_SINGLE_MONTH_SPIKE; ",""),"")&amp;IF(AND(M148&gt;0,N148=0),"NO_FEB_GMV (Feb unconfirmed); ","")&amp;IF(AF148,"LOW_CONFIDENCE; ","")</f>
        <v>LOW_CONFIDENCE; </v>
      </c>
      <c r="AU148" s="2" t="str">
        <f aca="false">IF(LEFT(D148,1)="1",V148,"")</f>
        <v/>
      </c>
      <c r="AV148" s="2" t="str">
        <f aca="false">IF(LEFT(D148,1)="1",V148&gt;=Assumptions!$B$58,"")</f>
        <v/>
      </c>
      <c r="AW148" s="2" t="str">
        <f aca="false">IF(LEFT(D148,1)="1",W148,"")</f>
        <v/>
      </c>
      <c r="AX148" s="2" t="str">
        <f aca="false">IF(LEFT(D148,1)="1",X148,"")</f>
        <v/>
      </c>
      <c r="AY148" s="17" t="str">
        <f aca="false">IF(LEFT(D148,1)="1",J148/I148,"")</f>
        <v/>
      </c>
      <c r="AZ148" s="2" t="str">
        <f aca="false">IF(LEFT(D148,1)="1",IF(AND(K148&gt;=Assumptions!$B$83,I148&gt;=Assumptions!$B$84),"Regular","Lumpy"),"")</f>
        <v/>
      </c>
      <c r="BA148" s="2" t="str">
        <f aca="false">IF(LEFT(D148,1)="1",ROUND(6/K148,0),"")</f>
        <v/>
      </c>
      <c r="BB148" s="2" t="str">
        <f aca="false">IF(LEFT(D148,1)="1",IF(AZ148="Regular","Regular buyer: expected ~£"&amp;TEXT(H148/2,"#,##0")&amp;" per 90 days. At Risk if GMV to date &lt; "&amp;TEXT(Assumptions!$B$81,"0%")&amp;" of pro-rated expectation, checked from day "&amp;Assumptions!$B$82&amp;". Human-reviewed.","Irregular buyer ("&amp;I148&amp;" orders across "&amp;K148&amp;" months): no numeric GMV threshold. At Risk if no order within ~"&amp;BA148&amp;" month(s); AM reviews at day "&amp;Assumptions!$B$82&amp;" and "&amp;Assumptions!$B$85&amp;"."),"")</f>
        <v/>
      </c>
      <c r="BC148" s="2"/>
      <c r="BD148" s="2"/>
      <c r="BE148" s="2"/>
      <c r="BF148" s="2"/>
      <c r="BG148" s="2"/>
      <c r="BH148" s="2"/>
      <c r="BI148" s="2"/>
      <c r="BJ148" s="2" t="str">
        <f aca="false">IF(OR(NOT(LEFT(D148,1)="1"),BC148=""),"",IF(AZ148="Regular",AND(BC148&gt;=Assumptions!$B$82,N(BI148)&lt;Assumptions!$B$81*H148/180*BC148),AND(BC148&gt;=BA148*30,N(BG148)=0)))</f>
        <v/>
      </c>
      <c r="BK148" s="2" t="str">
        <f aca="false">IF(NOT(LEFT(D148,1)="1"),"N/A",IF(BC148="","Baseline",IF(BJ148,"At Risk",IF(AND(N(BD148)&gt;=Assumptions!$B$78,N(BE148)&gt;=Assumptions!$B$79,N(BH148)&gt;=1,N(BH148)/MAX(N(BG148),1)&gt;AY148),"Self-Serve Capability Demonstrated",IF(OR(N(BD148)&gt;=Assumptions!$B$76,N(BE148)&gt;=Assumptions!$B$77),"Progressing",IF(BC148&gt;=Assumptions!$B$85,"At Risk","Baseline"))))))</f>
        <v>N/A</v>
      </c>
      <c r="BL148" s="2" t="n">
        <f aca="false">(AND(C148="Broker-Reliant",OR(AK148="Discovery-to-Offer Enablement",AK148="Reinforce Successful Behaviour")))*1+(AND(G148="Declining",E148&lt;&gt;"Tail",AL148="Automated"))*1+(AND(Y148,AM148&lt;&gt;"Human Sign-Off Required"))*1+(AND(AA148,AM148&lt;&gt;"HOLD — Critical Data Issue"))*1+(AND(P148="Recent Inactivity",OR(AK148="Discovery-to-Offer Enablement",AK148="Reinforce Successful Behaviour")))*1+(AND(OR(LEFT(D148,1)="2",LEFT(D148,1)="3",LEFT(D148,1)="8"),AL148="Automated"))*1+((LEFT(D148,1)="1")&lt;&gt;(AK148="Guided Self-Serve Migration"))*1+(AND(AR148&lt;&gt;"",OR(F148&lt;&gt;"Low",U148="Mixed",AND(G148&lt;&gt;"Growing",G148&lt;&gt;"Stable"))))*1+ISNUMBER(SEARCH("chat",AP148))*1+ISNUMBER(SEARCH("video",AP148))*1+(AND(AA148,AL148="Automated",AM148&lt;&gt;"HOLD — Critical Data Issue"))*1</f>
        <v>0</v>
      </c>
    </row>
    <row r="149" customFormat="false" ht="15" hidden="false" customHeight="false" outlineLevel="0" collapsed="false">
      <c r="A149" s="2" t="s">
        <v>798</v>
      </c>
      <c r="B149" s="2" t="str">
        <f aca="false">INDEX(Segmentation!$B$2:$B$301,MATCH($A149,Segmentation!$A$2:$A$301,0))</f>
        <v>Account Managed</v>
      </c>
      <c r="C149" s="2" t="str">
        <f aca="false">INDEX(Segmentation!$H$2:$H$301,MATCH($A149,Segmentation!$A$2:$A$301,0))</f>
        <v>AM-Owned / Self-Serving</v>
      </c>
      <c r="D149" s="2" t="str">
        <f aca="false">INDEX(Segmentation!$T$2:$T$301,MATCH($A149,Segmentation!$A$2:$A$301,0))</f>
        <v>9. Long-Tail Automated Nurture</v>
      </c>
      <c r="E149" s="2" t="str">
        <f aca="false">INDEX(Segmentation!$J$2:$J$301,MATCH($A149,Segmentation!$A$2:$A$301,0))</f>
        <v>Tail</v>
      </c>
      <c r="F149" s="2" t="str">
        <f aca="false">INDEX(Segmentation!$G$2:$G$301,MATCH($A149,Segmentation!$A$2:$A$301,0))</f>
        <v>Low</v>
      </c>
      <c r="G149" s="2" t="str">
        <f aca="false">INDEX(Segmentation!$N$2:$N$301,MATCH($A149,Segmentation!$A$2:$A$301,0))</f>
        <v>Lapsed</v>
      </c>
      <c r="H149" s="9" t="n">
        <f aca="false">INDEX(Segmentation!$I$2:$I$301,MATCH($A149,Segmentation!$A$2:$A$301,0))</f>
        <v>291</v>
      </c>
      <c r="I149" s="2" t="n">
        <f aca="false">INDEX(Segmentation!$O$2:$O$301,MATCH($A149,Segmentation!$A$2:$A$301,0))</f>
        <v>1</v>
      </c>
      <c r="J149" s="2" t="n">
        <f aca="false">INDEX(Segmentation!$Q$2:$Q$301,MATCH($A149,Segmentation!$A$2:$A$301,0))</f>
        <v>1</v>
      </c>
      <c r="K149" s="2" t="n">
        <f aca="false">INDEX(Segmentation!$W$2:$W$301,MATCH($A149,Segmentation!$A$2:$A$301,0))</f>
        <v>1</v>
      </c>
      <c r="L149" s="9" t="n">
        <f aca="false">INDEX('Commercial View'!$L$2:$L$301,MATCH($A149,'Commercial View'!$A$2:$A$301,0))</f>
        <v>0</v>
      </c>
      <c r="M149" s="9" t="n">
        <f aca="false">INDEX('Commercial View'!$M$2:$M$301,MATCH($A149,'Commercial View'!$A$2:$A$301,0))</f>
        <v>0</v>
      </c>
      <c r="N149" s="9" t="n">
        <f aca="false">INDEX('Commercial View'!$N$2:$N$301,MATCH($A149,'Commercial View'!$A$2:$A$301,0))</f>
        <v>0</v>
      </c>
      <c r="O149" s="9" t="n">
        <f aca="false">INDEX(Segmentation!$L$2:$L$301,MATCH($A149,Segmentation!$A$2:$A$301,0))</f>
        <v>0</v>
      </c>
      <c r="P149" s="2" t="str">
        <f aca="false">IF(OR(M149&gt;0,N149&gt;0),"Recently Active",IF(OR(I149&lt;=Assumptions!$B$48,K149&lt;=Assumptions!$B$49),"No Meaningful History","Recent Inactivity"))</f>
        <v>No Meaningful History</v>
      </c>
      <c r="Q149" s="2" t="str">
        <f aca="false">INDEX(Segmentation!$AF$2:$AF$301,MATCH($A149,Segmentation!$A$2:$A$301,0))</f>
        <v>Existing Customer</v>
      </c>
      <c r="R149" s="2" t="str">
        <f aca="false">INDEX(Segmentation!$AL$2:$AL$301,MATCH($A149,Segmentation!$A$2:$A$301,0))</f>
        <v>One-Off / Insufficient History — Verify</v>
      </c>
      <c r="S149" s="10" t="b">
        <f aca="false">INDEX(Segmentation!$AW$2:$AW$301,MATCH($A149,Segmentation!$A$2:$A$301,0))</f>
        <v>0</v>
      </c>
      <c r="T149" s="2" t="str">
        <f aca="false">INDEX('Feature Data'!$AD$2:$AD$301,MATCH($A149,'Feature Data'!$A$2:$A$301,0))</f>
        <v>One-off low-touch buyer</v>
      </c>
      <c r="U149" s="2" t="str">
        <f aca="false">INDEX('Feature Data'!$W$2:$W$301,MATCH($A149,'Feature Data'!$A$2:$A$301,0))</f>
        <v>Bundle-only</v>
      </c>
      <c r="V149" s="2" t="n">
        <f aca="false">INDEX('Feature Data'!$P$2:$P$301,MATCH($A149,'Feature Data'!$A$2:$A$301,0))</f>
        <v>31</v>
      </c>
      <c r="W149" s="2" t="n">
        <f aca="false">INDEX(Segmentation!$R$2:$R$301,MATCH($A149,Segmentation!$A$2:$A$301,0))</f>
        <v>6</v>
      </c>
      <c r="X149" s="2" t="n">
        <f aca="false">INDEX(Segmentation!$S$2:$S$301,MATCH($A149,Segmentation!$A$2:$A$301,0))</f>
        <v>1</v>
      </c>
      <c r="Y149" s="10" t="b">
        <f aca="false">INDEX(Segmentation!$AG$2:$AG$301,MATCH($A149,Segmentation!$A$2:$A$301,0))</f>
        <v>0</v>
      </c>
      <c r="Z149" s="2" t="str">
        <f aca="false">INDEX(Segmentation!$AU$2:$AU$301,MATCH($A149,Segmentation!$A$2:$A$301,0))</f>
        <v>Not Eligible</v>
      </c>
      <c r="AA149" s="10" t="b">
        <f aca="false">INDEX(Segmentation!$Z$2:$Z$301,MATCH($A149,Segmentation!$A$2:$A$301,0))</f>
        <v>0</v>
      </c>
      <c r="AB149" s="10" t="b">
        <f aca="false">INDEX(Segmentation!$AH$2:$AH$301,MATCH($A149,Segmentation!$A$2:$A$301,0))</f>
        <v>0</v>
      </c>
      <c r="AC149" s="10" t="b">
        <f aca="false">INDEX(Segmentation!$AK$2:$AK$301,MATCH($A149,Segmentation!$A$2:$A$301,0))</f>
        <v>0</v>
      </c>
      <c r="AD149" s="10" t="b">
        <f aca="false">INDEX(Segmentation!$AQ$2:$AQ$301,MATCH($A149,Segmentation!$A$2:$A$301,0))</f>
        <v>0</v>
      </c>
      <c r="AE149" s="10" t="b">
        <f aca="false">INDEX(Segmentation!$AT$2:$AT$301,MATCH($A149,Segmentation!$A$2:$A$301,0))</f>
        <v>0</v>
      </c>
      <c r="AF149" s="10" t="b">
        <f aca="false">INDEX(Segmentation!$X$2:$X$301,MATCH($A149,Segmentation!$A$2:$A$301,0))</f>
        <v>1</v>
      </c>
      <c r="AG149" s="10" t="b">
        <f aca="false">AND(F149="Low",V149&gt;=Assumptions!$B$71,X149&lt;Assumptions!$B$72)</f>
        <v>0</v>
      </c>
      <c r="AH149" s="10" t="b">
        <f aca="false">AND(F149="Low",OR(G149="Growing",G149="Stable"),P149="Recently Active",V149&gt;=Assumptions!$B$58,K149&gt;=Assumptions!$B$73)</f>
        <v>0</v>
      </c>
      <c r="AI149" s="17" t="str">
        <f aca="false">IF(O149&gt;0,MAX(L149:N149)/O149,"")</f>
        <v/>
      </c>
      <c r="AJ149" s="2" t="str">
        <f aca="false">IF(LEFT(D149,1)="1",IF(E149="Key","MIGRATION_KEY_SIGNOFF",IF(Z149="Ready","MIGRATION_PHASE1_READY",IF(Z149="Manual Review","MIGRATION_PHASE1_REVIEW","MIGRATION_PRE_ENTRY"))),IF(LEFT(D149,1)="2","DECLINING_KEY_CORE",IF(LEFT(D149,1)="3",IF(R149="Established Buyer Lapsed","LAPSED_ESTABLISHED","LAPSED_THIN_HISTORY"),IF(LEFT(D149,1)="4",IF(Q149="New Customer","NEW_CUSTOMER","RETURNED_CUSTOMER"),IF(LEFT(D149,1)="5",IF(P149="Recently Active","COST_TO_SERVE_ACTIVE","DORMANT_LOW_VALUE"),IF(LEFT(D149,1)="6",IF(P149="Recent Inactivity","RECENT_INACTIVITY",IF(AG149,"BROWSING_LOW_OFFERS","HEALTHY_STRONG_SELF_SERVE")),IF(LEFT(D149,1)="7",IF(P149="Recent Inactivity","RECENT_INACTIVITY",IF(Q149="New Customer","NEW_CUSTOMER","RETURNED_CUSTOMER")),IF(LEFT(D149,1)="8",IF(G149="Declining",IF(T149="Engaged but shrinking (Key/Core)","ENGAGED_BUT_SHRINKING","DECLINING_KEY_CORE"),IF(R149="Established Buyer Lapsed","LAPSED_ESTABLISHED","LAPSED_THIN_HISTORY")),IF(S149,IF(P149&lt;&gt;"Recently Active","DORMANT_LOW_VALUE",IF(AG149,"BROWSING_LOW_OFFERS",IF(AH149,"RISING_TAIL","RISING_TAIL_EARLY"))),IF(AND(AG149,P149="Recently Active",OR(G149="Growing",G149="Stable",G149="H2 Active / No H1 GMV"),I149&gt;=Assumptions!$B$74),"BROWSING_LOW_OFFERS","LONG_TAIL_STANDARD"))))))))))</f>
        <v>LONG_TAIL_STANDARD</v>
      </c>
      <c r="AK149" s="2" t="str">
        <f aca="false">INDEX('NBA Library'!$B$4:$B$21,MATCH(AJ149,'NBA Library'!$A$4:$A$21,0))</f>
        <v>Automated Nurture</v>
      </c>
      <c r="AL149" s="2" t="str">
        <f aca="false">INDEX('NBA Library'!$C$4:$C$21,MATCH(AJ149,'NBA Library'!$A$4:$A$21,0))</f>
        <v>Automated</v>
      </c>
      <c r="AM149" s="2" t="str">
        <f aca="false">IF(AA149,"HOLD — Critical Data Issue",IF(Y149,"Human Sign-Off Required",IF(Z149="Manual Review","Human Review Required",IF(AND(AL149="Automated",OR(AE149,AND(OR(AK149="Discovery-to-Offer Enablement",AK149="Reinforce Successful Behaviour"),OR(AC149,AB149)))),"Human Review Required",IF(AL149="Human","Ready — Human",IF(AL149="Hybrid","Ready — Hybrid","Ready — Automated"))))))</f>
        <v>Ready — Automated</v>
      </c>
      <c r="AN149" s="2" t="str">
        <f aca="false">IF(AA149,"P0",IF(AND(AJ149="BROWSING_LOW_OFFERS",E149="Tail"),"P3",IF(AND(AM149="Human Review Required",INDEX('NBA Library'!$D$4:$D$21,MATCH(AJ149,'NBA Library'!$A$4:$A$21,0))="P4"),"P3",INDEX('NBA Library'!$D$4:$D$21,MATCH(AJ149,'NBA Library'!$A$4:$A$21,0)))))</f>
        <v>P4</v>
      </c>
      <c r="AO149" s="2" t="str">
        <f aca="false">E149&amp;" "&amp;C149&amp;" account ("&amp;B149&amp;"); "&amp;G149&amp;" momentum; "&amp;P149&amp;"; £"&amp;TEXT(H149,"#,##0")&amp;" 6m GMV. "&amp;INDEX('NBA Library'!$G$4:$G$21,MATCH(AJ149,'NBA Library'!$A$4:$A$21,0))&amp;IF(LEFT(D149,1)="1"," Baseline: "&amp;V149&amp;" PDP views, "&amp;W149&amp;" app days, "&amp;X149&amp;" offers, "&amp;TEXT(J149/I149,"0%")&amp;" of orders self-serve.","")&amp;IF(AA149," Execution on HOLD until the Duplicate status is resolved.","")&amp;IF(Y149," Key account: explicit AM/leadership sign-off required before any migration activity.","")&amp;IF(AE149," Implied broker % from order counts would move this account to a different segment; review before automating.","")</f>
        <v>Tail AM-Owned / Self-Serving account (Account Managed); Lapsed momentum; No Meaningful History; £291 6m GMV. Low-value, low-dependency account. Scalable automated engagement.</v>
      </c>
      <c r="AP149" s="2" t="str">
        <f aca="false">INDEX('NBA Library'!$E$4:$E$21,MATCH(AJ149,'NBA Library'!$A$4:$A$21,0))&amp;IF(AND(AJ149="NEW_CUSTOMER",AG149),"; introduce Make-an-Offer on items already browsed","")</f>
        <v>Scalable automated engagement matched to nurture sub-context</v>
      </c>
      <c r="AQ149" s="2" t="str">
        <f aca="false">INDEX('NBA Library'!$F$4:$F$21,MATCH(AJ149,'NBA Library'!$A$4:$A$21,0))</f>
        <v>Any repeat order within 90 days</v>
      </c>
      <c r="AR149" s="2" t="str">
        <f aca="false">IF(AND(F149="Low",OR(G149="Growing",G149="Stable"),P149="Recently Active",U149&lt;&gt;"Mixed",OR(AK149="Discovery-to-Offer Enablement",AK149="Reinforce Successful Behaviour"),AM149="Ready — Automated",OR(E149&lt;&gt;"Tail",S149)),"Range Expansion Test — trial "&amp;IF(U149="Bundle-only","handpick","bundles")&amp;" (experimental; not proven to lift GMV)","")</f>
        <v/>
      </c>
      <c r="AS149" s="2" t="str">
        <f aca="false">IF(AK149&lt;&gt;"Automated Nurture","",IF(AJ149="DORMANT_LOW_VALUE","Dormant",IF(AJ149="RISING_TAIL_EARLY","Rising tail – early pattern",IF(Q149="New Customer","New customer onboarding",IF(Q149="Returned Customer","Returned customer",IF(G149="Lapsed","Dormant",IF(T149="Engaged, not converting","Engaged, not converting",IF(T149="One-off low-touch buyer","One-off purchaser",IF(T149="Light-touch repeat buyer","Light-touch repeat buyer","Standard long tail")))))))))</f>
        <v>Dormant</v>
      </c>
      <c r="AT149" s="2" t="str">
        <f aca="false">IF(AA149,"CRITICAL_DATA_BLOCKER; ","")&amp;IF(Y149,"KEY_SIGNOFF; ","")&amp;IF(Z149="Manual Review","PHASE1_MANUAL_REVIEW; ","")&amp;IF(AND(LEFT(D149,1)="1",AZ149="Lumpy"),"LUMPY_CADENCE; ","")&amp;IF(AB149,"BORDERLINE_MOMENTUM; ","")&amp;IF(AC149,"FEB_SENSITIVE; ","")&amp;IF(AD149,"MATERIAL_BROKER_INCONSISTENCY"&amp;IF(AE149," (segment would change)","")&amp;"; ","")&amp;IF(AND(I149&gt;=3,O149&gt;0),IF(AI149&gt;=Assumptions!$B$75,"H2_SINGLE_MONTH_SPIKE; ",""),"")&amp;IF(AND(M149&gt;0,N149=0),"NO_FEB_GMV (Feb unconfirmed); ","")&amp;IF(AF149,"LOW_CONFIDENCE; ","")</f>
        <v>LOW_CONFIDENCE; </v>
      </c>
      <c r="AU149" s="2" t="str">
        <f aca="false">IF(LEFT(D149,1)="1",V149,"")</f>
        <v/>
      </c>
      <c r="AV149" s="2" t="str">
        <f aca="false">IF(LEFT(D149,1)="1",V149&gt;=Assumptions!$B$58,"")</f>
        <v/>
      </c>
      <c r="AW149" s="2" t="str">
        <f aca="false">IF(LEFT(D149,1)="1",W149,"")</f>
        <v/>
      </c>
      <c r="AX149" s="2" t="str">
        <f aca="false">IF(LEFT(D149,1)="1",X149,"")</f>
        <v/>
      </c>
      <c r="AY149" s="17" t="str">
        <f aca="false">IF(LEFT(D149,1)="1",J149/I149,"")</f>
        <v/>
      </c>
      <c r="AZ149" s="2" t="str">
        <f aca="false">IF(LEFT(D149,1)="1",IF(AND(K149&gt;=Assumptions!$B$83,I149&gt;=Assumptions!$B$84),"Regular","Lumpy"),"")</f>
        <v/>
      </c>
      <c r="BA149" s="2" t="str">
        <f aca="false">IF(LEFT(D149,1)="1",ROUND(6/K149,0),"")</f>
        <v/>
      </c>
      <c r="BB149" s="2" t="str">
        <f aca="false">IF(LEFT(D149,1)="1",IF(AZ149="Regular","Regular buyer: expected ~£"&amp;TEXT(H149/2,"#,##0")&amp;" per 90 days. At Risk if GMV to date &lt; "&amp;TEXT(Assumptions!$B$81,"0%")&amp;" of pro-rated expectation, checked from day "&amp;Assumptions!$B$82&amp;". Human-reviewed.","Irregular buyer ("&amp;I149&amp;" orders across "&amp;K149&amp;" months): no numeric GMV threshold. At Risk if no order within ~"&amp;BA149&amp;" month(s); AM reviews at day "&amp;Assumptions!$B$82&amp;" and "&amp;Assumptions!$B$85&amp;"."),"")</f>
        <v/>
      </c>
      <c r="BC149" s="2"/>
      <c r="BD149" s="2"/>
      <c r="BE149" s="2"/>
      <c r="BF149" s="2"/>
      <c r="BG149" s="2"/>
      <c r="BH149" s="2"/>
      <c r="BI149" s="2"/>
      <c r="BJ149" s="2" t="str">
        <f aca="false">IF(OR(NOT(LEFT(D149,1)="1"),BC149=""),"",IF(AZ149="Regular",AND(BC149&gt;=Assumptions!$B$82,N(BI149)&lt;Assumptions!$B$81*H149/180*BC149),AND(BC149&gt;=BA149*30,N(BG149)=0)))</f>
        <v/>
      </c>
      <c r="BK149" s="2" t="str">
        <f aca="false">IF(NOT(LEFT(D149,1)="1"),"N/A",IF(BC149="","Baseline",IF(BJ149,"At Risk",IF(AND(N(BD149)&gt;=Assumptions!$B$78,N(BE149)&gt;=Assumptions!$B$79,N(BH149)&gt;=1,N(BH149)/MAX(N(BG149),1)&gt;AY149),"Self-Serve Capability Demonstrated",IF(OR(N(BD149)&gt;=Assumptions!$B$76,N(BE149)&gt;=Assumptions!$B$77),"Progressing",IF(BC149&gt;=Assumptions!$B$85,"At Risk","Baseline"))))))</f>
        <v>N/A</v>
      </c>
      <c r="BL149" s="2" t="n">
        <f aca="false">(AND(C149="Broker-Reliant",OR(AK149="Discovery-to-Offer Enablement",AK149="Reinforce Successful Behaviour")))*1+(AND(G149="Declining",E149&lt;&gt;"Tail",AL149="Automated"))*1+(AND(Y149,AM149&lt;&gt;"Human Sign-Off Required"))*1+(AND(AA149,AM149&lt;&gt;"HOLD — Critical Data Issue"))*1+(AND(P149="Recent Inactivity",OR(AK149="Discovery-to-Offer Enablement",AK149="Reinforce Successful Behaviour")))*1+(AND(OR(LEFT(D149,1)="2",LEFT(D149,1)="3",LEFT(D149,1)="8"),AL149="Automated"))*1+((LEFT(D149,1)="1")&lt;&gt;(AK149="Guided Self-Serve Migration"))*1+(AND(AR149&lt;&gt;"",OR(F149&lt;&gt;"Low",U149="Mixed",AND(G149&lt;&gt;"Growing",G149&lt;&gt;"Stable"))))*1+ISNUMBER(SEARCH("chat",AP149))*1+ISNUMBER(SEARCH("video",AP149))*1+(AND(AA149,AL149="Automated",AM149&lt;&gt;"HOLD — Critical Data Issue"))*1</f>
        <v>0</v>
      </c>
    </row>
    <row r="150" customFormat="false" ht="15" hidden="false" customHeight="false" outlineLevel="0" collapsed="false">
      <c r="A150" s="2" t="s">
        <v>800</v>
      </c>
      <c r="B150" s="2" t="str">
        <f aca="false">INDEX(Segmentation!$B$2:$B$301,MATCH($A150,Segmentation!$A$2:$A$301,0))</f>
        <v>Account Managed</v>
      </c>
      <c r="C150" s="2" t="str">
        <f aca="false">INDEX(Segmentation!$H$2:$H$301,MATCH($A150,Segmentation!$A$2:$A$301,0))</f>
        <v>AM-Owned / Self-Serving</v>
      </c>
      <c r="D150" s="2" t="str">
        <f aca="false">INDEX(Segmentation!$T$2:$T$301,MATCH($A150,Segmentation!$A$2:$A$301,0))</f>
        <v>9. Long-Tail Automated Nurture</v>
      </c>
      <c r="E150" s="2" t="str">
        <f aca="false">INDEX(Segmentation!$J$2:$J$301,MATCH($A150,Segmentation!$A$2:$A$301,0))</f>
        <v>Tail</v>
      </c>
      <c r="F150" s="2" t="str">
        <f aca="false">INDEX(Segmentation!$G$2:$G$301,MATCH($A150,Segmentation!$A$2:$A$301,0))</f>
        <v>Low</v>
      </c>
      <c r="G150" s="2" t="str">
        <f aca="false">INDEX(Segmentation!$N$2:$N$301,MATCH($A150,Segmentation!$A$2:$A$301,0))</f>
        <v>Lapsed</v>
      </c>
      <c r="H150" s="9" t="n">
        <f aca="false">INDEX(Segmentation!$I$2:$I$301,MATCH($A150,Segmentation!$A$2:$A$301,0))</f>
        <v>289</v>
      </c>
      <c r="I150" s="2" t="n">
        <f aca="false">INDEX(Segmentation!$O$2:$O$301,MATCH($A150,Segmentation!$A$2:$A$301,0))</f>
        <v>2</v>
      </c>
      <c r="J150" s="2" t="n">
        <f aca="false">INDEX(Segmentation!$Q$2:$Q$301,MATCH($A150,Segmentation!$A$2:$A$301,0))</f>
        <v>2</v>
      </c>
      <c r="K150" s="2" t="n">
        <f aca="false">INDEX(Segmentation!$W$2:$W$301,MATCH($A150,Segmentation!$A$2:$A$301,0))</f>
        <v>1</v>
      </c>
      <c r="L150" s="9" t="n">
        <f aca="false">INDEX('Commercial View'!$L$2:$L$301,MATCH($A150,'Commercial View'!$A$2:$A$301,0))</f>
        <v>0</v>
      </c>
      <c r="M150" s="9" t="n">
        <f aca="false">INDEX('Commercial View'!$M$2:$M$301,MATCH($A150,'Commercial View'!$A$2:$A$301,0))</f>
        <v>0</v>
      </c>
      <c r="N150" s="9" t="n">
        <f aca="false">INDEX('Commercial View'!$N$2:$N$301,MATCH($A150,'Commercial View'!$A$2:$A$301,0))</f>
        <v>0</v>
      </c>
      <c r="O150" s="9" t="n">
        <f aca="false">INDEX(Segmentation!$L$2:$L$301,MATCH($A150,Segmentation!$A$2:$A$301,0))</f>
        <v>0</v>
      </c>
      <c r="P150" s="2" t="str">
        <f aca="false">IF(OR(M150&gt;0,N150&gt;0),"Recently Active",IF(OR(I150&lt;=Assumptions!$B$48,K150&lt;=Assumptions!$B$49),"No Meaningful History","Recent Inactivity"))</f>
        <v>No Meaningful History</v>
      </c>
      <c r="Q150" s="2" t="str">
        <f aca="false">INDEX(Segmentation!$AF$2:$AF$301,MATCH($A150,Segmentation!$A$2:$A$301,0))</f>
        <v>Existing Customer</v>
      </c>
      <c r="R150" s="2" t="str">
        <f aca="false">INDEX(Segmentation!$AL$2:$AL$301,MATCH($A150,Segmentation!$A$2:$A$301,0))</f>
        <v>One-Off / Insufficient History — Verify</v>
      </c>
      <c r="S150" s="10" t="b">
        <f aca="false">INDEX(Segmentation!$AW$2:$AW$301,MATCH($A150,Segmentation!$A$2:$A$301,0))</f>
        <v>0</v>
      </c>
      <c r="T150" s="2" t="str">
        <f aca="false">INDEX('Feature Data'!$AD$2:$AD$301,MATCH($A150,'Feature Data'!$A$2:$A$301,0))</f>
        <v>Light-touch repeat buyer</v>
      </c>
      <c r="U150" s="2" t="str">
        <f aca="false">INDEX('Feature Data'!$W$2:$W$301,MATCH($A150,'Feature Data'!$A$2:$A$301,0))</f>
        <v>Bundle-only</v>
      </c>
      <c r="V150" s="2" t="n">
        <f aca="false">INDEX('Feature Data'!$P$2:$P$301,MATCH($A150,'Feature Data'!$A$2:$A$301,0))</f>
        <v>135</v>
      </c>
      <c r="W150" s="2" t="n">
        <f aca="false">INDEX(Segmentation!$R$2:$R$301,MATCH($A150,Segmentation!$A$2:$A$301,0))</f>
        <v>7</v>
      </c>
      <c r="X150" s="2" t="n">
        <f aca="false">INDEX(Segmentation!$S$2:$S$301,MATCH($A150,Segmentation!$A$2:$A$301,0))</f>
        <v>9</v>
      </c>
      <c r="Y150" s="10" t="b">
        <f aca="false">INDEX(Segmentation!$AG$2:$AG$301,MATCH($A150,Segmentation!$A$2:$A$301,0))</f>
        <v>0</v>
      </c>
      <c r="Z150" s="2" t="str">
        <f aca="false">INDEX(Segmentation!$AU$2:$AU$301,MATCH($A150,Segmentation!$A$2:$A$301,0))</f>
        <v>Not Eligible</v>
      </c>
      <c r="AA150" s="10" t="b">
        <f aca="false">INDEX(Segmentation!$Z$2:$Z$301,MATCH($A150,Segmentation!$A$2:$A$301,0))</f>
        <v>0</v>
      </c>
      <c r="AB150" s="10" t="b">
        <f aca="false">INDEX(Segmentation!$AH$2:$AH$301,MATCH($A150,Segmentation!$A$2:$A$301,0))</f>
        <v>0</v>
      </c>
      <c r="AC150" s="10" t="b">
        <f aca="false">INDEX(Segmentation!$AK$2:$AK$301,MATCH($A150,Segmentation!$A$2:$A$301,0))</f>
        <v>0</v>
      </c>
      <c r="AD150" s="10" t="b">
        <f aca="false">INDEX(Segmentation!$AQ$2:$AQ$301,MATCH($A150,Segmentation!$A$2:$A$301,0))</f>
        <v>0</v>
      </c>
      <c r="AE150" s="10" t="b">
        <f aca="false">INDEX(Segmentation!$AT$2:$AT$301,MATCH($A150,Segmentation!$A$2:$A$301,0))</f>
        <v>0</v>
      </c>
      <c r="AF150" s="10" t="b">
        <f aca="false">INDEX(Segmentation!$X$2:$X$301,MATCH($A150,Segmentation!$A$2:$A$301,0))</f>
        <v>1</v>
      </c>
      <c r="AG150" s="10" t="b">
        <f aca="false">AND(F150="Low",V150&gt;=Assumptions!$B$71,X150&lt;Assumptions!$B$72)</f>
        <v>0</v>
      </c>
      <c r="AH150" s="10" t="b">
        <f aca="false">AND(F150="Low",OR(G150="Growing",G150="Stable"),P150="Recently Active",V150&gt;=Assumptions!$B$58,K150&gt;=Assumptions!$B$73)</f>
        <v>0</v>
      </c>
      <c r="AI150" s="17" t="str">
        <f aca="false">IF(O150&gt;0,MAX(L150:N150)/O150,"")</f>
        <v/>
      </c>
      <c r="AJ150" s="2" t="str">
        <f aca="false">IF(LEFT(D150,1)="1",IF(E150="Key","MIGRATION_KEY_SIGNOFF",IF(Z150="Ready","MIGRATION_PHASE1_READY",IF(Z150="Manual Review","MIGRATION_PHASE1_REVIEW","MIGRATION_PRE_ENTRY"))),IF(LEFT(D150,1)="2","DECLINING_KEY_CORE",IF(LEFT(D150,1)="3",IF(R150="Established Buyer Lapsed","LAPSED_ESTABLISHED","LAPSED_THIN_HISTORY"),IF(LEFT(D150,1)="4",IF(Q150="New Customer","NEW_CUSTOMER","RETURNED_CUSTOMER"),IF(LEFT(D150,1)="5",IF(P150="Recently Active","COST_TO_SERVE_ACTIVE","DORMANT_LOW_VALUE"),IF(LEFT(D150,1)="6",IF(P150="Recent Inactivity","RECENT_INACTIVITY",IF(AG150,"BROWSING_LOW_OFFERS","HEALTHY_STRONG_SELF_SERVE")),IF(LEFT(D150,1)="7",IF(P150="Recent Inactivity","RECENT_INACTIVITY",IF(Q150="New Customer","NEW_CUSTOMER","RETURNED_CUSTOMER")),IF(LEFT(D150,1)="8",IF(G150="Declining",IF(T150="Engaged but shrinking (Key/Core)","ENGAGED_BUT_SHRINKING","DECLINING_KEY_CORE"),IF(R150="Established Buyer Lapsed","LAPSED_ESTABLISHED","LAPSED_THIN_HISTORY")),IF(S150,IF(P150&lt;&gt;"Recently Active","DORMANT_LOW_VALUE",IF(AG150,"BROWSING_LOW_OFFERS",IF(AH150,"RISING_TAIL","RISING_TAIL_EARLY"))),IF(AND(AG150,P150="Recently Active",OR(G150="Growing",G150="Stable",G150="H2 Active / No H1 GMV"),I150&gt;=Assumptions!$B$74),"BROWSING_LOW_OFFERS","LONG_TAIL_STANDARD"))))))))))</f>
        <v>LONG_TAIL_STANDARD</v>
      </c>
      <c r="AK150" s="2" t="str">
        <f aca="false">INDEX('NBA Library'!$B$4:$B$21,MATCH(AJ150,'NBA Library'!$A$4:$A$21,0))</f>
        <v>Automated Nurture</v>
      </c>
      <c r="AL150" s="2" t="str">
        <f aca="false">INDEX('NBA Library'!$C$4:$C$21,MATCH(AJ150,'NBA Library'!$A$4:$A$21,0))</f>
        <v>Automated</v>
      </c>
      <c r="AM150" s="2" t="str">
        <f aca="false">IF(AA150,"HOLD — Critical Data Issue",IF(Y150,"Human Sign-Off Required",IF(Z150="Manual Review","Human Review Required",IF(AND(AL150="Automated",OR(AE150,AND(OR(AK150="Discovery-to-Offer Enablement",AK150="Reinforce Successful Behaviour"),OR(AC150,AB150)))),"Human Review Required",IF(AL150="Human","Ready — Human",IF(AL150="Hybrid","Ready — Hybrid","Ready — Automated"))))))</f>
        <v>Ready — Automated</v>
      </c>
      <c r="AN150" s="2" t="str">
        <f aca="false">IF(AA150,"P0",IF(AND(AJ150="BROWSING_LOW_OFFERS",E150="Tail"),"P3",IF(AND(AM150="Human Review Required",INDEX('NBA Library'!$D$4:$D$21,MATCH(AJ150,'NBA Library'!$A$4:$A$21,0))="P4"),"P3",INDEX('NBA Library'!$D$4:$D$21,MATCH(AJ150,'NBA Library'!$A$4:$A$21,0)))))</f>
        <v>P4</v>
      </c>
      <c r="AO150" s="2" t="str">
        <f aca="false">E150&amp;" "&amp;C150&amp;" account ("&amp;B150&amp;"); "&amp;G150&amp;" momentum; "&amp;P150&amp;"; £"&amp;TEXT(H150,"#,##0")&amp;" 6m GMV. "&amp;INDEX('NBA Library'!$G$4:$G$21,MATCH(AJ150,'NBA Library'!$A$4:$A$21,0))&amp;IF(LEFT(D150,1)="1"," Baseline: "&amp;V150&amp;" PDP views, "&amp;W150&amp;" app days, "&amp;X150&amp;" offers, "&amp;TEXT(J150/I150,"0%")&amp;" of orders self-serve.","")&amp;IF(AA150," Execution on HOLD until the Duplicate status is resolved.","")&amp;IF(Y150," Key account: explicit AM/leadership sign-off required before any migration activity.","")&amp;IF(AE150," Implied broker % from order counts would move this account to a different segment; review before automating.","")</f>
        <v>Tail AM-Owned / Self-Serving account (Account Managed); Lapsed momentum; No Meaningful History; £289 6m GMV. Low-value, low-dependency account. Scalable automated engagement.</v>
      </c>
      <c r="AP150" s="2" t="str">
        <f aca="false">INDEX('NBA Library'!$E$4:$E$21,MATCH(AJ150,'NBA Library'!$A$4:$A$21,0))&amp;IF(AND(AJ150="NEW_CUSTOMER",AG150),"; introduce Make-an-Offer on items already browsed","")</f>
        <v>Scalable automated engagement matched to nurture sub-context</v>
      </c>
      <c r="AQ150" s="2" t="str">
        <f aca="false">INDEX('NBA Library'!$F$4:$F$21,MATCH(AJ150,'NBA Library'!$A$4:$A$21,0))</f>
        <v>Any repeat order within 90 days</v>
      </c>
      <c r="AR150" s="2" t="str">
        <f aca="false">IF(AND(F150="Low",OR(G150="Growing",G150="Stable"),P150="Recently Active",U150&lt;&gt;"Mixed",OR(AK150="Discovery-to-Offer Enablement",AK150="Reinforce Successful Behaviour"),AM150="Ready — Automated",OR(E150&lt;&gt;"Tail",S150)),"Range Expansion Test — trial "&amp;IF(U150="Bundle-only","handpick","bundles")&amp;" (experimental; not proven to lift GMV)","")</f>
        <v/>
      </c>
      <c r="AS150" s="2" t="str">
        <f aca="false">IF(AK150&lt;&gt;"Automated Nurture","",IF(AJ150="DORMANT_LOW_VALUE","Dormant",IF(AJ150="RISING_TAIL_EARLY","Rising tail – early pattern",IF(Q150="New Customer","New customer onboarding",IF(Q150="Returned Customer","Returned customer",IF(G150="Lapsed","Dormant",IF(T150="Engaged, not converting","Engaged, not converting",IF(T150="One-off low-touch buyer","One-off purchaser",IF(T150="Light-touch repeat buyer","Light-touch repeat buyer","Standard long tail")))))))))</f>
        <v>Dormant</v>
      </c>
      <c r="AT150" s="2" t="str">
        <f aca="false">IF(AA150,"CRITICAL_DATA_BLOCKER; ","")&amp;IF(Y150,"KEY_SIGNOFF; ","")&amp;IF(Z150="Manual Review","PHASE1_MANUAL_REVIEW; ","")&amp;IF(AND(LEFT(D150,1)="1",AZ150="Lumpy"),"LUMPY_CADENCE; ","")&amp;IF(AB150,"BORDERLINE_MOMENTUM; ","")&amp;IF(AC150,"FEB_SENSITIVE; ","")&amp;IF(AD150,"MATERIAL_BROKER_INCONSISTENCY"&amp;IF(AE150," (segment would change)","")&amp;"; ","")&amp;IF(AND(I150&gt;=3,O150&gt;0),IF(AI150&gt;=Assumptions!$B$75,"H2_SINGLE_MONTH_SPIKE; ",""),"")&amp;IF(AND(M150&gt;0,N150=0),"NO_FEB_GMV (Feb unconfirmed); ","")&amp;IF(AF150,"LOW_CONFIDENCE; ","")</f>
        <v>LOW_CONFIDENCE; </v>
      </c>
      <c r="AU150" s="2" t="str">
        <f aca="false">IF(LEFT(D150,1)="1",V150,"")</f>
        <v/>
      </c>
      <c r="AV150" s="2" t="str">
        <f aca="false">IF(LEFT(D150,1)="1",V150&gt;=Assumptions!$B$58,"")</f>
        <v/>
      </c>
      <c r="AW150" s="2" t="str">
        <f aca="false">IF(LEFT(D150,1)="1",W150,"")</f>
        <v/>
      </c>
      <c r="AX150" s="2" t="str">
        <f aca="false">IF(LEFT(D150,1)="1",X150,"")</f>
        <v/>
      </c>
      <c r="AY150" s="17" t="str">
        <f aca="false">IF(LEFT(D150,1)="1",J150/I150,"")</f>
        <v/>
      </c>
      <c r="AZ150" s="2" t="str">
        <f aca="false">IF(LEFT(D150,1)="1",IF(AND(K150&gt;=Assumptions!$B$83,I150&gt;=Assumptions!$B$84),"Regular","Lumpy"),"")</f>
        <v/>
      </c>
      <c r="BA150" s="2" t="str">
        <f aca="false">IF(LEFT(D150,1)="1",ROUND(6/K150,0),"")</f>
        <v/>
      </c>
      <c r="BB150" s="2" t="str">
        <f aca="false">IF(LEFT(D150,1)="1",IF(AZ150="Regular","Regular buyer: expected ~£"&amp;TEXT(H150/2,"#,##0")&amp;" per 90 days. At Risk if GMV to date &lt; "&amp;TEXT(Assumptions!$B$81,"0%")&amp;" of pro-rated expectation, checked from day "&amp;Assumptions!$B$82&amp;". Human-reviewed.","Irregular buyer ("&amp;I150&amp;" orders across "&amp;K150&amp;" months): no numeric GMV threshold. At Risk if no order within ~"&amp;BA150&amp;" month(s); AM reviews at day "&amp;Assumptions!$B$82&amp;" and "&amp;Assumptions!$B$85&amp;"."),"")</f>
        <v/>
      </c>
      <c r="BC150" s="2"/>
      <c r="BD150" s="2"/>
      <c r="BE150" s="2"/>
      <c r="BF150" s="2"/>
      <c r="BG150" s="2"/>
      <c r="BH150" s="2"/>
      <c r="BI150" s="2"/>
      <c r="BJ150" s="2" t="str">
        <f aca="false">IF(OR(NOT(LEFT(D150,1)="1"),BC150=""),"",IF(AZ150="Regular",AND(BC150&gt;=Assumptions!$B$82,N(BI150)&lt;Assumptions!$B$81*H150/180*BC150),AND(BC150&gt;=BA150*30,N(BG150)=0)))</f>
        <v/>
      </c>
      <c r="BK150" s="2" t="str">
        <f aca="false">IF(NOT(LEFT(D150,1)="1"),"N/A",IF(BC150="","Baseline",IF(BJ150,"At Risk",IF(AND(N(BD150)&gt;=Assumptions!$B$78,N(BE150)&gt;=Assumptions!$B$79,N(BH150)&gt;=1,N(BH150)/MAX(N(BG150),1)&gt;AY150),"Self-Serve Capability Demonstrated",IF(OR(N(BD150)&gt;=Assumptions!$B$76,N(BE150)&gt;=Assumptions!$B$77),"Progressing",IF(BC150&gt;=Assumptions!$B$85,"At Risk","Baseline"))))))</f>
        <v>N/A</v>
      </c>
      <c r="BL150" s="2" t="n">
        <f aca="false">(AND(C150="Broker-Reliant",OR(AK150="Discovery-to-Offer Enablement",AK150="Reinforce Successful Behaviour")))*1+(AND(G150="Declining",E150&lt;&gt;"Tail",AL150="Automated"))*1+(AND(Y150,AM150&lt;&gt;"Human Sign-Off Required"))*1+(AND(AA150,AM150&lt;&gt;"HOLD — Critical Data Issue"))*1+(AND(P150="Recent Inactivity",OR(AK150="Discovery-to-Offer Enablement",AK150="Reinforce Successful Behaviour")))*1+(AND(OR(LEFT(D150,1)="2",LEFT(D150,1)="3",LEFT(D150,1)="8"),AL150="Automated"))*1+((LEFT(D150,1)="1")&lt;&gt;(AK150="Guided Self-Serve Migration"))*1+(AND(AR150&lt;&gt;"",OR(F150&lt;&gt;"Low",U150="Mixed",AND(G150&lt;&gt;"Growing",G150&lt;&gt;"Stable"))))*1+ISNUMBER(SEARCH("chat",AP150))*1+ISNUMBER(SEARCH("video",AP150))*1+(AND(AA150,AL150="Automated",AM150&lt;&gt;"HOLD — Critical Data Issue"))*1</f>
        <v>0</v>
      </c>
    </row>
    <row r="151" customFormat="false" ht="15" hidden="false" customHeight="false" outlineLevel="0" collapsed="false">
      <c r="A151" s="2" t="s">
        <v>802</v>
      </c>
      <c r="B151" s="2" t="str">
        <f aca="false">INDEX(Segmentation!$B$2:$B$301,MATCH($A151,Segmentation!$A$2:$A$301,0))</f>
        <v>Account Managed</v>
      </c>
      <c r="C151" s="2" t="str">
        <f aca="false">INDEX(Segmentation!$H$2:$H$301,MATCH($A151,Segmentation!$A$2:$A$301,0))</f>
        <v>AM-Owned / Self-Serving</v>
      </c>
      <c r="D151" s="2" t="str">
        <f aca="false">INDEX(Segmentation!$T$2:$T$301,MATCH($A151,Segmentation!$A$2:$A$301,0))</f>
        <v>9. Long-Tail Automated Nurture</v>
      </c>
      <c r="E151" s="2" t="str">
        <f aca="false">INDEX(Segmentation!$J$2:$J$301,MATCH($A151,Segmentation!$A$2:$A$301,0))</f>
        <v>Tail</v>
      </c>
      <c r="F151" s="2" t="str">
        <f aca="false">INDEX(Segmentation!$G$2:$G$301,MATCH($A151,Segmentation!$A$2:$A$301,0))</f>
        <v>Low</v>
      </c>
      <c r="G151" s="2" t="str">
        <f aca="false">INDEX(Segmentation!$N$2:$N$301,MATCH($A151,Segmentation!$A$2:$A$301,0))</f>
        <v>Lapsed</v>
      </c>
      <c r="H151" s="9" t="n">
        <f aca="false">INDEX(Segmentation!$I$2:$I$301,MATCH($A151,Segmentation!$A$2:$A$301,0))</f>
        <v>284</v>
      </c>
      <c r="I151" s="2" t="n">
        <f aca="false">INDEX(Segmentation!$O$2:$O$301,MATCH($A151,Segmentation!$A$2:$A$301,0))</f>
        <v>1</v>
      </c>
      <c r="J151" s="2" t="n">
        <f aca="false">INDEX(Segmentation!$Q$2:$Q$301,MATCH($A151,Segmentation!$A$2:$A$301,0))</f>
        <v>1</v>
      </c>
      <c r="K151" s="2" t="n">
        <f aca="false">INDEX(Segmentation!$W$2:$W$301,MATCH($A151,Segmentation!$A$2:$A$301,0))</f>
        <v>1</v>
      </c>
      <c r="L151" s="9" t="n">
        <f aca="false">INDEX('Commercial View'!$L$2:$L$301,MATCH($A151,'Commercial View'!$A$2:$A$301,0))</f>
        <v>0</v>
      </c>
      <c r="M151" s="9" t="n">
        <f aca="false">INDEX('Commercial View'!$M$2:$M$301,MATCH($A151,'Commercial View'!$A$2:$A$301,0))</f>
        <v>0</v>
      </c>
      <c r="N151" s="9" t="n">
        <f aca="false">INDEX('Commercial View'!$N$2:$N$301,MATCH($A151,'Commercial View'!$A$2:$A$301,0))</f>
        <v>0</v>
      </c>
      <c r="O151" s="9" t="n">
        <f aca="false">INDEX(Segmentation!$L$2:$L$301,MATCH($A151,Segmentation!$A$2:$A$301,0))</f>
        <v>0</v>
      </c>
      <c r="P151" s="2" t="str">
        <f aca="false">IF(OR(M151&gt;0,N151&gt;0),"Recently Active",IF(OR(I151&lt;=Assumptions!$B$48,K151&lt;=Assumptions!$B$49),"No Meaningful History","Recent Inactivity"))</f>
        <v>No Meaningful History</v>
      </c>
      <c r="Q151" s="2" t="str">
        <f aca="false">INDEX(Segmentation!$AF$2:$AF$301,MATCH($A151,Segmentation!$A$2:$A$301,0))</f>
        <v>Existing Customer</v>
      </c>
      <c r="R151" s="2" t="str">
        <f aca="false">INDEX(Segmentation!$AL$2:$AL$301,MATCH($A151,Segmentation!$A$2:$A$301,0))</f>
        <v>One-Off / Insufficient History — Verify</v>
      </c>
      <c r="S151" s="10" t="b">
        <f aca="false">INDEX(Segmentation!$AW$2:$AW$301,MATCH($A151,Segmentation!$A$2:$A$301,0))</f>
        <v>0</v>
      </c>
      <c r="T151" s="2" t="str">
        <f aca="false">INDEX('Feature Data'!$AD$2:$AD$301,MATCH($A151,'Feature Data'!$A$2:$A$301,0))</f>
        <v>One-off low-touch buyer</v>
      </c>
      <c r="U151" s="2" t="str">
        <f aca="false">INDEX('Feature Data'!$W$2:$W$301,MATCH($A151,'Feature Data'!$A$2:$A$301,0))</f>
        <v>Bundle-only</v>
      </c>
      <c r="V151" s="2" t="n">
        <f aca="false">INDEX('Feature Data'!$P$2:$P$301,MATCH($A151,'Feature Data'!$A$2:$A$301,0))</f>
        <v>140</v>
      </c>
      <c r="W151" s="2" t="n">
        <f aca="false">INDEX(Segmentation!$R$2:$R$301,MATCH($A151,Segmentation!$A$2:$A$301,0))</f>
        <v>16</v>
      </c>
      <c r="X151" s="2" t="n">
        <f aca="false">INDEX(Segmentation!$S$2:$S$301,MATCH($A151,Segmentation!$A$2:$A$301,0))</f>
        <v>0</v>
      </c>
      <c r="Y151" s="10" t="b">
        <f aca="false">INDEX(Segmentation!$AG$2:$AG$301,MATCH($A151,Segmentation!$A$2:$A$301,0))</f>
        <v>0</v>
      </c>
      <c r="Z151" s="2" t="str">
        <f aca="false">INDEX(Segmentation!$AU$2:$AU$301,MATCH($A151,Segmentation!$A$2:$A$301,0))</f>
        <v>Not Eligible</v>
      </c>
      <c r="AA151" s="10" t="b">
        <f aca="false">INDEX(Segmentation!$Z$2:$Z$301,MATCH($A151,Segmentation!$A$2:$A$301,0))</f>
        <v>0</v>
      </c>
      <c r="AB151" s="10" t="b">
        <f aca="false">INDEX(Segmentation!$AH$2:$AH$301,MATCH($A151,Segmentation!$A$2:$A$301,0))</f>
        <v>0</v>
      </c>
      <c r="AC151" s="10" t="b">
        <f aca="false">INDEX(Segmentation!$AK$2:$AK$301,MATCH($A151,Segmentation!$A$2:$A$301,0))</f>
        <v>0</v>
      </c>
      <c r="AD151" s="10" t="b">
        <f aca="false">INDEX(Segmentation!$AQ$2:$AQ$301,MATCH($A151,Segmentation!$A$2:$A$301,0))</f>
        <v>0</v>
      </c>
      <c r="AE151" s="10" t="b">
        <f aca="false">INDEX(Segmentation!$AT$2:$AT$301,MATCH($A151,Segmentation!$A$2:$A$301,0))</f>
        <v>0</v>
      </c>
      <c r="AF151" s="10" t="b">
        <f aca="false">INDEX(Segmentation!$X$2:$X$301,MATCH($A151,Segmentation!$A$2:$A$301,0))</f>
        <v>1</v>
      </c>
      <c r="AG151" s="10" t="b">
        <f aca="false">AND(F151="Low",V151&gt;=Assumptions!$B$71,X151&lt;Assumptions!$B$72)</f>
        <v>1</v>
      </c>
      <c r="AH151" s="10" t="b">
        <f aca="false">AND(F151="Low",OR(G151="Growing",G151="Stable"),P151="Recently Active",V151&gt;=Assumptions!$B$58,K151&gt;=Assumptions!$B$73)</f>
        <v>0</v>
      </c>
      <c r="AI151" s="17" t="str">
        <f aca="false">IF(O151&gt;0,MAX(L151:N151)/O151,"")</f>
        <v/>
      </c>
      <c r="AJ151" s="2" t="str">
        <f aca="false">IF(LEFT(D151,1)="1",IF(E151="Key","MIGRATION_KEY_SIGNOFF",IF(Z151="Ready","MIGRATION_PHASE1_READY",IF(Z151="Manual Review","MIGRATION_PHASE1_REVIEW","MIGRATION_PRE_ENTRY"))),IF(LEFT(D151,1)="2","DECLINING_KEY_CORE",IF(LEFT(D151,1)="3",IF(R151="Established Buyer Lapsed","LAPSED_ESTABLISHED","LAPSED_THIN_HISTORY"),IF(LEFT(D151,1)="4",IF(Q151="New Customer","NEW_CUSTOMER","RETURNED_CUSTOMER"),IF(LEFT(D151,1)="5",IF(P151="Recently Active","COST_TO_SERVE_ACTIVE","DORMANT_LOW_VALUE"),IF(LEFT(D151,1)="6",IF(P151="Recent Inactivity","RECENT_INACTIVITY",IF(AG151,"BROWSING_LOW_OFFERS","HEALTHY_STRONG_SELF_SERVE")),IF(LEFT(D151,1)="7",IF(P151="Recent Inactivity","RECENT_INACTIVITY",IF(Q151="New Customer","NEW_CUSTOMER","RETURNED_CUSTOMER")),IF(LEFT(D151,1)="8",IF(G151="Declining",IF(T151="Engaged but shrinking (Key/Core)","ENGAGED_BUT_SHRINKING","DECLINING_KEY_CORE"),IF(R151="Established Buyer Lapsed","LAPSED_ESTABLISHED","LAPSED_THIN_HISTORY")),IF(S151,IF(P151&lt;&gt;"Recently Active","DORMANT_LOW_VALUE",IF(AG151,"BROWSING_LOW_OFFERS",IF(AH151,"RISING_TAIL","RISING_TAIL_EARLY"))),IF(AND(AG151,P151="Recently Active",OR(G151="Growing",G151="Stable",G151="H2 Active / No H1 GMV"),I151&gt;=Assumptions!$B$74),"BROWSING_LOW_OFFERS","LONG_TAIL_STANDARD"))))))))))</f>
        <v>LONG_TAIL_STANDARD</v>
      </c>
      <c r="AK151" s="2" t="str">
        <f aca="false">INDEX('NBA Library'!$B$4:$B$21,MATCH(AJ151,'NBA Library'!$A$4:$A$21,0))</f>
        <v>Automated Nurture</v>
      </c>
      <c r="AL151" s="2" t="str">
        <f aca="false">INDEX('NBA Library'!$C$4:$C$21,MATCH(AJ151,'NBA Library'!$A$4:$A$21,0))</f>
        <v>Automated</v>
      </c>
      <c r="AM151" s="2" t="str">
        <f aca="false">IF(AA151,"HOLD — Critical Data Issue",IF(Y151,"Human Sign-Off Required",IF(Z151="Manual Review","Human Review Required",IF(AND(AL151="Automated",OR(AE151,AND(OR(AK151="Discovery-to-Offer Enablement",AK151="Reinforce Successful Behaviour"),OR(AC151,AB151)))),"Human Review Required",IF(AL151="Human","Ready — Human",IF(AL151="Hybrid","Ready — Hybrid","Ready — Automated"))))))</f>
        <v>Ready — Automated</v>
      </c>
      <c r="AN151" s="2" t="str">
        <f aca="false">IF(AA151,"P0",IF(AND(AJ151="BROWSING_LOW_OFFERS",E151="Tail"),"P3",IF(AND(AM151="Human Review Required",INDEX('NBA Library'!$D$4:$D$21,MATCH(AJ151,'NBA Library'!$A$4:$A$21,0))="P4"),"P3",INDEX('NBA Library'!$D$4:$D$21,MATCH(AJ151,'NBA Library'!$A$4:$A$21,0)))))</f>
        <v>P4</v>
      </c>
      <c r="AO151" s="2" t="str">
        <f aca="false">E151&amp;" "&amp;C151&amp;" account ("&amp;B151&amp;"); "&amp;G151&amp;" momentum; "&amp;P151&amp;"; £"&amp;TEXT(H151,"#,##0")&amp;" 6m GMV. "&amp;INDEX('NBA Library'!$G$4:$G$21,MATCH(AJ151,'NBA Library'!$A$4:$A$21,0))&amp;IF(LEFT(D151,1)="1"," Baseline: "&amp;V151&amp;" PDP views, "&amp;W151&amp;" app days, "&amp;X151&amp;" offers, "&amp;TEXT(J151/I151,"0%")&amp;" of orders self-serve.","")&amp;IF(AA151," Execution on HOLD until the Duplicate status is resolved.","")&amp;IF(Y151," Key account: explicit AM/leadership sign-off required before any migration activity.","")&amp;IF(AE151," Implied broker % from order counts would move this account to a different segment; review before automating.","")</f>
        <v>Tail AM-Owned / Self-Serving account (Account Managed); Lapsed momentum; No Meaningful History; £284 6m GMV. Low-value, low-dependency account. Scalable automated engagement.</v>
      </c>
      <c r="AP151" s="2" t="str">
        <f aca="false">INDEX('NBA Library'!$E$4:$E$21,MATCH(AJ151,'NBA Library'!$A$4:$A$21,0))&amp;IF(AND(AJ151="NEW_CUSTOMER",AG151),"; introduce Make-an-Offer on items already browsed","")</f>
        <v>Scalable automated engagement matched to nurture sub-context</v>
      </c>
      <c r="AQ151" s="2" t="str">
        <f aca="false">INDEX('NBA Library'!$F$4:$F$21,MATCH(AJ151,'NBA Library'!$A$4:$A$21,0))</f>
        <v>Any repeat order within 90 days</v>
      </c>
      <c r="AR151" s="2" t="str">
        <f aca="false">IF(AND(F151="Low",OR(G151="Growing",G151="Stable"),P151="Recently Active",U151&lt;&gt;"Mixed",OR(AK151="Discovery-to-Offer Enablement",AK151="Reinforce Successful Behaviour"),AM151="Ready — Automated",OR(E151&lt;&gt;"Tail",S151)),"Range Expansion Test — trial "&amp;IF(U151="Bundle-only","handpick","bundles")&amp;" (experimental; not proven to lift GMV)","")</f>
        <v/>
      </c>
      <c r="AS151" s="2" t="str">
        <f aca="false">IF(AK151&lt;&gt;"Automated Nurture","",IF(AJ151="DORMANT_LOW_VALUE","Dormant",IF(AJ151="RISING_TAIL_EARLY","Rising tail – early pattern",IF(Q151="New Customer","New customer onboarding",IF(Q151="Returned Customer","Returned customer",IF(G151="Lapsed","Dormant",IF(T151="Engaged, not converting","Engaged, not converting",IF(T151="One-off low-touch buyer","One-off purchaser",IF(T151="Light-touch repeat buyer","Light-touch repeat buyer","Standard long tail")))))))))</f>
        <v>Dormant</v>
      </c>
      <c r="AT151" s="2" t="str">
        <f aca="false">IF(AA151,"CRITICAL_DATA_BLOCKER; ","")&amp;IF(Y151,"KEY_SIGNOFF; ","")&amp;IF(Z151="Manual Review","PHASE1_MANUAL_REVIEW; ","")&amp;IF(AND(LEFT(D151,1)="1",AZ151="Lumpy"),"LUMPY_CADENCE; ","")&amp;IF(AB151,"BORDERLINE_MOMENTUM; ","")&amp;IF(AC151,"FEB_SENSITIVE; ","")&amp;IF(AD151,"MATERIAL_BROKER_INCONSISTENCY"&amp;IF(AE151," (segment would change)","")&amp;"; ","")&amp;IF(AND(I151&gt;=3,O151&gt;0),IF(AI151&gt;=Assumptions!$B$75,"H2_SINGLE_MONTH_SPIKE; ",""),"")&amp;IF(AND(M151&gt;0,N151=0),"NO_FEB_GMV (Feb unconfirmed); ","")&amp;IF(AF151,"LOW_CONFIDENCE; ","")</f>
        <v>LOW_CONFIDENCE; </v>
      </c>
      <c r="AU151" s="2" t="str">
        <f aca="false">IF(LEFT(D151,1)="1",V151,"")</f>
        <v/>
      </c>
      <c r="AV151" s="2" t="str">
        <f aca="false">IF(LEFT(D151,1)="1",V151&gt;=Assumptions!$B$58,"")</f>
        <v/>
      </c>
      <c r="AW151" s="2" t="str">
        <f aca="false">IF(LEFT(D151,1)="1",W151,"")</f>
        <v/>
      </c>
      <c r="AX151" s="2" t="str">
        <f aca="false">IF(LEFT(D151,1)="1",X151,"")</f>
        <v/>
      </c>
      <c r="AY151" s="17" t="str">
        <f aca="false">IF(LEFT(D151,1)="1",J151/I151,"")</f>
        <v/>
      </c>
      <c r="AZ151" s="2" t="str">
        <f aca="false">IF(LEFT(D151,1)="1",IF(AND(K151&gt;=Assumptions!$B$83,I151&gt;=Assumptions!$B$84),"Regular","Lumpy"),"")</f>
        <v/>
      </c>
      <c r="BA151" s="2" t="str">
        <f aca="false">IF(LEFT(D151,1)="1",ROUND(6/K151,0),"")</f>
        <v/>
      </c>
      <c r="BB151" s="2" t="str">
        <f aca="false">IF(LEFT(D151,1)="1",IF(AZ151="Regular","Regular buyer: expected ~£"&amp;TEXT(H151/2,"#,##0")&amp;" per 90 days. At Risk if GMV to date &lt; "&amp;TEXT(Assumptions!$B$81,"0%")&amp;" of pro-rated expectation, checked from day "&amp;Assumptions!$B$82&amp;". Human-reviewed.","Irregular buyer ("&amp;I151&amp;" orders across "&amp;K151&amp;" months): no numeric GMV threshold. At Risk if no order within ~"&amp;BA151&amp;" month(s); AM reviews at day "&amp;Assumptions!$B$82&amp;" and "&amp;Assumptions!$B$85&amp;"."),"")</f>
        <v/>
      </c>
      <c r="BC151" s="2"/>
      <c r="BD151" s="2"/>
      <c r="BE151" s="2"/>
      <c r="BF151" s="2"/>
      <c r="BG151" s="2"/>
      <c r="BH151" s="2"/>
      <c r="BI151" s="2"/>
      <c r="BJ151" s="2" t="str">
        <f aca="false">IF(OR(NOT(LEFT(D151,1)="1"),BC151=""),"",IF(AZ151="Regular",AND(BC151&gt;=Assumptions!$B$82,N(BI151)&lt;Assumptions!$B$81*H151/180*BC151),AND(BC151&gt;=BA151*30,N(BG151)=0)))</f>
        <v/>
      </c>
      <c r="BK151" s="2" t="str">
        <f aca="false">IF(NOT(LEFT(D151,1)="1"),"N/A",IF(BC151="","Baseline",IF(BJ151,"At Risk",IF(AND(N(BD151)&gt;=Assumptions!$B$78,N(BE151)&gt;=Assumptions!$B$79,N(BH151)&gt;=1,N(BH151)/MAX(N(BG151),1)&gt;AY151),"Self-Serve Capability Demonstrated",IF(OR(N(BD151)&gt;=Assumptions!$B$76,N(BE151)&gt;=Assumptions!$B$77),"Progressing",IF(BC151&gt;=Assumptions!$B$85,"At Risk","Baseline"))))))</f>
        <v>N/A</v>
      </c>
      <c r="BL151" s="2" t="n">
        <f aca="false">(AND(C151="Broker-Reliant",OR(AK151="Discovery-to-Offer Enablement",AK151="Reinforce Successful Behaviour")))*1+(AND(G151="Declining",E151&lt;&gt;"Tail",AL151="Automated"))*1+(AND(Y151,AM151&lt;&gt;"Human Sign-Off Required"))*1+(AND(AA151,AM151&lt;&gt;"HOLD — Critical Data Issue"))*1+(AND(P151="Recent Inactivity",OR(AK151="Discovery-to-Offer Enablement",AK151="Reinforce Successful Behaviour")))*1+(AND(OR(LEFT(D151,1)="2",LEFT(D151,1)="3",LEFT(D151,1)="8"),AL151="Automated"))*1+((LEFT(D151,1)="1")&lt;&gt;(AK151="Guided Self-Serve Migration"))*1+(AND(AR151&lt;&gt;"",OR(F151&lt;&gt;"Low",U151="Mixed",AND(G151&lt;&gt;"Growing",G151&lt;&gt;"Stable"))))*1+ISNUMBER(SEARCH("chat",AP151))*1+ISNUMBER(SEARCH("video",AP151))*1+(AND(AA151,AL151="Automated",AM151&lt;&gt;"HOLD — Critical Data Issue"))*1</f>
        <v>0</v>
      </c>
    </row>
    <row r="152" customFormat="false" ht="15" hidden="false" customHeight="false" outlineLevel="0" collapsed="false">
      <c r="A152" s="2" t="s">
        <v>804</v>
      </c>
      <c r="B152" s="2" t="str">
        <f aca="false">INDEX(Segmentation!$B$2:$B$301,MATCH($A152,Segmentation!$A$2:$A$301,0))</f>
        <v>Account Managed</v>
      </c>
      <c r="C152" s="2" t="str">
        <f aca="false">INDEX(Segmentation!$H$2:$H$301,MATCH($A152,Segmentation!$A$2:$A$301,0))</f>
        <v>AM-Owned / Self-Serving</v>
      </c>
      <c r="D152" s="2" t="str">
        <f aca="false">INDEX(Segmentation!$T$2:$T$301,MATCH($A152,Segmentation!$A$2:$A$301,0))</f>
        <v>9. Long-Tail Automated Nurture</v>
      </c>
      <c r="E152" s="2" t="str">
        <f aca="false">INDEX(Segmentation!$J$2:$J$301,MATCH($A152,Segmentation!$A$2:$A$301,0))</f>
        <v>Tail</v>
      </c>
      <c r="F152" s="2" t="str">
        <f aca="false">INDEX(Segmentation!$G$2:$G$301,MATCH($A152,Segmentation!$A$2:$A$301,0))</f>
        <v>Low</v>
      </c>
      <c r="G152" s="2" t="str">
        <f aca="false">INDEX(Segmentation!$N$2:$N$301,MATCH($A152,Segmentation!$A$2:$A$301,0))</f>
        <v>Lapsed</v>
      </c>
      <c r="H152" s="9" t="n">
        <f aca="false">INDEX(Segmentation!$I$2:$I$301,MATCH($A152,Segmentation!$A$2:$A$301,0))</f>
        <v>282</v>
      </c>
      <c r="I152" s="2" t="n">
        <f aca="false">INDEX(Segmentation!$O$2:$O$301,MATCH($A152,Segmentation!$A$2:$A$301,0))</f>
        <v>1</v>
      </c>
      <c r="J152" s="2" t="n">
        <f aca="false">INDEX(Segmentation!$Q$2:$Q$301,MATCH($A152,Segmentation!$A$2:$A$301,0))</f>
        <v>1</v>
      </c>
      <c r="K152" s="2" t="n">
        <f aca="false">INDEX(Segmentation!$W$2:$W$301,MATCH($A152,Segmentation!$A$2:$A$301,0))</f>
        <v>1</v>
      </c>
      <c r="L152" s="9" t="n">
        <f aca="false">INDEX('Commercial View'!$L$2:$L$301,MATCH($A152,'Commercial View'!$A$2:$A$301,0))</f>
        <v>0</v>
      </c>
      <c r="M152" s="9" t="n">
        <f aca="false">INDEX('Commercial View'!$M$2:$M$301,MATCH($A152,'Commercial View'!$A$2:$A$301,0))</f>
        <v>0</v>
      </c>
      <c r="N152" s="9" t="n">
        <f aca="false">INDEX('Commercial View'!$N$2:$N$301,MATCH($A152,'Commercial View'!$A$2:$A$301,0))</f>
        <v>0</v>
      </c>
      <c r="O152" s="9" t="n">
        <f aca="false">INDEX(Segmentation!$L$2:$L$301,MATCH($A152,Segmentation!$A$2:$A$301,0))</f>
        <v>0</v>
      </c>
      <c r="P152" s="2" t="str">
        <f aca="false">IF(OR(M152&gt;0,N152&gt;0),"Recently Active",IF(OR(I152&lt;=Assumptions!$B$48,K152&lt;=Assumptions!$B$49),"No Meaningful History","Recent Inactivity"))</f>
        <v>No Meaningful History</v>
      </c>
      <c r="Q152" s="2" t="str">
        <f aca="false">INDEX(Segmentation!$AF$2:$AF$301,MATCH($A152,Segmentation!$A$2:$A$301,0))</f>
        <v>Existing Customer</v>
      </c>
      <c r="R152" s="2" t="str">
        <f aca="false">INDEX(Segmentation!$AL$2:$AL$301,MATCH($A152,Segmentation!$A$2:$A$301,0))</f>
        <v>One-Off / Insufficient History — Verify</v>
      </c>
      <c r="S152" s="10" t="b">
        <f aca="false">INDEX(Segmentation!$AW$2:$AW$301,MATCH($A152,Segmentation!$A$2:$A$301,0))</f>
        <v>0</v>
      </c>
      <c r="T152" s="2" t="str">
        <f aca="false">INDEX('Feature Data'!$AD$2:$AD$301,MATCH($A152,'Feature Data'!$A$2:$A$301,0))</f>
        <v>Engaged, not converting</v>
      </c>
      <c r="U152" s="2" t="str">
        <f aca="false">INDEX('Feature Data'!$W$2:$W$301,MATCH($A152,'Feature Data'!$A$2:$A$301,0))</f>
        <v>Bundle-only</v>
      </c>
      <c r="V152" s="2" t="n">
        <f aca="false">INDEX('Feature Data'!$P$2:$P$301,MATCH($A152,'Feature Data'!$A$2:$A$301,0))</f>
        <v>160</v>
      </c>
      <c r="W152" s="2" t="n">
        <f aca="false">INDEX(Segmentation!$R$2:$R$301,MATCH($A152,Segmentation!$A$2:$A$301,0))</f>
        <v>20</v>
      </c>
      <c r="X152" s="2" t="n">
        <f aca="false">INDEX(Segmentation!$S$2:$S$301,MATCH($A152,Segmentation!$A$2:$A$301,0))</f>
        <v>1</v>
      </c>
      <c r="Y152" s="10" t="b">
        <f aca="false">INDEX(Segmentation!$AG$2:$AG$301,MATCH($A152,Segmentation!$A$2:$A$301,0))</f>
        <v>0</v>
      </c>
      <c r="Z152" s="2" t="str">
        <f aca="false">INDEX(Segmentation!$AU$2:$AU$301,MATCH($A152,Segmentation!$A$2:$A$301,0))</f>
        <v>Not Eligible</v>
      </c>
      <c r="AA152" s="10" t="b">
        <f aca="false">INDEX(Segmentation!$Z$2:$Z$301,MATCH($A152,Segmentation!$A$2:$A$301,0))</f>
        <v>0</v>
      </c>
      <c r="AB152" s="10" t="b">
        <f aca="false">INDEX(Segmentation!$AH$2:$AH$301,MATCH($A152,Segmentation!$A$2:$A$301,0))</f>
        <v>0</v>
      </c>
      <c r="AC152" s="10" t="b">
        <f aca="false">INDEX(Segmentation!$AK$2:$AK$301,MATCH($A152,Segmentation!$A$2:$A$301,0))</f>
        <v>0</v>
      </c>
      <c r="AD152" s="10" t="b">
        <f aca="false">INDEX(Segmentation!$AQ$2:$AQ$301,MATCH($A152,Segmentation!$A$2:$A$301,0))</f>
        <v>0</v>
      </c>
      <c r="AE152" s="10" t="b">
        <f aca="false">INDEX(Segmentation!$AT$2:$AT$301,MATCH($A152,Segmentation!$A$2:$A$301,0))</f>
        <v>0</v>
      </c>
      <c r="AF152" s="10" t="b">
        <f aca="false">INDEX(Segmentation!$X$2:$X$301,MATCH($A152,Segmentation!$A$2:$A$301,0))</f>
        <v>1</v>
      </c>
      <c r="AG152" s="10" t="b">
        <f aca="false">AND(F152="Low",V152&gt;=Assumptions!$B$71,X152&lt;Assumptions!$B$72)</f>
        <v>1</v>
      </c>
      <c r="AH152" s="10" t="b">
        <f aca="false">AND(F152="Low",OR(G152="Growing",G152="Stable"),P152="Recently Active",V152&gt;=Assumptions!$B$58,K152&gt;=Assumptions!$B$73)</f>
        <v>0</v>
      </c>
      <c r="AI152" s="17" t="str">
        <f aca="false">IF(O152&gt;0,MAX(L152:N152)/O152,"")</f>
        <v/>
      </c>
      <c r="AJ152" s="2" t="str">
        <f aca="false">IF(LEFT(D152,1)="1",IF(E152="Key","MIGRATION_KEY_SIGNOFF",IF(Z152="Ready","MIGRATION_PHASE1_READY",IF(Z152="Manual Review","MIGRATION_PHASE1_REVIEW","MIGRATION_PRE_ENTRY"))),IF(LEFT(D152,1)="2","DECLINING_KEY_CORE",IF(LEFT(D152,1)="3",IF(R152="Established Buyer Lapsed","LAPSED_ESTABLISHED","LAPSED_THIN_HISTORY"),IF(LEFT(D152,1)="4",IF(Q152="New Customer","NEW_CUSTOMER","RETURNED_CUSTOMER"),IF(LEFT(D152,1)="5",IF(P152="Recently Active","COST_TO_SERVE_ACTIVE","DORMANT_LOW_VALUE"),IF(LEFT(D152,1)="6",IF(P152="Recent Inactivity","RECENT_INACTIVITY",IF(AG152,"BROWSING_LOW_OFFERS","HEALTHY_STRONG_SELF_SERVE")),IF(LEFT(D152,1)="7",IF(P152="Recent Inactivity","RECENT_INACTIVITY",IF(Q152="New Customer","NEW_CUSTOMER","RETURNED_CUSTOMER")),IF(LEFT(D152,1)="8",IF(G152="Declining",IF(T152="Engaged but shrinking (Key/Core)","ENGAGED_BUT_SHRINKING","DECLINING_KEY_CORE"),IF(R152="Established Buyer Lapsed","LAPSED_ESTABLISHED","LAPSED_THIN_HISTORY")),IF(S152,IF(P152&lt;&gt;"Recently Active","DORMANT_LOW_VALUE",IF(AG152,"BROWSING_LOW_OFFERS",IF(AH152,"RISING_TAIL","RISING_TAIL_EARLY"))),IF(AND(AG152,P152="Recently Active",OR(G152="Growing",G152="Stable",G152="H2 Active / No H1 GMV"),I152&gt;=Assumptions!$B$74),"BROWSING_LOW_OFFERS","LONG_TAIL_STANDARD"))))))))))</f>
        <v>LONG_TAIL_STANDARD</v>
      </c>
      <c r="AK152" s="2" t="str">
        <f aca="false">INDEX('NBA Library'!$B$4:$B$21,MATCH(AJ152,'NBA Library'!$A$4:$A$21,0))</f>
        <v>Automated Nurture</v>
      </c>
      <c r="AL152" s="2" t="str">
        <f aca="false">INDEX('NBA Library'!$C$4:$C$21,MATCH(AJ152,'NBA Library'!$A$4:$A$21,0))</f>
        <v>Automated</v>
      </c>
      <c r="AM152" s="2" t="str">
        <f aca="false">IF(AA152,"HOLD — Critical Data Issue",IF(Y152,"Human Sign-Off Required",IF(Z152="Manual Review","Human Review Required",IF(AND(AL152="Automated",OR(AE152,AND(OR(AK152="Discovery-to-Offer Enablement",AK152="Reinforce Successful Behaviour"),OR(AC152,AB152)))),"Human Review Required",IF(AL152="Human","Ready — Human",IF(AL152="Hybrid","Ready — Hybrid","Ready — Automated"))))))</f>
        <v>Ready — Automated</v>
      </c>
      <c r="AN152" s="2" t="str">
        <f aca="false">IF(AA152,"P0",IF(AND(AJ152="BROWSING_LOW_OFFERS",E152="Tail"),"P3",IF(AND(AM152="Human Review Required",INDEX('NBA Library'!$D$4:$D$21,MATCH(AJ152,'NBA Library'!$A$4:$A$21,0))="P4"),"P3",INDEX('NBA Library'!$D$4:$D$21,MATCH(AJ152,'NBA Library'!$A$4:$A$21,0)))))</f>
        <v>P4</v>
      </c>
      <c r="AO152" s="2" t="str">
        <f aca="false">E152&amp;" "&amp;C152&amp;" account ("&amp;B152&amp;"); "&amp;G152&amp;" momentum; "&amp;P152&amp;"; £"&amp;TEXT(H152,"#,##0")&amp;" 6m GMV. "&amp;INDEX('NBA Library'!$G$4:$G$21,MATCH(AJ152,'NBA Library'!$A$4:$A$21,0))&amp;IF(LEFT(D152,1)="1"," Baseline: "&amp;V152&amp;" PDP views, "&amp;W152&amp;" app days, "&amp;X152&amp;" offers, "&amp;TEXT(J152/I152,"0%")&amp;" of orders self-serve.","")&amp;IF(AA152," Execution on HOLD until the Duplicate status is resolved.","")&amp;IF(Y152," Key account: explicit AM/leadership sign-off required before any migration activity.","")&amp;IF(AE152," Implied broker % from order counts would move this account to a different segment; review before automating.","")</f>
        <v>Tail AM-Owned / Self-Serving account (Account Managed); Lapsed momentum; No Meaningful History; £282 6m GMV. Low-value, low-dependency account. Scalable automated engagement.</v>
      </c>
      <c r="AP152" s="2" t="str">
        <f aca="false">INDEX('NBA Library'!$E$4:$E$21,MATCH(AJ152,'NBA Library'!$A$4:$A$21,0))&amp;IF(AND(AJ152="NEW_CUSTOMER",AG152),"; introduce Make-an-Offer on items already browsed","")</f>
        <v>Scalable automated engagement matched to nurture sub-context</v>
      </c>
      <c r="AQ152" s="2" t="str">
        <f aca="false">INDEX('NBA Library'!$F$4:$F$21,MATCH(AJ152,'NBA Library'!$A$4:$A$21,0))</f>
        <v>Any repeat order within 90 days</v>
      </c>
      <c r="AR152" s="2" t="str">
        <f aca="false">IF(AND(F152="Low",OR(G152="Growing",G152="Stable"),P152="Recently Active",U152&lt;&gt;"Mixed",OR(AK152="Discovery-to-Offer Enablement",AK152="Reinforce Successful Behaviour"),AM152="Ready — Automated",OR(E152&lt;&gt;"Tail",S152)),"Range Expansion Test — trial "&amp;IF(U152="Bundle-only","handpick","bundles")&amp;" (experimental; not proven to lift GMV)","")</f>
        <v/>
      </c>
      <c r="AS152" s="2" t="str">
        <f aca="false">IF(AK152&lt;&gt;"Automated Nurture","",IF(AJ152="DORMANT_LOW_VALUE","Dormant",IF(AJ152="RISING_TAIL_EARLY","Rising tail – early pattern",IF(Q152="New Customer","New customer onboarding",IF(Q152="Returned Customer","Returned customer",IF(G152="Lapsed","Dormant",IF(T152="Engaged, not converting","Engaged, not converting",IF(T152="One-off low-touch buyer","One-off purchaser",IF(T152="Light-touch repeat buyer","Light-touch repeat buyer","Standard long tail")))))))))</f>
        <v>Dormant</v>
      </c>
      <c r="AT152" s="2" t="str">
        <f aca="false">IF(AA152,"CRITICAL_DATA_BLOCKER; ","")&amp;IF(Y152,"KEY_SIGNOFF; ","")&amp;IF(Z152="Manual Review","PHASE1_MANUAL_REVIEW; ","")&amp;IF(AND(LEFT(D152,1)="1",AZ152="Lumpy"),"LUMPY_CADENCE; ","")&amp;IF(AB152,"BORDERLINE_MOMENTUM; ","")&amp;IF(AC152,"FEB_SENSITIVE; ","")&amp;IF(AD152,"MATERIAL_BROKER_INCONSISTENCY"&amp;IF(AE152," (segment would change)","")&amp;"; ","")&amp;IF(AND(I152&gt;=3,O152&gt;0),IF(AI152&gt;=Assumptions!$B$75,"H2_SINGLE_MONTH_SPIKE; ",""),"")&amp;IF(AND(M152&gt;0,N152=0),"NO_FEB_GMV (Feb unconfirmed); ","")&amp;IF(AF152,"LOW_CONFIDENCE; ","")</f>
        <v>LOW_CONFIDENCE; </v>
      </c>
      <c r="AU152" s="2" t="str">
        <f aca="false">IF(LEFT(D152,1)="1",V152,"")</f>
        <v/>
      </c>
      <c r="AV152" s="2" t="str">
        <f aca="false">IF(LEFT(D152,1)="1",V152&gt;=Assumptions!$B$58,"")</f>
        <v/>
      </c>
      <c r="AW152" s="2" t="str">
        <f aca="false">IF(LEFT(D152,1)="1",W152,"")</f>
        <v/>
      </c>
      <c r="AX152" s="2" t="str">
        <f aca="false">IF(LEFT(D152,1)="1",X152,"")</f>
        <v/>
      </c>
      <c r="AY152" s="17" t="str">
        <f aca="false">IF(LEFT(D152,1)="1",J152/I152,"")</f>
        <v/>
      </c>
      <c r="AZ152" s="2" t="str">
        <f aca="false">IF(LEFT(D152,1)="1",IF(AND(K152&gt;=Assumptions!$B$83,I152&gt;=Assumptions!$B$84),"Regular","Lumpy"),"")</f>
        <v/>
      </c>
      <c r="BA152" s="2" t="str">
        <f aca="false">IF(LEFT(D152,1)="1",ROUND(6/K152,0),"")</f>
        <v/>
      </c>
      <c r="BB152" s="2" t="str">
        <f aca="false">IF(LEFT(D152,1)="1",IF(AZ152="Regular","Regular buyer: expected ~£"&amp;TEXT(H152/2,"#,##0")&amp;" per 90 days. At Risk if GMV to date &lt; "&amp;TEXT(Assumptions!$B$81,"0%")&amp;" of pro-rated expectation, checked from day "&amp;Assumptions!$B$82&amp;". Human-reviewed.","Irregular buyer ("&amp;I152&amp;" orders across "&amp;K152&amp;" months): no numeric GMV threshold. At Risk if no order within ~"&amp;BA152&amp;" month(s); AM reviews at day "&amp;Assumptions!$B$82&amp;" and "&amp;Assumptions!$B$85&amp;"."),"")</f>
        <v/>
      </c>
      <c r="BC152" s="2"/>
      <c r="BD152" s="2"/>
      <c r="BE152" s="2"/>
      <c r="BF152" s="2"/>
      <c r="BG152" s="2"/>
      <c r="BH152" s="2"/>
      <c r="BI152" s="2"/>
      <c r="BJ152" s="2" t="str">
        <f aca="false">IF(OR(NOT(LEFT(D152,1)="1"),BC152=""),"",IF(AZ152="Regular",AND(BC152&gt;=Assumptions!$B$82,N(BI152)&lt;Assumptions!$B$81*H152/180*BC152),AND(BC152&gt;=BA152*30,N(BG152)=0)))</f>
        <v/>
      </c>
      <c r="BK152" s="2" t="str">
        <f aca="false">IF(NOT(LEFT(D152,1)="1"),"N/A",IF(BC152="","Baseline",IF(BJ152,"At Risk",IF(AND(N(BD152)&gt;=Assumptions!$B$78,N(BE152)&gt;=Assumptions!$B$79,N(BH152)&gt;=1,N(BH152)/MAX(N(BG152),1)&gt;AY152),"Self-Serve Capability Demonstrated",IF(OR(N(BD152)&gt;=Assumptions!$B$76,N(BE152)&gt;=Assumptions!$B$77),"Progressing",IF(BC152&gt;=Assumptions!$B$85,"At Risk","Baseline"))))))</f>
        <v>N/A</v>
      </c>
      <c r="BL152" s="2" t="n">
        <f aca="false">(AND(C152="Broker-Reliant",OR(AK152="Discovery-to-Offer Enablement",AK152="Reinforce Successful Behaviour")))*1+(AND(G152="Declining",E152&lt;&gt;"Tail",AL152="Automated"))*1+(AND(Y152,AM152&lt;&gt;"Human Sign-Off Required"))*1+(AND(AA152,AM152&lt;&gt;"HOLD — Critical Data Issue"))*1+(AND(P152="Recent Inactivity",OR(AK152="Discovery-to-Offer Enablement",AK152="Reinforce Successful Behaviour")))*1+(AND(OR(LEFT(D152,1)="2",LEFT(D152,1)="3",LEFT(D152,1)="8"),AL152="Automated"))*1+((LEFT(D152,1)="1")&lt;&gt;(AK152="Guided Self-Serve Migration"))*1+(AND(AR152&lt;&gt;"",OR(F152&lt;&gt;"Low",U152="Mixed",AND(G152&lt;&gt;"Growing",G152&lt;&gt;"Stable"))))*1+ISNUMBER(SEARCH("chat",AP152))*1+ISNUMBER(SEARCH("video",AP152))*1+(AND(AA152,AL152="Automated",AM152&lt;&gt;"HOLD — Critical Data Issue"))*1</f>
        <v>0</v>
      </c>
    </row>
    <row r="153" customFormat="false" ht="15" hidden="false" customHeight="false" outlineLevel="0" collapsed="false">
      <c r="A153" s="2" t="s">
        <v>812</v>
      </c>
      <c r="B153" s="2" t="str">
        <f aca="false">INDEX(Segmentation!$B$2:$B$301,MATCH($A153,Segmentation!$A$2:$A$301,0))</f>
        <v>Account Managed</v>
      </c>
      <c r="C153" s="2" t="str">
        <f aca="false">INDEX(Segmentation!$H$2:$H$301,MATCH($A153,Segmentation!$A$2:$A$301,0))</f>
        <v>AM-Owned / Self-Serving</v>
      </c>
      <c r="D153" s="2" t="str">
        <f aca="false">INDEX(Segmentation!$T$2:$T$301,MATCH($A153,Segmentation!$A$2:$A$301,0))</f>
        <v>9. Long-Tail Automated Nurture</v>
      </c>
      <c r="E153" s="2" t="str">
        <f aca="false">INDEX(Segmentation!$J$2:$J$301,MATCH($A153,Segmentation!$A$2:$A$301,0))</f>
        <v>Tail</v>
      </c>
      <c r="F153" s="2" t="str">
        <f aca="false">INDEX(Segmentation!$G$2:$G$301,MATCH($A153,Segmentation!$A$2:$A$301,0))</f>
        <v>Low</v>
      </c>
      <c r="G153" s="2" t="str">
        <f aca="false">INDEX(Segmentation!$N$2:$N$301,MATCH($A153,Segmentation!$A$2:$A$301,0))</f>
        <v>Lapsed</v>
      </c>
      <c r="H153" s="9" t="n">
        <f aca="false">INDEX(Segmentation!$I$2:$I$301,MATCH($A153,Segmentation!$A$2:$A$301,0))</f>
        <v>273</v>
      </c>
      <c r="I153" s="2" t="n">
        <f aca="false">INDEX(Segmentation!$O$2:$O$301,MATCH($A153,Segmentation!$A$2:$A$301,0))</f>
        <v>1</v>
      </c>
      <c r="J153" s="2" t="n">
        <f aca="false">INDEX(Segmentation!$Q$2:$Q$301,MATCH($A153,Segmentation!$A$2:$A$301,0))</f>
        <v>1</v>
      </c>
      <c r="K153" s="2" t="n">
        <f aca="false">INDEX(Segmentation!$W$2:$W$301,MATCH($A153,Segmentation!$A$2:$A$301,0))</f>
        <v>1</v>
      </c>
      <c r="L153" s="9" t="n">
        <f aca="false">INDEX('Commercial View'!$L$2:$L$301,MATCH($A153,'Commercial View'!$A$2:$A$301,0))</f>
        <v>0</v>
      </c>
      <c r="M153" s="9" t="n">
        <f aca="false">INDEX('Commercial View'!$M$2:$M$301,MATCH($A153,'Commercial View'!$A$2:$A$301,0))</f>
        <v>0</v>
      </c>
      <c r="N153" s="9" t="n">
        <f aca="false">INDEX('Commercial View'!$N$2:$N$301,MATCH($A153,'Commercial View'!$A$2:$A$301,0))</f>
        <v>0</v>
      </c>
      <c r="O153" s="9" t="n">
        <f aca="false">INDEX(Segmentation!$L$2:$L$301,MATCH($A153,Segmentation!$A$2:$A$301,0))</f>
        <v>0</v>
      </c>
      <c r="P153" s="2" t="str">
        <f aca="false">IF(OR(M153&gt;0,N153&gt;0),"Recently Active",IF(OR(I153&lt;=Assumptions!$B$48,K153&lt;=Assumptions!$B$49),"No Meaningful History","Recent Inactivity"))</f>
        <v>No Meaningful History</v>
      </c>
      <c r="Q153" s="2" t="str">
        <f aca="false">INDEX(Segmentation!$AF$2:$AF$301,MATCH($A153,Segmentation!$A$2:$A$301,0))</f>
        <v>Existing Customer</v>
      </c>
      <c r="R153" s="2" t="str">
        <f aca="false">INDEX(Segmentation!$AL$2:$AL$301,MATCH($A153,Segmentation!$A$2:$A$301,0))</f>
        <v>One-Off / Insufficient History — Verify</v>
      </c>
      <c r="S153" s="10" t="b">
        <f aca="false">INDEX(Segmentation!$AW$2:$AW$301,MATCH($A153,Segmentation!$A$2:$A$301,0))</f>
        <v>0</v>
      </c>
      <c r="T153" s="2" t="str">
        <f aca="false">INDEX('Feature Data'!$AD$2:$AD$301,MATCH($A153,'Feature Data'!$A$2:$A$301,0))</f>
        <v>Engaged, not converting</v>
      </c>
      <c r="U153" s="2" t="str">
        <f aca="false">INDEX('Feature Data'!$W$2:$W$301,MATCH($A153,'Feature Data'!$A$2:$A$301,0))</f>
        <v>Bundle-only</v>
      </c>
      <c r="V153" s="2" t="n">
        <f aca="false">INDEX('Feature Data'!$P$2:$P$301,MATCH($A153,'Feature Data'!$A$2:$A$301,0))</f>
        <v>297</v>
      </c>
      <c r="W153" s="2" t="n">
        <f aca="false">INDEX(Segmentation!$R$2:$R$301,MATCH($A153,Segmentation!$A$2:$A$301,0))</f>
        <v>26</v>
      </c>
      <c r="X153" s="2" t="n">
        <f aca="false">INDEX(Segmentation!$S$2:$S$301,MATCH($A153,Segmentation!$A$2:$A$301,0))</f>
        <v>1</v>
      </c>
      <c r="Y153" s="10" t="b">
        <f aca="false">INDEX(Segmentation!$AG$2:$AG$301,MATCH($A153,Segmentation!$A$2:$A$301,0))</f>
        <v>0</v>
      </c>
      <c r="Z153" s="2" t="str">
        <f aca="false">INDEX(Segmentation!$AU$2:$AU$301,MATCH($A153,Segmentation!$A$2:$A$301,0))</f>
        <v>Not Eligible</v>
      </c>
      <c r="AA153" s="10" t="b">
        <f aca="false">INDEX(Segmentation!$Z$2:$Z$301,MATCH($A153,Segmentation!$A$2:$A$301,0))</f>
        <v>0</v>
      </c>
      <c r="AB153" s="10" t="b">
        <f aca="false">INDEX(Segmentation!$AH$2:$AH$301,MATCH($A153,Segmentation!$A$2:$A$301,0))</f>
        <v>0</v>
      </c>
      <c r="AC153" s="10" t="b">
        <f aca="false">INDEX(Segmentation!$AK$2:$AK$301,MATCH($A153,Segmentation!$A$2:$A$301,0))</f>
        <v>0</v>
      </c>
      <c r="AD153" s="10" t="b">
        <f aca="false">INDEX(Segmentation!$AQ$2:$AQ$301,MATCH($A153,Segmentation!$A$2:$A$301,0))</f>
        <v>0</v>
      </c>
      <c r="AE153" s="10" t="b">
        <f aca="false">INDEX(Segmentation!$AT$2:$AT$301,MATCH($A153,Segmentation!$A$2:$A$301,0))</f>
        <v>0</v>
      </c>
      <c r="AF153" s="10" t="b">
        <f aca="false">INDEX(Segmentation!$X$2:$X$301,MATCH($A153,Segmentation!$A$2:$A$301,0))</f>
        <v>1</v>
      </c>
      <c r="AG153" s="10" t="b">
        <f aca="false">AND(F153="Low",V153&gt;=Assumptions!$B$71,X153&lt;Assumptions!$B$72)</f>
        <v>1</v>
      </c>
      <c r="AH153" s="10" t="b">
        <f aca="false">AND(F153="Low",OR(G153="Growing",G153="Stable"),P153="Recently Active",V153&gt;=Assumptions!$B$58,K153&gt;=Assumptions!$B$73)</f>
        <v>0</v>
      </c>
      <c r="AI153" s="17" t="str">
        <f aca="false">IF(O153&gt;0,MAX(L153:N153)/O153,"")</f>
        <v/>
      </c>
      <c r="AJ153" s="2" t="str">
        <f aca="false">IF(LEFT(D153,1)="1",IF(E153="Key","MIGRATION_KEY_SIGNOFF",IF(Z153="Ready","MIGRATION_PHASE1_READY",IF(Z153="Manual Review","MIGRATION_PHASE1_REVIEW","MIGRATION_PRE_ENTRY"))),IF(LEFT(D153,1)="2","DECLINING_KEY_CORE",IF(LEFT(D153,1)="3",IF(R153="Established Buyer Lapsed","LAPSED_ESTABLISHED","LAPSED_THIN_HISTORY"),IF(LEFT(D153,1)="4",IF(Q153="New Customer","NEW_CUSTOMER","RETURNED_CUSTOMER"),IF(LEFT(D153,1)="5",IF(P153="Recently Active","COST_TO_SERVE_ACTIVE","DORMANT_LOW_VALUE"),IF(LEFT(D153,1)="6",IF(P153="Recent Inactivity","RECENT_INACTIVITY",IF(AG153,"BROWSING_LOW_OFFERS","HEALTHY_STRONG_SELF_SERVE")),IF(LEFT(D153,1)="7",IF(P153="Recent Inactivity","RECENT_INACTIVITY",IF(Q153="New Customer","NEW_CUSTOMER","RETURNED_CUSTOMER")),IF(LEFT(D153,1)="8",IF(G153="Declining",IF(T153="Engaged but shrinking (Key/Core)","ENGAGED_BUT_SHRINKING","DECLINING_KEY_CORE"),IF(R153="Established Buyer Lapsed","LAPSED_ESTABLISHED","LAPSED_THIN_HISTORY")),IF(S153,IF(P153&lt;&gt;"Recently Active","DORMANT_LOW_VALUE",IF(AG153,"BROWSING_LOW_OFFERS",IF(AH153,"RISING_TAIL","RISING_TAIL_EARLY"))),IF(AND(AG153,P153="Recently Active",OR(G153="Growing",G153="Stable",G153="H2 Active / No H1 GMV"),I153&gt;=Assumptions!$B$74),"BROWSING_LOW_OFFERS","LONG_TAIL_STANDARD"))))))))))</f>
        <v>LONG_TAIL_STANDARD</v>
      </c>
      <c r="AK153" s="2" t="str">
        <f aca="false">INDEX('NBA Library'!$B$4:$B$21,MATCH(AJ153,'NBA Library'!$A$4:$A$21,0))</f>
        <v>Automated Nurture</v>
      </c>
      <c r="AL153" s="2" t="str">
        <f aca="false">INDEX('NBA Library'!$C$4:$C$21,MATCH(AJ153,'NBA Library'!$A$4:$A$21,0))</f>
        <v>Automated</v>
      </c>
      <c r="AM153" s="2" t="str">
        <f aca="false">IF(AA153,"HOLD — Critical Data Issue",IF(Y153,"Human Sign-Off Required",IF(Z153="Manual Review","Human Review Required",IF(AND(AL153="Automated",OR(AE153,AND(OR(AK153="Discovery-to-Offer Enablement",AK153="Reinforce Successful Behaviour"),OR(AC153,AB153)))),"Human Review Required",IF(AL153="Human","Ready — Human",IF(AL153="Hybrid","Ready — Hybrid","Ready — Automated"))))))</f>
        <v>Ready — Automated</v>
      </c>
      <c r="AN153" s="2" t="str">
        <f aca="false">IF(AA153,"P0",IF(AND(AJ153="BROWSING_LOW_OFFERS",E153="Tail"),"P3",IF(AND(AM153="Human Review Required",INDEX('NBA Library'!$D$4:$D$21,MATCH(AJ153,'NBA Library'!$A$4:$A$21,0))="P4"),"P3",INDEX('NBA Library'!$D$4:$D$21,MATCH(AJ153,'NBA Library'!$A$4:$A$21,0)))))</f>
        <v>P4</v>
      </c>
      <c r="AO153" s="2" t="str">
        <f aca="false">E153&amp;" "&amp;C153&amp;" account ("&amp;B153&amp;"); "&amp;G153&amp;" momentum; "&amp;P153&amp;"; £"&amp;TEXT(H153,"#,##0")&amp;" 6m GMV. "&amp;INDEX('NBA Library'!$G$4:$G$21,MATCH(AJ153,'NBA Library'!$A$4:$A$21,0))&amp;IF(LEFT(D153,1)="1"," Baseline: "&amp;V153&amp;" PDP views, "&amp;W153&amp;" app days, "&amp;X153&amp;" offers, "&amp;TEXT(J153/I153,"0%")&amp;" of orders self-serve.","")&amp;IF(AA153," Execution on HOLD until the Duplicate status is resolved.","")&amp;IF(Y153," Key account: explicit AM/leadership sign-off required before any migration activity.","")&amp;IF(AE153," Implied broker % from order counts would move this account to a different segment; review before automating.","")</f>
        <v>Tail AM-Owned / Self-Serving account (Account Managed); Lapsed momentum; No Meaningful History; £273 6m GMV. Low-value, low-dependency account. Scalable automated engagement.</v>
      </c>
      <c r="AP153" s="2" t="str">
        <f aca="false">INDEX('NBA Library'!$E$4:$E$21,MATCH(AJ153,'NBA Library'!$A$4:$A$21,0))&amp;IF(AND(AJ153="NEW_CUSTOMER",AG153),"; introduce Make-an-Offer on items already browsed","")</f>
        <v>Scalable automated engagement matched to nurture sub-context</v>
      </c>
      <c r="AQ153" s="2" t="str">
        <f aca="false">INDEX('NBA Library'!$F$4:$F$21,MATCH(AJ153,'NBA Library'!$A$4:$A$21,0))</f>
        <v>Any repeat order within 90 days</v>
      </c>
      <c r="AR153" s="2" t="str">
        <f aca="false">IF(AND(F153="Low",OR(G153="Growing",G153="Stable"),P153="Recently Active",U153&lt;&gt;"Mixed",OR(AK153="Discovery-to-Offer Enablement",AK153="Reinforce Successful Behaviour"),AM153="Ready — Automated",OR(E153&lt;&gt;"Tail",S153)),"Range Expansion Test — trial "&amp;IF(U153="Bundle-only","handpick","bundles")&amp;" (experimental; not proven to lift GMV)","")</f>
        <v/>
      </c>
      <c r="AS153" s="2" t="str">
        <f aca="false">IF(AK153&lt;&gt;"Automated Nurture","",IF(AJ153="DORMANT_LOW_VALUE","Dormant",IF(AJ153="RISING_TAIL_EARLY","Rising tail – early pattern",IF(Q153="New Customer","New customer onboarding",IF(Q153="Returned Customer","Returned customer",IF(G153="Lapsed","Dormant",IF(T153="Engaged, not converting","Engaged, not converting",IF(T153="One-off low-touch buyer","One-off purchaser",IF(T153="Light-touch repeat buyer","Light-touch repeat buyer","Standard long tail")))))))))</f>
        <v>Dormant</v>
      </c>
      <c r="AT153" s="2" t="str">
        <f aca="false">IF(AA153,"CRITICAL_DATA_BLOCKER; ","")&amp;IF(Y153,"KEY_SIGNOFF; ","")&amp;IF(Z153="Manual Review","PHASE1_MANUAL_REVIEW; ","")&amp;IF(AND(LEFT(D153,1)="1",AZ153="Lumpy"),"LUMPY_CADENCE; ","")&amp;IF(AB153,"BORDERLINE_MOMENTUM; ","")&amp;IF(AC153,"FEB_SENSITIVE; ","")&amp;IF(AD153,"MATERIAL_BROKER_INCONSISTENCY"&amp;IF(AE153," (segment would change)","")&amp;"; ","")&amp;IF(AND(I153&gt;=3,O153&gt;0),IF(AI153&gt;=Assumptions!$B$75,"H2_SINGLE_MONTH_SPIKE; ",""),"")&amp;IF(AND(M153&gt;0,N153=0),"NO_FEB_GMV (Feb unconfirmed); ","")&amp;IF(AF153,"LOW_CONFIDENCE; ","")</f>
        <v>LOW_CONFIDENCE; </v>
      </c>
      <c r="AU153" s="2" t="str">
        <f aca="false">IF(LEFT(D153,1)="1",V153,"")</f>
        <v/>
      </c>
      <c r="AV153" s="2" t="str">
        <f aca="false">IF(LEFT(D153,1)="1",V153&gt;=Assumptions!$B$58,"")</f>
        <v/>
      </c>
      <c r="AW153" s="2" t="str">
        <f aca="false">IF(LEFT(D153,1)="1",W153,"")</f>
        <v/>
      </c>
      <c r="AX153" s="2" t="str">
        <f aca="false">IF(LEFT(D153,1)="1",X153,"")</f>
        <v/>
      </c>
      <c r="AY153" s="17" t="str">
        <f aca="false">IF(LEFT(D153,1)="1",J153/I153,"")</f>
        <v/>
      </c>
      <c r="AZ153" s="2" t="str">
        <f aca="false">IF(LEFT(D153,1)="1",IF(AND(K153&gt;=Assumptions!$B$83,I153&gt;=Assumptions!$B$84),"Regular","Lumpy"),"")</f>
        <v/>
      </c>
      <c r="BA153" s="2" t="str">
        <f aca="false">IF(LEFT(D153,1)="1",ROUND(6/K153,0),"")</f>
        <v/>
      </c>
      <c r="BB153" s="2" t="str">
        <f aca="false">IF(LEFT(D153,1)="1",IF(AZ153="Regular","Regular buyer: expected ~£"&amp;TEXT(H153/2,"#,##0")&amp;" per 90 days. At Risk if GMV to date &lt; "&amp;TEXT(Assumptions!$B$81,"0%")&amp;" of pro-rated expectation, checked from day "&amp;Assumptions!$B$82&amp;". Human-reviewed.","Irregular buyer ("&amp;I153&amp;" orders across "&amp;K153&amp;" months): no numeric GMV threshold. At Risk if no order within ~"&amp;BA153&amp;" month(s); AM reviews at day "&amp;Assumptions!$B$82&amp;" and "&amp;Assumptions!$B$85&amp;"."),"")</f>
        <v/>
      </c>
      <c r="BC153" s="2"/>
      <c r="BD153" s="2"/>
      <c r="BE153" s="2"/>
      <c r="BF153" s="2"/>
      <c r="BG153" s="2"/>
      <c r="BH153" s="2"/>
      <c r="BI153" s="2"/>
      <c r="BJ153" s="2" t="str">
        <f aca="false">IF(OR(NOT(LEFT(D153,1)="1"),BC153=""),"",IF(AZ153="Regular",AND(BC153&gt;=Assumptions!$B$82,N(BI153)&lt;Assumptions!$B$81*H153/180*BC153),AND(BC153&gt;=BA153*30,N(BG153)=0)))</f>
        <v/>
      </c>
      <c r="BK153" s="2" t="str">
        <f aca="false">IF(NOT(LEFT(D153,1)="1"),"N/A",IF(BC153="","Baseline",IF(BJ153,"At Risk",IF(AND(N(BD153)&gt;=Assumptions!$B$78,N(BE153)&gt;=Assumptions!$B$79,N(BH153)&gt;=1,N(BH153)/MAX(N(BG153),1)&gt;AY153),"Self-Serve Capability Demonstrated",IF(OR(N(BD153)&gt;=Assumptions!$B$76,N(BE153)&gt;=Assumptions!$B$77),"Progressing",IF(BC153&gt;=Assumptions!$B$85,"At Risk","Baseline"))))))</f>
        <v>N/A</v>
      </c>
      <c r="BL153" s="2" t="n">
        <f aca="false">(AND(C153="Broker-Reliant",OR(AK153="Discovery-to-Offer Enablement",AK153="Reinforce Successful Behaviour")))*1+(AND(G153="Declining",E153&lt;&gt;"Tail",AL153="Automated"))*1+(AND(Y153,AM153&lt;&gt;"Human Sign-Off Required"))*1+(AND(AA153,AM153&lt;&gt;"HOLD — Critical Data Issue"))*1+(AND(P153="Recent Inactivity",OR(AK153="Discovery-to-Offer Enablement",AK153="Reinforce Successful Behaviour")))*1+(AND(OR(LEFT(D153,1)="2",LEFT(D153,1)="3",LEFT(D153,1)="8"),AL153="Automated"))*1+((LEFT(D153,1)="1")&lt;&gt;(AK153="Guided Self-Serve Migration"))*1+(AND(AR153&lt;&gt;"",OR(F153&lt;&gt;"Low",U153="Mixed",AND(G153&lt;&gt;"Growing",G153&lt;&gt;"Stable"))))*1+ISNUMBER(SEARCH("chat",AP153))*1+ISNUMBER(SEARCH("video",AP153))*1+(AND(AA153,AL153="Automated",AM153&lt;&gt;"HOLD — Critical Data Issue"))*1</f>
        <v>0</v>
      </c>
    </row>
    <row r="154" customFormat="false" ht="15" hidden="false" customHeight="false" outlineLevel="0" collapsed="false">
      <c r="A154" s="2" t="s">
        <v>814</v>
      </c>
      <c r="B154" s="2" t="str">
        <f aca="false">INDEX(Segmentation!$B$2:$B$301,MATCH($A154,Segmentation!$A$2:$A$301,0))</f>
        <v>Account Managed</v>
      </c>
      <c r="C154" s="2" t="str">
        <f aca="false">INDEX(Segmentation!$H$2:$H$301,MATCH($A154,Segmentation!$A$2:$A$301,0))</f>
        <v>AM-Owned / Self-Serving</v>
      </c>
      <c r="D154" s="2" t="str">
        <f aca="false">INDEX(Segmentation!$T$2:$T$301,MATCH($A154,Segmentation!$A$2:$A$301,0))</f>
        <v>9. Long-Tail Automated Nurture</v>
      </c>
      <c r="E154" s="2" t="str">
        <f aca="false">INDEX(Segmentation!$J$2:$J$301,MATCH($A154,Segmentation!$A$2:$A$301,0))</f>
        <v>Tail</v>
      </c>
      <c r="F154" s="2" t="str">
        <f aca="false">INDEX(Segmentation!$G$2:$G$301,MATCH($A154,Segmentation!$A$2:$A$301,0))</f>
        <v>Low</v>
      </c>
      <c r="G154" s="2" t="str">
        <f aca="false">INDEX(Segmentation!$N$2:$N$301,MATCH($A154,Segmentation!$A$2:$A$301,0))</f>
        <v>Lapsed</v>
      </c>
      <c r="H154" s="9" t="n">
        <f aca="false">INDEX(Segmentation!$I$2:$I$301,MATCH($A154,Segmentation!$A$2:$A$301,0))</f>
        <v>272</v>
      </c>
      <c r="I154" s="2" t="n">
        <f aca="false">INDEX(Segmentation!$O$2:$O$301,MATCH($A154,Segmentation!$A$2:$A$301,0))</f>
        <v>1</v>
      </c>
      <c r="J154" s="2" t="n">
        <f aca="false">INDEX(Segmentation!$Q$2:$Q$301,MATCH($A154,Segmentation!$A$2:$A$301,0))</f>
        <v>1</v>
      </c>
      <c r="K154" s="2" t="n">
        <f aca="false">INDEX(Segmentation!$W$2:$W$301,MATCH($A154,Segmentation!$A$2:$A$301,0))</f>
        <v>1</v>
      </c>
      <c r="L154" s="9" t="n">
        <f aca="false">INDEX('Commercial View'!$L$2:$L$301,MATCH($A154,'Commercial View'!$A$2:$A$301,0))</f>
        <v>0</v>
      </c>
      <c r="M154" s="9" t="n">
        <f aca="false">INDEX('Commercial View'!$M$2:$M$301,MATCH($A154,'Commercial View'!$A$2:$A$301,0))</f>
        <v>0</v>
      </c>
      <c r="N154" s="9" t="n">
        <f aca="false">INDEX('Commercial View'!$N$2:$N$301,MATCH($A154,'Commercial View'!$A$2:$A$301,0))</f>
        <v>0</v>
      </c>
      <c r="O154" s="9" t="n">
        <f aca="false">INDEX(Segmentation!$L$2:$L$301,MATCH($A154,Segmentation!$A$2:$A$301,0))</f>
        <v>0</v>
      </c>
      <c r="P154" s="2" t="str">
        <f aca="false">IF(OR(M154&gt;0,N154&gt;0),"Recently Active",IF(OR(I154&lt;=Assumptions!$B$48,K154&lt;=Assumptions!$B$49),"No Meaningful History","Recent Inactivity"))</f>
        <v>No Meaningful History</v>
      </c>
      <c r="Q154" s="2" t="str">
        <f aca="false">INDEX(Segmentation!$AF$2:$AF$301,MATCH($A154,Segmentation!$A$2:$A$301,0))</f>
        <v>Existing Customer</v>
      </c>
      <c r="R154" s="2" t="str">
        <f aca="false">INDEX(Segmentation!$AL$2:$AL$301,MATCH($A154,Segmentation!$A$2:$A$301,0))</f>
        <v>One-Off / Insufficient History — Verify</v>
      </c>
      <c r="S154" s="10" t="b">
        <f aca="false">INDEX(Segmentation!$AW$2:$AW$301,MATCH($A154,Segmentation!$A$2:$A$301,0))</f>
        <v>0</v>
      </c>
      <c r="T154" s="2" t="str">
        <f aca="false">INDEX('Feature Data'!$AD$2:$AD$301,MATCH($A154,'Feature Data'!$A$2:$A$301,0))</f>
        <v>One-off low-touch buyer</v>
      </c>
      <c r="U154" s="2" t="str">
        <f aca="false">INDEX('Feature Data'!$W$2:$W$301,MATCH($A154,'Feature Data'!$A$2:$A$301,0))</f>
        <v>Handpick-only</v>
      </c>
      <c r="V154" s="2" t="n">
        <f aca="false">INDEX('Feature Data'!$P$2:$P$301,MATCH($A154,'Feature Data'!$A$2:$A$301,0))</f>
        <v>132</v>
      </c>
      <c r="W154" s="2" t="n">
        <f aca="false">INDEX(Segmentation!$R$2:$R$301,MATCH($A154,Segmentation!$A$2:$A$301,0))</f>
        <v>11</v>
      </c>
      <c r="X154" s="2" t="n">
        <f aca="false">INDEX(Segmentation!$S$2:$S$301,MATCH($A154,Segmentation!$A$2:$A$301,0))</f>
        <v>0</v>
      </c>
      <c r="Y154" s="10" t="b">
        <f aca="false">INDEX(Segmentation!$AG$2:$AG$301,MATCH($A154,Segmentation!$A$2:$A$301,0))</f>
        <v>0</v>
      </c>
      <c r="Z154" s="2" t="str">
        <f aca="false">INDEX(Segmentation!$AU$2:$AU$301,MATCH($A154,Segmentation!$A$2:$A$301,0))</f>
        <v>Not Eligible</v>
      </c>
      <c r="AA154" s="10" t="b">
        <f aca="false">INDEX(Segmentation!$Z$2:$Z$301,MATCH($A154,Segmentation!$A$2:$A$301,0))</f>
        <v>0</v>
      </c>
      <c r="AB154" s="10" t="b">
        <f aca="false">INDEX(Segmentation!$AH$2:$AH$301,MATCH($A154,Segmentation!$A$2:$A$301,0))</f>
        <v>0</v>
      </c>
      <c r="AC154" s="10" t="b">
        <f aca="false">INDEX(Segmentation!$AK$2:$AK$301,MATCH($A154,Segmentation!$A$2:$A$301,0))</f>
        <v>0</v>
      </c>
      <c r="AD154" s="10" t="b">
        <f aca="false">INDEX(Segmentation!$AQ$2:$AQ$301,MATCH($A154,Segmentation!$A$2:$A$301,0))</f>
        <v>0</v>
      </c>
      <c r="AE154" s="10" t="b">
        <f aca="false">INDEX(Segmentation!$AT$2:$AT$301,MATCH($A154,Segmentation!$A$2:$A$301,0))</f>
        <v>0</v>
      </c>
      <c r="AF154" s="10" t="b">
        <f aca="false">INDEX(Segmentation!$X$2:$X$301,MATCH($A154,Segmentation!$A$2:$A$301,0))</f>
        <v>1</v>
      </c>
      <c r="AG154" s="10" t="b">
        <f aca="false">AND(F154="Low",V154&gt;=Assumptions!$B$71,X154&lt;Assumptions!$B$72)</f>
        <v>1</v>
      </c>
      <c r="AH154" s="10" t="b">
        <f aca="false">AND(F154="Low",OR(G154="Growing",G154="Stable"),P154="Recently Active",V154&gt;=Assumptions!$B$58,K154&gt;=Assumptions!$B$73)</f>
        <v>0</v>
      </c>
      <c r="AI154" s="17" t="str">
        <f aca="false">IF(O154&gt;0,MAX(L154:N154)/O154,"")</f>
        <v/>
      </c>
      <c r="AJ154" s="2" t="str">
        <f aca="false">IF(LEFT(D154,1)="1",IF(E154="Key","MIGRATION_KEY_SIGNOFF",IF(Z154="Ready","MIGRATION_PHASE1_READY",IF(Z154="Manual Review","MIGRATION_PHASE1_REVIEW","MIGRATION_PRE_ENTRY"))),IF(LEFT(D154,1)="2","DECLINING_KEY_CORE",IF(LEFT(D154,1)="3",IF(R154="Established Buyer Lapsed","LAPSED_ESTABLISHED","LAPSED_THIN_HISTORY"),IF(LEFT(D154,1)="4",IF(Q154="New Customer","NEW_CUSTOMER","RETURNED_CUSTOMER"),IF(LEFT(D154,1)="5",IF(P154="Recently Active","COST_TO_SERVE_ACTIVE","DORMANT_LOW_VALUE"),IF(LEFT(D154,1)="6",IF(P154="Recent Inactivity","RECENT_INACTIVITY",IF(AG154,"BROWSING_LOW_OFFERS","HEALTHY_STRONG_SELF_SERVE")),IF(LEFT(D154,1)="7",IF(P154="Recent Inactivity","RECENT_INACTIVITY",IF(Q154="New Customer","NEW_CUSTOMER","RETURNED_CUSTOMER")),IF(LEFT(D154,1)="8",IF(G154="Declining",IF(T154="Engaged but shrinking (Key/Core)","ENGAGED_BUT_SHRINKING","DECLINING_KEY_CORE"),IF(R154="Established Buyer Lapsed","LAPSED_ESTABLISHED","LAPSED_THIN_HISTORY")),IF(S154,IF(P154&lt;&gt;"Recently Active","DORMANT_LOW_VALUE",IF(AG154,"BROWSING_LOW_OFFERS",IF(AH154,"RISING_TAIL","RISING_TAIL_EARLY"))),IF(AND(AG154,P154="Recently Active",OR(G154="Growing",G154="Stable",G154="H2 Active / No H1 GMV"),I154&gt;=Assumptions!$B$74),"BROWSING_LOW_OFFERS","LONG_TAIL_STANDARD"))))))))))</f>
        <v>LONG_TAIL_STANDARD</v>
      </c>
      <c r="AK154" s="2" t="str">
        <f aca="false">INDEX('NBA Library'!$B$4:$B$21,MATCH(AJ154,'NBA Library'!$A$4:$A$21,0))</f>
        <v>Automated Nurture</v>
      </c>
      <c r="AL154" s="2" t="str">
        <f aca="false">INDEX('NBA Library'!$C$4:$C$21,MATCH(AJ154,'NBA Library'!$A$4:$A$21,0))</f>
        <v>Automated</v>
      </c>
      <c r="AM154" s="2" t="str">
        <f aca="false">IF(AA154,"HOLD — Critical Data Issue",IF(Y154,"Human Sign-Off Required",IF(Z154="Manual Review","Human Review Required",IF(AND(AL154="Automated",OR(AE154,AND(OR(AK154="Discovery-to-Offer Enablement",AK154="Reinforce Successful Behaviour"),OR(AC154,AB154)))),"Human Review Required",IF(AL154="Human","Ready — Human",IF(AL154="Hybrid","Ready — Hybrid","Ready — Automated"))))))</f>
        <v>Ready — Automated</v>
      </c>
      <c r="AN154" s="2" t="str">
        <f aca="false">IF(AA154,"P0",IF(AND(AJ154="BROWSING_LOW_OFFERS",E154="Tail"),"P3",IF(AND(AM154="Human Review Required",INDEX('NBA Library'!$D$4:$D$21,MATCH(AJ154,'NBA Library'!$A$4:$A$21,0))="P4"),"P3",INDEX('NBA Library'!$D$4:$D$21,MATCH(AJ154,'NBA Library'!$A$4:$A$21,0)))))</f>
        <v>P4</v>
      </c>
      <c r="AO154" s="2" t="str">
        <f aca="false">E154&amp;" "&amp;C154&amp;" account ("&amp;B154&amp;"); "&amp;G154&amp;" momentum; "&amp;P154&amp;"; £"&amp;TEXT(H154,"#,##0")&amp;" 6m GMV. "&amp;INDEX('NBA Library'!$G$4:$G$21,MATCH(AJ154,'NBA Library'!$A$4:$A$21,0))&amp;IF(LEFT(D154,1)="1"," Baseline: "&amp;V154&amp;" PDP views, "&amp;W154&amp;" app days, "&amp;X154&amp;" offers, "&amp;TEXT(J154/I154,"0%")&amp;" of orders self-serve.","")&amp;IF(AA154," Execution on HOLD until the Duplicate status is resolved.","")&amp;IF(Y154," Key account: explicit AM/leadership sign-off required before any migration activity.","")&amp;IF(AE154," Implied broker % from order counts would move this account to a different segment; review before automating.","")</f>
        <v>Tail AM-Owned / Self-Serving account (Account Managed); Lapsed momentum; No Meaningful History; £272 6m GMV. Low-value, low-dependency account. Scalable automated engagement.</v>
      </c>
      <c r="AP154" s="2" t="str">
        <f aca="false">INDEX('NBA Library'!$E$4:$E$21,MATCH(AJ154,'NBA Library'!$A$4:$A$21,0))&amp;IF(AND(AJ154="NEW_CUSTOMER",AG154),"; introduce Make-an-Offer on items already browsed","")</f>
        <v>Scalable automated engagement matched to nurture sub-context</v>
      </c>
      <c r="AQ154" s="2" t="str">
        <f aca="false">INDEX('NBA Library'!$F$4:$F$21,MATCH(AJ154,'NBA Library'!$A$4:$A$21,0))</f>
        <v>Any repeat order within 90 days</v>
      </c>
      <c r="AR154" s="2" t="str">
        <f aca="false">IF(AND(F154="Low",OR(G154="Growing",G154="Stable"),P154="Recently Active",U154&lt;&gt;"Mixed",OR(AK154="Discovery-to-Offer Enablement",AK154="Reinforce Successful Behaviour"),AM154="Ready — Automated",OR(E154&lt;&gt;"Tail",S154)),"Range Expansion Test — trial "&amp;IF(U154="Bundle-only","handpick","bundles")&amp;" (experimental; not proven to lift GMV)","")</f>
        <v/>
      </c>
      <c r="AS154" s="2" t="str">
        <f aca="false">IF(AK154&lt;&gt;"Automated Nurture","",IF(AJ154="DORMANT_LOW_VALUE","Dormant",IF(AJ154="RISING_TAIL_EARLY","Rising tail – early pattern",IF(Q154="New Customer","New customer onboarding",IF(Q154="Returned Customer","Returned customer",IF(G154="Lapsed","Dormant",IF(T154="Engaged, not converting","Engaged, not converting",IF(T154="One-off low-touch buyer","One-off purchaser",IF(T154="Light-touch repeat buyer","Light-touch repeat buyer","Standard long tail")))))))))</f>
        <v>Dormant</v>
      </c>
      <c r="AT154" s="2" t="str">
        <f aca="false">IF(AA154,"CRITICAL_DATA_BLOCKER; ","")&amp;IF(Y154,"KEY_SIGNOFF; ","")&amp;IF(Z154="Manual Review","PHASE1_MANUAL_REVIEW; ","")&amp;IF(AND(LEFT(D154,1)="1",AZ154="Lumpy"),"LUMPY_CADENCE; ","")&amp;IF(AB154,"BORDERLINE_MOMENTUM; ","")&amp;IF(AC154,"FEB_SENSITIVE; ","")&amp;IF(AD154,"MATERIAL_BROKER_INCONSISTENCY"&amp;IF(AE154," (segment would change)","")&amp;"; ","")&amp;IF(AND(I154&gt;=3,O154&gt;0),IF(AI154&gt;=Assumptions!$B$75,"H2_SINGLE_MONTH_SPIKE; ",""),"")&amp;IF(AND(M154&gt;0,N154=0),"NO_FEB_GMV (Feb unconfirmed); ","")&amp;IF(AF154,"LOW_CONFIDENCE; ","")</f>
        <v>LOW_CONFIDENCE; </v>
      </c>
      <c r="AU154" s="2" t="str">
        <f aca="false">IF(LEFT(D154,1)="1",V154,"")</f>
        <v/>
      </c>
      <c r="AV154" s="2" t="str">
        <f aca="false">IF(LEFT(D154,1)="1",V154&gt;=Assumptions!$B$58,"")</f>
        <v/>
      </c>
      <c r="AW154" s="2" t="str">
        <f aca="false">IF(LEFT(D154,1)="1",W154,"")</f>
        <v/>
      </c>
      <c r="AX154" s="2" t="str">
        <f aca="false">IF(LEFT(D154,1)="1",X154,"")</f>
        <v/>
      </c>
      <c r="AY154" s="17" t="str">
        <f aca="false">IF(LEFT(D154,1)="1",J154/I154,"")</f>
        <v/>
      </c>
      <c r="AZ154" s="2" t="str">
        <f aca="false">IF(LEFT(D154,1)="1",IF(AND(K154&gt;=Assumptions!$B$83,I154&gt;=Assumptions!$B$84),"Regular","Lumpy"),"")</f>
        <v/>
      </c>
      <c r="BA154" s="2" t="str">
        <f aca="false">IF(LEFT(D154,1)="1",ROUND(6/K154,0),"")</f>
        <v/>
      </c>
      <c r="BB154" s="2" t="str">
        <f aca="false">IF(LEFT(D154,1)="1",IF(AZ154="Regular","Regular buyer: expected ~£"&amp;TEXT(H154/2,"#,##0")&amp;" per 90 days. At Risk if GMV to date &lt; "&amp;TEXT(Assumptions!$B$81,"0%")&amp;" of pro-rated expectation, checked from day "&amp;Assumptions!$B$82&amp;". Human-reviewed.","Irregular buyer ("&amp;I154&amp;" orders across "&amp;K154&amp;" months): no numeric GMV threshold. At Risk if no order within ~"&amp;BA154&amp;" month(s); AM reviews at day "&amp;Assumptions!$B$82&amp;" and "&amp;Assumptions!$B$85&amp;"."),"")</f>
        <v/>
      </c>
      <c r="BC154" s="2"/>
      <c r="BD154" s="2"/>
      <c r="BE154" s="2"/>
      <c r="BF154" s="2"/>
      <c r="BG154" s="2"/>
      <c r="BH154" s="2"/>
      <c r="BI154" s="2"/>
      <c r="BJ154" s="2" t="str">
        <f aca="false">IF(OR(NOT(LEFT(D154,1)="1"),BC154=""),"",IF(AZ154="Regular",AND(BC154&gt;=Assumptions!$B$82,N(BI154)&lt;Assumptions!$B$81*H154/180*BC154),AND(BC154&gt;=BA154*30,N(BG154)=0)))</f>
        <v/>
      </c>
      <c r="BK154" s="2" t="str">
        <f aca="false">IF(NOT(LEFT(D154,1)="1"),"N/A",IF(BC154="","Baseline",IF(BJ154,"At Risk",IF(AND(N(BD154)&gt;=Assumptions!$B$78,N(BE154)&gt;=Assumptions!$B$79,N(BH154)&gt;=1,N(BH154)/MAX(N(BG154),1)&gt;AY154),"Self-Serve Capability Demonstrated",IF(OR(N(BD154)&gt;=Assumptions!$B$76,N(BE154)&gt;=Assumptions!$B$77),"Progressing",IF(BC154&gt;=Assumptions!$B$85,"At Risk","Baseline"))))))</f>
        <v>N/A</v>
      </c>
      <c r="BL154" s="2" t="n">
        <f aca="false">(AND(C154="Broker-Reliant",OR(AK154="Discovery-to-Offer Enablement",AK154="Reinforce Successful Behaviour")))*1+(AND(G154="Declining",E154&lt;&gt;"Tail",AL154="Automated"))*1+(AND(Y154,AM154&lt;&gt;"Human Sign-Off Required"))*1+(AND(AA154,AM154&lt;&gt;"HOLD — Critical Data Issue"))*1+(AND(P154="Recent Inactivity",OR(AK154="Discovery-to-Offer Enablement",AK154="Reinforce Successful Behaviour")))*1+(AND(OR(LEFT(D154,1)="2",LEFT(D154,1)="3",LEFT(D154,1)="8"),AL154="Automated"))*1+((LEFT(D154,1)="1")&lt;&gt;(AK154="Guided Self-Serve Migration"))*1+(AND(AR154&lt;&gt;"",OR(F154&lt;&gt;"Low",U154="Mixed",AND(G154&lt;&gt;"Growing",G154&lt;&gt;"Stable"))))*1+ISNUMBER(SEARCH("chat",AP154))*1+ISNUMBER(SEARCH("video",AP154))*1+(AND(AA154,AL154="Automated",AM154&lt;&gt;"HOLD — Critical Data Issue"))*1</f>
        <v>0</v>
      </c>
    </row>
    <row r="155" customFormat="false" ht="15" hidden="false" customHeight="false" outlineLevel="0" collapsed="false">
      <c r="A155" s="2" t="s">
        <v>818</v>
      </c>
      <c r="B155" s="2" t="str">
        <f aca="false">INDEX(Segmentation!$B$2:$B$301,MATCH($A155,Segmentation!$A$2:$A$301,0))</f>
        <v>Account Managed</v>
      </c>
      <c r="C155" s="2" t="str">
        <f aca="false">INDEX(Segmentation!$H$2:$H$301,MATCH($A155,Segmentation!$A$2:$A$301,0))</f>
        <v>AM-Owned / Self-Serving</v>
      </c>
      <c r="D155" s="2" t="str">
        <f aca="false">INDEX(Segmentation!$T$2:$T$301,MATCH($A155,Segmentation!$A$2:$A$301,0))</f>
        <v>9. Long-Tail Automated Nurture</v>
      </c>
      <c r="E155" s="2" t="str">
        <f aca="false">INDEX(Segmentation!$J$2:$J$301,MATCH($A155,Segmentation!$A$2:$A$301,0))</f>
        <v>Tail</v>
      </c>
      <c r="F155" s="2" t="str">
        <f aca="false">INDEX(Segmentation!$G$2:$G$301,MATCH($A155,Segmentation!$A$2:$A$301,0))</f>
        <v>Low</v>
      </c>
      <c r="G155" s="2" t="str">
        <f aca="false">INDEX(Segmentation!$N$2:$N$301,MATCH($A155,Segmentation!$A$2:$A$301,0))</f>
        <v>Lapsed</v>
      </c>
      <c r="H155" s="9" t="n">
        <f aca="false">INDEX(Segmentation!$I$2:$I$301,MATCH($A155,Segmentation!$A$2:$A$301,0))</f>
        <v>269</v>
      </c>
      <c r="I155" s="2" t="n">
        <f aca="false">INDEX(Segmentation!$O$2:$O$301,MATCH($A155,Segmentation!$A$2:$A$301,0))</f>
        <v>1</v>
      </c>
      <c r="J155" s="2" t="n">
        <f aca="false">INDEX(Segmentation!$Q$2:$Q$301,MATCH($A155,Segmentation!$A$2:$A$301,0))</f>
        <v>1</v>
      </c>
      <c r="K155" s="2" t="n">
        <f aca="false">INDEX(Segmentation!$W$2:$W$301,MATCH($A155,Segmentation!$A$2:$A$301,0))</f>
        <v>1</v>
      </c>
      <c r="L155" s="9" t="n">
        <f aca="false">INDEX('Commercial View'!$L$2:$L$301,MATCH($A155,'Commercial View'!$A$2:$A$301,0))</f>
        <v>0</v>
      </c>
      <c r="M155" s="9" t="n">
        <f aca="false">INDEX('Commercial View'!$M$2:$M$301,MATCH($A155,'Commercial View'!$A$2:$A$301,0))</f>
        <v>0</v>
      </c>
      <c r="N155" s="9" t="n">
        <f aca="false">INDEX('Commercial View'!$N$2:$N$301,MATCH($A155,'Commercial View'!$A$2:$A$301,0))</f>
        <v>0</v>
      </c>
      <c r="O155" s="9" t="n">
        <f aca="false">INDEX(Segmentation!$L$2:$L$301,MATCH($A155,Segmentation!$A$2:$A$301,0))</f>
        <v>0</v>
      </c>
      <c r="P155" s="2" t="str">
        <f aca="false">IF(OR(M155&gt;0,N155&gt;0),"Recently Active",IF(OR(I155&lt;=Assumptions!$B$48,K155&lt;=Assumptions!$B$49),"No Meaningful History","Recent Inactivity"))</f>
        <v>No Meaningful History</v>
      </c>
      <c r="Q155" s="2" t="str">
        <f aca="false">INDEX(Segmentation!$AF$2:$AF$301,MATCH($A155,Segmentation!$A$2:$A$301,0))</f>
        <v>Existing Customer</v>
      </c>
      <c r="R155" s="2" t="str">
        <f aca="false">INDEX(Segmentation!$AL$2:$AL$301,MATCH($A155,Segmentation!$A$2:$A$301,0))</f>
        <v>One-Off / Insufficient History — Verify</v>
      </c>
      <c r="S155" s="10" t="b">
        <f aca="false">INDEX(Segmentation!$AW$2:$AW$301,MATCH($A155,Segmentation!$A$2:$A$301,0))</f>
        <v>0</v>
      </c>
      <c r="T155" s="2" t="str">
        <f aca="false">INDEX('Feature Data'!$AD$2:$AD$301,MATCH($A155,'Feature Data'!$A$2:$A$301,0))</f>
        <v>One-off low-touch buyer</v>
      </c>
      <c r="U155" s="2" t="str">
        <f aca="false">INDEX('Feature Data'!$W$2:$W$301,MATCH($A155,'Feature Data'!$A$2:$A$301,0))</f>
        <v>Bundle-only</v>
      </c>
      <c r="V155" s="2" t="n">
        <f aca="false">INDEX('Feature Data'!$P$2:$P$301,MATCH($A155,'Feature Data'!$A$2:$A$301,0))</f>
        <v>173</v>
      </c>
      <c r="W155" s="2" t="n">
        <f aca="false">INDEX(Segmentation!$R$2:$R$301,MATCH($A155,Segmentation!$A$2:$A$301,0))</f>
        <v>12</v>
      </c>
      <c r="X155" s="2" t="n">
        <f aca="false">INDEX(Segmentation!$S$2:$S$301,MATCH($A155,Segmentation!$A$2:$A$301,0))</f>
        <v>0</v>
      </c>
      <c r="Y155" s="10" t="b">
        <f aca="false">INDEX(Segmentation!$AG$2:$AG$301,MATCH($A155,Segmentation!$A$2:$A$301,0))</f>
        <v>0</v>
      </c>
      <c r="Z155" s="2" t="str">
        <f aca="false">INDEX(Segmentation!$AU$2:$AU$301,MATCH($A155,Segmentation!$A$2:$A$301,0))</f>
        <v>Not Eligible</v>
      </c>
      <c r="AA155" s="10" t="b">
        <f aca="false">INDEX(Segmentation!$Z$2:$Z$301,MATCH($A155,Segmentation!$A$2:$A$301,0))</f>
        <v>0</v>
      </c>
      <c r="AB155" s="10" t="b">
        <f aca="false">INDEX(Segmentation!$AH$2:$AH$301,MATCH($A155,Segmentation!$A$2:$A$301,0))</f>
        <v>0</v>
      </c>
      <c r="AC155" s="10" t="b">
        <f aca="false">INDEX(Segmentation!$AK$2:$AK$301,MATCH($A155,Segmentation!$A$2:$A$301,0))</f>
        <v>0</v>
      </c>
      <c r="AD155" s="10" t="b">
        <f aca="false">INDEX(Segmentation!$AQ$2:$AQ$301,MATCH($A155,Segmentation!$A$2:$A$301,0))</f>
        <v>0</v>
      </c>
      <c r="AE155" s="10" t="b">
        <f aca="false">INDEX(Segmentation!$AT$2:$AT$301,MATCH($A155,Segmentation!$A$2:$A$301,0))</f>
        <v>0</v>
      </c>
      <c r="AF155" s="10" t="b">
        <f aca="false">INDEX(Segmentation!$X$2:$X$301,MATCH($A155,Segmentation!$A$2:$A$301,0))</f>
        <v>1</v>
      </c>
      <c r="AG155" s="10" t="b">
        <f aca="false">AND(F155="Low",V155&gt;=Assumptions!$B$71,X155&lt;Assumptions!$B$72)</f>
        <v>1</v>
      </c>
      <c r="AH155" s="10" t="b">
        <f aca="false">AND(F155="Low",OR(G155="Growing",G155="Stable"),P155="Recently Active",V155&gt;=Assumptions!$B$58,K155&gt;=Assumptions!$B$73)</f>
        <v>0</v>
      </c>
      <c r="AI155" s="17" t="str">
        <f aca="false">IF(O155&gt;0,MAX(L155:N155)/O155,"")</f>
        <v/>
      </c>
      <c r="AJ155" s="2" t="str">
        <f aca="false">IF(LEFT(D155,1)="1",IF(E155="Key","MIGRATION_KEY_SIGNOFF",IF(Z155="Ready","MIGRATION_PHASE1_READY",IF(Z155="Manual Review","MIGRATION_PHASE1_REVIEW","MIGRATION_PRE_ENTRY"))),IF(LEFT(D155,1)="2","DECLINING_KEY_CORE",IF(LEFT(D155,1)="3",IF(R155="Established Buyer Lapsed","LAPSED_ESTABLISHED","LAPSED_THIN_HISTORY"),IF(LEFT(D155,1)="4",IF(Q155="New Customer","NEW_CUSTOMER","RETURNED_CUSTOMER"),IF(LEFT(D155,1)="5",IF(P155="Recently Active","COST_TO_SERVE_ACTIVE","DORMANT_LOW_VALUE"),IF(LEFT(D155,1)="6",IF(P155="Recent Inactivity","RECENT_INACTIVITY",IF(AG155,"BROWSING_LOW_OFFERS","HEALTHY_STRONG_SELF_SERVE")),IF(LEFT(D155,1)="7",IF(P155="Recent Inactivity","RECENT_INACTIVITY",IF(Q155="New Customer","NEW_CUSTOMER","RETURNED_CUSTOMER")),IF(LEFT(D155,1)="8",IF(G155="Declining",IF(T155="Engaged but shrinking (Key/Core)","ENGAGED_BUT_SHRINKING","DECLINING_KEY_CORE"),IF(R155="Established Buyer Lapsed","LAPSED_ESTABLISHED","LAPSED_THIN_HISTORY")),IF(S155,IF(P155&lt;&gt;"Recently Active","DORMANT_LOW_VALUE",IF(AG155,"BROWSING_LOW_OFFERS",IF(AH155,"RISING_TAIL","RISING_TAIL_EARLY"))),IF(AND(AG155,P155="Recently Active",OR(G155="Growing",G155="Stable",G155="H2 Active / No H1 GMV"),I155&gt;=Assumptions!$B$74),"BROWSING_LOW_OFFERS","LONG_TAIL_STANDARD"))))))))))</f>
        <v>LONG_TAIL_STANDARD</v>
      </c>
      <c r="AK155" s="2" t="str">
        <f aca="false">INDEX('NBA Library'!$B$4:$B$21,MATCH(AJ155,'NBA Library'!$A$4:$A$21,0))</f>
        <v>Automated Nurture</v>
      </c>
      <c r="AL155" s="2" t="str">
        <f aca="false">INDEX('NBA Library'!$C$4:$C$21,MATCH(AJ155,'NBA Library'!$A$4:$A$21,0))</f>
        <v>Automated</v>
      </c>
      <c r="AM155" s="2" t="str">
        <f aca="false">IF(AA155,"HOLD — Critical Data Issue",IF(Y155,"Human Sign-Off Required",IF(Z155="Manual Review","Human Review Required",IF(AND(AL155="Automated",OR(AE155,AND(OR(AK155="Discovery-to-Offer Enablement",AK155="Reinforce Successful Behaviour"),OR(AC155,AB155)))),"Human Review Required",IF(AL155="Human","Ready — Human",IF(AL155="Hybrid","Ready — Hybrid","Ready — Automated"))))))</f>
        <v>Ready — Automated</v>
      </c>
      <c r="AN155" s="2" t="str">
        <f aca="false">IF(AA155,"P0",IF(AND(AJ155="BROWSING_LOW_OFFERS",E155="Tail"),"P3",IF(AND(AM155="Human Review Required",INDEX('NBA Library'!$D$4:$D$21,MATCH(AJ155,'NBA Library'!$A$4:$A$21,0))="P4"),"P3",INDEX('NBA Library'!$D$4:$D$21,MATCH(AJ155,'NBA Library'!$A$4:$A$21,0)))))</f>
        <v>P4</v>
      </c>
      <c r="AO155" s="2" t="str">
        <f aca="false">E155&amp;" "&amp;C155&amp;" account ("&amp;B155&amp;"); "&amp;G155&amp;" momentum; "&amp;P155&amp;"; £"&amp;TEXT(H155,"#,##0")&amp;" 6m GMV. "&amp;INDEX('NBA Library'!$G$4:$G$21,MATCH(AJ155,'NBA Library'!$A$4:$A$21,0))&amp;IF(LEFT(D155,1)="1"," Baseline: "&amp;V155&amp;" PDP views, "&amp;W155&amp;" app days, "&amp;X155&amp;" offers, "&amp;TEXT(J155/I155,"0%")&amp;" of orders self-serve.","")&amp;IF(AA155," Execution on HOLD until the Duplicate status is resolved.","")&amp;IF(Y155," Key account: explicit AM/leadership sign-off required before any migration activity.","")&amp;IF(AE155," Implied broker % from order counts would move this account to a different segment; review before automating.","")</f>
        <v>Tail AM-Owned / Self-Serving account (Account Managed); Lapsed momentum; No Meaningful History; £269 6m GMV. Low-value, low-dependency account. Scalable automated engagement.</v>
      </c>
      <c r="AP155" s="2" t="str">
        <f aca="false">INDEX('NBA Library'!$E$4:$E$21,MATCH(AJ155,'NBA Library'!$A$4:$A$21,0))&amp;IF(AND(AJ155="NEW_CUSTOMER",AG155),"; introduce Make-an-Offer on items already browsed","")</f>
        <v>Scalable automated engagement matched to nurture sub-context</v>
      </c>
      <c r="AQ155" s="2" t="str">
        <f aca="false">INDEX('NBA Library'!$F$4:$F$21,MATCH(AJ155,'NBA Library'!$A$4:$A$21,0))</f>
        <v>Any repeat order within 90 days</v>
      </c>
      <c r="AR155" s="2" t="str">
        <f aca="false">IF(AND(F155="Low",OR(G155="Growing",G155="Stable"),P155="Recently Active",U155&lt;&gt;"Mixed",OR(AK155="Discovery-to-Offer Enablement",AK155="Reinforce Successful Behaviour"),AM155="Ready — Automated",OR(E155&lt;&gt;"Tail",S155)),"Range Expansion Test — trial "&amp;IF(U155="Bundle-only","handpick","bundles")&amp;" (experimental; not proven to lift GMV)","")</f>
        <v/>
      </c>
      <c r="AS155" s="2" t="str">
        <f aca="false">IF(AK155&lt;&gt;"Automated Nurture","",IF(AJ155="DORMANT_LOW_VALUE","Dormant",IF(AJ155="RISING_TAIL_EARLY","Rising tail – early pattern",IF(Q155="New Customer","New customer onboarding",IF(Q155="Returned Customer","Returned customer",IF(G155="Lapsed","Dormant",IF(T155="Engaged, not converting","Engaged, not converting",IF(T155="One-off low-touch buyer","One-off purchaser",IF(T155="Light-touch repeat buyer","Light-touch repeat buyer","Standard long tail")))))))))</f>
        <v>Dormant</v>
      </c>
      <c r="AT155" s="2" t="str">
        <f aca="false">IF(AA155,"CRITICAL_DATA_BLOCKER; ","")&amp;IF(Y155,"KEY_SIGNOFF; ","")&amp;IF(Z155="Manual Review","PHASE1_MANUAL_REVIEW; ","")&amp;IF(AND(LEFT(D155,1)="1",AZ155="Lumpy"),"LUMPY_CADENCE; ","")&amp;IF(AB155,"BORDERLINE_MOMENTUM; ","")&amp;IF(AC155,"FEB_SENSITIVE; ","")&amp;IF(AD155,"MATERIAL_BROKER_INCONSISTENCY"&amp;IF(AE155," (segment would change)","")&amp;"; ","")&amp;IF(AND(I155&gt;=3,O155&gt;0),IF(AI155&gt;=Assumptions!$B$75,"H2_SINGLE_MONTH_SPIKE; ",""),"")&amp;IF(AND(M155&gt;0,N155=0),"NO_FEB_GMV (Feb unconfirmed); ","")&amp;IF(AF155,"LOW_CONFIDENCE; ","")</f>
        <v>LOW_CONFIDENCE; </v>
      </c>
      <c r="AU155" s="2" t="str">
        <f aca="false">IF(LEFT(D155,1)="1",V155,"")</f>
        <v/>
      </c>
      <c r="AV155" s="2" t="str">
        <f aca="false">IF(LEFT(D155,1)="1",V155&gt;=Assumptions!$B$58,"")</f>
        <v/>
      </c>
      <c r="AW155" s="2" t="str">
        <f aca="false">IF(LEFT(D155,1)="1",W155,"")</f>
        <v/>
      </c>
      <c r="AX155" s="2" t="str">
        <f aca="false">IF(LEFT(D155,1)="1",X155,"")</f>
        <v/>
      </c>
      <c r="AY155" s="17" t="str">
        <f aca="false">IF(LEFT(D155,1)="1",J155/I155,"")</f>
        <v/>
      </c>
      <c r="AZ155" s="2" t="str">
        <f aca="false">IF(LEFT(D155,1)="1",IF(AND(K155&gt;=Assumptions!$B$83,I155&gt;=Assumptions!$B$84),"Regular","Lumpy"),"")</f>
        <v/>
      </c>
      <c r="BA155" s="2" t="str">
        <f aca="false">IF(LEFT(D155,1)="1",ROUND(6/K155,0),"")</f>
        <v/>
      </c>
      <c r="BB155" s="2" t="str">
        <f aca="false">IF(LEFT(D155,1)="1",IF(AZ155="Regular","Regular buyer: expected ~£"&amp;TEXT(H155/2,"#,##0")&amp;" per 90 days. At Risk if GMV to date &lt; "&amp;TEXT(Assumptions!$B$81,"0%")&amp;" of pro-rated expectation, checked from day "&amp;Assumptions!$B$82&amp;". Human-reviewed.","Irregular buyer ("&amp;I155&amp;" orders across "&amp;K155&amp;" months): no numeric GMV threshold. At Risk if no order within ~"&amp;BA155&amp;" month(s); AM reviews at day "&amp;Assumptions!$B$82&amp;" and "&amp;Assumptions!$B$85&amp;"."),"")</f>
        <v/>
      </c>
      <c r="BC155" s="2"/>
      <c r="BD155" s="2"/>
      <c r="BE155" s="2"/>
      <c r="BF155" s="2"/>
      <c r="BG155" s="2"/>
      <c r="BH155" s="2"/>
      <c r="BI155" s="2"/>
      <c r="BJ155" s="2" t="str">
        <f aca="false">IF(OR(NOT(LEFT(D155,1)="1"),BC155=""),"",IF(AZ155="Regular",AND(BC155&gt;=Assumptions!$B$82,N(BI155)&lt;Assumptions!$B$81*H155/180*BC155),AND(BC155&gt;=BA155*30,N(BG155)=0)))</f>
        <v/>
      </c>
      <c r="BK155" s="2" t="str">
        <f aca="false">IF(NOT(LEFT(D155,1)="1"),"N/A",IF(BC155="","Baseline",IF(BJ155,"At Risk",IF(AND(N(BD155)&gt;=Assumptions!$B$78,N(BE155)&gt;=Assumptions!$B$79,N(BH155)&gt;=1,N(BH155)/MAX(N(BG155),1)&gt;AY155),"Self-Serve Capability Demonstrated",IF(OR(N(BD155)&gt;=Assumptions!$B$76,N(BE155)&gt;=Assumptions!$B$77),"Progressing",IF(BC155&gt;=Assumptions!$B$85,"At Risk","Baseline"))))))</f>
        <v>N/A</v>
      </c>
      <c r="BL155" s="2" t="n">
        <f aca="false">(AND(C155="Broker-Reliant",OR(AK155="Discovery-to-Offer Enablement",AK155="Reinforce Successful Behaviour")))*1+(AND(G155="Declining",E155&lt;&gt;"Tail",AL155="Automated"))*1+(AND(Y155,AM155&lt;&gt;"Human Sign-Off Required"))*1+(AND(AA155,AM155&lt;&gt;"HOLD — Critical Data Issue"))*1+(AND(P155="Recent Inactivity",OR(AK155="Discovery-to-Offer Enablement",AK155="Reinforce Successful Behaviour")))*1+(AND(OR(LEFT(D155,1)="2",LEFT(D155,1)="3",LEFT(D155,1)="8"),AL155="Automated"))*1+((LEFT(D155,1)="1")&lt;&gt;(AK155="Guided Self-Serve Migration"))*1+(AND(AR155&lt;&gt;"",OR(F155&lt;&gt;"Low",U155="Mixed",AND(G155&lt;&gt;"Growing",G155&lt;&gt;"Stable"))))*1+ISNUMBER(SEARCH("chat",AP155))*1+ISNUMBER(SEARCH("video",AP155))*1+(AND(AA155,AL155="Automated",AM155&lt;&gt;"HOLD — Critical Data Issue"))*1</f>
        <v>0</v>
      </c>
    </row>
    <row r="156" customFormat="false" ht="15" hidden="false" customHeight="false" outlineLevel="0" collapsed="false">
      <c r="A156" s="2" t="s">
        <v>822</v>
      </c>
      <c r="B156" s="2" t="str">
        <f aca="false">INDEX(Segmentation!$B$2:$B$301,MATCH($A156,Segmentation!$A$2:$A$301,0))</f>
        <v>Account Managed</v>
      </c>
      <c r="C156" s="2" t="str">
        <f aca="false">INDEX(Segmentation!$H$2:$H$301,MATCH($A156,Segmentation!$A$2:$A$301,0))</f>
        <v>AM-Owned / Self-Serving</v>
      </c>
      <c r="D156" s="2" t="str">
        <f aca="false">INDEX(Segmentation!$T$2:$T$301,MATCH($A156,Segmentation!$A$2:$A$301,0))</f>
        <v>9. Long-Tail Automated Nurture</v>
      </c>
      <c r="E156" s="2" t="str">
        <f aca="false">INDEX(Segmentation!$J$2:$J$301,MATCH($A156,Segmentation!$A$2:$A$301,0))</f>
        <v>Tail</v>
      </c>
      <c r="F156" s="2" t="str">
        <f aca="false">INDEX(Segmentation!$G$2:$G$301,MATCH($A156,Segmentation!$A$2:$A$301,0))</f>
        <v>Low</v>
      </c>
      <c r="G156" s="2" t="str">
        <f aca="false">INDEX(Segmentation!$N$2:$N$301,MATCH($A156,Segmentation!$A$2:$A$301,0))</f>
        <v>Lapsed</v>
      </c>
      <c r="H156" s="9" t="n">
        <f aca="false">INDEX(Segmentation!$I$2:$I$301,MATCH($A156,Segmentation!$A$2:$A$301,0))</f>
        <v>261</v>
      </c>
      <c r="I156" s="2" t="n">
        <f aca="false">INDEX(Segmentation!$O$2:$O$301,MATCH($A156,Segmentation!$A$2:$A$301,0))</f>
        <v>1</v>
      </c>
      <c r="J156" s="2" t="n">
        <f aca="false">INDEX(Segmentation!$Q$2:$Q$301,MATCH($A156,Segmentation!$A$2:$A$301,0))</f>
        <v>1</v>
      </c>
      <c r="K156" s="2" t="n">
        <f aca="false">INDEX(Segmentation!$W$2:$W$301,MATCH($A156,Segmentation!$A$2:$A$301,0))</f>
        <v>1</v>
      </c>
      <c r="L156" s="9" t="n">
        <f aca="false">INDEX('Commercial View'!$L$2:$L$301,MATCH($A156,'Commercial View'!$A$2:$A$301,0))</f>
        <v>0</v>
      </c>
      <c r="M156" s="9" t="n">
        <f aca="false">INDEX('Commercial View'!$M$2:$M$301,MATCH($A156,'Commercial View'!$A$2:$A$301,0))</f>
        <v>0</v>
      </c>
      <c r="N156" s="9" t="n">
        <f aca="false">INDEX('Commercial View'!$N$2:$N$301,MATCH($A156,'Commercial View'!$A$2:$A$301,0))</f>
        <v>0</v>
      </c>
      <c r="O156" s="9" t="n">
        <f aca="false">INDEX(Segmentation!$L$2:$L$301,MATCH($A156,Segmentation!$A$2:$A$301,0))</f>
        <v>0</v>
      </c>
      <c r="P156" s="2" t="str">
        <f aca="false">IF(OR(M156&gt;0,N156&gt;0),"Recently Active",IF(OR(I156&lt;=Assumptions!$B$48,K156&lt;=Assumptions!$B$49),"No Meaningful History","Recent Inactivity"))</f>
        <v>No Meaningful History</v>
      </c>
      <c r="Q156" s="2" t="str">
        <f aca="false">INDEX(Segmentation!$AF$2:$AF$301,MATCH($A156,Segmentation!$A$2:$A$301,0))</f>
        <v>Existing Customer</v>
      </c>
      <c r="R156" s="2" t="str">
        <f aca="false">INDEX(Segmentation!$AL$2:$AL$301,MATCH($A156,Segmentation!$A$2:$A$301,0))</f>
        <v>One-Off / Insufficient History — Verify</v>
      </c>
      <c r="S156" s="10" t="b">
        <f aca="false">INDEX(Segmentation!$AW$2:$AW$301,MATCH($A156,Segmentation!$A$2:$A$301,0))</f>
        <v>0</v>
      </c>
      <c r="T156" s="2" t="str">
        <f aca="false">INDEX('Feature Data'!$AD$2:$AD$301,MATCH($A156,'Feature Data'!$A$2:$A$301,0))</f>
        <v>One-off low-touch buyer</v>
      </c>
      <c r="U156" s="2" t="str">
        <f aca="false">INDEX('Feature Data'!$W$2:$W$301,MATCH($A156,'Feature Data'!$A$2:$A$301,0))</f>
        <v>Bundle-only</v>
      </c>
      <c r="V156" s="2" t="n">
        <f aca="false">INDEX('Feature Data'!$P$2:$P$301,MATCH($A156,'Feature Data'!$A$2:$A$301,0))</f>
        <v>60</v>
      </c>
      <c r="W156" s="2" t="n">
        <f aca="false">INDEX(Segmentation!$R$2:$R$301,MATCH($A156,Segmentation!$A$2:$A$301,0))</f>
        <v>5</v>
      </c>
      <c r="X156" s="2" t="n">
        <f aca="false">INDEX(Segmentation!$S$2:$S$301,MATCH($A156,Segmentation!$A$2:$A$301,0))</f>
        <v>3</v>
      </c>
      <c r="Y156" s="10" t="b">
        <f aca="false">INDEX(Segmentation!$AG$2:$AG$301,MATCH($A156,Segmentation!$A$2:$A$301,0))</f>
        <v>0</v>
      </c>
      <c r="Z156" s="2" t="str">
        <f aca="false">INDEX(Segmentation!$AU$2:$AU$301,MATCH($A156,Segmentation!$A$2:$A$301,0))</f>
        <v>Not Eligible</v>
      </c>
      <c r="AA156" s="10" t="b">
        <f aca="false">INDEX(Segmentation!$Z$2:$Z$301,MATCH($A156,Segmentation!$A$2:$A$301,0))</f>
        <v>0</v>
      </c>
      <c r="AB156" s="10" t="b">
        <f aca="false">INDEX(Segmentation!$AH$2:$AH$301,MATCH($A156,Segmentation!$A$2:$A$301,0))</f>
        <v>0</v>
      </c>
      <c r="AC156" s="10" t="b">
        <f aca="false">INDEX(Segmentation!$AK$2:$AK$301,MATCH($A156,Segmentation!$A$2:$A$301,0))</f>
        <v>0</v>
      </c>
      <c r="AD156" s="10" t="b">
        <f aca="false">INDEX(Segmentation!$AQ$2:$AQ$301,MATCH($A156,Segmentation!$A$2:$A$301,0))</f>
        <v>0</v>
      </c>
      <c r="AE156" s="10" t="b">
        <f aca="false">INDEX(Segmentation!$AT$2:$AT$301,MATCH($A156,Segmentation!$A$2:$A$301,0))</f>
        <v>0</v>
      </c>
      <c r="AF156" s="10" t="b">
        <f aca="false">INDEX(Segmentation!$X$2:$X$301,MATCH($A156,Segmentation!$A$2:$A$301,0))</f>
        <v>1</v>
      </c>
      <c r="AG156" s="10" t="b">
        <f aca="false">AND(F156="Low",V156&gt;=Assumptions!$B$71,X156&lt;Assumptions!$B$72)</f>
        <v>0</v>
      </c>
      <c r="AH156" s="10" t="b">
        <f aca="false">AND(F156="Low",OR(G156="Growing",G156="Stable"),P156="Recently Active",V156&gt;=Assumptions!$B$58,K156&gt;=Assumptions!$B$73)</f>
        <v>0</v>
      </c>
      <c r="AI156" s="17" t="str">
        <f aca="false">IF(O156&gt;0,MAX(L156:N156)/O156,"")</f>
        <v/>
      </c>
      <c r="AJ156" s="2" t="str">
        <f aca="false">IF(LEFT(D156,1)="1",IF(E156="Key","MIGRATION_KEY_SIGNOFF",IF(Z156="Ready","MIGRATION_PHASE1_READY",IF(Z156="Manual Review","MIGRATION_PHASE1_REVIEW","MIGRATION_PRE_ENTRY"))),IF(LEFT(D156,1)="2","DECLINING_KEY_CORE",IF(LEFT(D156,1)="3",IF(R156="Established Buyer Lapsed","LAPSED_ESTABLISHED","LAPSED_THIN_HISTORY"),IF(LEFT(D156,1)="4",IF(Q156="New Customer","NEW_CUSTOMER","RETURNED_CUSTOMER"),IF(LEFT(D156,1)="5",IF(P156="Recently Active","COST_TO_SERVE_ACTIVE","DORMANT_LOW_VALUE"),IF(LEFT(D156,1)="6",IF(P156="Recent Inactivity","RECENT_INACTIVITY",IF(AG156,"BROWSING_LOW_OFFERS","HEALTHY_STRONG_SELF_SERVE")),IF(LEFT(D156,1)="7",IF(P156="Recent Inactivity","RECENT_INACTIVITY",IF(Q156="New Customer","NEW_CUSTOMER","RETURNED_CUSTOMER")),IF(LEFT(D156,1)="8",IF(G156="Declining",IF(T156="Engaged but shrinking (Key/Core)","ENGAGED_BUT_SHRINKING","DECLINING_KEY_CORE"),IF(R156="Established Buyer Lapsed","LAPSED_ESTABLISHED","LAPSED_THIN_HISTORY")),IF(S156,IF(P156&lt;&gt;"Recently Active","DORMANT_LOW_VALUE",IF(AG156,"BROWSING_LOW_OFFERS",IF(AH156,"RISING_TAIL","RISING_TAIL_EARLY"))),IF(AND(AG156,P156="Recently Active",OR(G156="Growing",G156="Stable",G156="H2 Active / No H1 GMV"),I156&gt;=Assumptions!$B$74),"BROWSING_LOW_OFFERS","LONG_TAIL_STANDARD"))))))))))</f>
        <v>LONG_TAIL_STANDARD</v>
      </c>
      <c r="AK156" s="2" t="str">
        <f aca="false">INDEX('NBA Library'!$B$4:$B$21,MATCH(AJ156,'NBA Library'!$A$4:$A$21,0))</f>
        <v>Automated Nurture</v>
      </c>
      <c r="AL156" s="2" t="str">
        <f aca="false">INDEX('NBA Library'!$C$4:$C$21,MATCH(AJ156,'NBA Library'!$A$4:$A$21,0))</f>
        <v>Automated</v>
      </c>
      <c r="AM156" s="2" t="str">
        <f aca="false">IF(AA156,"HOLD — Critical Data Issue",IF(Y156,"Human Sign-Off Required",IF(Z156="Manual Review","Human Review Required",IF(AND(AL156="Automated",OR(AE156,AND(OR(AK156="Discovery-to-Offer Enablement",AK156="Reinforce Successful Behaviour"),OR(AC156,AB156)))),"Human Review Required",IF(AL156="Human","Ready — Human",IF(AL156="Hybrid","Ready — Hybrid","Ready — Automated"))))))</f>
        <v>Ready — Automated</v>
      </c>
      <c r="AN156" s="2" t="str">
        <f aca="false">IF(AA156,"P0",IF(AND(AJ156="BROWSING_LOW_OFFERS",E156="Tail"),"P3",IF(AND(AM156="Human Review Required",INDEX('NBA Library'!$D$4:$D$21,MATCH(AJ156,'NBA Library'!$A$4:$A$21,0))="P4"),"P3",INDEX('NBA Library'!$D$4:$D$21,MATCH(AJ156,'NBA Library'!$A$4:$A$21,0)))))</f>
        <v>P4</v>
      </c>
      <c r="AO156" s="2" t="str">
        <f aca="false">E156&amp;" "&amp;C156&amp;" account ("&amp;B156&amp;"); "&amp;G156&amp;" momentum; "&amp;P156&amp;"; £"&amp;TEXT(H156,"#,##0")&amp;" 6m GMV. "&amp;INDEX('NBA Library'!$G$4:$G$21,MATCH(AJ156,'NBA Library'!$A$4:$A$21,0))&amp;IF(LEFT(D156,1)="1"," Baseline: "&amp;V156&amp;" PDP views, "&amp;W156&amp;" app days, "&amp;X156&amp;" offers, "&amp;TEXT(J156/I156,"0%")&amp;" of orders self-serve.","")&amp;IF(AA156," Execution on HOLD until the Duplicate status is resolved.","")&amp;IF(Y156," Key account: explicit AM/leadership sign-off required before any migration activity.","")&amp;IF(AE156," Implied broker % from order counts would move this account to a different segment; review before automating.","")</f>
        <v>Tail AM-Owned / Self-Serving account (Account Managed); Lapsed momentum; No Meaningful History; £261 6m GMV. Low-value, low-dependency account. Scalable automated engagement.</v>
      </c>
      <c r="AP156" s="2" t="str">
        <f aca="false">INDEX('NBA Library'!$E$4:$E$21,MATCH(AJ156,'NBA Library'!$A$4:$A$21,0))&amp;IF(AND(AJ156="NEW_CUSTOMER",AG156),"; introduce Make-an-Offer on items already browsed","")</f>
        <v>Scalable automated engagement matched to nurture sub-context</v>
      </c>
      <c r="AQ156" s="2" t="str">
        <f aca="false">INDEX('NBA Library'!$F$4:$F$21,MATCH(AJ156,'NBA Library'!$A$4:$A$21,0))</f>
        <v>Any repeat order within 90 days</v>
      </c>
      <c r="AR156" s="2" t="str">
        <f aca="false">IF(AND(F156="Low",OR(G156="Growing",G156="Stable"),P156="Recently Active",U156&lt;&gt;"Mixed",OR(AK156="Discovery-to-Offer Enablement",AK156="Reinforce Successful Behaviour"),AM156="Ready — Automated",OR(E156&lt;&gt;"Tail",S156)),"Range Expansion Test — trial "&amp;IF(U156="Bundle-only","handpick","bundles")&amp;" (experimental; not proven to lift GMV)","")</f>
        <v/>
      </c>
      <c r="AS156" s="2" t="str">
        <f aca="false">IF(AK156&lt;&gt;"Automated Nurture","",IF(AJ156="DORMANT_LOW_VALUE","Dormant",IF(AJ156="RISING_TAIL_EARLY","Rising tail – early pattern",IF(Q156="New Customer","New customer onboarding",IF(Q156="Returned Customer","Returned customer",IF(G156="Lapsed","Dormant",IF(T156="Engaged, not converting","Engaged, not converting",IF(T156="One-off low-touch buyer","One-off purchaser",IF(T156="Light-touch repeat buyer","Light-touch repeat buyer","Standard long tail")))))))))</f>
        <v>Dormant</v>
      </c>
      <c r="AT156" s="2" t="str">
        <f aca="false">IF(AA156,"CRITICAL_DATA_BLOCKER; ","")&amp;IF(Y156,"KEY_SIGNOFF; ","")&amp;IF(Z156="Manual Review","PHASE1_MANUAL_REVIEW; ","")&amp;IF(AND(LEFT(D156,1)="1",AZ156="Lumpy"),"LUMPY_CADENCE; ","")&amp;IF(AB156,"BORDERLINE_MOMENTUM; ","")&amp;IF(AC156,"FEB_SENSITIVE; ","")&amp;IF(AD156,"MATERIAL_BROKER_INCONSISTENCY"&amp;IF(AE156," (segment would change)","")&amp;"; ","")&amp;IF(AND(I156&gt;=3,O156&gt;0),IF(AI156&gt;=Assumptions!$B$75,"H2_SINGLE_MONTH_SPIKE; ",""),"")&amp;IF(AND(M156&gt;0,N156=0),"NO_FEB_GMV (Feb unconfirmed); ","")&amp;IF(AF156,"LOW_CONFIDENCE; ","")</f>
        <v>LOW_CONFIDENCE; </v>
      </c>
      <c r="AU156" s="2" t="str">
        <f aca="false">IF(LEFT(D156,1)="1",V156,"")</f>
        <v/>
      </c>
      <c r="AV156" s="2" t="str">
        <f aca="false">IF(LEFT(D156,1)="1",V156&gt;=Assumptions!$B$58,"")</f>
        <v/>
      </c>
      <c r="AW156" s="2" t="str">
        <f aca="false">IF(LEFT(D156,1)="1",W156,"")</f>
        <v/>
      </c>
      <c r="AX156" s="2" t="str">
        <f aca="false">IF(LEFT(D156,1)="1",X156,"")</f>
        <v/>
      </c>
      <c r="AY156" s="17" t="str">
        <f aca="false">IF(LEFT(D156,1)="1",J156/I156,"")</f>
        <v/>
      </c>
      <c r="AZ156" s="2" t="str">
        <f aca="false">IF(LEFT(D156,1)="1",IF(AND(K156&gt;=Assumptions!$B$83,I156&gt;=Assumptions!$B$84),"Regular","Lumpy"),"")</f>
        <v/>
      </c>
      <c r="BA156" s="2" t="str">
        <f aca="false">IF(LEFT(D156,1)="1",ROUND(6/K156,0),"")</f>
        <v/>
      </c>
      <c r="BB156" s="2" t="str">
        <f aca="false">IF(LEFT(D156,1)="1",IF(AZ156="Regular","Regular buyer: expected ~£"&amp;TEXT(H156/2,"#,##0")&amp;" per 90 days. At Risk if GMV to date &lt; "&amp;TEXT(Assumptions!$B$81,"0%")&amp;" of pro-rated expectation, checked from day "&amp;Assumptions!$B$82&amp;". Human-reviewed.","Irregular buyer ("&amp;I156&amp;" orders across "&amp;K156&amp;" months): no numeric GMV threshold. At Risk if no order within ~"&amp;BA156&amp;" month(s); AM reviews at day "&amp;Assumptions!$B$82&amp;" and "&amp;Assumptions!$B$85&amp;"."),"")</f>
        <v/>
      </c>
      <c r="BC156" s="2"/>
      <c r="BD156" s="2"/>
      <c r="BE156" s="2"/>
      <c r="BF156" s="2"/>
      <c r="BG156" s="2"/>
      <c r="BH156" s="2"/>
      <c r="BI156" s="2"/>
      <c r="BJ156" s="2" t="str">
        <f aca="false">IF(OR(NOT(LEFT(D156,1)="1"),BC156=""),"",IF(AZ156="Regular",AND(BC156&gt;=Assumptions!$B$82,N(BI156)&lt;Assumptions!$B$81*H156/180*BC156),AND(BC156&gt;=BA156*30,N(BG156)=0)))</f>
        <v/>
      </c>
      <c r="BK156" s="2" t="str">
        <f aca="false">IF(NOT(LEFT(D156,1)="1"),"N/A",IF(BC156="","Baseline",IF(BJ156,"At Risk",IF(AND(N(BD156)&gt;=Assumptions!$B$78,N(BE156)&gt;=Assumptions!$B$79,N(BH156)&gt;=1,N(BH156)/MAX(N(BG156),1)&gt;AY156),"Self-Serve Capability Demonstrated",IF(OR(N(BD156)&gt;=Assumptions!$B$76,N(BE156)&gt;=Assumptions!$B$77),"Progressing",IF(BC156&gt;=Assumptions!$B$85,"At Risk","Baseline"))))))</f>
        <v>N/A</v>
      </c>
      <c r="BL156" s="2" t="n">
        <f aca="false">(AND(C156="Broker-Reliant",OR(AK156="Discovery-to-Offer Enablement",AK156="Reinforce Successful Behaviour")))*1+(AND(G156="Declining",E156&lt;&gt;"Tail",AL156="Automated"))*1+(AND(Y156,AM156&lt;&gt;"Human Sign-Off Required"))*1+(AND(AA156,AM156&lt;&gt;"HOLD — Critical Data Issue"))*1+(AND(P156="Recent Inactivity",OR(AK156="Discovery-to-Offer Enablement",AK156="Reinforce Successful Behaviour")))*1+(AND(OR(LEFT(D156,1)="2",LEFT(D156,1)="3",LEFT(D156,1)="8"),AL156="Automated"))*1+((LEFT(D156,1)="1")&lt;&gt;(AK156="Guided Self-Serve Migration"))*1+(AND(AR156&lt;&gt;"",OR(F156&lt;&gt;"Low",U156="Mixed",AND(G156&lt;&gt;"Growing",G156&lt;&gt;"Stable"))))*1+ISNUMBER(SEARCH("chat",AP156))*1+ISNUMBER(SEARCH("video",AP156))*1+(AND(AA156,AL156="Automated",AM156&lt;&gt;"HOLD — Critical Data Issue"))*1</f>
        <v>0</v>
      </c>
    </row>
    <row r="157" customFormat="false" ht="15" hidden="false" customHeight="false" outlineLevel="0" collapsed="false">
      <c r="A157" s="2" t="s">
        <v>826</v>
      </c>
      <c r="B157" s="2" t="str">
        <f aca="false">INDEX(Segmentation!$B$2:$B$301,MATCH($A157,Segmentation!$A$2:$A$301,0))</f>
        <v>Account Managed</v>
      </c>
      <c r="C157" s="2" t="str">
        <f aca="false">INDEX(Segmentation!$H$2:$H$301,MATCH($A157,Segmentation!$A$2:$A$301,0))</f>
        <v>AM-Owned / Self-Serving</v>
      </c>
      <c r="D157" s="2" t="str">
        <f aca="false">INDEX(Segmentation!$T$2:$T$301,MATCH($A157,Segmentation!$A$2:$A$301,0))</f>
        <v>9. Long-Tail Automated Nurture</v>
      </c>
      <c r="E157" s="2" t="str">
        <f aca="false">INDEX(Segmentation!$J$2:$J$301,MATCH($A157,Segmentation!$A$2:$A$301,0))</f>
        <v>Tail</v>
      </c>
      <c r="F157" s="2" t="str">
        <f aca="false">INDEX(Segmentation!$G$2:$G$301,MATCH($A157,Segmentation!$A$2:$A$301,0))</f>
        <v>Low</v>
      </c>
      <c r="G157" s="2" t="str">
        <f aca="false">INDEX(Segmentation!$N$2:$N$301,MATCH($A157,Segmentation!$A$2:$A$301,0))</f>
        <v>H2 Active / No H1 GMV</v>
      </c>
      <c r="H157" s="9" t="n">
        <f aca="false">INDEX(Segmentation!$I$2:$I$301,MATCH($A157,Segmentation!$A$2:$A$301,0))</f>
        <v>255</v>
      </c>
      <c r="I157" s="2" t="n">
        <f aca="false">INDEX(Segmentation!$O$2:$O$301,MATCH($A157,Segmentation!$A$2:$A$301,0))</f>
        <v>1</v>
      </c>
      <c r="J157" s="2" t="n">
        <f aca="false">INDEX(Segmentation!$Q$2:$Q$301,MATCH($A157,Segmentation!$A$2:$A$301,0))</f>
        <v>1</v>
      </c>
      <c r="K157" s="2" t="n">
        <f aca="false">INDEX(Segmentation!$W$2:$W$301,MATCH($A157,Segmentation!$A$2:$A$301,0))</f>
        <v>1</v>
      </c>
      <c r="L157" s="9" t="n">
        <f aca="false">INDEX('Commercial View'!$L$2:$L$301,MATCH($A157,'Commercial View'!$A$2:$A$301,0))</f>
        <v>0</v>
      </c>
      <c r="M157" s="9" t="n">
        <f aca="false">INDEX('Commercial View'!$M$2:$M$301,MATCH($A157,'Commercial View'!$A$2:$A$301,0))</f>
        <v>0</v>
      </c>
      <c r="N157" s="9" t="n">
        <f aca="false">INDEX('Commercial View'!$N$2:$N$301,MATCH($A157,'Commercial View'!$A$2:$A$301,0))</f>
        <v>255</v>
      </c>
      <c r="O157" s="9" t="n">
        <f aca="false">INDEX(Segmentation!$L$2:$L$301,MATCH($A157,Segmentation!$A$2:$A$301,0))</f>
        <v>255</v>
      </c>
      <c r="P157" s="2" t="str">
        <f aca="false">IF(OR(M157&gt;0,N157&gt;0),"Recently Active",IF(OR(I157&lt;=Assumptions!$B$48,K157&lt;=Assumptions!$B$49),"No Meaningful History","Recent Inactivity"))</f>
        <v>Recently Active</v>
      </c>
      <c r="Q157" s="2" t="str">
        <f aca="false">INDEX(Segmentation!$AF$2:$AF$301,MATCH($A157,Segmentation!$A$2:$A$301,0))</f>
        <v>Returned Customer</v>
      </c>
      <c r="R157" s="2" t="str">
        <f aca="false">INDEX(Segmentation!$AL$2:$AL$301,MATCH($A157,Segmentation!$A$2:$A$301,0))</f>
        <v>N/A</v>
      </c>
      <c r="S157" s="10" t="b">
        <f aca="false">INDEX(Segmentation!$AW$2:$AW$301,MATCH($A157,Segmentation!$A$2:$A$301,0))</f>
        <v>0</v>
      </c>
      <c r="T157" s="2" t="str">
        <f aca="false">INDEX('Feature Data'!$AD$2:$AD$301,MATCH($A157,'Feature Data'!$A$2:$A$301,0))</f>
        <v>One-off low-touch buyer</v>
      </c>
      <c r="U157" s="2" t="str">
        <f aca="false">INDEX('Feature Data'!$W$2:$W$301,MATCH($A157,'Feature Data'!$A$2:$A$301,0))</f>
        <v>Bundle-only</v>
      </c>
      <c r="V157" s="2" t="n">
        <f aca="false">INDEX('Feature Data'!$P$2:$P$301,MATCH($A157,'Feature Data'!$A$2:$A$301,0))</f>
        <v>26</v>
      </c>
      <c r="W157" s="2" t="n">
        <f aca="false">INDEX(Segmentation!$R$2:$R$301,MATCH($A157,Segmentation!$A$2:$A$301,0))</f>
        <v>8</v>
      </c>
      <c r="X157" s="2" t="n">
        <f aca="false">INDEX(Segmentation!$S$2:$S$301,MATCH($A157,Segmentation!$A$2:$A$301,0))</f>
        <v>3</v>
      </c>
      <c r="Y157" s="10" t="b">
        <f aca="false">INDEX(Segmentation!$AG$2:$AG$301,MATCH($A157,Segmentation!$A$2:$A$301,0))</f>
        <v>0</v>
      </c>
      <c r="Z157" s="2" t="str">
        <f aca="false">INDEX(Segmentation!$AU$2:$AU$301,MATCH($A157,Segmentation!$A$2:$A$301,0))</f>
        <v>Not Eligible</v>
      </c>
      <c r="AA157" s="10" t="b">
        <f aca="false">INDEX(Segmentation!$Z$2:$Z$301,MATCH($A157,Segmentation!$A$2:$A$301,0))</f>
        <v>0</v>
      </c>
      <c r="AB157" s="10" t="b">
        <f aca="false">INDEX(Segmentation!$AH$2:$AH$301,MATCH($A157,Segmentation!$A$2:$A$301,0))</f>
        <v>0</v>
      </c>
      <c r="AC157" s="10" t="b">
        <f aca="false">INDEX(Segmentation!$AK$2:$AK$301,MATCH($A157,Segmentation!$A$2:$A$301,0))</f>
        <v>1</v>
      </c>
      <c r="AD157" s="10" t="b">
        <f aca="false">INDEX(Segmentation!$AQ$2:$AQ$301,MATCH($A157,Segmentation!$A$2:$A$301,0))</f>
        <v>0</v>
      </c>
      <c r="AE157" s="10" t="b">
        <f aca="false">INDEX(Segmentation!$AT$2:$AT$301,MATCH($A157,Segmentation!$A$2:$A$301,0))</f>
        <v>0</v>
      </c>
      <c r="AF157" s="10" t="b">
        <f aca="false">INDEX(Segmentation!$X$2:$X$301,MATCH($A157,Segmentation!$A$2:$A$301,0))</f>
        <v>1</v>
      </c>
      <c r="AG157" s="10" t="b">
        <f aca="false">AND(F157="Low",V157&gt;=Assumptions!$B$71,X157&lt;Assumptions!$B$72)</f>
        <v>0</v>
      </c>
      <c r="AH157" s="10" t="b">
        <f aca="false">AND(F157="Low",OR(G157="Growing",G157="Stable"),P157="Recently Active",V157&gt;=Assumptions!$B$58,K157&gt;=Assumptions!$B$73)</f>
        <v>0</v>
      </c>
      <c r="AI157" s="17" t="n">
        <f aca="false">IF(O157&gt;0,MAX(L157:N157)/O157,"")</f>
        <v>1</v>
      </c>
      <c r="AJ157" s="2" t="str">
        <f aca="false">IF(LEFT(D157,1)="1",IF(E157="Key","MIGRATION_KEY_SIGNOFF",IF(Z157="Ready","MIGRATION_PHASE1_READY",IF(Z157="Manual Review","MIGRATION_PHASE1_REVIEW","MIGRATION_PRE_ENTRY"))),IF(LEFT(D157,1)="2","DECLINING_KEY_CORE",IF(LEFT(D157,1)="3",IF(R157="Established Buyer Lapsed","LAPSED_ESTABLISHED","LAPSED_THIN_HISTORY"),IF(LEFT(D157,1)="4",IF(Q157="New Customer","NEW_CUSTOMER","RETURNED_CUSTOMER"),IF(LEFT(D157,1)="5",IF(P157="Recently Active","COST_TO_SERVE_ACTIVE","DORMANT_LOW_VALUE"),IF(LEFT(D157,1)="6",IF(P157="Recent Inactivity","RECENT_INACTIVITY",IF(AG157,"BROWSING_LOW_OFFERS","HEALTHY_STRONG_SELF_SERVE")),IF(LEFT(D157,1)="7",IF(P157="Recent Inactivity","RECENT_INACTIVITY",IF(Q157="New Customer","NEW_CUSTOMER","RETURNED_CUSTOMER")),IF(LEFT(D157,1)="8",IF(G157="Declining",IF(T157="Engaged but shrinking (Key/Core)","ENGAGED_BUT_SHRINKING","DECLINING_KEY_CORE"),IF(R157="Established Buyer Lapsed","LAPSED_ESTABLISHED","LAPSED_THIN_HISTORY")),IF(S157,IF(P157&lt;&gt;"Recently Active","DORMANT_LOW_VALUE",IF(AG157,"BROWSING_LOW_OFFERS",IF(AH157,"RISING_TAIL","RISING_TAIL_EARLY"))),IF(AND(AG157,P157="Recently Active",OR(G157="Growing",G157="Stable",G157="H2 Active / No H1 GMV"),I157&gt;=Assumptions!$B$74),"BROWSING_LOW_OFFERS","LONG_TAIL_STANDARD"))))))))))</f>
        <v>LONG_TAIL_STANDARD</v>
      </c>
      <c r="AK157" s="2" t="str">
        <f aca="false">INDEX('NBA Library'!$B$4:$B$21,MATCH(AJ157,'NBA Library'!$A$4:$A$21,0))</f>
        <v>Automated Nurture</v>
      </c>
      <c r="AL157" s="2" t="str">
        <f aca="false">INDEX('NBA Library'!$C$4:$C$21,MATCH(AJ157,'NBA Library'!$A$4:$A$21,0))</f>
        <v>Automated</v>
      </c>
      <c r="AM157" s="2" t="str">
        <f aca="false">IF(AA157,"HOLD — Critical Data Issue",IF(Y157,"Human Sign-Off Required",IF(Z157="Manual Review","Human Review Required",IF(AND(AL157="Automated",OR(AE157,AND(OR(AK157="Discovery-to-Offer Enablement",AK157="Reinforce Successful Behaviour"),OR(AC157,AB157)))),"Human Review Required",IF(AL157="Human","Ready — Human",IF(AL157="Hybrid","Ready — Hybrid","Ready — Automated"))))))</f>
        <v>Ready — Automated</v>
      </c>
      <c r="AN157" s="2" t="str">
        <f aca="false">IF(AA157,"P0",IF(AND(AJ157="BROWSING_LOW_OFFERS",E157="Tail"),"P3",IF(AND(AM157="Human Review Required",INDEX('NBA Library'!$D$4:$D$21,MATCH(AJ157,'NBA Library'!$A$4:$A$21,0))="P4"),"P3",INDEX('NBA Library'!$D$4:$D$21,MATCH(AJ157,'NBA Library'!$A$4:$A$21,0)))))</f>
        <v>P4</v>
      </c>
      <c r="AO157" s="2" t="str">
        <f aca="false">E157&amp;" "&amp;C157&amp;" account ("&amp;B157&amp;"); "&amp;G157&amp;" momentum; "&amp;P157&amp;"; £"&amp;TEXT(H157,"#,##0")&amp;" 6m GMV. "&amp;INDEX('NBA Library'!$G$4:$G$21,MATCH(AJ157,'NBA Library'!$A$4:$A$21,0))&amp;IF(LEFT(D157,1)="1"," Baseline: "&amp;V157&amp;" PDP views, "&amp;W157&amp;" app days, "&amp;X157&amp;" offers, "&amp;TEXT(J157/I157,"0%")&amp;" of orders self-serve.","")&amp;IF(AA157," Execution on HOLD until the Duplicate status is resolved.","")&amp;IF(Y157," Key account: explicit AM/leadership sign-off required before any migration activity.","")&amp;IF(AE157," Implied broker % from order counts would move this account to a different segment; review before automating.","")</f>
        <v>Tail AM-Owned / Self-Serving account (Account Managed); H2 Active / No H1 GMV momentum; Recently Active; £255 6m GMV. Low-value, low-dependency account. Scalable automated engagement.</v>
      </c>
      <c r="AP157" s="2" t="str">
        <f aca="false">INDEX('NBA Library'!$E$4:$E$21,MATCH(AJ157,'NBA Library'!$A$4:$A$21,0))&amp;IF(AND(AJ157="NEW_CUSTOMER",AG157),"; introduce Make-an-Offer on items already browsed","")</f>
        <v>Scalable automated engagement matched to nurture sub-context</v>
      </c>
      <c r="AQ157" s="2" t="str">
        <f aca="false">INDEX('NBA Library'!$F$4:$F$21,MATCH(AJ157,'NBA Library'!$A$4:$A$21,0))</f>
        <v>Any repeat order within 90 days</v>
      </c>
      <c r="AR157" s="2" t="str">
        <f aca="false">IF(AND(F157="Low",OR(G157="Growing",G157="Stable"),P157="Recently Active",U157&lt;&gt;"Mixed",OR(AK157="Discovery-to-Offer Enablement",AK157="Reinforce Successful Behaviour"),AM157="Ready — Automated",OR(E157&lt;&gt;"Tail",S157)),"Range Expansion Test — trial "&amp;IF(U157="Bundle-only","handpick","bundles")&amp;" (experimental; not proven to lift GMV)","")</f>
        <v/>
      </c>
      <c r="AS157" s="2" t="str">
        <f aca="false">IF(AK157&lt;&gt;"Automated Nurture","",IF(AJ157="DORMANT_LOW_VALUE","Dormant",IF(AJ157="RISING_TAIL_EARLY","Rising tail – early pattern",IF(Q157="New Customer","New customer onboarding",IF(Q157="Returned Customer","Returned customer",IF(G157="Lapsed","Dormant",IF(T157="Engaged, not converting","Engaged, not converting",IF(T157="One-off low-touch buyer","One-off purchaser",IF(T157="Light-touch repeat buyer","Light-touch repeat buyer","Standard long tail")))))))))</f>
        <v>Returned customer</v>
      </c>
      <c r="AT157" s="2" t="str">
        <f aca="false">IF(AA157,"CRITICAL_DATA_BLOCKER; ","")&amp;IF(Y157,"KEY_SIGNOFF; ","")&amp;IF(Z157="Manual Review","PHASE1_MANUAL_REVIEW; ","")&amp;IF(AND(LEFT(D157,1)="1",AZ157="Lumpy"),"LUMPY_CADENCE; ","")&amp;IF(AB157,"BORDERLINE_MOMENTUM; ","")&amp;IF(AC157,"FEB_SENSITIVE; ","")&amp;IF(AD157,"MATERIAL_BROKER_INCONSISTENCY"&amp;IF(AE157," (segment would change)","")&amp;"; ","")&amp;IF(AND(I157&gt;=3,O157&gt;0),IF(AI157&gt;=Assumptions!$B$75,"H2_SINGLE_MONTH_SPIKE; ",""),"")&amp;IF(AND(M157&gt;0,N157=0),"NO_FEB_GMV (Feb unconfirmed); ","")&amp;IF(AF157,"LOW_CONFIDENCE; ","")</f>
        <v>FEB_SENSITIVE; LOW_CONFIDENCE; </v>
      </c>
      <c r="AU157" s="2" t="str">
        <f aca="false">IF(LEFT(D157,1)="1",V157,"")</f>
        <v/>
      </c>
      <c r="AV157" s="2" t="str">
        <f aca="false">IF(LEFT(D157,1)="1",V157&gt;=Assumptions!$B$58,"")</f>
        <v/>
      </c>
      <c r="AW157" s="2" t="str">
        <f aca="false">IF(LEFT(D157,1)="1",W157,"")</f>
        <v/>
      </c>
      <c r="AX157" s="2" t="str">
        <f aca="false">IF(LEFT(D157,1)="1",X157,"")</f>
        <v/>
      </c>
      <c r="AY157" s="17" t="str">
        <f aca="false">IF(LEFT(D157,1)="1",J157/I157,"")</f>
        <v/>
      </c>
      <c r="AZ157" s="2" t="str">
        <f aca="false">IF(LEFT(D157,1)="1",IF(AND(K157&gt;=Assumptions!$B$83,I157&gt;=Assumptions!$B$84),"Regular","Lumpy"),"")</f>
        <v/>
      </c>
      <c r="BA157" s="2" t="str">
        <f aca="false">IF(LEFT(D157,1)="1",ROUND(6/K157,0),"")</f>
        <v/>
      </c>
      <c r="BB157" s="2" t="str">
        <f aca="false">IF(LEFT(D157,1)="1",IF(AZ157="Regular","Regular buyer: expected ~£"&amp;TEXT(H157/2,"#,##0")&amp;" per 90 days. At Risk if GMV to date &lt; "&amp;TEXT(Assumptions!$B$81,"0%")&amp;" of pro-rated expectation, checked from day "&amp;Assumptions!$B$82&amp;". Human-reviewed.","Irregular buyer ("&amp;I157&amp;" orders across "&amp;K157&amp;" months): no numeric GMV threshold. At Risk if no order within ~"&amp;BA157&amp;" month(s); AM reviews at day "&amp;Assumptions!$B$82&amp;" and "&amp;Assumptions!$B$85&amp;"."),"")</f>
        <v/>
      </c>
      <c r="BC157" s="2"/>
      <c r="BD157" s="2"/>
      <c r="BE157" s="2"/>
      <c r="BF157" s="2"/>
      <c r="BG157" s="2"/>
      <c r="BH157" s="2"/>
      <c r="BI157" s="2"/>
      <c r="BJ157" s="2" t="str">
        <f aca="false">IF(OR(NOT(LEFT(D157,1)="1"),BC157=""),"",IF(AZ157="Regular",AND(BC157&gt;=Assumptions!$B$82,N(BI157)&lt;Assumptions!$B$81*H157/180*BC157),AND(BC157&gt;=BA157*30,N(BG157)=0)))</f>
        <v/>
      </c>
      <c r="BK157" s="2" t="str">
        <f aca="false">IF(NOT(LEFT(D157,1)="1"),"N/A",IF(BC157="","Baseline",IF(BJ157,"At Risk",IF(AND(N(BD157)&gt;=Assumptions!$B$78,N(BE157)&gt;=Assumptions!$B$79,N(BH157)&gt;=1,N(BH157)/MAX(N(BG157),1)&gt;AY157),"Self-Serve Capability Demonstrated",IF(OR(N(BD157)&gt;=Assumptions!$B$76,N(BE157)&gt;=Assumptions!$B$77),"Progressing",IF(BC157&gt;=Assumptions!$B$85,"At Risk","Baseline"))))))</f>
        <v>N/A</v>
      </c>
      <c r="BL157" s="2" t="n">
        <f aca="false">(AND(C157="Broker-Reliant",OR(AK157="Discovery-to-Offer Enablement",AK157="Reinforce Successful Behaviour")))*1+(AND(G157="Declining",E157&lt;&gt;"Tail",AL157="Automated"))*1+(AND(Y157,AM157&lt;&gt;"Human Sign-Off Required"))*1+(AND(AA157,AM157&lt;&gt;"HOLD — Critical Data Issue"))*1+(AND(P157="Recent Inactivity",OR(AK157="Discovery-to-Offer Enablement",AK157="Reinforce Successful Behaviour")))*1+(AND(OR(LEFT(D157,1)="2",LEFT(D157,1)="3",LEFT(D157,1)="8"),AL157="Automated"))*1+((LEFT(D157,1)="1")&lt;&gt;(AK157="Guided Self-Serve Migration"))*1+(AND(AR157&lt;&gt;"",OR(F157&lt;&gt;"Low",U157="Mixed",AND(G157&lt;&gt;"Growing",G157&lt;&gt;"Stable"))))*1+ISNUMBER(SEARCH("chat",AP157))*1+ISNUMBER(SEARCH("video",AP157))*1+(AND(AA157,AL157="Automated",AM157&lt;&gt;"HOLD — Critical Data Issue"))*1</f>
        <v>0</v>
      </c>
    </row>
    <row r="158" customFormat="false" ht="15" hidden="false" customHeight="false" outlineLevel="0" collapsed="false">
      <c r="A158" s="2" t="s">
        <v>828</v>
      </c>
      <c r="B158" s="2" t="str">
        <f aca="false">INDEX(Segmentation!$B$2:$B$301,MATCH($A158,Segmentation!$A$2:$A$301,0))</f>
        <v>Account Managed</v>
      </c>
      <c r="C158" s="2" t="str">
        <f aca="false">INDEX(Segmentation!$H$2:$H$301,MATCH($A158,Segmentation!$A$2:$A$301,0))</f>
        <v>AM-Owned / Self-Serving</v>
      </c>
      <c r="D158" s="2" t="str">
        <f aca="false">INDEX(Segmentation!$T$2:$T$301,MATCH($A158,Segmentation!$A$2:$A$301,0))</f>
        <v>9. Long-Tail Automated Nurture</v>
      </c>
      <c r="E158" s="2" t="str">
        <f aca="false">INDEX(Segmentation!$J$2:$J$301,MATCH($A158,Segmentation!$A$2:$A$301,0))</f>
        <v>Tail</v>
      </c>
      <c r="F158" s="2" t="str">
        <f aca="false">INDEX(Segmentation!$G$2:$G$301,MATCH($A158,Segmentation!$A$2:$A$301,0))</f>
        <v>Low</v>
      </c>
      <c r="G158" s="2" t="str">
        <f aca="false">INDEX(Segmentation!$N$2:$N$301,MATCH($A158,Segmentation!$A$2:$A$301,0))</f>
        <v>Lapsed</v>
      </c>
      <c r="H158" s="9" t="n">
        <f aca="false">INDEX(Segmentation!$I$2:$I$301,MATCH($A158,Segmentation!$A$2:$A$301,0))</f>
        <v>254</v>
      </c>
      <c r="I158" s="2" t="n">
        <f aca="false">INDEX(Segmentation!$O$2:$O$301,MATCH($A158,Segmentation!$A$2:$A$301,0))</f>
        <v>1</v>
      </c>
      <c r="J158" s="2" t="n">
        <f aca="false">INDEX(Segmentation!$Q$2:$Q$301,MATCH($A158,Segmentation!$A$2:$A$301,0))</f>
        <v>1</v>
      </c>
      <c r="K158" s="2" t="n">
        <f aca="false">INDEX(Segmentation!$W$2:$W$301,MATCH($A158,Segmentation!$A$2:$A$301,0))</f>
        <v>1</v>
      </c>
      <c r="L158" s="9" t="n">
        <f aca="false">INDEX('Commercial View'!$L$2:$L$301,MATCH($A158,'Commercial View'!$A$2:$A$301,0))</f>
        <v>0</v>
      </c>
      <c r="M158" s="9" t="n">
        <f aca="false">INDEX('Commercial View'!$M$2:$M$301,MATCH($A158,'Commercial View'!$A$2:$A$301,0))</f>
        <v>0</v>
      </c>
      <c r="N158" s="9" t="n">
        <f aca="false">INDEX('Commercial View'!$N$2:$N$301,MATCH($A158,'Commercial View'!$A$2:$A$301,0))</f>
        <v>0</v>
      </c>
      <c r="O158" s="9" t="n">
        <f aca="false">INDEX(Segmentation!$L$2:$L$301,MATCH($A158,Segmentation!$A$2:$A$301,0))</f>
        <v>0</v>
      </c>
      <c r="P158" s="2" t="str">
        <f aca="false">IF(OR(M158&gt;0,N158&gt;0),"Recently Active",IF(OR(I158&lt;=Assumptions!$B$48,K158&lt;=Assumptions!$B$49),"No Meaningful History","Recent Inactivity"))</f>
        <v>No Meaningful History</v>
      </c>
      <c r="Q158" s="2" t="str">
        <f aca="false">INDEX(Segmentation!$AF$2:$AF$301,MATCH($A158,Segmentation!$A$2:$A$301,0))</f>
        <v>Existing Customer</v>
      </c>
      <c r="R158" s="2" t="str">
        <f aca="false">INDEX(Segmentation!$AL$2:$AL$301,MATCH($A158,Segmentation!$A$2:$A$301,0))</f>
        <v>One-Off / Insufficient History — Verify</v>
      </c>
      <c r="S158" s="10" t="b">
        <f aca="false">INDEX(Segmentation!$AW$2:$AW$301,MATCH($A158,Segmentation!$A$2:$A$301,0))</f>
        <v>0</v>
      </c>
      <c r="T158" s="2" t="str">
        <f aca="false">INDEX('Feature Data'!$AD$2:$AD$301,MATCH($A158,'Feature Data'!$A$2:$A$301,0))</f>
        <v>Engaged, not converting</v>
      </c>
      <c r="U158" s="2" t="str">
        <f aca="false">INDEX('Feature Data'!$W$2:$W$301,MATCH($A158,'Feature Data'!$A$2:$A$301,0))</f>
        <v>Handpick-only</v>
      </c>
      <c r="V158" s="2" t="n">
        <f aca="false">INDEX('Feature Data'!$P$2:$P$301,MATCH($A158,'Feature Data'!$A$2:$A$301,0))</f>
        <v>509</v>
      </c>
      <c r="W158" s="2" t="n">
        <f aca="false">INDEX(Segmentation!$R$2:$R$301,MATCH($A158,Segmentation!$A$2:$A$301,0))</f>
        <v>70</v>
      </c>
      <c r="X158" s="2" t="n">
        <f aca="false">INDEX(Segmentation!$S$2:$S$301,MATCH($A158,Segmentation!$A$2:$A$301,0))</f>
        <v>1</v>
      </c>
      <c r="Y158" s="10" t="b">
        <f aca="false">INDEX(Segmentation!$AG$2:$AG$301,MATCH($A158,Segmentation!$A$2:$A$301,0))</f>
        <v>0</v>
      </c>
      <c r="Z158" s="2" t="str">
        <f aca="false">INDEX(Segmentation!$AU$2:$AU$301,MATCH($A158,Segmentation!$A$2:$A$301,0))</f>
        <v>Not Eligible</v>
      </c>
      <c r="AA158" s="10" t="b">
        <f aca="false">INDEX(Segmentation!$Z$2:$Z$301,MATCH($A158,Segmentation!$A$2:$A$301,0))</f>
        <v>0</v>
      </c>
      <c r="AB158" s="10" t="b">
        <f aca="false">INDEX(Segmentation!$AH$2:$AH$301,MATCH($A158,Segmentation!$A$2:$A$301,0))</f>
        <v>0</v>
      </c>
      <c r="AC158" s="10" t="b">
        <f aca="false">INDEX(Segmentation!$AK$2:$AK$301,MATCH($A158,Segmentation!$A$2:$A$301,0))</f>
        <v>0</v>
      </c>
      <c r="AD158" s="10" t="b">
        <f aca="false">INDEX(Segmentation!$AQ$2:$AQ$301,MATCH($A158,Segmentation!$A$2:$A$301,0))</f>
        <v>0</v>
      </c>
      <c r="AE158" s="10" t="b">
        <f aca="false">INDEX(Segmentation!$AT$2:$AT$301,MATCH($A158,Segmentation!$A$2:$A$301,0))</f>
        <v>0</v>
      </c>
      <c r="AF158" s="10" t="b">
        <f aca="false">INDEX(Segmentation!$X$2:$X$301,MATCH($A158,Segmentation!$A$2:$A$301,0))</f>
        <v>1</v>
      </c>
      <c r="AG158" s="10" t="b">
        <f aca="false">AND(F158="Low",V158&gt;=Assumptions!$B$71,X158&lt;Assumptions!$B$72)</f>
        <v>1</v>
      </c>
      <c r="AH158" s="10" t="b">
        <f aca="false">AND(F158="Low",OR(G158="Growing",G158="Stable"),P158="Recently Active",V158&gt;=Assumptions!$B$58,K158&gt;=Assumptions!$B$73)</f>
        <v>0</v>
      </c>
      <c r="AI158" s="17" t="str">
        <f aca="false">IF(O158&gt;0,MAX(L158:N158)/O158,"")</f>
        <v/>
      </c>
      <c r="AJ158" s="2" t="str">
        <f aca="false">IF(LEFT(D158,1)="1",IF(E158="Key","MIGRATION_KEY_SIGNOFF",IF(Z158="Ready","MIGRATION_PHASE1_READY",IF(Z158="Manual Review","MIGRATION_PHASE1_REVIEW","MIGRATION_PRE_ENTRY"))),IF(LEFT(D158,1)="2","DECLINING_KEY_CORE",IF(LEFT(D158,1)="3",IF(R158="Established Buyer Lapsed","LAPSED_ESTABLISHED","LAPSED_THIN_HISTORY"),IF(LEFT(D158,1)="4",IF(Q158="New Customer","NEW_CUSTOMER","RETURNED_CUSTOMER"),IF(LEFT(D158,1)="5",IF(P158="Recently Active","COST_TO_SERVE_ACTIVE","DORMANT_LOW_VALUE"),IF(LEFT(D158,1)="6",IF(P158="Recent Inactivity","RECENT_INACTIVITY",IF(AG158,"BROWSING_LOW_OFFERS","HEALTHY_STRONG_SELF_SERVE")),IF(LEFT(D158,1)="7",IF(P158="Recent Inactivity","RECENT_INACTIVITY",IF(Q158="New Customer","NEW_CUSTOMER","RETURNED_CUSTOMER")),IF(LEFT(D158,1)="8",IF(G158="Declining",IF(T158="Engaged but shrinking (Key/Core)","ENGAGED_BUT_SHRINKING","DECLINING_KEY_CORE"),IF(R158="Established Buyer Lapsed","LAPSED_ESTABLISHED","LAPSED_THIN_HISTORY")),IF(S158,IF(P158&lt;&gt;"Recently Active","DORMANT_LOW_VALUE",IF(AG158,"BROWSING_LOW_OFFERS",IF(AH158,"RISING_TAIL","RISING_TAIL_EARLY"))),IF(AND(AG158,P158="Recently Active",OR(G158="Growing",G158="Stable",G158="H2 Active / No H1 GMV"),I158&gt;=Assumptions!$B$74),"BROWSING_LOW_OFFERS","LONG_TAIL_STANDARD"))))))))))</f>
        <v>LONG_TAIL_STANDARD</v>
      </c>
      <c r="AK158" s="2" t="str">
        <f aca="false">INDEX('NBA Library'!$B$4:$B$21,MATCH(AJ158,'NBA Library'!$A$4:$A$21,0))</f>
        <v>Automated Nurture</v>
      </c>
      <c r="AL158" s="2" t="str">
        <f aca="false">INDEX('NBA Library'!$C$4:$C$21,MATCH(AJ158,'NBA Library'!$A$4:$A$21,0))</f>
        <v>Automated</v>
      </c>
      <c r="AM158" s="2" t="str">
        <f aca="false">IF(AA158,"HOLD — Critical Data Issue",IF(Y158,"Human Sign-Off Required",IF(Z158="Manual Review","Human Review Required",IF(AND(AL158="Automated",OR(AE158,AND(OR(AK158="Discovery-to-Offer Enablement",AK158="Reinforce Successful Behaviour"),OR(AC158,AB158)))),"Human Review Required",IF(AL158="Human","Ready — Human",IF(AL158="Hybrid","Ready — Hybrid","Ready — Automated"))))))</f>
        <v>Ready — Automated</v>
      </c>
      <c r="AN158" s="2" t="str">
        <f aca="false">IF(AA158,"P0",IF(AND(AJ158="BROWSING_LOW_OFFERS",E158="Tail"),"P3",IF(AND(AM158="Human Review Required",INDEX('NBA Library'!$D$4:$D$21,MATCH(AJ158,'NBA Library'!$A$4:$A$21,0))="P4"),"P3",INDEX('NBA Library'!$D$4:$D$21,MATCH(AJ158,'NBA Library'!$A$4:$A$21,0)))))</f>
        <v>P4</v>
      </c>
      <c r="AO158" s="2" t="str">
        <f aca="false">E158&amp;" "&amp;C158&amp;" account ("&amp;B158&amp;"); "&amp;G158&amp;" momentum; "&amp;P158&amp;"; £"&amp;TEXT(H158,"#,##0")&amp;" 6m GMV. "&amp;INDEX('NBA Library'!$G$4:$G$21,MATCH(AJ158,'NBA Library'!$A$4:$A$21,0))&amp;IF(LEFT(D158,1)="1"," Baseline: "&amp;V158&amp;" PDP views, "&amp;W158&amp;" app days, "&amp;X158&amp;" offers, "&amp;TEXT(J158/I158,"0%")&amp;" of orders self-serve.","")&amp;IF(AA158," Execution on HOLD until the Duplicate status is resolved.","")&amp;IF(Y158," Key account: explicit AM/leadership sign-off required before any migration activity.","")&amp;IF(AE158," Implied broker % from order counts would move this account to a different segment; review before automating.","")</f>
        <v>Tail AM-Owned / Self-Serving account (Account Managed); Lapsed momentum; No Meaningful History; £254 6m GMV. Low-value, low-dependency account. Scalable automated engagement.</v>
      </c>
      <c r="AP158" s="2" t="str">
        <f aca="false">INDEX('NBA Library'!$E$4:$E$21,MATCH(AJ158,'NBA Library'!$A$4:$A$21,0))&amp;IF(AND(AJ158="NEW_CUSTOMER",AG158),"; introduce Make-an-Offer on items already browsed","")</f>
        <v>Scalable automated engagement matched to nurture sub-context</v>
      </c>
      <c r="AQ158" s="2" t="str">
        <f aca="false">INDEX('NBA Library'!$F$4:$F$21,MATCH(AJ158,'NBA Library'!$A$4:$A$21,0))</f>
        <v>Any repeat order within 90 days</v>
      </c>
      <c r="AR158" s="2" t="str">
        <f aca="false">IF(AND(F158="Low",OR(G158="Growing",G158="Stable"),P158="Recently Active",U158&lt;&gt;"Mixed",OR(AK158="Discovery-to-Offer Enablement",AK158="Reinforce Successful Behaviour"),AM158="Ready — Automated",OR(E158&lt;&gt;"Tail",S158)),"Range Expansion Test — trial "&amp;IF(U158="Bundle-only","handpick","bundles")&amp;" (experimental; not proven to lift GMV)","")</f>
        <v/>
      </c>
      <c r="AS158" s="2" t="str">
        <f aca="false">IF(AK158&lt;&gt;"Automated Nurture","",IF(AJ158="DORMANT_LOW_VALUE","Dormant",IF(AJ158="RISING_TAIL_EARLY","Rising tail – early pattern",IF(Q158="New Customer","New customer onboarding",IF(Q158="Returned Customer","Returned customer",IF(G158="Lapsed","Dormant",IF(T158="Engaged, not converting","Engaged, not converting",IF(T158="One-off low-touch buyer","One-off purchaser",IF(T158="Light-touch repeat buyer","Light-touch repeat buyer","Standard long tail")))))))))</f>
        <v>Dormant</v>
      </c>
      <c r="AT158" s="2" t="str">
        <f aca="false">IF(AA158,"CRITICAL_DATA_BLOCKER; ","")&amp;IF(Y158,"KEY_SIGNOFF; ","")&amp;IF(Z158="Manual Review","PHASE1_MANUAL_REVIEW; ","")&amp;IF(AND(LEFT(D158,1)="1",AZ158="Lumpy"),"LUMPY_CADENCE; ","")&amp;IF(AB158,"BORDERLINE_MOMENTUM; ","")&amp;IF(AC158,"FEB_SENSITIVE; ","")&amp;IF(AD158,"MATERIAL_BROKER_INCONSISTENCY"&amp;IF(AE158," (segment would change)","")&amp;"; ","")&amp;IF(AND(I158&gt;=3,O158&gt;0),IF(AI158&gt;=Assumptions!$B$75,"H2_SINGLE_MONTH_SPIKE; ",""),"")&amp;IF(AND(M158&gt;0,N158=0),"NO_FEB_GMV (Feb unconfirmed); ","")&amp;IF(AF158,"LOW_CONFIDENCE; ","")</f>
        <v>LOW_CONFIDENCE; </v>
      </c>
      <c r="AU158" s="2" t="str">
        <f aca="false">IF(LEFT(D158,1)="1",V158,"")</f>
        <v/>
      </c>
      <c r="AV158" s="2" t="str">
        <f aca="false">IF(LEFT(D158,1)="1",V158&gt;=Assumptions!$B$58,"")</f>
        <v/>
      </c>
      <c r="AW158" s="2" t="str">
        <f aca="false">IF(LEFT(D158,1)="1",W158,"")</f>
        <v/>
      </c>
      <c r="AX158" s="2" t="str">
        <f aca="false">IF(LEFT(D158,1)="1",X158,"")</f>
        <v/>
      </c>
      <c r="AY158" s="17" t="str">
        <f aca="false">IF(LEFT(D158,1)="1",J158/I158,"")</f>
        <v/>
      </c>
      <c r="AZ158" s="2" t="str">
        <f aca="false">IF(LEFT(D158,1)="1",IF(AND(K158&gt;=Assumptions!$B$83,I158&gt;=Assumptions!$B$84),"Regular","Lumpy"),"")</f>
        <v/>
      </c>
      <c r="BA158" s="2" t="str">
        <f aca="false">IF(LEFT(D158,1)="1",ROUND(6/K158,0),"")</f>
        <v/>
      </c>
      <c r="BB158" s="2" t="str">
        <f aca="false">IF(LEFT(D158,1)="1",IF(AZ158="Regular","Regular buyer: expected ~£"&amp;TEXT(H158/2,"#,##0")&amp;" per 90 days. At Risk if GMV to date &lt; "&amp;TEXT(Assumptions!$B$81,"0%")&amp;" of pro-rated expectation, checked from day "&amp;Assumptions!$B$82&amp;". Human-reviewed.","Irregular buyer ("&amp;I158&amp;" orders across "&amp;K158&amp;" months): no numeric GMV threshold. At Risk if no order within ~"&amp;BA158&amp;" month(s); AM reviews at day "&amp;Assumptions!$B$82&amp;" and "&amp;Assumptions!$B$85&amp;"."),"")</f>
        <v/>
      </c>
      <c r="BC158" s="2"/>
      <c r="BD158" s="2"/>
      <c r="BE158" s="2"/>
      <c r="BF158" s="2"/>
      <c r="BG158" s="2"/>
      <c r="BH158" s="2"/>
      <c r="BI158" s="2"/>
      <c r="BJ158" s="2" t="str">
        <f aca="false">IF(OR(NOT(LEFT(D158,1)="1"),BC158=""),"",IF(AZ158="Regular",AND(BC158&gt;=Assumptions!$B$82,N(BI158)&lt;Assumptions!$B$81*H158/180*BC158),AND(BC158&gt;=BA158*30,N(BG158)=0)))</f>
        <v/>
      </c>
      <c r="BK158" s="2" t="str">
        <f aca="false">IF(NOT(LEFT(D158,1)="1"),"N/A",IF(BC158="","Baseline",IF(BJ158,"At Risk",IF(AND(N(BD158)&gt;=Assumptions!$B$78,N(BE158)&gt;=Assumptions!$B$79,N(BH158)&gt;=1,N(BH158)/MAX(N(BG158),1)&gt;AY158),"Self-Serve Capability Demonstrated",IF(OR(N(BD158)&gt;=Assumptions!$B$76,N(BE158)&gt;=Assumptions!$B$77),"Progressing",IF(BC158&gt;=Assumptions!$B$85,"At Risk","Baseline"))))))</f>
        <v>N/A</v>
      </c>
      <c r="BL158" s="2" t="n">
        <f aca="false">(AND(C158="Broker-Reliant",OR(AK158="Discovery-to-Offer Enablement",AK158="Reinforce Successful Behaviour")))*1+(AND(G158="Declining",E158&lt;&gt;"Tail",AL158="Automated"))*1+(AND(Y158,AM158&lt;&gt;"Human Sign-Off Required"))*1+(AND(AA158,AM158&lt;&gt;"HOLD — Critical Data Issue"))*1+(AND(P158="Recent Inactivity",OR(AK158="Discovery-to-Offer Enablement",AK158="Reinforce Successful Behaviour")))*1+(AND(OR(LEFT(D158,1)="2",LEFT(D158,1)="3",LEFT(D158,1)="8"),AL158="Automated"))*1+((LEFT(D158,1)="1")&lt;&gt;(AK158="Guided Self-Serve Migration"))*1+(AND(AR158&lt;&gt;"",OR(F158&lt;&gt;"Low",U158="Mixed",AND(G158&lt;&gt;"Growing",G158&lt;&gt;"Stable"))))*1+ISNUMBER(SEARCH("chat",AP158))*1+ISNUMBER(SEARCH("video",AP158))*1+(AND(AA158,AL158="Automated",AM158&lt;&gt;"HOLD — Critical Data Issue"))*1</f>
        <v>0</v>
      </c>
    </row>
    <row r="159" customFormat="false" ht="15" hidden="false" customHeight="false" outlineLevel="0" collapsed="false">
      <c r="A159" s="2" t="s">
        <v>830</v>
      </c>
      <c r="B159" s="2" t="str">
        <f aca="false">INDEX(Segmentation!$B$2:$B$301,MATCH($A159,Segmentation!$A$2:$A$301,0))</f>
        <v>Account Managed</v>
      </c>
      <c r="C159" s="2" t="str">
        <f aca="false">INDEX(Segmentation!$H$2:$H$301,MATCH($A159,Segmentation!$A$2:$A$301,0))</f>
        <v>AM-Owned / Self-Serving</v>
      </c>
      <c r="D159" s="2" t="str">
        <f aca="false">INDEX(Segmentation!$T$2:$T$301,MATCH($A159,Segmentation!$A$2:$A$301,0))</f>
        <v>9. Long-Tail Automated Nurture</v>
      </c>
      <c r="E159" s="2" t="str">
        <f aca="false">INDEX(Segmentation!$J$2:$J$301,MATCH($A159,Segmentation!$A$2:$A$301,0))</f>
        <v>Tail</v>
      </c>
      <c r="F159" s="2" t="str">
        <f aca="false">INDEX(Segmentation!$G$2:$G$301,MATCH($A159,Segmentation!$A$2:$A$301,0))</f>
        <v>Low</v>
      </c>
      <c r="G159" s="2" t="str">
        <f aca="false">INDEX(Segmentation!$N$2:$N$301,MATCH($A159,Segmentation!$A$2:$A$301,0))</f>
        <v>Lapsed</v>
      </c>
      <c r="H159" s="9" t="n">
        <f aca="false">INDEX(Segmentation!$I$2:$I$301,MATCH($A159,Segmentation!$A$2:$A$301,0))</f>
        <v>254</v>
      </c>
      <c r="I159" s="2" t="n">
        <f aca="false">INDEX(Segmentation!$O$2:$O$301,MATCH($A159,Segmentation!$A$2:$A$301,0))</f>
        <v>1</v>
      </c>
      <c r="J159" s="2" t="n">
        <f aca="false">INDEX(Segmentation!$Q$2:$Q$301,MATCH($A159,Segmentation!$A$2:$A$301,0))</f>
        <v>1</v>
      </c>
      <c r="K159" s="2" t="n">
        <f aca="false">INDEX(Segmentation!$W$2:$W$301,MATCH($A159,Segmentation!$A$2:$A$301,0))</f>
        <v>1</v>
      </c>
      <c r="L159" s="9" t="n">
        <f aca="false">INDEX('Commercial View'!$L$2:$L$301,MATCH($A159,'Commercial View'!$A$2:$A$301,0))</f>
        <v>0</v>
      </c>
      <c r="M159" s="9" t="n">
        <f aca="false">INDEX('Commercial View'!$M$2:$M$301,MATCH($A159,'Commercial View'!$A$2:$A$301,0))</f>
        <v>0</v>
      </c>
      <c r="N159" s="9" t="n">
        <f aca="false">INDEX('Commercial View'!$N$2:$N$301,MATCH($A159,'Commercial View'!$A$2:$A$301,0))</f>
        <v>0</v>
      </c>
      <c r="O159" s="9" t="n">
        <f aca="false">INDEX(Segmentation!$L$2:$L$301,MATCH($A159,Segmentation!$A$2:$A$301,0))</f>
        <v>0</v>
      </c>
      <c r="P159" s="2" t="str">
        <f aca="false">IF(OR(M159&gt;0,N159&gt;0),"Recently Active",IF(OR(I159&lt;=Assumptions!$B$48,K159&lt;=Assumptions!$B$49),"No Meaningful History","Recent Inactivity"))</f>
        <v>No Meaningful History</v>
      </c>
      <c r="Q159" s="2" t="str">
        <f aca="false">INDEX(Segmentation!$AF$2:$AF$301,MATCH($A159,Segmentation!$A$2:$A$301,0))</f>
        <v>Existing Customer</v>
      </c>
      <c r="R159" s="2" t="str">
        <f aca="false">INDEX(Segmentation!$AL$2:$AL$301,MATCH($A159,Segmentation!$A$2:$A$301,0))</f>
        <v>One-Off / Insufficient History — Verify</v>
      </c>
      <c r="S159" s="10" t="b">
        <f aca="false">INDEX(Segmentation!$AW$2:$AW$301,MATCH($A159,Segmentation!$A$2:$A$301,0))</f>
        <v>0</v>
      </c>
      <c r="T159" s="2" t="str">
        <f aca="false">INDEX('Feature Data'!$AD$2:$AD$301,MATCH($A159,'Feature Data'!$A$2:$A$301,0))</f>
        <v>One-off low-touch buyer</v>
      </c>
      <c r="U159" s="2" t="str">
        <f aca="false">INDEX('Feature Data'!$W$2:$W$301,MATCH($A159,'Feature Data'!$A$2:$A$301,0))</f>
        <v>Bundle-only</v>
      </c>
      <c r="V159" s="2" t="n">
        <f aca="false">INDEX('Feature Data'!$P$2:$P$301,MATCH($A159,'Feature Data'!$A$2:$A$301,0))</f>
        <v>27</v>
      </c>
      <c r="W159" s="2" t="n">
        <f aca="false">INDEX(Segmentation!$R$2:$R$301,MATCH($A159,Segmentation!$A$2:$A$301,0))</f>
        <v>6</v>
      </c>
      <c r="X159" s="2" t="n">
        <f aca="false">INDEX(Segmentation!$S$2:$S$301,MATCH($A159,Segmentation!$A$2:$A$301,0))</f>
        <v>0</v>
      </c>
      <c r="Y159" s="10" t="b">
        <f aca="false">INDEX(Segmentation!$AG$2:$AG$301,MATCH($A159,Segmentation!$A$2:$A$301,0))</f>
        <v>0</v>
      </c>
      <c r="Z159" s="2" t="str">
        <f aca="false">INDEX(Segmentation!$AU$2:$AU$301,MATCH($A159,Segmentation!$A$2:$A$301,0))</f>
        <v>Not Eligible</v>
      </c>
      <c r="AA159" s="10" t="b">
        <f aca="false">INDEX(Segmentation!$Z$2:$Z$301,MATCH($A159,Segmentation!$A$2:$A$301,0))</f>
        <v>0</v>
      </c>
      <c r="AB159" s="10" t="b">
        <f aca="false">INDEX(Segmentation!$AH$2:$AH$301,MATCH($A159,Segmentation!$A$2:$A$301,0))</f>
        <v>0</v>
      </c>
      <c r="AC159" s="10" t="b">
        <f aca="false">INDEX(Segmentation!$AK$2:$AK$301,MATCH($A159,Segmentation!$A$2:$A$301,0))</f>
        <v>0</v>
      </c>
      <c r="AD159" s="10" t="b">
        <f aca="false">INDEX(Segmentation!$AQ$2:$AQ$301,MATCH($A159,Segmentation!$A$2:$A$301,0))</f>
        <v>0</v>
      </c>
      <c r="AE159" s="10" t="b">
        <f aca="false">INDEX(Segmentation!$AT$2:$AT$301,MATCH($A159,Segmentation!$A$2:$A$301,0))</f>
        <v>0</v>
      </c>
      <c r="AF159" s="10" t="b">
        <f aca="false">INDEX(Segmentation!$X$2:$X$301,MATCH($A159,Segmentation!$A$2:$A$301,0))</f>
        <v>1</v>
      </c>
      <c r="AG159" s="10" t="b">
        <f aca="false">AND(F159="Low",V159&gt;=Assumptions!$B$71,X159&lt;Assumptions!$B$72)</f>
        <v>0</v>
      </c>
      <c r="AH159" s="10" t="b">
        <f aca="false">AND(F159="Low",OR(G159="Growing",G159="Stable"),P159="Recently Active",V159&gt;=Assumptions!$B$58,K159&gt;=Assumptions!$B$73)</f>
        <v>0</v>
      </c>
      <c r="AI159" s="17" t="str">
        <f aca="false">IF(O159&gt;0,MAX(L159:N159)/O159,"")</f>
        <v/>
      </c>
      <c r="AJ159" s="2" t="str">
        <f aca="false">IF(LEFT(D159,1)="1",IF(E159="Key","MIGRATION_KEY_SIGNOFF",IF(Z159="Ready","MIGRATION_PHASE1_READY",IF(Z159="Manual Review","MIGRATION_PHASE1_REVIEW","MIGRATION_PRE_ENTRY"))),IF(LEFT(D159,1)="2","DECLINING_KEY_CORE",IF(LEFT(D159,1)="3",IF(R159="Established Buyer Lapsed","LAPSED_ESTABLISHED","LAPSED_THIN_HISTORY"),IF(LEFT(D159,1)="4",IF(Q159="New Customer","NEW_CUSTOMER","RETURNED_CUSTOMER"),IF(LEFT(D159,1)="5",IF(P159="Recently Active","COST_TO_SERVE_ACTIVE","DORMANT_LOW_VALUE"),IF(LEFT(D159,1)="6",IF(P159="Recent Inactivity","RECENT_INACTIVITY",IF(AG159,"BROWSING_LOW_OFFERS","HEALTHY_STRONG_SELF_SERVE")),IF(LEFT(D159,1)="7",IF(P159="Recent Inactivity","RECENT_INACTIVITY",IF(Q159="New Customer","NEW_CUSTOMER","RETURNED_CUSTOMER")),IF(LEFT(D159,1)="8",IF(G159="Declining",IF(T159="Engaged but shrinking (Key/Core)","ENGAGED_BUT_SHRINKING","DECLINING_KEY_CORE"),IF(R159="Established Buyer Lapsed","LAPSED_ESTABLISHED","LAPSED_THIN_HISTORY")),IF(S159,IF(P159&lt;&gt;"Recently Active","DORMANT_LOW_VALUE",IF(AG159,"BROWSING_LOW_OFFERS",IF(AH159,"RISING_TAIL","RISING_TAIL_EARLY"))),IF(AND(AG159,P159="Recently Active",OR(G159="Growing",G159="Stable",G159="H2 Active / No H1 GMV"),I159&gt;=Assumptions!$B$74),"BROWSING_LOW_OFFERS","LONG_TAIL_STANDARD"))))))))))</f>
        <v>LONG_TAIL_STANDARD</v>
      </c>
      <c r="AK159" s="2" t="str">
        <f aca="false">INDEX('NBA Library'!$B$4:$B$21,MATCH(AJ159,'NBA Library'!$A$4:$A$21,0))</f>
        <v>Automated Nurture</v>
      </c>
      <c r="AL159" s="2" t="str">
        <f aca="false">INDEX('NBA Library'!$C$4:$C$21,MATCH(AJ159,'NBA Library'!$A$4:$A$21,0))</f>
        <v>Automated</v>
      </c>
      <c r="AM159" s="2" t="str">
        <f aca="false">IF(AA159,"HOLD — Critical Data Issue",IF(Y159,"Human Sign-Off Required",IF(Z159="Manual Review","Human Review Required",IF(AND(AL159="Automated",OR(AE159,AND(OR(AK159="Discovery-to-Offer Enablement",AK159="Reinforce Successful Behaviour"),OR(AC159,AB159)))),"Human Review Required",IF(AL159="Human","Ready — Human",IF(AL159="Hybrid","Ready — Hybrid","Ready — Automated"))))))</f>
        <v>Ready — Automated</v>
      </c>
      <c r="AN159" s="2" t="str">
        <f aca="false">IF(AA159,"P0",IF(AND(AJ159="BROWSING_LOW_OFFERS",E159="Tail"),"P3",IF(AND(AM159="Human Review Required",INDEX('NBA Library'!$D$4:$D$21,MATCH(AJ159,'NBA Library'!$A$4:$A$21,0))="P4"),"P3",INDEX('NBA Library'!$D$4:$D$21,MATCH(AJ159,'NBA Library'!$A$4:$A$21,0)))))</f>
        <v>P4</v>
      </c>
      <c r="AO159" s="2" t="str">
        <f aca="false">E159&amp;" "&amp;C159&amp;" account ("&amp;B159&amp;"); "&amp;G159&amp;" momentum; "&amp;P159&amp;"; £"&amp;TEXT(H159,"#,##0")&amp;" 6m GMV. "&amp;INDEX('NBA Library'!$G$4:$G$21,MATCH(AJ159,'NBA Library'!$A$4:$A$21,0))&amp;IF(LEFT(D159,1)="1"," Baseline: "&amp;V159&amp;" PDP views, "&amp;W159&amp;" app days, "&amp;X159&amp;" offers, "&amp;TEXT(J159/I159,"0%")&amp;" of orders self-serve.","")&amp;IF(AA159," Execution on HOLD until the Duplicate status is resolved.","")&amp;IF(Y159," Key account: explicit AM/leadership sign-off required before any migration activity.","")&amp;IF(AE159," Implied broker % from order counts would move this account to a different segment; review before automating.","")</f>
        <v>Tail AM-Owned / Self-Serving account (Account Managed); Lapsed momentum; No Meaningful History; £254 6m GMV. Low-value, low-dependency account. Scalable automated engagement.</v>
      </c>
      <c r="AP159" s="2" t="str">
        <f aca="false">INDEX('NBA Library'!$E$4:$E$21,MATCH(AJ159,'NBA Library'!$A$4:$A$21,0))&amp;IF(AND(AJ159="NEW_CUSTOMER",AG159),"; introduce Make-an-Offer on items already browsed","")</f>
        <v>Scalable automated engagement matched to nurture sub-context</v>
      </c>
      <c r="AQ159" s="2" t="str">
        <f aca="false">INDEX('NBA Library'!$F$4:$F$21,MATCH(AJ159,'NBA Library'!$A$4:$A$21,0))</f>
        <v>Any repeat order within 90 days</v>
      </c>
      <c r="AR159" s="2" t="str">
        <f aca="false">IF(AND(F159="Low",OR(G159="Growing",G159="Stable"),P159="Recently Active",U159&lt;&gt;"Mixed",OR(AK159="Discovery-to-Offer Enablement",AK159="Reinforce Successful Behaviour"),AM159="Ready — Automated",OR(E159&lt;&gt;"Tail",S159)),"Range Expansion Test — trial "&amp;IF(U159="Bundle-only","handpick","bundles")&amp;" (experimental; not proven to lift GMV)","")</f>
        <v/>
      </c>
      <c r="AS159" s="2" t="str">
        <f aca="false">IF(AK159&lt;&gt;"Automated Nurture","",IF(AJ159="DORMANT_LOW_VALUE","Dormant",IF(AJ159="RISING_TAIL_EARLY","Rising tail – early pattern",IF(Q159="New Customer","New customer onboarding",IF(Q159="Returned Customer","Returned customer",IF(G159="Lapsed","Dormant",IF(T159="Engaged, not converting","Engaged, not converting",IF(T159="One-off low-touch buyer","One-off purchaser",IF(T159="Light-touch repeat buyer","Light-touch repeat buyer","Standard long tail")))))))))</f>
        <v>Dormant</v>
      </c>
      <c r="AT159" s="2" t="str">
        <f aca="false">IF(AA159,"CRITICAL_DATA_BLOCKER; ","")&amp;IF(Y159,"KEY_SIGNOFF; ","")&amp;IF(Z159="Manual Review","PHASE1_MANUAL_REVIEW; ","")&amp;IF(AND(LEFT(D159,1)="1",AZ159="Lumpy"),"LUMPY_CADENCE; ","")&amp;IF(AB159,"BORDERLINE_MOMENTUM; ","")&amp;IF(AC159,"FEB_SENSITIVE; ","")&amp;IF(AD159,"MATERIAL_BROKER_INCONSISTENCY"&amp;IF(AE159," (segment would change)","")&amp;"; ","")&amp;IF(AND(I159&gt;=3,O159&gt;0),IF(AI159&gt;=Assumptions!$B$75,"H2_SINGLE_MONTH_SPIKE; ",""),"")&amp;IF(AND(M159&gt;0,N159=0),"NO_FEB_GMV (Feb unconfirmed); ","")&amp;IF(AF159,"LOW_CONFIDENCE; ","")</f>
        <v>LOW_CONFIDENCE; </v>
      </c>
      <c r="AU159" s="2" t="str">
        <f aca="false">IF(LEFT(D159,1)="1",V159,"")</f>
        <v/>
      </c>
      <c r="AV159" s="2" t="str">
        <f aca="false">IF(LEFT(D159,1)="1",V159&gt;=Assumptions!$B$58,"")</f>
        <v/>
      </c>
      <c r="AW159" s="2" t="str">
        <f aca="false">IF(LEFT(D159,1)="1",W159,"")</f>
        <v/>
      </c>
      <c r="AX159" s="2" t="str">
        <f aca="false">IF(LEFT(D159,1)="1",X159,"")</f>
        <v/>
      </c>
      <c r="AY159" s="17" t="str">
        <f aca="false">IF(LEFT(D159,1)="1",J159/I159,"")</f>
        <v/>
      </c>
      <c r="AZ159" s="2" t="str">
        <f aca="false">IF(LEFT(D159,1)="1",IF(AND(K159&gt;=Assumptions!$B$83,I159&gt;=Assumptions!$B$84),"Regular","Lumpy"),"")</f>
        <v/>
      </c>
      <c r="BA159" s="2" t="str">
        <f aca="false">IF(LEFT(D159,1)="1",ROUND(6/K159,0),"")</f>
        <v/>
      </c>
      <c r="BB159" s="2" t="str">
        <f aca="false">IF(LEFT(D159,1)="1",IF(AZ159="Regular","Regular buyer: expected ~£"&amp;TEXT(H159/2,"#,##0")&amp;" per 90 days. At Risk if GMV to date &lt; "&amp;TEXT(Assumptions!$B$81,"0%")&amp;" of pro-rated expectation, checked from day "&amp;Assumptions!$B$82&amp;". Human-reviewed.","Irregular buyer ("&amp;I159&amp;" orders across "&amp;K159&amp;" months): no numeric GMV threshold. At Risk if no order within ~"&amp;BA159&amp;" month(s); AM reviews at day "&amp;Assumptions!$B$82&amp;" and "&amp;Assumptions!$B$85&amp;"."),"")</f>
        <v/>
      </c>
      <c r="BC159" s="2"/>
      <c r="BD159" s="2"/>
      <c r="BE159" s="2"/>
      <c r="BF159" s="2"/>
      <c r="BG159" s="2"/>
      <c r="BH159" s="2"/>
      <c r="BI159" s="2"/>
      <c r="BJ159" s="2" t="str">
        <f aca="false">IF(OR(NOT(LEFT(D159,1)="1"),BC159=""),"",IF(AZ159="Regular",AND(BC159&gt;=Assumptions!$B$82,N(BI159)&lt;Assumptions!$B$81*H159/180*BC159),AND(BC159&gt;=BA159*30,N(BG159)=0)))</f>
        <v/>
      </c>
      <c r="BK159" s="2" t="str">
        <f aca="false">IF(NOT(LEFT(D159,1)="1"),"N/A",IF(BC159="","Baseline",IF(BJ159,"At Risk",IF(AND(N(BD159)&gt;=Assumptions!$B$78,N(BE159)&gt;=Assumptions!$B$79,N(BH159)&gt;=1,N(BH159)/MAX(N(BG159),1)&gt;AY159),"Self-Serve Capability Demonstrated",IF(OR(N(BD159)&gt;=Assumptions!$B$76,N(BE159)&gt;=Assumptions!$B$77),"Progressing",IF(BC159&gt;=Assumptions!$B$85,"At Risk","Baseline"))))))</f>
        <v>N/A</v>
      </c>
      <c r="BL159" s="2" t="n">
        <f aca="false">(AND(C159="Broker-Reliant",OR(AK159="Discovery-to-Offer Enablement",AK159="Reinforce Successful Behaviour")))*1+(AND(G159="Declining",E159&lt;&gt;"Tail",AL159="Automated"))*1+(AND(Y159,AM159&lt;&gt;"Human Sign-Off Required"))*1+(AND(AA159,AM159&lt;&gt;"HOLD — Critical Data Issue"))*1+(AND(P159="Recent Inactivity",OR(AK159="Discovery-to-Offer Enablement",AK159="Reinforce Successful Behaviour")))*1+(AND(OR(LEFT(D159,1)="2",LEFT(D159,1)="3",LEFT(D159,1)="8"),AL159="Automated"))*1+((LEFT(D159,1)="1")&lt;&gt;(AK159="Guided Self-Serve Migration"))*1+(AND(AR159&lt;&gt;"",OR(F159&lt;&gt;"Low",U159="Mixed",AND(G159&lt;&gt;"Growing",G159&lt;&gt;"Stable"))))*1+ISNUMBER(SEARCH("chat",AP159))*1+ISNUMBER(SEARCH("video",AP159))*1+(AND(AA159,AL159="Automated",AM159&lt;&gt;"HOLD — Critical Data Issue"))*1</f>
        <v>0</v>
      </c>
    </row>
    <row r="160" customFormat="false" ht="15" hidden="false" customHeight="false" outlineLevel="0" collapsed="false">
      <c r="A160" s="2" t="s">
        <v>832</v>
      </c>
      <c r="B160" s="2" t="str">
        <f aca="false">INDEX(Segmentation!$B$2:$B$301,MATCH($A160,Segmentation!$A$2:$A$301,0))</f>
        <v>Account Managed</v>
      </c>
      <c r="C160" s="2" t="str">
        <f aca="false">INDEX(Segmentation!$H$2:$H$301,MATCH($A160,Segmentation!$A$2:$A$301,0))</f>
        <v>AM-Owned / Self-Serving</v>
      </c>
      <c r="D160" s="2" t="str">
        <f aca="false">INDEX(Segmentation!$T$2:$T$301,MATCH($A160,Segmentation!$A$2:$A$301,0))</f>
        <v>9. Long-Tail Automated Nurture</v>
      </c>
      <c r="E160" s="2" t="str">
        <f aca="false">INDEX(Segmentation!$J$2:$J$301,MATCH($A160,Segmentation!$A$2:$A$301,0))</f>
        <v>Tail</v>
      </c>
      <c r="F160" s="2" t="str">
        <f aca="false">INDEX(Segmentation!$G$2:$G$301,MATCH($A160,Segmentation!$A$2:$A$301,0))</f>
        <v>Low</v>
      </c>
      <c r="G160" s="2" t="str">
        <f aca="false">INDEX(Segmentation!$N$2:$N$301,MATCH($A160,Segmentation!$A$2:$A$301,0))</f>
        <v>Lapsed</v>
      </c>
      <c r="H160" s="9" t="n">
        <f aca="false">INDEX(Segmentation!$I$2:$I$301,MATCH($A160,Segmentation!$A$2:$A$301,0))</f>
        <v>253</v>
      </c>
      <c r="I160" s="2" t="n">
        <f aca="false">INDEX(Segmentation!$O$2:$O$301,MATCH($A160,Segmentation!$A$2:$A$301,0))</f>
        <v>1</v>
      </c>
      <c r="J160" s="2" t="n">
        <f aca="false">INDEX(Segmentation!$Q$2:$Q$301,MATCH($A160,Segmentation!$A$2:$A$301,0))</f>
        <v>1</v>
      </c>
      <c r="K160" s="2" t="n">
        <f aca="false">INDEX(Segmentation!$W$2:$W$301,MATCH($A160,Segmentation!$A$2:$A$301,0))</f>
        <v>1</v>
      </c>
      <c r="L160" s="9" t="n">
        <f aca="false">INDEX('Commercial View'!$L$2:$L$301,MATCH($A160,'Commercial View'!$A$2:$A$301,0))</f>
        <v>0</v>
      </c>
      <c r="M160" s="9" t="n">
        <f aca="false">INDEX('Commercial View'!$M$2:$M$301,MATCH($A160,'Commercial View'!$A$2:$A$301,0))</f>
        <v>0</v>
      </c>
      <c r="N160" s="9" t="n">
        <f aca="false">INDEX('Commercial View'!$N$2:$N$301,MATCH($A160,'Commercial View'!$A$2:$A$301,0))</f>
        <v>0</v>
      </c>
      <c r="O160" s="9" t="n">
        <f aca="false">INDEX(Segmentation!$L$2:$L$301,MATCH($A160,Segmentation!$A$2:$A$301,0))</f>
        <v>0</v>
      </c>
      <c r="P160" s="2" t="str">
        <f aca="false">IF(OR(M160&gt;0,N160&gt;0),"Recently Active",IF(OR(I160&lt;=Assumptions!$B$48,K160&lt;=Assumptions!$B$49),"No Meaningful History","Recent Inactivity"))</f>
        <v>No Meaningful History</v>
      </c>
      <c r="Q160" s="2" t="str">
        <f aca="false">INDEX(Segmentation!$AF$2:$AF$301,MATCH($A160,Segmentation!$A$2:$A$301,0))</f>
        <v>Existing Customer</v>
      </c>
      <c r="R160" s="2" t="str">
        <f aca="false">INDEX(Segmentation!$AL$2:$AL$301,MATCH($A160,Segmentation!$A$2:$A$301,0))</f>
        <v>One-Off / Insufficient History — Verify</v>
      </c>
      <c r="S160" s="10" t="b">
        <f aca="false">INDEX(Segmentation!$AW$2:$AW$301,MATCH($A160,Segmentation!$A$2:$A$301,0))</f>
        <v>0</v>
      </c>
      <c r="T160" s="2" t="str">
        <f aca="false">INDEX('Feature Data'!$AD$2:$AD$301,MATCH($A160,'Feature Data'!$A$2:$A$301,0))</f>
        <v>One-off low-touch buyer</v>
      </c>
      <c r="U160" s="2" t="str">
        <f aca="false">INDEX('Feature Data'!$W$2:$W$301,MATCH($A160,'Feature Data'!$A$2:$A$301,0))</f>
        <v>Bundle-only</v>
      </c>
      <c r="V160" s="2" t="n">
        <f aca="false">INDEX('Feature Data'!$P$2:$P$301,MATCH($A160,'Feature Data'!$A$2:$A$301,0))</f>
        <v>115</v>
      </c>
      <c r="W160" s="2" t="n">
        <f aca="false">INDEX(Segmentation!$R$2:$R$301,MATCH($A160,Segmentation!$A$2:$A$301,0))</f>
        <v>7</v>
      </c>
      <c r="X160" s="2" t="n">
        <f aca="false">INDEX(Segmentation!$S$2:$S$301,MATCH($A160,Segmentation!$A$2:$A$301,0))</f>
        <v>0</v>
      </c>
      <c r="Y160" s="10" t="b">
        <f aca="false">INDEX(Segmentation!$AG$2:$AG$301,MATCH($A160,Segmentation!$A$2:$A$301,0))</f>
        <v>0</v>
      </c>
      <c r="Z160" s="2" t="str">
        <f aca="false">INDEX(Segmentation!$AU$2:$AU$301,MATCH($A160,Segmentation!$A$2:$A$301,0))</f>
        <v>Not Eligible</v>
      </c>
      <c r="AA160" s="10" t="b">
        <f aca="false">INDEX(Segmentation!$Z$2:$Z$301,MATCH($A160,Segmentation!$A$2:$A$301,0))</f>
        <v>0</v>
      </c>
      <c r="AB160" s="10" t="b">
        <f aca="false">INDEX(Segmentation!$AH$2:$AH$301,MATCH($A160,Segmentation!$A$2:$A$301,0))</f>
        <v>0</v>
      </c>
      <c r="AC160" s="10" t="b">
        <f aca="false">INDEX(Segmentation!$AK$2:$AK$301,MATCH($A160,Segmentation!$A$2:$A$301,0))</f>
        <v>0</v>
      </c>
      <c r="AD160" s="10" t="b">
        <f aca="false">INDEX(Segmentation!$AQ$2:$AQ$301,MATCH($A160,Segmentation!$A$2:$A$301,0))</f>
        <v>0</v>
      </c>
      <c r="AE160" s="10" t="b">
        <f aca="false">INDEX(Segmentation!$AT$2:$AT$301,MATCH($A160,Segmentation!$A$2:$A$301,0))</f>
        <v>0</v>
      </c>
      <c r="AF160" s="10" t="b">
        <f aca="false">INDEX(Segmentation!$X$2:$X$301,MATCH($A160,Segmentation!$A$2:$A$301,0))</f>
        <v>1</v>
      </c>
      <c r="AG160" s="10" t="b">
        <f aca="false">AND(F160="Low",V160&gt;=Assumptions!$B$71,X160&lt;Assumptions!$B$72)</f>
        <v>1</v>
      </c>
      <c r="AH160" s="10" t="b">
        <f aca="false">AND(F160="Low",OR(G160="Growing",G160="Stable"),P160="Recently Active",V160&gt;=Assumptions!$B$58,K160&gt;=Assumptions!$B$73)</f>
        <v>0</v>
      </c>
      <c r="AI160" s="17" t="str">
        <f aca="false">IF(O160&gt;0,MAX(L160:N160)/O160,"")</f>
        <v/>
      </c>
      <c r="AJ160" s="2" t="str">
        <f aca="false">IF(LEFT(D160,1)="1",IF(E160="Key","MIGRATION_KEY_SIGNOFF",IF(Z160="Ready","MIGRATION_PHASE1_READY",IF(Z160="Manual Review","MIGRATION_PHASE1_REVIEW","MIGRATION_PRE_ENTRY"))),IF(LEFT(D160,1)="2","DECLINING_KEY_CORE",IF(LEFT(D160,1)="3",IF(R160="Established Buyer Lapsed","LAPSED_ESTABLISHED","LAPSED_THIN_HISTORY"),IF(LEFT(D160,1)="4",IF(Q160="New Customer","NEW_CUSTOMER","RETURNED_CUSTOMER"),IF(LEFT(D160,1)="5",IF(P160="Recently Active","COST_TO_SERVE_ACTIVE","DORMANT_LOW_VALUE"),IF(LEFT(D160,1)="6",IF(P160="Recent Inactivity","RECENT_INACTIVITY",IF(AG160,"BROWSING_LOW_OFFERS","HEALTHY_STRONG_SELF_SERVE")),IF(LEFT(D160,1)="7",IF(P160="Recent Inactivity","RECENT_INACTIVITY",IF(Q160="New Customer","NEW_CUSTOMER","RETURNED_CUSTOMER")),IF(LEFT(D160,1)="8",IF(G160="Declining",IF(T160="Engaged but shrinking (Key/Core)","ENGAGED_BUT_SHRINKING","DECLINING_KEY_CORE"),IF(R160="Established Buyer Lapsed","LAPSED_ESTABLISHED","LAPSED_THIN_HISTORY")),IF(S160,IF(P160&lt;&gt;"Recently Active","DORMANT_LOW_VALUE",IF(AG160,"BROWSING_LOW_OFFERS",IF(AH160,"RISING_TAIL","RISING_TAIL_EARLY"))),IF(AND(AG160,P160="Recently Active",OR(G160="Growing",G160="Stable",G160="H2 Active / No H1 GMV"),I160&gt;=Assumptions!$B$74),"BROWSING_LOW_OFFERS","LONG_TAIL_STANDARD"))))))))))</f>
        <v>LONG_TAIL_STANDARD</v>
      </c>
      <c r="AK160" s="2" t="str">
        <f aca="false">INDEX('NBA Library'!$B$4:$B$21,MATCH(AJ160,'NBA Library'!$A$4:$A$21,0))</f>
        <v>Automated Nurture</v>
      </c>
      <c r="AL160" s="2" t="str">
        <f aca="false">INDEX('NBA Library'!$C$4:$C$21,MATCH(AJ160,'NBA Library'!$A$4:$A$21,0))</f>
        <v>Automated</v>
      </c>
      <c r="AM160" s="2" t="str">
        <f aca="false">IF(AA160,"HOLD — Critical Data Issue",IF(Y160,"Human Sign-Off Required",IF(Z160="Manual Review","Human Review Required",IF(AND(AL160="Automated",OR(AE160,AND(OR(AK160="Discovery-to-Offer Enablement",AK160="Reinforce Successful Behaviour"),OR(AC160,AB160)))),"Human Review Required",IF(AL160="Human","Ready — Human",IF(AL160="Hybrid","Ready — Hybrid","Ready — Automated"))))))</f>
        <v>Ready — Automated</v>
      </c>
      <c r="AN160" s="2" t="str">
        <f aca="false">IF(AA160,"P0",IF(AND(AJ160="BROWSING_LOW_OFFERS",E160="Tail"),"P3",IF(AND(AM160="Human Review Required",INDEX('NBA Library'!$D$4:$D$21,MATCH(AJ160,'NBA Library'!$A$4:$A$21,0))="P4"),"P3",INDEX('NBA Library'!$D$4:$D$21,MATCH(AJ160,'NBA Library'!$A$4:$A$21,0)))))</f>
        <v>P4</v>
      </c>
      <c r="AO160" s="2" t="str">
        <f aca="false">E160&amp;" "&amp;C160&amp;" account ("&amp;B160&amp;"); "&amp;G160&amp;" momentum; "&amp;P160&amp;"; £"&amp;TEXT(H160,"#,##0")&amp;" 6m GMV. "&amp;INDEX('NBA Library'!$G$4:$G$21,MATCH(AJ160,'NBA Library'!$A$4:$A$21,0))&amp;IF(LEFT(D160,1)="1"," Baseline: "&amp;V160&amp;" PDP views, "&amp;W160&amp;" app days, "&amp;X160&amp;" offers, "&amp;TEXT(J160/I160,"0%")&amp;" of orders self-serve.","")&amp;IF(AA160," Execution on HOLD until the Duplicate status is resolved.","")&amp;IF(Y160," Key account: explicit AM/leadership sign-off required before any migration activity.","")&amp;IF(AE160," Implied broker % from order counts would move this account to a different segment; review before automating.","")</f>
        <v>Tail AM-Owned / Self-Serving account (Account Managed); Lapsed momentum; No Meaningful History; £253 6m GMV. Low-value, low-dependency account. Scalable automated engagement.</v>
      </c>
      <c r="AP160" s="2" t="str">
        <f aca="false">INDEX('NBA Library'!$E$4:$E$21,MATCH(AJ160,'NBA Library'!$A$4:$A$21,0))&amp;IF(AND(AJ160="NEW_CUSTOMER",AG160),"; introduce Make-an-Offer on items already browsed","")</f>
        <v>Scalable automated engagement matched to nurture sub-context</v>
      </c>
      <c r="AQ160" s="2" t="str">
        <f aca="false">INDEX('NBA Library'!$F$4:$F$21,MATCH(AJ160,'NBA Library'!$A$4:$A$21,0))</f>
        <v>Any repeat order within 90 days</v>
      </c>
      <c r="AR160" s="2" t="str">
        <f aca="false">IF(AND(F160="Low",OR(G160="Growing",G160="Stable"),P160="Recently Active",U160&lt;&gt;"Mixed",OR(AK160="Discovery-to-Offer Enablement",AK160="Reinforce Successful Behaviour"),AM160="Ready — Automated",OR(E160&lt;&gt;"Tail",S160)),"Range Expansion Test — trial "&amp;IF(U160="Bundle-only","handpick","bundles")&amp;" (experimental; not proven to lift GMV)","")</f>
        <v/>
      </c>
      <c r="AS160" s="2" t="str">
        <f aca="false">IF(AK160&lt;&gt;"Automated Nurture","",IF(AJ160="DORMANT_LOW_VALUE","Dormant",IF(AJ160="RISING_TAIL_EARLY","Rising tail – early pattern",IF(Q160="New Customer","New customer onboarding",IF(Q160="Returned Customer","Returned customer",IF(G160="Lapsed","Dormant",IF(T160="Engaged, not converting","Engaged, not converting",IF(T160="One-off low-touch buyer","One-off purchaser",IF(T160="Light-touch repeat buyer","Light-touch repeat buyer","Standard long tail")))))))))</f>
        <v>Dormant</v>
      </c>
      <c r="AT160" s="2" t="str">
        <f aca="false">IF(AA160,"CRITICAL_DATA_BLOCKER; ","")&amp;IF(Y160,"KEY_SIGNOFF; ","")&amp;IF(Z160="Manual Review","PHASE1_MANUAL_REVIEW; ","")&amp;IF(AND(LEFT(D160,1)="1",AZ160="Lumpy"),"LUMPY_CADENCE; ","")&amp;IF(AB160,"BORDERLINE_MOMENTUM; ","")&amp;IF(AC160,"FEB_SENSITIVE; ","")&amp;IF(AD160,"MATERIAL_BROKER_INCONSISTENCY"&amp;IF(AE160," (segment would change)","")&amp;"; ","")&amp;IF(AND(I160&gt;=3,O160&gt;0),IF(AI160&gt;=Assumptions!$B$75,"H2_SINGLE_MONTH_SPIKE; ",""),"")&amp;IF(AND(M160&gt;0,N160=0),"NO_FEB_GMV (Feb unconfirmed); ","")&amp;IF(AF160,"LOW_CONFIDENCE; ","")</f>
        <v>LOW_CONFIDENCE; </v>
      </c>
      <c r="AU160" s="2" t="str">
        <f aca="false">IF(LEFT(D160,1)="1",V160,"")</f>
        <v/>
      </c>
      <c r="AV160" s="2" t="str">
        <f aca="false">IF(LEFT(D160,1)="1",V160&gt;=Assumptions!$B$58,"")</f>
        <v/>
      </c>
      <c r="AW160" s="2" t="str">
        <f aca="false">IF(LEFT(D160,1)="1",W160,"")</f>
        <v/>
      </c>
      <c r="AX160" s="2" t="str">
        <f aca="false">IF(LEFT(D160,1)="1",X160,"")</f>
        <v/>
      </c>
      <c r="AY160" s="17" t="str">
        <f aca="false">IF(LEFT(D160,1)="1",J160/I160,"")</f>
        <v/>
      </c>
      <c r="AZ160" s="2" t="str">
        <f aca="false">IF(LEFT(D160,1)="1",IF(AND(K160&gt;=Assumptions!$B$83,I160&gt;=Assumptions!$B$84),"Regular","Lumpy"),"")</f>
        <v/>
      </c>
      <c r="BA160" s="2" t="str">
        <f aca="false">IF(LEFT(D160,1)="1",ROUND(6/K160,0),"")</f>
        <v/>
      </c>
      <c r="BB160" s="2" t="str">
        <f aca="false">IF(LEFT(D160,1)="1",IF(AZ160="Regular","Regular buyer: expected ~£"&amp;TEXT(H160/2,"#,##0")&amp;" per 90 days. At Risk if GMV to date &lt; "&amp;TEXT(Assumptions!$B$81,"0%")&amp;" of pro-rated expectation, checked from day "&amp;Assumptions!$B$82&amp;". Human-reviewed.","Irregular buyer ("&amp;I160&amp;" orders across "&amp;K160&amp;" months): no numeric GMV threshold. At Risk if no order within ~"&amp;BA160&amp;" month(s); AM reviews at day "&amp;Assumptions!$B$82&amp;" and "&amp;Assumptions!$B$85&amp;"."),"")</f>
        <v/>
      </c>
      <c r="BC160" s="2"/>
      <c r="BD160" s="2"/>
      <c r="BE160" s="2"/>
      <c r="BF160" s="2"/>
      <c r="BG160" s="2"/>
      <c r="BH160" s="2"/>
      <c r="BI160" s="2"/>
      <c r="BJ160" s="2" t="str">
        <f aca="false">IF(OR(NOT(LEFT(D160,1)="1"),BC160=""),"",IF(AZ160="Regular",AND(BC160&gt;=Assumptions!$B$82,N(BI160)&lt;Assumptions!$B$81*H160/180*BC160),AND(BC160&gt;=BA160*30,N(BG160)=0)))</f>
        <v/>
      </c>
      <c r="BK160" s="2" t="str">
        <f aca="false">IF(NOT(LEFT(D160,1)="1"),"N/A",IF(BC160="","Baseline",IF(BJ160,"At Risk",IF(AND(N(BD160)&gt;=Assumptions!$B$78,N(BE160)&gt;=Assumptions!$B$79,N(BH160)&gt;=1,N(BH160)/MAX(N(BG160),1)&gt;AY160),"Self-Serve Capability Demonstrated",IF(OR(N(BD160)&gt;=Assumptions!$B$76,N(BE160)&gt;=Assumptions!$B$77),"Progressing",IF(BC160&gt;=Assumptions!$B$85,"At Risk","Baseline"))))))</f>
        <v>N/A</v>
      </c>
      <c r="BL160" s="2" t="n">
        <f aca="false">(AND(C160="Broker-Reliant",OR(AK160="Discovery-to-Offer Enablement",AK160="Reinforce Successful Behaviour")))*1+(AND(G160="Declining",E160&lt;&gt;"Tail",AL160="Automated"))*1+(AND(Y160,AM160&lt;&gt;"Human Sign-Off Required"))*1+(AND(AA160,AM160&lt;&gt;"HOLD — Critical Data Issue"))*1+(AND(P160="Recent Inactivity",OR(AK160="Discovery-to-Offer Enablement",AK160="Reinforce Successful Behaviour")))*1+(AND(OR(LEFT(D160,1)="2",LEFT(D160,1)="3",LEFT(D160,1)="8"),AL160="Automated"))*1+((LEFT(D160,1)="1")&lt;&gt;(AK160="Guided Self-Serve Migration"))*1+(AND(AR160&lt;&gt;"",OR(F160&lt;&gt;"Low",U160="Mixed",AND(G160&lt;&gt;"Growing",G160&lt;&gt;"Stable"))))*1+ISNUMBER(SEARCH("chat",AP160))*1+ISNUMBER(SEARCH("video",AP160))*1+(AND(AA160,AL160="Automated",AM160&lt;&gt;"HOLD — Critical Data Issue"))*1</f>
        <v>0</v>
      </c>
    </row>
    <row r="161" customFormat="false" ht="15" hidden="false" customHeight="false" outlineLevel="0" collapsed="false">
      <c r="A161" s="2" t="s">
        <v>566</v>
      </c>
      <c r="B161" s="2" t="str">
        <f aca="false">INDEX(Segmentation!$B$2:$B$301,MATCH($A161,Segmentation!$A$2:$A$301,0))</f>
        <v>Account Managed</v>
      </c>
      <c r="C161" s="2" t="str">
        <f aca="false">INDEX(Segmentation!$H$2:$H$301,MATCH($A161,Segmentation!$A$2:$A$301,0))</f>
        <v>AM-Owned / Self-Serving</v>
      </c>
      <c r="D161" s="2" t="str">
        <f aca="false">INDEX(Segmentation!$T$2:$T$301,MATCH($A161,Segmentation!$A$2:$A$301,0))</f>
        <v>9. Long-Tail Automated Nurture</v>
      </c>
      <c r="E161" s="2" t="str">
        <f aca="false">INDEX(Segmentation!$J$2:$J$301,MATCH($A161,Segmentation!$A$2:$A$301,0))</f>
        <v>Tail</v>
      </c>
      <c r="F161" s="2" t="str">
        <f aca="false">INDEX(Segmentation!$G$2:$G$301,MATCH($A161,Segmentation!$A$2:$A$301,0))</f>
        <v>Low</v>
      </c>
      <c r="G161" s="2" t="str">
        <f aca="false">INDEX(Segmentation!$N$2:$N$301,MATCH($A161,Segmentation!$A$2:$A$301,0))</f>
        <v>Growing</v>
      </c>
      <c r="H161" s="9" t="n">
        <f aca="false">INDEX(Segmentation!$I$2:$I$301,MATCH($A161,Segmentation!$A$2:$A$301,0))</f>
        <v>249</v>
      </c>
      <c r="I161" s="2" t="n">
        <f aca="false">INDEX(Segmentation!$O$2:$O$301,MATCH($A161,Segmentation!$A$2:$A$301,0))</f>
        <v>2</v>
      </c>
      <c r="J161" s="2" t="n">
        <f aca="false">INDEX(Segmentation!$Q$2:$Q$301,MATCH($A161,Segmentation!$A$2:$A$301,0))</f>
        <v>2</v>
      </c>
      <c r="K161" s="2" t="n">
        <f aca="false">INDEX(Segmentation!$W$2:$W$301,MATCH($A161,Segmentation!$A$2:$A$301,0))</f>
        <v>2</v>
      </c>
      <c r="L161" s="9" t="n">
        <f aca="false">INDEX('Commercial View'!$L$2:$L$301,MATCH($A161,'Commercial View'!$A$2:$A$301,0))</f>
        <v>0</v>
      </c>
      <c r="M161" s="9" t="n">
        <f aca="false">INDEX('Commercial View'!$M$2:$M$301,MATCH($A161,'Commercial View'!$A$2:$A$301,0))</f>
        <v>157</v>
      </c>
      <c r="N161" s="9" t="n">
        <f aca="false">INDEX('Commercial View'!$N$2:$N$301,MATCH($A161,'Commercial View'!$A$2:$A$301,0))</f>
        <v>0</v>
      </c>
      <c r="O161" s="9" t="n">
        <f aca="false">INDEX(Segmentation!$L$2:$L$301,MATCH($A161,Segmentation!$A$2:$A$301,0))</f>
        <v>157</v>
      </c>
      <c r="P161" s="2" t="str">
        <f aca="false">IF(OR(M161&gt;0,N161&gt;0),"Recently Active",IF(OR(I161&lt;=Assumptions!$B$48,K161&lt;=Assumptions!$B$49),"No Meaningful History","Recent Inactivity"))</f>
        <v>Recently Active</v>
      </c>
      <c r="Q161" s="2" t="str">
        <f aca="false">INDEX(Segmentation!$AF$2:$AF$301,MATCH($A161,Segmentation!$A$2:$A$301,0))</f>
        <v>Existing Customer</v>
      </c>
      <c r="R161" s="2" t="str">
        <f aca="false">INDEX(Segmentation!$AL$2:$AL$301,MATCH($A161,Segmentation!$A$2:$A$301,0))</f>
        <v>N/A</v>
      </c>
      <c r="S161" s="10" t="b">
        <f aca="false">INDEX(Segmentation!$AW$2:$AW$301,MATCH($A161,Segmentation!$A$2:$A$301,0))</f>
        <v>0</v>
      </c>
      <c r="T161" s="2" t="str">
        <f aca="false">INDEX('Feature Data'!$AD$2:$AD$301,MATCH($A161,'Feature Data'!$A$2:$A$301,0))</f>
        <v>Light-touch repeat buyer</v>
      </c>
      <c r="U161" s="2" t="str">
        <f aca="false">INDEX('Feature Data'!$W$2:$W$301,MATCH($A161,'Feature Data'!$A$2:$A$301,0))</f>
        <v>Bundle-only</v>
      </c>
      <c r="V161" s="2" t="n">
        <f aca="false">INDEX('Feature Data'!$P$2:$P$301,MATCH($A161,'Feature Data'!$A$2:$A$301,0))</f>
        <v>76</v>
      </c>
      <c r="W161" s="2" t="n">
        <f aca="false">INDEX(Segmentation!$R$2:$R$301,MATCH($A161,Segmentation!$A$2:$A$301,0))</f>
        <v>5</v>
      </c>
      <c r="X161" s="2" t="n">
        <f aca="false">INDEX(Segmentation!$S$2:$S$301,MATCH($A161,Segmentation!$A$2:$A$301,0))</f>
        <v>0</v>
      </c>
      <c r="Y161" s="10" t="b">
        <f aca="false">INDEX(Segmentation!$AG$2:$AG$301,MATCH($A161,Segmentation!$A$2:$A$301,0))</f>
        <v>0</v>
      </c>
      <c r="Z161" s="2" t="str">
        <f aca="false">INDEX(Segmentation!$AU$2:$AU$301,MATCH($A161,Segmentation!$A$2:$A$301,0))</f>
        <v>Not Eligible</v>
      </c>
      <c r="AA161" s="10" t="b">
        <f aca="false">INDEX(Segmentation!$Z$2:$Z$301,MATCH($A161,Segmentation!$A$2:$A$301,0))</f>
        <v>0</v>
      </c>
      <c r="AB161" s="10" t="b">
        <f aca="false">INDEX(Segmentation!$AH$2:$AH$301,MATCH($A161,Segmentation!$A$2:$A$301,0))</f>
        <v>0</v>
      </c>
      <c r="AC161" s="10" t="b">
        <f aca="false">INDEX(Segmentation!$AK$2:$AK$301,MATCH($A161,Segmentation!$A$2:$A$301,0))</f>
        <v>0</v>
      </c>
      <c r="AD161" s="10" t="b">
        <f aca="false">INDEX(Segmentation!$AQ$2:$AQ$301,MATCH($A161,Segmentation!$A$2:$A$301,0))</f>
        <v>0</v>
      </c>
      <c r="AE161" s="10" t="b">
        <f aca="false">INDEX(Segmentation!$AT$2:$AT$301,MATCH($A161,Segmentation!$A$2:$A$301,0))</f>
        <v>0</v>
      </c>
      <c r="AF161" s="10" t="b">
        <f aca="false">INDEX(Segmentation!$X$2:$X$301,MATCH($A161,Segmentation!$A$2:$A$301,0))</f>
        <v>1</v>
      </c>
      <c r="AG161" s="10" t="b">
        <f aca="false">AND(F161="Low",V161&gt;=Assumptions!$B$71,X161&lt;Assumptions!$B$72)</f>
        <v>1</v>
      </c>
      <c r="AH161" s="10" t="b">
        <f aca="false">AND(F161="Low",OR(G161="Growing",G161="Stable"),P161="Recently Active",V161&gt;=Assumptions!$B$58,K161&gt;=Assumptions!$B$73)</f>
        <v>0</v>
      </c>
      <c r="AI161" s="17" t="n">
        <f aca="false">IF(O161&gt;0,MAX(L161:N161)/O161,"")</f>
        <v>1</v>
      </c>
      <c r="AJ161" s="2" t="str">
        <f aca="false">IF(LEFT(D161,1)="1",IF(E161="Key","MIGRATION_KEY_SIGNOFF",IF(Z161="Ready","MIGRATION_PHASE1_READY",IF(Z161="Manual Review","MIGRATION_PHASE1_REVIEW","MIGRATION_PRE_ENTRY"))),IF(LEFT(D161,1)="2","DECLINING_KEY_CORE",IF(LEFT(D161,1)="3",IF(R161="Established Buyer Lapsed","LAPSED_ESTABLISHED","LAPSED_THIN_HISTORY"),IF(LEFT(D161,1)="4",IF(Q161="New Customer","NEW_CUSTOMER","RETURNED_CUSTOMER"),IF(LEFT(D161,1)="5",IF(P161="Recently Active","COST_TO_SERVE_ACTIVE","DORMANT_LOW_VALUE"),IF(LEFT(D161,1)="6",IF(P161="Recent Inactivity","RECENT_INACTIVITY",IF(AG161,"BROWSING_LOW_OFFERS","HEALTHY_STRONG_SELF_SERVE")),IF(LEFT(D161,1)="7",IF(P161="Recent Inactivity","RECENT_INACTIVITY",IF(Q161="New Customer","NEW_CUSTOMER","RETURNED_CUSTOMER")),IF(LEFT(D161,1)="8",IF(G161="Declining",IF(T161="Engaged but shrinking (Key/Core)","ENGAGED_BUT_SHRINKING","DECLINING_KEY_CORE"),IF(R161="Established Buyer Lapsed","LAPSED_ESTABLISHED","LAPSED_THIN_HISTORY")),IF(S161,IF(P161&lt;&gt;"Recently Active","DORMANT_LOW_VALUE",IF(AG161,"BROWSING_LOW_OFFERS",IF(AH161,"RISING_TAIL","RISING_TAIL_EARLY"))),IF(AND(AG161,P161="Recently Active",OR(G161="Growing",G161="Stable",G161="H2 Active / No H1 GMV"),I161&gt;=Assumptions!$B$74),"BROWSING_LOW_OFFERS","LONG_TAIL_STANDARD"))))))))))</f>
        <v>BROWSING_LOW_OFFERS</v>
      </c>
      <c r="AK161" s="2" t="str">
        <f aca="false">INDEX('NBA Library'!$B$4:$B$21,MATCH(AJ161,'NBA Library'!$A$4:$A$21,0))</f>
        <v>Discovery-to-Offer Enablement</v>
      </c>
      <c r="AL161" s="2" t="str">
        <f aca="false">INDEX('NBA Library'!$C$4:$C$21,MATCH(AJ161,'NBA Library'!$A$4:$A$21,0))</f>
        <v>Automated</v>
      </c>
      <c r="AM161" s="2" t="str">
        <f aca="false">IF(AA161,"HOLD — Critical Data Issue",IF(Y161,"Human Sign-Off Required",IF(Z161="Manual Review","Human Review Required",IF(AND(AL161="Automated",OR(AE161,AND(OR(AK161="Discovery-to-Offer Enablement",AK161="Reinforce Successful Behaviour"),OR(AC161,AB161)))),"Human Review Required",IF(AL161="Human","Ready — Human",IF(AL161="Hybrid","Ready — Hybrid","Ready — Automated"))))))</f>
        <v>Ready — Automated</v>
      </c>
      <c r="AN161" s="2" t="str">
        <f aca="false">IF(AA161,"P0",IF(AND(AJ161="BROWSING_LOW_OFFERS",E161="Tail"),"P3",IF(AND(AM161="Human Review Required",INDEX('NBA Library'!$D$4:$D$21,MATCH(AJ161,'NBA Library'!$A$4:$A$21,0))="P4"),"P3",INDEX('NBA Library'!$D$4:$D$21,MATCH(AJ161,'NBA Library'!$A$4:$A$21,0)))))</f>
        <v>P3</v>
      </c>
      <c r="AO161" s="2" t="str">
        <f aca="false">E161&amp;" "&amp;C161&amp;" account ("&amp;B161&amp;"); "&amp;G161&amp;" momentum; "&amp;P161&amp;"; £"&amp;TEXT(H161,"#,##0")&amp;" 6m GMV. "&amp;INDEX('NBA Library'!$G$4:$G$21,MATCH(AJ161,'NBA Library'!$A$4:$A$21,0))&amp;IF(LEFT(D161,1)="1"," Baseline: "&amp;V161&amp;" PDP views, "&amp;W161&amp;" app days, "&amp;X161&amp;" offers, "&amp;TEXT(J161/I161,"0%")&amp;" of orders self-serve.","")&amp;IF(AA161," Execution on HOLD until the Duplicate status is resolved.","")&amp;IF(Y161," Key account: explicit AM/leadership sign-off required before any migration activity.","")&amp;IF(AE161," Implied broker % from order counts would move this account to a different segment; review before automating.","")</f>
        <v>Tail AM-Owned / Self-Serving account (Account Managed); Growing momentum; Recently Active; £249 6m GMV. Low-dependency account browses meaningfully but makes few offers. Encourage self-directed negotiation.</v>
      </c>
      <c r="AP161" s="2" t="str">
        <f aca="false">INDEX('NBA Library'!$E$4:$E$21,MATCH(AJ161,'NBA Library'!$A$4:$A$21,0))&amp;IF(AND(AJ161="NEW_CUSTOMER",AG161),"; introduce Make-an-Offer on items already browsed","")</f>
        <v>Make offers on items already browsed (3+ offers)</v>
      </c>
      <c r="AQ161" s="2" t="str">
        <f aca="false">INDEX('NBA Library'!$F$4:$F$21,MATCH(AJ161,'NBA Library'!$A$4:$A$21,0))</f>
        <v>3+ offers within 90 days and at least one offer-led order; GMV not lower</v>
      </c>
      <c r="AR161" s="2" t="str">
        <f aca="false">IF(AND(F161="Low",OR(G161="Growing",G161="Stable"),P161="Recently Active",U161&lt;&gt;"Mixed",OR(AK161="Discovery-to-Offer Enablement",AK161="Reinforce Successful Behaviour"),AM161="Ready — Automated",OR(E161&lt;&gt;"Tail",S161)),"Range Expansion Test — trial "&amp;IF(U161="Bundle-only","handpick","bundles")&amp;" (experimental; not proven to lift GMV)","")</f>
        <v/>
      </c>
      <c r="AS161" s="2" t="str">
        <f aca="false">IF(AK161&lt;&gt;"Automated Nurture","",IF(AJ161="DORMANT_LOW_VALUE","Dormant",IF(AJ161="RISING_TAIL_EARLY","Rising tail – early pattern",IF(Q161="New Customer","New customer onboarding",IF(Q161="Returned Customer","Returned customer",IF(G161="Lapsed","Dormant",IF(T161="Engaged, not converting","Engaged, not converting",IF(T161="One-off low-touch buyer","One-off purchaser",IF(T161="Light-touch repeat buyer","Light-touch repeat buyer","Standard long tail")))))))))</f>
        <v/>
      </c>
      <c r="AT161" s="2" t="str">
        <f aca="false">IF(AA161,"CRITICAL_DATA_BLOCKER; ","")&amp;IF(Y161,"KEY_SIGNOFF; ","")&amp;IF(Z161="Manual Review","PHASE1_MANUAL_REVIEW; ","")&amp;IF(AND(LEFT(D161,1)="1",AZ161="Lumpy"),"LUMPY_CADENCE; ","")&amp;IF(AB161,"BORDERLINE_MOMENTUM; ","")&amp;IF(AC161,"FEB_SENSITIVE; ","")&amp;IF(AD161,"MATERIAL_BROKER_INCONSISTENCY"&amp;IF(AE161," (segment would change)","")&amp;"; ","")&amp;IF(AND(I161&gt;=3,O161&gt;0),IF(AI161&gt;=Assumptions!$B$75,"H2_SINGLE_MONTH_SPIKE; ",""),"")&amp;IF(AND(M161&gt;0,N161=0),"NO_FEB_GMV (Feb unconfirmed); ","")&amp;IF(AF161,"LOW_CONFIDENCE; ","")</f>
        <v>NO_FEB_GMV (Feb unconfirmed); LOW_CONFIDENCE; </v>
      </c>
      <c r="AU161" s="2" t="str">
        <f aca="false">IF(LEFT(D161,1)="1",V161,"")</f>
        <v/>
      </c>
      <c r="AV161" s="2" t="str">
        <f aca="false">IF(LEFT(D161,1)="1",V161&gt;=Assumptions!$B$58,"")</f>
        <v/>
      </c>
      <c r="AW161" s="2" t="str">
        <f aca="false">IF(LEFT(D161,1)="1",W161,"")</f>
        <v/>
      </c>
      <c r="AX161" s="2" t="str">
        <f aca="false">IF(LEFT(D161,1)="1",X161,"")</f>
        <v/>
      </c>
      <c r="AY161" s="17" t="str">
        <f aca="false">IF(LEFT(D161,1)="1",J161/I161,"")</f>
        <v/>
      </c>
      <c r="AZ161" s="2" t="str">
        <f aca="false">IF(LEFT(D161,1)="1",IF(AND(K161&gt;=Assumptions!$B$83,I161&gt;=Assumptions!$B$84),"Regular","Lumpy"),"")</f>
        <v/>
      </c>
      <c r="BA161" s="2" t="str">
        <f aca="false">IF(LEFT(D161,1)="1",ROUND(6/K161,0),"")</f>
        <v/>
      </c>
      <c r="BB161" s="2" t="str">
        <f aca="false">IF(LEFT(D161,1)="1",IF(AZ161="Regular","Regular buyer: expected ~£"&amp;TEXT(H161/2,"#,##0")&amp;" per 90 days. At Risk if GMV to date &lt; "&amp;TEXT(Assumptions!$B$81,"0%")&amp;" of pro-rated expectation, checked from day "&amp;Assumptions!$B$82&amp;". Human-reviewed.","Irregular buyer ("&amp;I161&amp;" orders across "&amp;K161&amp;" months): no numeric GMV threshold. At Risk if no order within ~"&amp;BA161&amp;" month(s); AM reviews at day "&amp;Assumptions!$B$82&amp;" and "&amp;Assumptions!$B$85&amp;"."),"")</f>
        <v/>
      </c>
      <c r="BC161" s="2"/>
      <c r="BD161" s="2"/>
      <c r="BE161" s="2"/>
      <c r="BF161" s="2"/>
      <c r="BG161" s="2"/>
      <c r="BH161" s="2"/>
      <c r="BI161" s="2"/>
      <c r="BJ161" s="2" t="str">
        <f aca="false">IF(OR(NOT(LEFT(D161,1)="1"),BC161=""),"",IF(AZ161="Regular",AND(BC161&gt;=Assumptions!$B$82,N(BI161)&lt;Assumptions!$B$81*H161/180*BC161),AND(BC161&gt;=BA161*30,N(BG161)=0)))</f>
        <v/>
      </c>
      <c r="BK161" s="2" t="str">
        <f aca="false">IF(NOT(LEFT(D161,1)="1"),"N/A",IF(BC161="","Baseline",IF(BJ161,"At Risk",IF(AND(N(BD161)&gt;=Assumptions!$B$78,N(BE161)&gt;=Assumptions!$B$79,N(BH161)&gt;=1,N(BH161)/MAX(N(BG161),1)&gt;AY161),"Self-Serve Capability Demonstrated",IF(OR(N(BD161)&gt;=Assumptions!$B$76,N(BE161)&gt;=Assumptions!$B$77),"Progressing",IF(BC161&gt;=Assumptions!$B$85,"At Risk","Baseline"))))))</f>
        <v>N/A</v>
      </c>
      <c r="BL161" s="2" t="n">
        <f aca="false">(AND(C161="Broker-Reliant",OR(AK161="Discovery-to-Offer Enablement",AK161="Reinforce Successful Behaviour")))*1+(AND(G161="Declining",E161&lt;&gt;"Tail",AL161="Automated"))*1+(AND(Y161,AM161&lt;&gt;"Human Sign-Off Required"))*1+(AND(AA161,AM161&lt;&gt;"HOLD — Critical Data Issue"))*1+(AND(P161="Recent Inactivity",OR(AK161="Discovery-to-Offer Enablement",AK161="Reinforce Successful Behaviour")))*1+(AND(OR(LEFT(D161,1)="2",LEFT(D161,1)="3",LEFT(D161,1)="8"),AL161="Automated"))*1+((LEFT(D161,1)="1")&lt;&gt;(AK161="Guided Self-Serve Migration"))*1+(AND(AR161&lt;&gt;"",OR(F161&lt;&gt;"Low",U161="Mixed",AND(G161&lt;&gt;"Growing",G161&lt;&gt;"Stable"))))*1+ISNUMBER(SEARCH("chat",AP161))*1+ISNUMBER(SEARCH("video",AP161))*1+(AND(AA161,AL161="Automated",AM161&lt;&gt;"HOLD — Critical Data Issue"))*1</f>
        <v>0</v>
      </c>
    </row>
    <row r="162" customFormat="false" ht="15" hidden="false" customHeight="false" outlineLevel="0" collapsed="false">
      <c r="A162" s="2" t="s">
        <v>834</v>
      </c>
      <c r="B162" s="2" t="str">
        <f aca="false">INDEX(Segmentation!$B$2:$B$301,MATCH($A162,Segmentation!$A$2:$A$301,0))</f>
        <v>Account Managed</v>
      </c>
      <c r="C162" s="2" t="str">
        <f aca="false">INDEX(Segmentation!$H$2:$H$301,MATCH($A162,Segmentation!$A$2:$A$301,0))</f>
        <v>AM-Owned / Self-Serving</v>
      </c>
      <c r="D162" s="2" t="str">
        <f aca="false">INDEX(Segmentation!$T$2:$T$301,MATCH($A162,Segmentation!$A$2:$A$301,0))</f>
        <v>9. Long-Tail Automated Nurture</v>
      </c>
      <c r="E162" s="2" t="str">
        <f aca="false">INDEX(Segmentation!$J$2:$J$301,MATCH($A162,Segmentation!$A$2:$A$301,0))</f>
        <v>Tail</v>
      </c>
      <c r="F162" s="2" t="str">
        <f aca="false">INDEX(Segmentation!$G$2:$G$301,MATCH($A162,Segmentation!$A$2:$A$301,0))</f>
        <v>Low</v>
      </c>
      <c r="G162" s="2" t="str">
        <f aca="false">INDEX(Segmentation!$N$2:$N$301,MATCH($A162,Segmentation!$A$2:$A$301,0))</f>
        <v>Lapsed</v>
      </c>
      <c r="H162" s="9" t="n">
        <f aca="false">INDEX(Segmentation!$I$2:$I$301,MATCH($A162,Segmentation!$A$2:$A$301,0))</f>
        <v>248</v>
      </c>
      <c r="I162" s="2" t="n">
        <f aca="false">INDEX(Segmentation!$O$2:$O$301,MATCH($A162,Segmentation!$A$2:$A$301,0))</f>
        <v>1</v>
      </c>
      <c r="J162" s="2" t="n">
        <f aca="false">INDEX(Segmentation!$Q$2:$Q$301,MATCH($A162,Segmentation!$A$2:$A$301,0))</f>
        <v>1</v>
      </c>
      <c r="K162" s="2" t="n">
        <f aca="false">INDEX(Segmentation!$W$2:$W$301,MATCH($A162,Segmentation!$A$2:$A$301,0))</f>
        <v>1</v>
      </c>
      <c r="L162" s="9" t="n">
        <f aca="false">INDEX('Commercial View'!$L$2:$L$301,MATCH($A162,'Commercial View'!$A$2:$A$301,0))</f>
        <v>0</v>
      </c>
      <c r="M162" s="9" t="n">
        <f aca="false">INDEX('Commercial View'!$M$2:$M$301,MATCH($A162,'Commercial View'!$A$2:$A$301,0))</f>
        <v>0</v>
      </c>
      <c r="N162" s="9" t="n">
        <f aca="false">INDEX('Commercial View'!$N$2:$N$301,MATCH($A162,'Commercial View'!$A$2:$A$301,0))</f>
        <v>0</v>
      </c>
      <c r="O162" s="9" t="n">
        <f aca="false">INDEX(Segmentation!$L$2:$L$301,MATCH($A162,Segmentation!$A$2:$A$301,0))</f>
        <v>0</v>
      </c>
      <c r="P162" s="2" t="str">
        <f aca="false">IF(OR(M162&gt;0,N162&gt;0),"Recently Active",IF(OR(I162&lt;=Assumptions!$B$48,K162&lt;=Assumptions!$B$49),"No Meaningful History","Recent Inactivity"))</f>
        <v>No Meaningful History</v>
      </c>
      <c r="Q162" s="2" t="str">
        <f aca="false">INDEX(Segmentation!$AF$2:$AF$301,MATCH($A162,Segmentation!$A$2:$A$301,0))</f>
        <v>Existing Customer</v>
      </c>
      <c r="R162" s="2" t="str">
        <f aca="false">INDEX(Segmentation!$AL$2:$AL$301,MATCH($A162,Segmentation!$A$2:$A$301,0))</f>
        <v>One-Off / Insufficient History — Verify</v>
      </c>
      <c r="S162" s="10" t="b">
        <f aca="false">INDEX(Segmentation!$AW$2:$AW$301,MATCH($A162,Segmentation!$A$2:$A$301,0))</f>
        <v>0</v>
      </c>
      <c r="T162" s="2" t="str">
        <f aca="false">INDEX('Feature Data'!$AD$2:$AD$301,MATCH($A162,'Feature Data'!$A$2:$A$301,0))</f>
        <v>One-off low-touch buyer</v>
      </c>
      <c r="U162" s="2" t="str">
        <f aca="false">INDEX('Feature Data'!$W$2:$W$301,MATCH($A162,'Feature Data'!$A$2:$A$301,0))</f>
        <v>Handpick-only</v>
      </c>
      <c r="V162" s="2" t="n">
        <f aca="false">INDEX('Feature Data'!$P$2:$P$301,MATCH($A162,'Feature Data'!$A$2:$A$301,0))</f>
        <v>159</v>
      </c>
      <c r="W162" s="2" t="n">
        <f aca="false">INDEX(Segmentation!$R$2:$R$301,MATCH($A162,Segmentation!$A$2:$A$301,0))</f>
        <v>17</v>
      </c>
      <c r="X162" s="2" t="n">
        <f aca="false">INDEX(Segmentation!$S$2:$S$301,MATCH($A162,Segmentation!$A$2:$A$301,0))</f>
        <v>0</v>
      </c>
      <c r="Y162" s="10" t="b">
        <f aca="false">INDEX(Segmentation!$AG$2:$AG$301,MATCH($A162,Segmentation!$A$2:$A$301,0))</f>
        <v>0</v>
      </c>
      <c r="Z162" s="2" t="str">
        <f aca="false">INDEX(Segmentation!$AU$2:$AU$301,MATCH($A162,Segmentation!$A$2:$A$301,0))</f>
        <v>Not Eligible</v>
      </c>
      <c r="AA162" s="10" t="b">
        <f aca="false">INDEX(Segmentation!$Z$2:$Z$301,MATCH($A162,Segmentation!$A$2:$A$301,0))</f>
        <v>0</v>
      </c>
      <c r="AB162" s="10" t="b">
        <f aca="false">INDEX(Segmentation!$AH$2:$AH$301,MATCH($A162,Segmentation!$A$2:$A$301,0))</f>
        <v>0</v>
      </c>
      <c r="AC162" s="10" t="b">
        <f aca="false">INDEX(Segmentation!$AK$2:$AK$301,MATCH($A162,Segmentation!$A$2:$A$301,0))</f>
        <v>0</v>
      </c>
      <c r="AD162" s="10" t="b">
        <f aca="false">INDEX(Segmentation!$AQ$2:$AQ$301,MATCH($A162,Segmentation!$A$2:$A$301,0))</f>
        <v>0</v>
      </c>
      <c r="AE162" s="10" t="b">
        <f aca="false">INDEX(Segmentation!$AT$2:$AT$301,MATCH($A162,Segmentation!$A$2:$A$301,0))</f>
        <v>0</v>
      </c>
      <c r="AF162" s="10" t="b">
        <f aca="false">INDEX(Segmentation!$X$2:$X$301,MATCH($A162,Segmentation!$A$2:$A$301,0))</f>
        <v>1</v>
      </c>
      <c r="AG162" s="10" t="b">
        <f aca="false">AND(F162="Low",V162&gt;=Assumptions!$B$71,X162&lt;Assumptions!$B$72)</f>
        <v>1</v>
      </c>
      <c r="AH162" s="10" t="b">
        <f aca="false">AND(F162="Low",OR(G162="Growing",G162="Stable"),P162="Recently Active",V162&gt;=Assumptions!$B$58,K162&gt;=Assumptions!$B$73)</f>
        <v>0</v>
      </c>
      <c r="AI162" s="17" t="str">
        <f aca="false">IF(O162&gt;0,MAX(L162:N162)/O162,"")</f>
        <v/>
      </c>
      <c r="AJ162" s="2" t="str">
        <f aca="false">IF(LEFT(D162,1)="1",IF(E162="Key","MIGRATION_KEY_SIGNOFF",IF(Z162="Ready","MIGRATION_PHASE1_READY",IF(Z162="Manual Review","MIGRATION_PHASE1_REVIEW","MIGRATION_PRE_ENTRY"))),IF(LEFT(D162,1)="2","DECLINING_KEY_CORE",IF(LEFT(D162,1)="3",IF(R162="Established Buyer Lapsed","LAPSED_ESTABLISHED","LAPSED_THIN_HISTORY"),IF(LEFT(D162,1)="4",IF(Q162="New Customer","NEW_CUSTOMER","RETURNED_CUSTOMER"),IF(LEFT(D162,1)="5",IF(P162="Recently Active","COST_TO_SERVE_ACTIVE","DORMANT_LOW_VALUE"),IF(LEFT(D162,1)="6",IF(P162="Recent Inactivity","RECENT_INACTIVITY",IF(AG162,"BROWSING_LOW_OFFERS","HEALTHY_STRONG_SELF_SERVE")),IF(LEFT(D162,1)="7",IF(P162="Recent Inactivity","RECENT_INACTIVITY",IF(Q162="New Customer","NEW_CUSTOMER","RETURNED_CUSTOMER")),IF(LEFT(D162,1)="8",IF(G162="Declining",IF(T162="Engaged but shrinking (Key/Core)","ENGAGED_BUT_SHRINKING","DECLINING_KEY_CORE"),IF(R162="Established Buyer Lapsed","LAPSED_ESTABLISHED","LAPSED_THIN_HISTORY")),IF(S162,IF(P162&lt;&gt;"Recently Active","DORMANT_LOW_VALUE",IF(AG162,"BROWSING_LOW_OFFERS",IF(AH162,"RISING_TAIL","RISING_TAIL_EARLY"))),IF(AND(AG162,P162="Recently Active",OR(G162="Growing",G162="Stable",G162="H2 Active / No H1 GMV"),I162&gt;=Assumptions!$B$74),"BROWSING_LOW_OFFERS","LONG_TAIL_STANDARD"))))))))))</f>
        <v>LONG_TAIL_STANDARD</v>
      </c>
      <c r="AK162" s="2" t="str">
        <f aca="false">INDEX('NBA Library'!$B$4:$B$21,MATCH(AJ162,'NBA Library'!$A$4:$A$21,0))</f>
        <v>Automated Nurture</v>
      </c>
      <c r="AL162" s="2" t="str">
        <f aca="false">INDEX('NBA Library'!$C$4:$C$21,MATCH(AJ162,'NBA Library'!$A$4:$A$21,0))</f>
        <v>Automated</v>
      </c>
      <c r="AM162" s="2" t="str">
        <f aca="false">IF(AA162,"HOLD — Critical Data Issue",IF(Y162,"Human Sign-Off Required",IF(Z162="Manual Review","Human Review Required",IF(AND(AL162="Automated",OR(AE162,AND(OR(AK162="Discovery-to-Offer Enablement",AK162="Reinforce Successful Behaviour"),OR(AC162,AB162)))),"Human Review Required",IF(AL162="Human","Ready — Human",IF(AL162="Hybrid","Ready — Hybrid","Ready — Automated"))))))</f>
        <v>Ready — Automated</v>
      </c>
      <c r="AN162" s="2" t="str">
        <f aca="false">IF(AA162,"P0",IF(AND(AJ162="BROWSING_LOW_OFFERS",E162="Tail"),"P3",IF(AND(AM162="Human Review Required",INDEX('NBA Library'!$D$4:$D$21,MATCH(AJ162,'NBA Library'!$A$4:$A$21,0))="P4"),"P3",INDEX('NBA Library'!$D$4:$D$21,MATCH(AJ162,'NBA Library'!$A$4:$A$21,0)))))</f>
        <v>P4</v>
      </c>
      <c r="AO162" s="2" t="str">
        <f aca="false">E162&amp;" "&amp;C162&amp;" account ("&amp;B162&amp;"); "&amp;G162&amp;" momentum; "&amp;P162&amp;"; £"&amp;TEXT(H162,"#,##0")&amp;" 6m GMV. "&amp;INDEX('NBA Library'!$G$4:$G$21,MATCH(AJ162,'NBA Library'!$A$4:$A$21,0))&amp;IF(LEFT(D162,1)="1"," Baseline: "&amp;V162&amp;" PDP views, "&amp;W162&amp;" app days, "&amp;X162&amp;" offers, "&amp;TEXT(J162/I162,"0%")&amp;" of orders self-serve.","")&amp;IF(AA162," Execution on HOLD until the Duplicate status is resolved.","")&amp;IF(Y162," Key account: explicit AM/leadership sign-off required before any migration activity.","")&amp;IF(AE162," Implied broker % from order counts would move this account to a different segment; review before automating.","")</f>
        <v>Tail AM-Owned / Self-Serving account (Account Managed); Lapsed momentum; No Meaningful History; £248 6m GMV. Low-value, low-dependency account. Scalable automated engagement.</v>
      </c>
      <c r="AP162" s="2" t="str">
        <f aca="false">INDEX('NBA Library'!$E$4:$E$21,MATCH(AJ162,'NBA Library'!$A$4:$A$21,0))&amp;IF(AND(AJ162="NEW_CUSTOMER",AG162),"; introduce Make-an-Offer on items already browsed","")</f>
        <v>Scalable automated engagement matched to nurture sub-context</v>
      </c>
      <c r="AQ162" s="2" t="str">
        <f aca="false">INDEX('NBA Library'!$F$4:$F$21,MATCH(AJ162,'NBA Library'!$A$4:$A$21,0))</f>
        <v>Any repeat order within 90 days</v>
      </c>
      <c r="AR162" s="2" t="str">
        <f aca="false">IF(AND(F162="Low",OR(G162="Growing",G162="Stable"),P162="Recently Active",U162&lt;&gt;"Mixed",OR(AK162="Discovery-to-Offer Enablement",AK162="Reinforce Successful Behaviour"),AM162="Ready — Automated",OR(E162&lt;&gt;"Tail",S162)),"Range Expansion Test — trial "&amp;IF(U162="Bundle-only","handpick","bundles")&amp;" (experimental; not proven to lift GMV)","")</f>
        <v/>
      </c>
      <c r="AS162" s="2" t="str">
        <f aca="false">IF(AK162&lt;&gt;"Automated Nurture","",IF(AJ162="DORMANT_LOW_VALUE","Dormant",IF(AJ162="RISING_TAIL_EARLY","Rising tail – early pattern",IF(Q162="New Customer","New customer onboarding",IF(Q162="Returned Customer","Returned customer",IF(G162="Lapsed","Dormant",IF(T162="Engaged, not converting","Engaged, not converting",IF(T162="One-off low-touch buyer","One-off purchaser",IF(T162="Light-touch repeat buyer","Light-touch repeat buyer","Standard long tail")))))))))</f>
        <v>Dormant</v>
      </c>
      <c r="AT162" s="2" t="str">
        <f aca="false">IF(AA162,"CRITICAL_DATA_BLOCKER; ","")&amp;IF(Y162,"KEY_SIGNOFF; ","")&amp;IF(Z162="Manual Review","PHASE1_MANUAL_REVIEW; ","")&amp;IF(AND(LEFT(D162,1)="1",AZ162="Lumpy"),"LUMPY_CADENCE; ","")&amp;IF(AB162,"BORDERLINE_MOMENTUM; ","")&amp;IF(AC162,"FEB_SENSITIVE; ","")&amp;IF(AD162,"MATERIAL_BROKER_INCONSISTENCY"&amp;IF(AE162," (segment would change)","")&amp;"; ","")&amp;IF(AND(I162&gt;=3,O162&gt;0),IF(AI162&gt;=Assumptions!$B$75,"H2_SINGLE_MONTH_SPIKE; ",""),"")&amp;IF(AND(M162&gt;0,N162=0),"NO_FEB_GMV (Feb unconfirmed); ","")&amp;IF(AF162,"LOW_CONFIDENCE; ","")</f>
        <v>LOW_CONFIDENCE; </v>
      </c>
      <c r="AU162" s="2" t="str">
        <f aca="false">IF(LEFT(D162,1)="1",V162,"")</f>
        <v/>
      </c>
      <c r="AV162" s="2" t="str">
        <f aca="false">IF(LEFT(D162,1)="1",V162&gt;=Assumptions!$B$58,"")</f>
        <v/>
      </c>
      <c r="AW162" s="2" t="str">
        <f aca="false">IF(LEFT(D162,1)="1",W162,"")</f>
        <v/>
      </c>
      <c r="AX162" s="2" t="str">
        <f aca="false">IF(LEFT(D162,1)="1",X162,"")</f>
        <v/>
      </c>
      <c r="AY162" s="17" t="str">
        <f aca="false">IF(LEFT(D162,1)="1",J162/I162,"")</f>
        <v/>
      </c>
      <c r="AZ162" s="2" t="str">
        <f aca="false">IF(LEFT(D162,1)="1",IF(AND(K162&gt;=Assumptions!$B$83,I162&gt;=Assumptions!$B$84),"Regular","Lumpy"),"")</f>
        <v/>
      </c>
      <c r="BA162" s="2" t="str">
        <f aca="false">IF(LEFT(D162,1)="1",ROUND(6/K162,0),"")</f>
        <v/>
      </c>
      <c r="BB162" s="2" t="str">
        <f aca="false">IF(LEFT(D162,1)="1",IF(AZ162="Regular","Regular buyer: expected ~£"&amp;TEXT(H162/2,"#,##0")&amp;" per 90 days. At Risk if GMV to date &lt; "&amp;TEXT(Assumptions!$B$81,"0%")&amp;" of pro-rated expectation, checked from day "&amp;Assumptions!$B$82&amp;". Human-reviewed.","Irregular buyer ("&amp;I162&amp;" orders across "&amp;K162&amp;" months): no numeric GMV threshold. At Risk if no order within ~"&amp;BA162&amp;" month(s); AM reviews at day "&amp;Assumptions!$B$82&amp;" and "&amp;Assumptions!$B$85&amp;"."),"")</f>
        <v/>
      </c>
      <c r="BC162" s="2"/>
      <c r="BD162" s="2"/>
      <c r="BE162" s="2"/>
      <c r="BF162" s="2"/>
      <c r="BG162" s="2"/>
      <c r="BH162" s="2"/>
      <c r="BI162" s="2"/>
      <c r="BJ162" s="2" t="str">
        <f aca="false">IF(OR(NOT(LEFT(D162,1)="1"),BC162=""),"",IF(AZ162="Regular",AND(BC162&gt;=Assumptions!$B$82,N(BI162)&lt;Assumptions!$B$81*H162/180*BC162),AND(BC162&gt;=BA162*30,N(BG162)=0)))</f>
        <v/>
      </c>
      <c r="BK162" s="2" t="str">
        <f aca="false">IF(NOT(LEFT(D162,1)="1"),"N/A",IF(BC162="","Baseline",IF(BJ162,"At Risk",IF(AND(N(BD162)&gt;=Assumptions!$B$78,N(BE162)&gt;=Assumptions!$B$79,N(BH162)&gt;=1,N(BH162)/MAX(N(BG162),1)&gt;AY162),"Self-Serve Capability Demonstrated",IF(OR(N(BD162)&gt;=Assumptions!$B$76,N(BE162)&gt;=Assumptions!$B$77),"Progressing",IF(BC162&gt;=Assumptions!$B$85,"At Risk","Baseline"))))))</f>
        <v>N/A</v>
      </c>
      <c r="BL162" s="2" t="n">
        <f aca="false">(AND(C162="Broker-Reliant",OR(AK162="Discovery-to-Offer Enablement",AK162="Reinforce Successful Behaviour")))*1+(AND(G162="Declining",E162&lt;&gt;"Tail",AL162="Automated"))*1+(AND(Y162,AM162&lt;&gt;"Human Sign-Off Required"))*1+(AND(AA162,AM162&lt;&gt;"HOLD — Critical Data Issue"))*1+(AND(P162="Recent Inactivity",OR(AK162="Discovery-to-Offer Enablement",AK162="Reinforce Successful Behaviour")))*1+(AND(OR(LEFT(D162,1)="2",LEFT(D162,1)="3",LEFT(D162,1)="8"),AL162="Automated"))*1+((LEFT(D162,1)="1")&lt;&gt;(AK162="Guided Self-Serve Migration"))*1+(AND(AR162&lt;&gt;"",OR(F162&lt;&gt;"Low",U162="Mixed",AND(G162&lt;&gt;"Growing",G162&lt;&gt;"Stable"))))*1+ISNUMBER(SEARCH("chat",AP162))*1+ISNUMBER(SEARCH("video",AP162))*1+(AND(AA162,AL162="Automated",AM162&lt;&gt;"HOLD — Critical Data Issue"))*1</f>
        <v>0</v>
      </c>
    </row>
    <row r="163" customFormat="false" ht="15" hidden="false" customHeight="false" outlineLevel="0" collapsed="false">
      <c r="A163" s="2" t="s">
        <v>838</v>
      </c>
      <c r="B163" s="2" t="str">
        <f aca="false">INDEX(Segmentation!$B$2:$B$301,MATCH($A163,Segmentation!$A$2:$A$301,0))</f>
        <v>Account Managed</v>
      </c>
      <c r="C163" s="2" t="str">
        <f aca="false">INDEX(Segmentation!$H$2:$H$301,MATCH($A163,Segmentation!$A$2:$A$301,0))</f>
        <v>AM-Owned / Self-Serving</v>
      </c>
      <c r="D163" s="2" t="str">
        <f aca="false">INDEX(Segmentation!$T$2:$T$301,MATCH($A163,Segmentation!$A$2:$A$301,0))</f>
        <v>9. Long-Tail Automated Nurture</v>
      </c>
      <c r="E163" s="2" t="str">
        <f aca="false">INDEX(Segmentation!$J$2:$J$301,MATCH($A163,Segmentation!$A$2:$A$301,0))</f>
        <v>Tail</v>
      </c>
      <c r="F163" s="2" t="str">
        <f aca="false">INDEX(Segmentation!$G$2:$G$301,MATCH($A163,Segmentation!$A$2:$A$301,0))</f>
        <v>Low</v>
      </c>
      <c r="G163" s="2" t="str">
        <f aca="false">INDEX(Segmentation!$N$2:$N$301,MATCH($A163,Segmentation!$A$2:$A$301,0))</f>
        <v>Lapsed</v>
      </c>
      <c r="H163" s="9" t="n">
        <f aca="false">INDEX(Segmentation!$I$2:$I$301,MATCH($A163,Segmentation!$A$2:$A$301,0))</f>
        <v>242</v>
      </c>
      <c r="I163" s="2" t="n">
        <f aca="false">INDEX(Segmentation!$O$2:$O$301,MATCH($A163,Segmentation!$A$2:$A$301,0))</f>
        <v>1</v>
      </c>
      <c r="J163" s="2" t="n">
        <f aca="false">INDEX(Segmentation!$Q$2:$Q$301,MATCH($A163,Segmentation!$A$2:$A$301,0))</f>
        <v>1</v>
      </c>
      <c r="K163" s="2" t="n">
        <f aca="false">INDEX(Segmentation!$W$2:$W$301,MATCH($A163,Segmentation!$A$2:$A$301,0))</f>
        <v>1</v>
      </c>
      <c r="L163" s="9" t="n">
        <f aca="false">INDEX('Commercial View'!$L$2:$L$301,MATCH($A163,'Commercial View'!$A$2:$A$301,0))</f>
        <v>0</v>
      </c>
      <c r="M163" s="9" t="n">
        <f aca="false">INDEX('Commercial View'!$M$2:$M$301,MATCH($A163,'Commercial View'!$A$2:$A$301,0))</f>
        <v>0</v>
      </c>
      <c r="N163" s="9" t="n">
        <f aca="false">INDEX('Commercial View'!$N$2:$N$301,MATCH($A163,'Commercial View'!$A$2:$A$301,0))</f>
        <v>0</v>
      </c>
      <c r="O163" s="9" t="n">
        <f aca="false">INDEX(Segmentation!$L$2:$L$301,MATCH($A163,Segmentation!$A$2:$A$301,0))</f>
        <v>0</v>
      </c>
      <c r="P163" s="2" t="str">
        <f aca="false">IF(OR(M163&gt;0,N163&gt;0),"Recently Active",IF(OR(I163&lt;=Assumptions!$B$48,K163&lt;=Assumptions!$B$49),"No Meaningful History","Recent Inactivity"))</f>
        <v>No Meaningful History</v>
      </c>
      <c r="Q163" s="2" t="str">
        <f aca="false">INDEX(Segmentation!$AF$2:$AF$301,MATCH($A163,Segmentation!$A$2:$A$301,0))</f>
        <v>Existing Customer</v>
      </c>
      <c r="R163" s="2" t="str">
        <f aca="false">INDEX(Segmentation!$AL$2:$AL$301,MATCH($A163,Segmentation!$A$2:$A$301,0))</f>
        <v>One-Off / Insufficient History — Verify</v>
      </c>
      <c r="S163" s="10" t="b">
        <f aca="false">INDEX(Segmentation!$AW$2:$AW$301,MATCH($A163,Segmentation!$A$2:$A$301,0))</f>
        <v>0</v>
      </c>
      <c r="T163" s="2" t="str">
        <f aca="false">INDEX('Feature Data'!$AD$2:$AD$301,MATCH($A163,'Feature Data'!$A$2:$A$301,0))</f>
        <v>One-off low-touch buyer</v>
      </c>
      <c r="U163" s="2" t="str">
        <f aca="false">INDEX('Feature Data'!$W$2:$W$301,MATCH($A163,'Feature Data'!$A$2:$A$301,0))</f>
        <v>Bundle-only</v>
      </c>
      <c r="V163" s="2" t="n">
        <f aca="false">INDEX('Feature Data'!$P$2:$P$301,MATCH($A163,'Feature Data'!$A$2:$A$301,0))</f>
        <v>28</v>
      </c>
      <c r="W163" s="2" t="n">
        <f aca="false">INDEX(Segmentation!$R$2:$R$301,MATCH($A163,Segmentation!$A$2:$A$301,0))</f>
        <v>7</v>
      </c>
      <c r="X163" s="2" t="n">
        <f aca="false">INDEX(Segmentation!$S$2:$S$301,MATCH($A163,Segmentation!$A$2:$A$301,0))</f>
        <v>1</v>
      </c>
      <c r="Y163" s="10" t="b">
        <f aca="false">INDEX(Segmentation!$AG$2:$AG$301,MATCH($A163,Segmentation!$A$2:$A$301,0))</f>
        <v>0</v>
      </c>
      <c r="Z163" s="2" t="str">
        <f aca="false">INDEX(Segmentation!$AU$2:$AU$301,MATCH($A163,Segmentation!$A$2:$A$301,0))</f>
        <v>Not Eligible</v>
      </c>
      <c r="AA163" s="10" t="b">
        <f aca="false">INDEX(Segmentation!$Z$2:$Z$301,MATCH($A163,Segmentation!$A$2:$A$301,0))</f>
        <v>0</v>
      </c>
      <c r="AB163" s="10" t="b">
        <f aca="false">INDEX(Segmentation!$AH$2:$AH$301,MATCH($A163,Segmentation!$A$2:$A$301,0))</f>
        <v>0</v>
      </c>
      <c r="AC163" s="10" t="b">
        <f aca="false">INDEX(Segmentation!$AK$2:$AK$301,MATCH($A163,Segmentation!$A$2:$A$301,0))</f>
        <v>0</v>
      </c>
      <c r="AD163" s="10" t="b">
        <f aca="false">INDEX(Segmentation!$AQ$2:$AQ$301,MATCH($A163,Segmentation!$A$2:$A$301,0))</f>
        <v>0</v>
      </c>
      <c r="AE163" s="10" t="b">
        <f aca="false">INDEX(Segmentation!$AT$2:$AT$301,MATCH($A163,Segmentation!$A$2:$A$301,0))</f>
        <v>0</v>
      </c>
      <c r="AF163" s="10" t="b">
        <f aca="false">INDEX(Segmentation!$X$2:$X$301,MATCH($A163,Segmentation!$A$2:$A$301,0))</f>
        <v>1</v>
      </c>
      <c r="AG163" s="10" t="b">
        <f aca="false">AND(F163="Low",V163&gt;=Assumptions!$B$71,X163&lt;Assumptions!$B$72)</f>
        <v>0</v>
      </c>
      <c r="AH163" s="10" t="b">
        <f aca="false">AND(F163="Low",OR(G163="Growing",G163="Stable"),P163="Recently Active",V163&gt;=Assumptions!$B$58,K163&gt;=Assumptions!$B$73)</f>
        <v>0</v>
      </c>
      <c r="AI163" s="17" t="str">
        <f aca="false">IF(O163&gt;0,MAX(L163:N163)/O163,"")</f>
        <v/>
      </c>
      <c r="AJ163" s="2" t="str">
        <f aca="false">IF(LEFT(D163,1)="1",IF(E163="Key","MIGRATION_KEY_SIGNOFF",IF(Z163="Ready","MIGRATION_PHASE1_READY",IF(Z163="Manual Review","MIGRATION_PHASE1_REVIEW","MIGRATION_PRE_ENTRY"))),IF(LEFT(D163,1)="2","DECLINING_KEY_CORE",IF(LEFT(D163,1)="3",IF(R163="Established Buyer Lapsed","LAPSED_ESTABLISHED","LAPSED_THIN_HISTORY"),IF(LEFT(D163,1)="4",IF(Q163="New Customer","NEW_CUSTOMER","RETURNED_CUSTOMER"),IF(LEFT(D163,1)="5",IF(P163="Recently Active","COST_TO_SERVE_ACTIVE","DORMANT_LOW_VALUE"),IF(LEFT(D163,1)="6",IF(P163="Recent Inactivity","RECENT_INACTIVITY",IF(AG163,"BROWSING_LOW_OFFERS","HEALTHY_STRONG_SELF_SERVE")),IF(LEFT(D163,1)="7",IF(P163="Recent Inactivity","RECENT_INACTIVITY",IF(Q163="New Customer","NEW_CUSTOMER","RETURNED_CUSTOMER")),IF(LEFT(D163,1)="8",IF(G163="Declining",IF(T163="Engaged but shrinking (Key/Core)","ENGAGED_BUT_SHRINKING","DECLINING_KEY_CORE"),IF(R163="Established Buyer Lapsed","LAPSED_ESTABLISHED","LAPSED_THIN_HISTORY")),IF(S163,IF(P163&lt;&gt;"Recently Active","DORMANT_LOW_VALUE",IF(AG163,"BROWSING_LOW_OFFERS",IF(AH163,"RISING_TAIL","RISING_TAIL_EARLY"))),IF(AND(AG163,P163="Recently Active",OR(G163="Growing",G163="Stable",G163="H2 Active / No H1 GMV"),I163&gt;=Assumptions!$B$74),"BROWSING_LOW_OFFERS","LONG_TAIL_STANDARD"))))))))))</f>
        <v>LONG_TAIL_STANDARD</v>
      </c>
      <c r="AK163" s="2" t="str">
        <f aca="false">INDEX('NBA Library'!$B$4:$B$21,MATCH(AJ163,'NBA Library'!$A$4:$A$21,0))</f>
        <v>Automated Nurture</v>
      </c>
      <c r="AL163" s="2" t="str">
        <f aca="false">INDEX('NBA Library'!$C$4:$C$21,MATCH(AJ163,'NBA Library'!$A$4:$A$21,0))</f>
        <v>Automated</v>
      </c>
      <c r="AM163" s="2" t="str">
        <f aca="false">IF(AA163,"HOLD — Critical Data Issue",IF(Y163,"Human Sign-Off Required",IF(Z163="Manual Review","Human Review Required",IF(AND(AL163="Automated",OR(AE163,AND(OR(AK163="Discovery-to-Offer Enablement",AK163="Reinforce Successful Behaviour"),OR(AC163,AB163)))),"Human Review Required",IF(AL163="Human","Ready — Human",IF(AL163="Hybrid","Ready — Hybrid","Ready — Automated"))))))</f>
        <v>Ready — Automated</v>
      </c>
      <c r="AN163" s="2" t="str">
        <f aca="false">IF(AA163,"P0",IF(AND(AJ163="BROWSING_LOW_OFFERS",E163="Tail"),"P3",IF(AND(AM163="Human Review Required",INDEX('NBA Library'!$D$4:$D$21,MATCH(AJ163,'NBA Library'!$A$4:$A$21,0))="P4"),"P3",INDEX('NBA Library'!$D$4:$D$21,MATCH(AJ163,'NBA Library'!$A$4:$A$21,0)))))</f>
        <v>P4</v>
      </c>
      <c r="AO163" s="2" t="str">
        <f aca="false">E163&amp;" "&amp;C163&amp;" account ("&amp;B163&amp;"); "&amp;G163&amp;" momentum; "&amp;P163&amp;"; £"&amp;TEXT(H163,"#,##0")&amp;" 6m GMV. "&amp;INDEX('NBA Library'!$G$4:$G$21,MATCH(AJ163,'NBA Library'!$A$4:$A$21,0))&amp;IF(LEFT(D163,1)="1"," Baseline: "&amp;V163&amp;" PDP views, "&amp;W163&amp;" app days, "&amp;X163&amp;" offers, "&amp;TEXT(J163/I163,"0%")&amp;" of orders self-serve.","")&amp;IF(AA163," Execution on HOLD until the Duplicate status is resolved.","")&amp;IF(Y163," Key account: explicit AM/leadership sign-off required before any migration activity.","")&amp;IF(AE163," Implied broker % from order counts would move this account to a different segment; review before automating.","")</f>
        <v>Tail AM-Owned / Self-Serving account (Account Managed); Lapsed momentum; No Meaningful History; £242 6m GMV. Low-value, low-dependency account. Scalable automated engagement.</v>
      </c>
      <c r="AP163" s="2" t="str">
        <f aca="false">INDEX('NBA Library'!$E$4:$E$21,MATCH(AJ163,'NBA Library'!$A$4:$A$21,0))&amp;IF(AND(AJ163="NEW_CUSTOMER",AG163),"; introduce Make-an-Offer on items already browsed","")</f>
        <v>Scalable automated engagement matched to nurture sub-context</v>
      </c>
      <c r="AQ163" s="2" t="str">
        <f aca="false">INDEX('NBA Library'!$F$4:$F$21,MATCH(AJ163,'NBA Library'!$A$4:$A$21,0))</f>
        <v>Any repeat order within 90 days</v>
      </c>
      <c r="AR163" s="2" t="str">
        <f aca="false">IF(AND(F163="Low",OR(G163="Growing",G163="Stable"),P163="Recently Active",U163&lt;&gt;"Mixed",OR(AK163="Discovery-to-Offer Enablement",AK163="Reinforce Successful Behaviour"),AM163="Ready — Automated",OR(E163&lt;&gt;"Tail",S163)),"Range Expansion Test — trial "&amp;IF(U163="Bundle-only","handpick","bundles")&amp;" (experimental; not proven to lift GMV)","")</f>
        <v/>
      </c>
      <c r="AS163" s="2" t="str">
        <f aca="false">IF(AK163&lt;&gt;"Automated Nurture","",IF(AJ163="DORMANT_LOW_VALUE","Dormant",IF(AJ163="RISING_TAIL_EARLY","Rising tail – early pattern",IF(Q163="New Customer","New customer onboarding",IF(Q163="Returned Customer","Returned customer",IF(G163="Lapsed","Dormant",IF(T163="Engaged, not converting","Engaged, not converting",IF(T163="One-off low-touch buyer","One-off purchaser",IF(T163="Light-touch repeat buyer","Light-touch repeat buyer","Standard long tail")))))))))</f>
        <v>Dormant</v>
      </c>
      <c r="AT163" s="2" t="str">
        <f aca="false">IF(AA163,"CRITICAL_DATA_BLOCKER; ","")&amp;IF(Y163,"KEY_SIGNOFF; ","")&amp;IF(Z163="Manual Review","PHASE1_MANUAL_REVIEW; ","")&amp;IF(AND(LEFT(D163,1)="1",AZ163="Lumpy"),"LUMPY_CADENCE; ","")&amp;IF(AB163,"BORDERLINE_MOMENTUM; ","")&amp;IF(AC163,"FEB_SENSITIVE; ","")&amp;IF(AD163,"MATERIAL_BROKER_INCONSISTENCY"&amp;IF(AE163," (segment would change)","")&amp;"; ","")&amp;IF(AND(I163&gt;=3,O163&gt;0),IF(AI163&gt;=Assumptions!$B$75,"H2_SINGLE_MONTH_SPIKE; ",""),"")&amp;IF(AND(M163&gt;0,N163=0),"NO_FEB_GMV (Feb unconfirmed); ","")&amp;IF(AF163,"LOW_CONFIDENCE; ","")</f>
        <v>LOW_CONFIDENCE; </v>
      </c>
      <c r="AU163" s="2" t="str">
        <f aca="false">IF(LEFT(D163,1)="1",V163,"")</f>
        <v/>
      </c>
      <c r="AV163" s="2" t="str">
        <f aca="false">IF(LEFT(D163,1)="1",V163&gt;=Assumptions!$B$58,"")</f>
        <v/>
      </c>
      <c r="AW163" s="2" t="str">
        <f aca="false">IF(LEFT(D163,1)="1",W163,"")</f>
        <v/>
      </c>
      <c r="AX163" s="2" t="str">
        <f aca="false">IF(LEFT(D163,1)="1",X163,"")</f>
        <v/>
      </c>
      <c r="AY163" s="17" t="str">
        <f aca="false">IF(LEFT(D163,1)="1",J163/I163,"")</f>
        <v/>
      </c>
      <c r="AZ163" s="2" t="str">
        <f aca="false">IF(LEFT(D163,1)="1",IF(AND(K163&gt;=Assumptions!$B$83,I163&gt;=Assumptions!$B$84),"Regular","Lumpy"),"")</f>
        <v/>
      </c>
      <c r="BA163" s="2" t="str">
        <f aca="false">IF(LEFT(D163,1)="1",ROUND(6/K163,0),"")</f>
        <v/>
      </c>
      <c r="BB163" s="2" t="str">
        <f aca="false">IF(LEFT(D163,1)="1",IF(AZ163="Regular","Regular buyer: expected ~£"&amp;TEXT(H163/2,"#,##0")&amp;" per 90 days. At Risk if GMV to date &lt; "&amp;TEXT(Assumptions!$B$81,"0%")&amp;" of pro-rated expectation, checked from day "&amp;Assumptions!$B$82&amp;". Human-reviewed.","Irregular buyer ("&amp;I163&amp;" orders across "&amp;K163&amp;" months): no numeric GMV threshold. At Risk if no order within ~"&amp;BA163&amp;" month(s); AM reviews at day "&amp;Assumptions!$B$82&amp;" and "&amp;Assumptions!$B$85&amp;"."),"")</f>
        <v/>
      </c>
      <c r="BC163" s="2"/>
      <c r="BD163" s="2"/>
      <c r="BE163" s="2"/>
      <c r="BF163" s="2"/>
      <c r="BG163" s="2"/>
      <c r="BH163" s="2"/>
      <c r="BI163" s="2"/>
      <c r="BJ163" s="2" t="str">
        <f aca="false">IF(OR(NOT(LEFT(D163,1)="1"),BC163=""),"",IF(AZ163="Regular",AND(BC163&gt;=Assumptions!$B$82,N(BI163)&lt;Assumptions!$B$81*H163/180*BC163),AND(BC163&gt;=BA163*30,N(BG163)=0)))</f>
        <v/>
      </c>
      <c r="BK163" s="2" t="str">
        <f aca="false">IF(NOT(LEFT(D163,1)="1"),"N/A",IF(BC163="","Baseline",IF(BJ163,"At Risk",IF(AND(N(BD163)&gt;=Assumptions!$B$78,N(BE163)&gt;=Assumptions!$B$79,N(BH163)&gt;=1,N(BH163)/MAX(N(BG163),1)&gt;AY163),"Self-Serve Capability Demonstrated",IF(OR(N(BD163)&gt;=Assumptions!$B$76,N(BE163)&gt;=Assumptions!$B$77),"Progressing",IF(BC163&gt;=Assumptions!$B$85,"At Risk","Baseline"))))))</f>
        <v>N/A</v>
      </c>
      <c r="BL163" s="2" t="n">
        <f aca="false">(AND(C163="Broker-Reliant",OR(AK163="Discovery-to-Offer Enablement",AK163="Reinforce Successful Behaviour")))*1+(AND(G163="Declining",E163&lt;&gt;"Tail",AL163="Automated"))*1+(AND(Y163,AM163&lt;&gt;"Human Sign-Off Required"))*1+(AND(AA163,AM163&lt;&gt;"HOLD — Critical Data Issue"))*1+(AND(P163="Recent Inactivity",OR(AK163="Discovery-to-Offer Enablement",AK163="Reinforce Successful Behaviour")))*1+(AND(OR(LEFT(D163,1)="2",LEFT(D163,1)="3",LEFT(D163,1)="8"),AL163="Automated"))*1+((LEFT(D163,1)="1")&lt;&gt;(AK163="Guided Self-Serve Migration"))*1+(AND(AR163&lt;&gt;"",OR(F163&lt;&gt;"Low",U163="Mixed",AND(G163&lt;&gt;"Growing",G163&lt;&gt;"Stable"))))*1+ISNUMBER(SEARCH("chat",AP163))*1+ISNUMBER(SEARCH("video",AP163))*1+(AND(AA163,AL163="Automated",AM163&lt;&gt;"HOLD — Critical Data Issue"))*1</f>
        <v>0</v>
      </c>
    </row>
    <row r="164" customFormat="false" ht="15" hidden="false" customHeight="false" outlineLevel="0" collapsed="false">
      <c r="A164" s="2" t="s">
        <v>842</v>
      </c>
      <c r="B164" s="2" t="str">
        <f aca="false">INDEX(Segmentation!$B$2:$B$301,MATCH($A164,Segmentation!$A$2:$A$301,0))</f>
        <v>Account Managed</v>
      </c>
      <c r="C164" s="2" t="str">
        <f aca="false">INDEX(Segmentation!$H$2:$H$301,MATCH($A164,Segmentation!$A$2:$A$301,0))</f>
        <v>AM-Owned / Self-Serving</v>
      </c>
      <c r="D164" s="2" t="str">
        <f aca="false">INDEX(Segmentation!$T$2:$T$301,MATCH($A164,Segmentation!$A$2:$A$301,0))</f>
        <v>9. Long-Tail Automated Nurture</v>
      </c>
      <c r="E164" s="2" t="str">
        <f aca="false">INDEX(Segmentation!$J$2:$J$301,MATCH($A164,Segmentation!$A$2:$A$301,0))</f>
        <v>Tail</v>
      </c>
      <c r="F164" s="2" t="str">
        <f aca="false">INDEX(Segmentation!$G$2:$G$301,MATCH($A164,Segmentation!$A$2:$A$301,0))</f>
        <v>Low</v>
      </c>
      <c r="G164" s="2" t="str">
        <f aca="false">INDEX(Segmentation!$N$2:$N$301,MATCH($A164,Segmentation!$A$2:$A$301,0))</f>
        <v>Lapsed</v>
      </c>
      <c r="H164" s="9" t="n">
        <f aca="false">INDEX(Segmentation!$I$2:$I$301,MATCH($A164,Segmentation!$A$2:$A$301,0))</f>
        <v>240</v>
      </c>
      <c r="I164" s="2" t="n">
        <f aca="false">INDEX(Segmentation!$O$2:$O$301,MATCH($A164,Segmentation!$A$2:$A$301,0))</f>
        <v>1</v>
      </c>
      <c r="J164" s="2" t="n">
        <f aca="false">INDEX(Segmentation!$Q$2:$Q$301,MATCH($A164,Segmentation!$A$2:$A$301,0))</f>
        <v>1</v>
      </c>
      <c r="K164" s="2" t="n">
        <f aca="false">INDEX(Segmentation!$W$2:$W$301,MATCH($A164,Segmentation!$A$2:$A$301,0))</f>
        <v>1</v>
      </c>
      <c r="L164" s="9" t="n">
        <f aca="false">INDEX('Commercial View'!$L$2:$L$301,MATCH($A164,'Commercial View'!$A$2:$A$301,0))</f>
        <v>0</v>
      </c>
      <c r="M164" s="9" t="n">
        <f aca="false">INDEX('Commercial View'!$M$2:$M$301,MATCH($A164,'Commercial View'!$A$2:$A$301,0))</f>
        <v>0</v>
      </c>
      <c r="N164" s="9" t="n">
        <f aca="false">INDEX('Commercial View'!$N$2:$N$301,MATCH($A164,'Commercial View'!$A$2:$A$301,0))</f>
        <v>0</v>
      </c>
      <c r="O164" s="9" t="n">
        <f aca="false">INDEX(Segmentation!$L$2:$L$301,MATCH($A164,Segmentation!$A$2:$A$301,0))</f>
        <v>0</v>
      </c>
      <c r="P164" s="2" t="str">
        <f aca="false">IF(OR(M164&gt;0,N164&gt;0),"Recently Active",IF(OR(I164&lt;=Assumptions!$B$48,K164&lt;=Assumptions!$B$49),"No Meaningful History","Recent Inactivity"))</f>
        <v>No Meaningful History</v>
      </c>
      <c r="Q164" s="2" t="str">
        <f aca="false">INDEX(Segmentation!$AF$2:$AF$301,MATCH($A164,Segmentation!$A$2:$A$301,0))</f>
        <v>Existing Customer</v>
      </c>
      <c r="R164" s="2" t="str">
        <f aca="false">INDEX(Segmentation!$AL$2:$AL$301,MATCH($A164,Segmentation!$A$2:$A$301,0))</f>
        <v>One-Off / Insufficient History — Verify</v>
      </c>
      <c r="S164" s="10" t="b">
        <f aca="false">INDEX(Segmentation!$AW$2:$AW$301,MATCH($A164,Segmentation!$A$2:$A$301,0))</f>
        <v>0</v>
      </c>
      <c r="T164" s="2" t="str">
        <f aca="false">INDEX('Feature Data'!$AD$2:$AD$301,MATCH($A164,'Feature Data'!$A$2:$A$301,0))</f>
        <v>One-off low-touch buyer</v>
      </c>
      <c r="U164" s="2" t="str">
        <f aca="false">INDEX('Feature Data'!$W$2:$W$301,MATCH($A164,'Feature Data'!$A$2:$A$301,0))</f>
        <v>Bundle-only</v>
      </c>
      <c r="V164" s="2" t="n">
        <f aca="false">INDEX('Feature Data'!$P$2:$P$301,MATCH($A164,'Feature Data'!$A$2:$A$301,0))</f>
        <v>94</v>
      </c>
      <c r="W164" s="2" t="n">
        <f aca="false">INDEX(Segmentation!$R$2:$R$301,MATCH($A164,Segmentation!$A$2:$A$301,0))</f>
        <v>9</v>
      </c>
      <c r="X164" s="2" t="n">
        <f aca="false">INDEX(Segmentation!$S$2:$S$301,MATCH($A164,Segmentation!$A$2:$A$301,0))</f>
        <v>1</v>
      </c>
      <c r="Y164" s="10" t="b">
        <f aca="false">INDEX(Segmentation!$AG$2:$AG$301,MATCH($A164,Segmentation!$A$2:$A$301,0))</f>
        <v>0</v>
      </c>
      <c r="Z164" s="2" t="str">
        <f aca="false">INDEX(Segmentation!$AU$2:$AU$301,MATCH($A164,Segmentation!$A$2:$A$301,0))</f>
        <v>Not Eligible</v>
      </c>
      <c r="AA164" s="10" t="b">
        <f aca="false">INDEX(Segmentation!$Z$2:$Z$301,MATCH($A164,Segmentation!$A$2:$A$301,0))</f>
        <v>0</v>
      </c>
      <c r="AB164" s="10" t="b">
        <f aca="false">INDEX(Segmentation!$AH$2:$AH$301,MATCH($A164,Segmentation!$A$2:$A$301,0))</f>
        <v>0</v>
      </c>
      <c r="AC164" s="10" t="b">
        <f aca="false">INDEX(Segmentation!$AK$2:$AK$301,MATCH($A164,Segmentation!$A$2:$A$301,0))</f>
        <v>0</v>
      </c>
      <c r="AD164" s="10" t="b">
        <f aca="false">INDEX(Segmentation!$AQ$2:$AQ$301,MATCH($A164,Segmentation!$A$2:$A$301,0))</f>
        <v>0</v>
      </c>
      <c r="AE164" s="10" t="b">
        <f aca="false">INDEX(Segmentation!$AT$2:$AT$301,MATCH($A164,Segmentation!$A$2:$A$301,0))</f>
        <v>0</v>
      </c>
      <c r="AF164" s="10" t="b">
        <f aca="false">INDEX(Segmentation!$X$2:$X$301,MATCH($A164,Segmentation!$A$2:$A$301,0))</f>
        <v>1</v>
      </c>
      <c r="AG164" s="10" t="b">
        <f aca="false">AND(F164="Low",V164&gt;=Assumptions!$B$71,X164&lt;Assumptions!$B$72)</f>
        <v>1</v>
      </c>
      <c r="AH164" s="10" t="b">
        <f aca="false">AND(F164="Low",OR(G164="Growing",G164="Stable"),P164="Recently Active",V164&gt;=Assumptions!$B$58,K164&gt;=Assumptions!$B$73)</f>
        <v>0</v>
      </c>
      <c r="AI164" s="17" t="str">
        <f aca="false">IF(O164&gt;0,MAX(L164:N164)/O164,"")</f>
        <v/>
      </c>
      <c r="AJ164" s="2" t="str">
        <f aca="false">IF(LEFT(D164,1)="1",IF(E164="Key","MIGRATION_KEY_SIGNOFF",IF(Z164="Ready","MIGRATION_PHASE1_READY",IF(Z164="Manual Review","MIGRATION_PHASE1_REVIEW","MIGRATION_PRE_ENTRY"))),IF(LEFT(D164,1)="2","DECLINING_KEY_CORE",IF(LEFT(D164,1)="3",IF(R164="Established Buyer Lapsed","LAPSED_ESTABLISHED","LAPSED_THIN_HISTORY"),IF(LEFT(D164,1)="4",IF(Q164="New Customer","NEW_CUSTOMER","RETURNED_CUSTOMER"),IF(LEFT(D164,1)="5",IF(P164="Recently Active","COST_TO_SERVE_ACTIVE","DORMANT_LOW_VALUE"),IF(LEFT(D164,1)="6",IF(P164="Recent Inactivity","RECENT_INACTIVITY",IF(AG164,"BROWSING_LOW_OFFERS","HEALTHY_STRONG_SELF_SERVE")),IF(LEFT(D164,1)="7",IF(P164="Recent Inactivity","RECENT_INACTIVITY",IF(Q164="New Customer","NEW_CUSTOMER","RETURNED_CUSTOMER")),IF(LEFT(D164,1)="8",IF(G164="Declining",IF(T164="Engaged but shrinking (Key/Core)","ENGAGED_BUT_SHRINKING","DECLINING_KEY_CORE"),IF(R164="Established Buyer Lapsed","LAPSED_ESTABLISHED","LAPSED_THIN_HISTORY")),IF(S164,IF(P164&lt;&gt;"Recently Active","DORMANT_LOW_VALUE",IF(AG164,"BROWSING_LOW_OFFERS",IF(AH164,"RISING_TAIL","RISING_TAIL_EARLY"))),IF(AND(AG164,P164="Recently Active",OR(G164="Growing",G164="Stable",G164="H2 Active / No H1 GMV"),I164&gt;=Assumptions!$B$74),"BROWSING_LOW_OFFERS","LONG_TAIL_STANDARD"))))))))))</f>
        <v>LONG_TAIL_STANDARD</v>
      </c>
      <c r="AK164" s="2" t="str">
        <f aca="false">INDEX('NBA Library'!$B$4:$B$21,MATCH(AJ164,'NBA Library'!$A$4:$A$21,0))</f>
        <v>Automated Nurture</v>
      </c>
      <c r="AL164" s="2" t="str">
        <f aca="false">INDEX('NBA Library'!$C$4:$C$21,MATCH(AJ164,'NBA Library'!$A$4:$A$21,0))</f>
        <v>Automated</v>
      </c>
      <c r="AM164" s="2" t="str">
        <f aca="false">IF(AA164,"HOLD — Critical Data Issue",IF(Y164,"Human Sign-Off Required",IF(Z164="Manual Review","Human Review Required",IF(AND(AL164="Automated",OR(AE164,AND(OR(AK164="Discovery-to-Offer Enablement",AK164="Reinforce Successful Behaviour"),OR(AC164,AB164)))),"Human Review Required",IF(AL164="Human","Ready — Human",IF(AL164="Hybrid","Ready — Hybrid","Ready — Automated"))))))</f>
        <v>Ready — Automated</v>
      </c>
      <c r="AN164" s="2" t="str">
        <f aca="false">IF(AA164,"P0",IF(AND(AJ164="BROWSING_LOW_OFFERS",E164="Tail"),"P3",IF(AND(AM164="Human Review Required",INDEX('NBA Library'!$D$4:$D$21,MATCH(AJ164,'NBA Library'!$A$4:$A$21,0))="P4"),"P3",INDEX('NBA Library'!$D$4:$D$21,MATCH(AJ164,'NBA Library'!$A$4:$A$21,0)))))</f>
        <v>P4</v>
      </c>
      <c r="AO164" s="2" t="str">
        <f aca="false">E164&amp;" "&amp;C164&amp;" account ("&amp;B164&amp;"); "&amp;G164&amp;" momentum; "&amp;P164&amp;"; £"&amp;TEXT(H164,"#,##0")&amp;" 6m GMV. "&amp;INDEX('NBA Library'!$G$4:$G$21,MATCH(AJ164,'NBA Library'!$A$4:$A$21,0))&amp;IF(LEFT(D164,1)="1"," Baseline: "&amp;V164&amp;" PDP views, "&amp;W164&amp;" app days, "&amp;X164&amp;" offers, "&amp;TEXT(J164/I164,"0%")&amp;" of orders self-serve.","")&amp;IF(AA164," Execution on HOLD until the Duplicate status is resolved.","")&amp;IF(Y164," Key account: explicit AM/leadership sign-off required before any migration activity.","")&amp;IF(AE164," Implied broker % from order counts would move this account to a different segment; review before automating.","")</f>
        <v>Tail AM-Owned / Self-Serving account (Account Managed); Lapsed momentum; No Meaningful History; £240 6m GMV. Low-value, low-dependency account. Scalable automated engagement.</v>
      </c>
      <c r="AP164" s="2" t="str">
        <f aca="false">INDEX('NBA Library'!$E$4:$E$21,MATCH(AJ164,'NBA Library'!$A$4:$A$21,0))&amp;IF(AND(AJ164="NEW_CUSTOMER",AG164),"; introduce Make-an-Offer on items already browsed","")</f>
        <v>Scalable automated engagement matched to nurture sub-context</v>
      </c>
      <c r="AQ164" s="2" t="str">
        <f aca="false">INDEX('NBA Library'!$F$4:$F$21,MATCH(AJ164,'NBA Library'!$A$4:$A$21,0))</f>
        <v>Any repeat order within 90 days</v>
      </c>
      <c r="AR164" s="2" t="str">
        <f aca="false">IF(AND(F164="Low",OR(G164="Growing",G164="Stable"),P164="Recently Active",U164&lt;&gt;"Mixed",OR(AK164="Discovery-to-Offer Enablement",AK164="Reinforce Successful Behaviour"),AM164="Ready — Automated",OR(E164&lt;&gt;"Tail",S164)),"Range Expansion Test — trial "&amp;IF(U164="Bundle-only","handpick","bundles")&amp;" (experimental; not proven to lift GMV)","")</f>
        <v/>
      </c>
      <c r="AS164" s="2" t="str">
        <f aca="false">IF(AK164&lt;&gt;"Automated Nurture","",IF(AJ164="DORMANT_LOW_VALUE","Dormant",IF(AJ164="RISING_TAIL_EARLY","Rising tail – early pattern",IF(Q164="New Customer","New customer onboarding",IF(Q164="Returned Customer","Returned customer",IF(G164="Lapsed","Dormant",IF(T164="Engaged, not converting","Engaged, not converting",IF(T164="One-off low-touch buyer","One-off purchaser",IF(T164="Light-touch repeat buyer","Light-touch repeat buyer","Standard long tail")))))))))</f>
        <v>Dormant</v>
      </c>
      <c r="AT164" s="2" t="str">
        <f aca="false">IF(AA164,"CRITICAL_DATA_BLOCKER; ","")&amp;IF(Y164,"KEY_SIGNOFF; ","")&amp;IF(Z164="Manual Review","PHASE1_MANUAL_REVIEW; ","")&amp;IF(AND(LEFT(D164,1)="1",AZ164="Lumpy"),"LUMPY_CADENCE; ","")&amp;IF(AB164,"BORDERLINE_MOMENTUM; ","")&amp;IF(AC164,"FEB_SENSITIVE; ","")&amp;IF(AD164,"MATERIAL_BROKER_INCONSISTENCY"&amp;IF(AE164," (segment would change)","")&amp;"; ","")&amp;IF(AND(I164&gt;=3,O164&gt;0),IF(AI164&gt;=Assumptions!$B$75,"H2_SINGLE_MONTH_SPIKE; ",""),"")&amp;IF(AND(M164&gt;0,N164=0),"NO_FEB_GMV (Feb unconfirmed); ","")&amp;IF(AF164,"LOW_CONFIDENCE; ","")</f>
        <v>LOW_CONFIDENCE; </v>
      </c>
      <c r="AU164" s="2" t="str">
        <f aca="false">IF(LEFT(D164,1)="1",V164,"")</f>
        <v/>
      </c>
      <c r="AV164" s="2" t="str">
        <f aca="false">IF(LEFT(D164,1)="1",V164&gt;=Assumptions!$B$58,"")</f>
        <v/>
      </c>
      <c r="AW164" s="2" t="str">
        <f aca="false">IF(LEFT(D164,1)="1",W164,"")</f>
        <v/>
      </c>
      <c r="AX164" s="2" t="str">
        <f aca="false">IF(LEFT(D164,1)="1",X164,"")</f>
        <v/>
      </c>
      <c r="AY164" s="17" t="str">
        <f aca="false">IF(LEFT(D164,1)="1",J164/I164,"")</f>
        <v/>
      </c>
      <c r="AZ164" s="2" t="str">
        <f aca="false">IF(LEFT(D164,1)="1",IF(AND(K164&gt;=Assumptions!$B$83,I164&gt;=Assumptions!$B$84),"Regular","Lumpy"),"")</f>
        <v/>
      </c>
      <c r="BA164" s="2" t="str">
        <f aca="false">IF(LEFT(D164,1)="1",ROUND(6/K164,0),"")</f>
        <v/>
      </c>
      <c r="BB164" s="2" t="str">
        <f aca="false">IF(LEFT(D164,1)="1",IF(AZ164="Regular","Regular buyer: expected ~£"&amp;TEXT(H164/2,"#,##0")&amp;" per 90 days. At Risk if GMV to date &lt; "&amp;TEXT(Assumptions!$B$81,"0%")&amp;" of pro-rated expectation, checked from day "&amp;Assumptions!$B$82&amp;". Human-reviewed.","Irregular buyer ("&amp;I164&amp;" orders across "&amp;K164&amp;" months): no numeric GMV threshold. At Risk if no order within ~"&amp;BA164&amp;" month(s); AM reviews at day "&amp;Assumptions!$B$82&amp;" and "&amp;Assumptions!$B$85&amp;"."),"")</f>
        <v/>
      </c>
      <c r="BC164" s="2"/>
      <c r="BD164" s="2"/>
      <c r="BE164" s="2"/>
      <c r="BF164" s="2"/>
      <c r="BG164" s="2"/>
      <c r="BH164" s="2"/>
      <c r="BI164" s="2"/>
      <c r="BJ164" s="2" t="str">
        <f aca="false">IF(OR(NOT(LEFT(D164,1)="1"),BC164=""),"",IF(AZ164="Regular",AND(BC164&gt;=Assumptions!$B$82,N(BI164)&lt;Assumptions!$B$81*H164/180*BC164),AND(BC164&gt;=BA164*30,N(BG164)=0)))</f>
        <v/>
      </c>
      <c r="BK164" s="2" t="str">
        <f aca="false">IF(NOT(LEFT(D164,1)="1"),"N/A",IF(BC164="","Baseline",IF(BJ164,"At Risk",IF(AND(N(BD164)&gt;=Assumptions!$B$78,N(BE164)&gt;=Assumptions!$B$79,N(BH164)&gt;=1,N(BH164)/MAX(N(BG164),1)&gt;AY164),"Self-Serve Capability Demonstrated",IF(OR(N(BD164)&gt;=Assumptions!$B$76,N(BE164)&gt;=Assumptions!$B$77),"Progressing",IF(BC164&gt;=Assumptions!$B$85,"At Risk","Baseline"))))))</f>
        <v>N/A</v>
      </c>
      <c r="BL164" s="2" t="n">
        <f aca="false">(AND(C164="Broker-Reliant",OR(AK164="Discovery-to-Offer Enablement",AK164="Reinforce Successful Behaviour")))*1+(AND(G164="Declining",E164&lt;&gt;"Tail",AL164="Automated"))*1+(AND(Y164,AM164&lt;&gt;"Human Sign-Off Required"))*1+(AND(AA164,AM164&lt;&gt;"HOLD — Critical Data Issue"))*1+(AND(P164="Recent Inactivity",OR(AK164="Discovery-to-Offer Enablement",AK164="Reinforce Successful Behaviour")))*1+(AND(OR(LEFT(D164,1)="2",LEFT(D164,1)="3",LEFT(D164,1)="8"),AL164="Automated"))*1+((LEFT(D164,1)="1")&lt;&gt;(AK164="Guided Self-Serve Migration"))*1+(AND(AR164&lt;&gt;"",OR(F164&lt;&gt;"Low",U164="Mixed",AND(G164&lt;&gt;"Growing",G164&lt;&gt;"Stable"))))*1+ISNUMBER(SEARCH("chat",AP164))*1+ISNUMBER(SEARCH("video",AP164))*1+(AND(AA164,AL164="Automated",AM164&lt;&gt;"HOLD — Critical Data Issue"))*1</f>
        <v>0</v>
      </c>
    </row>
    <row r="165" customFormat="false" ht="15" hidden="false" customHeight="false" outlineLevel="0" collapsed="false">
      <c r="A165" s="2" t="s">
        <v>844</v>
      </c>
      <c r="B165" s="2" t="str">
        <f aca="false">INDEX(Segmentation!$B$2:$B$301,MATCH($A165,Segmentation!$A$2:$A$301,0))</f>
        <v>Account Managed</v>
      </c>
      <c r="C165" s="2" t="str">
        <f aca="false">INDEX(Segmentation!$H$2:$H$301,MATCH($A165,Segmentation!$A$2:$A$301,0))</f>
        <v>AM-Owned / Self-Serving</v>
      </c>
      <c r="D165" s="2" t="str">
        <f aca="false">INDEX(Segmentation!$T$2:$T$301,MATCH($A165,Segmentation!$A$2:$A$301,0))</f>
        <v>9. Long-Tail Automated Nurture</v>
      </c>
      <c r="E165" s="2" t="str">
        <f aca="false">INDEX(Segmentation!$J$2:$J$301,MATCH($A165,Segmentation!$A$2:$A$301,0))</f>
        <v>Tail</v>
      </c>
      <c r="F165" s="2" t="str">
        <f aca="false">INDEX(Segmentation!$G$2:$G$301,MATCH($A165,Segmentation!$A$2:$A$301,0))</f>
        <v>Low</v>
      </c>
      <c r="G165" s="2" t="str">
        <f aca="false">INDEX(Segmentation!$N$2:$N$301,MATCH($A165,Segmentation!$A$2:$A$301,0))</f>
        <v>Lapsed</v>
      </c>
      <c r="H165" s="9" t="n">
        <f aca="false">INDEX(Segmentation!$I$2:$I$301,MATCH($A165,Segmentation!$A$2:$A$301,0))</f>
        <v>230</v>
      </c>
      <c r="I165" s="2" t="n">
        <f aca="false">INDEX(Segmentation!$O$2:$O$301,MATCH($A165,Segmentation!$A$2:$A$301,0))</f>
        <v>1</v>
      </c>
      <c r="J165" s="2" t="n">
        <f aca="false">INDEX(Segmentation!$Q$2:$Q$301,MATCH($A165,Segmentation!$A$2:$A$301,0))</f>
        <v>1</v>
      </c>
      <c r="K165" s="2" t="n">
        <f aca="false">INDEX(Segmentation!$W$2:$W$301,MATCH($A165,Segmentation!$A$2:$A$301,0))</f>
        <v>1</v>
      </c>
      <c r="L165" s="9" t="n">
        <f aca="false">INDEX('Commercial View'!$L$2:$L$301,MATCH($A165,'Commercial View'!$A$2:$A$301,0))</f>
        <v>0</v>
      </c>
      <c r="M165" s="9" t="n">
        <f aca="false">INDEX('Commercial View'!$M$2:$M$301,MATCH($A165,'Commercial View'!$A$2:$A$301,0))</f>
        <v>0</v>
      </c>
      <c r="N165" s="9" t="n">
        <f aca="false">INDEX('Commercial View'!$N$2:$N$301,MATCH($A165,'Commercial View'!$A$2:$A$301,0))</f>
        <v>0</v>
      </c>
      <c r="O165" s="9" t="n">
        <f aca="false">INDEX(Segmentation!$L$2:$L$301,MATCH($A165,Segmentation!$A$2:$A$301,0))</f>
        <v>0</v>
      </c>
      <c r="P165" s="2" t="str">
        <f aca="false">IF(OR(M165&gt;0,N165&gt;0),"Recently Active",IF(OR(I165&lt;=Assumptions!$B$48,K165&lt;=Assumptions!$B$49),"No Meaningful History","Recent Inactivity"))</f>
        <v>No Meaningful History</v>
      </c>
      <c r="Q165" s="2" t="str">
        <f aca="false">INDEX(Segmentation!$AF$2:$AF$301,MATCH($A165,Segmentation!$A$2:$A$301,0))</f>
        <v>Existing Customer</v>
      </c>
      <c r="R165" s="2" t="str">
        <f aca="false">INDEX(Segmentation!$AL$2:$AL$301,MATCH($A165,Segmentation!$A$2:$A$301,0))</f>
        <v>One-Off / Insufficient History — Verify</v>
      </c>
      <c r="S165" s="10" t="b">
        <f aca="false">INDEX(Segmentation!$AW$2:$AW$301,MATCH($A165,Segmentation!$A$2:$A$301,0))</f>
        <v>0</v>
      </c>
      <c r="T165" s="2" t="str">
        <f aca="false">INDEX('Feature Data'!$AD$2:$AD$301,MATCH($A165,'Feature Data'!$A$2:$A$301,0))</f>
        <v>Engaged, not converting</v>
      </c>
      <c r="U165" s="2" t="str">
        <f aca="false">INDEX('Feature Data'!$W$2:$W$301,MATCH($A165,'Feature Data'!$A$2:$A$301,0))</f>
        <v>Bundle-only</v>
      </c>
      <c r="V165" s="2" t="n">
        <f aca="false">INDEX('Feature Data'!$P$2:$P$301,MATCH($A165,'Feature Data'!$A$2:$A$301,0))</f>
        <v>443</v>
      </c>
      <c r="W165" s="2" t="n">
        <f aca="false">INDEX(Segmentation!$R$2:$R$301,MATCH($A165,Segmentation!$A$2:$A$301,0))</f>
        <v>20</v>
      </c>
      <c r="X165" s="2" t="n">
        <f aca="false">INDEX(Segmentation!$S$2:$S$301,MATCH($A165,Segmentation!$A$2:$A$301,0))</f>
        <v>0</v>
      </c>
      <c r="Y165" s="10" t="b">
        <f aca="false">INDEX(Segmentation!$AG$2:$AG$301,MATCH($A165,Segmentation!$A$2:$A$301,0))</f>
        <v>0</v>
      </c>
      <c r="Z165" s="2" t="str">
        <f aca="false">INDEX(Segmentation!$AU$2:$AU$301,MATCH($A165,Segmentation!$A$2:$A$301,0))</f>
        <v>Not Eligible</v>
      </c>
      <c r="AA165" s="10" t="b">
        <f aca="false">INDEX(Segmentation!$Z$2:$Z$301,MATCH($A165,Segmentation!$A$2:$A$301,0))</f>
        <v>0</v>
      </c>
      <c r="AB165" s="10" t="b">
        <f aca="false">INDEX(Segmentation!$AH$2:$AH$301,MATCH($A165,Segmentation!$A$2:$A$301,0))</f>
        <v>0</v>
      </c>
      <c r="AC165" s="10" t="b">
        <f aca="false">INDEX(Segmentation!$AK$2:$AK$301,MATCH($A165,Segmentation!$A$2:$A$301,0))</f>
        <v>0</v>
      </c>
      <c r="AD165" s="10" t="b">
        <f aca="false">INDEX(Segmentation!$AQ$2:$AQ$301,MATCH($A165,Segmentation!$A$2:$A$301,0))</f>
        <v>0</v>
      </c>
      <c r="AE165" s="10" t="b">
        <f aca="false">INDEX(Segmentation!$AT$2:$AT$301,MATCH($A165,Segmentation!$A$2:$A$301,0))</f>
        <v>0</v>
      </c>
      <c r="AF165" s="10" t="b">
        <f aca="false">INDEX(Segmentation!$X$2:$X$301,MATCH($A165,Segmentation!$A$2:$A$301,0))</f>
        <v>1</v>
      </c>
      <c r="AG165" s="10" t="b">
        <f aca="false">AND(F165="Low",V165&gt;=Assumptions!$B$71,X165&lt;Assumptions!$B$72)</f>
        <v>1</v>
      </c>
      <c r="AH165" s="10" t="b">
        <f aca="false">AND(F165="Low",OR(G165="Growing",G165="Stable"),P165="Recently Active",V165&gt;=Assumptions!$B$58,K165&gt;=Assumptions!$B$73)</f>
        <v>0</v>
      </c>
      <c r="AI165" s="17" t="str">
        <f aca="false">IF(O165&gt;0,MAX(L165:N165)/O165,"")</f>
        <v/>
      </c>
      <c r="AJ165" s="2" t="str">
        <f aca="false">IF(LEFT(D165,1)="1",IF(E165="Key","MIGRATION_KEY_SIGNOFF",IF(Z165="Ready","MIGRATION_PHASE1_READY",IF(Z165="Manual Review","MIGRATION_PHASE1_REVIEW","MIGRATION_PRE_ENTRY"))),IF(LEFT(D165,1)="2","DECLINING_KEY_CORE",IF(LEFT(D165,1)="3",IF(R165="Established Buyer Lapsed","LAPSED_ESTABLISHED","LAPSED_THIN_HISTORY"),IF(LEFT(D165,1)="4",IF(Q165="New Customer","NEW_CUSTOMER","RETURNED_CUSTOMER"),IF(LEFT(D165,1)="5",IF(P165="Recently Active","COST_TO_SERVE_ACTIVE","DORMANT_LOW_VALUE"),IF(LEFT(D165,1)="6",IF(P165="Recent Inactivity","RECENT_INACTIVITY",IF(AG165,"BROWSING_LOW_OFFERS","HEALTHY_STRONG_SELF_SERVE")),IF(LEFT(D165,1)="7",IF(P165="Recent Inactivity","RECENT_INACTIVITY",IF(Q165="New Customer","NEW_CUSTOMER","RETURNED_CUSTOMER")),IF(LEFT(D165,1)="8",IF(G165="Declining",IF(T165="Engaged but shrinking (Key/Core)","ENGAGED_BUT_SHRINKING","DECLINING_KEY_CORE"),IF(R165="Established Buyer Lapsed","LAPSED_ESTABLISHED","LAPSED_THIN_HISTORY")),IF(S165,IF(P165&lt;&gt;"Recently Active","DORMANT_LOW_VALUE",IF(AG165,"BROWSING_LOW_OFFERS",IF(AH165,"RISING_TAIL","RISING_TAIL_EARLY"))),IF(AND(AG165,P165="Recently Active",OR(G165="Growing",G165="Stable",G165="H2 Active / No H1 GMV"),I165&gt;=Assumptions!$B$74),"BROWSING_LOW_OFFERS","LONG_TAIL_STANDARD"))))))))))</f>
        <v>LONG_TAIL_STANDARD</v>
      </c>
      <c r="AK165" s="2" t="str">
        <f aca="false">INDEX('NBA Library'!$B$4:$B$21,MATCH(AJ165,'NBA Library'!$A$4:$A$21,0))</f>
        <v>Automated Nurture</v>
      </c>
      <c r="AL165" s="2" t="str">
        <f aca="false">INDEX('NBA Library'!$C$4:$C$21,MATCH(AJ165,'NBA Library'!$A$4:$A$21,0))</f>
        <v>Automated</v>
      </c>
      <c r="AM165" s="2" t="str">
        <f aca="false">IF(AA165,"HOLD — Critical Data Issue",IF(Y165,"Human Sign-Off Required",IF(Z165="Manual Review","Human Review Required",IF(AND(AL165="Automated",OR(AE165,AND(OR(AK165="Discovery-to-Offer Enablement",AK165="Reinforce Successful Behaviour"),OR(AC165,AB165)))),"Human Review Required",IF(AL165="Human","Ready — Human",IF(AL165="Hybrid","Ready — Hybrid","Ready — Automated"))))))</f>
        <v>Ready — Automated</v>
      </c>
      <c r="AN165" s="2" t="str">
        <f aca="false">IF(AA165,"P0",IF(AND(AJ165="BROWSING_LOW_OFFERS",E165="Tail"),"P3",IF(AND(AM165="Human Review Required",INDEX('NBA Library'!$D$4:$D$21,MATCH(AJ165,'NBA Library'!$A$4:$A$21,0))="P4"),"P3",INDEX('NBA Library'!$D$4:$D$21,MATCH(AJ165,'NBA Library'!$A$4:$A$21,0)))))</f>
        <v>P4</v>
      </c>
      <c r="AO165" s="2" t="str">
        <f aca="false">E165&amp;" "&amp;C165&amp;" account ("&amp;B165&amp;"); "&amp;G165&amp;" momentum; "&amp;P165&amp;"; £"&amp;TEXT(H165,"#,##0")&amp;" 6m GMV. "&amp;INDEX('NBA Library'!$G$4:$G$21,MATCH(AJ165,'NBA Library'!$A$4:$A$21,0))&amp;IF(LEFT(D165,1)="1"," Baseline: "&amp;V165&amp;" PDP views, "&amp;W165&amp;" app days, "&amp;X165&amp;" offers, "&amp;TEXT(J165/I165,"0%")&amp;" of orders self-serve.","")&amp;IF(AA165," Execution on HOLD until the Duplicate status is resolved.","")&amp;IF(Y165," Key account: explicit AM/leadership sign-off required before any migration activity.","")&amp;IF(AE165," Implied broker % from order counts would move this account to a different segment; review before automating.","")</f>
        <v>Tail AM-Owned / Self-Serving account (Account Managed); Lapsed momentum; No Meaningful History; £230 6m GMV. Low-value, low-dependency account. Scalable automated engagement.</v>
      </c>
      <c r="AP165" s="2" t="str">
        <f aca="false">INDEX('NBA Library'!$E$4:$E$21,MATCH(AJ165,'NBA Library'!$A$4:$A$21,0))&amp;IF(AND(AJ165="NEW_CUSTOMER",AG165),"; introduce Make-an-Offer on items already browsed","")</f>
        <v>Scalable automated engagement matched to nurture sub-context</v>
      </c>
      <c r="AQ165" s="2" t="str">
        <f aca="false">INDEX('NBA Library'!$F$4:$F$21,MATCH(AJ165,'NBA Library'!$A$4:$A$21,0))</f>
        <v>Any repeat order within 90 days</v>
      </c>
      <c r="AR165" s="2" t="str">
        <f aca="false">IF(AND(F165="Low",OR(G165="Growing",G165="Stable"),P165="Recently Active",U165&lt;&gt;"Mixed",OR(AK165="Discovery-to-Offer Enablement",AK165="Reinforce Successful Behaviour"),AM165="Ready — Automated",OR(E165&lt;&gt;"Tail",S165)),"Range Expansion Test — trial "&amp;IF(U165="Bundle-only","handpick","bundles")&amp;" (experimental; not proven to lift GMV)","")</f>
        <v/>
      </c>
      <c r="AS165" s="2" t="str">
        <f aca="false">IF(AK165&lt;&gt;"Automated Nurture","",IF(AJ165="DORMANT_LOW_VALUE","Dormant",IF(AJ165="RISING_TAIL_EARLY","Rising tail – early pattern",IF(Q165="New Customer","New customer onboarding",IF(Q165="Returned Customer","Returned customer",IF(G165="Lapsed","Dormant",IF(T165="Engaged, not converting","Engaged, not converting",IF(T165="One-off low-touch buyer","One-off purchaser",IF(T165="Light-touch repeat buyer","Light-touch repeat buyer","Standard long tail")))))))))</f>
        <v>Dormant</v>
      </c>
      <c r="AT165" s="2" t="str">
        <f aca="false">IF(AA165,"CRITICAL_DATA_BLOCKER; ","")&amp;IF(Y165,"KEY_SIGNOFF; ","")&amp;IF(Z165="Manual Review","PHASE1_MANUAL_REVIEW; ","")&amp;IF(AND(LEFT(D165,1)="1",AZ165="Lumpy"),"LUMPY_CADENCE; ","")&amp;IF(AB165,"BORDERLINE_MOMENTUM; ","")&amp;IF(AC165,"FEB_SENSITIVE; ","")&amp;IF(AD165,"MATERIAL_BROKER_INCONSISTENCY"&amp;IF(AE165," (segment would change)","")&amp;"; ","")&amp;IF(AND(I165&gt;=3,O165&gt;0),IF(AI165&gt;=Assumptions!$B$75,"H2_SINGLE_MONTH_SPIKE; ",""),"")&amp;IF(AND(M165&gt;0,N165=0),"NO_FEB_GMV (Feb unconfirmed); ","")&amp;IF(AF165,"LOW_CONFIDENCE; ","")</f>
        <v>LOW_CONFIDENCE; </v>
      </c>
      <c r="AU165" s="2" t="str">
        <f aca="false">IF(LEFT(D165,1)="1",V165,"")</f>
        <v/>
      </c>
      <c r="AV165" s="2" t="str">
        <f aca="false">IF(LEFT(D165,1)="1",V165&gt;=Assumptions!$B$58,"")</f>
        <v/>
      </c>
      <c r="AW165" s="2" t="str">
        <f aca="false">IF(LEFT(D165,1)="1",W165,"")</f>
        <v/>
      </c>
      <c r="AX165" s="2" t="str">
        <f aca="false">IF(LEFT(D165,1)="1",X165,"")</f>
        <v/>
      </c>
      <c r="AY165" s="17" t="str">
        <f aca="false">IF(LEFT(D165,1)="1",J165/I165,"")</f>
        <v/>
      </c>
      <c r="AZ165" s="2" t="str">
        <f aca="false">IF(LEFT(D165,1)="1",IF(AND(K165&gt;=Assumptions!$B$83,I165&gt;=Assumptions!$B$84),"Regular","Lumpy"),"")</f>
        <v/>
      </c>
      <c r="BA165" s="2" t="str">
        <f aca="false">IF(LEFT(D165,1)="1",ROUND(6/K165,0),"")</f>
        <v/>
      </c>
      <c r="BB165" s="2" t="str">
        <f aca="false">IF(LEFT(D165,1)="1",IF(AZ165="Regular","Regular buyer: expected ~£"&amp;TEXT(H165/2,"#,##0")&amp;" per 90 days. At Risk if GMV to date &lt; "&amp;TEXT(Assumptions!$B$81,"0%")&amp;" of pro-rated expectation, checked from day "&amp;Assumptions!$B$82&amp;". Human-reviewed.","Irregular buyer ("&amp;I165&amp;" orders across "&amp;K165&amp;" months): no numeric GMV threshold. At Risk if no order within ~"&amp;BA165&amp;" month(s); AM reviews at day "&amp;Assumptions!$B$82&amp;" and "&amp;Assumptions!$B$85&amp;"."),"")</f>
        <v/>
      </c>
      <c r="BC165" s="2"/>
      <c r="BD165" s="2"/>
      <c r="BE165" s="2"/>
      <c r="BF165" s="2"/>
      <c r="BG165" s="2"/>
      <c r="BH165" s="2"/>
      <c r="BI165" s="2"/>
      <c r="BJ165" s="2" t="str">
        <f aca="false">IF(OR(NOT(LEFT(D165,1)="1"),BC165=""),"",IF(AZ165="Regular",AND(BC165&gt;=Assumptions!$B$82,N(BI165)&lt;Assumptions!$B$81*H165/180*BC165),AND(BC165&gt;=BA165*30,N(BG165)=0)))</f>
        <v/>
      </c>
      <c r="BK165" s="2" t="str">
        <f aca="false">IF(NOT(LEFT(D165,1)="1"),"N/A",IF(BC165="","Baseline",IF(BJ165,"At Risk",IF(AND(N(BD165)&gt;=Assumptions!$B$78,N(BE165)&gt;=Assumptions!$B$79,N(BH165)&gt;=1,N(BH165)/MAX(N(BG165),1)&gt;AY165),"Self-Serve Capability Demonstrated",IF(OR(N(BD165)&gt;=Assumptions!$B$76,N(BE165)&gt;=Assumptions!$B$77),"Progressing",IF(BC165&gt;=Assumptions!$B$85,"At Risk","Baseline"))))))</f>
        <v>N/A</v>
      </c>
      <c r="BL165" s="2" t="n">
        <f aca="false">(AND(C165="Broker-Reliant",OR(AK165="Discovery-to-Offer Enablement",AK165="Reinforce Successful Behaviour")))*1+(AND(G165="Declining",E165&lt;&gt;"Tail",AL165="Automated"))*1+(AND(Y165,AM165&lt;&gt;"Human Sign-Off Required"))*1+(AND(AA165,AM165&lt;&gt;"HOLD — Critical Data Issue"))*1+(AND(P165="Recent Inactivity",OR(AK165="Discovery-to-Offer Enablement",AK165="Reinforce Successful Behaviour")))*1+(AND(OR(LEFT(D165,1)="2",LEFT(D165,1)="3",LEFT(D165,1)="8"),AL165="Automated"))*1+((LEFT(D165,1)="1")&lt;&gt;(AK165="Guided Self-Serve Migration"))*1+(AND(AR165&lt;&gt;"",OR(F165&lt;&gt;"Low",U165="Mixed",AND(G165&lt;&gt;"Growing",G165&lt;&gt;"Stable"))))*1+ISNUMBER(SEARCH("chat",AP165))*1+ISNUMBER(SEARCH("video",AP165))*1+(AND(AA165,AL165="Automated",AM165&lt;&gt;"HOLD — Critical Data Issue"))*1</f>
        <v>0</v>
      </c>
    </row>
    <row r="166" customFormat="false" ht="15" hidden="false" customHeight="false" outlineLevel="0" collapsed="false">
      <c r="A166" s="2" t="s">
        <v>846</v>
      </c>
      <c r="B166" s="2" t="str">
        <f aca="false">INDEX(Segmentation!$B$2:$B$301,MATCH($A166,Segmentation!$A$2:$A$301,0))</f>
        <v>Account Managed</v>
      </c>
      <c r="C166" s="2" t="str">
        <f aca="false">INDEX(Segmentation!$H$2:$H$301,MATCH($A166,Segmentation!$A$2:$A$301,0))</f>
        <v>AM-Owned / Self-Serving</v>
      </c>
      <c r="D166" s="2" t="str">
        <f aca="false">INDEX(Segmentation!$T$2:$T$301,MATCH($A166,Segmentation!$A$2:$A$301,0))</f>
        <v>9. Long-Tail Automated Nurture</v>
      </c>
      <c r="E166" s="2" t="str">
        <f aca="false">INDEX(Segmentation!$J$2:$J$301,MATCH($A166,Segmentation!$A$2:$A$301,0))</f>
        <v>Tail</v>
      </c>
      <c r="F166" s="2" t="str">
        <f aca="false">INDEX(Segmentation!$G$2:$G$301,MATCH($A166,Segmentation!$A$2:$A$301,0))</f>
        <v>Low</v>
      </c>
      <c r="G166" s="2" t="str">
        <f aca="false">INDEX(Segmentation!$N$2:$N$301,MATCH($A166,Segmentation!$A$2:$A$301,0))</f>
        <v>Lapsed</v>
      </c>
      <c r="H166" s="9" t="n">
        <f aca="false">INDEX(Segmentation!$I$2:$I$301,MATCH($A166,Segmentation!$A$2:$A$301,0))</f>
        <v>222</v>
      </c>
      <c r="I166" s="2" t="n">
        <f aca="false">INDEX(Segmentation!$O$2:$O$301,MATCH($A166,Segmentation!$A$2:$A$301,0))</f>
        <v>2</v>
      </c>
      <c r="J166" s="2" t="n">
        <f aca="false">INDEX(Segmentation!$Q$2:$Q$301,MATCH($A166,Segmentation!$A$2:$A$301,0))</f>
        <v>2</v>
      </c>
      <c r="K166" s="2" t="n">
        <f aca="false">INDEX(Segmentation!$W$2:$W$301,MATCH($A166,Segmentation!$A$2:$A$301,0))</f>
        <v>2</v>
      </c>
      <c r="L166" s="9" t="n">
        <f aca="false">INDEX('Commercial View'!$L$2:$L$301,MATCH($A166,'Commercial View'!$A$2:$A$301,0))</f>
        <v>0</v>
      </c>
      <c r="M166" s="9" t="n">
        <f aca="false">INDEX('Commercial View'!$M$2:$M$301,MATCH($A166,'Commercial View'!$A$2:$A$301,0))</f>
        <v>0</v>
      </c>
      <c r="N166" s="9" t="n">
        <f aca="false">INDEX('Commercial View'!$N$2:$N$301,MATCH($A166,'Commercial View'!$A$2:$A$301,0))</f>
        <v>0</v>
      </c>
      <c r="O166" s="9" t="n">
        <f aca="false">INDEX(Segmentation!$L$2:$L$301,MATCH($A166,Segmentation!$A$2:$A$301,0))</f>
        <v>0</v>
      </c>
      <c r="P166" s="2" t="str">
        <f aca="false">IF(OR(M166&gt;0,N166&gt;0),"Recently Active",IF(OR(I166&lt;=Assumptions!$B$48,K166&lt;=Assumptions!$B$49),"No Meaningful History","Recent Inactivity"))</f>
        <v>No Meaningful History</v>
      </c>
      <c r="Q166" s="2" t="str">
        <f aca="false">INDEX(Segmentation!$AF$2:$AF$301,MATCH($A166,Segmentation!$A$2:$A$301,0))</f>
        <v>Existing Customer</v>
      </c>
      <c r="R166" s="2" t="str">
        <f aca="false">INDEX(Segmentation!$AL$2:$AL$301,MATCH($A166,Segmentation!$A$2:$A$301,0))</f>
        <v>One-Off / Insufficient History — Verify</v>
      </c>
      <c r="S166" s="10" t="b">
        <f aca="false">INDEX(Segmentation!$AW$2:$AW$301,MATCH($A166,Segmentation!$A$2:$A$301,0))</f>
        <v>0</v>
      </c>
      <c r="T166" s="2" t="str">
        <f aca="false">INDEX('Feature Data'!$AD$2:$AD$301,MATCH($A166,'Feature Data'!$A$2:$A$301,0))</f>
        <v>Engaged, not converting</v>
      </c>
      <c r="U166" s="2" t="str">
        <f aca="false">INDEX('Feature Data'!$W$2:$W$301,MATCH($A166,'Feature Data'!$A$2:$A$301,0))</f>
        <v>Mixed</v>
      </c>
      <c r="V166" s="2" t="n">
        <f aca="false">INDEX('Feature Data'!$P$2:$P$301,MATCH($A166,'Feature Data'!$A$2:$A$301,0))</f>
        <v>390</v>
      </c>
      <c r="W166" s="2" t="n">
        <f aca="false">INDEX(Segmentation!$R$2:$R$301,MATCH($A166,Segmentation!$A$2:$A$301,0))</f>
        <v>54</v>
      </c>
      <c r="X166" s="2" t="n">
        <f aca="false">INDEX(Segmentation!$S$2:$S$301,MATCH($A166,Segmentation!$A$2:$A$301,0))</f>
        <v>3</v>
      </c>
      <c r="Y166" s="10" t="b">
        <f aca="false">INDEX(Segmentation!$AG$2:$AG$301,MATCH($A166,Segmentation!$A$2:$A$301,0))</f>
        <v>0</v>
      </c>
      <c r="Z166" s="2" t="str">
        <f aca="false">INDEX(Segmentation!$AU$2:$AU$301,MATCH($A166,Segmentation!$A$2:$A$301,0))</f>
        <v>Not Eligible</v>
      </c>
      <c r="AA166" s="10" t="b">
        <f aca="false">INDEX(Segmentation!$Z$2:$Z$301,MATCH($A166,Segmentation!$A$2:$A$301,0))</f>
        <v>0</v>
      </c>
      <c r="AB166" s="10" t="b">
        <f aca="false">INDEX(Segmentation!$AH$2:$AH$301,MATCH($A166,Segmentation!$A$2:$A$301,0))</f>
        <v>0</v>
      </c>
      <c r="AC166" s="10" t="b">
        <f aca="false">INDEX(Segmentation!$AK$2:$AK$301,MATCH($A166,Segmentation!$A$2:$A$301,0))</f>
        <v>0</v>
      </c>
      <c r="AD166" s="10" t="b">
        <f aca="false">INDEX(Segmentation!$AQ$2:$AQ$301,MATCH($A166,Segmentation!$A$2:$A$301,0))</f>
        <v>0</v>
      </c>
      <c r="AE166" s="10" t="b">
        <f aca="false">INDEX(Segmentation!$AT$2:$AT$301,MATCH($A166,Segmentation!$A$2:$A$301,0))</f>
        <v>0</v>
      </c>
      <c r="AF166" s="10" t="b">
        <f aca="false">INDEX(Segmentation!$X$2:$X$301,MATCH($A166,Segmentation!$A$2:$A$301,0))</f>
        <v>1</v>
      </c>
      <c r="AG166" s="10" t="b">
        <f aca="false">AND(F166="Low",V166&gt;=Assumptions!$B$71,X166&lt;Assumptions!$B$72)</f>
        <v>0</v>
      </c>
      <c r="AH166" s="10" t="b">
        <f aca="false">AND(F166="Low",OR(G166="Growing",G166="Stable"),P166="Recently Active",V166&gt;=Assumptions!$B$58,K166&gt;=Assumptions!$B$73)</f>
        <v>0</v>
      </c>
      <c r="AI166" s="17" t="str">
        <f aca="false">IF(O166&gt;0,MAX(L166:N166)/O166,"")</f>
        <v/>
      </c>
      <c r="AJ166" s="2" t="str">
        <f aca="false">IF(LEFT(D166,1)="1",IF(E166="Key","MIGRATION_KEY_SIGNOFF",IF(Z166="Ready","MIGRATION_PHASE1_READY",IF(Z166="Manual Review","MIGRATION_PHASE1_REVIEW","MIGRATION_PRE_ENTRY"))),IF(LEFT(D166,1)="2","DECLINING_KEY_CORE",IF(LEFT(D166,1)="3",IF(R166="Established Buyer Lapsed","LAPSED_ESTABLISHED","LAPSED_THIN_HISTORY"),IF(LEFT(D166,1)="4",IF(Q166="New Customer","NEW_CUSTOMER","RETURNED_CUSTOMER"),IF(LEFT(D166,1)="5",IF(P166="Recently Active","COST_TO_SERVE_ACTIVE","DORMANT_LOW_VALUE"),IF(LEFT(D166,1)="6",IF(P166="Recent Inactivity","RECENT_INACTIVITY",IF(AG166,"BROWSING_LOW_OFFERS","HEALTHY_STRONG_SELF_SERVE")),IF(LEFT(D166,1)="7",IF(P166="Recent Inactivity","RECENT_INACTIVITY",IF(Q166="New Customer","NEW_CUSTOMER","RETURNED_CUSTOMER")),IF(LEFT(D166,1)="8",IF(G166="Declining",IF(T166="Engaged but shrinking (Key/Core)","ENGAGED_BUT_SHRINKING","DECLINING_KEY_CORE"),IF(R166="Established Buyer Lapsed","LAPSED_ESTABLISHED","LAPSED_THIN_HISTORY")),IF(S166,IF(P166&lt;&gt;"Recently Active","DORMANT_LOW_VALUE",IF(AG166,"BROWSING_LOW_OFFERS",IF(AH166,"RISING_TAIL","RISING_TAIL_EARLY"))),IF(AND(AG166,P166="Recently Active",OR(G166="Growing",G166="Stable",G166="H2 Active / No H1 GMV"),I166&gt;=Assumptions!$B$74),"BROWSING_LOW_OFFERS","LONG_TAIL_STANDARD"))))))))))</f>
        <v>LONG_TAIL_STANDARD</v>
      </c>
      <c r="AK166" s="2" t="str">
        <f aca="false">INDEX('NBA Library'!$B$4:$B$21,MATCH(AJ166,'NBA Library'!$A$4:$A$21,0))</f>
        <v>Automated Nurture</v>
      </c>
      <c r="AL166" s="2" t="str">
        <f aca="false">INDEX('NBA Library'!$C$4:$C$21,MATCH(AJ166,'NBA Library'!$A$4:$A$21,0))</f>
        <v>Automated</v>
      </c>
      <c r="AM166" s="2" t="str">
        <f aca="false">IF(AA166,"HOLD — Critical Data Issue",IF(Y166,"Human Sign-Off Required",IF(Z166="Manual Review","Human Review Required",IF(AND(AL166="Automated",OR(AE166,AND(OR(AK166="Discovery-to-Offer Enablement",AK166="Reinforce Successful Behaviour"),OR(AC166,AB166)))),"Human Review Required",IF(AL166="Human","Ready — Human",IF(AL166="Hybrid","Ready — Hybrid","Ready — Automated"))))))</f>
        <v>Ready — Automated</v>
      </c>
      <c r="AN166" s="2" t="str">
        <f aca="false">IF(AA166,"P0",IF(AND(AJ166="BROWSING_LOW_OFFERS",E166="Tail"),"P3",IF(AND(AM166="Human Review Required",INDEX('NBA Library'!$D$4:$D$21,MATCH(AJ166,'NBA Library'!$A$4:$A$21,0))="P4"),"P3",INDEX('NBA Library'!$D$4:$D$21,MATCH(AJ166,'NBA Library'!$A$4:$A$21,0)))))</f>
        <v>P4</v>
      </c>
      <c r="AO166" s="2" t="str">
        <f aca="false">E166&amp;" "&amp;C166&amp;" account ("&amp;B166&amp;"); "&amp;G166&amp;" momentum; "&amp;P166&amp;"; £"&amp;TEXT(H166,"#,##0")&amp;" 6m GMV. "&amp;INDEX('NBA Library'!$G$4:$G$21,MATCH(AJ166,'NBA Library'!$A$4:$A$21,0))&amp;IF(LEFT(D166,1)="1"," Baseline: "&amp;V166&amp;" PDP views, "&amp;W166&amp;" app days, "&amp;X166&amp;" offers, "&amp;TEXT(J166/I166,"0%")&amp;" of orders self-serve.","")&amp;IF(AA166," Execution on HOLD until the Duplicate status is resolved.","")&amp;IF(Y166," Key account: explicit AM/leadership sign-off required before any migration activity.","")&amp;IF(AE166," Implied broker % from order counts would move this account to a different segment; review before automating.","")</f>
        <v>Tail AM-Owned / Self-Serving account (Account Managed); Lapsed momentum; No Meaningful History; £222 6m GMV. Low-value, low-dependency account. Scalable automated engagement.</v>
      </c>
      <c r="AP166" s="2" t="str">
        <f aca="false">INDEX('NBA Library'!$E$4:$E$21,MATCH(AJ166,'NBA Library'!$A$4:$A$21,0))&amp;IF(AND(AJ166="NEW_CUSTOMER",AG166),"; introduce Make-an-Offer on items already browsed","")</f>
        <v>Scalable automated engagement matched to nurture sub-context</v>
      </c>
      <c r="AQ166" s="2" t="str">
        <f aca="false">INDEX('NBA Library'!$F$4:$F$21,MATCH(AJ166,'NBA Library'!$A$4:$A$21,0))</f>
        <v>Any repeat order within 90 days</v>
      </c>
      <c r="AR166" s="2" t="str">
        <f aca="false">IF(AND(F166="Low",OR(G166="Growing",G166="Stable"),P166="Recently Active",U166&lt;&gt;"Mixed",OR(AK166="Discovery-to-Offer Enablement",AK166="Reinforce Successful Behaviour"),AM166="Ready — Automated",OR(E166&lt;&gt;"Tail",S166)),"Range Expansion Test — trial "&amp;IF(U166="Bundle-only","handpick","bundles")&amp;" (experimental; not proven to lift GMV)","")</f>
        <v/>
      </c>
      <c r="AS166" s="2" t="str">
        <f aca="false">IF(AK166&lt;&gt;"Automated Nurture","",IF(AJ166="DORMANT_LOW_VALUE","Dormant",IF(AJ166="RISING_TAIL_EARLY","Rising tail – early pattern",IF(Q166="New Customer","New customer onboarding",IF(Q166="Returned Customer","Returned customer",IF(G166="Lapsed","Dormant",IF(T166="Engaged, not converting","Engaged, not converting",IF(T166="One-off low-touch buyer","One-off purchaser",IF(T166="Light-touch repeat buyer","Light-touch repeat buyer","Standard long tail")))))))))</f>
        <v>Dormant</v>
      </c>
      <c r="AT166" s="2" t="str">
        <f aca="false">IF(AA166,"CRITICAL_DATA_BLOCKER; ","")&amp;IF(Y166,"KEY_SIGNOFF; ","")&amp;IF(Z166="Manual Review","PHASE1_MANUAL_REVIEW; ","")&amp;IF(AND(LEFT(D166,1)="1",AZ166="Lumpy"),"LUMPY_CADENCE; ","")&amp;IF(AB166,"BORDERLINE_MOMENTUM; ","")&amp;IF(AC166,"FEB_SENSITIVE; ","")&amp;IF(AD166,"MATERIAL_BROKER_INCONSISTENCY"&amp;IF(AE166," (segment would change)","")&amp;"; ","")&amp;IF(AND(I166&gt;=3,O166&gt;0),IF(AI166&gt;=Assumptions!$B$75,"H2_SINGLE_MONTH_SPIKE; ",""),"")&amp;IF(AND(M166&gt;0,N166=0),"NO_FEB_GMV (Feb unconfirmed); ","")&amp;IF(AF166,"LOW_CONFIDENCE; ","")</f>
        <v>LOW_CONFIDENCE; </v>
      </c>
      <c r="AU166" s="2" t="str">
        <f aca="false">IF(LEFT(D166,1)="1",V166,"")</f>
        <v/>
      </c>
      <c r="AV166" s="2" t="str">
        <f aca="false">IF(LEFT(D166,1)="1",V166&gt;=Assumptions!$B$58,"")</f>
        <v/>
      </c>
      <c r="AW166" s="2" t="str">
        <f aca="false">IF(LEFT(D166,1)="1",W166,"")</f>
        <v/>
      </c>
      <c r="AX166" s="2" t="str">
        <f aca="false">IF(LEFT(D166,1)="1",X166,"")</f>
        <v/>
      </c>
      <c r="AY166" s="17" t="str">
        <f aca="false">IF(LEFT(D166,1)="1",J166/I166,"")</f>
        <v/>
      </c>
      <c r="AZ166" s="2" t="str">
        <f aca="false">IF(LEFT(D166,1)="1",IF(AND(K166&gt;=Assumptions!$B$83,I166&gt;=Assumptions!$B$84),"Regular","Lumpy"),"")</f>
        <v/>
      </c>
      <c r="BA166" s="2" t="str">
        <f aca="false">IF(LEFT(D166,1)="1",ROUND(6/K166,0),"")</f>
        <v/>
      </c>
      <c r="BB166" s="2" t="str">
        <f aca="false">IF(LEFT(D166,1)="1",IF(AZ166="Regular","Regular buyer: expected ~£"&amp;TEXT(H166/2,"#,##0")&amp;" per 90 days. At Risk if GMV to date &lt; "&amp;TEXT(Assumptions!$B$81,"0%")&amp;" of pro-rated expectation, checked from day "&amp;Assumptions!$B$82&amp;". Human-reviewed.","Irregular buyer ("&amp;I166&amp;" orders across "&amp;K166&amp;" months): no numeric GMV threshold. At Risk if no order within ~"&amp;BA166&amp;" month(s); AM reviews at day "&amp;Assumptions!$B$82&amp;" and "&amp;Assumptions!$B$85&amp;"."),"")</f>
        <v/>
      </c>
      <c r="BC166" s="2"/>
      <c r="BD166" s="2"/>
      <c r="BE166" s="2"/>
      <c r="BF166" s="2"/>
      <c r="BG166" s="2"/>
      <c r="BH166" s="2"/>
      <c r="BI166" s="2"/>
      <c r="BJ166" s="2" t="str">
        <f aca="false">IF(OR(NOT(LEFT(D166,1)="1"),BC166=""),"",IF(AZ166="Regular",AND(BC166&gt;=Assumptions!$B$82,N(BI166)&lt;Assumptions!$B$81*H166/180*BC166),AND(BC166&gt;=BA166*30,N(BG166)=0)))</f>
        <v/>
      </c>
      <c r="BK166" s="2" t="str">
        <f aca="false">IF(NOT(LEFT(D166,1)="1"),"N/A",IF(BC166="","Baseline",IF(BJ166,"At Risk",IF(AND(N(BD166)&gt;=Assumptions!$B$78,N(BE166)&gt;=Assumptions!$B$79,N(BH166)&gt;=1,N(BH166)/MAX(N(BG166),1)&gt;AY166),"Self-Serve Capability Demonstrated",IF(OR(N(BD166)&gt;=Assumptions!$B$76,N(BE166)&gt;=Assumptions!$B$77),"Progressing",IF(BC166&gt;=Assumptions!$B$85,"At Risk","Baseline"))))))</f>
        <v>N/A</v>
      </c>
      <c r="BL166" s="2" t="n">
        <f aca="false">(AND(C166="Broker-Reliant",OR(AK166="Discovery-to-Offer Enablement",AK166="Reinforce Successful Behaviour")))*1+(AND(G166="Declining",E166&lt;&gt;"Tail",AL166="Automated"))*1+(AND(Y166,AM166&lt;&gt;"Human Sign-Off Required"))*1+(AND(AA166,AM166&lt;&gt;"HOLD — Critical Data Issue"))*1+(AND(P166="Recent Inactivity",OR(AK166="Discovery-to-Offer Enablement",AK166="Reinforce Successful Behaviour")))*1+(AND(OR(LEFT(D166,1)="2",LEFT(D166,1)="3",LEFT(D166,1)="8"),AL166="Automated"))*1+((LEFT(D166,1)="1")&lt;&gt;(AK166="Guided Self-Serve Migration"))*1+(AND(AR166&lt;&gt;"",OR(F166&lt;&gt;"Low",U166="Mixed",AND(G166&lt;&gt;"Growing",G166&lt;&gt;"Stable"))))*1+ISNUMBER(SEARCH("chat",AP166))*1+ISNUMBER(SEARCH("video",AP166))*1+(AND(AA166,AL166="Automated",AM166&lt;&gt;"HOLD — Critical Data Issue"))*1</f>
        <v>0</v>
      </c>
    </row>
    <row r="167" customFormat="false" ht="15" hidden="false" customHeight="false" outlineLevel="0" collapsed="false">
      <c r="A167" s="2" t="s">
        <v>848</v>
      </c>
      <c r="B167" s="2" t="str">
        <f aca="false">INDEX(Segmentation!$B$2:$B$301,MATCH($A167,Segmentation!$A$2:$A$301,0))</f>
        <v>Account Managed</v>
      </c>
      <c r="C167" s="2" t="str">
        <f aca="false">INDEX(Segmentation!$H$2:$H$301,MATCH($A167,Segmentation!$A$2:$A$301,0))</f>
        <v>AM-Owned / Self-Serving</v>
      </c>
      <c r="D167" s="2" t="str">
        <f aca="false">INDEX(Segmentation!$T$2:$T$301,MATCH($A167,Segmentation!$A$2:$A$301,0))</f>
        <v>9. Long-Tail Automated Nurture</v>
      </c>
      <c r="E167" s="2" t="str">
        <f aca="false">INDEX(Segmentation!$J$2:$J$301,MATCH($A167,Segmentation!$A$2:$A$301,0))</f>
        <v>Tail</v>
      </c>
      <c r="F167" s="2" t="str">
        <f aca="false">INDEX(Segmentation!$G$2:$G$301,MATCH($A167,Segmentation!$A$2:$A$301,0))</f>
        <v>Low</v>
      </c>
      <c r="G167" s="2" t="str">
        <f aca="false">INDEX(Segmentation!$N$2:$N$301,MATCH($A167,Segmentation!$A$2:$A$301,0))</f>
        <v>Lapsed</v>
      </c>
      <c r="H167" s="9" t="n">
        <f aca="false">INDEX(Segmentation!$I$2:$I$301,MATCH($A167,Segmentation!$A$2:$A$301,0))</f>
        <v>217</v>
      </c>
      <c r="I167" s="2" t="n">
        <f aca="false">INDEX(Segmentation!$O$2:$O$301,MATCH($A167,Segmentation!$A$2:$A$301,0))</f>
        <v>2</v>
      </c>
      <c r="J167" s="2" t="n">
        <f aca="false">INDEX(Segmentation!$Q$2:$Q$301,MATCH($A167,Segmentation!$A$2:$A$301,0))</f>
        <v>2</v>
      </c>
      <c r="K167" s="2" t="n">
        <f aca="false">INDEX(Segmentation!$W$2:$W$301,MATCH($A167,Segmentation!$A$2:$A$301,0))</f>
        <v>2</v>
      </c>
      <c r="L167" s="9" t="n">
        <f aca="false">INDEX('Commercial View'!$L$2:$L$301,MATCH($A167,'Commercial View'!$A$2:$A$301,0))</f>
        <v>0</v>
      </c>
      <c r="M167" s="9" t="n">
        <f aca="false">INDEX('Commercial View'!$M$2:$M$301,MATCH($A167,'Commercial View'!$A$2:$A$301,0))</f>
        <v>0</v>
      </c>
      <c r="N167" s="9" t="n">
        <f aca="false">INDEX('Commercial View'!$N$2:$N$301,MATCH($A167,'Commercial View'!$A$2:$A$301,0))</f>
        <v>0</v>
      </c>
      <c r="O167" s="9" t="n">
        <f aca="false">INDEX(Segmentation!$L$2:$L$301,MATCH($A167,Segmentation!$A$2:$A$301,0))</f>
        <v>0</v>
      </c>
      <c r="P167" s="2" t="str">
        <f aca="false">IF(OR(M167&gt;0,N167&gt;0),"Recently Active",IF(OR(I167&lt;=Assumptions!$B$48,K167&lt;=Assumptions!$B$49),"No Meaningful History","Recent Inactivity"))</f>
        <v>No Meaningful History</v>
      </c>
      <c r="Q167" s="2" t="str">
        <f aca="false">INDEX(Segmentation!$AF$2:$AF$301,MATCH($A167,Segmentation!$A$2:$A$301,0))</f>
        <v>Existing Customer</v>
      </c>
      <c r="R167" s="2" t="str">
        <f aca="false">INDEX(Segmentation!$AL$2:$AL$301,MATCH($A167,Segmentation!$A$2:$A$301,0))</f>
        <v>One-Off / Insufficient History — Verify</v>
      </c>
      <c r="S167" s="10" t="b">
        <f aca="false">INDEX(Segmentation!$AW$2:$AW$301,MATCH($A167,Segmentation!$A$2:$A$301,0))</f>
        <v>0</v>
      </c>
      <c r="T167" s="2" t="str">
        <f aca="false">INDEX('Feature Data'!$AD$2:$AD$301,MATCH($A167,'Feature Data'!$A$2:$A$301,0))</f>
        <v>Light-touch repeat buyer</v>
      </c>
      <c r="U167" s="2" t="str">
        <f aca="false">INDEX('Feature Data'!$W$2:$W$301,MATCH($A167,'Feature Data'!$A$2:$A$301,0))</f>
        <v>Bundle-only</v>
      </c>
      <c r="V167" s="2" t="n">
        <f aca="false">INDEX('Feature Data'!$P$2:$P$301,MATCH($A167,'Feature Data'!$A$2:$A$301,0))</f>
        <v>68</v>
      </c>
      <c r="W167" s="2" t="n">
        <f aca="false">INDEX(Segmentation!$R$2:$R$301,MATCH($A167,Segmentation!$A$2:$A$301,0))</f>
        <v>7</v>
      </c>
      <c r="X167" s="2" t="n">
        <f aca="false">INDEX(Segmentation!$S$2:$S$301,MATCH($A167,Segmentation!$A$2:$A$301,0))</f>
        <v>0</v>
      </c>
      <c r="Y167" s="10" t="b">
        <f aca="false">INDEX(Segmentation!$AG$2:$AG$301,MATCH($A167,Segmentation!$A$2:$A$301,0))</f>
        <v>0</v>
      </c>
      <c r="Z167" s="2" t="str">
        <f aca="false">INDEX(Segmentation!$AU$2:$AU$301,MATCH($A167,Segmentation!$A$2:$A$301,0))</f>
        <v>Not Eligible</v>
      </c>
      <c r="AA167" s="10" t="b">
        <f aca="false">INDEX(Segmentation!$Z$2:$Z$301,MATCH($A167,Segmentation!$A$2:$A$301,0))</f>
        <v>0</v>
      </c>
      <c r="AB167" s="10" t="b">
        <f aca="false">INDEX(Segmentation!$AH$2:$AH$301,MATCH($A167,Segmentation!$A$2:$A$301,0))</f>
        <v>0</v>
      </c>
      <c r="AC167" s="10" t="b">
        <f aca="false">INDEX(Segmentation!$AK$2:$AK$301,MATCH($A167,Segmentation!$A$2:$A$301,0))</f>
        <v>0</v>
      </c>
      <c r="AD167" s="10" t="b">
        <f aca="false">INDEX(Segmentation!$AQ$2:$AQ$301,MATCH($A167,Segmentation!$A$2:$A$301,0))</f>
        <v>0</v>
      </c>
      <c r="AE167" s="10" t="b">
        <f aca="false">INDEX(Segmentation!$AT$2:$AT$301,MATCH($A167,Segmentation!$A$2:$A$301,0))</f>
        <v>0</v>
      </c>
      <c r="AF167" s="10" t="b">
        <f aca="false">INDEX(Segmentation!$X$2:$X$301,MATCH($A167,Segmentation!$A$2:$A$301,0))</f>
        <v>1</v>
      </c>
      <c r="AG167" s="10" t="b">
        <f aca="false">AND(F167="Low",V167&gt;=Assumptions!$B$71,X167&lt;Assumptions!$B$72)</f>
        <v>1</v>
      </c>
      <c r="AH167" s="10" t="b">
        <f aca="false">AND(F167="Low",OR(G167="Growing",G167="Stable"),P167="Recently Active",V167&gt;=Assumptions!$B$58,K167&gt;=Assumptions!$B$73)</f>
        <v>0</v>
      </c>
      <c r="AI167" s="17" t="str">
        <f aca="false">IF(O167&gt;0,MAX(L167:N167)/O167,"")</f>
        <v/>
      </c>
      <c r="AJ167" s="2" t="str">
        <f aca="false">IF(LEFT(D167,1)="1",IF(E167="Key","MIGRATION_KEY_SIGNOFF",IF(Z167="Ready","MIGRATION_PHASE1_READY",IF(Z167="Manual Review","MIGRATION_PHASE1_REVIEW","MIGRATION_PRE_ENTRY"))),IF(LEFT(D167,1)="2","DECLINING_KEY_CORE",IF(LEFT(D167,1)="3",IF(R167="Established Buyer Lapsed","LAPSED_ESTABLISHED","LAPSED_THIN_HISTORY"),IF(LEFT(D167,1)="4",IF(Q167="New Customer","NEW_CUSTOMER","RETURNED_CUSTOMER"),IF(LEFT(D167,1)="5",IF(P167="Recently Active","COST_TO_SERVE_ACTIVE","DORMANT_LOW_VALUE"),IF(LEFT(D167,1)="6",IF(P167="Recent Inactivity","RECENT_INACTIVITY",IF(AG167,"BROWSING_LOW_OFFERS","HEALTHY_STRONG_SELF_SERVE")),IF(LEFT(D167,1)="7",IF(P167="Recent Inactivity","RECENT_INACTIVITY",IF(Q167="New Customer","NEW_CUSTOMER","RETURNED_CUSTOMER")),IF(LEFT(D167,1)="8",IF(G167="Declining",IF(T167="Engaged but shrinking (Key/Core)","ENGAGED_BUT_SHRINKING","DECLINING_KEY_CORE"),IF(R167="Established Buyer Lapsed","LAPSED_ESTABLISHED","LAPSED_THIN_HISTORY")),IF(S167,IF(P167&lt;&gt;"Recently Active","DORMANT_LOW_VALUE",IF(AG167,"BROWSING_LOW_OFFERS",IF(AH167,"RISING_TAIL","RISING_TAIL_EARLY"))),IF(AND(AG167,P167="Recently Active",OR(G167="Growing",G167="Stable",G167="H2 Active / No H1 GMV"),I167&gt;=Assumptions!$B$74),"BROWSING_LOW_OFFERS","LONG_TAIL_STANDARD"))))))))))</f>
        <v>LONG_TAIL_STANDARD</v>
      </c>
      <c r="AK167" s="2" t="str">
        <f aca="false">INDEX('NBA Library'!$B$4:$B$21,MATCH(AJ167,'NBA Library'!$A$4:$A$21,0))</f>
        <v>Automated Nurture</v>
      </c>
      <c r="AL167" s="2" t="str">
        <f aca="false">INDEX('NBA Library'!$C$4:$C$21,MATCH(AJ167,'NBA Library'!$A$4:$A$21,0))</f>
        <v>Automated</v>
      </c>
      <c r="AM167" s="2" t="str">
        <f aca="false">IF(AA167,"HOLD — Critical Data Issue",IF(Y167,"Human Sign-Off Required",IF(Z167="Manual Review","Human Review Required",IF(AND(AL167="Automated",OR(AE167,AND(OR(AK167="Discovery-to-Offer Enablement",AK167="Reinforce Successful Behaviour"),OR(AC167,AB167)))),"Human Review Required",IF(AL167="Human","Ready — Human",IF(AL167="Hybrid","Ready — Hybrid","Ready — Automated"))))))</f>
        <v>Ready — Automated</v>
      </c>
      <c r="AN167" s="2" t="str">
        <f aca="false">IF(AA167,"P0",IF(AND(AJ167="BROWSING_LOW_OFFERS",E167="Tail"),"P3",IF(AND(AM167="Human Review Required",INDEX('NBA Library'!$D$4:$D$21,MATCH(AJ167,'NBA Library'!$A$4:$A$21,0))="P4"),"P3",INDEX('NBA Library'!$D$4:$D$21,MATCH(AJ167,'NBA Library'!$A$4:$A$21,0)))))</f>
        <v>P4</v>
      </c>
      <c r="AO167" s="2" t="str">
        <f aca="false">E167&amp;" "&amp;C167&amp;" account ("&amp;B167&amp;"); "&amp;G167&amp;" momentum; "&amp;P167&amp;"; £"&amp;TEXT(H167,"#,##0")&amp;" 6m GMV. "&amp;INDEX('NBA Library'!$G$4:$G$21,MATCH(AJ167,'NBA Library'!$A$4:$A$21,0))&amp;IF(LEFT(D167,1)="1"," Baseline: "&amp;V167&amp;" PDP views, "&amp;W167&amp;" app days, "&amp;X167&amp;" offers, "&amp;TEXT(J167/I167,"0%")&amp;" of orders self-serve.","")&amp;IF(AA167," Execution on HOLD until the Duplicate status is resolved.","")&amp;IF(Y167," Key account: explicit AM/leadership sign-off required before any migration activity.","")&amp;IF(AE167," Implied broker % from order counts would move this account to a different segment; review before automating.","")</f>
        <v>Tail AM-Owned / Self-Serving account (Account Managed); Lapsed momentum; No Meaningful History; £217 6m GMV. Low-value, low-dependency account. Scalable automated engagement.</v>
      </c>
      <c r="AP167" s="2" t="str">
        <f aca="false">INDEX('NBA Library'!$E$4:$E$21,MATCH(AJ167,'NBA Library'!$A$4:$A$21,0))&amp;IF(AND(AJ167="NEW_CUSTOMER",AG167),"; introduce Make-an-Offer on items already browsed","")</f>
        <v>Scalable automated engagement matched to nurture sub-context</v>
      </c>
      <c r="AQ167" s="2" t="str">
        <f aca="false">INDEX('NBA Library'!$F$4:$F$21,MATCH(AJ167,'NBA Library'!$A$4:$A$21,0))</f>
        <v>Any repeat order within 90 days</v>
      </c>
      <c r="AR167" s="2" t="str">
        <f aca="false">IF(AND(F167="Low",OR(G167="Growing",G167="Stable"),P167="Recently Active",U167&lt;&gt;"Mixed",OR(AK167="Discovery-to-Offer Enablement",AK167="Reinforce Successful Behaviour"),AM167="Ready — Automated",OR(E167&lt;&gt;"Tail",S167)),"Range Expansion Test — trial "&amp;IF(U167="Bundle-only","handpick","bundles")&amp;" (experimental; not proven to lift GMV)","")</f>
        <v/>
      </c>
      <c r="AS167" s="2" t="str">
        <f aca="false">IF(AK167&lt;&gt;"Automated Nurture","",IF(AJ167="DORMANT_LOW_VALUE","Dormant",IF(AJ167="RISING_TAIL_EARLY","Rising tail – early pattern",IF(Q167="New Customer","New customer onboarding",IF(Q167="Returned Customer","Returned customer",IF(G167="Lapsed","Dormant",IF(T167="Engaged, not converting","Engaged, not converting",IF(T167="One-off low-touch buyer","One-off purchaser",IF(T167="Light-touch repeat buyer","Light-touch repeat buyer","Standard long tail")))))))))</f>
        <v>Dormant</v>
      </c>
      <c r="AT167" s="2" t="str">
        <f aca="false">IF(AA167,"CRITICAL_DATA_BLOCKER; ","")&amp;IF(Y167,"KEY_SIGNOFF; ","")&amp;IF(Z167="Manual Review","PHASE1_MANUAL_REVIEW; ","")&amp;IF(AND(LEFT(D167,1)="1",AZ167="Lumpy"),"LUMPY_CADENCE; ","")&amp;IF(AB167,"BORDERLINE_MOMENTUM; ","")&amp;IF(AC167,"FEB_SENSITIVE; ","")&amp;IF(AD167,"MATERIAL_BROKER_INCONSISTENCY"&amp;IF(AE167," (segment would change)","")&amp;"; ","")&amp;IF(AND(I167&gt;=3,O167&gt;0),IF(AI167&gt;=Assumptions!$B$75,"H2_SINGLE_MONTH_SPIKE; ",""),"")&amp;IF(AND(M167&gt;0,N167=0),"NO_FEB_GMV (Feb unconfirmed); ","")&amp;IF(AF167,"LOW_CONFIDENCE; ","")</f>
        <v>LOW_CONFIDENCE; </v>
      </c>
      <c r="AU167" s="2" t="str">
        <f aca="false">IF(LEFT(D167,1)="1",V167,"")</f>
        <v/>
      </c>
      <c r="AV167" s="2" t="str">
        <f aca="false">IF(LEFT(D167,1)="1",V167&gt;=Assumptions!$B$58,"")</f>
        <v/>
      </c>
      <c r="AW167" s="2" t="str">
        <f aca="false">IF(LEFT(D167,1)="1",W167,"")</f>
        <v/>
      </c>
      <c r="AX167" s="2" t="str">
        <f aca="false">IF(LEFT(D167,1)="1",X167,"")</f>
        <v/>
      </c>
      <c r="AY167" s="17" t="str">
        <f aca="false">IF(LEFT(D167,1)="1",J167/I167,"")</f>
        <v/>
      </c>
      <c r="AZ167" s="2" t="str">
        <f aca="false">IF(LEFT(D167,1)="1",IF(AND(K167&gt;=Assumptions!$B$83,I167&gt;=Assumptions!$B$84),"Regular","Lumpy"),"")</f>
        <v/>
      </c>
      <c r="BA167" s="2" t="str">
        <f aca="false">IF(LEFT(D167,1)="1",ROUND(6/K167,0),"")</f>
        <v/>
      </c>
      <c r="BB167" s="2" t="str">
        <f aca="false">IF(LEFT(D167,1)="1",IF(AZ167="Regular","Regular buyer: expected ~£"&amp;TEXT(H167/2,"#,##0")&amp;" per 90 days. At Risk if GMV to date &lt; "&amp;TEXT(Assumptions!$B$81,"0%")&amp;" of pro-rated expectation, checked from day "&amp;Assumptions!$B$82&amp;". Human-reviewed.","Irregular buyer ("&amp;I167&amp;" orders across "&amp;K167&amp;" months): no numeric GMV threshold. At Risk if no order within ~"&amp;BA167&amp;" month(s); AM reviews at day "&amp;Assumptions!$B$82&amp;" and "&amp;Assumptions!$B$85&amp;"."),"")</f>
        <v/>
      </c>
      <c r="BC167" s="2"/>
      <c r="BD167" s="2"/>
      <c r="BE167" s="2"/>
      <c r="BF167" s="2"/>
      <c r="BG167" s="2"/>
      <c r="BH167" s="2"/>
      <c r="BI167" s="2"/>
      <c r="BJ167" s="2" t="str">
        <f aca="false">IF(OR(NOT(LEFT(D167,1)="1"),BC167=""),"",IF(AZ167="Regular",AND(BC167&gt;=Assumptions!$B$82,N(BI167)&lt;Assumptions!$B$81*H167/180*BC167),AND(BC167&gt;=BA167*30,N(BG167)=0)))</f>
        <v/>
      </c>
      <c r="BK167" s="2" t="str">
        <f aca="false">IF(NOT(LEFT(D167,1)="1"),"N/A",IF(BC167="","Baseline",IF(BJ167,"At Risk",IF(AND(N(BD167)&gt;=Assumptions!$B$78,N(BE167)&gt;=Assumptions!$B$79,N(BH167)&gt;=1,N(BH167)/MAX(N(BG167),1)&gt;AY167),"Self-Serve Capability Demonstrated",IF(OR(N(BD167)&gt;=Assumptions!$B$76,N(BE167)&gt;=Assumptions!$B$77),"Progressing",IF(BC167&gt;=Assumptions!$B$85,"At Risk","Baseline"))))))</f>
        <v>N/A</v>
      </c>
      <c r="BL167" s="2" t="n">
        <f aca="false">(AND(C167="Broker-Reliant",OR(AK167="Discovery-to-Offer Enablement",AK167="Reinforce Successful Behaviour")))*1+(AND(G167="Declining",E167&lt;&gt;"Tail",AL167="Automated"))*1+(AND(Y167,AM167&lt;&gt;"Human Sign-Off Required"))*1+(AND(AA167,AM167&lt;&gt;"HOLD — Critical Data Issue"))*1+(AND(P167="Recent Inactivity",OR(AK167="Discovery-to-Offer Enablement",AK167="Reinforce Successful Behaviour")))*1+(AND(OR(LEFT(D167,1)="2",LEFT(D167,1)="3",LEFT(D167,1)="8"),AL167="Automated"))*1+((LEFT(D167,1)="1")&lt;&gt;(AK167="Guided Self-Serve Migration"))*1+(AND(AR167&lt;&gt;"",OR(F167&lt;&gt;"Low",U167="Mixed",AND(G167&lt;&gt;"Growing",G167&lt;&gt;"Stable"))))*1+ISNUMBER(SEARCH("chat",AP167))*1+ISNUMBER(SEARCH("video",AP167))*1+(AND(AA167,AL167="Automated",AM167&lt;&gt;"HOLD — Critical Data Issue"))*1</f>
        <v>0</v>
      </c>
    </row>
    <row r="168" customFormat="false" ht="15" hidden="false" customHeight="false" outlineLevel="0" collapsed="false">
      <c r="A168" s="2" t="s">
        <v>858</v>
      </c>
      <c r="B168" s="2" t="str">
        <f aca="false">INDEX(Segmentation!$B$2:$B$301,MATCH($A168,Segmentation!$A$2:$A$301,0))</f>
        <v>Account Managed</v>
      </c>
      <c r="C168" s="2" t="str">
        <f aca="false">INDEX(Segmentation!$H$2:$H$301,MATCH($A168,Segmentation!$A$2:$A$301,0))</f>
        <v>AM-Owned / Self-Serving</v>
      </c>
      <c r="D168" s="2" t="str">
        <f aca="false">INDEX(Segmentation!$T$2:$T$301,MATCH($A168,Segmentation!$A$2:$A$301,0))</f>
        <v>9. Long-Tail Automated Nurture</v>
      </c>
      <c r="E168" s="2" t="str">
        <f aca="false">INDEX(Segmentation!$J$2:$J$301,MATCH($A168,Segmentation!$A$2:$A$301,0))</f>
        <v>Tail</v>
      </c>
      <c r="F168" s="2" t="str">
        <f aca="false">INDEX(Segmentation!$G$2:$G$301,MATCH($A168,Segmentation!$A$2:$A$301,0))</f>
        <v>Low</v>
      </c>
      <c r="G168" s="2" t="str">
        <f aca="false">INDEX(Segmentation!$N$2:$N$301,MATCH($A168,Segmentation!$A$2:$A$301,0))</f>
        <v>Lapsed</v>
      </c>
      <c r="H168" s="9" t="n">
        <f aca="false">INDEX(Segmentation!$I$2:$I$301,MATCH($A168,Segmentation!$A$2:$A$301,0))</f>
        <v>209</v>
      </c>
      <c r="I168" s="2" t="n">
        <f aca="false">INDEX(Segmentation!$O$2:$O$301,MATCH($A168,Segmentation!$A$2:$A$301,0))</f>
        <v>1</v>
      </c>
      <c r="J168" s="2" t="n">
        <f aca="false">INDEX(Segmentation!$Q$2:$Q$301,MATCH($A168,Segmentation!$A$2:$A$301,0))</f>
        <v>1</v>
      </c>
      <c r="K168" s="2" t="n">
        <f aca="false">INDEX(Segmentation!$W$2:$W$301,MATCH($A168,Segmentation!$A$2:$A$301,0))</f>
        <v>1</v>
      </c>
      <c r="L168" s="9" t="n">
        <f aca="false">INDEX('Commercial View'!$L$2:$L$301,MATCH($A168,'Commercial View'!$A$2:$A$301,0))</f>
        <v>0</v>
      </c>
      <c r="M168" s="9" t="n">
        <f aca="false">INDEX('Commercial View'!$M$2:$M$301,MATCH($A168,'Commercial View'!$A$2:$A$301,0))</f>
        <v>0</v>
      </c>
      <c r="N168" s="9" t="n">
        <f aca="false">INDEX('Commercial View'!$N$2:$N$301,MATCH($A168,'Commercial View'!$A$2:$A$301,0))</f>
        <v>0</v>
      </c>
      <c r="O168" s="9" t="n">
        <f aca="false">INDEX(Segmentation!$L$2:$L$301,MATCH($A168,Segmentation!$A$2:$A$301,0))</f>
        <v>0</v>
      </c>
      <c r="P168" s="2" t="str">
        <f aca="false">IF(OR(M168&gt;0,N168&gt;0),"Recently Active",IF(OR(I168&lt;=Assumptions!$B$48,K168&lt;=Assumptions!$B$49),"No Meaningful History","Recent Inactivity"))</f>
        <v>No Meaningful History</v>
      </c>
      <c r="Q168" s="2" t="str">
        <f aca="false">INDEX(Segmentation!$AF$2:$AF$301,MATCH($A168,Segmentation!$A$2:$A$301,0))</f>
        <v>Existing Customer</v>
      </c>
      <c r="R168" s="2" t="str">
        <f aca="false">INDEX(Segmentation!$AL$2:$AL$301,MATCH($A168,Segmentation!$A$2:$A$301,0))</f>
        <v>One-Off / Insufficient History — Verify</v>
      </c>
      <c r="S168" s="10" t="b">
        <f aca="false">INDEX(Segmentation!$AW$2:$AW$301,MATCH($A168,Segmentation!$A$2:$A$301,0))</f>
        <v>0</v>
      </c>
      <c r="T168" s="2" t="str">
        <f aca="false">INDEX('Feature Data'!$AD$2:$AD$301,MATCH($A168,'Feature Data'!$A$2:$A$301,0))</f>
        <v>One-off low-touch buyer</v>
      </c>
      <c r="U168" s="2" t="str">
        <f aca="false">INDEX('Feature Data'!$W$2:$W$301,MATCH($A168,'Feature Data'!$A$2:$A$301,0))</f>
        <v>Bundle-only</v>
      </c>
      <c r="V168" s="2" t="n">
        <f aca="false">INDEX('Feature Data'!$P$2:$P$301,MATCH($A168,'Feature Data'!$A$2:$A$301,0))</f>
        <v>76</v>
      </c>
      <c r="W168" s="2" t="n">
        <f aca="false">INDEX(Segmentation!$R$2:$R$301,MATCH($A168,Segmentation!$A$2:$A$301,0))</f>
        <v>9</v>
      </c>
      <c r="X168" s="2" t="n">
        <f aca="false">INDEX(Segmentation!$S$2:$S$301,MATCH($A168,Segmentation!$A$2:$A$301,0))</f>
        <v>5</v>
      </c>
      <c r="Y168" s="10" t="b">
        <f aca="false">INDEX(Segmentation!$AG$2:$AG$301,MATCH($A168,Segmentation!$A$2:$A$301,0))</f>
        <v>0</v>
      </c>
      <c r="Z168" s="2" t="str">
        <f aca="false">INDEX(Segmentation!$AU$2:$AU$301,MATCH($A168,Segmentation!$A$2:$A$301,0))</f>
        <v>Not Eligible</v>
      </c>
      <c r="AA168" s="10" t="b">
        <f aca="false">INDEX(Segmentation!$Z$2:$Z$301,MATCH($A168,Segmentation!$A$2:$A$301,0))</f>
        <v>0</v>
      </c>
      <c r="AB168" s="10" t="b">
        <f aca="false">INDEX(Segmentation!$AH$2:$AH$301,MATCH($A168,Segmentation!$A$2:$A$301,0))</f>
        <v>0</v>
      </c>
      <c r="AC168" s="10" t="b">
        <f aca="false">INDEX(Segmentation!$AK$2:$AK$301,MATCH($A168,Segmentation!$A$2:$A$301,0))</f>
        <v>0</v>
      </c>
      <c r="AD168" s="10" t="b">
        <f aca="false">INDEX(Segmentation!$AQ$2:$AQ$301,MATCH($A168,Segmentation!$A$2:$A$301,0))</f>
        <v>0</v>
      </c>
      <c r="AE168" s="10" t="b">
        <f aca="false">INDEX(Segmentation!$AT$2:$AT$301,MATCH($A168,Segmentation!$A$2:$A$301,0))</f>
        <v>0</v>
      </c>
      <c r="AF168" s="10" t="b">
        <f aca="false">INDEX(Segmentation!$X$2:$X$301,MATCH($A168,Segmentation!$A$2:$A$301,0))</f>
        <v>1</v>
      </c>
      <c r="AG168" s="10" t="b">
        <f aca="false">AND(F168="Low",V168&gt;=Assumptions!$B$71,X168&lt;Assumptions!$B$72)</f>
        <v>0</v>
      </c>
      <c r="AH168" s="10" t="b">
        <f aca="false">AND(F168="Low",OR(G168="Growing",G168="Stable"),P168="Recently Active",V168&gt;=Assumptions!$B$58,K168&gt;=Assumptions!$B$73)</f>
        <v>0</v>
      </c>
      <c r="AI168" s="17" t="str">
        <f aca="false">IF(O168&gt;0,MAX(L168:N168)/O168,"")</f>
        <v/>
      </c>
      <c r="AJ168" s="2" t="str">
        <f aca="false">IF(LEFT(D168,1)="1",IF(E168="Key","MIGRATION_KEY_SIGNOFF",IF(Z168="Ready","MIGRATION_PHASE1_READY",IF(Z168="Manual Review","MIGRATION_PHASE1_REVIEW","MIGRATION_PRE_ENTRY"))),IF(LEFT(D168,1)="2","DECLINING_KEY_CORE",IF(LEFT(D168,1)="3",IF(R168="Established Buyer Lapsed","LAPSED_ESTABLISHED","LAPSED_THIN_HISTORY"),IF(LEFT(D168,1)="4",IF(Q168="New Customer","NEW_CUSTOMER","RETURNED_CUSTOMER"),IF(LEFT(D168,1)="5",IF(P168="Recently Active","COST_TO_SERVE_ACTIVE","DORMANT_LOW_VALUE"),IF(LEFT(D168,1)="6",IF(P168="Recent Inactivity","RECENT_INACTIVITY",IF(AG168,"BROWSING_LOW_OFFERS","HEALTHY_STRONG_SELF_SERVE")),IF(LEFT(D168,1)="7",IF(P168="Recent Inactivity","RECENT_INACTIVITY",IF(Q168="New Customer","NEW_CUSTOMER","RETURNED_CUSTOMER")),IF(LEFT(D168,1)="8",IF(G168="Declining",IF(T168="Engaged but shrinking (Key/Core)","ENGAGED_BUT_SHRINKING","DECLINING_KEY_CORE"),IF(R168="Established Buyer Lapsed","LAPSED_ESTABLISHED","LAPSED_THIN_HISTORY")),IF(S168,IF(P168&lt;&gt;"Recently Active","DORMANT_LOW_VALUE",IF(AG168,"BROWSING_LOW_OFFERS",IF(AH168,"RISING_TAIL","RISING_TAIL_EARLY"))),IF(AND(AG168,P168="Recently Active",OR(G168="Growing",G168="Stable",G168="H2 Active / No H1 GMV"),I168&gt;=Assumptions!$B$74),"BROWSING_LOW_OFFERS","LONG_TAIL_STANDARD"))))))))))</f>
        <v>LONG_TAIL_STANDARD</v>
      </c>
      <c r="AK168" s="2" t="str">
        <f aca="false">INDEX('NBA Library'!$B$4:$B$21,MATCH(AJ168,'NBA Library'!$A$4:$A$21,0))</f>
        <v>Automated Nurture</v>
      </c>
      <c r="AL168" s="2" t="str">
        <f aca="false">INDEX('NBA Library'!$C$4:$C$21,MATCH(AJ168,'NBA Library'!$A$4:$A$21,0))</f>
        <v>Automated</v>
      </c>
      <c r="AM168" s="2" t="str">
        <f aca="false">IF(AA168,"HOLD — Critical Data Issue",IF(Y168,"Human Sign-Off Required",IF(Z168="Manual Review","Human Review Required",IF(AND(AL168="Automated",OR(AE168,AND(OR(AK168="Discovery-to-Offer Enablement",AK168="Reinforce Successful Behaviour"),OR(AC168,AB168)))),"Human Review Required",IF(AL168="Human","Ready — Human",IF(AL168="Hybrid","Ready — Hybrid","Ready — Automated"))))))</f>
        <v>Ready — Automated</v>
      </c>
      <c r="AN168" s="2" t="str">
        <f aca="false">IF(AA168,"P0",IF(AND(AJ168="BROWSING_LOW_OFFERS",E168="Tail"),"P3",IF(AND(AM168="Human Review Required",INDEX('NBA Library'!$D$4:$D$21,MATCH(AJ168,'NBA Library'!$A$4:$A$21,0))="P4"),"P3",INDEX('NBA Library'!$D$4:$D$21,MATCH(AJ168,'NBA Library'!$A$4:$A$21,0)))))</f>
        <v>P4</v>
      </c>
      <c r="AO168" s="2" t="str">
        <f aca="false">E168&amp;" "&amp;C168&amp;" account ("&amp;B168&amp;"); "&amp;G168&amp;" momentum; "&amp;P168&amp;"; £"&amp;TEXT(H168,"#,##0")&amp;" 6m GMV. "&amp;INDEX('NBA Library'!$G$4:$G$21,MATCH(AJ168,'NBA Library'!$A$4:$A$21,0))&amp;IF(LEFT(D168,1)="1"," Baseline: "&amp;V168&amp;" PDP views, "&amp;W168&amp;" app days, "&amp;X168&amp;" offers, "&amp;TEXT(J168/I168,"0%")&amp;" of orders self-serve.","")&amp;IF(AA168," Execution on HOLD until the Duplicate status is resolved.","")&amp;IF(Y168," Key account: explicit AM/leadership sign-off required before any migration activity.","")&amp;IF(AE168," Implied broker % from order counts would move this account to a different segment; review before automating.","")</f>
        <v>Tail AM-Owned / Self-Serving account (Account Managed); Lapsed momentum; No Meaningful History; £209 6m GMV. Low-value, low-dependency account. Scalable automated engagement.</v>
      </c>
      <c r="AP168" s="2" t="str">
        <f aca="false">INDEX('NBA Library'!$E$4:$E$21,MATCH(AJ168,'NBA Library'!$A$4:$A$21,0))&amp;IF(AND(AJ168="NEW_CUSTOMER",AG168),"; introduce Make-an-Offer on items already browsed","")</f>
        <v>Scalable automated engagement matched to nurture sub-context</v>
      </c>
      <c r="AQ168" s="2" t="str">
        <f aca="false">INDEX('NBA Library'!$F$4:$F$21,MATCH(AJ168,'NBA Library'!$A$4:$A$21,0))</f>
        <v>Any repeat order within 90 days</v>
      </c>
      <c r="AR168" s="2" t="str">
        <f aca="false">IF(AND(F168="Low",OR(G168="Growing",G168="Stable"),P168="Recently Active",U168&lt;&gt;"Mixed",OR(AK168="Discovery-to-Offer Enablement",AK168="Reinforce Successful Behaviour"),AM168="Ready — Automated",OR(E168&lt;&gt;"Tail",S168)),"Range Expansion Test — trial "&amp;IF(U168="Bundle-only","handpick","bundles")&amp;" (experimental; not proven to lift GMV)","")</f>
        <v/>
      </c>
      <c r="AS168" s="2" t="str">
        <f aca="false">IF(AK168&lt;&gt;"Automated Nurture","",IF(AJ168="DORMANT_LOW_VALUE","Dormant",IF(AJ168="RISING_TAIL_EARLY","Rising tail – early pattern",IF(Q168="New Customer","New customer onboarding",IF(Q168="Returned Customer","Returned customer",IF(G168="Lapsed","Dormant",IF(T168="Engaged, not converting","Engaged, not converting",IF(T168="One-off low-touch buyer","One-off purchaser",IF(T168="Light-touch repeat buyer","Light-touch repeat buyer","Standard long tail")))))))))</f>
        <v>Dormant</v>
      </c>
      <c r="AT168" s="2" t="str">
        <f aca="false">IF(AA168,"CRITICAL_DATA_BLOCKER; ","")&amp;IF(Y168,"KEY_SIGNOFF; ","")&amp;IF(Z168="Manual Review","PHASE1_MANUAL_REVIEW; ","")&amp;IF(AND(LEFT(D168,1)="1",AZ168="Lumpy"),"LUMPY_CADENCE; ","")&amp;IF(AB168,"BORDERLINE_MOMENTUM; ","")&amp;IF(AC168,"FEB_SENSITIVE; ","")&amp;IF(AD168,"MATERIAL_BROKER_INCONSISTENCY"&amp;IF(AE168," (segment would change)","")&amp;"; ","")&amp;IF(AND(I168&gt;=3,O168&gt;0),IF(AI168&gt;=Assumptions!$B$75,"H2_SINGLE_MONTH_SPIKE; ",""),"")&amp;IF(AND(M168&gt;0,N168=0),"NO_FEB_GMV (Feb unconfirmed); ","")&amp;IF(AF168,"LOW_CONFIDENCE; ","")</f>
        <v>LOW_CONFIDENCE; </v>
      </c>
      <c r="AU168" s="2" t="str">
        <f aca="false">IF(LEFT(D168,1)="1",V168,"")</f>
        <v/>
      </c>
      <c r="AV168" s="2" t="str">
        <f aca="false">IF(LEFT(D168,1)="1",V168&gt;=Assumptions!$B$58,"")</f>
        <v/>
      </c>
      <c r="AW168" s="2" t="str">
        <f aca="false">IF(LEFT(D168,1)="1",W168,"")</f>
        <v/>
      </c>
      <c r="AX168" s="2" t="str">
        <f aca="false">IF(LEFT(D168,1)="1",X168,"")</f>
        <v/>
      </c>
      <c r="AY168" s="17" t="str">
        <f aca="false">IF(LEFT(D168,1)="1",J168/I168,"")</f>
        <v/>
      </c>
      <c r="AZ168" s="2" t="str">
        <f aca="false">IF(LEFT(D168,1)="1",IF(AND(K168&gt;=Assumptions!$B$83,I168&gt;=Assumptions!$B$84),"Regular","Lumpy"),"")</f>
        <v/>
      </c>
      <c r="BA168" s="2" t="str">
        <f aca="false">IF(LEFT(D168,1)="1",ROUND(6/K168,0),"")</f>
        <v/>
      </c>
      <c r="BB168" s="2" t="str">
        <f aca="false">IF(LEFT(D168,1)="1",IF(AZ168="Regular","Regular buyer: expected ~£"&amp;TEXT(H168/2,"#,##0")&amp;" per 90 days. At Risk if GMV to date &lt; "&amp;TEXT(Assumptions!$B$81,"0%")&amp;" of pro-rated expectation, checked from day "&amp;Assumptions!$B$82&amp;". Human-reviewed.","Irregular buyer ("&amp;I168&amp;" orders across "&amp;K168&amp;" months): no numeric GMV threshold. At Risk if no order within ~"&amp;BA168&amp;" month(s); AM reviews at day "&amp;Assumptions!$B$82&amp;" and "&amp;Assumptions!$B$85&amp;"."),"")</f>
        <v/>
      </c>
      <c r="BC168" s="2"/>
      <c r="BD168" s="2"/>
      <c r="BE168" s="2"/>
      <c r="BF168" s="2"/>
      <c r="BG168" s="2"/>
      <c r="BH168" s="2"/>
      <c r="BI168" s="2"/>
      <c r="BJ168" s="2" t="str">
        <f aca="false">IF(OR(NOT(LEFT(D168,1)="1"),BC168=""),"",IF(AZ168="Regular",AND(BC168&gt;=Assumptions!$B$82,N(BI168)&lt;Assumptions!$B$81*H168/180*BC168),AND(BC168&gt;=BA168*30,N(BG168)=0)))</f>
        <v/>
      </c>
      <c r="BK168" s="2" t="str">
        <f aca="false">IF(NOT(LEFT(D168,1)="1"),"N/A",IF(BC168="","Baseline",IF(BJ168,"At Risk",IF(AND(N(BD168)&gt;=Assumptions!$B$78,N(BE168)&gt;=Assumptions!$B$79,N(BH168)&gt;=1,N(BH168)/MAX(N(BG168),1)&gt;AY168),"Self-Serve Capability Demonstrated",IF(OR(N(BD168)&gt;=Assumptions!$B$76,N(BE168)&gt;=Assumptions!$B$77),"Progressing",IF(BC168&gt;=Assumptions!$B$85,"At Risk","Baseline"))))))</f>
        <v>N/A</v>
      </c>
      <c r="BL168" s="2" t="n">
        <f aca="false">(AND(C168="Broker-Reliant",OR(AK168="Discovery-to-Offer Enablement",AK168="Reinforce Successful Behaviour")))*1+(AND(G168="Declining",E168&lt;&gt;"Tail",AL168="Automated"))*1+(AND(Y168,AM168&lt;&gt;"Human Sign-Off Required"))*1+(AND(AA168,AM168&lt;&gt;"HOLD — Critical Data Issue"))*1+(AND(P168="Recent Inactivity",OR(AK168="Discovery-to-Offer Enablement",AK168="Reinforce Successful Behaviour")))*1+(AND(OR(LEFT(D168,1)="2",LEFT(D168,1)="3",LEFT(D168,1)="8"),AL168="Automated"))*1+((LEFT(D168,1)="1")&lt;&gt;(AK168="Guided Self-Serve Migration"))*1+(AND(AR168&lt;&gt;"",OR(F168&lt;&gt;"Low",U168="Mixed",AND(G168&lt;&gt;"Growing",G168&lt;&gt;"Stable"))))*1+ISNUMBER(SEARCH("chat",AP168))*1+ISNUMBER(SEARCH("video",AP168))*1+(AND(AA168,AL168="Automated",AM168&lt;&gt;"HOLD — Critical Data Issue"))*1</f>
        <v>0</v>
      </c>
    </row>
    <row r="169" customFormat="false" ht="15" hidden="false" customHeight="false" outlineLevel="0" collapsed="false">
      <c r="A169" s="2" t="s">
        <v>862</v>
      </c>
      <c r="B169" s="2" t="str">
        <f aca="false">INDEX(Segmentation!$B$2:$B$301,MATCH($A169,Segmentation!$A$2:$A$301,0))</f>
        <v>Account Managed</v>
      </c>
      <c r="C169" s="2" t="str">
        <f aca="false">INDEX(Segmentation!$H$2:$H$301,MATCH($A169,Segmentation!$A$2:$A$301,0))</f>
        <v>AM-Owned / Self-Serving</v>
      </c>
      <c r="D169" s="2" t="str">
        <f aca="false">INDEX(Segmentation!$T$2:$T$301,MATCH($A169,Segmentation!$A$2:$A$301,0))</f>
        <v>9. Long-Tail Automated Nurture</v>
      </c>
      <c r="E169" s="2" t="str">
        <f aca="false">INDEX(Segmentation!$J$2:$J$301,MATCH($A169,Segmentation!$A$2:$A$301,0))</f>
        <v>Tail</v>
      </c>
      <c r="F169" s="2" t="str">
        <f aca="false">INDEX(Segmentation!$G$2:$G$301,MATCH($A169,Segmentation!$A$2:$A$301,0))</f>
        <v>Low</v>
      </c>
      <c r="G169" s="2" t="str">
        <f aca="false">INDEX(Segmentation!$N$2:$N$301,MATCH($A169,Segmentation!$A$2:$A$301,0))</f>
        <v>Lapsed</v>
      </c>
      <c r="H169" s="9" t="n">
        <f aca="false">INDEX(Segmentation!$I$2:$I$301,MATCH($A169,Segmentation!$A$2:$A$301,0))</f>
        <v>200</v>
      </c>
      <c r="I169" s="2" t="n">
        <f aca="false">INDEX(Segmentation!$O$2:$O$301,MATCH($A169,Segmentation!$A$2:$A$301,0))</f>
        <v>1</v>
      </c>
      <c r="J169" s="2" t="n">
        <f aca="false">INDEX(Segmentation!$Q$2:$Q$301,MATCH($A169,Segmentation!$A$2:$A$301,0))</f>
        <v>1</v>
      </c>
      <c r="K169" s="2" t="n">
        <f aca="false">INDEX(Segmentation!$W$2:$W$301,MATCH($A169,Segmentation!$A$2:$A$301,0))</f>
        <v>1</v>
      </c>
      <c r="L169" s="9" t="n">
        <f aca="false">INDEX('Commercial View'!$L$2:$L$301,MATCH($A169,'Commercial View'!$A$2:$A$301,0))</f>
        <v>0</v>
      </c>
      <c r="M169" s="9" t="n">
        <f aca="false">INDEX('Commercial View'!$M$2:$M$301,MATCH($A169,'Commercial View'!$A$2:$A$301,0))</f>
        <v>0</v>
      </c>
      <c r="N169" s="9" t="n">
        <f aca="false">INDEX('Commercial View'!$N$2:$N$301,MATCH($A169,'Commercial View'!$A$2:$A$301,0))</f>
        <v>0</v>
      </c>
      <c r="O169" s="9" t="n">
        <f aca="false">INDEX(Segmentation!$L$2:$L$301,MATCH($A169,Segmentation!$A$2:$A$301,0))</f>
        <v>0</v>
      </c>
      <c r="P169" s="2" t="str">
        <f aca="false">IF(OR(M169&gt;0,N169&gt;0),"Recently Active",IF(OR(I169&lt;=Assumptions!$B$48,K169&lt;=Assumptions!$B$49),"No Meaningful History","Recent Inactivity"))</f>
        <v>No Meaningful History</v>
      </c>
      <c r="Q169" s="2" t="str">
        <f aca="false">INDEX(Segmentation!$AF$2:$AF$301,MATCH($A169,Segmentation!$A$2:$A$301,0))</f>
        <v>Existing Customer</v>
      </c>
      <c r="R169" s="2" t="str">
        <f aca="false">INDEX(Segmentation!$AL$2:$AL$301,MATCH($A169,Segmentation!$A$2:$A$301,0))</f>
        <v>One-Off / Insufficient History — Verify</v>
      </c>
      <c r="S169" s="10" t="b">
        <f aca="false">INDEX(Segmentation!$AW$2:$AW$301,MATCH($A169,Segmentation!$A$2:$A$301,0))</f>
        <v>0</v>
      </c>
      <c r="T169" s="2" t="str">
        <f aca="false">INDEX('Feature Data'!$AD$2:$AD$301,MATCH($A169,'Feature Data'!$A$2:$A$301,0))</f>
        <v>One-off low-touch buyer</v>
      </c>
      <c r="U169" s="2" t="str">
        <f aca="false">INDEX('Feature Data'!$W$2:$W$301,MATCH($A169,'Feature Data'!$A$2:$A$301,0))</f>
        <v>Bundle-only</v>
      </c>
      <c r="V169" s="2" t="n">
        <f aca="false">INDEX('Feature Data'!$P$2:$P$301,MATCH($A169,'Feature Data'!$A$2:$A$301,0))</f>
        <v>66</v>
      </c>
      <c r="W169" s="2" t="n">
        <f aca="false">INDEX(Segmentation!$R$2:$R$301,MATCH($A169,Segmentation!$A$2:$A$301,0))</f>
        <v>8</v>
      </c>
      <c r="X169" s="2" t="n">
        <f aca="false">INDEX(Segmentation!$S$2:$S$301,MATCH($A169,Segmentation!$A$2:$A$301,0))</f>
        <v>0</v>
      </c>
      <c r="Y169" s="10" t="b">
        <f aca="false">INDEX(Segmentation!$AG$2:$AG$301,MATCH($A169,Segmentation!$A$2:$A$301,0))</f>
        <v>0</v>
      </c>
      <c r="Z169" s="2" t="str">
        <f aca="false">INDEX(Segmentation!$AU$2:$AU$301,MATCH($A169,Segmentation!$A$2:$A$301,0))</f>
        <v>Not Eligible</v>
      </c>
      <c r="AA169" s="10" t="b">
        <f aca="false">INDEX(Segmentation!$Z$2:$Z$301,MATCH($A169,Segmentation!$A$2:$A$301,0))</f>
        <v>0</v>
      </c>
      <c r="AB169" s="10" t="b">
        <f aca="false">INDEX(Segmentation!$AH$2:$AH$301,MATCH($A169,Segmentation!$A$2:$A$301,0))</f>
        <v>0</v>
      </c>
      <c r="AC169" s="10" t="b">
        <f aca="false">INDEX(Segmentation!$AK$2:$AK$301,MATCH($A169,Segmentation!$A$2:$A$301,0))</f>
        <v>0</v>
      </c>
      <c r="AD169" s="10" t="b">
        <f aca="false">INDEX(Segmentation!$AQ$2:$AQ$301,MATCH($A169,Segmentation!$A$2:$A$301,0))</f>
        <v>0</v>
      </c>
      <c r="AE169" s="10" t="b">
        <f aca="false">INDEX(Segmentation!$AT$2:$AT$301,MATCH($A169,Segmentation!$A$2:$A$301,0))</f>
        <v>0</v>
      </c>
      <c r="AF169" s="10" t="b">
        <f aca="false">INDEX(Segmentation!$X$2:$X$301,MATCH($A169,Segmentation!$A$2:$A$301,0))</f>
        <v>1</v>
      </c>
      <c r="AG169" s="10" t="b">
        <f aca="false">AND(F169="Low",V169&gt;=Assumptions!$B$71,X169&lt;Assumptions!$B$72)</f>
        <v>1</v>
      </c>
      <c r="AH169" s="10" t="b">
        <f aca="false">AND(F169="Low",OR(G169="Growing",G169="Stable"),P169="Recently Active",V169&gt;=Assumptions!$B$58,K169&gt;=Assumptions!$B$73)</f>
        <v>0</v>
      </c>
      <c r="AI169" s="17" t="str">
        <f aca="false">IF(O169&gt;0,MAX(L169:N169)/O169,"")</f>
        <v/>
      </c>
      <c r="AJ169" s="2" t="str">
        <f aca="false">IF(LEFT(D169,1)="1",IF(E169="Key","MIGRATION_KEY_SIGNOFF",IF(Z169="Ready","MIGRATION_PHASE1_READY",IF(Z169="Manual Review","MIGRATION_PHASE1_REVIEW","MIGRATION_PRE_ENTRY"))),IF(LEFT(D169,1)="2","DECLINING_KEY_CORE",IF(LEFT(D169,1)="3",IF(R169="Established Buyer Lapsed","LAPSED_ESTABLISHED","LAPSED_THIN_HISTORY"),IF(LEFT(D169,1)="4",IF(Q169="New Customer","NEW_CUSTOMER","RETURNED_CUSTOMER"),IF(LEFT(D169,1)="5",IF(P169="Recently Active","COST_TO_SERVE_ACTIVE","DORMANT_LOW_VALUE"),IF(LEFT(D169,1)="6",IF(P169="Recent Inactivity","RECENT_INACTIVITY",IF(AG169,"BROWSING_LOW_OFFERS","HEALTHY_STRONG_SELF_SERVE")),IF(LEFT(D169,1)="7",IF(P169="Recent Inactivity","RECENT_INACTIVITY",IF(Q169="New Customer","NEW_CUSTOMER","RETURNED_CUSTOMER")),IF(LEFT(D169,1)="8",IF(G169="Declining",IF(T169="Engaged but shrinking (Key/Core)","ENGAGED_BUT_SHRINKING","DECLINING_KEY_CORE"),IF(R169="Established Buyer Lapsed","LAPSED_ESTABLISHED","LAPSED_THIN_HISTORY")),IF(S169,IF(P169&lt;&gt;"Recently Active","DORMANT_LOW_VALUE",IF(AG169,"BROWSING_LOW_OFFERS",IF(AH169,"RISING_TAIL","RISING_TAIL_EARLY"))),IF(AND(AG169,P169="Recently Active",OR(G169="Growing",G169="Stable",G169="H2 Active / No H1 GMV"),I169&gt;=Assumptions!$B$74),"BROWSING_LOW_OFFERS","LONG_TAIL_STANDARD"))))))))))</f>
        <v>LONG_TAIL_STANDARD</v>
      </c>
      <c r="AK169" s="2" t="str">
        <f aca="false">INDEX('NBA Library'!$B$4:$B$21,MATCH(AJ169,'NBA Library'!$A$4:$A$21,0))</f>
        <v>Automated Nurture</v>
      </c>
      <c r="AL169" s="2" t="str">
        <f aca="false">INDEX('NBA Library'!$C$4:$C$21,MATCH(AJ169,'NBA Library'!$A$4:$A$21,0))</f>
        <v>Automated</v>
      </c>
      <c r="AM169" s="2" t="str">
        <f aca="false">IF(AA169,"HOLD — Critical Data Issue",IF(Y169,"Human Sign-Off Required",IF(Z169="Manual Review","Human Review Required",IF(AND(AL169="Automated",OR(AE169,AND(OR(AK169="Discovery-to-Offer Enablement",AK169="Reinforce Successful Behaviour"),OR(AC169,AB169)))),"Human Review Required",IF(AL169="Human","Ready — Human",IF(AL169="Hybrid","Ready — Hybrid","Ready — Automated"))))))</f>
        <v>Ready — Automated</v>
      </c>
      <c r="AN169" s="2" t="str">
        <f aca="false">IF(AA169,"P0",IF(AND(AJ169="BROWSING_LOW_OFFERS",E169="Tail"),"P3",IF(AND(AM169="Human Review Required",INDEX('NBA Library'!$D$4:$D$21,MATCH(AJ169,'NBA Library'!$A$4:$A$21,0))="P4"),"P3",INDEX('NBA Library'!$D$4:$D$21,MATCH(AJ169,'NBA Library'!$A$4:$A$21,0)))))</f>
        <v>P4</v>
      </c>
      <c r="AO169" s="2" t="str">
        <f aca="false">E169&amp;" "&amp;C169&amp;" account ("&amp;B169&amp;"); "&amp;G169&amp;" momentum; "&amp;P169&amp;"; £"&amp;TEXT(H169,"#,##0")&amp;" 6m GMV. "&amp;INDEX('NBA Library'!$G$4:$G$21,MATCH(AJ169,'NBA Library'!$A$4:$A$21,0))&amp;IF(LEFT(D169,1)="1"," Baseline: "&amp;V169&amp;" PDP views, "&amp;W169&amp;" app days, "&amp;X169&amp;" offers, "&amp;TEXT(J169/I169,"0%")&amp;" of orders self-serve.","")&amp;IF(AA169," Execution on HOLD until the Duplicate status is resolved.","")&amp;IF(Y169," Key account: explicit AM/leadership sign-off required before any migration activity.","")&amp;IF(AE169," Implied broker % from order counts would move this account to a different segment; review before automating.","")</f>
        <v>Tail AM-Owned / Self-Serving account (Account Managed); Lapsed momentum; No Meaningful History; £200 6m GMV. Low-value, low-dependency account. Scalable automated engagement.</v>
      </c>
      <c r="AP169" s="2" t="str">
        <f aca="false">INDEX('NBA Library'!$E$4:$E$21,MATCH(AJ169,'NBA Library'!$A$4:$A$21,0))&amp;IF(AND(AJ169="NEW_CUSTOMER",AG169),"; introduce Make-an-Offer on items already browsed","")</f>
        <v>Scalable automated engagement matched to nurture sub-context</v>
      </c>
      <c r="AQ169" s="2" t="str">
        <f aca="false">INDEX('NBA Library'!$F$4:$F$21,MATCH(AJ169,'NBA Library'!$A$4:$A$21,0))</f>
        <v>Any repeat order within 90 days</v>
      </c>
      <c r="AR169" s="2" t="str">
        <f aca="false">IF(AND(F169="Low",OR(G169="Growing",G169="Stable"),P169="Recently Active",U169&lt;&gt;"Mixed",OR(AK169="Discovery-to-Offer Enablement",AK169="Reinforce Successful Behaviour"),AM169="Ready — Automated",OR(E169&lt;&gt;"Tail",S169)),"Range Expansion Test — trial "&amp;IF(U169="Bundle-only","handpick","bundles")&amp;" (experimental; not proven to lift GMV)","")</f>
        <v/>
      </c>
      <c r="AS169" s="2" t="str">
        <f aca="false">IF(AK169&lt;&gt;"Automated Nurture","",IF(AJ169="DORMANT_LOW_VALUE","Dormant",IF(AJ169="RISING_TAIL_EARLY","Rising tail – early pattern",IF(Q169="New Customer","New customer onboarding",IF(Q169="Returned Customer","Returned customer",IF(G169="Lapsed","Dormant",IF(T169="Engaged, not converting","Engaged, not converting",IF(T169="One-off low-touch buyer","One-off purchaser",IF(T169="Light-touch repeat buyer","Light-touch repeat buyer","Standard long tail")))))))))</f>
        <v>Dormant</v>
      </c>
      <c r="AT169" s="2" t="str">
        <f aca="false">IF(AA169,"CRITICAL_DATA_BLOCKER; ","")&amp;IF(Y169,"KEY_SIGNOFF; ","")&amp;IF(Z169="Manual Review","PHASE1_MANUAL_REVIEW; ","")&amp;IF(AND(LEFT(D169,1)="1",AZ169="Lumpy"),"LUMPY_CADENCE; ","")&amp;IF(AB169,"BORDERLINE_MOMENTUM; ","")&amp;IF(AC169,"FEB_SENSITIVE; ","")&amp;IF(AD169,"MATERIAL_BROKER_INCONSISTENCY"&amp;IF(AE169," (segment would change)","")&amp;"; ","")&amp;IF(AND(I169&gt;=3,O169&gt;0),IF(AI169&gt;=Assumptions!$B$75,"H2_SINGLE_MONTH_SPIKE; ",""),"")&amp;IF(AND(M169&gt;0,N169=0),"NO_FEB_GMV (Feb unconfirmed); ","")&amp;IF(AF169,"LOW_CONFIDENCE; ","")</f>
        <v>LOW_CONFIDENCE; </v>
      </c>
      <c r="AU169" s="2" t="str">
        <f aca="false">IF(LEFT(D169,1)="1",V169,"")</f>
        <v/>
      </c>
      <c r="AV169" s="2" t="str">
        <f aca="false">IF(LEFT(D169,1)="1",V169&gt;=Assumptions!$B$58,"")</f>
        <v/>
      </c>
      <c r="AW169" s="2" t="str">
        <f aca="false">IF(LEFT(D169,1)="1",W169,"")</f>
        <v/>
      </c>
      <c r="AX169" s="2" t="str">
        <f aca="false">IF(LEFT(D169,1)="1",X169,"")</f>
        <v/>
      </c>
      <c r="AY169" s="17" t="str">
        <f aca="false">IF(LEFT(D169,1)="1",J169/I169,"")</f>
        <v/>
      </c>
      <c r="AZ169" s="2" t="str">
        <f aca="false">IF(LEFT(D169,1)="1",IF(AND(K169&gt;=Assumptions!$B$83,I169&gt;=Assumptions!$B$84),"Regular","Lumpy"),"")</f>
        <v/>
      </c>
      <c r="BA169" s="2" t="str">
        <f aca="false">IF(LEFT(D169,1)="1",ROUND(6/K169,0),"")</f>
        <v/>
      </c>
      <c r="BB169" s="2" t="str">
        <f aca="false">IF(LEFT(D169,1)="1",IF(AZ169="Regular","Regular buyer: expected ~£"&amp;TEXT(H169/2,"#,##0")&amp;" per 90 days. At Risk if GMV to date &lt; "&amp;TEXT(Assumptions!$B$81,"0%")&amp;" of pro-rated expectation, checked from day "&amp;Assumptions!$B$82&amp;". Human-reviewed.","Irregular buyer ("&amp;I169&amp;" orders across "&amp;K169&amp;" months): no numeric GMV threshold. At Risk if no order within ~"&amp;BA169&amp;" month(s); AM reviews at day "&amp;Assumptions!$B$82&amp;" and "&amp;Assumptions!$B$85&amp;"."),"")</f>
        <v/>
      </c>
      <c r="BC169" s="2"/>
      <c r="BD169" s="2"/>
      <c r="BE169" s="2"/>
      <c r="BF169" s="2"/>
      <c r="BG169" s="2"/>
      <c r="BH169" s="2"/>
      <c r="BI169" s="2"/>
      <c r="BJ169" s="2" t="str">
        <f aca="false">IF(OR(NOT(LEFT(D169,1)="1"),BC169=""),"",IF(AZ169="Regular",AND(BC169&gt;=Assumptions!$B$82,N(BI169)&lt;Assumptions!$B$81*H169/180*BC169),AND(BC169&gt;=BA169*30,N(BG169)=0)))</f>
        <v/>
      </c>
      <c r="BK169" s="2" t="str">
        <f aca="false">IF(NOT(LEFT(D169,1)="1"),"N/A",IF(BC169="","Baseline",IF(BJ169,"At Risk",IF(AND(N(BD169)&gt;=Assumptions!$B$78,N(BE169)&gt;=Assumptions!$B$79,N(BH169)&gt;=1,N(BH169)/MAX(N(BG169),1)&gt;AY169),"Self-Serve Capability Demonstrated",IF(OR(N(BD169)&gt;=Assumptions!$B$76,N(BE169)&gt;=Assumptions!$B$77),"Progressing",IF(BC169&gt;=Assumptions!$B$85,"At Risk","Baseline"))))))</f>
        <v>N/A</v>
      </c>
      <c r="BL169" s="2" t="n">
        <f aca="false">(AND(C169="Broker-Reliant",OR(AK169="Discovery-to-Offer Enablement",AK169="Reinforce Successful Behaviour")))*1+(AND(G169="Declining",E169&lt;&gt;"Tail",AL169="Automated"))*1+(AND(Y169,AM169&lt;&gt;"Human Sign-Off Required"))*1+(AND(AA169,AM169&lt;&gt;"HOLD — Critical Data Issue"))*1+(AND(P169="Recent Inactivity",OR(AK169="Discovery-to-Offer Enablement",AK169="Reinforce Successful Behaviour")))*1+(AND(OR(LEFT(D169,1)="2",LEFT(D169,1)="3",LEFT(D169,1)="8"),AL169="Automated"))*1+((LEFT(D169,1)="1")&lt;&gt;(AK169="Guided Self-Serve Migration"))*1+(AND(AR169&lt;&gt;"",OR(F169&lt;&gt;"Low",U169="Mixed",AND(G169&lt;&gt;"Growing",G169&lt;&gt;"Stable"))))*1+ISNUMBER(SEARCH("chat",AP169))*1+ISNUMBER(SEARCH("video",AP169))*1+(AND(AA169,AL169="Automated",AM169&lt;&gt;"HOLD — Critical Data Issue"))*1</f>
        <v>0</v>
      </c>
    </row>
    <row r="170" customFormat="false" ht="15" hidden="false" customHeight="false" outlineLevel="0" collapsed="false">
      <c r="A170" s="2" t="s">
        <v>864</v>
      </c>
      <c r="B170" s="2" t="str">
        <f aca="false">INDEX(Segmentation!$B$2:$B$301,MATCH($A170,Segmentation!$A$2:$A$301,0))</f>
        <v>Account Managed</v>
      </c>
      <c r="C170" s="2" t="str">
        <f aca="false">INDEX(Segmentation!$H$2:$H$301,MATCH($A170,Segmentation!$A$2:$A$301,0))</f>
        <v>AM-Owned / Self-Serving</v>
      </c>
      <c r="D170" s="2" t="str">
        <f aca="false">INDEX(Segmentation!$T$2:$T$301,MATCH($A170,Segmentation!$A$2:$A$301,0))</f>
        <v>9. Long-Tail Automated Nurture</v>
      </c>
      <c r="E170" s="2" t="str">
        <f aca="false">INDEX(Segmentation!$J$2:$J$301,MATCH($A170,Segmentation!$A$2:$A$301,0))</f>
        <v>Tail</v>
      </c>
      <c r="F170" s="2" t="str">
        <f aca="false">INDEX(Segmentation!$G$2:$G$301,MATCH($A170,Segmentation!$A$2:$A$301,0))</f>
        <v>Low</v>
      </c>
      <c r="G170" s="2" t="str">
        <f aca="false">INDEX(Segmentation!$N$2:$N$301,MATCH($A170,Segmentation!$A$2:$A$301,0))</f>
        <v>Lapsed</v>
      </c>
      <c r="H170" s="9" t="n">
        <f aca="false">INDEX(Segmentation!$I$2:$I$301,MATCH($A170,Segmentation!$A$2:$A$301,0))</f>
        <v>200</v>
      </c>
      <c r="I170" s="2" t="n">
        <f aca="false">INDEX(Segmentation!$O$2:$O$301,MATCH($A170,Segmentation!$A$2:$A$301,0))</f>
        <v>1</v>
      </c>
      <c r="J170" s="2" t="n">
        <f aca="false">INDEX(Segmentation!$Q$2:$Q$301,MATCH($A170,Segmentation!$A$2:$A$301,0))</f>
        <v>1</v>
      </c>
      <c r="K170" s="2" t="n">
        <f aca="false">INDEX(Segmentation!$W$2:$W$301,MATCH($A170,Segmentation!$A$2:$A$301,0))</f>
        <v>1</v>
      </c>
      <c r="L170" s="9" t="n">
        <f aca="false">INDEX('Commercial View'!$L$2:$L$301,MATCH($A170,'Commercial View'!$A$2:$A$301,0))</f>
        <v>0</v>
      </c>
      <c r="M170" s="9" t="n">
        <f aca="false">INDEX('Commercial View'!$M$2:$M$301,MATCH($A170,'Commercial View'!$A$2:$A$301,0))</f>
        <v>0</v>
      </c>
      <c r="N170" s="9" t="n">
        <f aca="false">INDEX('Commercial View'!$N$2:$N$301,MATCH($A170,'Commercial View'!$A$2:$A$301,0))</f>
        <v>0</v>
      </c>
      <c r="O170" s="9" t="n">
        <f aca="false">INDEX(Segmentation!$L$2:$L$301,MATCH($A170,Segmentation!$A$2:$A$301,0))</f>
        <v>0</v>
      </c>
      <c r="P170" s="2" t="str">
        <f aca="false">IF(OR(M170&gt;0,N170&gt;0),"Recently Active",IF(OR(I170&lt;=Assumptions!$B$48,K170&lt;=Assumptions!$B$49),"No Meaningful History","Recent Inactivity"))</f>
        <v>No Meaningful History</v>
      </c>
      <c r="Q170" s="2" t="str">
        <f aca="false">INDEX(Segmentation!$AF$2:$AF$301,MATCH($A170,Segmentation!$A$2:$A$301,0))</f>
        <v>Existing Customer</v>
      </c>
      <c r="R170" s="2" t="str">
        <f aca="false">INDEX(Segmentation!$AL$2:$AL$301,MATCH($A170,Segmentation!$A$2:$A$301,0))</f>
        <v>One-Off / Insufficient History — Verify</v>
      </c>
      <c r="S170" s="10" t="b">
        <f aca="false">INDEX(Segmentation!$AW$2:$AW$301,MATCH($A170,Segmentation!$A$2:$A$301,0))</f>
        <v>0</v>
      </c>
      <c r="T170" s="2" t="str">
        <f aca="false">INDEX('Feature Data'!$AD$2:$AD$301,MATCH($A170,'Feature Data'!$A$2:$A$301,0))</f>
        <v>Engaged, not converting</v>
      </c>
      <c r="U170" s="2" t="str">
        <f aca="false">INDEX('Feature Data'!$W$2:$W$301,MATCH($A170,'Feature Data'!$A$2:$A$301,0))</f>
        <v>Bundle-only</v>
      </c>
      <c r="V170" s="2" t="n">
        <f aca="false">INDEX('Feature Data'!$P$2:$P$301,MATCH($A170,'Feature Data'!$A$2:$A$301,0))</f>
        <v>254</v>
      </c>
      <c r="W170" s="2" t="n">
        <f aca="false">INDEX(Segmentation!$R$2:$R$301,MATCH($A170,Segmentation!$A$2:$A$301,0))</f>
        <v>6</v>
      </c>
      <c r="X170" s="2" t="n">
        <f aca="false">INDEX(Segmentation!$S$2:$S$301,MATCH($A170,Segmentation!$A$2:$A$301,0))</f>
        <v>0</v>
      </c>
      <c r="Y170" s="10" t="b">
        <f aca="false">INDEX(Segmentation!$AG$2:$AG$301,MATCH($A170,Segmentation!$A$2:$A$301,0))</f>
        <v>0</v>
      </c>
      <c r="Z170" s="2" t="str">
        <f aca="false">INDEX(Segmentation!$AU$2:$AU$301,MATCH($A170,Segmentation!$A$2:$A$301,0))</f>
        <v>Not Eligible</v>
      </c>
      <c r="AA170" s="10" t="b">
        <f aca="false">INDEX(Segmentation!$Z$2:$Z$301,MATCH($A170,Segmentation!$A$2:$A$301,0))</f>
        <v>0</v>
      </c>
      <c r="AB170" s="10" t="b">
        <f aca="false">INDEX(Segmentation!$AH$2:$AH$301,MATCH($A170,Segmentation!$A$2:$A$301,0))</f>
        <v>0</v>
      </c>
      <c r="AC170" s="10" t="b">
        <f aca="false">INDEX(Segmentation!$AK$2:$AK$301,MATCH($A170,Segmentation!$A$2:$A$301,0))</f>
        <v>0</v>
      </c>
      <c r="AD170" s="10" t="b">
        <f aca="false">INDEX(Segmentation!$AQ$2:$AQ$301,MATCH($A170,Segmentation!$A$2:$A$301,0))</f>
        <v>0</v>
      </c>
      <c r="AE170" s="10" t="b">
        <f aca="false">INDEX(Segmentation!$AT$2:$AT$301,MATCH($A170,Segmentation!$A$2:$A$301,0))</f>
        <v>0</v>
      </c>
      <c r="AF170" s="10" t="b">
        <f aca="false">INDEX(Segmentation!$X$2:$X$301,MATCH($A170,Segmentation!$A$2:$A$301,0))</f>
        <v>1</v>
      </c>
      <c r="AG170" s="10" t="b">
        <f aca="false">AND(F170="Low",V170&gt;=Assumptions!$B$71,X170&lt;Assumptions!$B$72)</f>
        <v>1</v>
      </c>
      <c r="AH170" s="10" t="b">
        <f aca="false">AND(F170="Low",OR(G170="Growing",G170="Stable"),P170="Recently Active",V170&gt;=Assumptions!$B$58,K170&gt;=Assumptions!$B$73)</f>
        <v>0</v>
      </c>
      <c r="AI170" s="17" t="str">
        <f aca="false">IF(O170&gt;0,MAX(L170:N170)/O170,"")</f>
        <v/>
      </c>
      <c r="AJ170" s="2" t="str">
        <f aca="false">IF(LEFT(D170,1)="1",IF(E170="Key","MIGRATION_KEY_SIGNOFF",IF(Z170="Ready","MIGRATION_PHASE1_READY",IF(Z170="Manual Review","MIGRATION_PHASE1_REVIEW","MIGRATION_PRE_ENTRY"))),IF(LEFT(D170,1)="2","DECLINING_KEY_CORE",IF(LEFT(D170,1)="3",IF(R170="Established Buyer Lapsed","LAPSED_ESTABLISHED","LAPSED_THIN_HISTORY"),IF(LEFT(D170,1)="4",IF(Q170="New Customer","NEW_CUSTOMER","RETURNED_CUSTOMER"),IF(LEFT(D170,1)="5",IF(P170="Recently Active","COST_TO_SERVE_ACTIVE","DORMANT_LOW_VALUE"),IF(LEFT(D170,1)="6",IF(P170="Recent Inactivity","RECENT_INACTIVITY",IF(AG170,"BROWSING_LOW_OFFERS","HEALTHY_STRONG_SELF_SERVE")),IF(LEFT(D170,1)="7",IF(P170="Recent Inactivity","RECENT_INACTIVITY",IF(Q170="New Customer","NEW_CUSTOMER","RETURNED_CUSTOMER")),IF(LEFT(D170,1)="8",IF(G170="Declining",IF(T170="Engaged but shrinking (Key/Core)","ENGAGED_BUT_SHRINKING","DECLINING_KEY_CORE"),IF(R170="Established Buyer Lapsed","LAPSED_ESTABLISHED","LAPSED_THIN_HISTORY")),IF(S170,IF(P170&lt;&gt;"Recently Active","DORMANT_LOW_VALUE",IF(AG170,"BROWSING_LOW_OFFERS",IF(AH170,"RISING_TAIL","RISING_TAIL_EARLY"))),IF(AND(AG170,P170="Recently Active",OR(G170="Growing",G170="Stable",G170="H2 Active / No H1 GMV"),I170&gt;=Assumptions!$B$74),"BROWSING_LOW_OFFERS","LONG_TAIL_STANDARD"))))))))))</f>
        <v>LONG_TAIL_STANDARD</v>
      </c>
      <c r="AK170" s="2" t="str">
        <f aca="false">INDEX('NBA Library'!$B$4:$B$21,MATCH(AJ170,'NBA Library'!$A$4:$A$21,0))</f>
        <v>Automated Nurture</v>
      </c>
      <c r="AL170" s="2" t="str">
        <f aca="false">INDEX('NBA Library'!$C$4:$C$21,MATCH(AJ170,'NBA Library'!$A$4:$A$21,0))</f>
        <v>Automated</v>
      </c>
      <c r="AM170" s="2" t="str">
        <f aca="false">IF(AA170,"HOLD — Critical Data Issue",IF(Y170,"Human Sign-Off Required",IF(Z170="Manual Review","Human Review Required",IF(AND(AL170="Automated",OR(AE170,AND(OR(AK170="Discovery-to-Offer Enablement",AK170="Reinforce Successful Behaviour"),OR(AC170,AB170)))),"Human Review Required",IF(AL170="Human","Ready — Human",IF(AL170="Hybrid","Ready — Hybrid","Ready — Automated"))))))</f>
        <v>Ready — Automated</v>
      </c>
      <c r="AN170" s="2" t="str">
        <f aca="false">IF(AA170,"P0",IF(AND(AJ170="BROWSING_LOW_OFFERS",E170="Tail"),"P3",IF(AND(AM170="Human Review Required",INDEX('NBA Library'!$D$4:$D$21,MATCH(AJ170,'NBA Library'!$A$4:$A$21,0))="P4"),"P3",INDEX('NBA Library'!$D$4:$D$21,MATCH(AJ170,'NBA Library'!$A$4:$A$21,0)))))</f>
        <v>P4</v>
      </c>
      <c r="AO170" s="2" t="str">
        <f aca="false">E170&amp;" "&amp;C170&amp;" account ("&amp;B170&amp;"); "&amp;G170&amp;" momentum; "&amp;P170&amp;"; £"&amp;TEXT(H170,"#,##0")&amp;" 6m GMV. "&amp;INDEX('NBA Library'!$G$4:$G$21,MATCH(AJ170,'NBA Library'!$A$4:$A$21,0))&amp;IF(LEFT(D170,1)="1"," Baseline: "&amp;V170&amp;" PDP views, "&amp;W170&amp;" app days, "&amp;X170&amp;" offers, "&amp;TEXT(J170/I170,"0%")&amp;" of orders self-serve.","")&amp;IF(AA170," Execution on HOLD until the Duplicate status is resolved.","")&amp;IF(Y170," Key account: explicit AM/leadership sign-off required before any migration activity.","")&amp;IF(AE170," Implied broker % from order counts would move this account to a different segment; review before automating.","")</f>
        <v>Tail AM-Owned / Self-Serving account (Account Managed); Lapsed momentum; No Meaningful History; £200 6m GMV. Low-value, low-dependency account. Scalable automated engagement.</v>
      </c>
      <c r="AP170" s="2" t="str">
        <f aca="false">INDEX('NBA Library'!$E$4:$E$21,MATCH(AJ170,'NBA Library'!$A$4:$A$21,0))&amp;IF(AND(AJ170="NEW_CUSTOMER",AG170),"; introduce Make-an-Offer on items already browsed","")</f>
        <v>Scalable automated engagement matched to nurture sub-context</v>
      </c>
      <c r="AQ170" s="2" t="str">
        <f aca="false">INDEX('NBA Library'!$F$4:$F$21,MATCH(AJ170,'NBA Library'!$A$4:$A$21,0))</f>
        <v>Any repeat order within 90 days</v>
      </c>
      <c r="AR170" s="2" t="str">
        <f aca="false">IF(AND(F170="Low",OR(G170="Growing",G170="Stable"),P170="Recently Active",U170&lt;&gt;"Mixed",OR(AK170="Discovery-to-Offer Enablement",AK170="Reinforce Successful Behaviour"),AM170="Ready — Automated",OR(E170&lt;&gt;"Tail",S170)),"Range Expansion Test — trial "&amp;IF(U170="Bundle-only","handpick","bundles")&amp;" (experimental; not proven to lift GMV)","")</f>
        <v/>
      </c>
      <c r="AS170" s="2" t="str">
        <f aca="false">IF(AK170&lt;&gt;"Automated Nurture","",IF(AJ170="DORMANT_LOW_VALUE","Dormant",IF(AJ170="RISING_TAIL_EARLY","Rising tail – early pattern",IF(Q170="New Customer","New customer onboarding",IF(Q170="Returned Customer","Returned customer",IF(G170="Lapsed","Dormant",IF(T170="Engaged, not converting","Engaged, not converting",IF(T170="One-off low-touch buyer","One-off purchaser",IF(T170="Light-touch repeat buyer","Light-touch repeat buyer","Standard long tail")))))))))</f>
        <v>Dormant</v>
      </c>
      <c r="AT170" s="2" t="str">
        <f aca="false">IF(AA170,"CRITICAL_DATA_BLOCKER; ","")&amp;IF(Y170,"KEY_SIGNOFF; ","")&amp;IF(Z170="Manual Review","PHASE1_MANUAL_REVIEW; ","")&amp;IF(AND(LEFT(D170,1)="1",AZ170="Lumpy"),"LUMPY_CADENCE; ","")&amp;IF(AB170,"BORDERLINE_MOMENTUM; ","")&amp;IF(AC170,"FEB_SENSITIVE; ","")&amp;IF(AD170,"MATERIAL_BROKER_INCONSISTENCY"&amp;IF(AE170," (segment would change)","")&amp;"; ","")&amp;IF(AND(I170&gt;=3,O170&gt;0),IF(AI170&gt;=Assumptions!$B$75,"H2_SINGLE_MONTH_SPIKE; ",""),"")&amp;IF(AND(M170&gt;0,N170=0),"NO_FEB_GMV (Feb unconfirmed); ","")&amp;IF(AF170,"LOW_CONFIDENCE; ","")</f>
        <v>LOW_CONFIDENCE; </v>
      </c>
      <c r="AU170" s="2" t="str">
        <f aca="false">IF(LEFT(D170,1)="1",V170,"")</f>
        <v/>
      </c>
      <c r="AV170" s="2" t="str">
        <f aca="false">IF(LEFT(D170,1)="1",V170&gt;=Assumptions!$B$58,"")</f>
        <v/>
      </c>
      <c r="AW170" s="2" t="str">
        <f aca="false">IF(LEFT(D170,1)="1",W170,"")</f>
        <v/>
      </c>
      <c r="AX170" s="2" t="str">
        <f aca="false">IF(LEFT(D170,1)="1",X170,"")</f>
        <v/>
      </c>
      <c r="AY170" s="17" t="str">
        <f aca="false">IF(LEFT(D170,1)="1",J170/I170,"")</f>
        <v/>
      </c>
      <c r="AZ170" s="2" t="str">
        <f aca="false">IF(LEFT(D170,1)="1",IF(AND(K170&gt;=Assumptions!$B$83,I170&gt;=Assumptions!$B$84),"Regular","Lumpy"),"")</f>
        <v/>
      </c>
      <c r="BA170" s="2" t="str">
        <f aca="false">IF(LEFT(D170,1)="1",ROUND(6/K170,0),"")</f>
        <v/>
      </c>
      <c r="BB170" s="2" t="str">
        <f aca="false">IF(LEFT(D170,1)="1",IF(AZ170="Regular","Regular buyer: expected ~£"&amp;TEXT(H170/2,"#,##0")&amp;" per 90 days. At Risk if GMV to date &lt; "&amp;TEXT(Assumptions!$B$81,"0%")&amp;" of pro-rated expectation, checked from day "&amp;Assumptions!$B$82&amp;". Human-reviewed.","Irregular buyer ("&amp;I170&amp;" orders across "&amp;K170&amp;" months): no numeric GMV threshold. At Risk if no order within ~"&amp;BA170&amp;" month(s); AM reviews at day "&amp;Assumptions!$B$82&amp;" and "&amp;Assumptions!$B$85&amp;"."),"")</f>
        <v/>
      </c>
      <c r="BC170" s="2"/>
      <c r="BD170" s="2"/>
      <c r="BE170" s="2"/>
      <c r="BF170" s="2"/>
      <c r="BG170" s="2"/>
      <c r="BH170" s="2"/>
      <c r="BI170" s="2"/>
      <c r="BJ170" s="2" t="str">
        <f aca="false">IF(OR(NOT(LEFT(D170,1)="1"),BC170=""),"",IF(AZ170="Regular",AND(BC170&gt;=Assumptions!$B$82,N(BI170)&lt;Assumptions!$B$81*H170/180*BC170),AND(BC170&gt;=BA170*30,N(BG170)=0)))</f>
        <v/>
      </c>
      <c r="BK170" s="2" t="str">
        <f aca="false">IF(NOT(LEFT(D170,1)="1"),"N/A",IF(BC170="","Baseline",IF(BJ170,"At Risk",IF(AND(N(BD170)&gt;=Assumptions!$B$78,N(BE170)&gt;=Assumptions!$B$79,N(BH170)&gt;=1,N(BH170)/MAX(N(BG170),1)&gt;AY170),"Self-Serve Capability Demonstrated",IF(OR(N(BD170)&gt;=Assumptions!$B$76,N(BE170)&gt;=Assumptions!$B$77),"Progressing",IF(BC170&gt;=Assumptions!$B$85,"At Risk","Baseline"))))))</f>
        <v>N/A</v>
      </c>
      <c r="BL170" s="2" t="n">
        <f aca="false">(AND(C170="Broker-Reliant",OR(AK170="Discovery-to-Offer Enablement",AK170="Reinforce Successful Behaviour")))*1+(AND(G170="Declining",E170&lt;&gt;"Tail",AL170="Automated"))*1+(AND(Y170,AM170&lt;&gt;"Human Sign-Off Required"))*1+(AND(AA170,AM170&lt;&gt;"HOLD — Critical Data Issue"))*1+(AND(P170="Recent Inactivity",OR(AK170="Discovery-to-Offer Enablement",AK170="Reinforce Successful Behaviour")))*1+(AND(OR(LEFT(D170,1)="2",LEFT(D170,1)="3",LEFT(D170,1)="8"),AL170="Automated"))*1+((LEFT(D170,1)="1")&lt;&gt;(AK170="Guided Self-Serve Migration"))*1+(AND(AR170&lt;&gt;"",OR(F170&lt;&gt;"Low",U170="Mixed",AND(G170&lt;&gt;"Growing",G170&lt;&gt;"Stable"))))*1+ISNUMBER(SEARCH("chat",AP170))*1+ISNUMBER(SEARCH("video",AP170))*1+(AND(AA170,AL170="Automated",AM170&lt;&gt;"HOLD — Critical Data Issue"))*1</f>
        <v>0</v>
      </c>
    </row>
    <row r="171" customFormat="false" ht="15" hidden="false" customHeight="false" outlineLevel="0" collapsed="false">
      <c r="A171" s="2" t="s">
        <v>866</v>
      </c>
      <c r="B171" s="2" t="str">
        <f aca="false">INDEX(Segmentation!$B$2:$B$301,MATCH($A171,Segmentation!$A$2:$A$301,0))</f>
        <v>Account Managed</v>
      </c>
      <c r="C171" s="2" t="str">
        <f aca="false">INDEX(Segmentation!$H$2:$H$301,MATCH($A171,Segmentation!$A$2:$A$301,0))</f>
        <v>AM-Owned / Self-Serving</v>
      </c>
      <c r="D171" s="2" t="str">
        <f aca="false">INDEX(Segmentation!$T$2:$T$301,MATCH($A171,Segmentation!$A$2:$A$301,0))</f>
        <v>9. Long-Tail Automated Nurture</v>
      </c>
      <c r="E171" s="2" t="str">
        <f aca="false">INDEX(Segmentation!$J$2:$J$301,MATCH($A171,Segmentation!$A$2:$A$301,0))</f>
        <v>Tail</v>
      </c>
      <c r="F171" s="2" t="str">
        <f aca="false">INDEX(Segmentation!$G$2:$G$301,MATCH($A171,Segmentation!$A$2:$A$301,0))</f>
        <v>Low</v>
      </c>
      <c r="G171" s="2" t="str">
        <f aca="false">INDEX(Segmentation!$N$2:$N$301,MATCH($A171,Segmentation!$A$2:$A$301,0))</f>
        <v>Lapsed</v>
      </c>
      <c r="H171" s="9" t="n">
        <f aca="false">INDEX(Segmentation!$I$2:$I$301,MATCH($A171,Segmentation!$A$2:$A$301,0))</f>
        <v>196</v>
      </c>
      <c r="I171" s="2" t="n">
        <f aca="false">INDEX(Segmentation!$O$2:$O$301,MATCH($A171,Segmentation!$A$2:$A$301,0))</f>
        <v>1</v>
      </c>
      <c r="J171" s="2" t="n">
        <f aca="false">INDEX(Segmentation!$Q$2:$Q$301,MATCH($A171,Segmentation!$A$2:$A$301,0))</f>
        <v>1</v>
      </c>
      <c r="K171" s="2" t="n">
        <f aca="false">INDEX(Segmentation!$W$2:$W$301,MATCH($A171,Segmentation!$A$2:$A$301,0))</f>
        <v>1</v>
      </c>
      <c r="L171" s="9" t="n">
        <f aca="false">INDEX('Commercial View'!$L$2:$L$301,MATCH($A171,'Commercial View'!$A$2:$A$301,0))</f>
        <v>0</v>
      </c>
      <c r="M171" s="9" t="n">
        <f aca="false">INDEX('Commercial View'!$M$2:$M$301,MATCH($A171,'Commercial View'!$A$2:$A$301,0))</f>
        <v>0</v>
      </c>
      <c r="N171" s="9" t="n">
        <f aca="false">INDEX('Commercial View'!$N$2:$N$301,MATCH($A171,'Commercial View'!$A$2:$A$301,0))</f>
        <v>0</v>
      </c>
      <c r="O171" s="9" t="n">
        <f aca="false">INDEX(Segmentation!$L$2:$L$301,MATCH($A171,Segmentation!$A$2:$A$301,0))</f>
        <v>0</v>
      </c>
      <c r="P171" s="2" t="str">
        <f aca="false">IF(OR(M171&gt;0,N171&gt;0),"Recently Active",IF(OR(I171&lt;=Assumptions!$B$48,K171&lt;=Assumptions!$B$49),"No Meaningful History","Recent Inactivity"))</f>
        <v>No Meaningful History</v>
      </c>
      <c r="Q171" s="2" t="str">
        <f aca="false">INDEX(Segmentation!$AF$2:$AF$301,MATCH($A171,Segmentation!$A$2:$A$301,0))</f>
        <v>Existing Customer</v>
      </c>
      <c r="R171" s="2" t="str">
        <f aca="false">INDEX(Segmentation!$AL$2:$AL$301,MATCH($A171,Segmentation!$A$2:$A$301,0))</f>
        <v>One-Off / Insufficient History — Verify</v>
      </c>
      <c r="S171" s="10" t="b">
        <f aca="false">INDEX(Segmentation!$AW$2:$AW$301,MATCH($A171,Segmentation!$A$2:$A$301,0))</f>
        <v>0</v>
      </c>
      <c r="T171" s="2" t="str">
        <f aca="false">INDEX('Feature Data'!$AD$2:$AD$301,MATCH($A171,'Feature Data'!$A$2:$A$301,0))</f>
        <v>One-off low-touch buyer</v>
      </c>
      <c r="U171" s="2" t="str">
        <f aca="false">INDEX('Feature Data'!$W$2:$W$301,MATCH($A171,'Feature Data'!$A$2:$A$301,0))</f>
        <v>Handpick-only</v>
      </c>
      <c r="V171" s="2" t="n">
        <f aca="false">INDEX('Feature Data'!$P$2:$P$301,MATCH($A171,'Feature Data'!$A$2:$A$301,0))</f>
        <v>94</v>
      </c>
      <c r="W171" s="2" t="n">
        <f aca="false">INDEX(Segmentation!$R$2:$R$301,MATCH($A171,Segmentation!$A$2:$A$301,0))</f>
        <v>5</v>
      </c>
      <c r="X171" s="2" t="n">
        <f aca="false">INDEX(Segmentation!$S$2:$S$301,MATCH($A171,Segmentation!$A$2:$A$301,0))</f>
        <v>0</v>
      </c>
      <c r="Y171" s="10" t="b">
        <f aca="false">INDEX(Segmentation!$AG$2:$AG$301,MATCH($A171,Segmentation!$A$2:$A$301,0))</f>
        <v>0</v>
      </c>
      <c r="Z171" s="2" t="str">
        <f aca="false">INDEX(Segmentation!$AU$2:$AU$301,MATCH($A171,Segmentation!$A$2:$A$301,0))</f>
        <v>Not Eligible</v>
      </c>
      <c r="AA171" s="10" t="b">
        <f aca="false">INDEX(Segmentation!$Z$2:$Z$301,MATCH($A171,Segmentation!$A$2:$A$301,0))</f>
        <v>0</v>
      </c>
      <c r="AB171" s="10" t="b">
        <f aca="false">INDEX(Segmentation!$AH$2:$AH$301,MATCH($A171,Segmentation!$A$2:$A$301,0))</f>
        <v>0</v>
      </c>
      <c r="AC171" s="10" t="b">
        <f aca="false">INDEX(Segmentation!$AK$2:$AK$301,MATCH($A171,Segmentation!$A$2:$A$301,0))</f>
        <v>0</v>
      </c>
      <c r="AD171" s="10" t="b">
        <f aca="false">INDEX(Segmentation!$AQ$2:$AQ$301,MATCH($A171,Segmentation!$A$2:$A$301,0))</f>
        <v>0</v>
      </c>
      <c r="AE171" s="10" t="b">
        <f aca="false">INDEX(Segmentation!$AT$2:$AT$301,MATCH($A171,Segmentation!$A$2:$A$301,0))</f>
        <v>0</v>
      </c>
      <c r="AF171" s="10" t="b">
        <f aca="false">INDEX(Segmentation!$X$2:$X$301,MATCH($A171,Segmentation!$A$2:$A$301,0))</f>
        <v>1</v>
      </c>
      <c r="AG171" s="10" t="b">
        <f aca="false">AND(F171="Low",V171&gt;=Assumptions!$B$71,X171&lt;Assumptions!$B$72)</f>
        <v>1</v>
      </c>
      <c r="AH171" s="10" t="b">
        <f aca="false">AND(F171="Low",OR(G171="Growing",G171="Stable"),P171="Recently Active",V171&gt;=Assumptions!$B$58,K171&gt;=Assumptions!$B$73)</f>
        <v>0</v>
      </c>
      <c r="AI171" s="17" t="str">
        <f aca="false">IF(O171&gt;0,MAX(L171:N171)/O171,"")</f>
        <v/>
      </c>
      <c r="AJ171" s="2" t="str">
        <f aca="false">IF(LEFT(D171,1)="1",IF(E171="Key","MIGRATION_KEY_SIGNOFF",IF(Z171="Ready","MIGRATION_PHASE1_READY",IF(Z171="Manual Review","MIGRATION_PHASE1_REVIEW","MIGRATION_PRE_ENTRY"))),IF(LEFT(D171,1)="2","DECLINING_KEY_CORE",IF(LEFT(D171,1)="3",IF(R171="Established Buyer Lapsed","LAPSED_ESTABLISHED","LAPSED_THIN_HISTORY"),IF(LEFT(D171,1)="4",IF(Q171="New Customer","NEW_CUSTOMER","RETURNED_CUSTOMER"),IF(LEFT(D171,1)="5",IF(P171="Recently Active","COST_TO_SERVE_ACTIVE","DORMANT_LOW_VALUE"),IF(LEFT(D171,1)="6",IF(P171="Recent Inactivity","RECENT_INACTIVITY",IF(AG171,"BROWSING_LOW_OFFERS","HEALTHY_STRONG_SELF_SERVE")),IF(LEFT(D171,1)="7",IF(P171="Recent Inactivity","RECENT_INACTIVITY",IF(Q171="New Customer","NEW_CUSTOMER","RETURNED_CUSTOMER")),IF(LEFT(D171,1)="8",IF(G171="Declining",IF(T171="Engaged but shrinking (Key/Core)","ENGAGED_BUT_SHRINKING","DECLINING_KEY_CORE"),IF(R171="Established Buyer Lapsed","LAPSED_ESTABLISHED","LAPSED_THIN_HISTORY")),IF(S171,IF(P171&lt;&gt;"Recently Active","DORMANT_LOW_VALUE",IF(AG171,"BROWSING_LOW_OFFERS",IF(AH171,"RISING_TAIL","RISING_TAIL_EARLY"))),IF(AND(AG171,P171="Recently Active",OR(G171="Growing",G171="Stable",G171="H2 Active / No H1 GMV"),I171&gt;=Assumptions!$B$74),"BROWSING_LOW_OFFERS","LONG_TAIL_STANDARD"))))))))))</f>
        <v>LONG_TAIL_STANDARD</v>
      </c>
      <c r="AK171" s="2" t="str">
        <f aca="false">INDEX('NBA Library'!$B$4:$B$21,MATCH(AJ171,'NBA Library'!$A$4:$A$21,0))</f>
        <v>Automated Nurture</v>
      </c>
      <c r="AL171" s="2" t="str">
        <f aca="false">INDEX('NBA Library'!$C$4:$C$21,MATCH(AJ171,'NBA Library'!$A$4:$A$21,0))</f>
        <v>Automated</v>
      </c>
      <c r="AM171" s="2" t="str">
        <f aca="false">IF(AA171,"HOLD — Critical Data Issue",IF(Y171,"Human Sign-Off Required",IF(Z171="Manual Review","Human Review Required",IF(AND(AL171="Automated",OR(AE171,AND(OR(AK171="Discovery-to-Offer Enablement",AK171="Reinforce Successful Behaviour"),OR(AC171,AB171)))),"Human Review Required",IF(AL171="Human","Ready — Human",IF(AL171="Hybrid","Ready — Hybrid","Ready — Automated"))))))</f>
        <v>Ready — Automated</v>
      </c>
      <c r="AN171" s="2" t="str">
        <f aca="false">IF(AA171,"P0",IF(AND(AJ171="BROWSING_LOW_OFFERS",E171="Tail"),"P3",IF(AND(AM171="Human Review Required",INDEX('NBA Library'!$D$4:$D$21,MATCH(AJ171,'NBA Library'!$A$4:$A$21,0))="P4"),"P3",INDEX('NBA Library'!$D$4:$D$21,MATCH(AJ171,'NBA Library'!$A$4:$A$21,0)))))</f>
        <v>P4</v>
      </c>
      <c r="AO171" s="2" t="str">
        <f aca="false">E171&amp;" "&amp;C171&amp;" account ("&amp;B171&amp;"); "&amp;G171&amp;" momentum; "&amp;P171&amp;"; £"&amp;TEXT(H171,"#,##0")&amp;" 6m GMV. "&amp;INDEX('NBA Library'!$G$4:$G$21,MATCH(AJ171,'NBA Library'!$A$4:$A$21,0))&amp;IF(LEFT(D171,1)="1"," Baseline: "&amp;V171&amp;" PDP views, "&amp;W171&amp;" app days, "&amp;X171&amp;" offers, "&amp;TEXT(J171/I171,"0%")&amp;" of orders self-serve.","")&amp;IF(AA171," Execution on HOLD until the Duplicate status is resolved.","")&amp;IF(Y171," Key account: explicit AM/leadership sign-off required before any migration activity.","")&amp;IF(AE171," Implied broker % from order counts would move this account to a different segment; review before automating.","")</f>
        <v>Tail AM-Owned / Self-Serving account (Account Managed); Lapsed momentum; No Meaningful History; £196 6m GMV. Low-value, low-dependency account. Scalable automated engagement.</v>
      </c>
      <c r="AP171" s="2" t="str">
        <f aca="false">INDEX('NBA Library'!$E$4:$E$21,MATCH(AJ171,'NBA Library'!$A$4:$A$21,0))&amp;IF(AND(AJ171="NEW_CUSTOMER",AG171),"; introduce Make-an-Offer on items already browsed","")</f>
        <v>Scalable automated engagement matched to nurture sub-context</v>
      </c>
      <c r="AQ171" s="2" t="str">
        <f aca="false">INDEX('NBA Library'!$F$4:$F$21,MATCH(AJ171,'NBA Library'!$A$4:$A$21,0))</f>
        <v>Any repeat order within 90 days</v>
      </c>
      <c r="AR171" s="2" t="str">
        <f aca="false">IF(AND(F171="Low",OR(G171="Growing",G171="Stable"),P171="Recently Active",U171&lt;&gt;"Mixed",OR(AK171="Discovery-to-Offer Enablement",AK171="Reinforce Successful Behaviour"),AM171="Ready — Automated",OR(E171&lt;&gt;"Tail",S171)),"Range Expansion Test — trial "&amp;IF(U171="Bundle-only","handpick","bundles")&amp;" (experimental; not proven to lift GMV)","")</f>
        <v/>
      </c>
      <c r="AS171" s="2" t="str">
        <f aca="false">IF(AK171&lt;&gt;"Automated Nurture","",IF(AJ171="DORMANT_LOW_VALUE","Dormant",IF(AJ171="RISING_TAIL_EARLY","Rising tail – early pattern",IF(Q171="New Customer","New customer onboarding",IF(Q171="Returned Customer","Returned customer",IF(G171="Lapsed","Dormant",IF(T171="Engaged, not converting","Engaged, not converting",IF(T171="One-off low-touch buyer","One-off purchaser",IF(T171="Light-touch repeat buyer","Light-touch repeat buyer","Standard long tail")))))))))</f>
        <v>Dormant</v>
      </c>
      <c r="AT171" s="2" t="str">
        <f aca="false">IF(AA171,"CRITICAL_DATA_BLOCKER; ","")&amp;IF(Y171,"KEY_SIGNOFF; ","")&amp;IF(Z171="Manual Review","PHASE1_MANUAL_REVIEW; ","")&amp;IF(AND(LEFT(D171,1)="1",AZ171="Lumpy"),"LUMPY_CADENCE; ","")&amp;IF(AB171,"BORDERLINE_MOMENTUM; ","")&amp;IF(AC171,"FEB_SENSITIVE; ","")&amp;IF(AD171,"MATERIAL_BROKER_INCONSISTENCY"&amp;IF(AE171," (segment would change)","")&amp;"; ","")&amp;IF(AND(I171&gt;=3,O171&gt;0),IF(AI171&gt;=Assumptions!$B$75,"H2_SINGLE_MONTH_SPIKE; ",""),"")&amp;IF(AND(M171&gt;0,N171=0),"NO_FEB_GMV (Feb unconfirmed); ","")&amp;IF(AF171,"LOW_CONFIDENCE; ","")</f>
        <v>LOW_CONFIDENCE; </v>
      </c>
      <c r="AU171" s="2" t="str">
        <f aca="false">IF(LEFT(D171,1)="1",V171,"")</f>
        <v/>
      </c>
      <c r="AV171" s="2" t="str">
        <f aca="false">IF(LEFT(D171,1)="1",V171&gt;=Assumptions!$B$58,"")</f>
        <v/>
      </c>
      <c r="AW171" s="2" t="str">
        <f aca="false">IF(LEFT(D171,1)="1",W171,"")</f>
        <v/>
      </c>
      <c r="AX171" s="2" t="str">
        <f aca="false">IF(LEFT(D171,1)="1",X171,"")</f>
        <v/>
      </c>
      <c r="AY171" s="17" t="str">
        <f aca="false">IF(LEFT(D171,1)="1",J171/I171,"")</f>
        <v/>
      </c>
      <c r="AZ171" s="2" t="str">
        <f aca="false">IF(LEFT(D171,1)="1",IF(AND(K171&gt;=Assumptions!$B$83,I171&gt;=Assumptions!$B$84),"Regular","Lumpy"),"")</f>
        <v/>
      </c>
      <c r="BA171" s="2" t="str">
        <f aca="false">IF(LEFT(D171,1)="1",ROUND(6/K171,0),"")</f>
        <v/>
      </c>
      <c r="BB171" s="2" t="str">
        <f aca="false">IF(LEFT(D171,1)="1",IF(AZ171="Regular","Regular buyer: expected ~£"&amp;TEXT(H171/2,"#,##0")&amp;" per 90 days. At Risk if GMV to date &lt; "&amp;TEXT(Assumptions!$B$81,"0%")&amp;" of pro-rated expectation, checked from day "&amp;Assumptions!$B$82&amp;". Human-reviewed.","Irregular buyer ("&amp;I171&amp;" orders across "&amp;K171&amp;" months): no numeric GMV threshold. At Risk if no order within ~"&amp;BA171&amp;" month(s); AM reviews at day "&amp;Assumptions!$B$82&amp;" and "&amp;Assumptions!$B$85&amp;"."),"")</f>
        <v/>
      </c>
      <c r="BC171" s="2"/>
      <c r="BD171" s="2"/>
      <c r="BE171" s="2"/>
      <c r="BF171" s="2"/>
      <c r="BG171" s="2"/>
      <c r="BH171" s="2"/>
      <c r="BI171" s="2"/>
      <c r="BJ171" s="2" t="str">
        <f aca="false">IF(OR(NOT(LEFT(D171,1)="1"),BC171=""),"",IF(AZ171="Regular",AND(BC171&gt;=Assumptions!$B$82,N(BI171)&lt;Assumptions!$B$81*H171/180*BC171),AND(BC171&gt;=BA171*30,N(BG171)=0)))</f>
        <v/>
      </c>
      <c r="BK171" s="2" t="str">
        <f aca="false">IF(NOT(LEFT(D171,1)="1"),"N/A",IF(BC171="","Baseline",IF(BJ171,"At Risk",IF(AND(N(BD171)&gt;=Assumptions!$B$78,N(BE171)&gt;=Assumptions!$B$79,N(BH171)&gt;=1,N(BH171)/MAX(N(BG171),1)&gt;AY171),"Self-Serve Capability Demonstrated",IF(OR(N(BD171)&gt;=Assumptions!$B$76,N(BE171)&gt;=Assumptions!$B$77),"Progressing",IF(BC171&gt;=Assumptions!$B$85,"At Risk","Baseline"))))))</f>
        <v>N/A</v>
      </c>
      <c r="BL171" s="2" t="n">
        <f aca="false">(AND(C171="Broker-Reliant",OR(AK171="Discovery-to-Offer Enablement",AK171="Reinforce Successful Behaviour")))*1+(AND(G171="Declining",E171&lt;&gt;"Tail",AL171="Automated"))*1+(AND(Y171,AM171&lt;&gt;"Human Sign-Off Required"))*1+(AND(AA171,AM171&lt;&gt;"HOLD — Critical Data Issue"))*1+(AND(P171="Recent Inactivity",OR(AK171="Discovery-to-Offer Enablement",AK171="Reinforce Successful Behaviour")))*1+(AND(OR(LEFT(D171,1)="2",LEFT(D171,1)="3",LEFT(D171,1)="8"),AL171="Automated"))*1+((LEFT(D171,1)="1")&lt;&gt;(AK171="Guided Self-Serve Migration"))*1+(AND(AR171&lt;&gt;"",OR(F171&lt;&gt;"Low",U171="Mixed",AND(G171&lt;&gt;"Growing",G171&lt;&gt;"Stable"))))*1+ISNUMBER(SEARCH("chat",AP171))*1+ISNUMBER(SEARCH("video",AP171))*1+(AND(AA171,AL171="Automated",AM171&lt;&gt;"HOLD — Critical Data Issue"))*1</f>
        <v>0</v>
      </c>
    </row>
    <row r="172" customFormat="false" ht="15" hidden="false" customHeight="false" outlineLevel="0" collapsed="false">
      <c r="A172" s="2" t="s">
        <v>870</v>
      </c>
      <c r="B172" s="2" t="str">
        <f aca="false">INDEX(Segmentation!$B$2:$B$301,MATCH($A172,Segmentation!$A$2:$A$301,0))</f>
        <v>Account Managed</v>
      </c>
      <c r="C172" s="2" t="str">
        <f aca="false">INDEX(Segmentation!$H$2:$H$301,MATCH($A172,Segmentation!$A$2:$A$301,0))</f>
        <v>AM-Owned / Self-Serving</v>
      </c>
      <c r="D172" s="2" t="str">
        <f aca="false">INDEX(Segmentation!$T$2:$T$301,MATCH($A172,Segmentation!$A$2:$A$301,0))</f>
        <v>9. Long-Tail Automated Nurture</v>
      </c>
      <c r="E172" s="2" t="str">
        <f aca="false">INDEX(Segmentation!$J$2:$J$301,MATCH($A172,Segmentation!$A$2:$A$301,0))</f>
        <v>Tail</v>
      </c>
      <c r="F172" s="2" t="str">
        <f aca="false">INDEX(Segmentation!$G$2:$G$301,MATCH($A172,Segmentation!$A$2:$A$301,0))</f>
        <v>Low</v>
      </c>
      <c r="G172" s="2" t="str">
        <f aca="false">INDEX(Segmentation!$N$2:$N$301,MATCH($A172,Segmentation!$A$2:$A$301,0))</f>
        <v>Lapsed</v>
      </c>
      <c r="H172" s="9" t="n">
        <f aca="false">INDEX(Segmentation!$I$2:$I$301,MATCH($A172,Segmentation!$A$2:$A$301,0))</f>
        <v>192</v>
      </c>
      <c r="I172" s="2" t="n">
        <f aca="false">INDEX(Segmentation!$O$2:$O$301,MATCH($A172,Segmentation!$A$2:$A$301,0))</f>
        <v>1</v>
      </c>
      <c r="J172" s="2" t="n">
        <f aca="false">INDEX(Segmentation!$Q$2:$Q$301,MATCH($A172,Segmentation!$A$2:$A$301,0))</f>
        <v>1</v>
      </c>
      <c r="K172" s="2" t="n">
        <f aca="false">INDEX(Segmentation!$W$2:$W$301,MATCH($A172,Segmentation!$A$2:$A$301,0))</f>
        <v>1</v>
      </c>
      <c r="L172" s="9" t="n">
        <f aca="false">INDEX('Commercial View'!$L$2:$L$301,MATCH($A172,'Commercial View'!$A$2:$A$301,0))</f>
        <v>0</v>
      </c>
      <c r="M172" s="9" t="n">
        <f aca="false">INDEX('Commercial View'!$M$2:$M$301,MATCH($A172,'Commercial View'!$A$2:$A$301,0))</f>
        <v>0</v>
      </c>
      <c r="N172" s="9" t="n">
        <f aca="false">INDEX('Commercial View'!$N$2:$N$301,MATCH($A172,'Commercial View'!$A$2:$A$301,0))</f>
        <v>0</v>
      </c>
      <c r="O172" s="9" t="n">
        <f aca="false">INDEX(Segmentation!$L$2:$L$301,MATCH($A172,Segmentation!$A$2:$A$301,0))</f>
        <v>0</v>
      </c>
      <c r="P172" s="2" t="str">
        <f aca="false">IF(OR(M172&gt;0,N172&gt;0),"Recently Active",IF(OR(I172&lt;=Assumptions!$B$48,K172&lt;=Assumptions!$B$49),"No Meaningful History","Recent Inactivity"))</f>
        <v>No Meaningful History</v>
      </c>
      <c r="Q172" s="2" t="str">
        <f aca="false">INDEX(Segmentation!$AF$2:$AF$301,MATCH($A172,Segmentation!$A$2:$A$301,0))</f>
        <v>Existing Customer</v>
      </c>
      <c r="R172" s="2" t="str">
        <f aca="false">INDEX(Segmentation!$AL$2:$AL$301,MATCH($A172,Segmentation!$A$2:$A$301,0))</f>
        <v>One-Off / Insufficient History — Verify</v>
      </c>
      <c r="S172" s="10" t="b">
        <f aca="false">INDEX(Segmentation!$AW$2:$AW$301,MATCH($A172,Segmentation!$A$2:$A$301,0))</f>
        <v>0</v>
      </c>
      <c r="T172" s="2" t="str">
        <f aca="false">INDEX('Feature Data'!$AD$2:$AD$301,MATCH($A172,'Feature Data'!$A$2:$A$301,0))</f>
        <v>Engaged, not converting</v>
      </c>
      <c r="U172" s="2" t="str">
        <f aca="false">INDEX('Feature Data'!$W$2:$W$301,MATCH($A172,'Feature Data'!$A$2:$A$301,0))</f>
        <v>Bundle-only</v>
      </c>
      <c r="V172" s="2" t="n">
        <f aca="false">INDEX('Feature Data'!$P$2:$P$301,MATCH($A172,'Feature Data'!$A$2:$A$301,0))</f>
        <v>226</v>
      </c>
      <c r="W172" s="2" t="n">
        <f aca="false">INDEX(Segmentation!$R$2:$R$301,MATCH($A172,Segmentation!$A$2:$A$301,0))</f>
        <v>3</v>
      </c>
      <c r="X172" s="2" t="n">
        <f aca="false">INDEX(Segmentation!$S$2:$S$301,MATCH($A172,Segmentation!$A$2:$A$301,0))</f>
        <v>0</v>
      </c>
      <c r="Y172" s="10" t="b">
        <f aca="false">INDEX(Segmentation!$AG$2:$AG$301,MATCH($A172,Segmentation!$A$2:$A$301,0))</f>
        <v>0</v>
      </c>
      <c r="Z172" s="2" t="str">
        <f aca="false">INDEX(Segmentation!$AU$2:$AU$301,MATCH($A172,Segmentation!$A$2:$A$301,0))</f>
        <v>Not Eligible</v>
      </c>
      <c r="AA172" s="10" t="b">
        <f aca="false">INDEX(Segmentation!$Z$2:$Z$301,MATCH($A172,Segmentation!$A$2:$A$301,0))</f>
        <v>0</v>
      </c>
      <c r="AB172" s="10" t="b">
        <f aca="false">INDEX(Segmentation!$AH$2:$AH$301,MATCH($A172,Segmentation!$A$2:$A$301,0))</f>
        <v>0</v>
      </c>
      <c r="AC172" s="10" t="b">
        <f aca="false">INDEX(Segmentation!$AK$2:$AK$301,MATCH($A172,Segmentation!$A$2:$A$301,0))</f>
        <v>0</v>
      </c>
      <c r="AD172" s="10" t="b">
        <f aca="false">INDEX(Segmentation!$AQ$2:$AQ$301,MATCH($A172,Segmentation!$A$2:$A$301,0))</f>
        <v>0</v>
      </c>
      <c r="AE172" s="10" t="b">
        <f aca="false">INDEX(Segmentation!$AT$2:$AT$301,MATCH($A172,Segmentation!$A$2:$A$301,0))</f>
        <v>0</v>
      </c>
      <c r="AF172" s="10" t="b">
        <f aca="false">INDEX(Segmentation!$X$2:$X$301,MATCH($A172,Segmentation!$A$2:$A$301,0))</f>
        <v>1</v>
      </c>
      <c r="AG172" s="10" t="b">
        <f aca="false">AND(F172="Low",V172&gt;=Assumptions!$B$71,X172&lt;Assumptions!$B$72)</f>
        <v>1</v>
      </c>
      <c r="AH172" s="10" t="b">
        <f aca="false">AND(F172="Low",OR(G172="Growing",G172="Stable"),P172="Recently Active",V172&gt;=Assumptions!$B$58,K172&gt;=Assumptions!$B$73)</f>
        <v>0</v>
      </c>
      <c r="AI172" s="17" t="str">
        <f aca="false">IF(O172&gt;0,MAX(L172:N172)/O172,"")</f>
        <v/>
      </c>
      <c r="AJ172" s="2" t="str">
        <f aca="false">IF(LEFT(D172,1)="1",IF(E172="Key","MIGRATION_KEY_SIGNOFF",IF(Z172="Ready","MIGRATION_PHASE1_READY",IF(Z172="Manual Review","MIGRATION_PHASE1_REVIEW","MIGRATION_PRE_ENTRY"))),IF(LEFT(D172,1)="2","DECLINING_KEY_CORE",IF(LEFT(D172,1)="3",IF(R172="Established Buyer Lapsed","LAPSED_ESTABLISHED","LAPSED_THIN_HISTORY"),IF(LEFT(D172,1)="4",IF(Q172="New Customer","NEW_CUSTOMER","RETURNED_CUSTOMER"),IF(LEFT(D172,1)="5",IF(P172="Recently Active","COST_TO_SERVE_ACTIVE","DORMANT_LOW_VALUE"),IF(LEFT(D172,1)="6",IF(P172="Recent Inactivity","RECENT_INACTIVITY",IF(AG172,"BROWSING_LOW_OFFERS","HEALTHY_STRONG_SELF_SERVE")),IF(LEFT(D172,1)="7",IF(P172="Recent Inactivity","RECENT_INACTIVITY",IF(Q172="New Customer","NEW_CUSTOMER","RETURNED_CUSTOMER")),IF(LEFT(D172,1)="8",IF(G172="Declining",IF(T172="Engaged but shrinking (Key/Core)","ENGAGED_BUT_SHRINKING","DECLINING_KEY_CORE"),IF(R172="Established Buyer Lapsed","LAPSED_ESTABLISHED","LAPSED_THIN_HISTORY")),IF(S172,IF(P172&lt;&gt;"Recently Active","DORMANT_LOW_VALUE",IF(AG172,"BROWSING_LOW_OFFERS",IF(AH172,"RISING_TAIL","RISING_TAIL_EARLY"))),IF(AND(AG172,P172="Recently Active",OR(G172="Growing",G172="Stable",G172="H2 Active / No H1 GMV"),I172&gt;=Assumptions!$B$74),"BROWSING_LOW_OFFERS","LONG_TAIL_STANDARD"))))))))))</f>
        <v>LONG_TAIL_STANDARD</v>
      </c>
      <c r="AK172" s="2" t="str">
        <f aca="false">INDEX('NBA Library'!$B$4:$B$21,MATCH(AJ172,'NBA Library'!$A$4:$A$21,0))</f>
        <v>Automated Nurture</v>
      </c>
      <c r="AL172" s="2" t="str">
        <f aca="false">INDEX('NBA Library'!$C$4:$C$21,MATCH(AJ172,'NBA Library'!$A$4:$A$21,0))</f>
        <v>Automated</v>
      </c>
      <c r="AM172" s="2" t="str">
        <f aca="false">IF(AA172,"HOLD — Critical Data Issue",IF(Y172,"Human Sign-Off Required",IF(Z172="Manual Review","Human Review Required",IF(AND(AL172="Automated",OR(AE172,AND(OR(AK172="Discovery-to-Offer Enablement",AK172="Reinforce Successful Behaviour"),OR(AC172,AB172)))),"Human Review Required",IF(AL172="Human","Ready — Human",IF(AL172="Hybrid","Ready — Hybrid","Ready — Automated"))))))</f>
        <v>Ready — Automated</v>
      </c>
      <c r="AN172" s="2" t="str">
        <f aca="false">IF(AA172,"P0",IF(AND(AJ172="BROWSING_LOW_OFFERS",E172="Tail"),"P3",IF(AND(AM172="Human Review Required",INDEX('NBA Library'!$D$4:$D$21,MATCH(AJ172,'NBA Library'!$A$4:$A$21,0))="P4"),"P3",INDEX('NBA Library'!$D$4:$D$21,MATCH(AJ172,'NBA Library'!$A$4:$A$21,0)))))</f>
        <v>P4</v>
      </c>
      <c r="AO172" s="2" t="str">
        <f aca="false">E172&amp;" "&amp;C172&amp;" account ("&amp;B172&amp;"); "&amp;G172&amp;" momentum; "&amp;P172&amp;"; £"&amp;TEXT(H172,"#,##0")&amp;" 6m GMV. "&amp;INDEX('NBA Library'!$G$4:$G$21,MATCH(AJ172,'NBA Library'!$A$4:$A$21,0))&amp;IF(LEFT(D172,1)="1"," Baseline: "&amp;V172&amp;" PDP views, "&amp;W172&amp;" app days, "&amp;X172&amp;" offers, "&amp;TEXT(J172/I172,"0%")&amp;" of orders self-serve.","")&amp;IF(AA172," Execution on HOLD until the Duplicate status is resolved.","")&amp;IF(Y172," Key account: explicit AM/leadership sign-off required before any migration activity.","")&amp;IF(AE172," Implied broker % from order counts would move this account to a different segment; review before automating.","")</f>
        <v>Tail AM-Owned / Self-Serving account (Account Managed); Lapsed momentum; No Meaningful History; £192 6m GMV. Low-value, low-dependency account. Scalable automated engagement.</v>
      </c>
      <c r="AP172" s="2" t="str">
        <f aca="false">INDEX('NBA Library'!$E$4:$E$21,MATCH(AJ172,'NBA Library'!$A$4:$A$21,0))&amp;IF(AND(AJ172="NEW_CUSTOMER",AG172),"; introduce Make-an-Offer on items already browsed","")</f>
        <v>Scalable automated engagement matched to nurture sub-context</v>
      </c>
      <c r="AQ172" s="2" t="str">
        <f aca="false">INDEX('NBA Library'!$F$4:$F$21,MATCH(AJ172,'NBA Library'!$A$4:$A$21,0))</f>
        <v>Any repeat order within 90 days</v>
      </c>
      <c r="AR172" s="2" t="str">
        <f aca="false">IF(AND(F172="Low",OR(G172="Growing",G172="Stable"),P172="Recently Active",U172&lt;&gt;"Mixed",OR(AK172="Discovery-to-Offer Enablement",AK172="Reinforce Successful Behaviour"),AM172="Ready — Automated",OR(E172&lt;&gt;"Tail",S172)),"Range Expansion Test — trial "&amp;IF(U172="Bundle-only","handpick","bundles")&amp;" (experimental; not proven to lift GMV)","")</f>
        <v/>
      </c>
      <c r="AS172" s="2" t="str">
        <f aca="false">IF(AK172&lt;&gt;"Automated Nurture","",IF(AJ172="DORMANT_LOW_VALUE","Dormant",IF(AJ172="RISING_TAIL_EARLY","Rising tail – early pattern",IF(Q172="New Customer","New customer onboarding",IF(Q172="Returned Customer","Returned customer",IF(G172="Lapsed","Dormant",IF(T172="Engaged, not converting","Engaged, not converting",IF(T172="One-off low-touch buyer","One-off purchaser",IF(T172="Light-touch repeat buyer","Light-touch repeat buyer","Standard long tail")))))))))</f>
        <v>Dormant</v>
      </c>
      <c r="AT172" s="2" t="str">
        <f aca="false">IF(AA172,"CRITICAL_DATA_BLOCKER; ","")&amp;IF(Y172,"KEY_SIGNOFF; ","")&amp;IF(Z172="Manual Review","PHASE1_MANUAL_REVIEW; ","")&amp;IF(AND(LEFT(D172,1)="1",AZ172="Lumpy"),"LUMPY_CADENCE; ","")&amp;IF(AB172,"BORDERLINE_MOMENTUM; ","")&amp;IF(AC172,"FEB_SENSITIVE; ","")&amp;IF(AD172,"MATERIAL_BROKER_INCONSISTENCY"&amp;IF(AE172," (segment would change)","")&amp;"; ","")&amp;IF(AND(I172&gt;=3,O172&gt;0),IF(AI172&gt;=Assumptions!$B$75,"H2_SINGLE_MONTH_SPIKE; ",""),"")&amp;IF(AND(M172&gt;0,N172=0),"NO_FEB_GMV (Feb unconfirmed); ","")&amp;IF(AF172,"LOW_CONFIDENCE; ","")</f>
        <v>LOW_CONFIDENCE; </v>
      </c>
      <c r="AU172" s="2" t="str">
        <f aca="false">IF(LEFT(D172,1)="1",V172,"")</f>
        <v/>
      </c>
      <c r="AV172" s="2" t="str">
        <f aca="false">IF(LEFT(D172,1)="1",V172&gt;=Assumptions!$B$58,"")</f>
        <v/>
      </c>
      <c r="AW172" s="2" t="str">
        <f aca="false">IF(LEFT(D172,1)="1",W172,"")</f>
        <v/>
      </c>
      <c r="AX172" s="2" t="str">
        <f aca="false">IF(LEFT(D172,1)="1",X172,"")</f>
        <v/>
      </c>
      <c r="AY172" s="17" t="str">
        <f aca="false">IF(LEFT(D172,1)="1",J172/I172,"")</f>
        <v/>
      </c>
      <c r="AZ172" s="2" t="str">
        <f aca="false">IF(LEFT(D172,1)="1",IF(AND(K172&gt;=Assumptions!$B$83,I172&gt;=Assumptions!$B$84),"Regular","Lumpy"),"")</f>
        <v/>
      </c>
      <c r="BA172" s="2" t="str">
        <f aca="false">IF(LEFT(D172,1)="1",ROUND(6/K172,0),"")</f>
        <v/>
      </c>
      <c r="BB172" s="2" t="str">
        <f aca="false">IF(LEFT(D172,1)="1",IF(AZ172="Regular","Regular buyer: expected ~£"&amp;TEXT(H172/2,"#,##0")&amp;" per 90 days. At Risk if GMV to date &lt; "&amp;TEXT(Assumptions!$B$81,"0%")&amp;" of pro-rated expectation, checked from day "&amp;Assumptions!$B$82&amp;". Human-reviewed.","Irregular buyer ("&amp;I172&amp;" orders across "&amp;K172&amp;" months): no numeric GMV threshold. At Risk if no order within ~"&amp;BA172&amp;" month(s); AM reviews at day "&amp;Assumptions!$B$82&amp;" and "&amp;Assumptions!$B$85&amp;"."),"")</f>
        <v/>
      </c>
      <c r="BC172" s="2"/>
      <c r="BD172" s="2"/>
      <c r="BE172" s="2"/>
      <c r="BF172" s="2"/>
      <c r="BG172" s="2"/>
      <c r="BH172" s="2"/>
      <c r="BI172" s="2"/>
      <c r="BJ172" s="2" t="str">
        <f aca="false">IF(OR(NOT(LEFT(D172,1)="1"),BC172=""),"",IF(AZ172="Regular",AND(BC172&gt;=Assumptions!$B$82,N(BI172)&lt;Assumptions!$B$81*H172/180*BC172),AND(BC172&gt;=BA172*30,N(BG172)=0)))</f>
        <v/>
      </c>
      <c r="BK172" s="2" t="str">
        <f aca="false">IF(NOT(LEFT(D172,1)="1"),"N/A",IF(BC172="","Baseline",IF(BJ172,"At Risk",IF(AND(N(BD172)&gt;=Assumptions!$B$78,N(BE172)&gt;=Assumptions!$B$79,N(BH172)&gt;=1,N(BH172)/MAX(N(BG172),1)&gt;AY172),"Self-Serve Capability Demonstrated",IF(OR(N(BD172)&gt;=Assumptions!$B$76,N(BE172)&gt;=Assumptions!$B$77),"Progressing",IF(BC172&gt;=Assumptions!$B$85,"At Risk","Baseline"))))))</f>
        <v>N/A</v>
      </c>
      <c r="BL172" s="2" t="n">
        <f aca="false">(AND(C172="Broker-Reliant",OR(AK172="Discovery-to-Offer Enablement",AK172="Reinforce Successful Behaviour")))*1+(AND(G172="Declining",E172&lt;&gt;"Tail",AL172="Automated"))*1+(AND(Y172,AM172&lt;&gt;"Human Sign-Off Required"))*1+(AND(AA172,AM172&lt;&gt;"HOLD — Critical Data Issue"))*1+(AND(P172="Recent Inactivity",OR(AK172="Discovery-to-Offer Enablement",AK172="Reinforce Successful Behaviour")))*1+(AND(OR(LEFT(D172,1)="2",LEFT(D172,1)="3",LEFT(D172,1)="8"),AL172="Automated"))*1+((LEFT(D172,1)="1")&lt;&gt;(AK172="Guided Self-Serve Migration"))*1+(AND(AR172&lt;&gt;"",OR(F172&lt;&gt;"Low",U172="Mixed",AND(G172&lt;&gt;"Growing",G172&lt;&gt;"Stable"))))*1+ISNUMBER(SEARCH("chat",AP172))*1+ISNUMBER(SEARCH("video",AP172))*1+(AND(AA172,AL172="Automated",AM172&lt;&gt;"HOLD — Critical Data Issue"))*1</f>
        <v>0</v>
      </c>
    </row>
    <row r="173" customFormat="false" ht="15" hidden="false" customHeight="false" outlineLevel="0" collapsed="false">
      <c r="A173" s="2" t="s">
        <v>874</v>
      </c>
      <c r="B173" s="2" t="str">
        <f aca="false">INDEX(Segmentation!$B$2:$B$301,MATCH($A173,Segmentation!$A$2:$A$301,0))</f>
        <v>Account Managed</v>
      </c>
      <c r="C173" s="2" t="str">
        <f aca="false">INDEX(Segmentation!$H$2:$H$301,MATCH($A173,Segmentation!$A$2:$A$301,0))</f>
        <v>AM-Owned / Self-Serving</v>
      </c>
      <c r="D173" s="2" t="str">
        <f aca="false">INDEX(Segmentation!$T$2:$T$301,MATCH($A173,Segmentation!$A$2:$A$301,0))</f>
        <v>9. Long-Tail Automated Nurture</v>
      </c>
      <c r="E173" s="2" t="str">
        <f aca="false">INDEX(Segmentation!$J$2:$J$301,MATCH($A173,Segmentation!$A$2:$A$301,0))</f>
        <v>Tail</v>
      </c>
      <c r="F173" s="2" t="str">
        <f aca="false">INDEX(Segmentation!$G$2:$G$301,MATCH($A173,Segmentation!$A$2:$A$301,0))</f>
        <v>Low</v>
      </c>
      <c r="G173" s="2" t="str">
        <f aca="false">INDEX(Segmentation!$N$2:$N$301,MATCH($A173,Segmentation!$A$2:$A$301,0))</f>
        <v>Lapsed</v>
      </c>
      <c r="H173" s="9" t="n">
        <f aca="false">INDEX(Segmentation!$I$2:$I$301,MATCH($A173,Segmentation!$A$2:$A$301,0))</f>
        <v>186</v>
      </c>
      <c r="I173" s="2" t="n">
        <f aca="false">INDEX(Segmentation!$O$2:$O$301,MATCH($A173,Segmentation!$A$2:$A$301,0))</f>
        <v>1</v>
      </c>
      <c r="J173" s="2" t="n">
        <f aca="false">INDEX(Segmentation!$Q$2:$Q$301,MATCH($A173,Segmentation!$A$2:$A$301,0))</f>
        <v>1</v>
      </c>
      <c r="K173" s="2" t="n">
        <f aca="false">INDEX(Segmentation!$W$2:$W$301,MATCH($A173,Segmentation!$A$2:$A$301,0))</f>
        <v>1</v>
      </c>
      <c r="L173" s="9" t="n">
        <f aca="false">INDEX('Commercial View'!$L$2:$L$301,MATCH($A173,'Commercial View'!$A$2:$A$301,0))</f>
        <v>0</v>
      </c>
      <c r="M173" s="9" t="n">
        <f aca="false">INDEX('Commercial View'!$M$2:$M$301,MATCH($A173,'Commercial View'!$A$2:$A$301,0))</f>
        <v>0</v>
      </c>
      <c r="N173" s="9" t="n">
        <f aca="false">INDEX('Commercial View'!$N$2:$N$301,MATCH($A173,'Commercial View'!$A$2:$A$301,0))</f>
        <v>0</v>
      </c>
      <c r="O173" s="9" t="n">
        <f aca="false">INDEX(Segmentation!$L$2:$L$301,MATCH($A173,Segmentation!$A$2:$A$301,0))</f>
        <v>0</v>
      </c>
      <c r="P173" s="2" t="str">
        <f aca="false">IF(OR(M173&gt;0,N173&gt;0),"Recently Active",IF(OR(I173&lt;=Assumptions!$B$48,K173&lt;=Assumptions!$B$49),"No Meaningful History","Recent Inactivity"))</f>
        <v>No Meaningful History</v>
      </c>
      <c r="Q173" s="2" t="str">
        <f aca="false">INDEX(Segmentation!$AF$2:$AF$301,MATCH($A173,Segmentation!$A$2:$A$301,0))</f>
        <v>Existing Customer</v>
      </c>
      <c r="R173" s="2" t="str">
        <f aca="false">INDEX(Segmentation!$AL$2:$AL$301,MATCH($A173,Segmentation!$A$2:$A$301,0))</f>
        <v>One-Off / Insufficient History — Verify</v>
      </c>
      <c r="S173" s="10" t="b">
        <f aca="false">INDEX(Segmentation!$AW$2:$AW$301,MATCH($A173,Segmentation!$A$2:$A$301,0))</f>
        <v>0</v>
      </c>
      <c r="T173" s="2" t="str">
        <f aca="false">INDEX('Feature Data'!$AD$2:$AD$301,MATCH($A173,'Feature Data'!$A$2:$A$301,0))</f>
        <v>One-off low-touch buyer</v>
      </c>
      <c r="U173" s="2" t="str">
        <f aca="false">INDEX('Feature Data'!$W$2:$W$301,MATCH($A173,'Feature Data'!$A$2:$A$301,0))</f>
        <v>Bundle-only</v>
      </c>
      <c r="V173" s="2" t="n">
        <f aca="false">INDEX('Feature Data'!$P$2:$P$301,MATCH($A173,'Feature Data'!$A$2:$A$301,0))</f>
        <v>40</v>
      </c>
      <c r="W173" s="2" t="n">
        <f aca="false">INDEX(Segmentation!$R$2:$R$301,MATCH($A173,Segmentation!$A$2:$A$301,0))</f>
        <v>3</v>
      </c>
      <c r="X173" s="2" t="n">
        <f aca="false">INDEX(Segmentation!$S$2:$S$301,MATCH($A173,Segmentation!$A$2:$A$301,0))</f>
        <v>1</v>
      </c>
      <c r="Y173" s="10" t="b">
        <f aca="false">INDEX(Segmentation!$AG$2:$AG$301,MATCH($A173,Segmentation!$A$2:$A$301,0))</f>
        <v>0</v>
      </c>
      <c r="Z173" s="2" t="str">
        <f aca="false">INDEX(Segmentation!$AU$2:$AU$301,MATCH($A173,Segmentation!$A$2:$A$301,0))</f>
        <v>Not Eligible</v>
      </c>
      <c r="AA173" s="10" t="b">
        <f aca="false">INDEX(Segmentation!$Z$2:$Z$301,MATCH($A173,Segmentation!$A$2:$A$301,0))</f>
        <v>0</v>
      </c>
      <c r="AB173" s="10" t="b">
        <f aca="false">INDEX(Segmentation!$AH$2:$AH$301,MATCH($A173,Segmentation!$A$2:$A$301,0))</f>
        <v>0</v>
      </c>
      <c r="AC173" s="10" t="b">
        <f aca="false">INDEX(Segmentation!$AK$2:$AK$301,MATCH($A173,Segmentation!$A$2:$A$301,0))</f>
        <v>0</v>
      </c>
      <c r="AD173" s="10" t="b">
        <f aca="false">INDEX(Segmentation!$AQ$2:$AQ$301,MATCH($A173,Segmentation!$A$2:$A$301,0))</f>
        <v>0</v>
      </c>
      <c r="AE173" s="10" t="b">
        <f aca="false">INDEX(Segmentation!$AT$2:$AT$301,MATCH($A173,Segmentation!$A$2:$A$301,0))</f>
        <v>0</v>
      </c>
      <c r="AF173" s="10" t="b">
        <f aca="false">INDEX(Segmentation!$X$2:$X$301,MATCH($A173,Segmentation!$A$2:$A$301,0))</f>
        <v>1</v>
      </c>
      <c r="AG173" s="10" t="b">
        <f aca="false">AND(F173="Low",V173&gt;=Assumptions!$B$71,X173&lt;Assumptions!$B$72)</f>
        <v>0</v>
      </c>
      <c r="AH173" s="10" t="b">
        <f aca="false">AND(F173="Low",OR(G173="Growing",G173="Stable"),P173="Recently Active",V173&gt;=Assumptions!$B$58,K173&gt;=Assumptions!$B$73)</f>
        <v>0</v>
      </c>
      <c r="AI173" s="17" t="str">
        <f aca="false">IF(O173&gt;0,MAX(L173:N173)/O173,"")</f>
        <v/>
      </c>
      <c r="AJ173" s="2" t="str">
        <f aca="false">IF(LEFT(D173,1)="1",IF(E173="Key","MIGRATION_KEY_SIGNOFF",IF(Z173="Ready","MIGRATION_PHASE1_READY",IF(Z173="Manual Review","MIGRATION_PHASE1_REVIEW","MIGRATION_PRE_ENTRY"))),IF(LEFT(D173,1)="2","DECLINING_KEY_CORE",IF(LEFT(D173,1)="3",IF(R173="Established Buyer Lapsed","LAPSED_ESTABLISHED","LAPSED_THIN_HISTORY"),IF(LEFT(D173,1)="4",IF(Q173="New Customer","NEW_CUSTOMER","RETURNED_CUSTOMER"),IF(LEFT(D173,1)="5",IF(P173="Recently Active","COST_TO_SERVE_ACTIVE","DORMANT_LOW_VALUE"),IF(LEFT(D173,1)="6",IF(P173="Recent Inactivity","RECENT_INACTIVITY",IF(AG173,"BROWSING_LOW_OFFERS","HEALTHY_STRONG_SELF_SERVE")),IF(LEFT(D173,1)="7",IF(P173="Recent Inactivity","RECENT_INACTIVITY",IF(Q173="New Customer","NEW_CUSTOMER","RETURNED_CUSTOMER")),IF(LEFT(D173,1)="8",IF(G173="Declining",IF(T173="Engaged but shrinking (Key/Core)","ENGAGED_BUT_SHRINKING","DECLINING_KEY_CORE"),IF(R173="Established Buyer Lapsed","LAPSED_ESTABLISHED","LAPSED_THIN_HISTORY")),IF(S173,IF(P173&lt;&gt;"Recently Active","DORMANT_LOW_VALUE",IF(AG173,"BROWSING_LOW_OFFERS",IF(AH173,"RISING_TAIL","RISING_TAIL_EARLY"))),IF(AND(AG173,P173="Recently Active",OR(G173="Growing",G173="Stable",G173="H2 Active / No H1 GMV"),I173&gt;=Assumptions!$B$74),"BROWSING_LOW_OFFERS","LONG_TAIL_STANDARD"))))))))))</f>
        <v>LONG_TAIL_STANDARD</v>
      </c>
      <c r="AK173" s="2" t="str">
        <f aca="false">INDEX('NBA Library'!$B$4:$B$21,MATCH(AJ173,'NBA Library'!$A$4:$A$21,0))</f>
        <v>Automated Nurture</v>
      </c>
      <c r="AL173" s="2" t="str">
        <f aca="false">INDEX('NBA Library'!$C$4:$C$21,MATCH(AJ173,'NBA Library'!$A$4:$A$21,0))</f>
        <v>Automated</v>
      </c>
      <c r="AM173" s="2" t="str">
        <f aca="false">IF(AA173,"HOLD — Critical Data Issue",IF(Y173,"Human Sign-Off Required",IF(Z173="Manual Review","Human Review Required",IF(AND(AL173="Automated",OR(AE173,AND(OR(AK173="Discovery-to-Offer Enablement",AK173="Reinforce Successful Behaviour"),OR(AC173,AB173)))),"Human Review Required",IF(AL173="Human","Ready — Human",IF(AL173="Hybrid","Ready — Hybrid","Ready — Automated"))))))</f>
        <v>Ready — Automated</v>
      </c>
      <c r="AN173" s="2" t="str">
        <f aca="false">IF(AA173,"P0",IF(AND(AJ173="BROWSING_LOW_OFFERS",E173="Tail"),"P3",IF(AND(AM173="Human Review Required",INDEX('NBA Library'!$D$4:$D$21,MATCH(AJ173,'NBA Library'!$A$4:$A$21,0))="P4"),"P3",INDEX('NBA Library'!$D$4:$D$21,MATCH(AJ173,'NBA Library'!$A$4:$A$21,0)))))</f>
        <v>P4</v>
      </c>
      <c r="AO173" s="2" t="str">
        <f aca="false">E173&amp;" "&amp;C173&amp;" account ("&amp;B173&amp;"); "&amp;G173&amp;" momentum; "&amp;P173&amp;"; £"&amp;TEXT(H173,"#,##0")&amp;" 6m GMV. "&amp;INDEX('NBA Library'!$G$4:$G$21,MATCH(AJ173,'NBA Library'!$A$4:$A$21,0))&amp;IF(LEFT(D173,1)="1"," Baseline: "&amp;V173&amp;" PDP views, "&amp;W173&amp;" app days, "&amp;X173&amp;" offers, "&amp;TEXT(J173/I173,"0%")&amp;" of orders self-serve.","")&amp;IF(AA173," Execution on HOLD until the Duplicate status is resolved.","")&amp;IF(Y173," Key account: explicit AM/leadership sign-off required before any migration activity.","")&amp;IF(AE173," Implied broker % from order counts would move this account to a different segment; review before automating.","")</f>
        <v>Tail AM-Owned / Self-Serving account (Account Managed); Lapsed momentum; No Meaningful History; £186 6m GMV. Low-value, low-dependency account. Scalable automated engagement.</v>
      </c>
      <c r="AP173" s="2" t="str">
        <f aca="false">INDEX('NBA Library'!$E$4:$E$21,MATCH(AJ173,'NBA Library'!$A$4:$A$21,0))&amp;IF(AND(AJ173="NEW_CUSTOMER",AG173),"; introduce Make-an-Offer on items already browsed","")</f>
        <v>Scalable automated engagement matched to nurture sub-context</v>
      </c>
      <c r="AQ173" s="2" t="str">
        <f aca="false">INDEX('NBA Library'!$F$4:$F$21,MATCH(AJ173,'NBA Library'!$A$4:$A$21,0))</f>
        <v>Any repeat order within 90 days</v>
      </c>
      <c r="AR173" s="2" t="str">
        <f aca="false">IF(AND(F173="Low",OR(G173="Growing",G173="Stable"),P173="Recently Active",U173&lt;&gt;"Mixed",OR(AK173="Discovery-to-Offer Enablement",AK173="Reinforce Successful Behaviour"),AM173="Ready — Automated",OR(E173&lt;&gt;"Tail",S173)),"Range Expansion Test — trial "&amp;IF(U173="Bundle-only","handpick","bundles")&amp;" (experimental; not proven to lift GMV)","")</f>
        <v/>
      </c>
      <c r="AS173" s="2" t="str">
        <f aca="false">IF(AK173&lt;&gt;"Automated Nurture","",IF(AJ173="DORMANT_LOW_VALUE","Dormant",IF(AJ173="RISING_TAIL_EARLY","Rising tail – early pattern",IF(Q173="New Customer","New customer onboarding",IF(Q173="Returned Customer","Returned customer",IF(G173="Lapsed","Dormant",IF(T173="Engaged, not converting","Engaged, not converting",IF(T173="One-off low-touch buyer","One-off purchaser",IF(T173="Light-touch repeat buyer","Light-touch repeat buyer","Standard long tail")))))))))</f>
        <v>Dormant</v>
      </c>
      <c r="AT173" s="2" t="str">
        <f aca="false">IF(AA173,"CRITICAL_DATA_BLOCKER; ","")&amp;IF(Y173,"KEY_SIGNOFF; ","")&amp;IF(Z173="Manual Review","PHASE1_MANUAL_REVIEW; ","")&amp;IF(AND(LEFT(D173,1)="1",AZ173="Lumpy"),"LUMPY_CADENCE; ","")&amp;IF(AB173,"BORDERLINE_MOMENTUM; ","")&amp;IF(AC173,"FEB_SENSITIVE; ","")&amp;IF(AD173,"MATERIAL_BROKER_INCONSISTENCY"&amp;IF(AE173," (segment would change)","")&amp;"; ","")&amp;IF(AND(I173&gt;=3,O173&gt;0),IF(AI173&gt;=Assumptions!$B$75,"H2_SINGLE_MONTH_SPIKE; ",""),"")&amp;IF(AND(M173&gt;0,N173=0),"NO_FEB_GMV (Feb unconfirmed); ","")&amp;IF(AF173,"LOW_CONFIDENCE; ","")</f>
        <v>LOW_CONFIDENCE; </v>
      </c>
      <c r="AU173" s="2" t="str">
        <f aca="false">IF(LEFT(D173,1)="1",V173,"")</f>
        <v/>
      </c>
      <c r="AV173" s="2" t="str">
        <f aca="false">IF(LEFT(D173,1)="1",V173&gt;=Assumptions!$B$58,"")</f>
        <v/>
      </c>
      <c r="AW173" s="2" t="str">
        <f aca="false">IF(LEFT(D173,1)="1",W173,"")</f>
        <v/>
      </c>
      <c r="AX173" s="2" t="str">
        <f aca="false">IF(LEFT(D173,1)="1",X173,"")</f>
        <v/>
      </c>
      <c r="AY173" s="17" t="str">
        <f aca="false">IF(LEFT(D173,1)="1",J173/I173,"")</f>
        <v/>
      </c>
      <c r="AZ173" s="2" t="str">
        <f aca="false">IF(LEFT(D173,1)="1",IF(AND(K173&gt;=Assumptions!$B$83,I173&gt;=Assumptions!$B$84),"Regular","Lumpy"),"")</f>
        <v/>
      </c>
      <c r="BA173" s="2" t="str">
        <f aca="false">IF(LEFT(D173,1)="1",ROUND(6/K173,0),"")</f>
        <v/>
      </c>
      <c r="BB173" s="2" t="str">
        <f aca="false">IF(LEFT(D173,1)="1",IF(AZ173="Regular","Regular buyer: expected ~£"&amp;TEXT(H173/2,"#,##0")&amp;" per 90 days. At Risk if GMV to date &lt; "&amp;TEXT(Assumptions!$B$81,"0%")&amp;" of pro-rated expectation, checked from day "&amp;Assumptions!$B$82&amp;". Human-reviewed.","Irregular buyer ("&amp;I173&amp;" orders across "&amp;K173&amp;" months): no numeric GMV threshold. At Risk if no order within ~"&amp;BA173&amp;" month(s); AM reviews at day "&amp;Assumptions!$B$82&amp;" and "&amp;Assumptions!$B$85&amp;"."),"")</f>
        <v/>
      </c>
      <c r="BC173" s="2"/>
      <c r="BD173" s="2"/>
      <c r="BE173" s="2"/>
      <c r="BF173" s="2"/>
      <c r="BG173" s="2"/>
      <c r="BH173" s="2"/>
      <c r="BI173" s="2"/>
      <c r="BJ173" s="2" t="str">
        <f aca="false">IF(OR(NOT(LEFT(D173,1)="1"),BC173=""),"",IF(AZ173="Regular",AND(BC173&gt;=Assumptions!$B$82,N(BI173)&lt;Assumptions!$B$81*H173/180*BC173),AND(BC173&gt;=BA173*30,N(BG173)=0)))</f>
        <v/>
      </c>
      <c r="BK173" s="2" t="str">
        <f aca="false">IF(NOT(LEFT(D173,1)="1"),"N/A",IF(BC173="","Baseline",IF(BJ173,"At Risk",IF(AND(N(BD173)&gt;=Assumptions!$B$78,N(BE173)&gt;=Assumptions!$B$79,N(BH173)&gt;=1,N(BH173)/MAX(N(BG173),1)&gt;AY173),"Self-Serve Capability Demonstrated",IF(OR(N(BD173)&gt;=Assumptions!$B$76,N(BE173)&gt;=Assumptions!$B$77),"Progressing",IF(BC173&gt;=Assumptions!$B$85,"At Risk","Baseline"))))))</f>
        <v>N/A</v>
      </c>
      <c r="BL173" s="2" t="n">
        <f aca="false">(AND(C173="Broker-Reliant",OR(AK173="Discovery-to-Offer Enablement",AK173="Reinforce Successful Behaviour")))*1+(AND(G173="Declining",E173&lt;&gt;"Tail",AL173="Automated"))*1+(AND(Y173,AM173&lt;&gt;"Human Sign-Off Required"))*1+(AND(AA173,AM173&lt;&gt;"HOLD — Critical Data Issue"))*1+(AND(P173="Recent Inactivity",OR(AK173="Discovery-to-Offer Enablement",AK173="Reinforce Successful Behaviour")))*1+(AND(OR(LEFT(D173,1)="2",LEFT(D173,1)="3",LEFT(D173,1)="8"),AL173="Automated"))*1+((LEFT(D173,1)="1")&lt;&gt;(AK173="Guided Self-Serve Migration"))*1+(AND(AR173&lt;&gt;"",OR(F173&lt;&gt;"Low",U173="Mixed",AND(G173&lt;&gt;"Growing",G173&lt;&gt;"Stable"))))*1+ISNUMBER(SEARCH("chat",AP173))*1+ISNUMBER(SEARCH("video",AP173))*1+(AND(AA173,AL173="Automated",AM173&lt;&gt;"HOLD — Critical Data Issue"))*1</f>
        <v>0</v>
      </c>
    </row>
    <row r="174" customFormat="false" ht="15" hidden="false" customHeight="false" outlineLevel="0" collapsed="false">
      <c r="A174" s="2" t="s">
        <v>878</v>
      </c>
      <c r="B174" s="2" t="str">
        <f aca="false">INDEX(Segmentation!$B$2:$B$301,MATCH($A174,Segmentation!$A$2:$A$301,0))</f>
        <v>Account Managed</v>
      </c>
      <c r="C174" s="2" t="str">
        <f aca="false">INDEX(Segmentation!$H$2:$H$301,MATCH($A174,Segmentation!$A$2:$A$301,0))</f>
        <v>AM-Owned / Self-Serving</v>
      </c>
      <c r="D174" s="2" t="str">
        <f aca="false">INDEX(Segmentation!$T$2:$T$301,MATCH($A174,Segmentation!$A$2:$A$301,0))</f>
        <v>9. Long-Tail Automated Nurture</v>
      </c>
      <c r="E174" s="2" t="str">
        <f aca="false">INDEX(Segmentation!$J$2:$J$301,MATCH($A174,Segmentation!$A$2:$A$301,0))</f>
        <v>Tail</v>
      </c>
      <c r="F174" s="2" t="str">
        <f aca="false">INDEX(Segmentation!$G$2:$G$301,MATCH($A174,Segmentation!$A$2:$A$301,0))</f>
        <v>Low</v>
      </c>
      <c r="G174" s="2" t="str">
        <f aca="false">INDEX(Segmentation!$N$2:$N$301,MATCH($A174,Segmentation!$A$2:$A$301,0))</f>
        <v>H2 Active / No H1 GMV</v>
      </c>
      <c r="H174" s="9" t="n">
        <f aca="false">INDEX(Segmentation!$I$2:$I$301,MATCH($A174,Segmentation!$A$2:$A$301,0))</f>
        <v>185</v>
      </c>
      <c r="I174" s="2" t="n">
        <f aca="false">INDEX(Segmentation!$O$2:$O$301,MATCH($A174,Segmentation!$A$2:$A$301,0))</f>
        <v>1</v>
      </c>
      <c r="J174" s="2" t="n">
        <f aca="false">INDEX(Segmentation!$Q$2:$Q$301,MATCH($A174,Segmentation!$A$2:$A$301,0))</f>
        <v>1</v>
      </c>
      <c r="K174" s="2" t="n">
        <f aca="false">INDEX(Segmentation!$W$2:$W$301,MATCH($A174,Segmentation!$A$2:$A$301,0))</f>
        <v>1</v>
      </c>
      <c r="L174" s="9" t="n">
        <f aca="false">INDEX('Commercial View'!$L$2:$L$301,MATCH($A174,'Commercial View'!$A$2:$A$301,0))</f>
        <v>0</v>
      </c>
      <c r="M174" s="9" t="n">
        <f aca="false">INDEX('Commercial View'!$M$2:$M$301,MATCH($A174,'Commercial View'!$A$2:$A$301,0))</f>
        <v>185</v>
      </c>
      <c r="N174" s="9" t="n">
        <f aca="false">INDEX('Commercial View'!$N$2:$N$301,MATCH($A174,'Commercial View'!$A$2:$A$301,0))</f>
        <v>0</v>
      </c>
      <c r="O174" s="9" t="n">
        <f aca="false">INDEX(Segmentation!$L$2:$L$301,MATCH($A174,Segmentation!$A$2:$A$301,0))</f>
        <v>185</v>
      </c>
      <c r="P174" s="2" t="str">
        <f aca="false">IF(OR(M174&gt;0,N174&gt;0),"Recently Active",IF(OR(I174&lt;=Assumptions!$B$48,K174&lt;=Assumptions!$B$49),"No Meaningful History","Recent Inactivity"))</f>
        <v>Recently Active</v>
      </c>
      <c r="Q174" s="2" t="str">
        <f aca="false">INDEX(Segmentation!$AF$2:$AF$301,MATCH($A174,Segmentation!$A$2:$A$301,0))</f>
        <v>Returned Customer</v>
      </c>
      <c r="R174" s="2" t="str">
        <f aca="false">INDEX(Segmentation!$AL$2:$AL$301,MATCH($A174,Segmentation!$A$2:$A$301,0))</f>
        <v>N/A</v>
      </c>
      <c r="S174" s="10" t="b">
        <f aca="false">INDEX(Segmentation!$AW$2:$AW$301,MATCH($A174,Segmentation!$A$2:$A$301,0))</f>
        <v>0</v>
      </c>
      <c r="T174" s="2" t="str">
        <f aca="false">INDEX('Feature Data'!$AD$2:$AD$301,MATCH($A174,'Feature Data'!$A$2:$A$301,0))</f>
        <v>One-off low-touch buyer</v>
      </c>
      <c r="U174" s="2" t="str">
        <f aca="false">INDEX('Feature Data'!$W$2:$W$301,MATCH($A174,'Feature Data'!$A$2:$A$301,0))</f>
        <v>Bundle-only</v>
      </c>
      <c r="V174" s="2" t="n">
        <f aca="false">INDEX('Feature Data'!$P$2:$P$301,MATCH($A174,'Feature Data'!$A$2:$A$301,0))</f>
        <v>34</v>
      </c>
      <c r="W174" s="2" t="n">
        <f aca="false">INDEX(Segmentation!$R$2:$R$301,MATCH($A174,Segmentation!$A$2:$A$301,0))</f>
        <v>6</v>
      </c>
      <c r="X174" s="2" t="n">
        <f aca="false">INDEX(Segmentation!$S$2:$S$301,MATCH($A174,Segmentation!$A$2:$A$301,0))</f>
        <v>0</v>
      </c>
      <c r="Y174" s="10" t="b">
        <f aca="false">INDEX(Segmentation!$AG$2:$AG$301,MATCH($A174,Segmentation!$A$2:$A$301,0))</f>
        <v>0</v>
      </c>
      <c r="Z174" s="2" t="str">
        <f aca="false">INDEX(Segmentation!$AU$2:$AU$301,MATCH($A174,Segmentation!$A$2:$A$301,0))</f>
        <v>Not Eligible</v>
      </c>
      <c r="AA174" s="10" t="b">
        <f aca="false">INDEX(Segmentation!$Z$2:$Z$301,MATCH($A174,Segmentation!$A$2:$A$301,0))</f>
        <v>0</v>
      </c>
      <c r="AB174" s="10" t="b">
        <f aca="false">INDEX(Segmentation!$AH$2:$AH$301,MATCH($A174,Segmentation!$A$2:$A$301,0))</f>
        <v>0</v>
      </c>
      <c r="AC174" s="10" t="b">
        <f aca="false">INDEX(Segmentation!$AK$2:$AK$301,MATCH($A174,Segmentation!$A$2:$A$301,0))</f>
        <v>0</v>
      </c>
      <c r="AD174" s="10" t="b">
        <f aca="false">INDEX(Segmentation!$AQ$2:$AQ$301,MATCH($A174,Segmentation!$A$2:$A$301,0))</f>
        <v>0</v>
      </c>
      <c r="AE174" s="10" t="b">
        <f aca="false">INDEX(Segmentation!$AT$2:$AT$301,MATCH($A174,Segmentation!$A$2:$A$301,0))</f>
        <v>0</v>
      </c>
      <c r="AF174" s="10" t="b">
        <f aca="false">INDEX(Segmentation!$X$2:$X$301,MATCH($A174,Segmentation!$A$2:$A$301,0))</f>
        <v>1</v>
      </c>
      <c r="AG174" s="10" t="b">
        <f aca="false">AND(F174="Low",V174&gt;=Assumptions!$B$71,X174&lt;Assumptions!$B$72)</f>
        <v>0</v>
      </c>
      <c r="AH174" s="10" t="b">
        <f aca="false">AND(F174="Low",OR(G174="Growing",G174="Stable"),P174="Recently Active",V174&gt;=Assumptions!$B$58,K174&gt;=Assumptions!$B$73)</f>
        <v>0</v>
      </c>
      <c r="AI174" s="17" t="n">
        <f aca="false">IF(O174&gt;0,MAX(L174:N174)/O174,"")</f>
        <v>1</v>
      </c>
      <c r="AJ174" s="2" t="str">
        <f aca="false">IF(LEFT(D174,1)="1",IF(E174="Key","MIGRATION_KEY_SIGNOFF",IF(Z174="Ready","MIGRATION_PHASE1_READY",IF(Z174="Manual Review","MIGRATION_PHASE1_REVIEW","MIGRATION_PRE_ENTRY"))),IF(LEFT(D174,1)="2","DECLINING_KEY_CORE",IF(LEFT(D174,1)="3",IF(R174="Established Buyer Lapsed","LAPSED_ESTABLISHED","LAPSED_THIN_HISTORY"),IF(LEFT(D174,1)="4",IF(Q174="New Customer","NEW_CUSTOMER","RETURNED_CUSTOMER"),IF(LEFT(D174,1)="5",IF(P174="Recently Active","COST_TO_SERVE_ACTIVE","DORMANT_LOW_VALUE"),IF(LEFT(D174,1)="6",IF(P174="Recent Inactivity","RECENT_INACTIVITY",IF(AG174,"BROWSING_LOW_OFFERS","HEALTHY_STRONG_SELF_SERVE")),IF(LEFT(D174,1)="7",IF(P174="Recent Inactivity","RECENT_INACTIVITY",IF(Q174="New Customer","NEW_CUSTOMER","RETURNED_CUSTOMER")),IF(LEFT(D174,1)="8",IF(G174="Declining",IF(T174="Engaged but shrinking (Key/Core)","ENGAGED_BUT_SHRINKING","DECLINING_KEY_CORE"),IF(R174="Established Buyer Lapsed","LAPSED_ESTABLISHED","LAPSED_THIN_HISTORY")),IF(S174,IF(P174&lt;&gt;"Recently Active","DORMANT_LOW_VALUE",IF(AG174,"BROWSING_LOW_OFFERS",IF(AH174,"RISING_TAIL","RISING_TAIL_EARLY"))),IF(AND(AG174,P174="Recently Active",OR(G174="Growing",G174="Stable",G174="H2 Active / No H1 GMV"),I174&gt;=Assumptions!$B$74),"BROWSING_LOW_OFFERS","LONG_TAIL_STANDARD"))))))))))</f>
        <v>LONG_TAIL_STANDARD</v>
      </c>
      <c r="AK174" s="2" t="str">
        <f aca="false">INDEX('NBA Library'!$B$4:$B$21,MATCH(AJ174,'NBA Library'!$A$4:$A$21,0))</f>
        <v>Automated Nurture</v>
      </c>
      <c r="AL174" s="2" t="str">
        <f aca="false">INDEX('NBA Library'!$C$4:$C$21,MATCH(AJ174,'NBA Library'!$A$4:$A$21,0))</f>
        <v>Automated</v>
      </c>
      <c r="AM174" s="2" t="str">
        <f aca="false">IF(AA174,"HOLD — Critical Data Issue",IF(Y174,"Human Sign-Off Required",IF(Z174="Manual Review","Human Review Required",IF(AND(AL174="Automated",OR(AE174,AND(OR(AK174="Discovery-to-Offer Enablement",AK174="Reinforce Successful Behaviour"),OR(AC174,AB174)))),"Human Review Required",IF(AL174="Human","Ready — Human",IF(AL174="Hybrid","Ready — Hybrid","Ready — Automated"))))))</f>
        <v>Ready — Automated</v>
      </c>
      <c r="AN174" s="2" t="str">
        <f aca="false">IF(AA174,"P0",IF(AND(AJ174="BROWSING_LOW_OFFERS",E174="Tail"),"P3",IF(AND(AM174="Human Review Required",INDEX('NBA Library'!$D$4:$D$21,MATCH(AJ174,'NBA Library'!$A$4:$A$21,0))="P4"),"P3",INDEX('NBA Library'!$D$4:$D$21,MATCH(AJ174,'NBA Library'!$A$4:$A$21,0)))))</f>
        <v>P4</v>
      </c>
      <c r="AO174" s="2" t="str">
        <f aca="false">E174&amp;" "&amp;C174&amp;" account ("&amp;B174&amp;"); "&amp;G174&amp;" momentum; "&amp;P174&amp;"; £"&amp;TEXT(H174,"#,##0")&amp;" 6m GMV. "&amp;INDEX('NBA Library'!$G$4:$G$21,MATCH(AJ174,'NBA Library'!$A$4:$A$21,0))&amp;IF(LEFT(D174,1)="1"," Baseline: "&amp;V174&amp;" PDP views, "&amp;W174&amp;" app days, "&amp;X174&amp;" offers, "&amp;TEXT(J174/I174,"0%")&amp;" of orders self-serve.","")&amp;IF(AA174," Execution on HOLD until the Duplicate status is resolved.","")&amp;IF(Y174," Key account: explicit AM/leadership sign-off required before any migration activity.","")&amp;IF(AE174," Implied broker % from order counts would move this account to a different segment; review before automating.","")</f>
        <v>Tail AM-Owned / Self-Serving account (Account Managed); H2 Active / No H1 GMV momentum; Recently Active; £185 6m GMV. Low-value, low-dependency account. Scalable automated engagement.</v>
      </c>
      <c r="AP174" s="2" t="str">
        <f aca="false">INDEX('NBA Library'!$E$4:$E$21,MATCH(AJ174,'NBA Library'!$A$4:$A$21,0))&amp;IF(AND(AJ174="NEW_CUSTOMER",AG174),"; introduce Make-an-Offer on items already browsed","")</f>
        <v>Scalable automated engagement matched to nurture sub-context</v>
      </c>
      <c r="AQ174" s="2" t="str">
        <f aca="false">INDEX('NBA Library'!$F$4:$F$21,MATCH(AJ174,'NBA Library'!$A$4:$A$21,0))</f>
        <v>Any repeat order within 90 days</v>
      </c>
      <c r="AR174" s="2" t="str">
        <f aca="false">IF(AND(F174="Low",OR(G174="Growing",G174="Stable"),P174="Recently Active",U174&lt;&gt;"Mixed",OR(AK174="Discovery-to-Offer Enablement",AK174="Reinforce Successful Behaviour"),AM174="Ready — Automated",OR(E174&lt;&gt;"Tail",S174)),"Range Expansion Test — trial "&amp;IF(U174="Bundle-only","handpick","bundles")&amp;" (experimental; not proven to lift GMV)","")</f>
        <v/>
      </c>
      <c r="AS174" s="2" t="str">
        <f aca="false">IF(AK174&lt;&gt;"Automated Nurture","",IF(AJ174="DORMANT_LOW_VALUE","Dormant",IF(AJ174="RISING_TAIL_EARLY","Rising tail – early pattern",IF(Q174="New Customer","New customer onboarding",IF(Q174="Returned Customer","Returned customer",IF(G174="Lapsed","Dormant",IF(T174="Engaged, not converting","Engaged, not converting",IF(T174="One-off low-touch buyer","One-off purchaser",IF(T174="Light-touch repeat buyer","Light-touch repeat buyer","Standard long tail")))))))))</f>
        <v>Returned customer</v>
      </c>
      <c r="AT174" s="2" t="str">
        <f aca="false">IF(AA174,"CRITICAL_DATA_BLOCKER; ","")&amp;IF(Y174,"KEY_SIGNOFF; ","")&amp;IF(Z174="Manual Review","PHASE1_MANUAL_REVIEW; ","")&amp;IF(AND(LEFT(D174,1)="1",AZ174="Lumpy"),"LUMPY_CADENCE; ","")&amp;IF(AB174,"BORDERLINE_MOMENTUM; ","")&amp;IF(AC174,"FEB_SENSITIVE; ","")&amp;IF(AD174,"MATERIAL_BROKER_INCONSISTENCY"&amp;IF(AE174," (segment would change)","")&amp;"; ","")&amp;IF(AND(I174&gt;=3,O174&gt;0),IF(AI174&gt;=Assumptions!$B$75,"H2_SINGLE_MONTH_SPIKE; ",""),"")&amp;IF(AND(M174&gt;0,N174=0),"NO_FEB_GMV (Feb unconfirmed); ","")&amp;IF(AF174,"LOW_CONFIDENCE; ","")</f>
        <v>NO_FEB_GMV (Feb unconfirmed); LOW_CONFIDENCE; </v>
      </c>
      <c r="AU174" s="2" t="str">
        <f aca="false">IF(LEFT(D174,1)="1",V174,"")</f>
        <v/>
      </c>
      <c r="AV174" s="2" t="str">
        <f aca="false">IF(LEFT(D174,1)="1",V174&gt;=Assumptions!$B$58,"")</f>
        <v/>
      </c>
      <c r="AW174" s="2" t="str">
        <f aca="false">IF(LEFT(D174,1)="1",W174,"")</f>
        <v/>
      </c>
      <c r="AX174" s="2" t="str">
        <f aca="false">IF(LEFT(D174,1)="1",X174,"")</f>
        <v/>
      </c>
      <c r="AY174" s="17" t="str">
        <f aca="false">IF(LEFT(D174,1)="1",J174/I174,"")</f>
        <v/>
      </c>
      <c r="AZ174" s="2" t="str">
        <f aca="false">IF(LEFT(D174,1)="1",IF(AND(K174&gt;=Assumptions!$B$83,I174&gt;=Assumptions!$B$84),"Regular","Lumpy"),"")</f>
        <v/>
      </c>
      <c r="BA174" s="2" t="str">
        <f aca="false">IF(LEFT(D174,1)="1",ROUND(6/K174,0),"")</f>
        <v/>
      </c>
      <c r="BB174" s="2" t="str">
        <f aca="false">IF(LEFT(D174,1)="1",IF(AZ174="Regular","Regular buyer: expected ~£"&amp;TEXT(H174/2,"#,##0")&amp;" per 90 days. At Risk if GMV to date &lt; "&amp;TEXT(Assumptions!$B$81,"0%")&amp;" of pro-rated expectation, checked from day "&amp;Assumptions!$B$82&amp;". Human-reviewed.","Irregular buyer ("&amp;I174&amp;" orders across "&amp;K174&amp;" months): no numeric GMV threshold. At Risk if no order within ~"&amp;BA174&amp;" month(s); AM reviews at day "&amp;Assumptions!$B$82&amp;" and "&amp;Assumptions!$B$85&amp;"."),"")</f>
        <v/>
      </c>
      <c r="BC174" s="2"/>
      <c r="BD174" s="2"/>
      <c r="BE174" s="2"/>
      <c r="BF174" s="2"/>
      <c r="BG174" s="2"/>
      <c r="BH174" s="2"/>
      <c r="BI174" s="2"/>
      <c r="BJ174" s="2" t="str">
        <f aca="false">IF(OR(NOT(LEFT(D174,1)="1"),BC174=""),"",IF(AZ174="Regular",AND(BC174&gt;=Assumptions!$B$82,N(BI174)&lt;Assumptions!$B$81*H174/180*BC174),AND(BC174&gt;=BA174*30,N(BG174)=0)))</f>
        <v/>
      </c>
      <c r="BK174" s="2" t="str">
        <f aca="false">IF(NOT(LEFT(D174,1)="1"),"N/A",IF(BC174="","Baseline",IF(BJ174,"At Risk",IF(AND(N(BD174)&gt;=Assumptions!$B$78,N(BE174)&gt;=Assumptions!$B$79,N(BH174)&gt;=1,N(BH174)/MAX(N(BG174),1)&gt;AY174),"Self-Serve Capability Demonstrated",IF(OR(N(BD174)&gt;=Assumptions!$B$76,N(BE174)&gt;=Assumptions!$B$77),"Progressing",IF(BC174&gt;=Assumptions!$B$85,"At Risk","Baseline"))))))</f>
        <v>N/A</v>
      </c>
      <c r="BL174" s="2" t="n">
        <f aca="false">(AND(C174="Broker-Reliant",OR(AK174="Discovery-to-Offer Enablement",AK174="Reinforce Successful Behaviour")))*1+(AND(G174="Declining",E174&lt;&gt;"Tail",AL174="Automated"))*1+(AND(Y174,AM174&lt;&gt;"Human Sign-Off Required"))*1+(AND(AA174,AM174&lt;&gt;"HOLD — Critical Data Issue"))*1+(AND(P174="Recent Inactivity",OR(AK174="Discovery-to-Offer Enablement",AK174="Reinforce Successful Behaviour")))*1+(AND(OR(LEFT(D174,1)="2",LEFT(D174,1)="3",LEFT(D174,1)="8"),AL174="Automated"))*1+((LEFT(D174,1)="1")&lt;&gt;(AK174="Guided Self-Serve Migration"))*1+(AND(AR174&lt;&gt;"",OR(F174&lt;&gt;"Low",U174="Mixed",AND(G174&lt;&gt;"Growing",G174&lt;&gt;"Stable"))))*1+ISNUMBER(SEARCH("chat",AP174))*1+ISNUMBER(SEARCH("video",AP174))*1+(AND(AA174,AL174="Automated",AM174&lt;&gt;"HOLD — Critical Data Issue"))*1</f>
        <v>0</v>
      </c>
    </row>
    <row r="175" customFormat="false" ht="15" hidden="false" customHeight="false" outlineLevel="0" collapsed="false">
      <c r="A175" s="2" t="s">
        <v>886</v>
      </c>
      <c r="B175" s="2" t="str">
        <f aca="false">INDEX(Segmentation!$B$2:$B$301,MATCH($A175,Segmentation!$A$2:$A$301,0))</f>
        <v>Account Managed</v>
      </c>
      <c r="C175" s="2" t="str">
        <f aca="false">INDEX(Segmentation!$H$2:$H$301,MATCH($A175,Segmentation!$A$2:$A$301,0))</f>
        <v>AM-Owned / Self-Serving</v>
      </c>
      <c r="D175" s="2" t="str">
        <f aca="false">INDEX(Segmentation!$T$2:$T$301,MATCH($A175,Segmentation!$A$2:$A$301,0))</f>
        <v>9. Long-Tail Automated Nurture</v>
      </c>
      <c r="E175" s="2" t="str">
        <f aca="false">INDEX(Segmentation!$J$2:$J$301,MATCH($A175,Segmentation!$A$2:$A$301,0))</f>
        <v>Tail</v>
      </c>
      <c r="F175" s="2" t="str">
        <f aca="false">INDEX(Segmentation!$G$2:$G$301,MATCH($A175,Segmentation!$A$2:$A$301,0))</f>
        <v>Low</v>
      </c>
      <c r="G175" s="2" t="str">
        <f aca="false">INDEX(Segmentation!$N$2:$N$301,MATCH($A175,Segmentation!$A$2:$A$301,0))</f>
        <v>Lapsed</v>
      </c>
      <c r="H175" s="9" t="n">
        <f aca="false">INDEX(Segmentation!$I$2:$I$301,MATCH($A175,Segmentation!$A$2:$A$301,0))</f>
        <v>176</v>
      </c>
      <c r="I175" s="2" t="n">
        <f aca="false">INDEX(Segmentation!$O$2:$O$301,MATCH($A175,Segmentation!$A$2:$A$301,0))</f>
        <v>1</v>
      </c>
      <c r="J175" s="2" t="n">
        <f aca="false">INDEX(Segmentation!$Q$2:$Q$301,MATCH($A175,Segmentation!$A$2:$A$301,0))</f>
        <v>1</v>
      </c>
      <c r="K175" s="2" t="n">
        <f aca="false">INDEX(Segmentation!$W$2:$W$301,MATCH($A175,Segmentation!$A$2:$A$301,0))</f>
        <v>1</v>
      </c>
      <c r="L175" s="9" t="n">
        <f aca="false">INDEX('Commercial View'!$L$2:$L$301,MATCH($A175,'Commercial View'!$A$2:$A$301,0))</f>
        <v>0</v>
      </c>
      <c r="M175" s="9" t="n">
        <f aca="false">INDEX('Commercial View'!$M$2:$M$301,MATCH($A175,'Commercial View'!$A$2:$A$301,0))</f>
        <v>0</v>
      </c>
      <c r="N175" s="9" t="n">
        <f aca="false">INDEX('Commercial View'!$N$2:$N$301,MATCH($A175,'Commercial View'!$A$2:$A$301,0))</f>
        <v>0</v>
      </c>
      <c r="O175" s="9" t="n">
        <f aca="false">INDEX(Segmentation!$L$2:$L$301,MATCH($A175,Segmentation!$A$2:$A$301,0))</f>
        <v>0</v>
      </c>
      <c r="P175" s="2" t="str">
        <f aca="false">IF(OR(M175&gt;0,N175&gt;0),"Recently Active",IF(OR(I175&lt;=Assumptions!$B$48,K175&lt;=Assumptions!$B$49),"No Meaningful History","Recent Inactivity"))</f>
        <v>No Meaningful History</v>
      </c>
      <c r="Q175" s="2" t="str">
        <f aca="false">INDEX(Segmentation!$AF$2:$AF$301,MATCH($A175,Segmentation!$A$2:$A$301,0))</f>
        <v>Existing Customer</v>
      </c>
      <c r="R175" s="2" t="str">
        <f aca="false">INDEX(Segmentation!$AL$2:$AL$301,MATCH($A175,Segmentation!$A$2:$A$301,0))</f>
        <v>One-Off / Insufficient History — Verify</v>
      </c>
      <c r="S175" s="10" t="b">
        <f aca="false">INDEX(Segmentation!$AW$2:$AW$301,MATCH($A175,Segmentation!$A$2:$A$301,0))</f>
        <v>0</v>
      </c>
      <c r="T175" s="2" t="str">
        <f aca="false">INDEX('Feature Data'!$AD$2:$AD$301,MATCH($A175,'Feature Data'!$A$2:$A$301,0))</f>
        <v>One-off low-touch buyer</v>
      </c>
      <c r="U175" s="2" t="str">
        <f aca="false">INDEX('Feature Data'!$W$2:$W$301,MATCH($A175,'Feature Data'!$A$2:$A$301,0))</f>
        <v>Bundle-only</v>
      </c>
      <c r="V175" s="2" t="n">
        <f aca="false">INDEX('Feature Data'!$P$2:$P$301,MATCH($A175,'Feature Data'!$A$2:$A$301,0))</f>
        <v>47</v>
      </c>
      <c r="W175" s="2" t="n">
        <f aca="false">INDEX(Segmentation!$R$2:$R$301,MATCH($A175,Segmentation!$A$2:$A$301,0))</f>
        <v>3</v>
      </c>
      <c r="X175" s="2" t="n">
        <f aca="false">INDEX(Segmentation!$S$2:$S$301,MATCH($A175,Segmentation!$A$2:$A$301,0))</f>
        <v>0</v>
      </c>
      <c r="Y175" s="10" t="b">
        <f aca="false">INDEX(Segmentation!$AG$2:$AG$301,MATCH($A175,Segmentation!$A$2:$A$301,0))</f>
        <v>0</v>
      </c>
      <c r="Z175" s="2" t="str">
        <f aca="false">INDEX(Segmentation!$AU$2:$AU$301,MATCH($A175,Segmentation!$A$2:$A$301,0))</f>
        <v>Not Eligible</v>
      </c>
      <c r="AA175" s="10" t="b">
        <f aca="false">INDEX(Segmentation!$Z$2:$Z$301,MATCH($A175,Segmentation!$A$2:$A$301,0))</f>
        <v>0</v>
      </c>
      <c r="AB175" s="10" t="b">
        <f aca="false">INDEX(Segmentation!$AH$2:$AH$301,MATCH($A175,Segmentation!$A$2:$A$301,0))</f>
        <v>0</v>
      </c>
      <c r="AC175" s="10" t="b">
        <f aca="false">INDEX(Segmentation!$AK$2:$AK$301,MATCH($A175,Segmentation!$A$2:$A$301,0))</f>
        <v>0</v>
      </c>
      <c r="AD175" s="10" t="b">
        <f aca="false">INDEX(Segmentation!$AQ$2:$AQ$301,MATCH($A175,Segmentation!$A$2:$A$301,0))</f>
        <v>0</v>
      </c>
      <c r="AE175" s="10" t="b">
        <f aca="false">INDEX(Segmentation!$AT$2:$AT$301,MATCH($A175,Segmentation!$A$2:$A$301,0))</f>
        <v>0</v>
      </c>
      <c r="AF175" s="10" t="b">
        <f aca="false">INDEX(Segmentation!$X$2:$X$301,MATCH($A175,Segmentation!$A$2:$A$301,0))</f>
        <v>1</v>
      </c>
      <c r="AG175" s="10" t="b">
        <f aca="false">AND(F175="Low",V175&gt;=Assumptions!$B$71,X175&lt;Assumptions!$B$72)</f>
        <v>0</v>
      </c>
      <c r="AH175" s="10" t="b">
        <f aca="false">AND(F175="Low",OR(G175="Growing",G175="Stable"),P175="Recently Active",V175&gt;=Assumptions!$B$58,K175&gt;=Assumptions!$B$73)</f>
        <v>0</v>
      </c>
      <c r="AI175" s="17" t="str">
        <f aca="false">IF(O175&gt;0,MAX(L175:N175)/O175,"")</f>
        <v/>
      </c>
      <c r="AJ175" s="2" t="str">
        <f aca="false">IF(LEFT(D175,1)="1",IF(E175="Key","MIGRATION_KEY_SIGNOFF",IF(Z175="Ready","MIGRATION_PHASE1_READY",IF(Z175="Manual Review","MIGRATION_PHASE1_REVIEW","MIGRATION_PRE_ENTRY"))),IF(LEFT(D175,1)="2","DECLINING_KEY_CORE",IF(LEFT(D175,1)="3",IF(R175="Established Buyer Lapsed","LAPSED_ESTABLISHED","LAPSED_THIN_HISTORY"),IF(LEFT(D175,1)="4",IF(Q175="New Customer","NEW_CUSTOMER","RETURNED_CUSTOMER"),IF(LEFT(D175,1)="5",IF(P175="Recently Active","COST_TO_SERVE_ACTIVE","DORMANT_LOW_VALUE"),IF(LEFT(D175,1)="6",IF(P175="Recent Inactivity","RECENT_INACTIVITY",IF(AG175,"BROWSING_LOW_OFFERS","HEALTHY_STRONG_SELF_SERVE")),IF(LEFT(D175,1)="7",IF(P175="Recent Inactivity","RECENT_INACTIVITY",IF(Q175="New Customer","NEW_CUSTOMER","RETURNED_CUSTOMER")),IF(LEFT(D175,1)="8",IF(G175="Declining",IF(T175="Engaged but shrinking (Key/Core)","ENGAGED_BUT_SHRINKING","DECLINING_KEY_CORE"),IF(R175="Established Buyer Lapsed","LAPSED_ESTABLISHED","LAPSED_THIN_HISTORY")),IF(S175,IF(P175&lt;&gt;"Recently Active","DORMANT_LOW_VALUE",IF(AG175,"BROWSING_LOW_OFFERS",IF(AH175,"RISING_TAIL","RISING_TAIL_EARLY"))),IF(AND(AG175,P175="Recently Active",OR(G175="Growing",G175="Stable",G175="H2 Active / No H1 GMV"),I175&gt;=Assumptions!$B$74),"BROWSING_LOW_OFFERS","LONG_TAIL_STANDARD"))))))))))</f>
        <v>LONG_TAIL_STANDARD</v>
      </c>
      <c r="AK175" s="2" t="str">
        <f aca="false">INDEX('NBA Library'!$B$4:$B$21,MATCH(AJ175,'NBA Library'!$A$4:$A$21,0))</f>
        <v>Automated Nurture</v>
      </c>
      <c r="AL175" s="2" t="str">
        <f aca="false">INDEX('NBA Library'!$C$4:$C$21,MATCH(AJ175,'NBA Library'!$A$4:$A$21,0))</f>
        <v>Automated</v>
      </c>
      <c r="AM175" s="2" t="str">
        <f aca="false">IF(AA175,"HOLD — Critical Data Issue",IF(Y175,"Human Sign-Off Required",IF(Z175="Manual Review","Human Review Required",IF(AND(AL175="Automated",OR(AE175,AND(OR(AK175="Discovery-to-Offer Enablement",AK175="Reinforce Successful Behaviour"),OR(AC175,AB175)))),"Human Review Required",IF(AL175="Human","Ready — Human",IF(AL175="Hybrid","Ready — Hybrid","Ready — Automated"))))))</f>
        <v>Ready — Automated</v>
      </c>
      <c r="AN175" s="2" t="str">
        <f aca="false">IF(AA175,"P0",IF(AND(AJ175="BROWSING_LOW_OFFERS",E175="Tail"),"P3",IF(AND(AM175="Human Review Required",INDEX('NBA Library'!$D$4:$D$21,MATCH(AJ175,'NBA Library'!$A$4:$A$21,0))="P4"),"P3",INDEX('NBA Library'!$D$4:$D$21,MATCH(AJ175,'NBA Library'!$A$4:$A$21,0)))))</f>
        <v>P4</v>
      </c>
      <c r="AO175" s="2" t="str">
        <f aca="false">E175&amp;" "&amp;C175&amp;" account ("&amp;B175&amp;"); "&amp;G175&amp;" momentum; "&amp;P175&amp;"; £"&amp;TEXT(H175,"#,##0")&amp;" 6m GMV. "&amp;INDEX('NBA Library'!$G$4:$G$21,MATCH(AJ175,'NBA Library'!$A$4:$A$21,0))&amp;IF(LEFT(D175,1)="1"," Baseline: "&amp;V175&amp;" PDP views, "&amp;W175&amp;" app days, "&amp;X175&amp;" offers, "&amp;TEXT(J175/I175,"0%")&amp;" of orders self-serve.","")&amp;IF(AA175," Execution on HOLD until the Duplicate status is resolved.","")&amp;IF(Y175," Key account: explicit AM/leadership sign-off required before any migration activity.","")&amp;IF(AE175," Implied broker % from order counts would move this account to a different segment; review before automating.","")</f>
        <v>Tail AM-Owned / Self-Serving account (Account Managed); Lapsed momentum; No Meaningful History; £176 6m GMV. Low-value, low-dependency account. Scalable automated engagement.</v>
      </c>
      <c r="AP175" s="2" t="str">
        <f aca="false">INDEX('NBA Library'!$E$4:$E$21,MATCH(AJ175,'NBA Library'!$A$4:$A$21,0))&amp;IF(AND(AJ175="NEW_CUSTOMER",AG175),"; introduce Make-an-Offer on items already browsed","")</f>
        <v>Scalable automated engagement matched to nurture sub-context</v>
      </c>
      <c r="AQ175" s="2" t="str">
        <f aca="false">INDEX('NBA Library'!$F$4:$F$21,MATCH(AJ175,'NBA Library'!$A$4:$A$21,0))</f>
        <v>Any repeat order within 90 days</v>
      </c>
      <c r="AR175" s="2" t="str">
        <f aca="false">IF(AND(F175="Low",OR(G175="Growing",G175="Stable"),P175="Recently Active",U175&lt;&gt;"Mixed",OR(AK175="Discovery-to-Offer Enablement",AK175="Reinforce Successful Behaviour"),AM175="Ready — Automated",OR(E175&lt;&gt;"Tail",S175)),"Range Expansion Test — trial "&amp;IF(U175="Bundle-only","handpick","bundles")&amp;" (experimental; not proven to lift GMV)","")</f>
        <v/>
      </c>
      <c r="AS175" s="2" t="str">
        <f aca="false">IF(AK175&lt;&gt;"Automated Nurture","",IF(AJ175="DORMANT_LOW_VALUE","Dormant",IF(AJ175="RISING_TAIL_EARLY","Rising tail – early pattern",IF(Q175="New Customer","New customer onboarding",IF(Q175="Returned Customer","Returned customer",IF(G175="Lapsed","Dormant",IF(T175="Engaged, not converting","Engaged, not converting",IF(T175="One-off low-touch buyer","One-off purchaser",IF(T175="Light-touch repeat buyer","Light-touch repeat buyer","Standard long tail")))))))))</f>
        <v>Dormant</v>
      </c>
      <c r="AT175" s="2" t="str">
        <f aca="false">IF(AA175,"CRITICAL_DATA_BLOCKER; ","")&amp;IF(Y175,"KEY_SIGNOFF; ","")&amp;IF(Z175="Manual Review","PHASE1_MANUAL_REVIEW; ","")&amp;IF(AND(LEFT(D175,1)="1",AZ175="Lumpy"),"LUMPY_CADENCE; ","")&amp;IF(AB175,"BORDERLINE_MOMENTUM; ","")&amp;IF(AC175,"FEB_SENSITIVE; ","")&amp;IF(AD175,"MATERIAL_BROKER_INCONSISTENCY"&amp;IF(AE175," (segment would change)","")&amp;"; ","")&amp;IF(AND(I175&gt;=3,O175&gt;0),IF(AI175&gt;=Assumptions!$B$75,"H2_SINGLE_MONTH_SPIKE; ",""),"")&amp;IF(AND(M175&gt;0,N175=0),"NO_FEB_GMV (Feb unconfirmed); ","")&amp;IF(AF175,"LOW_CONFIDENCE; ","")</f>
        <v>LOW_CONFIDENCE; </v>
      </c>
      <c r="AU175" s="2" t="str">
        <f aca="false">IF(LEFT(D175,1)="1",V175,"")</f>
        <v/>
      </c>
      <c r="AV175" s="2" t="str">
        <f aca="false">IF(LEFT(D175,1)="1",V175&gt;=Assumptions!$B$58,"")</f>
        <v/>
      </c>
      <c r="AW175" s="2" t="str">
        <f aca="false">IF(LEFT(D175,1)="1",W175,"")</f>
        <v/>
      </c>
      <c r="AX175" s="2" t="str">
        <f aca="false">IF(LEFT(D175,1)="1",X175,"")</f>
        <v/>
      </c>
      <c r="AY175" s="17" t="str">
        <f aca="false">IF(LEFT(D175,1)="1",J175/I175,"")</f>
        <v/>
      </c>
      <c r="AZ175" s="2" t="str">
        <f aca="false">IF(LEFT(D175,1)="1",IF(AND(K175&gt;=Assumptions!$B$83,I175&gt;=Assumptions!$B$84),"Regular","Lumpy"),"")</f>
        <v/>
      </c>
      <c r="BA175" s="2" t="str">
        <f aca="false">IF(LEFT(D175,1)="1",ROUND(6/K175,0),"")</f>
        <v/>
      </c>
      <c r="BB175" s="2" t="str">
        <f aca="false">IF(LEFT(D175,1)="1",IF(AZ175="Regular","Regular buyer: expected ~£"&amp;TEXT(H175/2,"#,##0")&amp;" per 90 days. At Risk if GMV to date &lt; "&amp;TEXT(Assumptions!$B$81,"0%")&amp;" of pro-rated expectation, checked from day "&amp;Assumptions!$B$82&amp;". Human-reviewed.","Irregular buyer ("&amp;I175&amp;" orders across "&amp;K175&amp;" months): no numeric GMV threshold. At Risk if no order within ~"&amp;BA175&amp;" month(s); AM reviews at day "&amp;Assumptions!$B$82&amp;" and "&amp;Assumptions!$B$85&amp;"."),"")</f>
        <v/>
      </c>
      <c r="BC175" s="2"/>
      <c r="BD175" s="2"/>
      <c r="BE175" s="2"/>
      <c r="BF175" s="2"/>
      <c r="BG175" s="2"/>
      <c r="BH175" s="2"/>
      <c r="BI175" s="2"/>
      <c r="BJ175" s="2" t="str">
        <f aca="false">IF(OR(NOT(LEFT(D175,1)="1"),BC175=""),"",IF(AZ175="Regular",AND(BC175&gt;=Assumptions!$B$82,N(BI175)&lt;Assumptions!$B$81*H175/180*BC175),AND(BC175&gt;=BA175*30,N(BG175)=0)))</f>
        <v/>
      </c>
      <c r="BK175" s="2" t="str">
        <f aca="false">IF(NOT(LEFT(D175,1)="1"),"N/A",IF(BC175="","Baseline",IF(BJ175,"At Risk",IF(AND(N(BD175)&gt;=Assumptions!$B$78,N(BE175)&gt;=Assumptions!$B$79,N(BH175)&gt;=1,N(BH175)/MAX(N(BG175),1)&gt;AY175),"Self-Serve Capability Demonstrated",IF(OR(N(BD175)&gt;=Assumptions!$B$76,N(BE175)&gt;=Assumptions!$B$77),"Progressing",IF(BC175&gt;=Assumptions!$B$85,"At Risk","Baseline"))))))</f>
        <v>N/A</v>
      </c>
      <c r="BL175" s="2" t="n">
        <f aca="false">(AND(C175="Broker-Reliant",OR(AK175="Discovery-to-Offer Enablement",AK175="Reinforce Successful Behaviour")))*1+(AND(G175="Declining",E175&lt;&gt;"Tail",AL175="Automated"))*1+(AND(Y175,AM175&lt;&gt;"Human Sign-Off Required"))*1+(AND(AA175,AM175&lt;&gt;"HOLD — Critical Data Issue"))*1+(AND(P175="Recent Inactivity",OR(AK175="Discovery-to-Offer Enablement",AK175="Reinforce Successful Behaviour")))*1+(AND(OR(LEFT(D175,1)="2",LEFT(D175,1)="3",LEFT(D175,1)="8"),AL175="Automated"))*1+((LEFT(D175,1)="1")&lt;&gt;(AK175="Guided Self-Serve Migration"))*1+(AND(AR175&lt;&gt;"",OR(F175&lt;&gt;"Low",U175="Mixed",AND(G175&lt;&gt;"Growing",G175&lt;&gt;"Stable"))))*1+ISNUMBER(SEARCH("chat",AP175))*1+ISNUMBER(SEARCH("video",AP175))*1+(AND(AA175,AL175="Automated",AM175&lt;&gt;"HOLD — Critical Data Issue"))*1</f>
        <v>0</v>
      </c>
    </row>
    <row r="176" customFormat="false" ht="15" hidden="false" customHeight="false" outlineLevel="0" collapsed="false">
      <c r="A176" s="2" t="s">
        <v>890</v>
      </c>
      <c r="B176" s="2" t="str">
        <f aca="false">INDEX(Segmentation!$B$2:$B$301,MATCH($A176,Segmentation!$A$2:$A$301,0))</f>
        <v>Account Managed</v>
      </c>
      <c r="C176" s="2" t="str">
        <f aca="false">INDEX(Segmentation!$H$2:$H$301,MATCH($A176,Segmentation!$A$2:$A$301,0))</f>
        <v>AM-Owned / Self-Serving</v>
      </c>
      <c r="D176" s="2" t="str">
        <f aca="false">INDEX(Segmentation!$T$2:$T$301,MATCH($A176,Segmentation!$A$2:$A$301,0))</f>
        <v>9. Long-Tail Automated Nurture</v>
      </c>
      <c r="E176" s="2" t="str">
        <f aca="false">INDEX(Segmentation!$J$2:$J$301,MATCH($A176,Segmentation!$A$2:$A$301,0))</f>
        <v>Tail</v>
      </c>
      <c r="F176" s="2" t="str">
        <f aca="false">INDEX(Segmentation!$G$2:$G$301,MATCH($A176,Segmentation!$A$2:$A$301,0))</f>
        <v>Low</v>
      </c>
      <c r="G176" s="2" t="str">
        <f aca="false">INDEX(Segmentation!$N$2:$N$301,MATCH($A176,Segmentation!$A$2:$A$301,0))</f>
        <v>Lapsed</v>
      </c>
      <c r="H176" s="9" t="n">
        <f aca="false">INDEX(Segmentation!$I$2:$I$301,MATCH($A176,Segmentation!$A$2:$A$301,0))</f>
        <v>172</v>
      </c>
      <c r="I176" s="2" t="n">
        <f aca="false">INDEX(Segmentation!$O$2:$O$301,MATCH($A176,Segmentation!$A$2:$A$301,0))</f>
        <v>1</v>
      </c>
      <c r="J176" s="2" t="n">
        <f aca="false">INDEX(Segmentation!$Q$2:$Q$301,MATCH($A176,Segmentation!$A$2:$A$301,0))</f>
        <v>1</v>
      </c>
      <c r="K176" s="2" t="n">
        <f aca="false">INDEX(Segmentation!$W$2:$W$301,MATCH($A176,Segmentation!$A$2:$A$301,0))</f>
        <v>1</v>
      </c>
      <c r="L176" s="9" t="n">
        <f aca="false">INDEX('Commercial View'!$L$2:$L$301,MATCH($A176,'Commercial View'!$A$2:$A$301,0))</f>
        <v>0</v>
      </c>
      <c r="M176" s="9" t="n">
        <f aca="false">INDEX('Commercial View'!$M$2:$M$301,MATCH($A176,'Commercial View'!$A$2:$A$301,0))</f>
        <v>0</v>
      </c>
      <c r="N176" s="9" t="n">
        <f aca="false">INDEX('Commercial View'!$N$2:$N$301,MATCH($A176,'Commercial View'!$A$2:$A$301,0))</f>
        <v>0</v>
      </c>
      <c r="O176" s="9" t="n">
        <f aca="false">INDEX(Segmentation!$L$2:$L$301,MATCH($A176,Segmentation!$A$2:$A$301,0))</f>
        <v>0</v>
      </c>
      <c r="P176" s="2" t="str">
        <f aca="false">IF(OR(M176&gt;0,N176&gt;0),"Recently Active",IF(OR(I176&lt;=Assumptions!$B$48,K176&lt;=Assumptions!$B$49),"No Meaningful History","Recent Inactivity"))</f>
        <v>No Meaningful History</v>
      </c>
      <c r="Q176" s="2" t="str">
        <f aca="false">INDEX(Segmentation!$AF$2:$AF$301,MATCH($A176,Segmentation!$A$2:$A$301,0))</f>
        <v>Existing Customer</v>
      </c>
      <c r="R176" s="2" t="str">
        <f aca="false">INDEX(Segmentation!$AL$2:$AL$301,MATCH($A176,Segmentation!$A$2:$A$301,0))</f>
        <v>One-Off / Insufficient History — Verify</v>
      </c>
      <c r="S176" s="10" t="b">
        <f aca="false">INDEX(Segmentation!$AW$2:$AW$301,MATCH($A176,Segmentation!$A$2:$A$301,0))</f>
        <v>0</v>
      </c>
      <c r="T176" s="2" t="str">
        <f aca="false">INDEX('Feature Data'!$AD$2:$AD$301,MATCH($A176,'Feature Data'!$A$2:$A$301,0))</f>
        <v>One-off low-touch buyer</v>
      </c>
      <c r="U176" s="2" t="str">
        <f aca="false">INDEX('Feature Data'!$W$2:$W$301,MATCH($A176,'Feature Data'!$A$2:$A$301,0))</f>
        <v>Bundle-only</v>
      </c>
      <c r="V176" s="2" t="n">
        <f aca="false">INDEX('Feature Data'!$P$2:$P$301,MATCH($A176,'Feature Data'!$A$2:$A$301,0))</f>
        <v>130</v>
      </c>
      <c r="W176" s="2" t="n">
        <f aca="false">INDEX(Segmentation!$R$2:$R$301,MATCH($A176,Segmentation!$A$2:$A$301,0))</f>
        <v>6</v>
      </c>
      <c r="X176" s="2" t="n">
        <f aca="false">INDEX(Segmentation!$S$2:$S$301,MATCH($A176,Segmentation!$A$2:$A$301,0))</f>
        <v>1</v>
      </c>
      <c r="Y176" s="10" t="b">
        <f aca="false">INDEX(Segmentation!$AG$2:$AG$301,MATCH($A176,Segmentation!$A$2:$A$301,0))</f>
        <v>0</v>
      </c>
      <c r="Z176" s="2" t="str">
        <f aca="false">INDEX(Segmentation!$AU$2:$AU$301,MATCH($A176,Segmentation!$A$2:$A$301,0))</f>
        <v>Not Eligible</v>
      </c>
      <c r="AA176" s="10" t="b">
        <f aca="false">INDEX(Segmentation!$Z$2:$Z$301,MATCH($A176,Segmentation!$A$2:$A$301,0))</f>
        <v>0</v>
      </c>
      <c r="AB176" s="10" t="b">
        <f aca="false">INDEX(Segmentation!$AH$2:$AH$301,MATCH($A176,Segmentation!$A$2:$A$301,0))</f>
        <v>0</v>
      </c>
      <c r="AC176" s="10" t="b">
        <f aca="false">INDEX(Segmentation!$AK$2:$AK$301,MATCH($A176,Segmentation!$A$2:$A$301,0))</f>
        <v>0</v>
      </c>
      <c r="AD176" s="10" t="b">
        <f aca="false">INDEX(Segmentation!$AQ$2:$AQ$301,MATCH($A176,Segmentation!$A$2:$A$301,0))</f>
        <v>0</v>
      </c>
      <c r="AE176" s="10" t="b">
        <f aca="false">INDEX(Segmentation!$AT$2:$AT$301,MATCH($A176,Segmentation!$A$2:$A$301,0))</f>
        <v>0</v>
      </c>
      <c r="AF176" s="10" t="b">
        <f aca="false">INDEX(Segmentation!$X$2:$X$301,MATCH($A176,Segmentation!$A$2:$A$301,0))</f>
        <v>1</v>
      </c>
      <c r="AG176" s="10" t="b">
        <f aca="false">AND(F176="Low",V176&gt;=Assumptions!$B$71,X176&lt;Assumptions!$B$72)</f>
        <v>1</v>
      </c>
      <c r="AH176" s="10" t="b">
        <f aca="false">AND(F176="Low",OR(G176="Growing",G176="Stable"),P176="Recently Active",V176&gt;=Assumptions!$B$58,K176&gt;=Assumptions!$B$73)</f>
        <v>0</v>
      </c>
      <c r="AI176" s="17" t="str">
        <f aca="false">IF(O176&gt;0,MAX(L176:N176)/O176,"")</f>
        <v/>
      </c>
      <c r="AJ176" s="2" t="str">
        <f aca="false">IF(LEFT(D176,1)="1",IF(E176="Key","MIGRATION_KEY_SIGNOFF",IF(Z176="Ready","MIGRATION_PHASE1_READY",IF(Z176="Manual Review","MIGRATION_PHASE1_REVIEW","MIGRATION_PRE_ENTRY"))),IF(LEFT(D176,1)="2","DECLINING_KEY_CORE",IF(LEFT(D176,1)="3",IF(R176="Established Buyer Lapsed","LAPSED_ESTABLISHED","LAPSED_THIN_HISTORY"),IF(LEFT(D176,1)="4",IF(Q176="New Customer","NEW_CUSTOMER","RETURNED_CUSTOMER"),IF(LEFT(D176,1)="5",IF(P176="Recently Active","COST_TO_SERVE_ACTIVE","DORMANT_LOW_VALUE"),IF(LEFT(D176,1)="6",IF(P176="Recent Inactivity","RECENT_INACTIVITY",IF(AG176,"BROWSING_LOW_OFFERS","HEALTHY_STRONG_SELF_SERVE")),IF(LEFT(D176,1)="7",IF(P176="Recent Inactivity","RECENT_INACTIVITY",IF(Q176="New Customer","NEW_CUSTOMER","RETURNED_CUSTOMER")),IF(LEFT(D176,1)="8",IF(G176="Declining",IF(T176="Engaged but shrinking (Key/Core)","ENGAGED_BUT_SHRINKING","DECLINING_KEY_CORE"),IF(R176="Established Buyer Lapsed","LAPSED_ESTABLISHED","LAPSED_THIN_HISTORY")),IF(S176,IF(P176&lt;&gt;"Recently Active","DORMANT_LOW_VALUE",IF(AG176,"BROWSING_LOW_OFFERS",IF(AH176,"RISING_TAIL","RISING_TAIL_EARLY"))),IF(AND(AG176,P176="Recently Active",OR(G176="Growing",G176="Stable",G176="H2 Active / No H1 GMV"),I176&gt;=Assumptions!$B$74),"BROWSING_LOW_OFFERS","LONG_TAIL_STANDARD"))))))))))</f>
        <v>LONG_TAIL_STANDARD</v>
      </c>
      <c r="AK176" s="2" t="str">
        <f aca="false">INDEX('NBA Library'!$B$4:$B$21,MATCH(AJ176,'NBA Library'!$A$4:$A$21,0))</f>
        <v>Automated Nurture</v>
      </c>
      <c r="AL176" s="2" t="str">
        <f aca="false">INDEX('NBA Library'!$C$4:$C$21,MATCH(AJ176,'NBA Library'!$A$4:$A$21,0))</f>
        <v>Automated</v>
      </c>
      <c r="AM176" s="2" t="str">
        <f aca="false">IF(AA176,"HOLD — Critical Data Issue",IF(Y176,"Human Sign-Off Required",IF(Z176="Manual Review","Human Review Required",IF(AND(AL176="Automated",OR(AE176,AND(OR(AK176="Discovery-to-Offer Enablement",AK176="Reinforce Successful Behaviour"),OR(AC176,AB176)))),"Human Review Required",IF(AL176="Human","Ready — Human",IF(AL176="Hybrid","Ready — Hybrid","Ready — Automated"))))))</f>
        <v>Ready — Automated</v>
      </c>
      <c r="AN176" s="2" t="str">
        <f aca="false">IF(AA176,"P0",IF(AND(AJ176="BROWSING_LOW_OFFERS",E176="Tail"),"P3",IF(AND(AM176="Human Review Required",INDEX('NBA Library'!$D$4:$D$21,MATCH(AJ176,'NBA Library'!$A$4:$A$21,0))="P4"),"P3",INDEX('NBA Library'!$D$4:$D$21,MATCH(AJ176,'NBA Library'!$A$4:$A$21,0)))))</f>
        <v>P4</v>
      </c>
      <c r="AO176" s="2" t="str">
        <f aca="false">E176&amp;" "&amp;C176&amp;" account ("&amp;B176&amp;"); "&amp;G176&amp;" momentum; "&amp;P176&amp;"; £"&amp;TEXT(H176,"#,##0")&amp;" 6m GMV. "&amp;INDEX('NBA Library'!$G$4:$G$21,MATCH(AJ176,'NBA Library'!$A$4:$A$21,0))&amp;IF(LEFT(D176,1)="1"," Baseline: "&amp;V176&amp;" PDP views, "&amp;W176&amp;" app days, "&amp;X176&amp;" offers, "&amp;TEXT(J176/I176,"0%")&amp;" of orders self-serve.","")&amp;IF(AA176," Execution on HOLD until the Duplicate status is resolved.","")&amp;IF(Y176," Key account: explicit AM/leadership sign-off required before any migration activity.","")&amp;IF(AE176," Implied broker % from order counts would move this account to a different segment; review before automating.","")</f>
        <v>Tail AM-Owned / Self-Serving account (Account Managed); Lapsed momentum; No Meaningful History; £172 6m GMV. Low-value, low-dependency account. Scalable automated engagement.</v>
      </c>
      <c r="AP176" s="2" t="str">
        <f aca="false">INDEX('NBA Library'!$E$4:$E$21,MATCH(AJ176,'NBA Library'!$A$4:$A$21,0))&amp;IF(AND(AJ176="NEW_CUSTOMER",AG176),"; introduce Make-an-Offer on items already browsed","")</f>
        <v>Scalable automated engagement matched to nurture sub-context</v>
      </c>
      <c r="AQ176" s="2" t="str">
        <f aca="false">INDEX('NBA Library'!$F$4:$F$21,MATCH(AJ176,'NBA Library'!$A$4:$A$21,0))</f>
        <v>Any repeat order within 90 days</v>
      </c>
      <c r="AR176" s="2" t="str">
        <f aca="false">IF(AND(F176="Low",OR(G176="Growing",G176="Stable"),P176="Recently Active",U176&lt;&gt;"Mixed",OR(AK176="Discovery-to-Offer Enablement",AK176="Reinforce Successful Behaviour"),AM176="Ready — Automated",OR(E176&lt;&gt;"Tail",S176)),"Range Expansion Test — trial "&amp;IF(U176="Bundle-only","handpick","bundles")&amp;" (experimental; not proven to lift GMV)","")</f>
        <v/>
      </c>
      <c r="AS176" s="2" t="str">
        <f aca="false">IF(AK176&lt;&gt;"Automated Nurture","",IF(AJ176="DORMANT_LOW_VALUE","Dormant",IF(AJ176="RISING_TAIL_EARLY","Rising tail – early pattern",IF(Q176="New Customer","New customer onboarding",IF(Q176="Returned Customer","Returned customer",IF(G176="Lapsed","Dormant",IF(T176="Engaged, not converting","Engaged, not converting",IF(T176="One-off low-touch buyer","One-off purchaser",IF(T176="Light-touch repeat buyer","Light-touch repeat buyer","Standard long tail")))))))))</f>
        <v>Dormant</v>
      </c>
      <c r="AT176" s="2" t="str">
        <f aca="false">IF(AA176,"CRITICAL_DATA_BLOCKER; ","")&amp;IF(Y176,"KEY_SIGNOFF; ","")&amp;IF(Z176="Manual Review","PHASE1_MANUAL_REVIEW; ","")&amp;IF(AND(LEFT(D176,1)="1",AZ176="Lumpy"),"LUMPY_CADENCE; ","")&amp;IF(AB176,"BORDERLINE_MOMENTUM; ","")&amp;IF(AC176,"FEB_SENSITIVE; ","")&amp;IF(AD176,"MATERIAL_BROKER_INCONSISTENCY"&amp;IF(AE176," (segment would change)","")&amp;"; ","")&amp;IF(AND(I176&gt;=3,O176&gt;0),IF(AI176&gt;=Assumptions!$B$75,"H2_SINGLE_MONTH_SPIKE; ",""),"")&amp;IF(AND(M176&gt;0,N176=0),"NO_FEB_GMV (Feb unconfirmed); ","")&amp;IF(AF176,"LOW_CONFIDENCE; ","")</f>
        <v>LOW_CONFIDENCE; </v>
      </c>
      <c r="AU176" s="2" t="str">
        <f aca="false">IF(LEFT(D176,1)="1",V176,"")</f>
        <v/>
      </c>
      <c r="AV176" s="2" t="str">
        <f aca="false">IF(LEFT(D176,1)="1",V176&gt;=Assumptions!$B$58,"")</f>
        <v/>
      </c>
      <c r="AW176" s="2" t="str">
        <f aca="false">IF(LEFT(D176,1)="1",W176,"")</f>
        <v/>
      </c>
      <c r="AX176" s="2" t="str">
        <f aca="false">IF(LEFT(D176,1)="1",X176,"")</f>
        <v/>
      </c>
      <c r="AY176" s="17" t="str">
        <f aca="false">IF(LEFT(D176,1)="1",J176/I176,"")</f>
        <v/>
      </c>
      <c r="AZ176" s="2" t="str">
        <f aca="false">IF(LEFT(D176,1)="1",IF(AND(K176&gt;=Assumptions!$B$83,I176&gt;=Assumptions!$B$84),"Regular","Lumpy"),"")</f>
        <v/>
      </c>
      <c r="BA176" s="2" t="str">
        <f aca="false">IF(LEFT(D176,1)="1",ROUND(6/K176,0),"")</f>
        <v/>
      </c>
      <c r="BB176" s="2" t="str">
        <f aca="false">IF(LEFT(D176,1)="1",IF(AZ176="Regular","Regular buyer: expected ~£"&amp;TEXT(H176/2,"#,##0")&amp;" per 90 days. At Risk if GMV to date &lt; "&amp;TEXT(Assumptions!$B$81,"0%")&amp;" of pro-rated expectation, checked from day "&amp;Assumptions!$B$82&amp;". Human-reviewed.","Irregular buyer ("&amp;I176&amp;" orders across "&amp;K176&amp;" months): no numeric GMV threshold. At Risk if no order within ~"&amp;BA176&amp;" month(s); AM reviews at day "&amp;Assumptions!$B$82&amp;" and "&amp;Assumptions!$B$85&amp;"."),"")</f>
        <v/>
      </c>
      <c r="BC176" s="2"/>
      <c r="BD176" s="2"/>
      <c r="BE176" s="2"/>
      <c r="BF176" s="2"/>
      <c r="BG176" s="2"/>
      <c r="BH176" s="2"/>
      <c r="BI176" s="2"/>
      <c r="BJ176" s="2" t="str">
        <f aca="false">IF(OR(NOT(LEFT(D176,1)="1"),BC176=""),"",IF(AZ176="Regular",AND(BC176&gt;=Assumptions!$B$82,N(BI176)&lt;Assumptions!$B$81*H176/180*BC176),AND(BC176&gt;=BA176*30,N(BG176)=0)))</f>
        <v/>
      </c>
      <c r="BK176" s="2" t="str">
        <f aca="false">IF(NOT(LEFT(D176,1)="1"),"N/A",IF(BC176="","Baseline",IF(BJ176,"At Risk",IF(AND(N(BD176)&gt;=Assumptions!$B$78,N(BE176)&gt;=Assumptions!$B$79,N(BH176)&gt;=1,N(BH176)/MAX(N(BG176),1)&gt;AY176),"Self-Serve Capability Demonstrated",IF(OR(N(BD176)&gt;=Assumptions!$B$76,N(BE176)&gt;=Assumptions!$B$77),"Progressing",IF(BC176&gt;=Assumptions!$B$85,"At Risk","Baseline"))))))</f>
        <v>N/A</v>
      </c>
      <c r="BL176" s="2" t="n">
        <f aca="false">(AND(C176="Broker-Reliant",OR(AK176="Discovery-to-Offer Enablement",AK176="Reinforce Successful Behaviour")))*1+(AND(G176="Declining",E176&lt;&gt;"Tail",AL176="Automated"))*1+(AND(Y176,AM176&lt;&gt;"Human Sign-Off Required"))*1+(AND(AA176,AM176&lt;&gt;"HOLD — Critical Data Issue"))*1+(AND(P176="Recent Inactivity",OR(AK176="Discovery-to-Offer Enablement",AK176="Reinforce Successful Behaviour")))*1+(AND(OR(LEFT(D176,1)="2",LEFT(D176,1)="3",LEFT(D176,1)="8"),AL176="Automated"))*1+((LEFT(D176,1)="1")&lt;&gt;(AK176="Guided Self-Serve Migration"))*1+(AND(AR176&lt;&gt;"",OR(F176&lt;&gt;"Low",U176="Mixed",AND(G176&lt;&gt;"Growing",G176&lt;&gt;"Stable"))))*1+ISNUMBER(SEARCH("chat",AP176))*1+ISNUMBER(SEARCH("video",AP176))*1+(AND(AA176,AL176="Automated",AM176&lt;&gt;"HOLD — Critical Data Issue"))*1</f>
        <v>0</v>
      </c>
    </row>
    <row r="177" customFormat="false" ht="15" hidden="false" customHeight="false" outlineLevel="0" collapsed="false">
      <c r="A177" s="2" t="s">
        <v>894</v>
      </c>
      <c r="B177" s="2" t="str">
        <f aca="false">INDEX(Segmentation!$B$2:$B$301,MATCH($A177,Segmentation!$A$2:$A$301,0))</f>
        <v>Account Managed</v>
      </c>
      <c r="C177" s="2" t="str">
        <f aca="false">INDEX(Segmentation!$H$2:$H$301,MATCH($A177,Segmentation!$A$2:$A$301,0))</f>
        <v>AM-Owned / Self-Serving</v>
      </c>
      <c r="D177" s="2" t="str">
        <f aca="false">INDEX(Segmentation!$T$2:$T$301,MATCH($A177,Segmentation!$A$2:$A$301,0))</f>
        <v>9. Long-Tail Automated Nurture</v>
      </c>
      <c r="E177" s="2" t="str">
        <f aca="false">INDEX(Segmentation!$J$2:$J$301,MATCH($A177,Segmentation!$A$2:$A$301,0))</f>
        <v>Tail</v>
      </c>
      <c r="F177" s="2" t="str">
        <f aca="false">INDEX(Segmentation!$G$2:$G$301,MATCH($A177,Segmentation!$A$2:$A$301,0))</f>
        <v>Low</v>
      </c>
      <c r="G177" s="2" t="str">
        <f aca="false">INDEX(Segmentation!$N$2:$N$301,MATCH($A177,Segmentation!$A$2:$A$301,0))</f>
        <v>Lapsed</v>
      </c>
      <c r="H177" s="9" t="n">
        <f aca="false">INDEX(Segmentation!$I$2:$I$301,MATCH($A177,Segmentation!$A$2:$A$301,0))</f>
        <v>164</v>
      </c>
      <c r="I177" s="2" t="n">
        <f aca="false">INDEX(Segmentation!$O$2:$O$301,MATCH($A177,Segmentation!$A$2:$A$301,0))</f>
        <v>1</v>
      </c>
      <c r="J177" s="2" t="n">
        <f aca="false">INDEX(Segmentation!$Q$2:$Q$301,MATCH($A177,Segmentation!$A$2:$A$301,0))</f>
        <v>1</v>
      </c>
      <c r="K177" s="2" t="n">
        <f aca="false">INDEX(Segmentation!$W$2:$W$301,MATCH($A177,Segmentation!$A$2:$A$301,0))</f>
        <v>1</v>
      </c>
      <c r="L177" s="9" t="n">
        <f aca="false">INDEX('Commercial View'!$L$2:$L$301,MATCH($A177,'Commercial View'!$A$2:$A$301,0))</f>
        <v>0</v>
      </c>
      <c r="M177" s="9" t="n">
        <f aca="false">INDEX('Commercial View'!$M$2:$M$301,MATCH($A177,'Commercial View'!$A$2:$A$301,0))</f>
        <v>0</v>
      </c>
      <c r="N177" s="9" t="n">
        <f aca="false">INDEX('Commercial View'!$N$2:$N$301,MATCH($A177,'Commercial View'!$A$2:$A$301,0))</f>
        <v>0</v>
      </c>
      <c r="O177" s="9" t="n">
        <f aca="false">INDEX(Segmentation!$L$2:$L$301,MATCH($A177,Segmentation!$A$2:$A$301,0))</f>
        <v>0</v>
      </c>
      <c r="P177" s="2" t="str">
        <f aca="false">IF(OR(M177&gt;0,N177&gt;0),"Recently Active",IF(OR(I177&lt;=Assumptions!$B$48,K177&lt;=Assumptions!$B$49),"No Meaningful History","Recent Inactivity"))</f>
        <v>No Meaningful History</v>
      </c>
      <c r="Q177" s="2" t="str">
        <f aca="false">INDEX(Segmentation!$AF$2:$AF$301,MATCH($A177,Segmentation!$A$2:$A$301,0))</f>
        <v>Existing Customer</v>
      </c>
      <c r="R177" s="2" t="str">
        <f aca="false">INDEX(Segmentation!$AL$2:$AL$301,MATCH($A177,Segmentation!$A$2:$A$301,0))</f>
        <v>One-Off / Insufficient History — Verify</v>
      </c>
      <c r="S177" s="10" t="b">
        <f aca="false">INDEX(Segmentation!$AW$2:$AW$301,MATCH($A177,Segmentation!$A$2:$A$301,0))</f>
        <v>0</v>
      </c>
      <c r="T177" s="2" t="str">
        <f aca="false">INDEX('Feature Data'!$AD$2:$AD$301,MATCH($A177,'Feature Data'!$A$2:$A$301,0))</f>
        <v>One-off low-touch buyer</v>
      </c>
      <c r="U177" s="2" t="str">
        <f aca="false">INDEX('Feature Data'!$W$2:$W$301,MATCH($A177,'Feature Data'!$A$2:$A$301,0))</f>
        <v>Bundle-only</v>
      </c>
      <c r="V177" s="2" t="n">
        <f aca="false">INDEX('Feature Data'!$P$2:$P$301,MATCH($A177,'Feature Data'!$A$2:$A$301,0))</f>
        <v>29</v>
      </c>
      <c r="W177" s="2" t="n">
        <f aca="false">INDEX(Segmentation!$R$2:$R$301,MATCH($A177,Segmentation!$A$2:$A$301,0))</f>
        <v>11</v>
      </c>
      <c r="X177" s="2" t="n">
        <f aca="false">INDEX(Segmentation!$S$2:$S$301,MATCH($A177,Segmentation!$A$2:$A$301,0))</f>
        <v>3</v>
      </c>
      <c r="Y177" s="10" t="b">
        <f aca="false">INDEX(Segmentation!$AG$2:$AG$301,MATCH($A177,Segmentation!$A$2:$A$301,0))</f>
        <v>0</v>
      </c>
      <c r="Z177" s="2" t="str">
        <f aca="false">INDEX(Segmentation!$AU$2:$AU$301,MATCH($A177,Segmentation!$A$2:$A$301,0))</f>
        <v>Not Eligible</v>
      </c>
      <c r="AA177" s="10" t="b">
        <f aca="false">INDEX(Segmentation!$Z$2:$Z$301,MATCH($A177,Segmentation!$A$2:$A$301,0))</f>
        <v>0</v>
      </c>
      <c r="AB177" s="10" t="b">
        <f aca="false">INDEX(Segmentation!$AH$2:$AH$301,MATCH($A177,Segmentation!$A$2:$A$301,0))</f>
        <v>0</v>
      </c>
      <c r="AC177" s="10" t="b">
        <f aca="false">INDEX(Segmentation!$AK$2:$AK$301,MATCH($A177,Segmentation!$A$2:$A$301,0))</f>
        <v>0</v>
      </c>
      <c r="AD177" s="10" t="b">
        <f aca="false">INDEX(Segmentation!$AQ$2:$AQ$301,MATCH($A177,Segmentation!$A$2:$A$301,0))</f>
        <v>0</v>
      </c>
      <c r="AE177" s="10" t="b">
        <f aca="false">INDEX(Segmentation!$AT$2:$AT$301,MATCH($A177,Segmentation!$A$2:$A$301,0))</f>
        <v>0</v>
      </c>
      <c r="AF177" s="10" t="b">
        <f aca="false">INDEX(Segmentation!$X$2:$X$301,MATCH($A177,Segmentation!$A$2:$A$301,0))</f>
        <v>1</v>
      </c>
      <c r="AG177" s="10" t="b">
        <f aca="false">AND(F177="Low",V177&gt;=Assumptions!$B$71,X177&lt;Assumptions!$B$72)</f>
        <v>0</v>
      </c>
      <c r="AH177" s="10" t="b">
        <f aca="false">AND(F177="Low",OR(G177="Growing",G177="Stable"),P177="Recently Active",V177&gt;=Assumptions!$B$58,K177&gt;=Assumptions!$B$73)</f>
        <v>0</v>
      </c>
      <c r="AI177" s="17" t="str">
        <f aca="false">IF(O177&gt;0,MAX(L177:N177)/O177,"")</f>
        <v/>
      </c>
      <c r="AJ177" s="2" t="str">
        <f aca="false">IF(LEFT(D177,1)="1",IF(E177="Key","MIGRATION_KEY_SIGNOFF",IF(Z177="Ready","MIGRATION_PHASE1_READY",IF(Z177="Manual Review","MIGRATION_PHASE1_REVIEW","MIGRATION_PRE_ENTRY"))),IF(LEFT(D177,1)="2","DECLINING_KEY_CORE",IF(LEFT(D177,1)="3",IF(R177="Established Buyer Lapsed","LAPSED_ESTABLISHED","LAPSED_THIN_HISTORY"),IF(LEFT(D177,1)="4",IF(Q177="New Customer","NEW_CUSTOMER","RETURNED_CUSTOMER"),IF(LEFT(D177,1)="5",IF(P177="Recently Active","COST_TO_SERVE_ACTIVE","DORMANT_LOW_VALUE"),IF(LEFT(D177,1)="6",IF(P177="Recent Inactivity","RECENT_INACTIVITY",IF(AG177,"BROWSING_LOW_OFFERS","HEALTHY_STRONG_SELF_SERVE")),IF(LEFT(D177,1)="7",IF(P177="Recent Inactivity","RECENT_INACTIVITY",IF(Q177="New Customer","NEW_CUSTOMER","RETURNED_CUSTOMER")),IF(LEFT(D177,1)="8",IF(G177="Declining",IF(T177="Engaged but shrinking (Key/Core)","ENGAGED_BUT_SHRINKING","DECLINING_KEY_CORE"),IF(R177="Established Buyer Lapsed","LAPSED_ESTABLISHED","LAPSED_THIN_HISTORY")),IF(S177,IF(P177&lt;&gt;"Recently Active","DORMANT_LOW_VALUE",IF(AG177,"BROWSING_LOW_OFFERS",IF(AH177,"RISING_TAIL","RISING_TAIL_EARLY"))),IF(AND(AG177,P177="Recently Active",OR(G177="Growing",G177="Stable",G177="H2 Active / No H1 GMV"),I177&gt;=Assumptions!$B$74),"BROWSING_LOW_OFFERS","LONG_TAIL_STANDARD"))))))))))</f>
        <v>LONG_TAIL_STANDARD</v>
      </c>
      <c r="AK177" s="2" t="str">
        <f aca="false">INDEX('NBA Library'!$B$4:$B$21,MATCH(AJ177,'NBA Library'!$A$4:$A$21,0))</f>
        <v>Automated Nurture</v>
      </c>
      <c r="AL177" s="2" t="str">
        <f aca="false">INDEX('NBA Library'!$C$4:$C$21,MATCH(AJ177,'NBA Library'!$A$4:$A$21,0))</f>
        <v>Automated</v>
      </c>
      <c r="AM177" s="2" t="str">
        <f aca="false">IF(AA177,"HOLD — Critical Data Issue",IF(Y177,"Human Sign-Off Required",IF(Z177="Manual Review","Human Review Required",IF(AND(AL177="Automated",OR(AE177,AND(OR(AK177="Discovery-to-Offer Enablement",AK177="Reinforce Successful Behaviour"),OR(AC177,AB177)))),"Human Review Required",IF(AL177="Human","Ready — Human",IF(AL177="Hybrid","Ready — Hybrid","Ready — Automated"))))))</f>
        <v>Ready — Automated</v>
      </c>
      <c r="AN177" s="2" t="str">
        <f aca="false">IF(AA177,"P0",IF(AND(AJ177="BROWSING_LOW_OFFERS",E177="Tail"),"P3",IF(AND(AM177="Human Review Required",INDEX('NBA Library'!$D$4:$D$21,MATCH(AJ177,'NBA Library'!$A$4:$A$21,0))="P4"),"P3",INDEX('NBA Library'!$D$4:$D$21,MATCH(AJ177,'NBA Library'!$A$4:$A$21,0)))))</f>
        <v>P4</v>
      </c>
      <c r="AO177" s="2" t="str">
        <f aca="false">E177&amp;" "&amp;C177&amp;" account ("&amp;B177&amp;"); "&amp;G177&amp;" momentum; "&amp;P177&amp;"; £"&amp;TEXT(H177,"#,##0")&amp;" 6m GMV. "&amp;INDEX('NBA Library'!$G$4:$G$21,MATCH(AJ177,'NBA Library'!$A$4:$A$21,0))&amp;IF(LEFT(D177,1)="1"," Baseline: "&amp;V177&amp;" PDP views, "&amp;W177&amp;" app days, "&amp;X177&amp;" offers, "&amp;TEXT(J177/I177,"0%")&amp;" of orders self-serve.","")&amp;IF(AA177," Execution on HOLD until the Duplicate status is resolved.","")&amp;IF(Y177," Key account: explicit AM/leadership sign-off required before any migration activity.","")&amp;IF(AE177," Implied broker % from order counts would move this account to a different segment; review before automating.","")</f>
        <v>Tail AM-Owned / Self-Serving account (Account Managed); Lapsed momentum; No Meaningful History; £164 6m GMV. Low-value, low-dependency account. Scalable automated engagement.</v>
      </c>
      <c r="AP177" s="2" t="str">
        <f aca="false">INDEX('NBA Library'!$E$4:$E$21,MATCH(AJ177,'NBA Library'!$A$4:$A$21,0))&amp;IF(AND(AJ177="NEW_CUSTOMER",AG177),"; introduce Make-an-Offer on items already browsed","")</f>
        <v>Scalable automated engagement matched to nurture sub-context</v>
      </c>
      <c r="AQ177" s="2" t="str">
        <f aca="false">INDEX('NBA Library'!$F$4:$F$21,MATCH(AJ177,'NBA Library'!$A$4:$A$21,0))</f>
        <v>Any repeat order within 90 days</v>
      </c>
      <c r="AR177" s="2" t="str">
        <f aca="false">IF(AND(F177="Low",OR(G177="Growing",G177="Stable"),P177="Recently Active",U177&lt;&gt;"Mixed",OR(AK177="Discovery-to-Offer Enablement",AK177="Reinforce Successful Behaviour"),AM177="Ready — Automated",OR(E177&lt;&gt;"Tail",S177)),"Range Expansion Test — trial "&amp;IF(U177="Bundle-only","handpick","bundles")&amp;" (experimental; not proven to lift GMV)","")</f>
        <v/>
      </c>
      <c r="AS177" s="2" t="str">
        <f aca="false">IF(AK177&lt;&gt;"Automated Nurture","",IF(AJ177="DORMANT_LOW_VALUE","Dormant",IF(AJ177="RISING_TAIL_EARLY","Rising tail – early pattern",IF(Q177="New Customer","New customer onboarding",IF(Q177="Returned Customer","Returned customer",IF(G177="Lapsed","Dormant",IF(T177="Engaged, not converting","Engaged, not converting",IF(T177="One-off low-touch buyer","One-off purchaser",IF(T177="Light-touch repeat buyer","Light-touch repeat buyer","Standard long tail")))))))))</f>
        <v>Dormant</v>
      </c>
      <c r="AT177" s="2" t="str">
        <f aca="false">IF(AA177,"CRITICAL_DATA_BLOCKER; ","")&amp;IF(Y177,"KEY_SIGNOFF; ","")&amp;IF(Z177="Manual Review","PHASE1_MANUAL_REVIEW; ","")&amp;IF(AND(LEFT(D177,1)="1",AZ177="Lumpy"),"LUMPY_CADENCE; ","")&amp;IF(AB177,"BORDERLINE_MOMENTUM; ","")&amp;IF(AC177,"FEB_SENSITIVE; ","")&amp;IF(AD177,"MATERIAL_BROKER_INCONSISTENCY"&amp;IF(AE177," (segment would change)","")&amp;"; ","")&amp;IF(AND(I177&gt;=3,O177&gt;0),IF(AI177&gt;=Assumptions!$B$75,"H2_SINGLE_MONTH_SPIKE; ",""),"")&amp;IF(AND(M177&gt;0,N177=0),"NO_FEB_GMV (Feb unconfirmed); ","")&amp;IF(AF177,"LOW_CONFIDENCE; ","")</f>
        <v>LOW_CONFIDENCE; </v>
      </c>
      <c r="AU177" s="2" t="str">
        <f aca="false">IF(LEFT(D177,1)="1",V177,"")</f>
        <v/>
      </c>
      <c r="AV177" s="2" t="str">
        <f aca="false">IF(LEFT(D177,1)="1",V177&gt;=Assumptions!$B$58,"")</f>
        <v/>
      </c>
      <c r="AW177" s="2" t="str">
        <f aca="false">IF(LEFT(D177,1)="1",W177,"")</f>
        <v/>
      </c>
      <c r="AX177" s="2" t="str">
        <f aca="false">IF(LEFT(D177,1)="1",X177,"")</f>
        <v/>
      </c>
      <c r="AY177" s="17" t="str">
        <f aca="false">IF(LEFT(D177,1)="1",J177/I177,"")</f>
        <v/>
      </c>
      <c r="AZ177" s="2" t="str">
        <f aca="false">IF(LEFT(D177,1)="1",IF(AND(K177&gt;=Assumptions!$B$83,I177&gt;=Assumptions!$B$84),"Regular","Lumpy"),"")</f>
        <v/>
      </c>
      <c r="BA177" s="2" t="str">
        <f aca="false">IF(LEFT(D177,1)="1",ROUND(6/K177,0),"")</f>
        <v/>
      </c>
      <c r="BB177" s="2" t="str">
        <f aca="false">IF(LEFT(D177,1)="1",IF(AZ177="Regular","Regular buyer: expected ~£"&amp;TEXT(H177/2,"#,##0")&amp;" per 90 days. At Risk if GMV to date &lt; "&amp;TEXT(Assumptions!$B$81,"0%")&amp;" of pro-rated expectation, checked from day "&amp;Assumptions!$B$82&amp;". Human-reviewed.","Irregular buyer ("&amp;I177&amp;" orders across "&amp;K177&amp;" months): no numeric GMV threshold. At Risk if no order within ~"&amp;BA177&amp;" month(s); AM reviews at day "&amp;Assumptions!$B$82&amp;" and "&amp;Assumptions!$B$85&amp;"."),"")</f>
        <v/>
      </c>
      <c r="BC177" s="2"/>
      <c r="BD177" s="2"/>
      <c r="BE177" s="2"/>
      <c r="BF177" s="2"/>
      <c r="BG177" s="2"/>
      <c r="BH177" s="2"/>
      <c r="BI177" s="2"/>
      <c r="BJ177" s="2" t="str">
        <f aca="false">IF(OR(NOT(LEFT(D177,1)="1"),BC177=""),"",IF(AZ177="Regular",AND(BC177&gt;=Assumptions!$B$82,N(BI177)&lt;Assumptions!$B$81*H177/180*BC177),AND(BC177&gt;=BA177*30,N(BG177)=0)))</f>
        <v/>
      </c>
      <c r="BK177" s="2" t="str">
        <f aca="false">IF(NOT(LEFT(D177,1)="1"),"N/A",IF(BC177="","Baseline",IF(BJ177,"At Risk",IF(AND(N(BD177)&gt;=Assumptions!$B$78,N(BE177)&gt;=Assumptions!$B$79,N(BH177)&gt;=1,N(BH177)/MAX(N(BG177),1)&gt;AY177),"Self-Serve Capability Demonstrated",IF(OR(N(BD177)&gt;=Assumptions!$B$76,N(BE177)&gt;=Assumptions!$B$77),"Progressing",IF(BC177&gt;=Assumptions!$B$85,"At Risk","Baseline"))))))</f>
        <v>N/A</v>
      </c>
      <c r="BL177" s="2" t="n">
        <f aca="false">(AND(C177="Broker-Reliant",OR(AK177="Discovery-to-Offer Enablement",AK177="Reinforce Successful Behaviour")))*1+(AND(G177="Declining",E177&lt;&gt;"Tail",AL177="Automated"))*1+(AND(Y177,AM177&lt;&gt;"Human Sign-Off Required"))*1+(AND(AA177,AM177&lt;&gt;"HOLD — Critical Data Issue"))*1+(AND(P177="Recent Inactivity",OR(AK177="Discovery-to-Offer Enablement",AK177="Reinforce Successful Behaviour")))*1+(AND(OR(LEFT(D177,1)="2",LEFT(D177,1)="3",LEFT(D177,1)="8"),AL177="Automated"))*1+((LEFT(D177,1)="1")&lt;&gt;(AK177="Guided Self-Serve Migration"))*1+(AND(AR177&lt;&gt;"",OR(F177&lt;&gt;"Low",U177="Mixed",AND(G177&lt;&gt;"Growing",G177&lt;&gt;"Stable"))))*1+ISNUMBER(SEARCH("chat",AP177))*1+ISNUMBER(SEARCH("video",AP177))*1+(AND(AA177,AL177="Automated",AM177&lt;&gt;"HOLD — Critical Data Issue"))*1</f>
        <v>0</v>
      </c>
    </row>
    <row r="178" customFormat="false" ht="15" hidden="false" customHeight="false" outlineLevel="0" collapsed="false">
      <c r="A178" s="2" t="s">
        <v>896</v>
      </c>
      <c r="B178" s="2" t="str">
        <f aca="false">INDEX(Segmentation!$B$2:$B$301,MATCH($A178,Segmentation!$A$2:$A$301,0))</f>
        <v>Account Managed</v>
      </c>
      <c r="C178" s="2" t="str">
        <f aca="false">INDEX(Segmentation!$H$2:$H$301,MATCH($A178,Segmentation!$A$2:$A$301,0))</f>
        <v>AM-Owned / Self-Serving</v>
      </c>
      <c r="D178" s="2" t="str">
        <f aca="false">INDEX(Segmentation!$T$2:$T$301,MATCH($A178,Segmentation!$A$2:$A$301,0))</f>
        <v>9. Long-Tail Automated Nurture</v>
      </c>
      <c r="E178" s="2" t="str">
        <f aca="false">INDEX(Segmentation!$J$2:$J$301,MATCH($A178,Segmentation!$A$2:$A$301,0))</f>
        <v>Tail</v>
      </c>
      <c r="F178" s="2" t="str">
        <f aca="false">INDEX(Segmentation!$G$2:$G$301,MATCH($A178,Segmentation!$A$2:$A$301,0))</f>
        <v>Low</v>
      </c>
      <c r="G178" s="2" t="str">
        <f aca="false">INDEX(Segmentation!$N$2:$N$301,MATCH($A178,Segmentation!$A$2:$A$301,0))</f>
        <v>H2 Active / No H1 GMV</v>
      </c>
      <c r="H178" s="9" t="n">
        <f aca="false">INDEX(Segmentation!$I$2:$I$301,MATCH($A178,Segmentation!$A$2:$A$301,0))</f>
        <v>164</v>
      </c>
      <c r="I178" s="2" t="n">
        <f aca="false">INDEX(Segmentation!$O$2:$O$301,MATCH($A178,Segmentation!$A$2:$A$301,0))</f>
        <v>1</v>
      </c>
      <c r="J178" s="2" t="n">
        <f aca="false">INDEX(Segmentation!$Q$2:$Q$301,MATCH($A178,Segmentation!$A$2:$A$301,0))</f>
        <v>1</v>
      </c>
      <c r="K178" s="2" t="n">
        <f aca="false">INDEX(Segmentation!$W$2:$W$301,MATCH($A178,Segmentation!$A$2:$A$301,0))</f>
        <v>1</v>
      </c>
      <c r="L178" s="9" t="n">
        <f aca="false">INDEX('Commercial View'!$L$2:$L$301,MATCH($A178,'Commercial View'!$A$2:$A$301,0))</f>
        <v>0</v>
      </c>
      <c r="M178" s="9" t="n">
        <f aca="false">INDEX('Commercial View'!$M$2:$M$301,MATCH($A178,'Commercial View'!$A$2:$A$301,0))</f>
        <v>0</v>
      </c>
      <c r="N178" s="9" t="n">
        <f aca="false">INDEX('Commercial View'!$N$2:$N$301,MATCH($A178,'Commercial View'!$A$2:$A$301,0))</f>
        <v>164</v>
      </c>
      <c r="O178" s="9" t="n">
        <f aca="false">INDEX(Segmentation!$L$2:$L$301,MATCH($A178,Segmentation!$A$2:$A$301,0))</f>
        <v>164</v>
      </c>
      <c r="P178" s="2" t="str">
        <f aca="false">IF(OR(M178&gt;0,N178&gt;0),"Recently Active",IF(OR(I178&lt;=Assumptions!$B$48,K178&lt;=Assumptions!$B$49),"No Meaningful History","Recent Inactivity"))</f>
        <v>Recently Active</v>
      </c>
      <c r="Q178" s="2" t="str">
        <f aca="false">INDEX(Segmentation!$AF$2:$AF$301,MATCH($A178,Segmentation!$A$2:$A$301,0))</f>
        <v>Returned Customer</v>
      </c>
      <c r="R178" s="2" t="str">
        <f aca="false">INDEX(Segmentation!$AL$2:$AL$301,MATCH($A178,Segmentation!$A$2:$A$301,0))</f>
        <v>N/A</v>
      </c>
      <c r="S178" s="10" t="b">
        <f aca="false">INDEX(Segmentation!$AW$2:$AW$301,MATCH($A178,Segmentation!$A$2:$A$301,0))</f>
        <v>0</v>
      </c>
      <c r="T178" s="2" t="str">
        <f aca="false">INDEX('Feature Data'!$AD$2:$AD$301,MATCH($A178,'Feature Data'!$A$2:$A$301,0))</f>
        <v>One-off low-touch buyer</v>
      </c>
      <c r="U178" s="2" t="str">
        <f aca="false">INDEX('Feature Data'!$W$2:$W$301,MATCH($A178,'Feature Data'!$A$2:$A$301,0))</f>
        <v>Bundle-only</v>
      </c>
      <c r="V178" s="2" t="n">
        <f aca="false">INDEX('Feature Data'!$P$2:$P$301,MATCH($A178,'Feature Data'!$A$2:$A$301,0))</f>
        <v>18</v>
      </c>
      <c r="W178" s="2" t="n">
        <f aca="false">INDEX(Segmentation!$R$2:$R$301,MATCH($A178,Segmentation!$A$2:$A$301,0))</f>
        <v>10</v>
      </c>
      <c r="X178" s="2" t="n">
        <f aca="false">INDEX(Segmentation!$S$2:$S$301,MATCH($A178,Segmentation!$A$2:$A$301,0))</f>
        <v>0</v>
      </c>
      <c r="Y178" s="10" t="b">
        <f aca="false">INDEX(Segmentation!$AG$2:$AG$301,MATCH($A178,Segmentation!$A$2:$A$301,0))</f>
        <v>0</v>
      </c>
      <c r="Z178" s="2" t="str">
        <f aca="false">INDEX(Segmentation!$AU$2:$AU$301,MATCH($A178,Segmentation!$A$2:$A$301,0))</f>
        <v>Not Eligible</v>
      </c>
      <c r="AA178" s="10" t="b">
        <f aca="false">INDEX(Segmentation!$Z$2:$Z$301,MATCH($A178,Segmentation!$A$2:$A$301,0))</f>
        <v>0</v>
      </c>
      <c r="AB178" s="10" t="b">
        <f aca="false">INDEX(Segmentation!$AH$2:$AH$301,MATCH($A178,Segmentation!$A$2:$A$301,0))</f>
        <v>0</v>
      </c>
      <c r="AC178" s="10" t="b">
        <f aca="false">INDEX(Segmentation!$AK$2:$AK$301,MATCH($A178,Segmentation!$A$2:$A$301,0))</f>
        <v>1</v>
      </c>
      <c r="AD178" s="10" t="b">
        <f aca="false">INDEX(Segmentation!$AQ$2:$AQ$301,MATCH($A178,Segmentation!$A$2:$A$301,0))</f>
        <v>0</v>
      </c>
      <c r="AE178" s="10" t="b">
        <f aca="false">INDEX(Segmentation!$AT$2:$AT$301,MATCH($A178,Segmentation!$A$2:$A$301,0))</f>
        <v>0</v>
      </c>
      <c r="AF178" s="10" t="b">
        <f aca="false">INDEX(Segmentation!$X$2:$X$301,MATCH($A178,Segmentation!$A$2:$A$301,0))</f>
        <v>1</v>
      </c>
      <c r="AG178" s="10" t="b">
        <f aca="false">AND(F178="Low",V178&gt;=Assumptions!$B$71,X178&lt;Assumptions!$B$72)</f>
        <v>0</v>
      </c>
      <c r="AH178" s="10" t="b">
        <f aca="false">AND(F178="Low",OR(G178="Growing",G178="Stable"),P178="Recently Active",V178&gt;=Assumptions!$B$58,K178&gt;=Assumptions!$B$73)</f>
        <v>0</v>
      </c>
      <c r="AI178" s="17" t="n">
        <f aca="false">IF(O178&gt;0,MAX(L178:N178)/O178,"")</f>
        <v>1</v>
      </c>
      <c r="AJ178" s="2" t="str">
        <f aca="false">IF(LEFT(D178,1)="1",IF(E178="Key","MIGRATION_KEY_SIGNOFF",IF(Z178="Ready","MIGRATION_PHASE1_READY",IF(Z178="Manual Review","MIGRATION_PHASE1_REVIEW","MIGRATION_PRE_ENTRY"))),IF(LEFT(D178,1)="2","DECLINING_KEY_CORE",IF(LEFT(D178,1)="3",IF(R178="Established Buyer Lapsed","LAPSED_ESTABLISHED","LAPSED_THIN_HISTORY"),IF(LEFT(D178,1)="4",IF(Q178="New Customer","NEW_CUSTOMER","RETURNED_CUSTOMER"),IF(LEFT(D178,1)="5",IF(P178="Recently Active","COST_TO_SERVE_ACTIVE","DORMANT_LOW_VALUE"),IF(LEFT(D178,1)="6",IF(P178="Recent Inactivity","RECENT_INACTIVITY",IF(AG178,"BROWSING_LOW_OFFERS","HEALTHY_STRONG_SELF_SERVE")),IF(LEFT(D178,1)="7",IF(P178="Recent Inactivity","RECENT_INACTIVITY",IF(Q178="New Customer","NEW_CUSTOMER","RETURNED_CUSTOMER")),IF(LEFT(D178,1)="8",IF(G178="Declining",IF(T178="Engaged but shrinking (Key/Core)","ENGAGED_BUT_SHRINKING","DECLINING_KEY_CORE"),IF(R178="Established Buyer Lapsed","LAPSED_ESTABLISHED","LAPSED_THIN_HISTORY")),IF(S178,IF(P178&lt;&gt;"Recently Active","DORMANT_LOW_VALUE",IF(AG178,"BROWSING_LOW_OFFERS",IF(AH178,"RISING_TAIL","RISING_TAIL_EARLY"))),IF(AND(AG178,P178="Recently Active",OR(G178="Growing",G178="Stable",G178="H2 Active / No H1 GMV"),I178&gt;=Assumptions!$B$74),"BROWSING_LOW_OFFERS","LONG_TAIL_STANDARD"))))))))))</f>
        <v>LONG_TAIL_STANDARD</v>
      </c>
      <c r="AK178" s="2" t="str">
        <f aca="false">INDEX('NBA Library'!$B$4:$B$21,MATCH(AJ178,'NBA Library'!$A$4:$A$21,0))</f>
        <v>Automated Nurture</v>
      </c>
      <c r="AL178" s="2" t="str">
        <f aca="false">INDEX('NBA Library'!$C$4:$C$21,MATCH(AJ178,'NBA Library'!$A$4:$A$21,0))</f>
        <v>Automated</v>
      </c>
      <c r="AM178" s="2" t="str">
        <f aca="false">IF(AA178,"HOLD — Critical Data Issue",IF(Y178,"Human Sign-Off Required",IF(Z178="Manual Review","Human Review Required",IF(AND(AL178="Automated",OR(AE178,AND(OR(AK178="Discovery-to-Offer Enablement",AK178="Reinforce Successful Behaviour"),OR(AC178,AB178)))),"Human Review Required",IF(AL178="Human","Ready — Human",IF(AL178="Hybrid","Ready — Hybrid","Ready — Automated"))))))</f>
        <v>Ready — Automated</v>
      </c>
      <c r="AN178" s="2" t="str">
        <f aca="false">IF(AA178,"P0",IF(AND(AJ178="BROWSING_LOW_OFFERS",E178="Tail"),"P3",IF(AND(AM178="Human Review Required",INDEX('NBA Library'!$D$4:$D$21,MATCH(AJ178,'NBA Library'!$A$4:$A$21,0))="P4"),"P3",INDEX('NBA Library'!$D$4:$D$21,MATCH(AJ178,'NBA Library'!$A$4:$A$21,0)))))</f>
        <v>P4</v>
      </c>
      <c r="AO178" s="2" t="str">
        <f aca="false">E178&amp;" "&amp;C178&amp;" account ("&amp;B178&amp;"); "&amp;G178&amp;" momentum; "&amp;P178&amp;"; £"&amp;TEXT(H178,"#,##0")&amp;" 6m GMV. "&amp;INDEX('NBA Library'!$G$4:$G$21,MATCH(AJ178,'NBA Library'!$A$4:$A$21,0))&amp;IF(LEFT(D178,1)="1"," Baseline: "&amp;V178&amp;" PDP views, "&amp;W178&amp;" app days, "&amp;X178&amp;" offers, "&amp;TEXT(J178/I178,"0%")&amp;" of orders self-serve.","")&amp;IF(AA178," Execution on HOLD until the Duplicate status is resolved.","")&amp;IF(Y178," Key account: explicit AM/leadership sign-off required before any migration activity.","")&amp;IF(AE178," Implied broker % from order counts would move this account to a different segment; review before automating.","")</f>
        <v>Tail AM-Owned / Self-Serving account (Account Managed); H2 Active / No H1 GMV momentum; Recently Active; £164 6m GMV. Low-value, low-dependency account. Scalable automated engagement.</v>
      </c>
      <c r="AP178" s="2" t="str">
        <f aca="false">INDEX('NBA Library'!$E$4:$E$21,MATCH(AJ178,'NBA Library'!$A$4:$A$21,0))&amp;IF(AND(AJ178="NEW_CUSTOMER",AG178),"; introduce Make-an-Offer on items already browsed","")</f>
        <v>Scalable automated engagement matched to nurture sub-context</v>
      </c>
      <c r="AQ178" s="2" t="str">
        <f aca="false">INDEX('NBA Library'!$F$4:$F$21,MATCH(AJ178,'NBA Library'!$A$4:$A$21,0))</f>
        <v>Any repeat order within 90 days</v>
      </c>
      <c r="AR178" s="2" t="str">
        <f aca="false">IF(AND(F178="Low",OR(G178="Growing",G178="Stable"),P178="Recently Active",U178&lt;&gt;"Mixed",OR(AK178="Discovery-to-Offer Enablement",AK178="Reinforce Successful Behaviour"),AM178="Ready — Automated",OR(E178&lt;&gt;"Tail",S178)),"Range Expansion Test — trial "&amp;IF(U178="Bundle-only","handpick","bundles")&amp;" (experimental; not proven to lift GMV)","")</f>
        <v/>
      </c>
      <c r="AS178" s="2" t="str">
        <f aca="false">IF(AK178&lt;&gt;"Automated Nurture","",IF(AJ178="DORMANT_LOW_VALUE","Dormant",IF(AJ178="RISING_TAIL_EARLY","Rising tail – early pattern",IF(Q178="New Customer","New customer onboarding",IF(Q178="Returned Customer","Returned customer",IF(G178="Lapsed","Dormant",IF(T178="Engaged, not converting","Engaged, not converting",IF(T178="One-off low-touch buyer","One-off purchaser",IF(T178="Light-touch repeat buyer","Light-touch repeat buyer","Standard long tail")))))))))</f>
        <v>Returned customer</v>
      </c>
      <c r="AT178" s="2" t="str">
        <f aca="false">IF(AA178,"CRITICAL_DATA_BLOCKER; ","")&amp;IF(Y178,"KEY_SIGNOFF; ","")&amp;IF(Z178="Manual Review","PHASE1_MANUAL_REVIEW; ","")&amp;IF(AND(LEFT(D178,1)="1",AZ178="Lumpy"),"LUMPY_CADENCE; ","")&amp;IF(AB178,"BORDERLINE_MOMENTUM; ","")&amp;IF(AC178,"FEB_SENSITIVE; ","")&amp;IF(AD178,"MATERIAL_BROKER_INCONSISTENCY"&amp;IF(AE178," (segment would change)","")&amp;"; ","")&amp;IF(AND(I178&gt;=3,O178&gt;0),IF(AI178&gt;=Assumptions!$B$75,"H2_SINGLE_MONTH_SPIKE; ",""),"")&amp;IF(AND(M178&gt;0,N178=0),"NO_FEB_GMV (Feb unconfirmed); ","")&amp;IF(AF178,"LOW_CONFIDENCE; ","")</f>
        <v>FEB_SENSITIVE; LOW_CONFIDENCE; </v>
      </c>
      <c r="AU178" s="2" t="str">
        <f aca="false">IF(LEFT(D178,1)="1",V178,"")</f>
        <v/>
      </c>
      <c r="AV178" s="2" t="str">
        <f aca="false">IF(LEFT(D178,1)="1",V178&gt;=Assumptions!$B$58,"")</f>
        <v/>
      </c>
      <c r="AW178" s="2" t="str">
        <f aca="false">IF(LEFT(D178,1)="1",W178,"")</f>
        <v/>
      </c>
      <c r="AX178" s="2" t="str">
        <f aca="false">IF(LEFT(D178,1)="1",X178,"")</f>
        <v/>
      </c>
      <c r="AY178" s="17" t="str">
        <f aca="false">IF(LEFT(D178,1)="1",J178/I178,"")</f>
        <v/>
      </c>
      <c r="AZ178" s="2" t="str">
        <f aca="false">IF(LEFT(D178,1)="1",IF(AND(K178&gt;=Assumptions!$B$83,I178&gt;=Assumptions!$B$84),"Regular","Lumpy"),"")</f>
        <v/>
      </c>
      <c r="BA178" s="2" t="str">
        <f aca="false">IF(LEFT(D178,1)="1",ROUND(6/K178,0),"")</f>
        <v/>
      </c>
      <c r="BB178" s="2" t="str">
        <f aca="false">IF(LEFT(D178,1)="1",IF(AZ178="Regular","Regular buyer: expected ~£"&amp;TEXT(H178/2,"#,##0")&amp;" per 90 days. At Risk if GMV to date &lt; "&amp;TEXT(Assumptions!$B$81,"0%")&amp;" of pro-rated expectation, checked from day "&amp;Assumptions!$B$82&amp;". Human-reviewed.","Irregular buyer ("&amp;I178&amp;" orders across "&amp;K178&amp;" months): no numeric GMV threshold. At Risk if no order within ~"&amp;BA178&amp;" month(s); AM reviews at day "&amp;Assumptions!$B$82&amp;" and "&amp;Assumptions!$B$85&amp;"."),"")</f>
        <v/>
      </c>
      <c r="BC178" s="2"/>
      <c r="BD178" s="2"/>
      <c r="BE178" s="2"/>
      <c r="BF178" s="2"/>
      <c r="BG178" s="2"/>
      <c r="BH178" s="2"/>
      <c r="BI178" s="2"/>
      <c r="BJ178" s="2" t="str">
        <f aca="false">IF(OR(NOT(LEFT(D178,1)="1"),BC178=""),"",IF(AZ178="Regular",AND(BC178&gt;=Assumptions!$B$82,N(BI178)&lt;Assumptions!$B$81*H178/180*BC178),AND(BC178&gt;=BA178*30,N(BG178)=0)))</f>
        <v/>
      </c>
      <c r="BK178" s="2" t="str">
        <f aca="false">IF(NOT(LEFT(D178,1)="1"),"N/A",IF(BC178="","Baseline",IF(BJ178,"At Risk",IF(AND(N(BD178)&gt;=Assumptions!$B$78,N(BE178)&gt;=Assumptions!$B$79,N(BH178)&gt;=1,N(BH178)/MAX(N(BG178),1)&gt;AY178),"Self-Serve Capability Demonstrated",IF(OR(N(BD178)&gt;=Assumptions!$B$76,N(BE178)&gt;=Assumptions!$B$77),"Progressing",IF(BC178&gt;=Assumptions!$B$85,"At Risk","Baseline"))))))</f>
        <v>N/A</v>
      </c>
      <c r="BL178" s="2" t="n">
        <f aca="false">(AND(C178="Broker-Reliant",OR(AK178="Discovery-to-Offer Enablement",AK178="Reinforce Successful Behaviour")))*1+(AND(G178="Declining",E178&lt;&gt;"Tail",AL178="Automated"))*1+(AND(Y178,AM178&lt;&gt;"Human Sign-Off Required"))*1+(AND(AA178,AM178&lt;&gt;"HOLD — Critical Data Issue"))*1+(AND(P178="Recent Inactivity",OR(AK178="Discovery-to-Offer Enablement",AK178="Reinforce Successful Behaviour")))*1+(AND(OR(LEFT(D178,1)="2",LEFT(D178,1)="3",LEFT(D178,1)="8"),AL178="Automated"))*1+((LEFT(D178,1)="1")&lt;&gt;(AK178="Guided Self-Serve Migration"))*1+(AND(AR178&lt;&gt;"",OR(F178&lt;&gt;"Low",U178="Mixed",AND(G178&lt;&gt;"Growing",G178&lt;&gt;"Stable"))))*1+ISNUMBER(SEARCH("chat",AP178))*1+ISNUMBER(SEARCH("video",AP178))*1+(AND(AA178,AL178="Automated",AM178&lt;&gt;"HOLD — Critical Data Issue"))*1</f>
        <v>0</v>
      </c>
    </row>
    <row r="179" customFormat="false" ht="15" hidden="false" customHeight="false" outlineLevel="0" collapsed="false">
      <c r="A179" s="2" t="s">
        <v>898</v>
      </c>
      <c r="B179" s="2" t="str">
        <f aca="false">INDEX(Segmentation!$B$2:$B$301,MATCH($A179,Segmentation!$A$2:$A$301,0))</f>
        <v>Account Managed</v>
      </c>
      <c r="C179" s="2" t="str">
        <f aca="false">INDEX(Segmentation!$H$2:$H$301,MATCH($A179,Segmentation!$A$2:$A$301,0))</f>
        <v>AM-Owned / Self-Serving</v>
      </c>
      <c r="D179" s="2" t="str">
        <f aca="false">INDEX(Segmentation!$T$2:$T$301,MATCH($A179,Segmentation!$A$2:$A$301,0))</f>
        <v>9. Long-Tail Automated Nurture</v>
      </c>
      <c r="E179" s="2" t="str">
        <f aca="false">INDEX(Segmentation!$J$2:$J$301,MATCH($A179,Segmentation!$A$2:$A$301,0))</f>
        <v>Tail</v>
      </c>
      <c r="F179" s="2" t="str">
        <f aca="false">INDEX(Segmentation!$G$2:$G$301,MATCH($A179,Segmentation!$A$2:$A$301,0))</f>
        <v>Low</v>
      </c>
      <c r="G179" s="2" t="str">
        <f aca="false">INDEX(Segmentation!$N$2:$N$301,MATCH($A179,Segmentation!$A$2:$A$301,0))</f>
        <v>Lapsed</v>
      </c>
      <c r="H179" s="9" t="n">
        <f aca="false">INDEX(Segmentation!$I$2:$I$301,MATCH($A179,Segmentation!$A$2:$A$301,0))</f>
        <v>156</v>
      </c>
      <c r="I179" s="2" t="n">
        <f aca="false">INDEX(Segmentation!$O$2:$O$301,MATCH($A179,Segmentation!$A$2:$A$301,0))</f>
        <v>1</v>
      </c>
      <c r="J179" s="2" t="n">
        <f aca="false">INDEX(Segmentation!$Q$2:$Q$301,MATCH($A179,Segmentation!$A$2:$A$301,0))</f>
        <v>1</v>
      </c>
      <c r="K179" s="2" t="n">
        <f aca="false">INDEX(Segmentation!$W$2:$W$301,MATCH($A179,Segmentation!$A$2:$A$301,0))</f>
        <v>1</v>
      </c>
      <c r="L179" s="9" t="n">
        <f aca="false">INDEX('Commercial View'!$L$2:$L$301,MATCH($A179,'Commercial View'!$A$2:$A$301,0))</f>
        <v>0</v>
      </c>
      <c r="M179" s="9" t="n">
        <f aca="false">INDEX('Commercial View'!$M$2:$M$301,MATCH($A179,'Commercial View'!$A$2:$A$301,0))</f>
        <v>0</v>
      </c>
      <c r="N179" s="9" t="n">
        <f aca="false">INDEX('Commercial View'!$N$2:$N$301,MATCH($A179,'Commercial View'!$A$2:$A$301,0))</f>
        <v>0</v>
      </c>
      <c r="O179" s="9" t="n">
        <f aca="false">INDEX(Segmentation!$L$2:$L$301,MATCH($A179,Segmentation!$A$2:$A$301,0))</f>
        <v>0</v>
      </c>
      <c r="P179" s="2" t="str">
        <f aca="false">IF(OR(M179&gt;0,N179&gt;0),"Recently Active",IF(OR(I179&lt;=Assumptions!$B$48,K179&lt;=Assumptions!$B$49),"No Meaningful History","Recent Inactivity"))</f>
        <v>No Meaningful History</v>
      </c>
      <c r="Q179" s="2" t="str">
        <f aca="false">INDEX(Segmentation!$AF$2:$AF$301,MATCH($A179,Segmentation!$A$2:$A$301,0))</f>
        <v>Existing Customer</v>
      </c>
      <c r="R179" s="2" t="str">
        <f aca="false">INDEX(Segmentation!$AL$2:$AL$301,MATCH($A179,Segmentation!$A$2:$A$301,0))</f>
        <v>One-Off / Insufficient History — Verify</v>
      </c>
      <c r="S179" s="10" t="b">
        <f aca="false">INDEX(Segmentation!$AW$2:$AW$301,MATCH($A179,Segmentation!$A$2:$A$301,0))</f>
        <v>0</v>
      </c>
      <c r="T179" s="2" t="str">
        <f aca="false">INDEX('Feature Data'!$AD$2:$AD$301,MATCH($A179,'Feature Data'!$A$2:$A$301,0))</f>
        <v>One-off low-touch buyer</v>
      </c>
      <c r="U179" s="2" t="str">
        <f aca="false">INDEX('Feature Data'!$W$2:$W$301,MATCH($A179,'Feature Data'!$A$2:$A$301,0))</f>
        <v>Handpick-only</v>
      </c>
      <c r="V179" s="2" t="n">
        <f aca="false">INDEX('Feature Data'!$P$2:$P$301,MATCH($A179,'Feature Data'!$A$2:$A$301,0))</f>
        <v>65</v>
      </c>
      <c r="W179" s="2" t="n">
        <f aca="false">INDEX(Segmentation!$R$2:$R$301,MATCH($A179,Segmentation!$A$2:$A$301,0))</f>
        <v>10</v>
      </c>
      <c r="X179" s="2" t="n">
        <f aca="false">INDEX(Segmentation!$S$2:$S$301,MATCH($A179,Segmentation!$A$2:$A$301,0))</f>
        <v>0</v>
      </c>
      <c r="Y179" s="10" t="b">
        <f aca="false">INDEX(Segmentation!$AG$2:$AG$301,MATCH($A179,Segmentation!$A$2:$A$301,0))</f>
        <v>0</v>
      </c>
      <c r="Z179" s="2" t="str">
        <f aca="false">INDEX(Segmentation!$AU$2:$AU$301,MATCH($A179,Segmentation!$A$2:$A$301,0))</f>
        <v>Not Eligible</v>
      </c>
      <c r="AA179" s="10" t="b">
        <f aca="false">INDEX(Segmentation!$Z$2:$Z$301,MATCH($A179,Segmentation!$A$2:$A$301,0))</f>
        <v>0</v>
      </c>
      <c r="AB179" s="10" t="b">
        <f aca="false">INDEX(Segmentation!$AH$2:$AH$301,MATCH($A179,Segmentation!$A$2:$A$301,0))</f>
        <v>0</v>
      </c>
      <c r="AC179" s="10" t="b">
        <f aca="false">INDEX(Segmentation!$AK$2:$AK$301,MATCH($A179,Segmentation!$A$2:$A$301,0))</f>
        <v>0</v>
      </c>
      <c r="AD179" s="10" t="b">
        <f aca="false">INDEX(Segmentation!$AQ$2:$AQ$301,MATCH($A179,Segmentation!$A$2:$A$301,0))</f>
        <v>0</v>
      </c>
      <c r="AE179" s="10" t="b">
        <f aca="false">INDEX(Segmentation!$AT$2:$AT$301,MATCH($A179,Segmentation!$A$2:$A$301,0))</f>
        <v>0</v>
      </c>
      <c r="AF179" s="10" t="b">
        <f aca="false">INDEX(Segmentation!$X$2:$X$301,MATCH($A179,Segmentation!$A$2:$A$301,0))</f>
        <v>1</v>
      </c>
      <c r="AG179" s="10" t="b">
        <f aca="false">AND(F179="Low",V179&gt;=Assumptions!$B$71,X179&lt;Assumptions!$B$72)</f>
        <v>1</v>
      </c>
      <c r="AH179" s="10" t="b">
        <f aca="false">AND(F179="Low",OR(G179="Growing",G179="Stable"),P179="Recently Active",V179&gt;=Assumptions!$B$58,K179&gt;=Assumptions!$B$73)</f>
        <v>0</v>
      </c>
      <c r="AI179" s="17" t="str">
        <f aca="false">IF(O179&gt;0,MAX(L179:N179)/O179,"")</f>
        <v/>
      </c>
      <c r="AJ179" s="2" t="str">
        <f aca="false">IF(LEFT(D179,1)="1",IF(E179="Key","MIGRATION_KEY_SIGNOFF",IF(Z179="Ready","MIGRATION_PHASE1_READY",IF(Z179="Manual Review","MIGRATION_PHASE1_REVIEW","MIGRATION_PRE_ENTRY"))),IF(LEFT(D179,1)="2","DECLINING_KEY_CORE",IF(LEFT(D179,1)="3",IF(R179="Established Buyer Lapsed","LAPSED_ESTABLISHED","LAPSED_THIN_HISTORY"),IF(LEFT(D179,1)="4",IF(Q179="New Customer","NEW_CUSTOMER","RETURNED_CUSTOMER"),IF(LEFT(D179,1)="5",IF(P179="Recently Active","COST_TO_SERVE_ACTIVE","DORMANT_LOW_VALUE"),IF(LEFT(D179,1)="6",IF(P179="Recent Inactivity","RECENT_INACTIVITY",IF(AG179,"BROWSING_LOW_OFFERS","HEALTHY_STRONG_SELF_SERVE")),IF(LEFT(D179,1)="7",IF(P179="Recent Inactivity","RECENT_INACTIVITY",IF(Q179="New Customer","NEW_CUSTOMER","RETURNED_CUSTOMER")),IF(LEFT(D179,1)="8",IF(G179="Declining",IF(T179="Engaged but shrinking (Key/Core)","ENGAGED_BUT_SHRINKING","DECLINING_KEY_CORE"),IF(R179="Established Buyer Lapsed","LAPSED_ESTABLISHED","LAPSED_THIN_HISTORY")),IF(S179,IF(P179&lt;&gt;"Recently Active","DORMANT_LOW_VALUE",IF(AG179,"BROWSING_LOW_OFFERS",IF(AH179,"RISING_TAIL","RISING_TAIL_EARLY"))),IF(AND(AG179,P179="Recently Active",OR(G179="Growing",G179="Stable",G179="H2 Active / No H1 GMV"),I179&gt;=Assumptions!$B$74),"BROWSING_LOW_OFFERS","LONG_TAIL_STANDARD"))))))))))</f>
        <v>LONG_TAIL_STANDARD</v>
      </c>
      <c r="AK179" s="2" t="str">
        <f aca="false">INDEX('NBA Library'!$B$4:$B$21,MATCH(AJ179,'NBA Library'!$A$4:$A$21,0))</f>
        <v>Automated Nurture</v>
      </c>
      <c r="AL179" s="2" t="str">
        <f aca="false">INDEX('NBA Library'!$C$4:$C$21,MATCH(AJ179,'NBA Library'!$A$4:$A$21,0))</f>
        <v>Automated</v>
      </c>
      <c r="AM179" s="2" t="str">
        <f aca="false">IF(AA179,"HOLD — Critical Data Issue",IF(Y179,"Human Sign-Off Required",IF(Z179="Manual Review","Human Review Required",IF(AND(AL179="Automated",OR(AE179,AND(OR(AK179="Discovery-to-Offer Enablement",AK179="Reinforce Successful Behaviour"),OR(AC179,AB179)))),"Human Review Required",IF(AL179="Human","Ready — Human",IF(AL179="Hybrid","Ready — Hybrid","Ready — Automated"))))))</f>
        <v>Ready — Automated</v>
      </c>
      <c r="AN179" s="2" t="str">
        <f aca="false">IF(AA179,"P0",IF(AND(AJ179="BROWSING_LOW_OFFERS",E179="Tail"),"P3",IF(AND(AM179="Human Review Required",INDEX('NBA Library'!$D$4:$D$21,MATCH(AJ179,'NBA Library'!$A$4:$A$21,0))="P4"),"P3",INDEX('NBA Library'!$D$4:$D$21,MATCH(AJ179,'NBA Library'!$A$4:$A$21,0)))))</f>
        <v>P4</v>
      </c>
      <c r="AO179" s="2" t="str">
        <f aca="false">E179&amp;" "&amp;C179&amp;" account ("&amp;B179&amp;"); "&amp;G179&amp;" momentum; "&amp;P179&amp;"; £"&amp;TEXT(H179,"#,##0")&amp;" 6m GMV. "&amp;INDEX('NBA Library'!$G$4:$G$21,MATCH(AJ179,'NBA Library'!$A$4:$A$21,0))&amp;IF(LEFT(D179,1)="1"," Baseline: "&amp;V179&amp;" PDP views, "&amp;W179&amp;" app days, "&amp;X179&amp;" offers, "&amp;TEXT(J179/I179,"0%")&amp;" of orders self-serve.","")&amp;IF(AA179," Execution on HOLD until the Duplicate status is resolved.","")&amp;IF(Y179," Key account: explicit AM/leadership sign-off required before any migration activity.","")&amp;IF(AE179," Implied broker % from order counts would move this account to a different segment; review before automating.","")</f>
        <v>Tail AM-Owned / Self-Serving account (Account Managed); Lapsed momentum; No Meaningful History; £156 6m GMV. Low-value, low-dependency account. Scalable automated engagement.</v>
      </c>
      <c r="AP179" s="2" t="str">
        <f aca="false">INDEX('NBA Library'!$E$4:$E$21,MATCH(AJ179,'NBA Library'!$A$4:$A$21,0))&amp;IF(AND(AJ179="NEW_CUSTOMER",AG179),"; introduce Make-an-Offer on items already browsed","")</f>
        <v>Scalable automated engagement matched to nurture sub-context</v>
      </c>
      <c r="AQ179" s="2" t="str">
        <f aca="false">INDEX('NBA Library'!$F$4:$F$21,MATCH(AJ179,'NBA Library'!$A$4:$A$21,0))</f>
        <v>Any repeat order within 90 days</v>
      </c>
      <c r="AR179" s="2" t="str">
        <f aca="false">IF(AND(F179="Low",OR(G179="Growing",G179="Stable"),P179="Recently Active",U179&lt;&gt;"Mixed",OR(AK179="Discovery-to-Offer Enablement",AK179="Reinforce Successful Behaviour"),AM179="Ready — Automated",OR(E179&lt;&gt;"Tail",S179)),"Range Expansion Test — trial "&amp;IF(U179="Bundle-only","handpick","bundles")&amp;" (experimental; not proven to lift GMV)","")</f>
        <v/>
      </c>
      <c r="AS179" s="2" t="str">
        <f aca="false">IF(AK179&lt;&gt;"Automated Nurture","",IF(AJ179="DORMANT_LOW_VALUE","Dormant",IF(AJ179="RISING_TAIL_EARLY","Rising tail – early pattern",IF(Q179="New Customer","New customer onboarding",IF(Q179="Returned Customer","Returned customer",IF(G179="Lapsed","Dormant",IF(T179="Engaged, not converting","Engaged, not converting",IF(T179="One-off low-touch buyer","One-off purchaser",IF(T179="Light-touch repeat buyer","Light-touch repeat buyer","Standard long tail")))))))))</f>
        <v>Dormant</v>
      </c>
      <c r="AT179" s="2" t="str">
        <f aca="false">IF(AA179,"CRITICAL_DATA_BLOCKER; ","")&amp;IF(Y179,"KEY_SIGNOFF; ","")&amp;IF(Z179="Manual Review","PHASE1_MANUAL_REVIEW; ","")&amp;IF(AND(LEFT(D179,1)="1",AZ179="Lumpy"),"LUMPY_CADENCE; ","")&amp;IF(AB179,"BORDERLINE_MOMENTUM; ","")&amp;IF(AC179,"FEB_SENSITIVE; ","")&amp;IF(AD179,"MATERIAL_BROKER_INCONSISTENCY"&amp;IF(AE179," (segment would change)","")&amp;"; ","")&amp;IF(AND(I179&gt;=3,O179&gt;0),IF(AI179&gt;=Assumptions!$B$75,"H2_SINGLE_MONTH_SPIKE; ",""),"")&amp;IF(AND(M179&gt;0,N179=0),"NO_FEB_GMV (Feb unconfirmed); ","")&amp;IF(AF179,"LOW_CONFIDENCE; ","")</f>
        <v>LOW_CONFIDENCE; </v>
      </c>
      <c r="AU179" s="2" t="str">
        <f aca="false">IF(LEFT(D179,1)="1",V179,"")</f>
        <v/>
      </c>
      <c r="AV179" s="2" t="str">
        <f aca="false">IF(LEFT(D179,1)="1",V179&gt;=Assumptions!$B$58,"")</f>
        <v/>
      </c>
      <c r="AW179" s="2" t="str">
        <f aca="false">IF(LEFT(D179,1)="1",W179,"")</f>
        <v/>
      </c>
      <c r="AX179" s="2" t="str">
        <f aca="false">IF(LEFT(D179,1)="1",X179,"")</f>
        <v/>
      </c>
      <c r="AY179" s="17" t="str">
        <f aca="false">IF(LEFT(D179,1)="1",J179/I179,"")</f>
        <v/>
      </c>
      <c r="AZ179" s="2" t="str">
        <f aca="false">IF(LEFT(D179,1)="1",IF(AND(K179&gt;=Assumptions!$B$83,I179&gt;=Assumptions!$B$84),"Regular","Lumpy"),"")</f>
        <v/>
      </c>
      <c r="BA179" s="2" t="str">
        <f aca="false">IF(LEFT(D179,1)="1",ROUND(6/K179,0),"")</f>
        <v/>
      </c>
      <c r="BB179" s="2" t="str">
        <f aca="false">IF(LEFT(D179,1)="1",IF(AZ179="Regular","Regular buyer: expected ~£"&amp;TEXT(H179/2,"#,##0")&amp;" per 90 days. At Risk if GMV to date &lt; "&amp;TEXT(Assumptions!$B$81,"0%")&amp;" of pro-rated expectation, checked from day "&amp;Assumptions!$B$82&amp;". Human-reviewed.","Irregular buyer ("&amp;I179&amp;" orders across "&amp;K179&amp;" months): no numeric GMV threshold. At Risk if no order within ~"&amp;BA179&amp;" month(s); AM reviews at day "&amp;Assumptions!$B$82&amp;" and "&amp;Assumptions!$B$85&amp;"."),"")</f>
        <v/>
      </c>
      <c r="BC179" s="2"/>
      <c r="BD179" s="2"/>
      <c r="BE179" s="2"/>
      <c r="BF179" s="2"/>
      <c r="BG179" s="2"/>
      <c r="BH179" s="2"/>
      <c r="BI179" s="2"/>
      <c r="BJ179" s="2" t="str">
        <f aca="false">IF(OR(NOT(LEFT(D179,1)="1"),BC179=""),"",IF(AZ179="Regular",AND(BC179&gt;=Assumptions!$B$82,N(BI179)&lt;Assumptions!$B$81*H179/180*BC179),AND(BC179&gt;=BA179*30,N(BG179)=0)))</f>
        <v/>
      </c>
      <c r="BK179" s="2" t="str">
        <f aca="false">IF(NOT(LEFT(D179,1)="1"),"N/A",IF(BC179="","Baseline",IF(BJ179,"At Risk",IF(AND(N(BD179)&gt;=Assumptions!$B$78,N(BE179)&gt;=Assumptions!$B$79,N(BH179)&gt;=1,N(BH179)/MAX(N(BG179),1)&gt;AY179),"Self-Serve Capability Demonstrated",IF(OR(N(BD179)&gt;=Assumptions!$B$76,N(BE179)&gt;=Assumptions!$B$77),"Progressing",IF(BC179&gt;=Assumptions!$B$85,"At Risk","Baseline"))))))</f>
        <v>N/A</v>
      </c>
      <c r="BL179" s="2" t="n">
        <f aca="false">(AND(C179="Broker-Reliant",OR(AK179="Discovery-to-Offer Enablement",AK179="Reinforce Successful Behaviour")))*1+(AND(G179="Declining",E179&lt;&gt;"Tail",AL179="Automated"))*1+(AND(Y179,AM179&lt;&gt;"Human Sign-Off Required"))*1+(AND(AA179,AM179&lt;&gt;"HOLD — Critical Data Issue"))*1+(AND(P179="Recent Inactivity",OR(AK179="Discovery-to-Offer Enablement",AK179="Reinforce Successful Behaviour")))*1+(AND(OR(LEFT(D179,1)="2",LEFT(D179,1)="3",LEFT(D179,1)="8"),AL179="Automated"))*1+((LEFT(D179,1)="1")&lt;&gt;(AK179="Guided Self-Serve Migration"))*1+(AND(AR179&lt;&gt;"",OR(F179&lt;&gt;"Low",U179="Mixed",AND(G179&lt;&gt;"Growing",G179&lt;&gt;"Stable"))))*1+ISNUMBER(SEARCH("chat",AP179))*1+ISNUMBER(SEARCH("video",AP179))*1+(AND(AA179,AL179="Automated",AM179&lt;&gt;"HOLD — Critical Data Issue"))*1</f>
        <v>0</v>
      </c>
    </row>
    <row r="180" customFormat="false" ht="15" hidden="false" customHeight="false" outlineLevel="0" collapsed="false">
      <c r="A180" s="2" t="s">
        <v>902</v>
      </c>
      <c r="B180" s="2" t="str">
        <f aca="false">INDEX(Segmentation!$B$2:$B$301,MATCH($A180,Segmentation!$A$2:$A$301,0))</f>
        <v>Account Managed</v>
      </c>
      <c r="C180" s="2" t="str">
        <f aca="false">INDEX(Segmentation!$H$2:$H$301,MATCH($A180,Segmentation!$A$2:$A$301,0))</f>
        <v>AM-Owned / Self-Serving</v>
      </c>
      <c r="D180" s="2" t="str">
        <f aca="false">INDEX(Segmentation!$T$2:$T$301,MATCH($A180,Segmentation!$A$2:$A$301,0))</f>
        <v>9. Long-Tail Automated Nurture</v>
      </c>
      <c r="E180" s="2" t="str">
        <f aca="false">INDEX(Segmentation!$J$2:$J$301,MATCH($A180,Segmentation!$A$2:$A$301,0))</f>
        <v>Tail</v>
      </c>
      <c r="F180" s="2" t="str">
        <f aca="false">INDEX(Segmentation!$G$2:$G$301,MATCH($A180,Segmentation!$A$2:$A$301,0))</f>
        <v>Low</v>
      </c>
      <c r="G180" s="2" t="str">
        <f aca="false">INDEX(Segmentation!$N$2:$N$301,MATCH($A180,Segmentation!$A$2:$A$301,0))</f>
        <v>Lapsed</v>
      </c>
      <c r="H180" s="9" t="n">
        <f aca="false">INDEX(Segmentation!$I$2:$I$301,MATCH($A180,Segmentation!$A$2:$A$301,0))</f>
        <v>153</v>
      </c>
      <c r="I180" s="2" t="n">
        <f aca="false">INDEX(Segmentation!$O$2:$O$301,MATCH($A180,Segmentation!$A$2:$A$301,0))</f>
        <v>1</v>
      </c>
      <c r="J180" s="2" t="n">
        <f aca="false">INDEX(Segmentation!$Q$2:$Q$301,MATCH($A180,Segmentation!$A$2:$A$301,0))</f>
        <v>1</v>
      </c>
      <c r="K180" s="2" t="n">
        <f aca="false">INDEX(Segmentation!$W$2:$W$301,MATCH($A180,Segmentation!$A$2:$A$301,0))</f>
        <v>1</v>
      </c>
      <c r="L180" s="9" t="n">
        <f aca="false">INDEX('Commercial View'!$L$2:$L$301,MATCH($A180,'Commercial View'!$A$2:$A$301,0))</f>
        <v>0</v>
      </c>
      <c r="M180" s="9" t="n">
        <f aca="false">INDEX('Commercial View'!$M$2:$M$301,MATCH($A180,'Commercial View'!$A$2:$A$301,0))</f>
        <v>0</v>
      </c>
      <c r="N180" s="9" t="n">
        <f aca="false">INDEX('Commercial View'!$N$2:$N$301,MATCH($A180,'Commercial View'!$A$2:$A$301,0))</f>
        <v>0</v>
      </c>
      <c r="O180" s="9" t="n">
        <f aca="false">INDEX(Segmentation!$L$2:$L$301,MATCH($A180,Segmentation!$A$2:$A$301,0))</f>
        <v>0</v>
      </c>
      <c r="P180" s="2" t="str">
        <f aca="false">IF(OR(M180&gt;0,N180&gt;0),"Recently Active",IF(OR(I180&lt;=Assumptions!$B$48,K180&lt;=Assumptions!$B$49),"No Meaningful History","Recent Inactivity"))</f>
        <v>No Meaningful History</v>
      </c>
      <c r="Q180" s="2" t="str">
        <f aca="false">INDEX(Segmentation!$AF$2:$AF$301,MATCH($A180,Segmentation!$A$2:$A$301,0))</f>
        <v>Existing Customer</v>
      </c>
      <c r="R180" s="2" t="str">
        <f aca="false">INDEX(Segmentation!$AL$2:$AL$301,MATCH($A180,Segmentation!$A$2:$A$301,0))</f>
        <v>One-Off / Insufficient History — Verify</v>
      </c>
      <c r="S180" s="10" t="b">
        <f aca="false">INDEX(Segmentation!$AW$2:$AW$301,MATCH($A180,Segmentation!$A$2:$A$301,0))</f>
        <v>0</v>
      </c>
      <c r="T180" s="2" t="str">
        <f aca="false">INDEX('Feature Data'!$AD$2:$AD$301,MATCH($A180,'Feature Data'!$A$2:$A$301,0))</f>
        <v>One-off low-touch buyer</v>
      </c>
      <c r="U180" s="2" t="str">
        <f aca="false">INDEX('Feature Data'!$W$2:$W$301,MATCH($A180,'Feature Data'!$A$2:$A$301,0))</f>
        <v>Bundle-only</v>
      </c>
      <c r="V180" s="2" t="n">
        <f aca="false">INDEX('Feature Data'!$P$2:$P$301,MATCH($A180,'Feature Data'!$A$2:$A$301,0))</f>
        <v>122</v>
      </c>
      <c r="W180" s="2" t="n">
        <f aca="false">INDEX(Segmentation!$R$2:$R$301,MATCH($A180,Segmentation!$A$2:$A$301,0))</f>
        <v>19</v>
      </c>
      <c r="X180" s="2" t="n">
        <f aca="false">INDEX(Segmentation!$S$2:$S$301,MATCH($A180,Segmentation!$A$2:$A$301,0))</f>
        <v>3</v>
      </c>
      <c r="Y180" s="10" t="b">
        <f aca="false">INDEX(Segmentation!$AG$2:$AG$301,MATCH($A180,Segmentation!$A$2:$A$301,0))</f>
        <v>0</v>
      </c>
      <c r="Z180" s="2" t="str">
        <f aca="false">INDEX(Segmentation!$AU$2:$AU$301,MATCH($A180,Segmentation!$A$2:$A$301,0))</f>
        <v>Not Eligible</v>
      </c>
      <c r="AA180" s="10" t="b">
        <f aca="false">INDEX(Segmentation!$Z$2:$Z$301,MATCH($A180,Segmentation!$A$2:$A$301,0))</f>
        <v>0</v>
      </c>
      <c r="AB180" s="10" t="b">
        <f aca="false">INDEX(Segmentation!$AH$2:$AH$301,MATCH($A180,Segmentation!$A$2:$A$301,0))</f>
        <v>0</v>
      </c>
      <c r="AC180" s="10" t="b">
        <f aca="false">INDEX(Segmentation!$AK$2:$AK$301,MATCH($A180,Segmentation!$A$2:$A$301,0))</f>
        <v>0</v>
      </c>
      <c r="AD180" s="10" t="b">
        <f aca="false">INDEX(Segmentation!$AQ$2:$AQ$301,MATCH($A180,Segmentation!$A$2:$A$301,0))</f>
        <v>0</v>
      </c>
      <c r="AE180" s="10" t="b">
        <f aca="false">INDEX(Segmentation!$AT$2:$AT$301,MATCH($A180,Segmentation!$A$2:$A$301,0))</f>
        <v>0</v>
      </c>
      <c r="AF180" s="10" t="b">
        <f aca="false">INDEX(Segmentation!$X$2:$X$301,MATCH($A180,Segmentation!$A$2:$A$301,0))</f>
        <v>1</v>
      </c>
      <c r="AG180" s="10" t="b">
        <f aca="false">AND(F180="Low",V180&gt;=Assumptions!$B$71,X180&lt;Assumptions!$B$72)</f>
        <v>0</v>
      </c>
      <c r="AH180" s="10" t="b">
        <f aca="false">AND(F180="Low",OR(G180="Growing",G180="Stable"),P180="Recently Active",V180&gt;=Assumptions!$B$58,K180&gt;=Assumptions!$B$73)</f>
        <v>0</v>
      </c>
      <c r="AI180" s="17" t="str">
        <f aca="false">IF(O180&gt;0,MAX(L180:N180)/O180,"")</f>
        <v/>
      </c>
      <c r="AJ180" s="2" t="str">
        <f aca="false">IF(LEFT(D180,1)="1",IF(E180="Key","MIGRATION_KEY_SIGNOFF",IF(Z180="Ready","MIGRATION_PHASE1_READY",IF(Z180="Manual Review","MIGRATION_PHASE1_REVIEW","MIGRATION_PRE_ENTRY"))),IF(LEFT(D180,1)="2","DECLINING_KEY_CORE",IF(LEFT(D180,1)="3",IF(R180="Established Buyer Lapsed","LAPSED_ESTABLISHED","LAPSED_THIN_HISTORY"),IF(LEFT(D180,1)="4",IF(Q180="New Customer","NEW_CUSTOMER","RETURNED_CUSTOMER"),IF(LEFT(D180,1)="5",IF(P180="Recently Active","COST_TO_SERVE_ACTIVE","DORMANT_LOW_VALUE"),IF(LEFT(D180,1)="6",IF(P180="Recent Inactivity","RECENT_INACTIVITY",IF(AG180,"BROWSING_LOW_OFFERS","HEALTHY_STRONG_SELF_SERVE")),IF(LEFT(D180,1)="7",IF(P180="Recent Inactivity","RECENT_INACTIVITY",IF(Q180="New Customer","NEW_CUSTOMER","RETURNED_CUSTOMER")),IF(LEFT(D180,1)="8",IF(G180="Declining",IF(T180="Engaged but shrinking (Key/Core)","ENGAGED_BUT_SHRINKING","DECLINING_KEY_CORE"),IF(R180="Established Buyer Lapsed","LAPSED_ESTABLISHED","LAPSED_THIN_HISTORY")),IF(S180,IF(P180&lt;&gt;"Recently Active","DORMANT_LOW_VALUE",IF(AG180,"BROWSING_LOW_OFFERS",IF(AH180,"RISING_TAIL","RISING_TAIL_EARLY"))),IF(AND(AG180,P180="Recently Active",OR(G180="Growing",G180="Stable",G180="H2 Active / No H1 GMV"),I180&gt;=Assumptions!$B$74),"BROWSING_LOW_OFFERS","LONG_TAIL_STANDARD"))))))))))</f>
        <v>LONG_TAIL_STANDARD</v>
      </c>
      <c r="AK180" s="2" t="str">
        <f aca="false">INDEX('NBA Library'!$B$4:$B$21,MATCH(AJ180,'NBA Library'!$A$4:$A$21,0))</f>
        <v>Automated Nurture</v>
      </c>
      <c r="AL180" s="2" t="str">
        <f aca="false">INDEX('NBA Library'!$C$4:$C$21,MATCH(AJ180,'NBA Library'!$A$4:$A$21,0))</f>
        <v>Automated</v>
      </c>
      <c r="AM180" s="2" t="str">
        <f aca="false">IF(AA180,"HOLD — Critical Data Issue",IF(Y180,"Human Sign-Off Required",IF(Z180="Manual Review","Human Review Required",IF(AND(AL180="Automated",OR(AE180,AND(OR(AK180="Discovery-to-Offer Enablement",AK180="Reinforce Successful Behaviour"),OR(AC180,AB180)))),"Human Review Required",IF(AL180="Human","Ready — Human",IF(AL180="Hybrid","Ready — Hybrid","Ready — Automated"))))))</f>
        <v>Ready — Automated</v>
      </c>
      <c r="AN180" s="2" t="str">
        <f aca="false">IF(AA180,"P0",IF(AND(AJ180="BROWSING_LOW_OFFERS",E180="Tail"),"P3",IF(AND(AM180="Human Review Required",INDEX('NBA Library'!$D$4:$D$21,MATCH(AJ180,'NBA Library'!$A$4:$A$21,0))="P4"),"P3",INDEX('NBA Library'!$D$4:$D$21,MATCH(AJ180,'NBA Library'!$A$4:$A$21,0)))))</f>
        <v>P4</v>
      </c>
      <c r="AO180" s="2" t="str">
        <f aca="false">E180&amp;" "&amp;C180&amp;" account ("&amp;B180&amp;"); "&amp;G180&amp;" momentum; "&amp;P180&amp;"; £"&amp;TEXT(H180,"#,##0")&amp;" 6m GMV. "&amp;INDEX('NBA Library'!$G$4:$G$21,MATCH(AJ180,'NBA Library'!$A$4:$A$21,0))&amp;IF(LEFT(D180,1)="1"," Baseline: "&amp;V180&amp;" PDP views, "&amp;W180&amp;" app days, "&amp;X180&amp;" offers, "&amp;TEXT(J180/I180,"0%")&amp;" of orders self-serve.","")&amp;IF(AA180," Execution on HOLD until the Duplicate status is resolved.","")&amp;IF(Y180," Key account: explicit AM/leadership sign-off required before any migration activity.","")&amp;IF(AE180," Implied broker % from order counts would move this account to a different segment; review before automating.","")</f>
        <v>Tail AM-Owned / Self-Serving account (Account Managed); Lapsed momentum; No Meaningful History; £153 6m GMV. Low-value, low-dependency account. Scalable automated engagement.</v>
      </c>
      <c r="AP180" s="2" t="str">
        <f aca="false">INDEX('NBA Library'!$E$4:$E$21,MATCH(AJ180,'NBA Library'!$A$4:$A$21,0))&amp;IF(AND(AJ180="NEW_CUSTOMER",AG180),"; introduce Make-an-Offer on items already browsed","")</f>
        <v>Scalable automated engagement matched to nurture sub-context</v>
      </c>
      <c r="AQ180" s="2" t="str">
        <f aca="false">INDEX('NBA Library'!$F$4:$F$21,MATCH(AJ180,'NBA Library'!$A$4:$A$21,0))</f>
        <v>Any repeat order within 90 days</v>
      </c>
      <c r="AR180" s="2" t="str">
        <f aca="false">IF(AND(F180="Low",OR(G180="Growing",G180="Stable"),P180="Recently Active",U180&lt;&gt;"Mixed",OR(AK180="Discovery-to-Offer Enablement",AK180="Reinforce Successful Behaviour"),AM180="Ready — Automated",OR(E180&lt;&gt;"Tail",S180)),"Range Expansion Test — trial "&amp;IF(U180="Bundle-only","handpick","bundles")&amp;" (experimental; not proven to lift GMV)","")</f>
        <v/>
      </c>
      <c r="AS180" s="2" t="str">
        <f aca="false">IF(AK180&lt;&gt;"Automated Nurture","",IF(AJ180="DORMANT_LOW_VALUE","Dormant",IF(AJ180="RISING_TAIL_EARLY","Rising tail – early pattern",IF(Q180="New Customer","New customer onboarding",IF(Q180="Returned Customer","Returned customer",IF(G180="Lapsed","Dormant",IF(T180="Engaged, not converting","Engaged, not converting",IF(T180="One-off low-touch buyer","One-off purchaser",IF(T180="Light-touch repeat buyer","Light-touch repeat buyer","Standard long tail")))))))))</f>
        <v>Dormant</v>
      </c>
      <c r="AT180" s="2" t="str">
        <f aca="false">IF(AA180,"CRITICAL_DATA_BLOCKER; ","")&amp;IF(Y180,"KEY_SIGNOFF; ","")&amp;IF(Z180="Manual Review","PHASE1_MANUAL_REVIEW; ","")&amp;IF(AND(LEFT(D180,1)="1",AZ180="Lumpy"),"LUMPY_CADENCE; ","")&amp;IF(AB180,"BORDERLINE_MOMENTUM; ","")&amp;IF(AC180,"FEB_SENSITIVE; ","")&amp;IF(AD180,"MATERIAL_BROKER_INCONSISTENCY"&amp;IF(AE180," (segment would change)","")&amp;"; ","")&amp;IF(AND(I180&gt;=3,O180&gt;0),IF(AI180&gt;=Assumptions!$B$75,"H2_SINGLE_MONTH_SPIKE; ",""),"")&amp;IF(AND(M180&gt;0,N180=0),"NO_FEB_GMV (Feb unconfirmed); ","")&amp;IF(AF180,"LOW_CONFIDENCE; ","")</f>
        <v>LOW_CONFIDENCE; </v>
      </c>
      <c r="AU180" s="2" t="str">
        <f aca="false">IF(LEFT(D180,1)="1",V180,"")</f>
        <v/>
      </c>
      <c r="AV180" s="2" t="str">
        <f aca="false">IF(LEFT(D180,1)="1",V180&gt;=Assumptions!$B$58,"")</f>
        <v/>
      </c>
      <c r="AW180" s="2" t="str">
        <f aca="false">IF(LEFT(D180,1)="1",W180,"")</f>
        <v/>
      </c>
      <c r="AX180" s="2" t="str">
        <f aca="false">IF(LEFT(D180,1)="1",X180,"")</f>
        <v/>
      </c>
      <c r="AY180" s="17" t="str">
        <f aca="false">IF(LEFT(D180,1)="1",J180/I180,"")</f>
        <v/>
      </c>
      <c r="AZ180" s="2" t="str">
        <f aca="false">IF(LEFT(D180,1)="1",IF(AND(K180&gt;=Assumptions!$B$83,I180&gt;=Assumptions!$B$84),"Regular","Lumpy"),"")</f>
        <v/>
      </c>
      <c r="BA180" s="2" t="str">
        <f aca="false">IF(LEFT(D180,1)="1",ROUND(6/K180,0),"")</f>
        <v/>
      </c>
      <c r="BB180" s="2" t="str">
        <f aca="false">IF(LEFT(D180,1)="1",IF(AZ180="Regular","Regular buyer: expected ~£"&amp;TEXT(H180/2,"#,##0")&amp;" per 90 days. At Risk if GMV to date &lt; "&amp;TEXT(Assumptions!$B$81,"0%")&amp;" of pro-rated expectation, checked from day "&amp;Assumptions!$B$82&amp;". Human-reviewed.","Irregular buyer ("&amp;I180&amp;" orders across "&amp;K180&amp;" months): no numeric GMV threshold. At Risk if no order within ~"&amp;BA180&amp;" month(s); AM reviews at day "&amp;Assumptions!$B$82&amp;" and "&amp;Assumptions!$B$85&amp;"."),"")</f>
        <v/>
      </c>
      <c r="BC180" s="2"/>
      <c r="BD180" s="2"/>
      <c r="BE180" s="2"/>
      <c r="BF180" s="2"/>
      <c r="BG180" s="2"/>
      <c r="BH180" s="2"/>
      <c r="BI180" s="2"/>
      <c r="BJ180" s="2" t="str">
        <f aca="false">IF(OR(NOT(LEFT(D180,1)="1"),BC180=""),"",IF(AZ180="Regular",AND(BC180&gt;=Assumptions!$B$82,N(BI180)&lt;Assumptions!$B$81*H180/180*BC180),AND(BC180&gt;=BA180*30,N(BG180)=0)))</f>
        <v/>
      </c>
      <c r="BK180" s="2" t="str">
        <f aca="false">IF(NOT(LEFT(D180,1)="1"),"N/A",IF(BC180="","Baseline",IF(BJ180,"At Risk",IF(AND(N(BD180)&gt;=Assumptions!$B$78,N(BE180)&gt;=Assumptions!$B$79,N(BH180)&gt;=1,N(BH180)/MAX(N(BG180),1)&gt;AY180),"Self-Serve Capability Demonstrated",IF(OR(N(BD180)&gt;=Assumptions!$B$76,N(BE180)&gt;=Assumptions!$B$77),"Progressing",IF(BC180&gt;=Assumptions!$B$85,"At Risk","Baseline"))))))</f>
        <v>N/A</v>
      </c>
      <c r="BL180" s="2" t="n">
        <f aca="false">(AND(C180="Broker-Reliant",OR(AK180="Discovery-to-Offer Enablement",AK180="Reinforce Successful Behaviour")))*1+(AND(G180="Declining",E180&lt;&gt;"Tail",AL180="Automated"))*1+(AND(Y180,AM180&lt;&gt;"Human Sign-Off Required"))*1+(AND(AA180,AM180&lt;&gt;"HOLD — Critical Data Issue"))*1+(AND(P180="Recent Inactivity",OR(AK180="Discovery-to-Offer Enablement",AK180="Reinforce Successful Behaviour")))*1+(AND(OR(LEFT(D180,1)="2",LEFT(D180,1)="3",LEFT(D180,1)="8"),AL180="Automated"))*1+((LEFT(D180,1)="1")&lt;&gt;(AK180="Guided Self-Serve Migration"))*1+(AND(AR180&lt;&gt;"",OR(F180&lt;&gt;"Low",U180="Mixed",AND(G180&lt;&gt;"Growing",G180&lt;&gt;"Stable"))))*1+ISNUMBER(SEARCH("chat",AP180))*1+ISNUMBER(SEARCH("video",AP180))*1+(AND(AA180,AL180="Automated",AM180&lt;&gt;"HOLD — Critical Data Issue"))*1</f>
        <v>0</v>
      </c>
    </row>
    <row r="181" customFormat="false" ht="15" hidden="false" customHeight="false" outlineLevel="0" collapsed="false">
      <c r="A181" s="2" t="s">
        <v>904</v>
      </c>
      <c r="B181" s="2" t="str">
        <f aca="false">INDEX(Segmentation!$B$2:$B$301,MATCH($A181,Segmentation!$A$2:$A$301,0))</f>
        <v>Account Managed</v>
      </c>
      <c r="C181" s="2" t="str">
        <f aca="false">INDEX(Segmentation!$H$2:$H$301,MATCH($A181,Segmentation!$A$2:$A$301,0))</f>
        <v>AM-Owned / Self-Serving</v>
      </c>
      <c r="D181" s="2" t="str">
        <f aca="false">INDEX(Segmentation!$T$2:$T$301,MATCH($A181,Segmentation!$A$2:$A$301,0))</f>
        <v>9. Long-Tail Automated Nurture</v>
      </c>
      <c r="E181" s="2" t="str">
        <f aca="false">INDEX(Segmentation!$J$2:$J$301,MATCH($A181,Segmentation!$A$2:$A$301,0))</f>
        <v>Tail</v>
      </c>
      <c r="F181" s="2" t="str">
        <f aca="false">INDEX(Segmentation!$G$2:$G$301,MATCH($A181,Segmentation!$A$2:$A$301,0))</f>
        <v>Low</v>
      </c>
      <c r="G181" s="2" t="str">
        <f aca="false">INDEX(Segmentation!$N$2:$N$301,MATCH($A181,Segmentation!$A$2:$A$301,0))</f>
        <v>H2 Active / No H1 GMV</v>
      </c>
      <c r="H181" s="9" t="n">
        <f aca="false">INDEX(Segmentation!$I$2:$I$301,MATCH($A181,Segmentation!$A$2:$A$301,0))</f>
        <v>152</v>
      </c>
      <c r="I181" s="2" t="n">
        <f aca="false">INDEX(Segmentation!$O$2:$O$301,MATCH($A181,Segmentation!$A$2:$A$301,0))</f>
        <v>1</v>
      </c>
      <c r="J181" s="2" t="n">
        <f aca="false">INDEX(Segmentation!$Q$2:$Q$301,MATCH($A181,Segmentation!$A$2:$A$301,0))</f>
        <v>1</v>
      </c>
      <c r="K181" s="2" t="n">
        <f aca="false">INDEX(Segmentation!$W$2:$W$301,MATCH($A181,Segmentation!$A$2:$A$301,0))</f>
        <v>1</v>
      </c>
      <c r="L181" s="9" t="n">
        <f aca="false">INDEX('Commercial View'!$L$2:$L$301,MATCH($A181,'Commercial View'!$A$2:$A$301,0))</f>
        <v>0</v>
      </c>
      <c r="M181" s="9" t="n">
        <f aca="false">INDEX('Commercial View'!$M$2:$M$301,MATCH($A181,'Commercial View'!$A$2:$A$301,0))</f>
        <v>152</v>
      </c>
      <c r="N181" s="9" t="n">
        <f aca="false">INDEX('Commercial View'!$N$2:$N$301,MATCH($A181,'Commercial View'!$A$2:$A$301,0))</f>
        <v>0</v>
      </c>
      <c r="O181" s="9" t="n">
        <f aca="false">INDEX(Segmentation!$L$2:$L$301,MATCH($A181,Segmentation!$A$2:$A$301,0))</f>
        <v>152</v>
      </c>
      <c r="P181" s="2" t="str">
        <f aca="false">IF(OR(M181&gt;0,N181&gt;0),"Recently Active",IF(OR(I181&lt;=Assumptions!$B$48,K181&lt;=Assumptions!$B$49),"No Meaningful History","Recent Inactivity"))</f>
        <v>Recently Active</v>
      </c>
      <c r="Q181" s="2" t="str">
        <f aca="false">INDEX(Segmentation!$AF$2:$AF$301,MATCH($A181,Segmentation!$A$2:$A$301,0))</f>
        <v>Returned Customer</v>
      </c>
      <c r="R181" s="2" t="str">
        <f aca="false">INDEX(Segmentation!$AL$2:$AL$301,MATCH($A181,Segmentation!$A$2:$A$301,0))</f>
        <v>N/A</v>
      </c>
      <c r="S181" s="10" t="b">
        <f aca="false">INDEX(Segmentation!$AW$2:$AW$301,MATCH($A181,Segmentation!$A$2:$A$301,0))</f>
        <v>0</v>
      </c>
      <c r="T181" s="2" t="str">
        <f aca="false">INDEX('Feature Data'!$AD$2:$AD$301,MATCH($A181,'Feature Data'!$A$2:$A$301,0))</f>
        <v>One-off low-touch buyer</v>
      </c>
      <c r="U181" s="2" t="str">
        <f aca="false">INDEX('Feature Data'!$W$2:$W$301,MATCH($A181,'Feature Data'!$A$2:$A$301,0))</f>
        <v>Bundle-only</v>
      </c>
      <c r="V181" s="2" t="n">
        <f aca="false">INDEX('Feature Data'!$P$2:$P$301,MATCH($A181,'Feature Data'!$A$2:$A$301,0))</f>
        <v>52</v>
      </c>
      <c r="W181" s="2" t="n">
        <f aca="false">INDEX(Segmentation!$R$2:$R$301,MATCH($A181,Segmentation!$A$2:$A$301,0))</f>
        <v>7</v>
      </c>
      <c r="X181" s="2" t="n">
        <f aca="false">INDEX(Segmentation!$S$2:$S$301,MATCH($A181,Segmentation!$A$2:$A$301,0))</f>
        <v>4</v>
      </c>
      <c r="Y181" s="10" t="b">
        <f aca="false">INDEX(Segmentation!$AG$2:$AG$301,MATCH($A181,Segmentation!$A$2:$A$301,0))</f>
        <v>0</v>
      </c>
      <c r="Z181" s="2" t="str">
        <f aca="false">INDEX(Segmentation!$AU$2:$AU$301,MATCH($A181,Segmentation!$A$2:$A$301,0))</f>
        <v>Not Eligible</v>
      </c>
      <c r="AA181" s="10" t="b">
        <f aca="false">INDEX(Segmentation!$Z$2:$Z$301,MATCH($A181,Segmentation!$A$2:$A$301,0))</f>
        <v>0</v>
      </c>
      <c r="AB181" s="10" t="b">
        <f aca="false">INDEX(Segmentation!$AH$2:$AH$301,MATCH($A181,Segmentation!$A$2:$A$301,0))</f>
        <v>0</v>
      </c>
      <c r="AC181" s="10" t="b">
        <f aca="false">INDEX(Segmentation!$AK$2:$AK$301,MATCH($A181,Segmentation!$A$2:$A$301,0))</f>
        <v>0</v>
      </c>
      <c r="AD181" s="10" t="b">
        <f aca="false">INDEX(Segmentation!$AQ$2:$AQ$301,MATCH($A181,Segmentation!$A$2:$A$301,0))</f>
        <v>0</v>
      </c>
      <c r="AE181" s="10" t="b">
        <f aca="false">INDEX(Segmentation!$AT$2:$AT$301,MATCH($A181,Segmentation!$A$2:$A$301,0))</f>
        <v>0</v>
      </c>
      <c r="AF181" s="10" t="b">
        <f aca="false">INDEX(Segmentation!$X$2:$X$301,MATCH($A181,Segmentation!$A$2:$A$301,0))</f>
        <v>1</v>
      </c>
      <c r="AG181" s="10" t="b">
        <f aca="false">AND(F181="Low",V181&gt;=Assumptions!$B$71,X181&lt;Assumptions!$B$72)</f>
        <v>0</v>
      </c>
      <c r="AH181" s="10" t="b">
        <f aca="false">AND(F181="Low",OR(G181="Growing",G181="Stable"),P181="Recently Active",V181&gt;=Assumptions!$B$58,K181&gt;=Assumptions!$B$73)</f>
        <v>0</v>
      </c>
      <c r="AI181" s="17" t="n">
        <f aca="false">IF(O181&gt;0,MAX(L181:N181)/O181,"")</f>
        <v>1</v>
      </c>
      <c r="AJ181" s="2" t="str">
        <f aca="false">IF(LEFT(D181,1)="1",IF(E181="Key","MIGRATION_KEY_SIGNOFF",IF(Z181="Ready","MIGRATION_PHASE1_READY",IF(Z181="Manual Review","MIGRATION_PHASE1_REVIEW","MIGRATION_PRE_ENTRY"))),IF(LEFT(D181,1)="2","DECLINING_KEY_CORE",IF(LEFT(D181,1)="3",IF(R181="Established Buyer Lapsed","LAPSED_ESTABLISHED","LAPSED_THIN_HISTORY"),IF(LEFT(D181,1)="4",IF(Q181="New Customer","NEW_CUSTOMER","RETURNED_CUSTOMER"),IF(LEFT(D181,1)="5",IF(P181="Recently Active","COST_TO_SERVE_ACTIVE","DORMANT_LOW_VALUE"),IF(LEFT(D181,1)="6",IF(P181="Recent Inactivity","RECENT_INACTIVITY",IF(AG181,"BROWSING_LOW_OFFERS","HEALTHY_STRONG_SELF_SERVE")),IF(LEFT(D181,1)="7",IF(P181="Recent Inactivity","RECENT_INACTIVITY",IF(Q181="New Customer","NEW_CUSTOMER","RETURNED_CUSTOMER")),IF(LEFT(D181,1)="8",IF(G181="Declining",IF(T181="Engaged but shrinking (Key/Core)","ENGAGED_BUT_SHRINKING","DECLINING_KEY_CORE"),IF(R181="Established Buyer Lapsed","LAPSED_ESTABLISHED","LAPSED_THIN_HISTORY")),IF(S181,IF(P181&lt;&gt;"Recently Active","DORMANT_LOW_VALUE",IF(AG181,"BROWSING_LOW_OFFERS",IF(AH181,"RISING_TAIL","RISING_TAIL_EARLY"))),IF(AND(AG181,P181="Recently Active",OR(G181="Growing",G181="Stable",G181="H2 Active / No H1 GMV"),I181&gt;=Assumptions!$B$74),"BROWSING_LOW_OFFERS","LONG_TAIL_STANDARD"))))))))))</f>
        <v>LONG_TAIL_STANDARD</v>
      </c>
      <c r="AK181" s="2" t="str">
        <f aca="false">INDEX('NBA Library'!$B$4:$B$21,MATCH(AJ181,'NBA Library'!$A$4:$A$21,0))</f>
        <v>Automated Nurture</v>
      </c>
      <c r="AL181" s="2" t="str">
        <f aca="false">INDEX('NBA Library'!$C$4:$C$21,MATCH(AJ181,'NBA Library'!$A$4:$A$21,0))</f>
        <v>Automated</v>
      </c>
      <c r="AM181" s="2" t="str">
        <f aca="false">IF(AA181,"HOLD — Critical Data Issue",IF(Y181,"Human Sign-Off Required",IF(Z181="Manual Review","Human Review Required",IF(AND(AL181="Automated",OR(AE181,AND(OR(AK181="Discovery-to-Offer Enablement",AK181="Reinforce Successful Behaviour"),OR(AC181,AB181)))),"Human Review Required",IF(AL181="Human","Ready — Human",IF(AL181="Hybrid","Ready — Hybrid","Ready — Automated"))))))</f>
        <v>Ready — Automated</v>
      </c>
      <c r="AN181" s="2" t="str">
        <f aca="false">IF(AA181,"P0",IF(AND(AJ181="BROWSING_LOW_OFFERS",E181="Tail"),"P3",IF(AND(AM181="Human Review Required",INDEX('NBA Library'!$D$4:$D$21,MATCH(AJ181,'NBA Library'!$A$4:$A$21,0))="P4"),"P3",INDEX('NBA Library'!$D$4:$D$21,MATCH(AJ181,'NBA Library'!$A$4:$A$21,0)))))</f>
        <v>P4</v>
      </c>
      <c r="AO181" s="2" t="str">
        <f aca="false">E181&amp;" "&amp;C181&amp;" account ("&amp;B181&amp;"); "&amp;G181&amp;" momentum; "&amp;P181&amp;"; £"&amp;TEXT(H181,"#,##0")&amp;" 6m GMV. "&amp;INDEX('NBA Library'!$G$4:$G$21,MATCH(AJ181,'NBA Library'!$A$4:$A$21,0))&amp;IF(LEFT(D181,1)="1"," Baseline: "&amp;V181&amp;" PDP views, "&amp;W181&amp;" app days, "&amp;X181&amp;" offers, "&amp;TEXT(J181/I181,"0%")&amp;" of orders self-serve.","")&amp;IF(AA181," Execution on HOLD until the Duplicate status is resolved.","")&amp;IF(Y181," Key account: explicit AM/leadership sign-off required before any migration activity.","")&amp;IF(AE181," Implied broker % from order counts would move this account to a different segment; review before automating.","")</f>
        <v>Tail AM-Owned / Self-Serving account (Account Managed); H2 Active / No H1 GMV momentum; Recently Active; £152 6m GMV. Low-value, low-dependency account. Scalable automated engagement.</v>
      </c>
      <c r="AP181" s="2" t="str">
        <f aca="false">INDEX('NBA Library'!$E$4:$E$21,MATCH(AJ181,'NBA Library'!$A$4:$A$21,0))&amp;IF(AND(AJ181="NEW_CUSTOMER",AG181),"; introduce Make-an-Offer on items already browsed","")</f>
        <v>Scalable automated engagement matched to nurture sub-context</v>
      </c>
      <c r="AQ181" s="2" t="str">
        <f aca="false">INDEX('NBA Library'!$F$4:$F$21,MATCH(AJ181,'NBA Library'!$A$4:$A$21,0))</f>
        <v>Any repeat order within 90 days</v>
      </c>
      <c r="AR181" s="2" t="str">
        <f aca="false">IF(AND(F181="Low",OR(G181="Growing",G181="Stable"),P181="Recently Active",U181&lt;&gt;"Mixed",OR(AK181="Discovery-to-Offer Enablement",AK181="Reinforce Successful Behaviour"),AM181="Ready — Automated",OR(E181&lt;&gt;"Tail",S181)),"Range Expansion Test — trial "&amp;IF(U181="Bundle-only","handpick","bundles")&amp;" (experimental; not proven to lift GMV)","")</f>
        <v/>
      </c>
      <c r="AS181" s="2" t="str">
        <f aca="false">IF(AK181&lt;&gt;"Automated Nurture","",IF(AJ181="DORMANT_LOW_VALUE","Dormant",IF(AJ181="RISING_TAIL_EARLY","Rising tail – early pattern",IF(Q181="New Customer","New customer onboarding",IF(Q181="Returned Customer","Returned customer",IF(G181="Lapsed","Dormant",IF(T181="Engaged, not converting","Engaged, not converting",IF(T181="One-off low-touch buyer","One-off purchaser",IF(T181="Light-touch repeat buyer","Light-touch repeat buyer","Standard long tail")))))))))</f>
        <v>Returned customer</v>
      </c>
      <c r="AT181" s="2" t="str">
        <f aca="false">IF(AA181,"CRITICAL_DATA_BLOCKER; ","")&amp;IF(Y181,"KEY_SIGNOFF; ","")&amp;IF(Z181="Manual Review","PHASE1_MANUAL_REVIEW; ","")&amp;IF(AND(LEFT(D181,1)="1",AZ181="Lumpy"),"LUMPY_CADENCE; ","")&amp;IF(AB181,"BORDERLINE_MOMENTUM; ","")&amp;IF(AC181,"FEB_SENSITIVE; ","")&amp;IF(AD181,"MATERIAL_BROKER_INCONSISTENCY"&amp;IF(AE181," (segment would change)","")&amp;"; ","")&amp;IF(AND(I181&gt;=3,O181&gt;0),IF(AI181&gt;=Assumptions!$B$75,"H2_SINGLE_MONTH_SPIKE; ",""),"")&amp;IF(AND(M181&gt;0,N181=0),"NO_FEB_GMV (Feb unconfirmed); ","")&amp;IF(AF181,"LOW_CONFIDENCE; ","")</f>
        <v>NO_FEB_GMV (Feb unconfirmed); LOW_CONFIDENCE; </v>
      </c>
      <c r="AU181" s="2" t="str">
        <f aca="false">IF(LEFT(D181,1)="1",V181,"")</f>
        <v/>
      </c>
      <c r="AV181" s="2" t="str">
        <f aca="false">IF(LEFT(D181,1)="1",V181&gt;=Assumptions!$B$58,"")</f>
        <v/>
      </c>
      <c r="AW181" s="2" t="str">
        <f aca="false">IF(LEFT(D181,1)="1",W181,"")</f>
        <v/>
      </c>
      <c r="AX181" s="2" t="str">
        <f aca="false">IF(LEFT(D181,1)="1",X181,"")</f>
        <v/>
      </c>
      <c r="AY181" s="17" t="str">
        <f aca="false">IF(LEFT(D181,1)="1",J181/I181,"")</f>
        <v/>
      </c>
      <c r="AZ181" s="2" t="str">
        <f aca="false">IF(LEFT(D181,1)="1",IF(AND(K181&gt;=Assumptions!$B$83,I181&gt;=Assumptions!$B$84),"Regular","Lumpy"),"")</f>
        <v/>
      </c>
      <c r="BA181" s="2" t="str">
        <f aca="false">IF(LEFT(D181,1)="1",ROUND(6/K181,0),"")</f>
        <v/>
      </c>
      <c r="BB181" s="2" t="str">
        <f aca="false">IF(LEFT(D181,1)="1",IF(AZ181="Regular","Regular buyer: expected ~£"&amp;TEXT(H181/2,"#,##0")&amp;" per 90 days. At Risk if GMV to date &lt; "&amp;TEXT(Assumptions!$B$81,"0%")&amp;" of pro-rated expectation, checked from day "&amp;Assumptions!$B$82&amp;". Human-reviewed.","Irregular buyer ("&amp;I181&amp;" orders across "&amp;K181&amp;" months): no numeric GMV threshold. At Risk if no order within ~"&amp;BA181&amp;" month(s); AM reviews at day "&amp;Assumptions!$B$82&amp;" and "&amp;Assumptions!$B$85&amp;"."),"")</f>
        <v/>
      </c>
      <c r="BC181" s="2"/>
      <c r="BD181" s="2"/>
      <c r="BE181" s="2"/>
      <c r="BF181" s="2"/>
      <c r="BG181" s="2"/>
      <c r="BH181" s="2"/>
      <c r="BI181" s="2"/>
      <c r="BJ181" s="2" t="str">
        <f aca="false">IF(OR(NOT(LEFT(D181,1)="1"),BC181=""),"",IF(AZ181="Regular",AND(BC181&gt;=Assumptions!$B$82,N(BI181)&lt;Assumptions!$B$81*H181/180*BC181),AND(BC181&gt;=BA181*30,N(BG181)=0)))</f>
        <v/>
      </c>
      <c r="BK181" s="2" t="str">
        <f aca="false">IF(NOT(LEFT(D181,1)="1"),"N/A",IF(BC181="","Baseline",IF(BJ181,"At Risk",IF(AND(N(BD181)&gt;=Assumptions!$B$78,N(BE181)&gt;=Assumptions!$B$79,N(BH181)&gt;=1,N(BH181)/MAX(N(BG181),1)&gt;AY181),"Self-Serve Capability Demonstrated",IF(OR(N(BD181)&gt;=Assumptions!$B$76,N(BE181)&gt;=Assumptions!$B$77),"Progressing",IF(BC181&gt;=Assumptions!$B$85,"At Risk","Baseline"))))))</f>
        <v>N/A</v>
      </c>
      <c r="BL181" s="2" t="n">
        <f aca="false">(AND(C181="Broker-Reliant",OR(AK181="Discovery-to-Offer Enablement",AK181="Reinforce Successful Behaviour")))*1+(AND(G181="Declining",E181&lt;&gt;"Tail",AL181="Automated"))*1+(AND(Y181,AM181&lt;&gt;"Human Sign-Off Required"))*1+(AND(AA181,AM181&lt;&gt;"HOLD — Critical Data Issue"))*1+(AND(P181="Recent Inactivity",OR(AK181="Discovery-to-Offer Enablement",AK181="Reinforce Successful Behaviour")))*1+(AND(OR(LEFT(D181,1)="2",LEFT(D181,1)="3",LEFT(D181,1)="8"),AL181="Automated"))*1+((LEFT(D181,1)="1")&lt;&gt;(AK181="Guided Self-Serve Migration"))*1+(AND(AR181&lt;&gt;"",OR(F181&lt;&gt;"Low",U181="Mixed",AND(G181&lt;&gt;"Growing",G181&lt;&gt;"Stable"))))*1+ISNUMBER(SEARCH("chat",AP181))*1+ISNUMBER(SEARCH("video",AP181))*1+(AND(AA181,AL181="Automated",AM181&lt;&gt;"HOLD — Critical Data Issue"))*1</f>
        <v>0</v>
      </c>
    </row>
    <row r="182" customFormat="false" ht="15" hidden="false" customHeight="false" outlineLevel="0" collapsed="false">
      <c r="A182" s="2" t="s">
        <v>906</v>
      </c>
      <c r="B182" s="2" t="str">
        <f aca="false">INDEX(Segmentation!$B$2:$B$301,MATCH($A182,Segmentation!$A$2:$A$301,0))</f>
        <v>Account Managed</v>
      </c>
      <c r="C182" s="2" t="str">
        <f aca="false">INDEX(Segmentation!$H$2:$H$301,MATCH($A182,Segmentation!$A$2:$A$301,0))</f>
        <v>AM-Owned / Self-Serving</v>
      </c>
      <c r="D182" s="2" t="str">
        <f aca="false">INDEX(Segmentation!$T$2:$T$301,MATCH($A182,Segmentation!$A$2:$A$301,0))</f>
        <v>9. Long-Tail Automated Nurture</v>
      </c>
      <c r="E182" s="2" t="str">
        <f aca="false">INDEX(Segmentation!$J$2:$J$301,MATCH($A182,Segmentation!$A$2:$A$301,0))</f>
        <v>Tail</v>
      </c>
      <c r="F182" s="2" t="str">
        <f aca="false">INDEX(Segmentation!$G$2:$G$301,MATCH($A182,Segmentation!$A$2:$A$301,0))</f>
        <v>Low</v>
      </c>
      <c r="G182" s="2" t="str">
        <f aca="false">INDEX(Segmentation!$N$2:$N$301,MATCH($A182,Segmentation!$A$2:$A$301,0))</f>
        <v>Lapsed</v>
      </c>
      <c r="H182" s="9" t="n">
        <f aca="false">INDEX(Segmentation!$I$2:$I$301,MATCH($A182,Segmentation!$A$2:$A$301,0))</f>
        <v>149</v>
      </c>
      <c r="I182" s="2" t="n">
        <f aca="false">INDEX(Segmentation!$O$2:$O$301,MATCH($A182,Segmentation!$A$2:$A$301,0))</f>
        <v>1</v>
      </c>
      <c r="J182" s="2" t="n">
        <f aca="false">INDEX(Segmentation!$Q$2:$Q$301,MATCH($A182,Segmentation!$A$2:$A$301,0))</f>
        <v>1</v>
      </c>
      <c r="K182" s="2" t="n">
        <f aca="false">INDEX(Segmentation!$W$2:$W$301,MATCH($A182,Segmentation!$A$2:$A$301,0))</f>
        <v>1</v>
      </c>
      <c r="L182" s="9" t="n">
        <f aca="false">INDEX('Commercial View'!$L$2:$L$301,MATCH($A182,'Commercial View'!$A$2:$A$301,0))</f>
        <v>0</v>
      </c>
      <c r="M182" s="9" t="n">
        <f aca="false">INDEX('Commercial View'!$M$2:$M$301,MATCH($A182,'Commercial View'!$A$2:$A$301,0))</f>
        <v>0</v>
      </c>
      <c r="N182" s="9" t="n">
        <f aca="false">INDEX('Commercial View'!$N$2:$N$301,MATCH($A182,'Commercial View'!$A$2:$A$301,0))</f>
        <v>0</v>
      </c>
      <c r="O182" s="9" t="n">
        <f aca="false">INDEX(Segmentation!$L$2:$L$301,MATCH($A182,Segmentation!$A$2:$A$301,0))</f>
        <v>0</v>
      </c>
      <c r="P182" s="2" t="str">
        <f aca="false">IF(OR(M182&gt;0,N182&gt;0),"Recently Active",IF(OR(I182&lt;=Assumptions!$B$48,K182&lt;=Assumptions!$B$49),"No Meaningful History","Recent Inactivity"))</f>
        <v>No Meaningful History</v>
      </c>
      <c r="Q182" s="2" t="str">
        <f aca="false">INDEX(Segmentation!$AF$2:$AF$301,MATCH($A182,Segmentation!$A$2:$A$301,0))</f>
        <v>Existing Customer</v>
      </c>
      <c r="R182" s="2" t="str">
        <f aca="false">INDEX(Segmentation!$AL$2:$AL$301,MATCH($A182,Segmentation!$A$2:$A$301,0))</f>
        <v>One-Off / Insufficient History — Verify</v>
      </c>
      <c r="S182" s="10" t="b">
        <f aca="false">INDEX(Segmentation!$AW$2:$AW$301,MATCH($A182,Segmentation!$A$2:$A$301,0))</f>
        <v>0</v>
      </c>
      <c r="T182" s="2" t="str">
        <f aca="false">INDEX('Feature Data'!$AD$2:$AD$301,MATCH($A182,'Feature Data'!$A$2:$A$301,0))</f>
        <v>One-off low-touch buyer</v>
      </c>
      <c r="U182" s="2" t="str">
        <f aca="false">INDEX('Feature Data'!$W$2:$W$301,MATCH($A182,'Feature Data'!$A$2:$A$301,0))</f>
        <v>Bundle-only</v>
      </c>
      <c r="V182" s="2" t="n">
        <f aca="false">INDEX('Feature Data'!$P$2:$P$301,MATCH($A182,'Feature Data'!$A$2:$A$301,0))</f>
        <v>29</v>
      </c>
      <c r="W182" s="2" t="n">
        <f aca="false">INDEX(Segmentation!$R$2:$R$301,MATCH($A182,Segmentation!$A$2:$A$301,0))</f>
        <v>3</v>
      </c>
      <c r="X182" s="2" t="n">
        <f aca="false">INDEX(Segmentation!$S$2:$S$301,MATCH($A182,Segmentation!$A$2:$A$301,0))</f>
        <v>0</v>
      </c>
      <c r="Y182" s="10" t="b">
        <f aca="false">INDEX(Segmentation!$AG$2:$AG$301,MATCH($A182,Segmentation!$A$2:$A$301,0))</f>
        <v>0</v>
      </c>
      <c r="Z182" s="2" t="str">
        <f aca="false">INDEX(Segmentation!$AU$2:$AU$301,MATCH($A182,Segmentation!$A$2:$A$301,0))</f>
        <v>Not Eligible</v>
      </c>
      <c r="AA182" s="10" t="b">
        <f aca="false">INDEX(Segmentation!$Z$2:$Z$301,MATCH($A182,Segmentation!$A$2:$A$301,0))</f>
        <v>0</v>
      </c>
      <c r="AB182" s="10" t="b">
        <f aca="false">INDEX(Segmentation!$AH$2:$AH$301,MATCH($A182,Segmentation!$A$2:$A$301,0))</f>
        <v>0</v>
      </c>
      <c r="AC182" s="10" t="b">
        <f aca="false">INDEX(Segmentation!$AK$2:$AK$301,MATCH($A182,Segmentation!$A$2:$A$301,0))</f>
        <v>0</v>
      </c>
      <c r="AD182" s="10" t="b">
        <f aca="false">INDEX(Segmentation!$AQ$2:$AQ$301,MATCH($A182,Segmentation!$A$2:$A$301,0))</f>
        <v>0</v>
      </c>
      <c r="AE182" s="10" t="b">
        <f aca="false">INDEX(Segmentation!$AT$2:$AT$301,MATCH($A182,Segmentation!$A$2:$A$301,0))</f>
        <v>0</v>
      </c>
      <c r="AF182" s="10" t="b">
        <f aca="false">INDEX(Segmentation!$X$2:$X$301,MATCH($A182,Segmentation!$A$2:$A$301,0))</f>
        <v>1</v>
      </c>
      <c r="AG182" s="10" t="b">
        <f aca="false">AND(F182="Low",V182&gt;=Assumptions!$B$71,X182&lt;Assumptions!$B$72)</f>
        <v>0</v>
      </c>
      <c r="AH182" s="10" t="b">
        <f aca="false">AND(F182="Low",OR(G182="Growing",G182="Stable"),P182="Recently Active",V182&gt;=Assumptions!$B$58,K182&gt;=Assumptions!$B$73)</f>
        <v>0</v>
      </c>
      <c r="AI182" s="17" t="str">
        <f aca="false">IF(O182&gt;0,MAX(L182:N182)/O182,"")</f>
        <v/>
      </c>
      <c r="AJ182" s="2" t="str">
        <f aca="false">IF(LEFT(D182,1)="1",IF(E182="Key","MIGRATION_KEY_SIGNOFF",IF(Z182="Ready","MIGRATION_PHASE1_READY",IF(Z182="Manual Review","MIGRATION_PHASE1_REVIEW","MIGRATION_PRE_ENTRY"))),IF(LEFT(D182,1)="2","DECLINING_KEY_CORE",IF(LEFT(D182,1)="3",IF(R182="Established Buyer Lapsed","LAPSED_ESTABLISHED","LAPSED_THIN_HISTORY"),IF(LEFT(D182,1)="4",IF(Q182="New Customer","NEW_CUSTOMER","RETURNED_CUSTOMER"),IF(LEFT(D182,1)="5",IF(P182="Recently Active","COST_TO_SERVE_ACTIVE","DORMANT_LOW_VALUE"),IF(LEFT(D182,1)="6",IF(P182="Recent Inactivity","RECENT_INACTIVITY",IF(AG182,"BROWSING_LOW_OFFERS","HEALTHY_STRONG_SELF_SERVE")),IF(LEFT(D182,1)="7",IF(P182="Recent Inactivity","RECENT_INACTIVITY",IF(Q182="New Customer","NEW_CUSTOMER","RETURNED_CUSTOMER")),IF(LEFT(D182,1)="8",IF(G182="Declining",IF(T182="Engaged but shrinking (Key/Core)","ENGAGED_BUT_SHRINKING","DECLINING_KEY_CORE"),IF(R182="Established Buyer Lapsed","LAPSED_ESTABLISHED","LAPSED_THIN_HISTORY")),IF(S182,IF(P182&lt;&gt;"Recently Active","DORMANT_LOW_VALUE",IF(AG182,"BROWSING_LOW_OFFERS",IF(AH182,"RISING_TAIL","RISING_TAIL_EARLY"))),IF(AND(AG182,P182="Recently Active",OR(G182="Growing",G182="Stable",G182="H2 Active / No H1 GMV"),I182&gt;=Assumptions!$B$74),"BROWSING_LOW_OFFERS","LONG_TAIL_STANDARD"))))))))))</f>
        <v>LONG_TAIL_STANDARD</v>
      </c>
      <c r="AK182" s="2" t="str">
        <f aca="false">INDEX('NBA Library'!$B$4:$B$21,MATCH(AJ182,'NBA Library'!$A$4:$A$21,0))</f>
        <v>Automated Nurture</v>
      </c>
      <c r="AL182" s="2" t="str">
        <f aca="false">INDEX('NBA Library'!$C$4:$C$21,MATCH(AJ182,'NBA Library'!$A$4:$A$21,0))</f>
        <v>Automated</v>
      </c>
      <c r="AM182" s="2" t="str">
        <f aca="false">IF(AA182,"HOLD — Critical Data Issue",IF(Y182,"Human Sign-Off Required",IF(Z182="Manual Review","Human Review Required",IF(AND(AL182="Automated",OR(AE182,AND(OR(AK182="Discovery-to-Offer Enablement",AK182="Reinforce Successful Behaviour"),OR(AC182,AB182)))),"Human Review Required",IF(AL182="Human","Ready — Human",IF(AL182="Hybrid","Ready — Hybrid","Ready — Automated"))))))</f>
        <v>Ready — Automated</v>
      </c>
      <c r="AN182" s="2" t="str">
        <f aca="false">IF(AA182,"P0",IF(AND(AJ182="BROWSING_LOW_OFFERS",E182="Tail"),"P3",IF(AND(AM182="Human Review Required",INDEX('NBA Library'!$D$4:$D$21,MATCH(AJ182,'NBA Library'!$A$4:$A$21,0))="P4"),"P3",INDEX('NBA Library'!$D$4:$D$21,MATCH(AJ182,'NBA Library'!$A$4:$A$21,0)))))</f>
        <v>P4</v>
      </c>
      <c r="AO182" s="2" t="str">
        <f aca="false">E182&amp;" "&amp;C182&amp;" account ("&amp;B182&amp;"); "&amp;G182&amp;" momentum; "&amp;P182&amp;"; £"&amp;TEXT(H182,"#,##0")&amp;" 6m GMV. "&amp;INDEX('NBA Library'!$G$4:$G$21,MATCH(AJ182,'NBA Library'!$A$4:$A$21,0))&amp;IF(LEFT(D182,1)="1"," Baseline: "&amp;V182&amp;" PDP views, "&amp;W182&amp;" app days, "&amp;X182&amp;" offers, "&amp;TEXT(J182/I182,"0%")&amp;" of orders self-serve.","")&amp;IF(AA182," Execution on HOLD until the Duplicate status is resolved.","")&amp;IF(Y182," Key account: explicit AM/leadership sign-off required before any migration activity.","")&amp;IF(AE182," Implied broker % from order counts would move this account to a different segment; review before automating.","")</f>
        <v>Tail AM-Owned / Self-Serving account (Account Managed); Lapsed momentum; No Meaningful History; £149 6m GMV. Low-value, low-dependency account. Scalable automated engagement.</v>
      </c>
      <c r="AP182" s="2" t="str">
        <f aca="false">INDEX('NBA Library'!$E$4:$E$21,MATCH(AJ182,'NBA Library'!$A$4:$A$21,0))&amp;IF(AND(AJ182="NEW_CUSTOMER",AG182),"; introduce Make-an-Offer on items already browsed","")</f>
        <v>Scalable automated engagement matched to nurture sub-context</v>
      </c>
      <c r="AQ182" s="2" t="str">
        <f aca="false">INDEX('NBA Library'!$F$4:$F$21,MATCH(AJ182,'NBA Library'!$A$4:$A$21,0))</f>
        <v>Any repeat order within 90 days</v>
      </c>
      <c r="AR182" s="2" t="str">
        <f aca="false">IF(AND(F182="Low",OR(G182="Growing",G182="Stable"),P182="Recently Active",U182&lt;&gt;"Mixed",OR(AK182="Discovery-to-Offer Enablement",AK182="Reinforce Successful Behaviour"),AM182="Ready — Automated",OR(E182&lt;&gt;"Tail",S182)),"Range Expansion Test — trial "&amp;IF(U182="Bundle-only","handpick","bundles")&amp;" (experimental; not proven to lift GMV)","")</f>
        <v/>
      </c>
      <c r="AS182" s="2" t="str">
        <f aca="false">IF(AK182&lt;&gt;"Automated Nurture","",IF(AJ182="DORMANT_LOW_VALUE","Dormant",IF(AJ182="RISING_TAIL_EARLY","Rising tail – early pattern",IF(Q182="New Customer","New customer onboarding",IF(Q182="Returned Customer","Returned customer",IF(G182="Lapsed","Dormant",IF(T182="Engaged, not converting","Engaged, not converting",IF(T182="One-off low-touch buyer","One-off purchaser",IF(T182="Light-touch repeat buyer","Light-touch repeat buyer","Standard long tail")))))))))</f>
        <v>Dormant</v>
      </c>
      <c r="AT182" s="2" t="str">
        <f aca="false">IF(AA182,"CRITICAL_DATA_BLOCKER; ","")&amp;IF(Y182,"KEY_SIGNOFF; ","")&amp;IF(Z182="Manual Review","PHASE1_MANUAL_REVIEW; ","")&amp;IF(AND(LEFT(D182,1)="1",AZ182="Lumpy"),"LUMPY_CADENCE; ","")&amp;IF(AB182,"BORDERLINE_MOMENTUM; ","")&amp;IF(AC182,"FEB_SENSITIVE; ","")&amp;IF(AD182,"MATERIAL_BROKER_INCONSISTENCY"&amp;IF(AE182," (segment would change)","")&amp;"; ","")&amp;IF(AND(I182&gt;=3,O182&gt;0),IF(AI182&gt;=Assumptions!$B$75,"H2_SINGLE_MONTH_SPIKE; ",""),"")&amp;IF(AND(M182&gt;0,N182=0),"NO_FEB_GMV (Feb unconfirmed); ","")&amp;IF(AF182,"LOW_CONFIDENCE; ","")</f>
        <v>LOW_CONFIDENCE; </v>
      </c>
      <c r="AU182" s="2" t="str">
        <f aca="false">IF(LEFT(D182,1)="1",V182,"")</f>
        <v/>
      </c>
      <c r="AV182" s="2" t="str">
        <f aca="false">IF(LEFT(D182,1)="1",V182&gt;=Assumptions!$B$58,"")</f>
        <v/>
      </c>
      <c r="AW182" s="2" t="str">
        <f aca="false">IF(LEFT(D182,1)="1",W182,"")</f>
        <v/>
      </c>
      <c r="AX182" s="2" t="str">
        <f aca="false">IF(LEFT(D182,1)="1",X182,"")</f>
        <v/>
      </c>
      <c r="AY182" s="17" t="str">
        <f aca="false">IF(LEFT(D182,1)="1",J182/I182,"")</f>
        <v/>
      </c>
      <c r="AZ182" s="2" t="str">
        <f aca="false">IF(LEFT(D182,1)="1",IF(AND(K182&gt;=Assumptions!$B$83,I182&gt;=Assumptions!$B$84),"Regular","Lumpy"),"")</f>
        <v/>
      </c>
      <c r="BA182" s="2" t="str">
        <f aca="false">IF(LEFT(D182,1)="1",ROUND(6/K182,0),"")</f>
        <v/>
      </c>
      <c r="BB182" s="2" t="str">
        <f aca="false">IF(LEFT(D182,1)="1",IF(AZ182="Regular","Regular buyer: expected ~£"&amp;TEXT(H182/2,"#,##0")&amp;" per 90 days. At Risk if GMV to date &lt; "&amp;TEXT(Assumptions!$B$81,"0%")&amp;" of pro-rated expectation, checked from day "&amp;Assumptions!$B$82&amp;". Human-reviewed.","Irregular buyer ("&amp;I182&amp;" orders across "&amp;K182&amp;" months): no numeric GMV threshold. At Risk if no order within ~"&amp;BA182&amp;" month(s); AM reviews at day "&amp;Assumptions!$B$82&amp;" and "&amp;Assumptions!$B$85&amp;"."),"")</f>
        <v/>
      </c>
      <c r="BC182" s="2"/>
      <c r="BD182" s="2"/>
      <c r="BE182" s="2"/>
      <c r="BF182" s="2"/>
      <c r="BG182" s="2"/>
      <c r="BH182" s="2"/>
      <c r="BI182" s="2"/>
      <c r="BJ182" s="2" t="str">
        <f aca="false">IF(OR(NOT(LEFT(D182,1)="1"),BC182=""),"",IF(AZ182="Regular",AND(BC182&gt;=Assumptions!$B$82,N(BI182)&lt;Assumptions!$B$81*H182/180*BC182),AND(BC182&gt;=BA182*30,N(BG182)=0)))</f>
        <v/>
      </c>
      <c r="BK182" s="2" t="str">
        <f aca="false">IF(NOT(LEFT(D182,1)="1"),"N/A",IF(BC182="","Baseline",IF(BJ182,"At Risk",IF(AND(N(BD182)&gt;=Assumptions!$B$78,N(BE182)&gt;=Assumptions!$B$79,N(BH182)&gt;=1,N(BH182)/MAX(N(BG182),1)&gt;AY182),"Self-Serve Capability Demonstrated",IF(OR(N(BD182)&gt;=Assumptions!$B$76,N(BE182)&gt;=Assumptions!$B$77),"Progressing",IF(BC182&gt;=Assumptions!$B$85,"At Risk","Baseline"))))))</f>
        <v>N/A</v>
      </c>
      <c r="BL182" s="2" t="n">
        <f aca="false">(AND(C182="Broker-Reliant",OR(AK182="Discovery-to-Offer Enablement",AK182="Reinforce Successful Behaviour")))*1+(AND(G182="Declining",E182&lt;&gt;"Tail",AL182="Automated"))*1+(AND(Y182,AM182&lt;&gt;"Human Sign-Off Required"))*1+(AND(AA182,AM182&lt;&gt;"HOLD — Critical Data Issue"))*1+(AND(P182="Recent Inactivity",OR(AK182="Discovery-to-Offer Enablement",AK182="Reinforce Successful Behaviour")))*1+(AND(OR(LEFT(D182,1)="2",LEFT(D182,1)="3",LEFT(D182,1)="8"),AL182="Automated"))*1+((LEFT(D182,1)="1")&lt;&gt;(AK182="Guided Self-Serve Migration"))*1+(AND(AR182&lt;&gt;"",OR(F182&lt;&gt;"Low",U182="Mixed",AND(G182&lt;&gt;"Growing",G182&lt;&gt;"Stable"))))*1+ISNUMBER(SEARCH("chat",AP182))*1+ISNUMBER(SEARCH("video",AP182))*1+(AND(AA182,AL182="Automated",AM182&lt;&gt;"HOLD — Critical Data Issue"))*1</f>
        <v>0</v>
      </c>
    </row>
    <row r="183" customFormat="false" ht="15" hidden="false" customHeight="false" outlineLevel="0" collapsed="false">
      <c r="A183" s="2" t="s">
        <v>910</v>
      </c>
      <c r="B183" s="2" t="str">
        <f aca="false">INDEX(Segmentation!$B$2:$B$301,MATCH($A183,Segmentation!$A$2:$A$301,0))</f>
        <v>Account Managed</v>
      </c>
      <c r="C183" s="2" t="str">
        <f aca="false">INDEX(Segmentation!$H$2:$H$301,MATCH($A183,Segmentation!$A$2:$A$301,0))</f>
        <v>AM-Owned / Self-Serving</v>
      </c>
      <c r="D183" s="2" t="str">
        <f aca="false">INDEX(Segmentation!$T$2:$T$301,MATCH($A183,Segmentation!$A$2:$A$301,0))</f>
        <v>9. Long-Tail Automated Nurture</v>
      </c>
      <c r="E183" s="2" t="str">
        <f aca="false">INDEX(Segmentation!$J$2:$J$301,MATCH($A183,Segmentation!$A$2:$A$301,0))</f>
        <v>Tail</v>
      </c>
      <c r="F183" s="2" t="str">
        <f aca="false">INDEX(Segmentation!$G$2:$G$301,MATCH($A183,Segmentation!$A$2:$A$301,0))</f>
        <v>Low</v>
      </c>
      <c r="G183" s="2" t="str">
        <f aca="false">INDEX(Segmentation!$N$2:$N$301,MATCH($A183,Segmentation!$A$2:$A$301,0))</f>
        <v>Lapsed</v>
      </c>
      <c r="H183" s="9" t="n">
        <f aca="false">INDEX(Segmentation!$I$2:$I$301,MATCH($A183,Segmentation!$A$2:$A$301,0))</f>
        <v>146</v>
      </c>
      <c r="I183" s="2" t="n">
        <f aca="false">INDEX(Segmentation!$O$2:$O$301,MATCH($A183,Segmentation!$A$2:$A$301,0))</f>
        <v>1</v>
      </c>
      <c r="J183" s="2" t="n">
        <f aca="false">INDEX(Segmentation!$Q$2:$Q$301,MATCH($A183,Segmentation!$A$2:$A$301,0))</f>
        <v>1</v>
      </c>
      <c r="K183" s="2" t="n">
        <f aca="false">INDEX(Segmentation!$W$2:$W$301,MATCH($A183,Segmentation!$A$2:$A$301,0))</f>
        <v>1</v>
      </c>
      <c r="L183" s="9" t="n">
        <f aca="false">INDEX('Commercial View'!$L$2:$L$301,MATCH($A183,'Commercial View'!$A$2:$A$301,0))</f>
        <v>0</v>
      </c>
      <c r="M183" s="9" t="n">
        <f aca="false">INDEX('Commercial View'!$M$2:$M$301,MATCH($A183,'Commercial View'!$A$2:$A$301,0))</f>
        <v>0</v>
      </c>
      <c r="N183" s="9" t="n">
        <f aca="false">INDEX('Commercial View'!$N$2:$N$301,MATCH($A183,'Commercial View'!$A$2:$A$301,0))</f>
        <v>0</v>
      </c>
      <c r="O183" s="9" t="n">
        <f aca="false">INDEX(Segmentation!$L$2:$L$301,MATCH($A183,Segmentation!$A$2:$A$301,0))</f>
        <v>0</v>
      </c>
      <c r="P183" s="2" t="str">
        <f aca="false">IF(OR(M183&gt;0,N183&gt;0),"Recently Active",IF(OR(I183&lt;=Assumptions!$B$48,K183&lt;=Assumptions!$B$49),"No Meaningful History","Recent Inactivity"))</f>
        <v>No Meaningful History</v>
      </c>
      <c r="Q183" s="2" t="str">
        <f aca="false">INDEX(Segmentation!$AF$2:$AF$301,MATCH($A183,Segmentation!$A$2:$A$301,0))</f>
        <v>Existing Customer</v>
      </c>
      <c r="R183" s="2" t="str">
        <f aca="false">INDEX(Segmentation!$AL$2:$AL$301,MATCH($A183,Segmentation!$A$2:$A$301,0))</f>
        <v>One-Off / Insufficient History — Verify</v>
      </c>
      <c r="S183" s="10" t="b">
        <f aca="false">INDEX(Segmentation!$AW$2:$AW$301,MATCH($A183,Segmentation!$A$2:$A$301,0))</f>
        <v>0</v>
      </c>
      <c r="T183" s="2" t="str">
        <f aca="false">INDEX('Feature Data'!$AD$2:$AD$301,MATCH($A183,'Feature Data'!$A$2:$A$301,0))</f>
        <v>One-off low-touch buyer</v>
      </c>
      <c r="U183" s="2" t="str">
        <f aca="false">INDEX('Feature Data'!$W$2:$W$301,MATCH($A183,'Feature Data'!$A$2:$A$301,0))</f>
        <v>Bundle-only</v>
      </c>
      <c r="V183" s="2" t="n">
        <f aca="false">INDEX('Feature Data'!$P$2:$P$301,MATCH($A183,'Feature Data'!$A$2:$A$301,0))</f>
        <v>57</v>
      </c>
      <c r="W183" s="2" t="n">
        <f aca="false">INDEX(Segmentation!$R$2:$R$301,MATCH($A183,Segmentation!$A$2:$A$301,0))</f>
        <v>15</v>
      </c>
      <c r="X183" s="2" t="n">
        <f aca="false">INDEX(Segmentation!$S$2:$S$301,MATCH($A183,Segmentation!$A$2:$A$301,0))</f>
        <v>0</v>
      </c>
      <c r="Y183" s="10" t="b">
        <f aca="false">INDEX(Segmentation!$AG$2:$AG$301,MATCH($A183,Segmentation!$A$2:$A$301,0))</f>
        <v>0</v>
      </c>
      <c r="Z183" s="2" t="str">
        <f aca="false">INDEX(Segmentation!$AU$2:$AU$301,MATCH($A183,Segmentation!$A$2:$A$301,0))</f>
        <v>Not Eligible</v>
      </c>
      <c r="AA183" s="10" t="b">
        <f aca="false">INDEX(Segmentation!$Z$2:$Z$301,MATCH($A183,Segmentation!$A$2:$A$301,0))</f>
        <v>0</v>
      </c>
      <c r="AB183" s="10" t="b">
        <f aca="false">INDEX(Segmentation!$AH$2:$AH$301,MATCH($A183,Segmentation!$A$2:$A$301,0))</f>
        <v>0</v>
      </c>
      <c r="AC183" s="10" t="b">
        <f aca="false">INDEX(Segmentation!$AK$2:$AK$301,MATCH($A183,Segmentation!$A$2:$A$301,0))</f>
        <v>0</v>
      </c>
      <c r="AD183" s="10" t="b">
        <f aca="false">INDEX(Segmentation!$AQ$2:$AQ$301,MATCH($A183,Segmentation!$A$2:$A$301,0))</f>
        <v>0</v>
      </c>
      <c r="AE183" s="10" t="b">
        <f aca="false">INDEX(Segmentation!$AT$2:$AT$301,MATCH($A183,Segmentation!$A$2:$A$301,0))</f>
        <v>0</v>
      </c>
      <c r="AF183" s="10" t="b">
        <f aca="false">INDEX(Segmentation!$X$2:$X$301,MATCH($A183,Segmentation!$A$2:$A$301,0))</f>
        <v>1</v>
      </c>
      <c r="AG183" s="10" t="b">
        <f aca="false">AND(F183="Low",V183&gt;=Assumptions!$B$71,X183&lt;Assumptions!$B$72)</f>
        <v>1</v>
      </c>
      <c r="AH183" s="10" t="b">
        <f aca="false">AND(F183="Low",OR(G183="Growing",G183="Stable"),P183="Recently Active",V183&gt;=Assumptions!$B$58,K183&gt;=Assumptions!$B$73)</f>
        <v>0</v>
      </c>
      <c r="AI183" s="17" t="str">
        <f aca="false">IF(O183&gt;0,MAX(L183:N183)/O183,"")</f>
        <v/>
      </c>
      <c r="AJ183" s="2" t="str">
        <f aca="false">IF(LEFT(D183,1)="1",IF(E183="Key","MIGRATION_KEY_SIGNOFF",IF(Z183="Ready","MIGRATION_PHASE1_READY",IF(Z183="Manual Review","MIGRATION_PHASE1_REVIEW","MIGRATION_PRE_ENTRY"))),IF(LEFT(D183,1)="2","DECLINING_KEY_CORE",IF(LEFT(D183,1)="3",IF(R183="Established Buyer Lapsed","LAPSED_ESTABLISHED","LAPSED_THIN_HISTORY"),IF(LEFT(D183,1)="4",IF(Q183="New Customer","NEW_CUSTOMER","RETURNED_CUSTOMER"),IF(LEFT(D183,1)="5",IF(P183="Recently Active","COST_TO_SERVE_ACTIVE","DORMANT_LOW_VALUE"),IF(LEFT(D183,1)="6",IF(P183="Recent Inactivity","RECENT_INACTIVITY",IF(AG183,"BROWSING_LOW_OFFERS","HEALTHY_STRONG_SELF_SERVE")),IF(LEFT(D183,1)="7",IF(P183="Recent Inactivity","RECENT_INACTIVITY",IF(Q183="New Customer","NEW_CUSTOMER","RETURNED_CUSTOMER")),IF(LEFT(D183,1)="8",IF(G183="Declining",IF(T183="Engaged but shrinking (Key/Core)","ENGAGED_BUT_SHRINKING","DECLINING_KEY_CORE"),IF(R183="Established Buyer Lapsed","LAPSED_ESTABLISHED","LAPSED_THIN_HISTORY")),IF(S183,IF(P183&lt;&gt;"Recently Active","DORMANT_LOW_VALUE",IF(AG183,"BROWSING_LOW_OFFERS",IF(AH183,"RISING_TAIL","RISING_TAIL_EARLY"))),IF(AND(AG183,P183="Recently Active",OR(G183="Growing",G183="Stable",G183="H2 Active / No H1 GMV"),I183&gt;=Assumptions!$B$74),"BROWSING_LOW_OFFERS","LONG_TAIL_STANDARD"))))))))))</f>
        <v>LONG_TAIL_STANDARD</v>
      </c>
      <c r="AK183" s="2" t="str">
        <f aca="false">INDEX('NBA Library'!$B$4:$B$21,MATCH(AJ183,'NBA Library'!$A$4:$A$21,0))</f>
        <v>Automated Nurture</v>
      </c>
      <c r="AL183" s="2" t="str">
        <f aca="false">INDEX('NBA Library'!$C$4:$C$21,MATCH(AJ183,'NBA Library'!$A$4:$A$21,0))</f>
        <v>Automated</v>
      </c>
      <c r="AM183" s="2" t="str">
        <f aca="false">IF(AA183,"HOLD — Critical Data Issue",IF(Y183,"Human Sign-Off Required",IF(Z183="Manual Review","Human Review Required",IF(AND(AL183="Automated",OR(AE183,AND(OR(AK183="Discovery-to-Offer Enablement",AK183="Reinforce Successful Behaviour"),OR(AC183,AB183)))),"Human Review Required",IF(AL183="Human","Ready — Human",IF(AL183="Hybrid","Ready — Hybrid","Ready — Automated"))))))</f>
        <v>Ready — Automated</v>
      </c>
      <c r="AN183" s="2" t="str">
        <f aca="false">IF(AA183,"P0",IF(AND(AJ183="BROWSING_LOW_OFFERS",E183="Tail"),"P3",IF(AND(AM183="Human Review Required",INDEX('NBA Library'!$D$4:$D$21,MATCH(AJ183,'NBA Library'!$A$4:$A$21,0))="P4"),"P3",INDEX('NBA Library'!$D$4:$D$21,MATCH(AJ183,'NBA Library'!$A$4:$A$21,0)))))</f>
        <v>P4</v>
      </c>
      <c r="AO183" s="2" t="str">
        <f aca="false">E183&amp;" "&amp;C183&amp;" account ("&amp;B183&amp;"); "&amp;G183&amp;" momentum; "&amp;P183&amp;"; £"&amp;TEXT(H183,"#,##0")&amp;" 6m GMV. "&amp;INDEX('NBA Library'!$G$4:$G$21,MATCH(AJ183,'NBA Library'!$A$4:$A$21,0))&amp;IF(LEFT(D183,1)="1"," Baseline: "&amp;V183&amp;" PDP views, "&amp;W183&amp;" app days, "&amp;X183&amp;" offers, "&amp;TEXT(J183/I183,"0%")&amp;" of orders self-serve.","")&amp;IF(AA183," Execution on HOLD until the Duplicate status is resolved.","")&amp;IF(Y183," Key account: explicit AM/leadership sign-off required before any migration activity.","")&amp;IF(AE183," Implied broker % from order counts would move this account to a different segment; review before automating.","")</f>
        <v>Tail AM-Owned / Self-Serving account (Account Managed); Lapsed momentum; No Meaningful History; £146 6m GMV. Low-value, low-dependency account. Scalable automated engagement.</v>
      </c>
      <c r="AP183" s="2" t="str">
        <f aca="false">INDEX('NBA Library'!$E$4:$E$21,MATCH(AJ183,'NBA Library'!$A$4:$A$21,0))&amp;IF(AND(AJ183="NEW_CUSTOMER",AG183),"; introduce Make-an-Offer on items already browsed","")</f>
        <v>Scalable automated engagement matched to nurture sub-context</v>
      </c>
      <c r="AQ183" s="2" t="str">
        <f aca="false">INDEX('NBA Library'!$F$4:$F$21,MATCH(AJ183,'NBA Library'!$A$4:$A$21,0))</f>
        <v>Any repeat order within 90 days</v>
      </c>
      <c r="AR183" s="2" t="str">
        <f aca="false">IF(AND(F183="Low",OR(G183="Growing",G183="Stable"),P183="Recently Active",U183&lt;&gt;"Mixed",OR(AK183="Discovery-to-Offer Enablement",AK183="Reinforce Successful Behaviour"),AM183="Ready — Automated",OR(E183&lt;&gt;"Tail",S183)),"Range Expansion Test — trial "&amp;IF(U183="Bundle-only","handpick","bundles")&amp;" (experimental; not proven to lift GMV)","")</f>
        <v/>
      </c>
      <c r="AS183" s="2" t="str">
        <f aca="false">IF(AK183&lt;&gt;"Automated Nurture","",IF(AJ183="DORMANT_LOW_VALUE","Dormant",IF(AJ183="RISING_TAIL_EARLY","Rising tail – early pattern",IF(Q183="New Customer","New customer onboarding",IF(Q183="Returned Customer","Returned customer",IF(G183="Lapsed","Dormant",IF(T183="Engaged, not converting","Engaged, not converting",IF(T183="One-off low-touch buyer","One-off purchaser",IF(T183="Light-touch repeat buyer","Light-touch repeat buyer","Standard long tail")))))))))</f>
        <v>Dormant</v>
      </c>
      <c r="AT183" s="2" t="str">
        <f aca="false">IF(AA183,"CRITICAL_DATA_BLOCKER; ","")&amp;IF(Y183,"KEY_SIGNOFF; ","")&amp;IF(Z183="Manual Review","PHASE1_MANUAL_REVIEW; ","")&amp;IF(AND(LEFT(D183,1)="1",AZ183="Lumpy"),"LUMPY_CADENCE; ","")&amp;IF(AB183,"BORDERLINE_MOMENTUM; ","")&amp;IF(AC183,"FEB_SENSITIVE; ","")&amp;IF(AD183,"MATERIAL_BROKER_INCONSISTENCY"&amp;IF(AE183," (segment would change)","")&amp;"; ","")&amp;IF(AND(I183&gt;=3,O183&gt;0),IF(AI183&gt;=Assumptions!$B$75,"H2_SINGLE_MONTH_SPIKE; ",""),"")&amp;IF(AND(M183&gt;0,N183=0),"NO_FEB_GMV (Feb unconfirmed); ","")&amp;IF(AF183,"LOW_CONFIDENCE; ","")</f>
        <v>LOW_CONFIDENCE; </v>
      </c>
      <c r="AU183" s="2" t="str">
        <f aca="false">IF(LEFT(D183,1)="1",V183,"")</f>
        <v/>
      </c>
      <c r="AV183" s="2" t="str">
        <f aca="false">IF(LEFT(D183,1)="1",V183&gt;=Assumptions!$B$58,"")</f>
        <v/>
      </c>
      <c r="AW183" s="2" t="str">
        <f aca="false">IF(LEFT(D183,1)="1",W183,"")</f>
        <v/>
      </c>
      <c r="AX183" s="2" t="str">
        <f aca="false">IF(LEFT(D183,1)="1",X183,"")</f>
        <v/>
      </c>
      <c r="AY183" s="17" t="str">
        <f aca="false">IF(LEFT(D183,1)="1",J183/I183,"")</f>
        <v/>
      </c>
      <c r="AZ183" s="2" t="str">
        <f aca="false">IF(LEFT(D183,1)="1",IF(AND(K183&gt;=Assumptions!$B$83,I183&gt;=Assumptions!$B$84),"Regular","Lumpy"),"")</f>
        <v/>
      </c>
      <c r="BA183" s="2" t="str">
        <f aca="false">IF(LEFT(D183,1)="1",ROUND(6/K183,0),"")</f>
        <v/>
      </c>
      <c r="BB183" s="2" t="str">
        <f aca="false">IF(LEFT(D183,1)="1",IF(AZ183="Regular","Regular buyer: expected ~£"&amp;TEXT(H183/2,"#,##0")&amp;" per 90 days. At Risk if GMV to date &lt; "&amp;TEXT(Assumptions!$B$81,"0%")&amp;" of pro-rated expectation, checked from day "&amp;Assumptions!$B$82&amp;". Human-reviewed.","Irregular buyer ("&amp;I183&amp;" orders across "&amp;K183&amp;" months): no numeric GMV threshold. At Risk if no order within ~"&amp;BA183&amp;" month(s); AM reviews at day "&amp;Assumptions!$B$82&amp;" and "&amp;Assumptions!$B$85&amp;"."),"")</f>
        <v/>
      </c>
      <c r="BC183" s="2"/>
      <c r="BD183" s="2"/>
      <c r="BE183" s="2"/>
      <c r="BF183" s="2"/>
      <c r="BG183" s="2"/>
      <c r="BH183" s="2"/>
      <c r="BI183" s="2"/>
      <c r="BJ183" s="2" t="str">
        <f aca="false">IF(OR(NOT(LEFT(D183,1)="1"),BC183=""),"",IF(AZ183="Regular",AND(BC183&gt;=Assumptions!$B$82,N(BI183)&lt;Assumptions!$B$81*H183/180*BC183),AND(BC183&gt;=BA183*30,N(BG183)=0)))</f>
        <v/>
      </c>
      <c r="BK183" s="2" t="str">
        <f aca="false">IF(NOT(LEFT(D183,1)="1"),"N/A",IF(BC183="","Baseline",IF(BJ183,"At Risk",IF(AND(N(BD183)&gt;=Assumptions!$B$78,N(BE183)&gt;=Assumptions!$B$79,N(BH183)&gt;=1,N(BH183)/MAX(N(BG183),1)&gt;AY183),"Self-Serve Capability Demonstrated",IF(OR(N(BD183)&gt;=Assumptions!$B$76,N(BE183)&gt;=Assumptions!$B$77),"Progressing",IF(BC183&gt;=Assumptions!$B$85,"At Risk","Baseline"))))))</f>
        <v>N/A</v>
      </c>
      <c r="BL183" s="2" t="n">
        <f aca="false">(AND(C183="Broker-Reliant",OR(AK183="Discovery-to-Offer Enablement",AK183="Reinforce Successful Behaviour")))*1+(AND(G183="Declining",E183&lt;&gt;"Tail",AL183="Automated"))*1+(AND(Y183,AM183&lt;&gt;"Human Sign-Off Required"))*1+(AND(AA183,AM183&lt;&gt;"HOLD — Critical Data Issue"))*1+(AND(P183="Recent Inactivity",OR(AK183="Discovery-to-Offer Enablement",AK183="Reinforce Successful Behaviour")))*1+(AND(OR(LEFT(D183,1)="2",LEFT(D183,1)="3",LEFT(D183,1)="8"),AL183="Automated"))*1+((LEFT(D183,1)="1")&lt;&gt;(AK183="Guided Self-Serve Migration"))*1+(AND(AR183&lt;&gt;"",OR(F183&lt;&gt;"Low",U183="Mixed",AND(G183&lt;&gt;"Growing",G183&lt;&gt;"Stable"))))*1+ISNUMBER(SEARCH("chat",AP183))*1+ISNUMBER(SEARCH("video",AP183))*1+(AND(AA183,AL183="Automated",AM183&lt;&gt;"HOLD — Critical Data Issue"))*1</f>
        <v>0</v>
      </c>
    </row>
    <row r="184" customFormat="false" ht="15" hidden="false" customHeight="false" outlineLevel="0" collapsed="false">
      <c r="A184" s="2" t="s">
        <v>912</v>
      </c>
      <c r="B184" s="2" t="str">
        <f aca="false">INDEX(Segmentation!$B$2:$B$301,MATCH($A184,Segmentation!$A$2:$A$301,0))</f>
        <v>Account Managed</v>
      </c>
      <c r="C184" s="2" t="str">
        <f aca="false">INDEX(Segmentation!$H$2:$H$301,MATCH($A184,Segmentation!$A$2:$A$301,0))</f>
        <v>AM-Owned / Self-Serving</v>
      </c>
      <c r="D184" s="2" t="str">
        <f aca="false">INDEX(Segmentation!$T$2:$T$301,MATCH($A184,Segmentation!$A$2:$A$301,0))</f>
        <v>9. Long-Tail Automated Nurture</v>
      </c>
      <c r="E184" s="2" t="str">
        <f aca="false">INDEX(Segmentation!$J$2:$J$301,MATCH($A184,Segmentation!$A$2:$A$301,0))</f>
        <v>Tail</v>
      </c>
      <c r="F184" s="2" t="str">
        <f aca="false">INDEX(Segmentation!$G$2:$G$301,MATCH($A184,Segmentation!$A$2:$A$301,0))</f>
        <v>Low</v>
      </c>
      <c r="G184" s="2" t="str">
        <f aca="false">INDEX(Segmentation!$N$2:$N$301,MATCH($A184,Segmentation!$A$2:$A$301,0))</f>
        <v>Lapsed</v>
      </c>
      <c r="H184" s="9" t="n">
        <f aca="false">INDEX(Segmentation!$I$2:$I$301,MATCH($A184,Segmentation!$A$2:$A$301,0))</f>
        <v>145</v>
      </c>
      <c r="I184" s="2" t="n">
        <f aca="false">INDEX(Segmentation!$O$2:$O$301,MATCH($A184,Segmentation!$A$2:$A$301,0))</f>
        <v>1</v>
      </c>
      <c r="J184" s="2" t="n">
        <f aca="false">INDEX(Segmentation!$Q$2:$Q$301,MATCH($A184,Segmentation!$A$2:$A$301,0))</f>
        <v>1</v>
      </c>
      <c r="K184" s="2" t="n">
        <f aca="false">INDEX(Segmentation!$W$2:$W$301,MATCH($A184,Segmentation!$A$2:$A$301,0))</f>
        <v>1</v>
      </c>
      <c r="L184" s="9" t="n">
        <f aca="false">INDEX('Commercial View'!$L$2:$L$301,MATCH($A184,'Commercial View'!$A$2:$A$301,0))</f>
        <v>0</v>
      </c>
      <c r="M184" s="9" t="n">
        <f aca="false">INDEX('Commercial View'!$M$2:$M$301,MATCH($A184,'Commercial View'!$A$2:$A$301,0))</f>
        <v>0</v>
      </c>
      <c r="N184" s="9" t="n">
        <f aca="false">INDEX('Commercial View'!$N$2:$N$301,MATCH($A184,'Commercial View'!$A$2:$A$301,0))</f>
        <v>0</v>
      </c>
      <c r="O184" s="9" t="n">
        <f aca="false">INDEX(Segmentation!$L$2:$L$301,MATCH($A184,Segmentation!$A$2:$A$301,0))</f>
        <v>0</v>
      </c>
      <c r="P184" s="2" t="str">
        <f aca="false">IF(OR(M184&gt;0,N184&gt;0),"Recently Active",IF(OR(I184&lt;=Assumptions!$B$48,K184&lt;=Assumptions!$B$49),"No Meaningful History","Recent Inactivity"))</f>
        <v>No Meaningful History</v>
      </c>
      <c r="Q184" s="2" t="str">
        <f aca="false">INDEX(Segmentation!$AF$2:$AF$301,MATCH($A184,Segmentation!$A$2:$A$301,0))</f>
        <v>Existing Customer</v>
      </c>
      <c r="R184" s="2" t="str">
        <f aca="false">INDEX(Segmentation!$AL$2:$AL$301,MATCH($A184,Segmentation!$A$2:$A$301,0))</f>
        <v>One-Off / Insufficient History — Verify</v>
      </c>
      <c r="S184" s="10" t="b">
        <f aca="false">INDEX(Segmentation!$AW$2:$AW$301,MATCH($A184,Segmentation!$A$2:$A$301,0))</f>
        <v>0</v>
      </c>
      <c r="T184" s="2" t="str">
        <f aca="false">INDEX('Feature Data'!$AD$2:$AD$301,MATCH($A184,'Feature Data'!$A$2:$A$301,0))</f>
        <v>One-off low-touch buyer</v>
      </c>
      <c r="U184" s="2" t="str">
        <f aca="false">INDEX('Feature Data'!$W$2:$W$301,MATCH($A184,'Feature Data'!$A$2:$A$301,0))</f>
        <v>Bundle-only</v>
      </c>
      <c r="V184" s="2" t="n">
        <f aca="false">INDEX('Feature Data'!$P$2:$P$301,MATCH($A184,'Feature Data'!$A$2:$A$301,0))</f>
        <v>5</v>
      </c>
      <c r="W184" s="2" t="n">
        <f aca="false">INDEX(Segmentation!$R$2:$R$301,MATCH($A184,Segmentation!$A$2:$A$301,0))</f>
        <v>2</v>
      </c>
      <c r="X184" s="2" t="n">
        <f aca="false">INDEX(Segmentation!$S$2:$S$301,MATCH($A184,Segmentation!$A$2:$A$301,0))</f>
        <v>0</v>
      </c>
      <c r="Y184" s="10" t="b">
        <f aca="false">INDEX(Segmentation!$AG$2:$AG$301,MATCH($A184,Segmentation!$A$2:$A$301,0))</f>
        <v>0</v>
      </c>
      <c r="Z184" s="2" t="str">
        <f aca="false">INDEX(Segmentation!$AU$2:$AU$301,MATCH($A184,Segmentation!$A$2:$A$301,0))</f>
        <v>Not Eligible</v>
      </c>
      <c r="AA184" s="10" t="b">
        <f aca="false">INDEX(Segmentation!$Z$2:$Z$301,MATCH($A184,Segmentation!$A$2:$A$301,0))</f>
        <v>0</v>
      </c>
      <c r="AB184" s="10" t="b">
        <f aca="false">INDEX(Segmentation!$AH$2:$AH$301,MATCH($A184,Segmentation!$A$2:$A$301,0))</f>
        <v>0</v>
      </c>
      <c r="AC184" s="10" t="b">
        <f aca="false">INDEX(Segmentation!$AK$2:$AK$301,MATCH($A184,Segmentation!$A$2:$A$301,0))</f>
        <v>0</v>
      </c>
      <c r="AD184" s="10" t="b">
        <f aca="false">INDEX(Segmentation!$AQ$2:$AQ$301,MATCH($A184,Segmentation!$A$2:$A$301,0))</f>
        <v>0</v>
      </c>
      <c r="AE184" s="10" t="b">
        <f aca="false">INDEX(Segmentation!$AT$2:$AT$301,MATCH($A184,Segmentation!$A$2:$A$301,0))</f>
        <v>0</v>
      </c>
      <c r="AF184" s="10" t="b">
        <f aca="false">INDEX(Segmentation!$X$2:$X$301,MATCH($A184,Segmentation!$A$2:$A$301,0))</f>
        <v>1</v>
      </c>
      <c r="AG184" s="10" t="b">
        <f aca="false">AND(F184="Low",V184&gt;=Assumptions!$B$71,X184&lt;Assumptions!$B$72)</f>
        <v>0</v>
      </c>
      <c r="AH184" s="10" t="b">
        <f aca="false">AND(F184="Low",OR(G184="Growing",G184="Stable"),P184="Recently Active",V184&gt;=Assumptions!$B$58,K184&gt;=Assumptions!$B$73)</f>
        <v>0</v>
      </c>
      <c r="AI184" s="17" t="str">
        <f aca="false">IF(O184&gt;0,MAX(L184:N184)/O184,"")</f>
        <v/>
      </c>
      <c r="AJ184" s="2" t="str">
        <f aca="false">IF(LEFT(D184,1)="1",IF(E184="Key","MIGRATION_KEY_SIGNOFF",IF(Z184="Ready","MIGRATION_PHASE1_READY",IF(Z184="Manual Review","MIGRATION_PHASE1_REVIEW","MIGRATION_PRE_ENTRY"))),IF(LEFT(D184,1)="2","DECLINING_KEY_CORE",IF(LEFT(D184,1)="3",IF(R184="Established Buyer Lapsed","LAPSED_ESTABLISHED","LAPSED_THIN_HISTORY"),IF(LEFT(D184,1)="4",IF(Q184="New Customer","NEW_CUSTOMER","RETURNED_CUSTOMER"),IF(LEFT(D184,1)="5",IF(P184="Recently Active","COST_TO_SERVE_ACTIVE","DORMANT_LOW_VALUE"),IF(LEFT(D184,1)="6",IF(P184="Recent Inactivity","RECENT_INACTIVITY",IF(AG184,"BROWSING_LOW_OFFERS","HEALTHY_STRONG_SELF_SERVE")),IF(LEFT(D184,1)="7",IF(P184="Recent Inactivity","RECENT_INACTIVITY",IF(Q184="New Customer","NEW_CUSTOMER","RETURNED_CUSTOMER")),IF(LEFT(D184,1)="8",IF(G184="Declining",IF(T184="Engaged but shrinking (Key/Core)","ENGAGED_BUT_SHRINKING","DECLINING_KEY_CORE"),IF(R184="Established Buyer Lapsed","LAPSED_ESTABLISHED","LAPSED_THIN_HISTORY")),IF(S184,IF(P184&lt;&gt;"Recently Active","DORMANT_LOW_VALUE",IF(AG184,"BROWSING_LOW_OFFERS",IF(AH184,"RISING_TAIL","RISING_TAIL_EARLY"))),IF(AND(AG184,P184="Recently Active",OR(G184="Growing",G184="Stable",G184="H2 Active / No H1 GMV"),I184&gt;=Assumptions!$B$74),"BROWSING_LOW_OFFERS","LONG_TAIL_STANDARD"))))))))))</f>
        <v>LONG_TAIL_STANDARD</v>
      </c>
      <c r="AK184" s="2" t="str">
        <f aca="false">INDEX('NBA Library'!$B$4:$B$21,MATCH(AJ184,'NBA Library'!$A$4:$A$21,0))</f>
        <v>Automated Nurture</v>
      </c>
      <c r="AL184" s="2" t="str">
        <f aca="false">INDEX('NBA Library'!$C$4:$C$21,MATCH(AJ184,'NBA Library'!$A$4:$A$21,0))</f>
        <v>Automated</v>
      </c>
      <c r="AM184" s="2" t="str">
        <f aca="false">IF(AA184,"HOLD — Critical Data Issue",IF(Y184,"Human Sign-Off Required",IF(Z184="Manual Review","Human Review Required",IF(AND(AL184="Automated",OR(AE184,AND(OR(AK184="Discovery-to-Offer Enablement",AK184="Reinforce Successful Behaviour"),OR(AC184,AB184)))),"Human Review Required",IF(AL184="Human","Ready — Human",IF(AL184="Hybrid","Ready — Hybrid","Ready — Automated"))))))</f>
        <v>Ready — Automated</v>
      </c>
      <c r="AN184" s="2" t="str">
        <f aca="false">IF(AA184,"P0",IF(AND(AJ184="BROWSING_LOW_OFFERS",E184="Tail"),"P3",IF(AND(AM184="Human Review Required",INDEX('NBA Library'!$D$4:$D$21,MATCH(AJ184,'NBA Library'!$A$4:$A$21,0))="P4"),"P3",INDEX('NBA Library'!$D$4:$D$21,MATCH(AJ184,'NBA Library'!$A$4:$A$21,0)))))</f>
        <v>P4</v>
      </c>
      <c r="AO184" s="2" t="str">
        <f aca="false">E184&amp;" "&amp;C184&amp;" account ("&amp;B184&amp;"); "&amp;G184&amp;" momentum; "&amp;P184&amp;"; £"&amp;TEXT(H184,"#,##0")&amp;" 6m GMV. "&amp;INDEX('NBA Library'!$G$4:$G$21,MATCH(AJ184,'NBA Library'!$A$4:$A$21,0))&amp;IF(LEFT(D184,1)="1"," Baseline: "&amp;V184&amp;" PDP views, "&amp;W184&amp;" app days, "&amp;X184&amp;" offers, "&amp;TEXT(J184/I184,"0%")&amp;" of orders self-serve.","")&amp;IF(AA184," Execution on HOLD until the Duplicate status is resolved.","")&amp;IF(Y184," Key account: explicit AM/leadership sign-off required before any migration activity.","")&amp;IF(AE184," Implied broker % from order counts would move this account to a different segment; review before automating.","")</f>
        <v>Tail AM-Owned / Self-Serving account (Account Managed); Lapsed momentum; No Meaningful History; £145 6m GMV. Low-value, low-dependency account. Scalable automated engagement.</v>
      </c>
      <c r="AP184" s="2" t="str">
        <f aca="false">INDEX('NBA Library'!$E$4:$E$21,MATCH(AJ184,'NBA Library'!$A$4:$A$21,0))&amp;IF(AND(AJ184="NEW_CUSTOMER",AG184),"; introduce Make-an-Offer on items already browsed","")</f>
        <v>Scalable automated engagement matched to nurture sub-context</v>
      </c>
      <c r="AQ184" s="2" t="str">
        <f aca="false">INDEX('NBA Library'!$F$4:$F$21,MATCH(AJ184,'NBA Library'!$A$4:$A$21,0))</f>
        <v>Any repeat order within 90 days</v>
      </c>
      <c r="AR184" s="2" t="str">
        <f aca="false">IF(AND(F184="Low",OR(G184="Growing",G184="Stable"),P184="Recently Active",U184&lt;&gt;"Mixed",OR(AK184="Discovery-to-Offer Enablement",AK184="Reinforce Successful Behaviour"),AM184="Ready — Automated",OR(E184&lt;&gt;"Tail",S184)),"Range Expansion Test — trial "&amp;IF(U184="Bundle-only","handpick","bundles")&amp;" (experimental; not proven to lift GMV)","")</f>
        <v/>
      </c>
      <c r="AS184" s="2" t="str">
        <f aca="false">IF(AK184&lt;&gt;"Automated Nurture","",IF(AJ184="DORMANT_LOW_VALUE","Dormant",IF(AJ184="RISING_TAIL_EARLY","Rising tail – early pattern",IF(Q184="New Customer","New customer onboarding",IF(Q184="Returned Customer","Returned customer",IF(G184="Lapsed","Dormant",IF(T184="Engaged, not converting","Engaged, not converting",IF(T184="One-off low-touch buyer","One-off purchaser",IF(T184="Light-touch repeat buyer","Light-touch repeat buyer","Standard long tail")))))))))</f>
        <v>Dormant</v>
      </c>
      <c r="AT184" s="2" t="str">
        <f aca="false">IF(AA184,"CRITICAL_DATA_BLOCKER; ","")&amp;IF(Y184,"KEY_SIGNOFF; ","")&amp;IF(Z184="Manual Review","PHASE1_MANUAL_REVIEW; ","")&amp;IF(AND(LEFT(D184,1)="1",AZ184="Lumpy"),"LUMPY_CADENCE; ","")&amp;IF(AB184,"BORDERLINE_MOMENTUM; ","")&amp;IF(AC184,"FEB_SENSITIVE; ","")&amp;IF(AD184,"MATERIAL_BROKER_INCONSISTENCY"&amp;IF(AE184," (segment would change)","")&amp;"; ","")&amp;IF(AND(I184&gt;=3,O184&gt;0),IF(AI184&gt;=Assumptions!$B$75,"H2_SINGLE_MONTH_SPIKE; ",""),"")&amp;IF(AND(M184&gt;0,N184=0),"NO_FEB_GMV (Feb unconfirmed); ","")&amp;IF(AF184,"LOW_CONFIDENCE; ","")</f>
        <v>LOW_CONFIDENCE; </v>
      </c>
      <c r="AU184" s="2" t="str">
        <f aca="false">IF(LEFT(D184,1)="1",V184,"")</f>
        <v/>
      </c>
      <c r="AV184" s="2" t="str">
        <f aca="false">IF(LEFT(D184,1)="1",V184&gt;=Assumptions!$B$58,"")</f>
        <v/>
      </c>
      <c r="AW184" s="2" t="str">
        <f aca="false">IF(LEFT(D184,1)="1",W184,"")</f>
        <v/>
      </c>
      <c r="AX184" s="2" t="str">
        <f aca="false">IF(LEFT(D184,1)="1",X184,"")</f>
        <v/>
      </c>
      <c r="AY184" s="17" t="str">
        <f aca="false">IF(LEFT(D184,1)="1",J184/I184,"")</f>
        <v/>
      </c>
      <c r="AZ184" s="2" t="str">
        <f aca="false">IF(LEFT(D184,1)="1",IF(AND(K184&gt;=Assumptions!$B$83,I184&gt;=Assumptions!$B$84),"Regular","Lumpy"),"")</f>
        <v/>
      </c>
      <c r="BA184" s="2" t="str">
        <f aca="false">IF(LEFT(D184,1)="1",ROUND(6/K184,0),"")</f>
        <v/>
      </c>
      <c r="BB184" s="2" t="str">
        <f aca="false">IF(LEFT(D184,1)="1",IF(AZ184="Regular","Regular buyer: expected ~£"&amp;TEXT(H184/2,"#,##0")&amp;" per 90 days. At Risk if GMV to date &lt; "&amp;TEXT(Assumptions!$B$81,"0%")&amp;" of pro-rated expectation, checked from day "&amp;Assumptions!$B$82&amp;". Human-reviewed.","Irregular buyer ("&amp;I184&amp;" orders across "&amp;K184&amp;" months): no numeric GMV threshold. At Risk if no order within ~"&amp;BA184&amp;" month(s); AM reviews at day "&amp;Assumptions!$B$82&amp;" and "&amp;Assumptions!$B$85&amp;"."),"")</f>
        <v/>
      </c>
      <c r="BC184" s="2"/>
      <c r="BD184" s="2"/>
      <c r="BE184" s="2"/>
      <c r="BF184" s="2"/>
      <c r="BG184" s="2"/>
      <c r="BH184" s="2"/>
      <c r="BI184" s="2"/>
      <c r="BJ184" s="2" t="str">
        <f aca="false">IF(OR(NOT(LEFT(D184,1)="1"),BC184=""),"",IF(AZ184="Regular",AND(BC184&gt;=Assumptions!$B$82,N(BI184)&lt;Assumptions!$B$81*H184/180*BC184),AND(BC184&gt;=BA184*30,N(BG184)=0)))</f>
        <v/>
      </c>
      <c r="BK184" s="2" t="str">
        <f aca="false">IF(NOT(LEFT(D184,1)="1"),"N/A",IF(BC184="","Baseline",IF(BJ184,"At Risk",IF(AND(N(BD184)&gt;=Assumptions!$B$78,N(BE184)&gt;=Assumptions!$B$79,N(BH184)&gt;=1,N(BH184)/MAX(N(BG184),1)&gt;AY184),"Self-Serve Capability Demonstrated",IF(OR(N(BD184)&gt;=Assumptions!$B$76,N(BE184)&gt;=Assumptions!$B$77),"Progressing",IF(BC184&gt;=Assumptions!$B$85,"At Risk","Baseline"))))))</f>
        <v>N/A</v>
      </c>
      <c r="BL184" s="2" t="n">
        <f aca="false">(AND(C184="Broker-Reliant",OR(AK184="Discovery-to-Offer Enablement",AK184="Reinforce Successful Behaviour")))*1+(AND(G184="Declining",E184&lt;&gt;"Tail",AL184="Automated"))*1+(AND(Y184,AM184&lt;&gt;"Human Sign-Off Required"))*1+(AND(AA184,AM184&lt;&gt;"HOLD — Critical Data Issue"))*1+(AND(P184="Recent Inactivity",OR(AK184="Discovery-to-Offer Enablement",AK184="Reinforce Successful Behaviour")))*1+(AND(OR(LEFT(D184,1)="2",LEFT(D184,1)="3",LEFT(D184,1)="8"),AL184="Automated"))*1+((LEFT(D184,1)="1")&lt;&gt;(AK184="Guided Self-Serve Migration"))*1+(AND(AR184&lt;&gt;"",OR(F184&lt;&gt;"Low",U184="Mixed",AND(G184&lt;&gt;"Growing",G184&lt;&gt;"Stable"))))*1+ISNUMBER(SEARCH("chat",AP184))*1+ISNUMBER(SEARCH("video",AP184))*1+(AND(AA184,AL184="Automated",AM184&lt;&gt;"HOLD — Critical Data Issue"))*1</f>
        <v>0</v>
      </c>
    </row>
    <row r="185" customFormat="false" ht="15" hidden="false" customHeight="false" outlineLevel="0" collapsed="false">
      <c r="A185" s="2" t="s">
        <v>922</v>
      </c>
      <c r="B185" s="2" t="str">
        <f aca="false">INDEX(Segmentation!$B$2:$B$301,MATCH($A185,Segmentation!$A$2:$A$301,0))</f>
        <v>Account Managed</v>
      </c>
      <c r="C185" s="2" t="str">
        <f aca="false">INDEX(Segmentation!$H$2:$H$301,MATCH($A185,Segmentation!$A$2:$A$301,0))</f>
        <v>AM-Owned / Self-Serving</v>
      </c>
      <c r="D185" s="2" t="str">
        <f aca="false">INDEX(Segmentation!$T$2:$T$301,MATCH($A185,Segmentation!$A$2:$A$301,0))</f>
        <v>9. Long-Tail Automated Nurture</v>
      </c>
      <c r="E185" s="2" t="str">
        <f aca="false">INDEX(Segmentation!$J$2:$J$301,MATCH($A185,Segmentation!$A$2:$A$301,0))</f>
        <v>Tail</v>
      </c>
      <c r="F185" s="2" t="str">
        <f aca="false">INDEX(Segmentation!$G$2:$G$301,MATCH($A185,Segmentation!$A$2:$A$301,0))</f>
        <v>Low</v>
      </c>
      <c r="G185" s="2" t="str">
        <f aca="false">INDEX(Segmentation!$N$2:$N$301,MATCH($A185,Segmentation!$A$2:$A$301,0))</f>
        <v>Lapsed</v>
      </c>
      <c r="H185" s="9" t="n">
        <f aca="false">INDEX(Segmentation!$I$2:$I$301,MATCH($A185,Segmentation!$A$2:$A$301,0))</f>
        <v>134</v>
      </c>
      <c r="I185" s="2" t="n">
        <f aca="false">INDEX(Segmentation!$O$2:$O$301,MATCH($A185,Segmentation!$A$2:$A$301,0))</f>
        <v>1</v>
      </c>
      <c r="J185" s="2" t="n">
        <f aca="false">INDEX(Segmentation!$Q$2:$Q$301,MATCH($A185,Segmentation!$A$2:$A$301,0))</f>
        <v>1</v>
      </c>
      <c r="K185" s="2" t="n">
        <f aca="false">INDEX(Segmentation!$W$2:$W$301,MATCH($A185,Segmentation!$A$2:$A$301,0))</f>
        <v>1</v>
      </c>
      <c r="L185" s="9" t="n">
        <f aca="false">INDEX('Commercial View'!$L$2:$L$301,MATCH($A185,'Commercial View'!$A$2:$A$301,0))</f>
        <v>0</v>
      </c>
      <c r="M185" s="9" t="n">
        <f aca="false">INDEX('Commercial View'!$M$2:$M$301,MATCH($A185,'Commercial View'!$A$2:$A$301,0))</f>
        <v>0</v>
      </c>
      <c r="N185" s="9" t="n">
        <f aca="false">INDEX('Commercial View'!$N$2:$N$301,MATCH($A185,'Commercial View'!$A$2:$A$301,0))</f>
        <v>0</v>
      </c>
      <c r="O185" s="9" t="n">
        <f aca="false">INDEX(Segmentation!$L$2:$L$301,MATCH($A185,Segmentation!$A$2:$A$301,0))</f>
        <v>0</v>
      </c>
      <c r="P185" s="2" t="str">
        <f aca="false">IF(OR(M185&gt;0,N185&gt;0),"Recently Active",IF(OR(I185&lt;=Assumptions!$B$48,K185&lt;=Assumptions!$B$49),"No Meaningful History","Recent Inactivity"))</f>
        <v>No Meaningful History</v>
      </c>
      <c r="Q185" s="2" t="str">
        <f aca="false">INDEX(Segmentation!$AF$2:$AF$301,MATCH($A185,Segmentation!$A$2:$A$301,0))</f>
        <v>Existing Customer</v>
      </c>
      <c r="R185" s="2" t="str">
        <f aca="false">INDEX(Segmentation!$AL$2:$AL$301,MATCH($A185,Segmentation!$A$2:$A$301,0))</f>
        <v>One-Off / Insufficient History — Verify</v>
      </c>
      <c r="S185" s="10" t="b">
        <f aca="false">INDEX(Segmentation!$AW$2:$AW$301,MATCH($A185,Segmentation!$A$2:$A$301,0))</f>
        <v>0</v>
      </c>
      <c r="T185" s="2" t="str">
        <f aca="false">INDEX('Feature Data'!$AD$2:$AD$301,MATCH($A185,'Feature Data'!$A$2:$A$301,0))</f>
        <v>One-off low-touch buyer</v>
      </c>
      <c r="U185" s="2" t="str">
        <f aca="false">INDEX('Feature Data'!$W$2:$W$301,MATCH($A185,'Feature Data'!$A$2:$A$301,0))</f>
        <v>Bundle-only</v>
      </c>
      <c r="V185" s="2" t="n">
        <f aca="false">INDEX('Feature Data'!$P$2:$P$301,MATCH($A185,'Feature Data'!$A$2:$A$301,0))</f>
        <v>58</v>
      </c>
      <c r="W185" s="2" t="n">
        <f aca="false">INDEX(Segmentation!$R$2:$R$301,MATCH($A185,Segmentation!$A$2:$A$301,0))</f>
        <v>9</v>
      </c>
      <c r="X185" s="2" t="n">
        <f aca="false">INDEX(Segmentation!$S$2:$S$301,MATCH($A185,Segmentation!$A$2:$A$301,0))</f>
        <v>1</v>
      </c>
      <c r="Y185" s="10" t="b">
        <f aca="false">INDEX(Segmentation!$AG$2:$AG$301,MATCH($A185,Segmentation!$A$2:$A$301,0))</f>
        <v>0</v>
      </c>
      <c r="Z185" s="2" t="str">
        <f aca="false">INDEX(Segmentation!$AU$2:$AU$301,MATCH($A185,Segmentation!$A$2:$A$301,0))</f>
        <v>Not Eligible</v>
      </c>
      <c r="AA185" s="10" t="b">
        <f aca="false">INDEX(Segmentation!$Z$2:$Z$301,MATCH($A185,Segmentation!$A$2:$A$301,0))</f>
        <v>0</v>
      </c>
      <c r="AB185" s="10" t="b">
        <f aca="false">INDEX(Segmentation!$AH$2:$AH$301,MATCH($A185,Segmentation!$A$2:$A$301,0))</f>
        <v>0</v>
      </c>
      <c r="AC185" s="10" t="b">
        <f aca="false">INDEX(Segmentation!$AK$2:$AK$301,MATCH($A185,Segmentation!$A$2:$A$301,0))</f>
        <v>0</v>
      </c>
      <c r="AD185" s="10" t="b">
        <f aca="false">INDEX(Segmentation!$AQ$2:$AQ$301,MATCH($A185,Segmentation!$A$2:$A$301,0))</f>
        <v>0</v>
      </c>
      <c r="AE185" s="10" t="b">
        <f aca="false">INDEX(Segmentation!$AT$2:$AT$301,MATCH($A185,Segmentation!$A$2:$A$301,0))</f>
        <v>0</v>
      </c>
      <c r="AF185" s="10" t="b">
        <f aca="false">INDEX(Segmentation!$X$2:$X$301,MATCH($A185,Segmentation!$A$2:$A$301,0))</f>
        <v>1</v>
      </c>
      <c r="AG185" s="10" t="b">
        <f aca="false">AND(F185="Low",V185&gt;=Assumptions!$B$71,X185&lt;Assumptions!$B$72)</f>
        <v>1</v>
      </c>
      <c r="AH185" s="10" t="b">
        <f aca="false">AND(F185="Low",OR(G185="Growing",G185="Stable"),P185="Recently Active",V185&gt;=Assumptions!$B$58,K185&gt;=Assumptions!$B$73)</f>
        <v>0</v>
      </c>
      <c r="AI185" s="17" t="str">
        <f aca="false">IF(O185&gt;0,MAX(L185:N185)/O185,"")</f>
        <v/>
      </c>
      <c r="AJ185" s="2" t="str">
        <f aca="false">IF(LEFT(D185,1)="1",IF(E185="Key","MIGRATION_KEY_SIGNOFF",IF(Z185="Ready","MIGRATION_PHASE1_READY",IF(Z185="Manual Review","MIGRATION_PHASE1_REVIEW","MIGRATION_PRE_ENTRY"))),IF(LEFT(D185,1)="2","DECLINING_KEY_CORE",IF(LEFT(D185,1)="3",IF(R185="Established Buyer Lapsed","LAPSED_ESTABLISHED","LAPSED_THIN_HISTORY"),IF(LEFT(D185,1)="4",IF(Q185="New Customer","NEW_CUSTOMER","RETURNED_CUSTOMER"),IF(LEFT(D185,1)="5",IF(P185="Recently Active","COST_TO_SERVE_ACTIVE","DORMANT_LOW_VALUE"),IF(LEFT(D185,1)="6",IF(P185="Recent Inactivity","RECENT_INACTIVITY",IF(AG185,"BROWSING_LOW_OFFERS","HEALTHY_STRONG_SELF_SERVE")),IF(LEFT(D185,1)="7",IF(P185="Recent Inactivity","RECENT_INACTIVITY",IF(Q185="New Customer","NEW_CUSTOMER","RETURNED_CUSTOMER")),IF(LEFT(D185,1)="8",IF(G185="Declining",IF(T185="Engaged but shrinking (Key/Core)","ENGAGED_BUT_SHRINKING","DECLINING_KEY_CORE"),IF(R185="Established Buyer Lapsed","LAPSED_ESTABLISHED","LAPSED_THIN_HISTORY")),IF(S185,IF(P185&lt;&gt;"Recently Active","DORMANT_LOW_VALUE",IF(AG185,"BROWSING_LOW_OFFERS",IF(AH185,"RISING_TAIL","RISING_TAIL_EARLY"))),IF(AND(AG185,P185="Recently Active",OR(G185="Growing",G185="Stable",G185="H2 Active / No H1 GMV"),I185&gt;=Assumptions!$B$74),"BROWSING_LOW_OFFERS","LONG_TAIL_STANDARD"))))))))))</f>
        <v>LONG_TAIL_STANDARD</v>
      </c>
      <c r="AK185" s="2" t="str">
        <f aca="false">INDEX('NBA Library'!$B$4:$B$21,MATCH(AJ185,'NBA Library'!$A$4:$A$21,0))</f>
        <v>Automated Nurture</v>
      </c>
      <c r="AL185" s="2" t="str">
        <f aca="false">INDEX('NBA Library'!$C$4:$C$21,MATCH(AJ185,'NBA Library'!$A$4:$A$21,0))</f>
        <v>Automated</v>
      </c>
      <c r="AM185" s="2" t="str">
        <f aca="false">IF(AA185,"HOLD — Critical Data Issue",IF(Y185,"Human Sign-Off Required",IF(Z185="Manual Review","Human Review Required",IF(AND(AL185="Automated",OR(AE185,AND(OR(AK185="Discovery-to-Offer Enablement",AK185="Reinforce Successful Behaviour"),OR(AC185,AB185)))),"Human Review Required",IF(AL185="Human","Ready — Human",IF(AL185="Hybrid","Ready — Hybrid","Ready — Automated"))))))</f>
        <v>Ready — Automated</v>
      </c>
      <c r="AN185" s="2" t="str">
        <f aca="false">IF(AA185,"P0",IF(AND(AJ185="BROWSING_LOW_OFFERS",E185="Tail"),"P3",IF(AND(AM185="Human Review Required",INDEX('NBA Library'!$D$4:$D$21,MATCH(AJ185,'NBA Library'!$A$4:$A$21,0))="P4"),"P3",INDEX('NBA Library'!$D$4:$D$21,MATCH(AJ185,'NBA Library'!$A$4:$A$21,0)))))</f>
        <v>P4</v>
      </c>
      <c r="AO185" s="2" t="str">
        <f aca="false">E185&amp;" "&amp;C185&amp;" account ("&amp;B185&amp;"); "&amp;G185&amp;" momentum; "&amp;P185&amp;"; £"&amp;TEXT(H185,"#,##0")&amp;" 6m GMV. "&amp;INDEX('NBA Library'!$G$4:$G$21,MATCH(AJ185,'NBA Library'!$A$4:$A$21,0))&amp;IF(LEFT(D185,1)="1"," Baseline: "&amp;V185&amp;" PDP views, "&amp;W185&amp;" app days, "&amp;X185&amp;" offers, "&amp;TEXT(J185/I185,"0%")&amp;" of orders self-serve.","")&amp;IF(AA185," Execution on HOLD until the Duplicate status is resolved.","")&amp;IF(Y185," Key account: explicit AM/leadership sign-off required before any migration activity.","")&amp;IF(AE185," Implied broker % from order counts would move this account to a different segment; review before automating.","")</f>
        <v>Tail AM-Owned / Self-Serving account (Account Managed); Lapsed momentum; No Meaningful History; £134 6m GMV. Low-value, low-dependency account. Scalable automated engagement.</v>
      </c>
      <c r="AP185" s="2" t="str">
        <f aca="false">INDEX('NBA Library'!$E$4:$E$21,MATCH(AJ185,'NBA Library'!$A$4:$A$21,0))&amp;IF(AND(AJ185="NEW_CUSTOMER",AG185),"; introduce Make-an-Offer on items already browsed","")</f>
        <v>Scalable automated engagement matched to nurture sub-context</v>
      </c>
      <c r="AQ185" s="2" t="str">
        <f aca="false">INDEX('NBA Library'!$F$4:$F$21,MATCH(AJ185,'NBA Library'!$A$4:$A$21,0))</f>
        <v>Any repeat order within 90 days</v>
      </c>
      <c r="AR185" s="2" t="str">
        <f aca="false">IF(AND(F185="Low",OR(G185="Growing",G185="Stable"),P185="Recently Active",U185&lt;&gt;"Mixed",OR(AK185="Discovery-to-Offer Enablement",AK185="Reinforce Successful Behaviour"),AM185="Ready — Automated",OR(E185&lt;&gt;"Tail",S185)),"Range Expansion Test — trial "&amp;IF(U185="Bundle-only","handpick","bundles")&amp;" (experimental; not proven to lift GMV)","")</f>
        <v/>
      </c>
      <c r="AS185" s="2" t="str">
        <f aca="false">IF(AK185&lt;&gt;"Automated Nurture","",IF(AJ185="DORMANT_LOW_VALUE","Dormant",IF(AJ185="RISING_TAIL_EARLY","Rising tail – early pattern",IF(Q185="New Customer","New customer onboarding",IF(Q185="Returned Customer","Returned customer",IF(G185="Lapsed","Dormant",IF(T185="Engaged, not converting","Engaged, not converting",IF(T185="One-off low-touch buyer","One-off purchaser",IF(T185="Light-touch repeat buyer","Light-touch repeat buyer","Standard long tail")))))))))</f>
        <v>Dormant</v>
      </c>
      <c r="AT185" s="2" t="str">
        <f aca="false">IF(AA185,"CRITICAL_DATA_BLOCKER; ","")&amp;IF(Y185,"KEY_SIGNOFF; ","")&amp;IF(Z185="Manual Review","PHASE1_MANUAL_REVIEW; ","")&amp;IF(AND(LEFT(D185,1)="1",AZ185="Lumpy"),"LUMPY_CADENCE; ","")&amp;IF(AB185,"BORDERLINE_MOMENTUM; ","")&amp;IF(AC185,"FEB_SENSITIVE; ","")&amp;IF(AD185,"MATERIAL_BROKER_INCONSISTENCY"&amp;IF(AE185," (segment would change)","")&amp;"; ","")&amp;IF(AND(I185&gt;=3,O185&gt;0),IF(AI185&gt;=Assumptions!$B$75,"H2_SINGLE_MONTH_SPIKE; ",""),"")&amp;IF(AND(M185&gt;0,N185=0),"NO_FEB_GMV (Feb unconfirmed); ","")&amp;IF(AF185,"LOW_CONFIDENCE; ","")</f>
        <v>LOW_CONFIDENCE; </v>
      </c>
      <c r="AU185" s="2" t="str">
        <f aca="false">IF(LEFT(D185,1)="1",V185,"")</f>
        <v/>
      </c>
      <c r="AV185" s="2" t="str">
        <f aca="false">IF(LEFT(D185,1)="1",V185&gt;=Assumptions!$B$58,"")</f>
        <v/>
      </c>
      <c r="AW185" s="2" t="str">
        <f aca="false">IF(LEFT(D185,1)="1",W185,"")</f>
        <v/>
      </c>
      <c r="AX185" s="2" t="str">
        <f aca="false">IF(LEFT(D185,1)="1",X185,"")</f>
        <v/>
      </c>
      <c r="AY185" s="17" t="str">
        <f aca="false">IF(LEFT(D185,1)="1",J185/I185,"")</f>
        <v/>
      </c>
      <c r="AZ185" s="2" t="str">
        <f aca="false">IF(LEFT(D185,1)="1",IF(AND(K185&gt;=Assumptions!$B$83,I185&gt;=Assumptions!$B$84),"Regular","Lumpy"),"")</f>
        <v/>
      </c>
      <c r="BA185" s="2" t="str">
        <f aca="false">IF(LEFT(D185,1)="1",ROUND(6/K185,0),"")</f>
        <v/>
      </c>
      <c r="BB185" s="2" t="str">
        <f aca="false">IF(LEFT(D185,1)="1",IF(AZ185="Regular","Regular buyer: expected ~£"&amp;TEXT(H185/2,"#,##0")&amp;" per 90 days. At Risk if GMV to date &lt; "&amp;TEXT(Assumptions!$B$81,"0%")&amp;" of pro-rated expectation, checked from day "&amp;Assumptions!$B$82&amp;". Human-reviewed.","Irregular buyer ("&amp;I185&amp;" orders across "&amp;K185&amp;" months): no numeric GMV threshold. At Risk if no order within ~"&amp;BA185&amp;" month(s); AM reviews at day "&amp;Assumptions!$B$82&amp;" and "&amp;Assumptions!$B$85&amp;"."),"")</f>
        <v/>
      </c>
      <c r="BC185" s="2"/>
      <c r="BD185" s="2"/>
      <c r="BE185" s="2"/>
      <c r="BF185" s="2"/>
      <c r="BG185" s="2"/>
      <c r="BH185" s="2"/>
      <c r="BI185" s="2"/>
      <c r="BJ185" s="2" t="str">
        <f aca="false">IF(OR(NOT(LEFT(D185,1)="1"),BC185=""),"",IF(AZ185="Regular",AND(BC185&gt;=Assumptions!$B$82,N(BI185)&lt;Assumptions!$B$81*H185/180*BC185),AND(BC185&gt;=BA185*30,N(BG185)=0)))</f>
        <v/>
      </c>
      <c r="BK185" s="2" t="str">
        <f aca="false">IF(NOT(LEFT(D185,1)="1"),"N/A",IF(BC185="","Baseline",IF(BJ185,"At Risk",IF(AND(N(BD185)&gt;=Assumptions!$B$78,N(BE185)&gt;=Assumptions!$B$79,N(BH185)&gt;=1,N(BH185)/MAX(N(BG185),1)&gt;AY185),"Self-Serve Capability Demonstrated",IF(OR(N(BD185)&gt;=Assumptions!$B$76,N(BE185)&gt;=Assumptions!$B$77),"Progressing",IF(BC185&gt;=Assumptions!$B$85,"At Risk","Baseline"))))))</f>
        <v>N/A</v>
      </c>
      <c r="BL185" s="2" t="n">
        <f aca="false">(AND(C185="Broker-Reliant",OR(AK185="Discovery-to-Offer Enablement",AK185="Reinforce Successful Behaviour")))*1+(AND(G185="Declining",E185&lt;&gt;"Tail",AL185="Automated"))*1+(AND(Y185,AM185&lt;&gt;"Human Sign-Off Required"))*1+(AND(AA185,AM185&lt;&gt;"HOLD — Critical Data Issue"))*1+(AND(P185="Recent Inactivity",OR(AK185="Discovery-to-Offer Enablement",AK185="Reinforce Successful Behaviour")))*1+(AND(OR(LEFT(D185,1)="2",LEFT(D185,1)="3",LEFT(D185,1)="8"),AL185="Automated"))*1+((LEFT(D185,1)="1")&lt;&gt;(AK185="Guided Self-Serve Migration"))*1+(AND(AR185&lt;&gt;"",OR(F185&lt;&gt;"Low",U185="Mixed",AND(G185&lt;&gt;"Growing",G185&lt;&gt;"Stable"))))*1+ISNUMBER(SEARCH("chat",AP185))*1+ISNUMBER(SEARCH("video",AP185))*1+(AND(AA185,AL185="Automated",AM185&lt;&gt;"HOLD — Critical Data Issue"))*1</f>
        <v>0</v>
      </c>
    </row>
    <row r="186" customFormat="false" ht="15" hidden="false" customHeight="false" outlineLevel="0" collapsed="false">
      <c r="A186" s="2" t="s">
        <v>926</v>
      </c>
      <c r="B186" s="2" t="str">
        <f aca="false">INDEX(Segmentation!$B$2:$B$301,MATCH($A186,Segmentation!$A$2:$A$301,0))</f>
        <v>Account Managed</v>
      </c>
      <c r="C186" s="2" t="str">
        <f aca="false">INDEX(Segmentation!$H$2:$H$301,MATCH($A186,Segmentation!$A$2:$A$301,0))</f>
        <v>AM-Owned / Self-Serving</v>
      </c>
      <c r="D186" s="2" t="str">
        <f aca="false">INDEX(Segmentation!$T$2:$T$301,MATCH($A186,Segmentation!$A$2:$A$301,0))</f>
        <v>9. Long-Tail Automated Nurture</v>
      </c>
      <c r="E186" s="2" t="str">
        <f aca="false">INDEX(Segmentation!$J$2:$J$301,MATCH($A186,Segmentation!$A$2:$A$301,0))</f>
        <v>Tail</v>
      </c>
      <c r="F186" s="2" t="str">
        <f aca="false">INDEX(Segmentation!$G$2:$G$301,MATCH($A186,Segmentation!$A$2:$A$301,0))</f>
        <v>Low</v>
      </c>
      <c r="G186" s="2" t="str">
        <f aca="false">INDEX(Segmentation!$N$2:$N$301,MATCH($A186,Segmentation!$A$2:$A$301,0))</f>
        <v>H2 Active / No H1 GMV</v>
      </c>
      <c r="H186" s="9" t="n">
        <f aca="false">INDEX(Segmentation!$I$2:$I$301,MATCH($A186,Segmentation!$A$2:$A$301,0))</f>
        <v>123</v>
      </c>
      <c r="I186" s="2" t="n">
        <f aca="false">INDEX(Segmentation!$O$2:$O$301,MATCH($A186,Segmentation!$A$2:$A$301,0))</f>
        <v>1</v>
      </c>
      <c r="J186" s="2" t="n">
        <f aca="false">INDEX(Segmentation!$Q$2:$Q$301,MATCH($A186,Segmentation!$A$2:$A$301,0))</f>
        <v>1</v>
      </c>
      <c r="K186" s="2" t="n">
        <f aca="false">INDEX(Segmentation!$W$2:$W$301,MATCH($A186,Segmentation!$A$2:$A$301,0))</f>
        <v>1</v>
      </c>
      <c r="L186" s="9" t="n">
        <f aca="false">INDEX('Commercial View'!$L$2:$L$301,MATCH($A186,'Commercial View'!$A$2:$A$301,0))</f>
        <v>0</v>
      </c>
      <c r="M186" s="9" t="n">
        <f aca="false">INDEX('Commercial View'!$M$2:$M$301,MATCH($A186,'Commercial View'!$A$2:$A$301,0))</f>
        <v>123</v>
      </c>
      <c r="N186" s="9" t="n">
        <f aca="false">INDEX('Commercial View'!$N$2:$N$301,MATCH($A186,'Commercial View'!$A$2:$A$301,0))</f>
        <v>0</v>
      </c>
      <c r="O186" s="9" t="n">
        <f aca="false">INDEX(Segmentation!$L$2:$L$301,MATCH($A186,Segmentation!$A$2:$A$301,0))</f>
        <v>123</v>
      </c>
      <c r="P186" s="2" t="str">
        <f aca="false">IF(OR(M186&gt;0,N186&gt;0),"Recently Active",IF(OR(I186&lt;=Assumptions!$B$48,K186&lt;=Assumptions!$B$49),"No Meaningful History","Recent Inactivity"))</f>
        <v>Recently Active</v>
      </c>
      <c r="Q186" s="2" t="str">
        <f aca="false">INDEX(Segmentation!$AF$2:$AF$301,MATCH($A186,Segmentation!$A$2:$A$301,0))</f>
        <v>Returned Customer</v>
      </c>
      <c r="R186" s="2" t="str">
        <f aca="false">INDEX(Segmentation!$AL$2:$AL$301,MATCH($A186,Segmentation!$A$2:$A$301,0))</f>
        <v>N/A</v>
      </c>
      <c r="S186" s="10" t="b">
        <f aca="false">INDEX(Segmentation!$AW$2:$AW$301,MATCH($A186,Segmentation!$A$2:$A$301,0))</f>
        <v>0</v>
      </c>
      <c r="T186" s="2" t="str">
        <f aca="false">INDEX('Feature Data'!$AD$2:$AD$301,MATCH($A186,'Feature Data'!$A$2:$A$301,0))</f>
        <v>One-off low-touch buyer</v>
      </c>
      <c r="U186" s="2" t="str">
        <f aca="false">INDEX('Feature Data'!$W$2:$W$301,MATCH($A186,'Feature Data'!$A$2:$A$301,0))</f>
        <v>Bundle-only</v>
      </c>
      <c r="V186" s="2" t="n">
        <f aca="false">INDEX('Feature Data'!$P$2:$P$301,MATCH($A186,'Feature Data'!$A$2:$A$301,0))</f>
        <v>107</v>
      </c>
      <c r="W186" s="2" t="n">
        <f aca="false">INDEX(Segmentation!$R$2:$R$301,MATCH($A186,Segmentation!$A$2:$A$301,0))</f>
        <v>7</v>
      </c>
      <c r="X186" s="2" t="n">
        <f aca="false">INDEX(Segmentation!$S$2:$S$301,MATCH($A186,Segmentation!$A$2:$A$301,0))</f>
        <v>16</v>
      </c>
      <c r="Y186" s="10" t="b">
        <f aca="false">INDEX(Segmentation!$AG$2:$AG$301,MATCH($A186,Segmentation!$A$2:$A$301,0))</f>
        <v>0</v>
      </c>
      <c r="Z186" s="2" t="str">
        <f aca="false">INDEX(Segmentation!$AU$2:$AU$301,MATCH($A186,Segmentation!$A$2:$A$301,0))</f>
        <v>Not Eligible</v>
      </c>
      <c r="AA186" s="10" t="b">
        <f aca="false">INDEX(Segmentation!$Z$2:$Z$301,MATCH($A186,Segmentation!$A$2:$A$301,0))</f>
        <v>0</v>
      </c>
      <c r="AB186" s="10" t="b">
        <f aca="false">INDEX(Segmentation!$AH$2:$AH$301,MATCH($A186,Segmentation!$A$2:$A$301,0))</f>
        <v>0</v>
      </c>
      <c r="AC186" s="10" t="b">
        <f aca="false">INDEX(Segmentation!$AK$2:$AK$301,MATCH($A186,Segmentation!$A$2:$A$301,0))</f>
        <v>0</v>
      </c>
      <c r="AD186" s="10" t="b">
        <f aca="false">INDEX(Segmentation!$AQ$2:$AQ$301,MATCH($A186,Segmentation!$A$2:$A$301,0))</f>
        <v>0</v>
      </c>
      <c r="AE186" s="10" t="b">
        <f aca="false">INDEX(Segmentation!$AT$2:$AT$301,MATCH($A186,Segmentation!$A$2:$A$301,0))</f>
        <v>0</v>
      </c>
      <c r="AF186" s="10" t="b">
        <f aca="false">INDEX(Segmentation!$X$2:$X$301,MATCH($A186,Segmentation!$A$2:$A$301,0))</f>
        <v>1</v>
      </c>
      <c r="AG186" s="10" t="b">
        <f aca="false">AND(F186="Low",V186&gt;=Assumptions!$B$71,X186&lt;Assumptions!$B$72)</f>
        <v>0</v>
      </c>
      <c r="AH186" s="10" t="b">
        <f aca="false">AND(F186="Low",OR(G186="Growing",G186="Stable"),P186="Recently Active",V186&gt;=Assumptions!$B$58,K186&gt;=Assumptions!$B$73)</f>
        <v>0</v>
      </c>
      <c r="AI186" s="17" t="n">
        <f aca="false">IF(O186&gt;0,MAX(L186:N186)/O186,"")</f>
        <v>1</v>
      </c>
      <c r="AJ186" s="2" t="str">
        <f aca="false">IF(LEFT(D186,1)="1",IF(E186="Key","MIGRATION_KEY_SIGNOFF",IF(Z186="Ready","MIGRATION_PHASE1_READY",IF(Z186="Manual Review","MIGRATION_PHASE1_REVIEW","MIGRATION_PRE_ENTRY"))),IF(LEFT(D186,1)="2","DECLINING_KEY_CORE",IF(LEFT(D186,1)="3",IF(R186="Established Buyer Lapsed","LAPSED_ESTABLISHED","LAPSED_THIN_HISTORY"),IF(LEFT(D186,1)="4",IF(Q186="New Customer","NEW_CUSTOMER","RETURNED_CUSTOMER"),IF(LEFT(D186,1)="5",IF(P186="Recently Active","COST_TO_SERVE_ACTIVE","DORMANT_LOW_VALUE"),IF(LEFT(D186,1)="6",IF(P186="Recent Inactivity","RECENT_INACTIVITY",IF(AG186,"BROWSING_LOW_OFFERS","HEALTHY_STRONG_SELF_SERVE")),IF(LEFT(D186,1)="7",IF(P186="Recent Inactivity","RECENT_INACTIVITY",IF(Q186="New Customer","NEW_CUSTOMER","RETURNED_CUSTOMER")),IF(LEFT(D186,1)="8",IF(G186="Declining",IF(T186="Engaged but shrinking (Key/Core)","ENGAGED_BUT_SHRINKING","DECLINING_KEY_CORE"),IF(R186="Established Buyer Lapsed","LAPSED_ESTABLISHED","LAPSED_THIN_HISTORY")),IF(S186,IF(P186&lt;&gt;"Recently Active","DORMANT_LOW_VALUE",IF(AG186,"BROWSING_LOW_OFFERS",IF(AH186,"RISING_TAIL","RISING_TAIL_EARLY"))),IF(AND(AG186,P186="Recently Active",OR(G186="Growing",G186="Stable",G186="H2 Active / No H1 GMV"),I186&gt;=Assumptions!$B$74),"BROWSING_LOW_OFFERS","LONG_TAIL_STANDARD"))))))))))</f>
        <v>LONG_TAIL_STANDARD</v>
      </c>
      <c r="AK186" s="2" t="str">
        <f aca="false">INDEX('NBA Library'!$B$4:$B$21,MATCH(AJ186,'NBA Library'!$A$4:$A$21,0))</f>
        <v>Automated Nurture</v>
      </c>
      <c r="AL186" s="2" t="str">
        <f aca="false">INDEX('NBA Library'!$C$4:$C$21,MATCH(AJ186,'NBA Library'!$A$4:$A$21,0))</f>
        <v>Automated</v>
      </c>
      <c r="AM186" s="2" t="str">
        <f aca="false">IF(AA186,"HOLD — Critical Data Issue",IF(Y186,"Human Sign-Off Required",IF(Z186="Manual Review","Human Review Required",IF(AND(AL186="Automated",OR(AE186,AND(OR(AK186="Discovery-to-Offer Enablement",AK186="Reinforce Successful Behaviour"),OR(AC186,AB186)))),"Human Review Required",IF(AL186="Human","Ready — Human",IF(AL186="Hybrid","Ready — Hybrid","Ready — Automated"))))))</f>
        <v>Ready — Automated</v>
      </c>
      <c r="AN186" s="2" t="str">
        <f aca="false">IF(AA186,"P0",IF(AND(AJ186="BROWSING_LOW_OFFERS",E186="Tail"),"P3",IF(AND(AM186="Human Review Required",INDEX('NBA Library'!$D$4:$D$21,MATCH(AJ186,'NBA Library'!$A$4:$A$21,0))="P4"),"P3",INDEX('NBA Library'!$D$4:$D$21,MATCH(AJ186,'NBA Library'!$A$4:$A$21,0)))))</f>
        <v>P4</v>
      </c>
      <c r="AO186" s="2" t="str">
        <f aca="false">E186&amp;" "&amp;C186&amp;" account ("&amp;B186&amp;"); "&amp;G186&amp;" momentum; "&amp;P186&amp;"; £"&amp;TEXT(H186,"#,##0")&amp;" 6m GMV. "&amp;INDEX('NBA Library'!$G$4:$G$21,MATCH(AJ186,'NBA Library'!$A$4:$A$21,0))&amp;IF(LEFT(D186,1)="1"," Baseline: "&amp;V186&amp;" PDP views, "&amp;W186&amp;" app days, "&amp;X186&amp;" offers, "&amp;TEXT(J186/I186,"0%")&amp;" of orders self-serve.","")&amp;IF(AA186," Execution on HOLD until the Duplicate status is resolved.","")&amp;IF(Y186," Key account: explicit AM/leadership sign-off required before any migration activity.","")&amp;IF(AE186," Implied broker % from order counts would move this account to a different segment; review before automating.","")</f>
        <v>Tail AM-Owned / Self-Serving account (Account Managed); H2 Active / No H1 GMV momentum; Recently Active; £123 6m GMV. Low-value, low-dependency account. Scalable automated engagement.</v>
      </c>
      <c r="AP186" s="2" t="str">
        <f aca="false">INDEX('NBA Library'!$E$4:$E$21,MATCH(AJ186,'NBA Library'!$A$4:$A$21,0))&amp;IF(AND(AJ186="NEW_CUSTOMER",AG186),"; introduce Make-an-Offer on items already browsed","")</f>
        <v>Scalable automated engagement matched to nurture sub-context</v>
      </c>
      <c r="AQ186" s="2" t="str">
        <f aca="false">INDEX('NBA Library'!$F$4:$F$21,MATCH(AJ186,'NBA Library'!$A$4:$A$21,0))</f>
        <v>Any repeat order within 90 days</v>
      </c>
      <c r="AR186" s="2" t="str">
        <f aca="false">IF(AND(F186="Low",OR(G186="Growing",G186="Stable"),P186="Recently Active",U186&lt;&gt;"Mixed",OR(AK186="Discovery-to-Offer Enablement",AK186="Reinforce Successful Behaviour"),AM186="Ready — Automated",OR(E186&lt;&gt;"Tail",S186)),"Range Expansion Test — trial "&amp;IF(U186="Bundle-only","handpick","bundles")&amp;" (experimental; not proven to lift GMV)","")</f>
        <v/>
      </c>
      <c r="AS186" s="2" t="str">
        <f aca="false">IF(AK186&lt;&gt;"Automated Nurture","",IF(AJ186="DORMANT_LOW_VALUE","Dormant",IF(AJ186="RISING_TAIL_EARLY","Rising tail – early pattern",IF(Q186="New Customer","New customer onboarding",IF(Q186="Returned Customer","Returned customer",IF(G186="Lapsed","Dormant",IF(T186="Engaged, not converting","Engaged, not converting",IF(T186="One-off low-touch buyer","One-off purchaser",IF(T186="Light-touch repeat buyer","Light-touch repeat buyer","Standard long tail")))))))))</f>
        <v>Returned customer</v>
      </c>
      <c r="AT186" s="2" t="str">
        <f aca="false">IF(AA186,"CRITICAL_DATA_BLOCKER; ","")&amp;IF(Y186,"KEY_SIGNOFF; ","")&amp;IF(Z186="Manual Review","PHASE1_MANUAL_REVIEW; ","")&amp;IF(AND(LEFT(D186,1)="1",AZ186="Lumpy"),"LUMPY_CADENCE; ","")&amp;IF(AB186,"BORDERLINE_MOMENTUM; ","")&amp;IF(AC186,"FEB_SENSITIVE; ","")&amp;IF(AD186,"MATERIAL_BROKER_INCONSISTENCY"&amp;IF(AE186," (segment would change)","")&amp;"; ","")&amp;IF(AND(I186&gt;=3,O186&gt;0),IF(AI186&gt;=Assumptions!$B$75,"H2_SINGLE_MONTH_SPIKE; ",""),"")&amp;IF(AND(M186&gt;0,N186=0),"NO_FEB_GMV (Feb unconfirmed); ","")&amp;IF(AF186,"LOW_CONFIDENCE; ","")</f>
        <v>NO_FEB_GMV (Feb unconfirmed); LOW_CONFIDENCE; </v>
      </c>
      <c r="AU186" s="2" t="str">
        <f aca="false">IF(LEFT(D186,1)="1",V186,"")</f>
        <v/>
      </c>
      <c r="AV186" s="2" t="str">
        <f aca="false">IF(LEFT(D186,1)="1",V186&gt;=Assumptions!$B$58,"")</f>
        <v/>
      </c>
      <c r="AW186" s="2" t="str">
        <f aca="false">IF(LEFT(D186,1)="1",W186,"")</f>
        <v/>
      </c>
      <c r="AX186" s="2" t="str">
        <f aca="false">IF(LEFT(D186,1)="1",X186,"")</f>
        <v/>
      </c>
      <c r="AY186" s="17" t="str">
        <f aca="false">IF(LEFT(D186,1)="1",J186/I186,"")</f>
        <v/>
      </c>
      <c r="AZ186" s="2" t="str">
        <f aca="false">IF(LEFT(D186,1)="1",IF(AND(K186&gt;=Assumptions!$B$83,I186&gt;=Assumptions!$B$84),"Regular","Lumpy"),"")</f>
        <v/>
      </c>
      <c r="BA186" s="2" t="str">
        <f aca="false">IF(LEFT(D186,1)="1",ROUND(6/K186,0),"")</f>
        <v/>
      </c>
      <c r="BB186" s="2" t="str">
        <f aca="false">IF(LEFT(D186,1)="1",IF(AZ186="Regular","Regular buyer: expected ~£"&amp;TEXT(H186/2,"#,##0")&amp;" per 90 days. At Risk if GMV to date &lt; "&amp;TEXT(Assumptions!$B$81,"0%")&amp;" of pro-rated expectation, checked from day "&amp;Assumptions!$B$82&amp;". Human-reviewed.","Irregular buyer ("&amp;I186&amp;" orders across "&amp;K186&amp;" months): no numeric GMV threshold. At Risk if no order within ~"&amp;BA186&amp;" month(s); AM reviews at day "&amp;Assumptions!$B$82&amp;" and "&amp;Assumptions!$B$85&amp;"."),"")</f>
        <v/>
      </c>
      <c r="BC186" s="2"/>
      <c r="BD186" s="2"/>
      <c r="BE186" s="2"/>
      <c r="BF186" s="2"/>
      <c r="BG186" s="2"/>
      <c r="BH186" s="2"/>
      <c r="BI186" s="2"/>
      <c r="BJ186" s="2" t="str">
        <f aca="false">IF(OR(NOT(LEFT(D186,1)="1"),BC186=""),"",IF(AZ186="Regular",AND(BC186&gt;=Assumptions!$B$82,N(BI186)&lt;Assumptions!$B$81*H186/180*BC186),AND(BC186&gt;=BA186*30,N(BG186)=0)))</f>
        <v/>
      </c>
      <c r="BK186" s="2" t="str">
        <f aca="false">IF(NOT(LEFT(D186,1)="1"),"N/A",IF(BC186="","Baseline",IF(BJ186,"At Risk",IF(AND(N(BD186)&gt;=Assumptions!$B$78,N(BE186)&gt;=Assumptions!$B$79,N(BH186)&gt;=1,N(BH186)/MAX(N(BG186),1)&gt;AY186),"Self-Serve Capability Demonstrated",IF(OR(N(BD186)&gt;=Assumptions!$B$76,N(BE186)&gt;=Assumptions!$B$77),"Progressing",IF(BC186&gt;=Assumptions!$B$85,"At Risk","Baseline"))))))</f>
        <v>N/A</v>
      </c>
      <c r="BL186" s="2" t="n">
        <f aca="false">(AND(C186="Broker-Reliant",OR(AK186="Discovery-to-Offer Enablement",AK186="Reinforce Successful Behaviour")))*1+(AND(G186="Declining",E186&lt;&gt;"Tail",AL186="Automated"))*1+(AND(Y186,AM186&lt;&gt;"Human Sign-Off Required"))*1+(AND(AA186,AM186&lt;&gt;"HOLD — Critical Data Issue"))*1+(AND(P186="Recent Inactivity",OR(AK186="Discovery-to-Offer Enablement",AK186="Reinforce Successful Behaviour")))*1+(AND(OR(LEFT(D186,1)="2",LEFT(D186,1)="3",LEFT(D186,1)="8"),AL186="Automated"))*1+((LEFT(D186,1)="1")&lt;&gt;(AK186="Guided Self-Serve Migration"))*1+(AND(AR186&lt;&gt;"",OR(F186&lt;&gt;"Low",U186="Mixed",AND(G186&lt;&gt;"Growing",G186&lt;&gt;"Stable"))))*1+ISNUMBER(SEARCH("chat",AP186))*1+ISNUMBER(SEARCH("video",AP186))*1+(AND(AA186,AL186="Automated",AM186&lt;&gt;"HOLD — Critical Data Issue"))*1</f>
        <v>0</v>
      </c>
    </row>
    <row r="187" customFormat="false" ht="15" hidden="false" customHeight="false" outlineLevel="0" collapsed="false">
      <c r="A187" s="2" t="s">
        <v>930</v>
      </c>
      <c r="B187" s="2" t="str">
        <f aca="false">INDEX(Segmentation!$B$2:$B$301,MATCH($A187,Segmentation!$A$2:$A$301,0))</f>
        <v>Account Managed</v>
      </c>
      <c r="C187" s="2" t="str">
        <f aca="false">INDEX(Segmentation!$H$2:$H$301,MATCH($A187,Segmentation!$A$2:$A$301,0))</f>
        <v>AM-Owned / Self-Serving</v>
      </c>
      <c r="D187" s="2" t="str">
        <f aca="false">INDEX(Segmentation!$T$2:$T$301,MATCH($A187,Segmentation!$A$2:$A$301,0))</f>
        <v>9. Long-Tail Automated Nurture</v>
      </c>
      <c r="E187" s="2" t="str">
        <f aca="false">INDEX(Segmentation!$J$2:$J$301,MATCH($A187,Segmentation!$A$2:$A$301,0))</f>
        <v>Tail</v>
      </c>
      <c r="F187" s="2" t="str">
        <f aca="false">INDEX(Segmentation!$G$2:$G$301,MATCH($A187,Segmentation!$A$2:$A$301,0))</f>
        <v>Low</v>
      </c>
      <c r="G187" s="2" t="str">
        <f aca="false">INDEX(Segmentation!$N$2:$N$301,MATCH($A187,Segmentation!$A$2:$A$301,0))</f>
        <v>Lapsed</v>
      </c>
      <c r="H187" s="9" t="n">
        <f aca="false">INDEX(Segmentation!$I$2:$I$301,MATCH($A187,Segmentation!$A$2:$A$301,0))</f>
        <v>121</v>
      </c>
      <c r="I187" s="2" t="n">
        <f aca="false">INDEX(Segmentation!$O$2:$O$301,MATCH($A187,Segmentation!$A$2:$A$301,0))</f>
        <v>1</v>
      </c>
      <c r="J187" s="2" t="n">
        <f aca="false">INDEX(Segmentation!$Q$2:$Q$301,MATCH($A187,Segmentation!$A$2:$A$301,0))</f>
        <v>1</v>
      </c>
      <c r="K187" s="2" t="n">
        <f aca="false">INDEX(Segmentation!$W$2:$W$301,MATCH($A187,Segmentation!$A$2:$A$301,0))</f>
        <v>1</v>
      </c>
      <c r="L187" s="9" t="n">
        <f aca="false">INDEX('Commercial View'!$L$2:$L$301,MATCH($A187,'Commercial View'!$A$2:$A$301,0))</f>
        <v>0</v>
      </c>
      <c r="M187" s="9" t="n">
        <f aca="false">INDEX('Commercial View'!$M$2:$M$301,MATCH($A187,'Commercial View'!$A$2:$A$301,0))</f>
        <v>0</v>
      </c>
      <c r="N187" s="9" t="n">
        <f aca="false">INDEX('Commercial View'!$N$2:$N$301,MATCH($A187,'Commercial View'!$A$2:$A$301,0))</f>
        <v>0</v>
      </c>
      <c r="O187" s="9" t="n">
        <f aca="false">INDEX(Segmentation!$L$2:$L$301,MATCH($A187,Segmentation!$A$2:$A$301,0))</f>
        <v>0</v>
      </c>
      <c r="P187" s="2" t="str">
        <f aca="false">IF(OR(M187&gt;0,N187&gt;0),"Recently Active",IF(OR(I187&lt;=Assumptions!$B$48,K187&lt;=Assumptions!$B$49),"No Meaningful History","Recent Inactivity"))</f>
        <v>No Meaningful History</v>
      </c>
      <c r="Q187" s="2" t="str">
        <f aca="false">INDEX(Segmentation!$AF$2:$AF$301,MATCH($A187,Segmentation!$A$2:$A$301,0))</f>
        <v>Existing Customer</v>
      </c>
      <c r="R187" s="2" t="str">
        <f aca="false">INDEX(Segmentation!$AL$2:$AL$301,MATCH($A187,Segmentation!$A$2:$A$301,0))</f>
        <v>One-Off / Insufficient History — Verify</v>
      </c>
      <c r="S187" s="10" t="b">
        <f aca="false">INDEX(Segmentation!$AW$2:$AW$301,MATCH($A187,Segmentation!$A$2:$A$301,0))</f>
        <v>0</v>
      </c>
      <c r="T187" s="2" t="str">
        <f aca="false">INDEX('Feature Data'!$AD$2:$AD$301,MATCH($A187,'Feature Data'!$A$2:$A$301,0))</f>
        <v>One-off low-touch buyer</v>
      </c>
      <c r="U187" s="2" t="str">
        <f aca="false">INDEX('Feature Data'!$W$2:$W$301,MATCH($A187,'Feature Data'!$A$2:$A$301,0))</f>
        <v>Bundle-only</v>
      </c>
      <c r="V187" s="2" t="n">
        <f aca="false">INDEX('Feature Data'!$P$2:$P$301,MATCH($A187,'Feature Data'!$A$2:$A$301,0))</f>
        <v>147</v>
      </c>
      <c r="W187" s="2" t="n">
        <f aca="false">INDEX(Segmentation!$R$2:$R$301,MATCH($A187,Segmentation!$A$2:$A$301,0))</f>
        <v>6</v>
      </c>
      <c r="X187" s="2" t="n">
        <f aca="false">INDEX(Segmentation!$S$2:$S$301,MATCH($A187,Segmentation!$A$2:$A$301,0))</f>
        <v>1</v>
      </c>
      <c r="Y187" s="10" t="b">
        <f aca="false">INDEX(Segmentation!$AG$2:$AG$301,MATCH($A187,Segmentation!$A$2:$A$301,0))</f>
        <v>0</v>
      </c>
      <c r="Z187" s="2" t="str">
        <f aca="false">INDEX(Segmentation!$AU$2:$AU$301,MATCH($A187,Segmentation!$A$2:$A$301,0))</f>
        <v>Not Eligible</v>
      </c>
      <c r="AA187" s="10" t="b">
        <f aca="false">INDEX(Segmentation!$Z$2:$Z$301,MATCH($A187,Segmentation!$A$2:$A$301,0))</f>
        <v>0</v>
      </c>
      <c r="AB187" s="10" t="b">
        <f aca="false">INDEX(Segmentation!$AH$2:$AH$301,MATCH($A187,Segmentation!$A$2:$A$301,0))</f>
        <v>0</v>
      </c>
      <c r="AC187" s="10" t="b">
        <f aca="false">INDEX(Segmentation!$AK$2:$AK$301,MATCH($A187,Segmentation!$A$2:$A$301,0))</f>
        <v>0</v>
      </c>
      <c r="AD187" s="10" t="b">
        <f aca="false">INDEX(Segmentation!$AQ$2:$AQ$301,MATCH($A187,Segmentation!$A$2:$A$301,0))</f>
        <v>0</v>
      </c>
      <c r="AE187" s="10" t="b">
        <f aca="false">INDEX(Segmentation!$AT$2:$AT$301,MATCH($A187,Segmentation!$A$2:$A$301,0))</f>
        <v>0</v>
      </c>
      <c r="AF187" s="10" t="b">
        <f aca="false">INDEX(Segmentation!$X$2:$X$301,MATCH($A187,Segmentation!$A$2:$A$301,0))</f>
        <v>1</v>
      </c>
      <c r="AG187" s="10" t="b">
        <f aca="false">AND(F187="Low",V187&gt;=Assumptions!$B$71,X187&lt;Assumptions!$B$72)</f>
        <v>1</v>
      </c>
      <c r="AH187" s="10" t="b">
        <f aca="false">AND(F187="Low",OR(G187="Growing",G187="Stable"),P187="Recently Active",V187&gt;=Assumptions!$B$58,K187&gt;=Assumptions!$B$73)</f>
        <v>0</v>
      </c>
      <c r="AI187" s="17" t="str">
        <f aca="false">IF(O187&gt;0,MAX(L187:N187)/O187,"")</f>
        <v/>
      </c>
      <c r="AJ187" s="2" t="str">
        <f aca="false">IF(LEFT(D187,1)="1",IF(E187="Key","MIGRATION_KEY_SIGNOFF",IF(Z187="Ready","MIGRATION_PHASE1_READY",IF(Z187="Manual Review","MIGRATION_PHASE1_REVIEW","MIGRATION_PRE_ENTRY"))),IF(LEFT(D187,1)="2","DECLINING_KEY_CORE",IF(LEFT(D187,1)="3",IF(R187="Established Buyer Lapsed","LAPSED_ESTABLISHED","LAPSED_THIN_HISTORY"),IF(LEFT(D187,1)="4",IF(Q187="New Customer","NEW_CUSTOMER","RETURNED_CUSTOMER"),IF(LEFT(D187,1)="5",IF(P187="Recently Active","COST_TO_SERVE_ACTIVE","DORMANT_LOW_VALUE"),IF(LEFT(D187,1)="6",IF(P187="Recent Inactivity","RECENT_INACTIVITY",IF(AG187,"BROWSING_LOW_OFFERS","HEALTHY_STRONG_SELF_SERVE")),IF(LEFT(D187,1)="7",IF(P187="Recent Inactivity","RECENT_INACTIVITY",IF(Q187="New Customer","NEW_CUSTOMER","RETURNED_CUSTOMER")),IF(LEFT(D187,1)="8",IF(G187="Declining",IF(T187="Engaged but shrinking (Key/Core)","ENGAGED_BUT_SHRINKING","DECLINING_KEY_CORE"),IF(R187="Established Buyer Lapsed","LAPSED_ESTABLISHED","LAPSED_THIN_HISTORY")),IF(S187,IF(P187&lt;&gt;"Recently Active","DORMANT_LOW_VALUE",IF(AG187,"BROWSING_LOW_OFFERS",IF(AH187,"RISING_TAIL","RISING_TAIL_EARLY"))),IF(AND(AG187,P187="Recently Active",OR(G187="Growing",G187="Stable",G187="H2 Active / No H1 GMV"),I187&gt;=Assumptions!$B$74),"BROWSING_LOW_OFFERS","LONG_TAIL_STANDARD"))))))))))</f>
        <v>LONG_TAIL_STANDARD</v>
      </c>
      <c r="AK187" s="2" t="str">
        <f aca="false">INDEX('NBA Library'!$B$4:$B$21,MATCH(AJ187,'NBA Library'!$A$4:$A$21,0))</f>
        <v>Automated Nurture</v>
      </c>
      <c r="AL187" s="2" t="str">
        <f aca="false">INDEX('NBA Library'!$C$4:$C$21,MATCH(AJ187,'NBA Library'!$A$4:$A$21,0))</f>
        <v>Automated</v>
      </c>
      <c r="AM187" s="2" t="str">
        <f aca="false">IF(AA187,"HOLD — Critical Data Issue",IF(Y187,"Human Sign-Off Required",IF(Z187="Manual Review","Human Review Required",IF(AND(AL187="Automated",OR(AE187,AND(OR(AK187="Discovery-to-Offer Enablement",AK187="Reinforce Successful Behaviour"),OR(AC187,AB187)))),"Human Review Required",IF(AL187="Human","Ready — Human",IF(AL187="Hybrid","Ready — Hybrid","Ready — Automated"))))))</f>
        <v>Ready — Automated</v>
      </c>
      <c r="AN187" s="2" t="str">
        <f aca="false">IF(AA187,"P0",IF(AND(AJ187="BROWSING_LOW_OFFERS",E187="Tail"),"P3",IF(AND(AM187="Human Review Required",INDEX('NBA Library'!$D$4:$D$21,MATCH(AJ187,'NBA Library'!$A$4:$A$21,0))="P4"),"P3",INDEX('NBA Library'!$D$4:$D$21,MATCH(AJ187,'NBA Library'!$A$4:$A$21,0)))))</f>
        <v>P4</v>
      </c>
      <c r="AO187" s="2" t="str">
        <f aca="false">E187&amp;" "&amp;C187&amp;" account ("&amp;B187&amp;"); "&amp;G187&amp;" momentum; "&amp;P187&amp;"; £"&amp;TEXT(H187,"#,##0")&amp;" 6m GMV. "&amp;INDEX('NBA Library'!$G$4:$G$21,MATCH(AJ187,'NBA Library'!$A$4:$A$21,0))&amp;IF(LEFT(D187,1)="1"," Baseline: "&amp;V187&amp;" PDP views, "&amp;W187&amp;" app days, "&amp;X187&amp;" offers, "&amp;TEXT(J187/I187,"0%")&amp;" of orders self-serve.","")&amp;IF(AA187," Execution on HOLD until the Duplicate status is resolved.","")&amp;IF(Y187," Key account: explicit AM/leadership sign-off required before any migration activity.","")&amp;IF(AE187," Implied broker % from order counts would move this account to a different segment; review before automating.","")</f>
        <v>Tail AM-Owned / Self-Serving account (Account Managed); Lapsed momentum; No Meaningful History; £121 6m GMV. Low-value, low-dependency account. Scalable automated engagement.</v>
      </c>
      <c r="AP187" s="2" t="str">
        <f aca="false">INDEX('NBA Library'!$E$4:$E$21,MATCH(AJ187,'NBA Library'!$A$4:$A$21,0))&amp;IF(AND(AJ187="NEW_CUSTOMER",AG187),"; introduce Make-an-Offer on items already browsed","")</f>
        <v>Scalable automated engagement matched to nurture sub-context</v>
      </c>
      <c r="AQ187" s="2" t="str">
        <f aca="false">INDEX('NBA Library'!$F$4:$F$21,MATCH(AJ187,'NBA Library'!$A$4:$A$21,0))</f>
        <v>Any repeat order within 90 days</v>
      </c>
      <c r="AR187" s="2" t="str">
        <f aca="false">IF(AND(F187="Low",OR(G187="Growing",G187="Stable"),P187="Recently Active",U187&lt;&gt;"Mixed",OR(AK187="Discovery-to-Offer Enablement",AK187="Reinforce Successful Behaviour"),AM187="Ready — Automated",OR(E187&lt;&gt;"Tail",S187)),"Range Expansion Test — trial "&amp;IF(U187="Bundle-only","handpick","bundles")&amp;" (experimental; not proven to lift GMV)","")</f>
        <v/>
      </c>
      <c r="AS187" s="2" t="str">
        <f aca="false">IF(AK187&lt;&gt;"Automated Nurture","",IF(AJ187="DORMANT_LOW_VALUE","Dormant",IF(AJ187="RISING_TAIL_EARLY","Rising tail – early pattern",IF(Q187="New Customer","New customer onboarding",IF(Q187="Returned Customer","Returned customer",IF(G187="Lapsed","Dormant",IF(T187="Engaged, not converting","Engaged, not converting",IF(T187="One-off low-touch buyer","One-off purchaser",IF(T187="Light-touch repeat buyer","Light-touch repeat buyer","Standard long tail")))))))))</f>
        <v>Dormant</v>
      </c>
      <c r="AT187" s="2" t="str">
        <f aca="false">IF(AA187,"CRITICAL_DATA_BLOCKER; ","")&amp;IF(Y187,"KEY_SIGNOFF; ","")&amp;IF(Z187="Manual Review","PHASE1_MANUAL_REVIEW; ","")&amp;IF(AND(LEFT(D187,1)="1",AZ187="Lumpy"),"LUMPY_CADENCE; ","")&amp;IF(AB187,"BORDERLINE_MOMENTUM; ","")&amp;IF(AC187,"FEB_SENSITIVE; ","")&amp;IF(AD187,"MATERIAL_BROKER_INCONSISTENCY"&amp;IF(AE187," (segment would change)","")&amp;"; ","")&amp;IF(AND(I187&gt;=3,O187&gt;0),IF(AI187&gt;=Assumptions!$B$75,"H2_SINGLE_MONTH_SPIKE; ",""),"")&amp;IF(AND(M187&gt;0,N187=0),"NO_FEB_GMV (Feb unconfirmed); ","")&amp;IF(AF187,"LOW_CONFIDENCE; ","")</f>
        <v>LOW_CONFIDENCE; </v>
      </c>
      <c r="AU187" s="2" t="str">
        <f aca="false">IF(LEFT(D187,1)="1",V187,"")</f>
        <v/>
      </c>
      <c r="AV187" s="2" t="str">
        <f aca="false">IF(LEFT(D187,1)="1",V187&gt;=Assumptions!$B$58,"")</f>
        <v/>
      </c>
      <c r="AW187" s="2" t="str">
        <f aca="false">IF(LEFT(D187,1)="1",W187,"")</f>
        <v/>
      </c>
      <c r="AX187" s="2" t="str">
        <f aca="false">IF(LEFT(D187,1)="1",X187,"")</f>
        <v/>
      </c>
      <c r="AY187" s="17" t="str">
        <f aca="false">IF(LEFT(D187,1)="1",J187/I187,"")</f>
        <v/>
      </c>
      <c r="AZ187" s="2" t="str">
        <f aca="false">IF(LEFT(D187,1)="1",IF(AND(K187&gt;=Assumptions!$B$83,I187&gt;=Assumptions!$B$84),"Regular","Lumpy"),"")</f>
        <v/>
      </c>
      <c r="BA187" s="2" t="str">
        <f aca="false">IF(LEFT(D187,1)="1",ROUND(6/K187,0),"")</f>
        <v/>
      </c>
      <c r="BB187" s="2" t="str">
        <f aca="false">IF(LEFT(D187,1)="1",IF(AZ187="Regular","Regular buyer: expected ~£"&amp;TEXT(H187/2,"#,##0")&amp;" per 90 days. At Risk if GMV to date &lt; "&amp;TEXT(Assumptions!$B$81,"0%")&amp;" of pro-rated expectation, checked from day "&amp;Assumptions!$B$82&amp;". Human-reviewed.","Irregular buyer ("&amp;I187&amp;" orders across "&amp;K187&amp;" months): no numeric GMV threshold. At Risk if no order within ~"&amp;BA187&amp;" month(s); AM reviews at day "&amp;Assumptions!$B$82&amp;" and "&amp;Assumptions!$B$85&amp;"."),"")</f>
        <v/>
      </c>
      <c r="BC187" s="2"/>
      <c r="BD187" s="2"/>
      <c r="BE187" s="2"/>
      <c r="BF187" s="2"/>
      <c r="BG187" s="2"/>
      <c r="BH187" s="2"/>
      <c r="BI187" s="2"/>
      <c r="BJ187" s="2" t="str">
        <f aca="false">IF(OR(NOT(LEFT(D187,1)="1"),BC187=""),"",IF(AZ187="Regular",AND(BC187&gt;=Assumptions!$B$82,N(BI187)&lt;Assumptions!$B$81*H187/180*BC187),AND(BC187&gt;=BA187*30,N(BG187)=0)))</f>
        <v/>
      </c>
      <c r="BK187" s="2" t="str">
        <f aca="false">IF(NOT(LEFT(D187,1)="1"),"N/A",IF(BC187="","Baseline",IF(BJ187,"At Risk",IF(AND(N(BD187)&gt;=Assumptions!$B$78,N(BE187)&gt;=Assumptions!$B$79,N(BH187)&gt;=1,N(BH187)/MAX(N(BG187),1)&gt;AY187),"Self-Serve Capability Demonstrated",IF(OR(N(BD187)&gt;=Assumptions!$B$76,N(BE187)&gt;=Assumptions!$B$77),"Progressing",IF(BC187&gt;=Assumptions!$B$85,"At Risk","Baseline"))))))</f>
        <v>N/A</v>
      </c>
      <c r="BL187" s="2" t="n">
        <f aca="false">(AND(C187="Broker-Reliant",OR(AK187="Discovery-to-Offer Enablement",AK187="Reinforce Successful Behaviour")))*1+(AND(G187="Declining",E187&lt;&gt;"Tail",AL187="Automated"))*1+(AND(Y187,AM187&lt;&gt;"Human Sign-Off Required"))*1+(AND(AA187,AM187&lt;&gt;"HOLD — Critical Data Issue"))*1+(AND(P187="Recent Inactivity",OR(AK187="Discovery-to-Offer Enablement",AK187="Reinforce Successful Behaviour")))*1+(AND(OR(LEFT(D187,1)="2",LEFT(D187,1)="3",LEFT(D187,1)="8"),AL187="Automated"))*1+((LEFT(D187,1)="1")&lt;&gt;(AK187="Guided Self-Serve Migration"))*1+(AND(AR187&lt;&gt;"",OR(F187&lt;&gt;"Low",U187="Mixed",AND(G187&lt;&gt;"Growing",G187&lt;&gt;"Stable"))))*1+ISNUMBER(SEARCH("chat",AP187))*1+ISNUMBER(SEARCH("video",AP187))*1+(AND(AA187,AL187="Automated",AM187&lt;&gt;"HOLD — Critical Data Issue"))*1</f>
        <v>0</v>
      </c>
    </row>
    <row r="188" customFormat="false" ht="15" hidden="false" customHeight="false" outlineLevel="0" collapsed="false">
      <c r="A188" s="2" t="s">
        <v>936</v>
      </c>
      <c r="B188" s="2" t="str">
        <f aca="false">INDEX(Segmentation!$B$2:$B$301,MATCH($A188,Segmentation!$A$2:$A$301,0))</f>
        <v>Account Managed</v>
      </c>
      <c r="C188" s="2" t="str">
        <f aca="false">INDEX(Segmentation!$H$2:$H$301,MATCH($A188,Segmentation!$A$2:$A$301,0))</f>
        <v>AM-Owned / Self-Serving</v>
      </c>
      <c r="D188" s="2" t="str">
        <f aca="false">INDEX(Segmentation!$T$2:$T$301,MATCH($A188,Segmentation!$A$2:$A$301,0))</f>
        <v>9. Long-Tail Automated Nurture</v>
      </c>
      <c r="E188" s="2" t="str">
        <f aca="false">INDEX(Segmentation!$J$2:$J$301,MATCH($A188,Segmentation!$A$2:$A$301,0))</f>
        <v>Tail</v>
      </c>
      <c r="F188" s="2" t="str">
        <f aca="false">INDEX(Segmentation!$G$2:$G$301,MATCH($A188,Segmentation!$A$2:$A$301,0))</f>
        <v>Low</v>
      </c>
      <c r="G188" s="2" t="str">
        <f aca="false">INDEX(Segmentation!$N$2:$N$301,MATCH($A188,Segmentation!$A$2:$A$301,0))</f>
        <v>H2 Active / No H1 GMV</v>
      </c>
      <c r="H188" s="9" t="n">
        <f aca="false">INDEX(Segmentation!$I$2:$I$301,MATCH($A188,Segmentation!$A$2:$A$301,0))</f>
        <v>117</v>
      </c>
      <c r="I188" s="2" t="n">
        <f aca="false">INDEX(Segmentation!$O$2:$O$301,MATCH($A188,Segmentation!$A$2:$A$301,0))</f>
        <v>1</v>
      </c>
      <c r="J188" s="2" t="n">
        <f aca="false">INDEX(Segmentation!$Q$2:$Q$301,MATCH($A188,Segmentation!$A$2:$A$301,0))</f>
        <v>1</v>
      </c>
      <c r="K188" s="2" t="n">
        <f aca="false">INDEX(Segmentation!$W$2:$W$301,MATCH($A188,Segmentation!$A$2:$A$301,0))</f>
        <v>1</v>
      </c>
      <c r="L188" s="9" t="n">
        <f aca="false">INDEX('Commercial View'!$L$2:$L$301,MATCH($A188,'Commercial View'!$A$2:$A$301,0))</f>
        <v>0</v>
      </c>
      <c r="M188" s="9" t="n">
        <f aca="false">INDEX('Commercial View'!$M$2:$M$301,MATCH($A188,'Commercial View'!$A$2:$A$301,0))</f>
        <v>117</v>
      </c>
      <c r="N188" s="9" t="n">
        <f aca="false">INDEX('Commercial View'!$N$2:$N$301,MATCH($A188,'Commercial View'!$A$2:$A$301,0))</f>
        <v>0</v>
      </c>
      <c r="O188" s="9" t="n">
        <f aca="false">INDEX(Segmentation!$L$2:$L$301,MATCH($A188,Segmentation!$A$2:$A$301,0))</f>
        <v>117</v>
      </c>
      <c r="P188" s="2" t="str">
        <f aca="false">IF(OR(M188&gt;0,N188&gt;0),"Recently Active",IF(OR(I188&lt;=Assumptions!$B$48,K188&lt;=Assumptions!$B$49),"No Meaningful History","Recent Inactivity"))</f>
        <v>Recently Active</v>
      </c>
      <c r="Q188" s="2" t="str">
        <f aca="false">INDEX(Segmentation!$AF$2:$AF$301,MATCH($A188,Segmentation!$A$2:$A$301,0))</f>
        <v>Returned Customer</v>
      </c>
      <c r="R188" s="2" t="str">
        <f aca="false">INDEX(Segmentation!$AL$2:$AL$301,MATCH($A188,Segmentation!$A$2:$A$301,0))</f>
        <v>N/A</v>
      </c>
      <c r="S188" s="10" t="b">
        <f aca="false">INDEX(Segmentation!$AW$2:$AW$301,MATCH($A188,Segmentation!$A$2:$A$301,0))</f>
        <v>0</v>
      </c>
      <c r="T188" s="2" t="str">
        <f aca="false">INDEX('Feature Data'!$AD$2:$AD$301,MATCH($A188,'Feature Data'!$A$2:$A$301,0))</f>
        <v>One-off low-touch buyer</v>
      </c>
      <c r="U188" s="2" t="str">
        <f aca="false">INDEX('Feature Data'!$W$2:$W$301,MATCH($A188,'Feature Data'!$A$2:$A$301,0))</f>
        <v>Bundle-only</v>
      </c>
      <c r="V188" s="2" t="n">
        <f aca="false">INDEX('Feature Data'!$P$2:$P$301,MATCH($A188,'Feature Data'!$A$2:$A$301,0))</f>
        <v>80</v>
      </c>
      <c r="W188" s="2" t="n">
        <f aca="false">INDEX(Segmentation!$R$2:$R$301,MATCH($A188,Segmentation!$A$2:$A$301,0))</f>
        <v>7</v>
      </c>
      <c r="X188" s="2" t="n">
        <f aca="false">INDEX(Segmentation!$S$2:$S$301,MATCH($A188,Segmentation!$A$2:$A$301,0))</f>
        <v>6</v>
      </c>
      <c r="Y188" s="10" t="b">
        <f aca="false">INDEX(Segmentation!$AG$2:$AG$301,MATCH($A188,Segmentation!$A$2:$A$301,0))</f>
        <v>0</v>
      </c>
      <c r="Z188" s="2" t="str">
        <f aca="false">INDEX(Segmentation!$AU$2:$AU$301,MATCH($A188,Segmentation!$A$2:$A$301,0))</f>
        <v>Not Eligible</v>
      </c>
      <c r="AA188" s="10" t="b">
        <f aca="false">INDEX(Segmentation!$Z$2:$Z$301,MATCH($A188,Segmentation!$A$2:$A$301,0))</f>
        <v>0</v>
      </c>
      <c r="AB188" s="10" t="b">
        <f aca="false">INDEX(Segmentation!$AH$2:$AH$301,MATCH($A188,Segmentation!$A$2:$A$301,0))</f>
        <v>0</v>
      </c>
      <c r="AC188" s="10" t="b">
        <f aca="false">INDEX(Segmentation!$AK$2:$AK$301,MATCH($A188,Segmentation!$A$2:$A$301,0))</f>
        <v>0</v>
      </c>
      <c r="AD188" s="10" t="b">
        <f aca="false">INDEX(Segmentation!$AQ$2:$AQ$301,MATCH($A188,Segmentation!$A$2:$A$301,0))</f>
        <v>0</v>
      </c>
      <c r="AE188" s="10" t="b">
        <f aca="false">INDEX(Segmentation!$AT$2:$AT$301,MATCH($A188,Segmentation!$A$2:$A$301,0))</f>
        <v>0</v>
      </c>
      <c r="AF188" s="10" t="b">
        <f aca="false">INDEX(Segmentation!$X$2:$X$301,MATCH($A188,Segmentation!$A$2:$A$301,0))</f>
        <v>1</v>
      </c>
      <c r="AG188" s="10" t="b">
        <f aca="false">AND(F188="Low",V188&gt;=Assumptions!$B$71,X188&lt;Assumptions!$B$72)</f>
        <v>0</v>
      </c>
      <c r="AH188" s="10" t="b">
        <f aca="false">AND(F188="Low",OR(G188="Growing",G188="Stable"),P188="Recently Active",V188&gt;=Assumptions!$B$58,K188&gt;=Assumptions!$B$73)</f>
        <v>0</v>
      </c>
      <c r="AI188" s="17" t="n">
        <f aca="false">IF(O188&gt;0,MAX(L188:N188)/O188,"")</f>
        <v>1</v>
      </c>
      <c r="AJ188" s="2" t="str">
        <f aca="false">IF(LEFT(D188,1)="1",IF(E188="Key","MIGRATION_KEY_SIGNOFF",IF(Z188="Ready","MIGRATION_PHASE1_READY",IF(Z188="Manual Review","MIGRATION_PHASE1_REVIEW","MIGRATION_PRE_ENTRY"))),IF(LEFT(D188,1)="2","DECLINING_KEY_CORE",IF(LEFT(D188,1)="3",IF(R188="Established Buyer Lapsed","LAPSED_ESTABLISHED","LAPSED_THIN_HISTORY"),IF(LEFT(D188,1)="4",IF(Q188="New Customer","NEW_CUSTOMER","RETURNED_CUSTOMER"),IF(LEFT(D188,1)="5",IF(P188="Recently Active","COST_TO_SERVE_ACTIVE","DORMANT_LOW_VALUE"),IF(LEFT(D188,1)="6",IF(P188="Recent Inactivity","RECENT_INACTIVITY",IF(AG188,"BROWSING_LOW_OFFERS","HEALTHY_STRONG_SELF_SERVE")),IF(LEFT(D188,1)="7",IF(P188="Recent Inactivity","RECENT_INACTIVITY",IF(Q188="New Customer","NEW_CUSTOMER","RETURNED_CUSTOMER")),IF(LEFT(D188,1)="8",IF(G188="Declining",IF(T188="Engaged but shrinking (Key/Core)","ENGAGED_BUT_SHRINKING","DECLINING_KEY_CORE"),IF(R188="Established Buyer Lapsed","LAPSED_ESTABLISHED","LAPSED_THIN_HISTORY")),IF(S188,IF(P188&lt;&gt;"Recently Active","DORMANT_LOW_VALUE",IF(AG188,"BROWSING_LOW_OFFERS",IF(AH188,"RISING_TAIL","RISING_TAIL_EARLY"))),IF(AND(AG188,P188="Recently Active",OR(G188="Growing",G188="Stable",G188="H2 Active / No H1 GMV"),I188&gt;=Assumptions!$B$74),"BROWSING_LOW_OFFERS","LONG_TAIL_STANDARD"))))))))))</f>
        <v>LONG_TAIL_STANDARD</v>
      </c>
      <c r="AK188" s="2" t="str">
        <f aca="false">INDEX('NBA Library'!$B$4:$B$21,MATCH(AJ188,'NBA Library'!$A$4:$A$21,0))</f>
        <v>Automated Nurture</v>
      </c>
      <c r="AL188" s="2" t="str">
        <f aca="false">INDEX('NBA Library'!$C$4:$C$21,MATCH(AJ188,'NBA Library'!$A$4:$A$21,0))</f>
        <v>Automated</v>
      </c>
      <c r="AM188" s="2" t="str">
        <f aca="false">IF(AA188,"HOLD — Critical Data Issue",IF(Y188,"Human Sign-Off Required",IF(Z188="Manual Review","Human Review Required",IF(AND(AL188="Automated",OR(AE188,AND(OR(AK188="Discovery-to-Offer Enablement",AK188="Reinforce Successful Behaviour"),OR(AC188,AB188)))),"Human Review Required",IF(AL188="Human","Ready — Human",IF(AL188="Hybrid","Ready — Hybrid","Ready — Automated"))))))</f>
        <v>Ready — Automated</v>
      </c>
      <c r="AN188" s="2" t="str">
        <f aca="false">IF(AA188,"P0",IF(AND(AJ188="BROWSING_LOW_OFFERS",E188="Tail"),"P3",IF(AND(AM188="Human Review Required",INDEX('NBA Library'!$D$4:$D$21,MATCH(AJ188,'NBA Library'!$A$4:$A$21,0))="P4"),"P3",INDEX('NBA Library'!$D$4:$D$21,MATCH(AJ188,'NBA Library'!$A$4:$A$21,0)))))</f>
        <v>P4</v>
      </c>
      <c r="AO188" s="2" t="str">
        <f aca="false">E188&amp;" "&amp;C188&amp;" account ("&amp;B188&amp;"); "&amp;G188&amp;" momentum; "&amp;P188&amp;"; £"&amp;TEXT(H188,"#,##0")&amp;" 6m GMV. "&amp;INDEX('NBA Library'!$G$4:$G$21,MATCH(AJ188,'NBA Library'!$A$4:$A$21,0))&amp;IF(LEFT(D188,1)="1"," Baseline: "&amp;V188&amp;" PDP views, "&amp;W188&amp;" app days, "&amp;X188&amp;" offers, "&amp;TEXT(J188/I188,"0%")&amp;" of orders self-serve.","")&amp;IF(AA188," Execution on HOLD until the Duplicate status is resolved.","")&amp;IF(Y188," Key account: explicit AM/leadership sign-off required before any migration activity.","")&amp;IF(AE188," Implied broker % from order counts would move this account to a different segment; review before automating.","")</f>
        <v>Tail AM-Owned / Self-Serving account (Account Managed); H2 Active / No H1 GMV momentum; Recently Active; £117 6m GMV. Low-value, low-dependency account. Scalable automated engagement.</v>
      </c>
      <c r="AP188" s="2" t="str">
        <f aca="false">INDEX('NBA Library'!$E$4:$E$21,MATCH(AJ188,'NBA Library'!$A$4:$A$21,0))&amp;IF(AND(AJ188="NEW_CUSTOMER",AG188),"; introduce Make-an-Offer on items already browsed","")</f>
        <v>Scalable automated engagement matched to nurture sub-context</v>
      </c>
      <c r="AQ188" s="2" t="str">
        <f aca="false">INDEX('NBA Library'!$F$4:$F$21,MATCH(AJ188,'NBA Library'!$A$4:$A$21,0))</f>
        <v>Any repeat order within 90 days</v>
      </c>
      <c r="AR188" s="2" t="str">
        <f aca="false">IF(AND(F188="Low",OR(G188="Growing",G188="Stable"),P188="Recently Active",U188&lt;&gt;"Mixed",OR(AK188="Discovery-to-Offer Enablement",AK188="Reinforce Successful Behaviour"),AM188="Ready — Automated",OR(E188&lt;&gt;"Tail",S188)),"Range Expansion Test — trial "&amp;IF(U188="Bundle-only","handpick","bundles")&amp;" (experimental; not proven to lift GMV)","")</f>
        <v/>
      </c>
      <c r="AS188" s="2" t="str">
        <f aca="false">IF(AK188&lt;&gt;"Automated Nurture","",IF(AJ188="DORMANT_LOW_VALUE","Dormant",IF(AJ188="RISING_TAIL_EARLY","Rising tail – early pattern",IF(Q188="New Customer","New customer onboarding",IF(Q188="Returned Customer","Returned customer",IF(G188="Lapsed","Dormant",IF(T188="Engaged, not converting","Engaged, not converting",IF(T188="One-off low-touch buyer","One-off purchaser",IF(T188="Light-touch repeat buyer","Light-touch repeat buyer","Standard long tail")))))))))</f>
        <v>Returned customer</v>
      </c>
      <c r="AT188" s="2" t="str">
        <f aca="false">IF(AA188,"CRITICAL_DATA_BLOCKER; ","")&amp;IF(Y188,"KEY_SIGNOFF; ","")&amp;IF(Z188="Manual Review","PHASE1_MANUAL_REVIEW; ","")&amp;IF(AND(LEFT(D188,1)="1",AZ188="Lumpy"),"LUMPY_CADENCE; ","")&amp;IF(AB188,"BORDERLINE_MOMENTUM; ","")&amp;IF(AC188,"FEB_SENSITIVE; ","")&amp;IF(AD188,"MATERIAL_BROKER_INCONSISTENCY"&amp;IF(AE188," (segment would change)","")&amp;"; ","")&amp;IF(AND(I188&gt;=3,O188&gt;0),IF(AI188&gt;=Assumptions!$B$75,"H2_SINGLE_MONTH_SPIKE; ",""),"")&amp;IF(AND(M188&gt;0,N188=0),"NO_FEB_GMV (Feb unconfirmed); ","")&amp;IF(AF188,"LOW_CONFIDENCE; ","")</f>
        <v>NO_FEB_GMV (Feb unconfirmed); LOW_CONFIDENCE; </v>
      </c>
      <c r="AU188" s="2" t="str">
        <f aca="false">IF(LEFT(D188,1)="1",V188,"")</f>
        <v/>
      </c>
      <c r="AV188" s="2" t="str">
        <f aca="false">IF(LEFT(D188,1)="1",V188&gt;=Assumptions!$B$58,"")</f>
        <v/>
      </c>
      <c r="AW188" s="2" t="str">
        <f aca="false">IF(LEFT(D188,1)="1",W188,"")</f>
        <v/>
      </c>
      <c r="AX188" s="2" t="str">
        <f aca="false">IF(LEFT(D188,1)="1",X188,"")</f>
        <v/>
      </c>
      <c r="AY188" s="17" t="str">
        <f aca="false">IF(LEFT(D188,1)="1",J188/I188,"")</f>
        <v/>
      </c>
      <c r="AZ188" s="2" t="str">
        <f aca="false">IF(LEFT(D188,1)="1",IF(AND(K188&gt;=Assumptions!$B$83,I188&gt;=Assumptions!$B$84),"Regular","Lumpy"),"")</f>
        <v/>
      </c>
      <c r="BA188" s="2" t="str">
        <f aca="false">IF(LEFT(D188,1)="1",ROUND(6/K188,0),"")</f>
        <v/>
      </c>
      <c r="BB188" s="2" t="str">
        <f aca="false">IF(LEFT(D188,1)="1",IF(AZ188="Regular","Regular buyer: expected ~£"&amp;TEXT(H188/2,"#,##0")&amp;" per 90 days. At Risk if GMV to date &lt; "&amp;TEXT(Assumptions!$B$81,"0%")&amp;" of pro-rated expectation, checked from day "&amp;Assumptions!$B$82&amp;". Human-reviewed.","Irregular buyer ("&amp;I188&amp;" orders across "&amp;K188&amp;" months): no numeric GMV threshold. At Risk if no order within ~"&amp;BA188&amp;" month(s); AM reviews at day "&amp;Assumptions!$B$82&amp;" and "&amp;Assumptions!$B$85&amp;"."),"")</f>
        <v/>
      </c>
      <c r="BC188" s="2"/>
      <c r="BD188" s="2"/>
      <c r="BE188" s="2"/>
      <c r="BF188" s="2"/>
      <c r="BG188" s="2"/>
      <c r="BH188" s="2"/>
      <c r="BI188" s="2"/>
      <c r="BJ188" s="2" t="str">
        <f aca="false">IF(OR(NOT(LEFT(D188,1)="1"),BC188=""),"",IF(AZ188="Regular",AND(BC188&gt;=Assumptions!$B$82,N(BI188)&lt;Assumptions!$B$81*H188/180*BC188),AND(BC188&gt;=BA188*30,N(BG188)=0)))</f>
        <v/>
      </c>
      <c r="BK188" s="2" t="str">
        <f aca="false">IF(NOT(LEFT(D188,1)="1"),"N/A",IF(BC188="","Baseline",IF(BJ188,"At Risk",IF(AND(N(BD188)&gt;=Assumptions!$B$78,N(BE188)&gt;=Assumptions!$B$79,N(BH188)&gt;=1,N(BH188)/MAX(N(BG188),1)&gt;AY188),"Self-Serve Capability Demonstrated",IF(OR(N(BD188)&gt;=Assumptions!$B$76,N(BE188)&gt;=Assumptions!$B$77),"Progressing",IF(BC188&gt;=Assumptions!$B$85,"At Risk","Baseline"))))))</f>
        <v>N/A</v>
      </c>
      <c r="BL188" s="2" t="n">
        <f aca="false">(AND(C188="Broker-Reliant",OR(AK188="Discovery-to-Offer Enablement",AK188="Reinforce Successful Behaviour")))*1+(AND(G188="Declining",E188&lt;&gt;"Tail",AL188="Automated"))*1+(AND(Y188,AM188&lt;&gt;"Human Sign-Off Required"))*1+(AND(AA188,AM188&lt;&gt;"HOLD — Critical Data Issue"))*1+(AND(P188="Recent Inactivity",OR(AK188="Discovery-to-Offer Enablement",AK188="Reinforce Successful Behaviour")))*1+(AND(OR(LEFT(D188,1)="2",LEFT(D188,1)="3",LEFT(D188,1)="8"),AL188="Automated"))*1+((LEFT(D188,1)="1")&lt;&gt;(AK188="Guided Self-Serve Migration"))*1+(AND(AR188&lt;&gt;"",OR(F188&lt;&gt;"Low",U188="Mixed",AND(G188&lt;&gt;"Growing",G188&lt;&gt;"Stable"))))*1+ISNUMBER(SEARCH("chat",AP188))*1+ISNUMBER(SEARCH("video",AP188))*1+(AND(AA188,AL188="Automated",AM188&lt;&gt;"HOLD — Critical Data Issue"))*1</f>
        <v>0</v>
      </c>
    </row>
    <row r="189" customFormat="false" ht="15" hidden="false" customHeight="false" outlineLevel="0" collapsed="false">
      <c r="A189" s="2" t="s">
        <v>938</v>
      </c>
      <c r="B189" s="2" t="str">
        <f aca="false">INDEX(Segmentation!$B$2:$B$301,MATCH($A189,Segmentation!$A$2:$A$301,0))</f>
        <v>Account Managed</v>
      </c>
      <c r="C189" s="2" t="str">
        <f aca="false">INDEX(Segmentation!$H$2:$H$301,MATCH($A189,Segmentation!$A$2:$A$301,0))</f>
        <v>AM-Owned / Self-Serving</v>
      </c>
      <c r="D189" s="2" t="str">
        <f aca="false">INDEX(Segmentation!$T$2:$T$301,MATCH($A189,Segmentation!$A$2:$A$301,0))</f>
        <v>9. Long-Tail Automated Nurture</v>
      </c>
      <c r="E189" s="2" t="str">
        <f aca="false">INDEX(Segmentation!$J$2:$J$301,MATCH($A189,Segmentation!$A$2:$A$301,0))</f>
        <v>Tail</v>
      </c>
      <c r="F189" s="2" t="str">
        <f aca="false">INDEX(Segmentation!$G$2:$G$301,MATCH($A189,Segmentation!$A$2:$A$301,0))</f>
        <v>Low</v>
      </c>
      <c r="G189" s="2" t="str">
        <f aca="false">INDEX(Segmentation!$N$2:$N$301,MATCH($A189,Segmentation!$A$2:$A$301,0))</f>
        <v>Lapsed</v>
      </c>
      <c r="H189" s="9" t="n">
        <f aca="false">INDEX(Segmentation!$I$2:$I$301,MATCH($A189,Segmentation!$A$2:$A$301,0))</f>
        <v>116</v>
      </c>
      <c r="I189" s="2" t="n">
        <f aca="false">INDEX(Segmentation!$O$2:$O$301,MATCH($A189,Segmentation!$A$2:$A$301,0))</f>
        <v>1</v>
      </c>
      <c r="J189" s="2" t="n">
        <f aca="false">INDEX(Segmentation!$Q$2:$Q$301,MATCH($A189,Segmentation!$A$2:$A$301,0))</f>
        <v>1</v>
      </c>
      <c r="K189" s="2" t="n">
        <f aca="false">INDEX(Segmentation!$W$2:$W$301,MATCH($A189,Segmentation!$A$2:$A$301,0))</f>
        <v>1</v>
      </c>
      <c r="L189" s="9" t="n">
        <f aca="false">INDEX('Commercial View'!$L$2:$L$301,MATCH($A189,'Commercial View'!$A$2:$A$301,0))</f>
        <v>0</v>
      </c>
      <c r="M189" s="9" t="n">
        <f aca="false">INDEX('Commercial View'!$M$2:$M$301,MATCH($A189,'Commercial View'!$A$2:$A$301,0))</f>
        <v>0</v>
      </c>
      <c r="N189" s="9" t="n">
        <f aca="false">INDEX('Commercial View'!$N$2:$N$301,MATCH($A189,'Commercial View'!$A$2:$A$301,0))</f>
        <v>0</v>
      </c>
      <c r="O189" s="9" t="n">
        <f aca="false">INDEX(Segmentation!$L$2:$L$301,MATCH($A189,Segmentation!$A$2:$A$301,0))</f>
        <v>0</v>
      </c>
      <c r="P189" s="2" t="str">
        <f aca="false">IF(OR(M189&gt;0,N189&gt;0),"Recently Active",IF(OR(I189&lt;=Assumptions!$B$48,K189&lt;=Assumptions!$B$49),"No Meaningful History","Recent Inactivity"))</f>
        <v>No Meaningful History</v>
      </c>
      <c r="Q189" s="2" t="str">
        <f aca="false">INDEX(Segmentation!$AF$2:$AF$301,MATCH($A189,Segmentation!$A$2:$A$301,0))</f>
        <v>Existing Customer</v>
      </c>
      <c r="R189" s="2" t="str">
        <f aca="false">INDEX(Segmentation!$AL$2:$AL$301,MATCH($A189,Segmentation!$A$2:$A$301,0))</f>
        <v>One-Off / Insufficient History — Verify</v>
      </c>
      <c r="S189" s="10" t="b">
        <f aca="false">INDEX(Segmentation!$AW$2:$AW$301,MATCH($A189,Segmentation!$A$2:$A$301,0))</f>
        <v>0</v>
      </c>
      <c r="T189" s="2" t="str">
        <f aca="false">INDEX('Feature Data'!$AD$2:$AD$301,MATCH($A189,'Feature Data'!$A$2:$A$301,0))</f>
        <v>One-off low-touch buyer</v>
      </c>
      <c r="U189" s="2" t="str">
        <f aca="false">INDEX('Feature Data'!$W$2:$W$301,MATCH($A189,'Feature Data'!$A$2:$A$301,0))</f>
        <v>Bundle-only</v>
      </c>
      <c r="V189" s="2" t="n">
        <f aca="false">INDEX('Feature Data'!$P$2:$P$301,MATCH($A189,'Feature Data'!$A$2:$A$301,0))</f>
        <v>33</v>
      </c>
      <c r="W189" s="2" t="n">
        <f aca="false">INDEX(Segmentation!$R$2:$R$301,MATCH($A189,Segmentation!$A$2:$A$301,0))</f>
        <v>4</v>
      </c>
      <c r="X189" s="2" t="n">
        <f aca="false">INDEX(Segmentation!$S$2:$S$301,MATCH($A189,Segmentation!$A$2:$A$301,0))</f>
        <v>0</v>
      </c>
      <c r="Y189" s="10" t="b">
        <f aca="false">INDEX(Segmentation!$AG$2:$AG$301,MATCH($A189,Segmentation!$A$2:$A$301,0))</f>
        <v>0</v>
      </c>
      <c r="Z189" s="2" t="str">
        <f aca="false">INDEX(Segmentation!$AU$2:$AU$301,MATCH($A189,Segmentation!$A$2:$A$301,0))</f>
        <v>Not Eligible</v>
      </c>
      <c r="AA189" s="10" t="b">
        <f aca="false">INDEX(Segmentation!$Z$2:$Z$301,MATCH($A189,Segmentation!$A$2:$A$301,0))</f>
        <v>0</v>
      </c>
      <c r="AB189" s="10" t="b">
        <f aca="false">INDEX(Segmentation!$AH$2:$AH$301,MATCH($A189,Segmentation!$A$2:$A$301,0))</f>
        <v>0</v>
      </c>
      <c r="AC189" s="10" t="b">
        <f aca="false">INDEX(Segmentation!$AK$2:$AK$301,MATCH($A189,Segmentation!$A$2:$A$301,0))</f>
        <v>0</v>
      </c>
      <c r="AD189" s="10" t="b">
        <f aca="false">INDEX(Segmentation!$AQ$2:$AQ$301,MATCH($A189,Segmentation!$A$2:$A$301,0))</f>
        <v>0</v>
      </c>
      <c r="AE189" s="10" t="b">
        <f aca="false">INDEX(Segmentation!$AT$2:$AT$301,MATCH($A189,Segmentation!$A$2:$A$301,0))</f>
        <v>0</v>
      </c>
      <c r="AF189" s="10" t="b">
        <f aca="false">INDEX(Segmentation!$X$2:$X$301,MATCH($A189,Segmentation!$A$2:$A$301,0))</f>
        <v>1</v>
      </c>
      <c r="AG189" s="10" t="b">
        <f aca="false">AND(F189="Low",V189&gt;=Assumptions!$B$71,X189&lt;Assumptions!$B$72)</f>
        <v>0</v>
      </c>
      <c r="AH189" s="10" t="b">
        <f aca="false">AND(F189="Low",OR(G189="Growing",G189="Stable"),P189="Recently Active",V189&gt;=Assumptions!$B$58,K189&gt;=Assumptions!$B$73)</f>
        <v>0</v>
      </c>
      <c r="AI189" s="17" t="str">
        <f aca="false">IF(O189&gt;0,MAX(L189:N189)/O189,"")</f>
        <v/>
      </c>
      <c r="AJ189" s="2" t="str">
        <f aca="false">IF(LEFT(D189,1)="1",IF(E189="Key","MIGRATION_KEY_SIGNOFF",IF(Z189="Ready","MIGRATION_PHASE1_READY",IF(Z189="Manual Review","MIGRATION_PHASE1_REVIEW","MIGRATION_PRE_ENTRY"))),IF(LEFT(D189,1)="2","DECLINING_KEY_CORE",IF(LEFT(D189,1)="3",IF(R189="Established Buyer Lapsed","LAPSED_ESTABLISHED","LAPSED_THIN_HISTORY"),IF(LEFT(D189,1)="4",IF(Q189="New Customer","NEW_CUSTOMER","RETURNED_CUSTOMER"),IF(LEFT(D189,1)="5",IF(P189="Recently Active","COST_TO_SERVE_ACTIVE","DORMANT_LOW_VALUE"),IF(LEFT(D189,1)="6",IF(P189="Recent Inactivity","RECENT_INACTIVITY",IF(AG189,"BROWSING_LOW_OFFERS","HEALTHY_STRONG_SELF_SERVE")),IF(LEFT(D189,1)="7",IF(P189="Recent Inactivity","RECENT_INACTIVITY",IF(Q189="New Customer","NEW_CUSTOMER","RETURNED_CUSTOMER")),IF(LEFT(D189,1)="8",IF(G189="Declining",IF(T189="Engaged but shrinking (Key/Core)","ENGAGED_BUT_SHRINKING","DECLINING_KEY_CORE"),IF(R189="Established Buyer Lapsed","LAPSED_ESTABLISHED","LAPSED_THIN_HISTORY")),IF(S189,IF(P189&lt;&gt;"Recently Active","DORMANT_LOW_VALUE",IF(AG189,"BROWSING_LOW_OFFERS",IF(AH189,"RISING_TAIL","RISING_TAIL_EARLY"))),IF(AND(AG189,P189="Recently Active",OR(G189="Growing",G189="Stable",G189="H2 Active / No H1 GMV"),I189&gt;=Assumptions!$B$74),"BROWSING_LOW_OFFERS","LONG_TAIL_STANDARD"))))))))))</f>
        <v>LONG_TAIL_STANDARD</v>
      </c>
      <c r="AK189" s="2" t="str">
        <f aca="false">INDEX('NBA Library'!$B$4:$B$21,MATCH(AJ189,'NBA Library'!$A$4:$A$21,0))</f>
        <v>Automated Nurture</v>
      </c>
      <c r="AL189" s="2" t="str">
        <f aca="false">INDEX('NBA Library'!$C$4:$C$21,MATCH(AJ189,'NBA Library'!$A$4:$A$21,0))</f>
        <v>Automated</v>
      </c>
      <c r="AM189" s="2" t="str">
        <f aca="false">IF(AA189,"HOLD — Critical Data Issue",IF(Y189,"Human Sign-Off Required",IF(Z189="Manual Review","Human Review Required",IF(AND(AL189="Automated",OR(AE189,AND(OR(AK189="Discovery-to-Offer Enablement",AK189="Reinforce Successful Behaviour"),OR(AC189,AB189)))),"Human Review Required",IF(AL189="Human","Ready — Human",IF(AL189="Hybrid","Ready — Hybrid","Ready — Automated"))))))</f>
        <v>Ready — Automated</v>
      </c>
      <c r="AN189" s="2" t="str">
        <f aca="false">IF(AA189,"P0",IF(AND(AJ189="BROWSING_LOW_OFFERS",E189="Tail"),"P3",IF(AND(AM189="Human Review Required",INDEX('NBA Library'!$D$4:$D$21,MATCH(AJ189,'NBA Library'!$A$4:$A$21,0))="P4"),"P3",INDEX('NBA Library'!$D$4:$D$21,MATCH(AJ189,'NBA Library'!$A$4:$A$21,0)))))</f>
        <v>P4</v>
      </c>
      <c r="AO189" s="2" t="str">
        <f aca="false">E189&amp;" "&amp;C189&amp;" account ("&amp;B189&amp;"); "&amp;G189&amp;" momentum; "&amp;P189&amp;"; £"&amp;TEXT(H189,"#,##0")&amp;" 6m GMV. "&amp;INDEX('NBA Library'!$G$4:$G$21,MATCH(AJ189,'NBA Library'!$A$4:$A$21,0))&amp;IF(LEFT(D189,1)="1"," Baseline: "&amp;V189&amp;" PDP views, "&amp;W189&amp;" app days, "&amp;X189&amp;" offers, "&amp;TEXT(J189/I189,"0%")&amp;" of orders self-serve.","")&amp;IF(AA189," Execution on HOLD until the Duplicate status is resolved.","")&amp;IF(Y189," Key account: explicit AM/leadership sign-off required before any migration activity.","")&amp;IF(AE189," Implied broker % from order counts would move this account to a different segment; review before automating.","")</f>
        <v>Tail AM-Owned / Self-Serving account (Account Managed); Lapsed momentum; No Meaningful History; £116 6m GMV. Low-value, low-dependency account. Scalable automated engagement.</v>
      </c>
      <c r="AP189" s="2" t="str">
        <f aca="false">INDEX('NBA Library'!$E$4:$E$21,MATCH(AJ189,'NBA Library'!$A$4:$A$21,0))&amp;IF(AND(AJ189="NEW_CUSTOMER",AG189),"; introduce Make-an-Offer on items already browsed","")</f>
        <v>Scalable automated engagement matched to nurture sub-context</v>
      </c>
      <c r="AQ189" s="2" t="str">
        <f aca="false">INDEX('NBA Library'!$F$4:$F$21,MATCH(AJ189,'NBA Library'!$A$4:$A$21,0))</f>
        <v>Any repeat order within 90 days</v>
      </c>
      <c r="AR189" s="2" t="str">
        <f aca="false">IF(AND(F189="Low",OR(G189="Growing",G189="Stable"),P189="Recently Active",U189&lt;&gt;"Mixed",OR(AK189="Discovery-to-Offer Enablement",AK189="Reinforce Successful Behaviour"),AM189="Ready — Automated",OR(E189&lt;&gt;"Tail",S189)),"Range Expansion Test — trial "&amp;IF(U189="Bundle-only","handpick","bundles")&amp;" (experimental; not proven to lift GMV)","")</f>
        <v/>
      </c>
      <c r="AS189" s="2" t="str">
        <f aca="false">IF(AK189&lt;&gt;"Automated Nurture","",IF(AJ189="DORMANT_LOW_VALUE","Dormant",IF(AJ189="RISING_TAIL_EARLY","Rising tail – early pattern",IF(Q189="New Customer","New customer onboarding",IF(Q189="Returned Customer","Returned customer",IF(G189="Lapsed","Dormant",IF(T189="Engaged, not converting","Engaged, not converting",IF(T189="One-off low-touch buyer","One-off purchaser",IF(T189="Light-touch repeat buyer","Light-touch repeat buyer","Standard long tail")))))))))</f>
        <v>Dormant</v>
      </c>
      <c r="AT189" s="2" t="str">
        <f aca="false">IF(AA189,"CRITICAL_DATA_BLOCKER; ","")&amp;IF(Y189,"KEY_SIGNOFF; ","")&amp;IF(Z189="Manual Review","PHASE1_MANUAL_REVIEW; ","")&amp;IF(AND(LEFT(D189,1)="1",AZ189="Lumpy"),"LUMPY_CADENCE; ","")&amp;IF(AB189,"BORDERLINE_MOMENTUM; ","")&amp;IF(AC189,"FEB_SENSITIVE; ","")&amp;IF(AD189,"MATERIAL_BROKER_INCONSISTENCY"&amp;IF(AE189," (segment would change)","")&amp;"; ","")&amp;IF(AND(I189&gt;=3,O189&gt;0),IF(AI189&gt;=Assumptions!$B$75,"H2_SINGLE_MONTH_SPIKE; ",""),"")&amp;IF(AND(M189&gt;0,N189=0),"NO_FEB_GMV (Feb unconfirmed); ","")&amp;IF(AF189,"LOW_CONFIDENCE; ","")</f>
        <v>LOW_CONFIDENCE; </v>
      </c>
      <c r="AU189" s="2" t="str">
        <f aca="false">IF(LEFT(D189,1)="1",V189,"")</f>
        <v/>
      </c>
      <c r="AV189" s="2" t="str">
        <f aca="false">IF(LEFT(D189,1)="1",V189&gt;=Assumptions!$B$58,"")</f>
        <v/>
      </c>
      <c r="AW189" s="2" t="str">
        <f aca="false">IF(LEFT(D189,1)="1",W189,"")</f>
        <v/>
      </c>
      <c r="AX189" s="2" t="str">
        <f aca="false">IF(LEFT(D189,1)="1",X189,"")</f>
        <v/>
      </c>
      <c r="AY189" s="17" t="str">
        <f aca="false">IF(LEFT(D189,1)="1",J189/I189,"")</f>
        <v/>
      </c>
      <c r="AZ189" s="2" t="str">
        <f aca="false">IF(LEFT(D189,1)="1",IF(AND(K189&gt;=Assumptions!$B$83,I189&gt;=Assumptions!$B$84),"Regular","Lumpy"),"")</f>
        <v/>
      </c>
      <c r="BA189" s="2" t="str">
        <f aca="false">IF(LEFT(D189,1)="1",ROUND(6/K189,0),"")</f>
        <v/>
      </c>
      <c r="BB189" s="2" t="str">
        <f aca="false">IF(LEFT(D189,1)="1",IF(AZ189="Regular","Regular buyer: expected ~£"&amp;TEXT(H189/2,"#,##0")&amp;" per 90 days. At Risk if GMV to date &lt; "&amp;TEXT(Assumptions!$B$81,"0%")&amp;" of pro-rated expectation, checked from day "&amp;Assumptions!$B$82&amp;". Human-reviewed.","Irregular buyer ("&amp;I189&amp;" orders across "&amp;K189&amp;" months): no numeric GMV threshold. At Risk if no order within ~"&amp;BA189&amp;" month(s); AM reviews at day "&amp;Assumptions!$B$82&amp;" and "&amp;Assumptions!$B$85&amp;"."),"")</f>
        <v/>
      </c>
      <c r="BC189" s="2"/>
      <c r="BD189" s="2"/>
      <c r="BE189" s="2"/>
      <c r="BF189" s="2"/>
      <c r="BG189" s="2"/>
      <c r="BH189" s="2"/>
      <c r="BI189" s="2"/>
      <c r="BJ189" s="2" t="str">
        <f aca="false">IF(OR(NOT(LEFT(D189,1)="1"),BC189=""),"",IF(AZ189="Regular",AND(BC189&gt;=Assumptions!$B$82,N(BI189)&lt;Assumptions!$B$81*H189/180*BC189),AND(BC189&gt;=BA189*30,N(BG189)=0)))</f>
        <v/>
      </c>
      <c r="BK189" s="2" t="str">
        <f aca="false">IF(NOT(LEFT(D189,1)="1"),"N/A",IF(BC189="","Baseline",IF(BJ189,"At Risk",IF(AND(N(BD189)&gt;=Assumptions!$B$78,N(BE189)&gt;=Assumptions!$B$79,N(BH189)&gt;=1,N(BH189)/MAX(N(BG189),1)&gt;AY189),"Self-Serve Capability Demonstrated",IF(OR(N(BD189)&gt;=Assumptions!$B$76,N(BE189)&gt;=Assumptions!$B$77),"Progressing",IF(BC189&gt;=Assumptions!$B$85,"At Risk","Baseline"))))))</f>
        <v>N/A</v>
      </c>
      <c r="BL189" s="2" t="n">
        <f aca="false">(AND(C189="Broker-Reliant",OR(AK189="Discovery-to-Offer Enablement",AK189="Reinforce Successful Behaviour")))*1+(AND(G189="Declining",E189&lt;&gt;"Tail",AL189="Automated"))*1+(AND(Y189,AM189&lt;&gt;"Human Sign-Off Required"))*1+(AND(AA189,AM189&lt;&gt;"HOLD — Critical Data Issue"))*1+(AND(P189="Recent Inactivity",OR(AK189="Discovery-to-Offer Enablement",AK189="Reinforce Successful Behaviour")))*1+(AND(OR(LEFT(D189,1)="2",LEFT(D189,1)="3",LEFT(D189,1)="8"),AL189="Automated"))*1+((LEFT(D189,1)="1")&lt;&gt;(AK189="Guided Self-Serve Migration"))*1+(AND(AR189&lt;&gt;"",OR(F189&lt;&gt;"Low",U189="Mixed",AND(G189&lt;&gt;"Growing",G189&lt;&gt;"Stable"))))*1+ISNUMBER(SEARCH("chat",AP189))*1+ISNUMBER(SEARCH("video",AP189))*1+(AND(AA189,AL189="Automated",AM189&lt;&gt;"HOLD — Critical Data Issue"))*1</f>
        <v>0</v>
      </c>
    </row>
    <row r="190" customFormat="false" ht="15" hidden="false" customHeight="false" outlineLevel="0" collapsed="false">
      <c r="A190" s="2" t="s">
        <v>940</v>
      </c>
      <c r="B190" s="2" t="str">
        <f aca="false">INDEX(Segmentation!$B$2:$B$301,MATCH($A190,Segmentation!$A$2:$A$301,0))</f>
        <v>Account Managed</v>
      </c>
      <c r="C190" s="2" t="str">
        <f aca="false">INDEX(Segmentation!$H$2:$H$301,MATCH($A190,Segmentation!$A$2:$A$301,0))</f>
        <v>AM-Owned / Self-Serving</v>
      </c>
      <c r="D190" s="2" t="str">
        <f aca="false">INDEX(Segmentation!$T$2:$T$301,MATCH($A190,Segmentation!$A$2:$A$301,0))</f>
        <v>9. Long-Tail Automated Nurture</v>
      </c>
      <c r="E190" s="2" t="str">
        <f aca="false">INDEX(Segmentation!$J$2:$J$301,MATCH($A190,Segmentation!$A$2:$A$301,0))</f>
        <v>Tail</v>
      </c>
      <c r="F190" s="2" t="str">
        <f aca="false">INDEX(Segmentation!$G$2:$G$301,MATCH($A190,Segmentation!$A$2:$A$301,0))</f>
        <v>Low</v>
      </c>
      <c r="G190" s="2" t="str">
        <f aca="false">INDEX(Segmentation!$N$2:$N$301,MATCH($A190,Segmentation!$A$2:$A$301,0))</f>
        <v>Lapsed</v>
      </c>
      <c r="H190" s="9" t="n">
        <f aca="false">INDEX(Segmentation!$I$2:$I$301,MATCH($A190,Segmentation!$A$2:$A$301,0))</f>
        <v>116</v>
      </c>
      <c r="I190" s="2" t="n">
        <f aca="false">INDEX(Segmentation!$O$2:$O$301,MATCH($A190,Segmentation!$A$2:$A$301,0))</f>
        <v>1</v>
      </c>
      <c r="J190" s="2" t="n">
        <f aca="false">INDEX(Segmentation!$Q$2:$Q$301,MATCH($A190,Segmentation!$A$2:$A$301,0))</f>
        <v>1</v>
      </c>
      <c r="K190" s="2" t="n">
        <f aca="false">INDEX(Segmentation!$W$2:$W$301,MATCH($A190,Segmentation!$A$2:$A$301,0))</f>
        <v>1</v>
      </c>
      <c r="L190" s="9" t="n">
        <f aca="false">INDEX('Commercial View'!$L$2:$L$301,MATCH($A190,'Commercial View'!$A$2:$A$301,0))</f>
        <v>0</v>
      </c>
      <c r="M190" s="9" t="n">
        <f aca="false">INDEX('Commercial View'!$M$2:$M$301,MATCH($A190,'Commercial View'!$A$2:$A$301,0))</f>
        <v>0</v>
      </c>
      <c r="N190" s="9" t="n">
        <f aca="false">INDEX('Commercial View'!$N$2:$N$301,MATCH($A190,'Commercial View'!$A$2:$A$301,0))</f>
        <v>0</v>
      </c>
      <c r="O190" s="9" t="n">
        <f aca="false">INDEX(Segmentation!$L$2:$L$301,MATCH($A190,Segmentation!$A$2:$A$301,0))</f>
        <v>0</v>
      </c>
      <c r="P190" s="2" t="str">
        <f aca="false">IF(OR(M190&gt;0,N190&gt;0),"Recently Active",IF(OR(I190&lt;=Assumptions!$B$48,K190&lt;=Assumptions!$B$49),"No Meaningful History","Recent Inactivity"))</f>
        <v>No Meaningful History</v>
      </c>
      <c r="Q190" s="2" t="str">
        <f aca="false">INDEX(Segmentation!$AF$2:$AF$301,MATCH($A190,Segmentation!$A$2:$A$301,0))</f>
        <v>Existing Customer</v>
      </c>
      <c r="R190" s="2" t="str">
        <f aca="false">INDEX(Segmentation!$AL$2:$AL$301,MATCH($A190,Segmentation!$A$2:$A$301,0))</f>
        <v>One-Off / Insufficient History — Verify</v>
      </c>
      <c r="S190" s="10" t="b">
        <f aca="false">INDEX(Segmentation!$AW$2:$AW$301,MATCH($A190,Segmentation!$A$2:$A$301,0))</f>
        <v>0</v>
      </c>
      <c r="T190" s="2" t="str">
        <f aca="false">INDEX('Feature Data'!$AD$2:$AD$301,MATCH($A190,'Feature Data'!$A$2:$A$301,0))</f>
        <v>Engaged, not converting</v>
      </c>
      <c r="U190" s="2" t="str">
        <f aca="false">INDEX('Feature Data'!$W$2:$W$301,MATCH($A190,'Feature Data'!$A$2:$A$301,0))</f>
        <v>Bundle-only</v>
      </c>
      <c r="V190" s="2" t="n">
        <f aca="false">INDEX('Feature Data'!$P$2:$P$301,MATCH($A190,'Feature Data'!$A$2:$A$301,0))</f>
        <v>255</v>
      </c>
      <c r="W190" s="2" t="n">
        <f aca="false">INDEX(Segmentation!$R$2:$R$301,MATCH($A190,Segmentation!$A$2:$A$301,0))</f>
        <v>12</v>
      </c>
      <c r="X190" s="2" t="n">
        <f aca="false">INDEX(Segmentation!$S$2:$S$301,MATCH($A190,Segmentation!$A$2:$A$301,0))</f>
        <v>0</v>
      </c>
      <c r="Y190" s="10" t="b">
        <f aca="false">INDEX(Segmentation!$AG$2:$AG$301,MATCH($A190,Segmentation!$A$2:$A$301,0))</f>
        <v>0</v>
      </c>
      <c r="Z190" s="2" t="str">
        <f aca="false">INDEX(Segmentation!$AU$2:$AU$301,MATCH($A190,Segmentation!$A$2:$A$301,0))</f>
        <v>Not Eligible</v>
      </c>
      <c r="AA190" s="10" t="b">
        <f aca="false">INDEX(Segmentation!$Z$2:$Z$301,MATCH($A190,Segmentation!$A$2:$A$301,0))</f>
        <v>0</v>
      </c>
      <c r="AB190" s="10" t="b">
        <f aca="false">INDEX(Segmentation!$AH$2:$AH$301,MATCH($A190,Segmentation!$A$2:$A$301,0))</f>
        <v>0</v>
      </c>
      <c r="AC190" s="10" t="b">
        <f aca="false">INDEX(Segmentation!$AK$2:$AK$301,MATCH($A190,Segmentation!$A$2:$A$301,0))</f>
        <v>0</v>
      </c>
      <c r="AD190" s="10" t="b">
        <f aca="false">INDEX(Segmentation!$AQ$2:$AQ$301,MATCH($A190,Segmentation!$A$2:$A$301,0))</f>
        <v>0</v>
      </c>
      <c r="AE190" s="10" t="b">
        <f aca="false">INDEX(Segmentation!$AT$2:$AT$301,MATCH($A190,Segmentation!$A$2:$A$301,0))</f>
        <v>0</v>
      </c>
      <c r="AF190" s="10" t="b">
        <f aca="false">INDEX(Segmentation!$X$2:$X$301,MATCH($A190,Segmentation!$A$2:$A$301,0))</f>
        <v>1</v>
      </c>
      <c r="AG190" s="10" t="b">
        <f aca="false">AND(F190="Low",V190&gt;=Assumptions!$B$71,X190&lt;Assumptions!$B$72)</f>
        <v>1</v>
      </c>
      <c r="AH190" s="10" t="b">
        <f aca="false">AND(F190="Low",OR(G190="Growing",G190="Stable"),P190="Recently Active",V190&gt;=Assumptions!$B$58,K190&gt;=Assumptions!$B$73)</f>
        <v>0</v>
      </c>
      <c r="AI190" s="17" t="str">
        <f aca="false">IF(O190&gt;0,MAX(L190:N190)/O190,"")</f>
        <v/>
      </c>
      <c r="AJ190" s="2" t="str">
        <f aca="false">IF(LEFT(D190,1)="1",IF(E190="Key","MIGRATION_KEY_SIGNOFF",IF(Z190="Ready","MIGRATION_PHASE1_READY",IF(Z190="Manual Review","MIGRATION_PHASE1_REVIEW","MIGRATION_PRE_ENTRY"))),IF(LEFT(D190,1)="2","DECLINING_KEY_CORE",IF(LEFT(D190,1)="3",IF(R190="Established Buyer Lapsed","LAPSED_ESTABLISHED","LAPSED_THIN_HISTORY"),IF(LEFT(D190,1)="4",IF(Q190="New Customer","NEW_CUSTOMER","RETURNED_CUSTOMER"),IF(LEFT(D190,1)="5",IF(P190="Recently Active","COST_TO_SERVE_ACTIVE","DORMANT_LOW_VALUE"),IF(LEFT(D190,1)="6",IF(P190="Recent Inactivity","RECENT_INACTIVITY",IF(AG190,"BROWSING_LOW_OFFERS","HEALTHY_STRONG_SELF_SERVE")),IF(LEFT(D190,1)="7",IF(P190="Recent Inactivity","RECENT_INACTIVITY",IF(Q190="New Customer","NEW_CUSTOMER","RETURNED_CUSTOMER")),IF(LEFT(D190,1)="8",IF(G190="Declining",IF(T190="Engaged but shrinking (Key/Core)","ENGAGED_BUT_SHRINKING","DECLINING_KEY_CORE"),IF(R190="Established Buyer Lapsed","LAPSED_ESTABLISHED","LAPSED_THIN_HISTORY")),IF(S190,IF(P190&lt;&gt;"Recently Active","DORMANT_LOW_VALUE",IF(AG190,"BROWSING_LOW_OFFERS",IF(AH190,"RISING_TAIL","RISING_TAIL_EARLY"))),IF(AND(AG190,P190="Recently Active",OR(G190="Growing",G190="Stable",G190="H2 Active / No H1 GMV"),I190&gt;=Assumptions!$B$74),"BROWSING_LOW_OFFERS","LONG_TAIL_STANDARD"))))))))))</f>
        <v>LONG_TAIL_STANDARD</v>
      </c>
      <c r="AK190" s="2" t="str">
        <f aca="false">INDEX('NBA Library'!$B$4:$B$21,MATCH(AJ190,'NBA Library'!$A$4:$A$21,0))</f>
        <v>Automated Nurture</v>
      </c>
      <c r="AL190" s="2" t="str">
        <f aca="false">INDEX('NBA Library'!$C$4:$C$21,MATCH(AJ190,'NBA Library'!$A$4:$A$21,0))</f>
        <v>Automated</v>
      </c>
      <c r="AM190" s="2" t="str">
        <f aca="false">IF(AA190,"HOLD — Critical Data Issue",IF(Y190,"Human Sign-Off Required",IF(Z190="Manual Review","Human Review Required",IF(AND(AL190="Automated",OR(AE190,AND(OR(AK190="Discovery-to-Offer Enablement",AK190="Reinforce Successful Behaviour"),OR(AC190,AB190)))),"Human Review Required",IF(AL190="Human","Ready — Human",IF(AL190="Hybrid","Ready — Hybrid","Ready — Automated"))))))</f>
        <v>Ready — Automated</v>
      </c>
      <c r="AN190" s="2" t="str">
        <f aca="false">IF(AA190,"P0",IF(AND(AJ190="BROWSING_LOW_OFFERS",E190="Tail"),"P3",IF(AND(AM190="Human Review Required",INDEX('NBA Library'!$D$4:$D$21,MATCH(AJ190,'NBA Library'!$A$4:$A$21,0))="P4"),"P3",INDEX('NBA Library'!$D$4:$D$21,MATCH(AJ190,'NBA Library'!$A$4:$A$21,0)))))</f>
        <v>P4</v>
      </c>
      <c r="AO190" s="2" t="str">
        <f aca="false">E190&amp;" "&amp;C190&amp;" account ("&amp;B190&amp;"); "&amp;G190&amp;" momentum; "&amp;P190&amp;"; £"&amp;TEXT(H190,"#,##0")&amp;" 6m GMV. "&amp;INDEX('NBA Library'!$G$4:$G$21,MATCH(AJ190,'NBA Library'!$A$4:$A$21,0))&amp;IF(LEFT(D190,1)="1"," Baseline: "&amp;V190&amp;" PDP views, "&amp;W190&amp;" app days, "&amp;X190&amp;" offers, "&amp;TEXT(J190/I190,"0%")&amp;" of orders self-serve.","")&amp;IF(AA190," Execution on HOLD until the Duplicate status is resolved.","")&amp;IF(Y190," Key account: explicit AM/leadership sign-off required before any migration activity.","")&amp;IF(AE190," Implied broker % from order counts would move this account to a different segment; review before automating.","")</f>
        <v>Tail AM-Owned / Self-Serving account (Account Managed); Lapsed momentum; No Meaningful History; £116 6m GMV. Low-value, low-dependency account. Scalable automated engagement.</v>
      </c>
      <c r="AP190" s="2" t="str">
        <f aca="false">INDEX('NBA Library'!$E$4:$E$21,MATCH(AJ190,'NBA Library'!$A$4:$A$21,0))&amp;IF(AND(AJ190="NEW_CUSTOMER",AG190),"; introduce Make-an-Offer on items already browsed","")</f>
        <v>Scalable automated engagement matched to nurture sub-context</v>
      </c>
      <c r="AQ190" s="2" t="str">
        <f aca="false">INDEX('NBA Library'!$F$4:$F$21,MATCH(AJ190,'NBA Library'!$A$4:$A$21,0))</f>
        <v>Any repeat order within 90 days</v>
      </c>
      <c r="AR190" s="2" t="str">
        <f aca="false">IF(AND(F190="Low",OR(G190="Growing",G190="Stable"),P190="Recently Active",U190&lt;&gt;"Mixed",OR(AK190="Discovery-to-Offer Enablement",AK190="Reinforce Successful Behaviour"),AM190="Ready — Automated",OR(E190&lt;&gt;"Tail",S190)),"Range Expansion Test — trial "&amp;IF(U190="Bundle-only","handpick","bundles")&amp;" (experimental; not proven to lift GMV)","")</f>
        <v/>
      </c>
      <c r="AS190" s="2" t="str">
        <f aca="false">IF(AK190&lt;&gt;"Automated Nurture","",IF(AJ190="DORMANT_LOW_VALUE","Dormant",IF(AJ190="RISING_TAIL_EARLY","Rising tail – early pattern",IF(Q190="New Customer","New customer onboarding",IF(Q190="Returned Customer","Returned customer",IF(G190="Lapsed","Dormant",IF(T190="Engaged, not converting","Engaged, not converting",IF(T190="One-off low-touch buyer","One-off purchaser",IF(T190="Light-touch repeat buyer","Light-touch repeat buyer","Standard long tail")))))))))</f>
        <v>Dormant</v>
      </c>
      <c r="AT190" s="2" t="str">
        <f aca="false">IF(AA190,"CRITICAL_DATA_BLOCKER; ","")&amp;IF(Y190,"KEY_SIGNOFF; ","")&amp;IF(Z190="Manual Review","PHASE1_MANUAL_REVIEW; ","")&amp;IF(AND(LEFT(D190,1)="1",AZ190="Lumpy"),"LUMPY_CADENCE; ","")&amp;IF(AB190,"BORDERLINE_MOMENTUM; ","")&amp;IF(AC190,"FEB_SENSITIVE; ","")&amp;IF(AD190,"MATERIAL_BROKER_INCONSISTENCY"&amp;IF(AE190," (segment would change)","")&amp;"; ","")&amp;IF(AND(I190&gt;=3,O190&gt;0),IF(AI190&gt;=Assumptions!$B$75,"H2_SINGLE_MONTH_SPIKE; ",""),"")&amp;IF(AND(M190&gt;0,N190=0),"NO_FEB_GMV (Feb unconfirmed); ","")&amp;IF(AF190,"LOW_CONFIDENCE; ","")</f>
        <v>LOW_CONFIDENCE; </v>
      </c>
      <c r="AU190" s="2" t="str">
        <f aca="false">IF(LEFT(D190,1)="1",V190,"")</f>
        <v/>
      </c>
      <c r="AV190" s="2" t="str">
        <f aca="false">IF(LEFT(D190,1)="1",V190&gt;=Assumptions!$B$58,"")</f>
        <v/>
      </c>
      <c r="AW190" s="2" t="str">
        <f aca="false">IF(LEFT(D190,1)="1",W190,"")</f>
        <v/>
      </c>
      <c r="AX190" s="2" t="str">
        <f aca="false">IF(LEFT(D190,1)="1",X190,"")</f>
        <v/>
      </c>
      <c r="AY190" s="17" t="str">
        <f aca="false">IF(LEFT(D190,1)="1",J190/I190,"")</f>
        <v/>
      </c>
      <c r="AZ190" s="2" t="str">
        <f aca="false">IF(LEFT(D190,1)="1",IF(AND(K190&gt;=Assumptions!$B$83,I190&gt;=Assumptions!$B$84),"Regular","Lumpy"),"")</f>
        <v/>
      </c>
      <c r="BA190" s="2" t="str">
        <f aca="false">IF(LEFT(D190,1)="1",ROUND(6/K190,0),"")</f>
        <v/>
      </c>
      <c r="BB190" s="2" t="str">
        <f aca="false">IF(LEFT(D190,1)="1",IF(AZ190="Regular","Regular buyer: expected ~£"&amp;TEXT(H190/2,"#,##0")&amp;" per 90 days. At Risk if GMV to date &lt; "&amp;TEXT(Assumptions!$B$81,"0%")&amp;" of pro-rated expectation, checked from day "&amp;Assumptions!$B$82&amp;". Human-reviewed.","Irregular buyer ("&amp;I190&amp;" orders across "&amp;K190&amp;" months): no numeric GMV threshold. At Risk if no order within ~"&amp;BA190&amp;" month(s); AM reviews at day "&amp;Assumptions!$B$82&amp;" and "&amp;Assumptions!$B$85&amp;"."),"")</f>
        <v/>
      </c>
      <c r="BC190" s="2"/>
      <c r="BD190" s="2"/>
      <c r="BE190" s="2"/>
      <c r="BF190" s="2"/>
      <c r="BG190" s="2"/>
      <c r="BH190" s="2"/>
      <c r="BI190" s="2"/>
      <c r="BJ190" s="2" t="str">
        <f aca="false">IF(OR(NOT(LEFT(D190,1)="1"),BC190=""),"",IF(AZ190="Regular",AND(BC190&gt;=Assumptions!$B$82,N(BI190)&lt;Assumptions!$B$81*H190/180*BC190),AND(BC190&gt;=BA190*30,N(BG190)=0)))</f>
        <v/>
      </c>
      <c r="BK190" s="2" t="str">
        <f aca="false">IF(NOT(LEFT(D190,1)="1"),"N/A",IF(BC190="","Baseline",IF(BJ190,"At Risk",IF(AND(N(BD190)&gt;=Assumptions!$B$78,N(BE190)&gt;=Assumptions!$B$79,N(BH190)&gt;=1,N(BH190)/MAX(N(BG190),1)&gt;AY190),"Self-Serve Capability Demonstrated",IF(OR(N(BD190)&gt;=Assumptions!$B$76,N(BE190)&gt;=Assumptions!$B$77),"Progressing",IF(BC190&gt;=Assumptions!$B$85,"At Risk","Baseline"))))))</f>
        <v>N/A</v>
      </c>
      <c r="BL190" s="2" t="n">
        <f aca="false">(AND(C190="Broker-Reliant",OR(AK190="Discovery-to-Offer Enablement",AK190="Reinforce Successful Behaviour")))*1+(AND(G190="Declining",E190&lt;&gt;"Tail",AL190="Automated"))*1+(AND(Y190,AM190&lt;&gt;"Human Sign-Off Required"))*1+(AND(AA190,AM190&lt;&gt;"HOLD — Critical Data Issue"))*1+(AND(P190="Recent Inactivity",OR(AK190="Discovery-to-Offer Enablement",AK190="Reinforce Successful Behaviour")))*1+(AND(OR(LEFT(D190,1)="2",LEFT(D190,1)="3",LEFT(D190,1)="8"),AL190="Automated"))*1+((LEFT(D190,1)="1")&lt;&gt;(AK190="Guided Self-Serve Migration"))*1+(AND(AR190&lt;&gt;"",OR(F190&lt;&gt;"Low",U190="Mixed",AND(G190&lt;&gt;"Growing",G190&lt;&gt;"Stable"))))*1+ISNUMBER(SEARCH("chat",AP190))*1+ISNUMBER(SEARCH("video",AP190))*1+(AND(AA190,AL190="Automated",AM190&lt;&gt;"HOLD — Critical Data Issue"))*1</f>
        <v>0</v>
      </c>
    </row>
    <row r="191" customFormat="false" ht="15" hidden="false" customHeight="false" outlineLevel="0" collapsed="false">
      <c r="A191" s="2" t="s">
        <v>942</v>
      </c>
      <c r="B191" s="2" t="str">
        <f aca="false">INDEX(Segmentation!$B$2:$B$301,MATCH($A191,Segmentation!$A$2:$A$301,0))</f>
        <v>Account Managed</v>
      </c>
      <c r="C191" s="2" t="str">
        <f aca="false">INDEX(Segmentation!$H$2:$H$301,MATCH($A191,Segmentation!$A$2:$A$301,0))</f>
        <v>AM-Owned / Self-Serving</v>
      </c>
      <c r="D191" s="2" t="str">
        <f aca="false">INDEX(Segmentation!$T$2:$T$301,MATCH($A191,Segmentation!$A$2:$A$301,0))</f>
        <v>9. Long-Tail Automated Nurture</v>
      </c>
      <c r="E191" s="2" t="str">
        <f aca="false">INDEX(Segmentation!$J$2:$J$301,MATCH($A191,Segmentation!$A$2:$A$301,0))</f>
        <v>Tail</v>
      </c>
      <c r="F191" s="2" t="str">
        <f aca="false">INDEX(Segmentation!$G$2:$G$301,MATCH($A191,Segmentation!$A$2:$A$301,0))</f>
        <v>Low</v>
      </c>
      <c r="G191" s="2" t="str">
        <f aca="false">INDEX(Segmentation!$N$2:$N$301,MATCH($A191,Segmentation!$A$2:$A$301,0))</f>
        <v>Lapsed</v>
      </c>
      <c r="H191" s="9" t="n">
        <f aca="false">INDEX(Segmentation!$I$2:$I$301,MATCH($A191,Segmentation!$A$2:$A$301,0))</f>
        <v>113</v>
      </c>
      <c r="I191" s="2" t="n">
        <f aca="false">INDEX(Segmentation!$O$2:$O$301,MATCH($A191,Segmentation!$A$2:$A$301,0))</f>
        <v>1</v>
      </c>
      <c r="J191" s="2" t="n">
        <f aca="false">INDEX(Segmentation!$Q$2:$Q$301,MATCH($A191,Segmentation!$A$2:$A$301,0))</f>
        <v>1</v>
      </c>
      <c r="K191" s="2" t="n">
        <f aca="false">INDEX(Segmentation!$W$2:$W$301,MATCH($A191,Segmentation!$A$2:$A$301,0))</f>
        <v>1</v>
      </c>
      <c r="L191" s="9" t="n">
        <f aca="false">INDEX('Commercial View'!$L$2:$L$301,MATCH($A191,'Commercial View'!$A$2:$A$301,0))</f>
        <v>0</v>
      </c>
      <c r="M191" s="9" t="n">
        <f aca="false">INDEX('Commercial View'!$M$2:$M$301,MATCH($A191,'Commercial View'!$A$2:$A$301,0))</f>
        <v>0</v>
      </c>
      <c r="N191" s="9" t="n">
        <f aca="false">INDEX('Commercial View'!$N$2:$N$301,MATCH($A191,'Commercial View'!$A$2:$A$301,0))</f>
        <v>0</v>
      </c>
      <c r="O191" s="9" t="n">
        <f aca="false">INDEX(Segmentation!$L$2:$L$301,MATCH($A191,Segmentation!$A$2:$A$301,0))</f>
        <v>0</v>
      </c>
      <c r="P191" s="2" t="str">
        <f aca="false">IF(OR(M191&gt;0,N191&gt;0),"Recently Active",IF(OR(I191&lt;=Assumptions!$B$48,K191&lt;=Assumptions!$B$49),"No Meaningful History","Recent Inactivity"))</f>
        <v>No Meaningful History</v>
      </c>
      <c r="Q191" s="2" t="str">
        <f aca="false">INDEX(Segmentation!$AF$2:$AF$301,MATCH($A191,Segmentation!$A$2:$A$301,0))</f>
        <v>Existing Customer</v>
      </c>
      <c r="R191" s="2" t="str">
        <f aca="false">INDEX(Segmentation!$AL$2:$AL$301,MATCH($A191,Segmentation!$A$2:$A$301,0))</f>
        <v>One-Off / Insufficient History — Verify</v>
      </c>
      <c r="S191" s="10" t="b">
        <f aca="false">INDEX(Segmentation!$AW$2:$AW$301,MATCH($A191,Segmentation!$A$2:$A$301,0))</f>
        <v>0</v>
      </c>
      <c r="T191" s="2" t="str">
        <f aca="false">INDEX('Feature Data'!$AD$2:$AD$301,MATCH($A191,'Feature Data'!$A$2:$A$301,0))</f>
        <v>One-off low-touch buyer</v>
      </c>
      <c r="U191" s="2" t="str">
        <f aca="false">INDEX('Feature Data'!$W$2:$W$301,MATCH($A191,'Feature Data'!$A$2:$A$301,0))</f>
        <v>Bundle-only</v>
      </c>
      <c r="V191" s="2" t="n">
        <f aca="false">INDEX('Feature Data'!$P$2:$P$301,MATCH($A191,'Feature Data'!$A$2:$A$301,0))</f>
        <v>13</v>
      </c>
      <c r="W191" s="2" t="n">
        <f aca="false">INDEX(Segmentation!$R$2:$R$301,MATCH($A191,Segmentation!$A$2:$A$301,0))</f>
        <v>2</v>
      </c>
      <c r="X191" s="2" t="n">
        <f aca="false">INDEX(Segmentation!$S$2:$S$301,MATCH($A191,Segmentation!$A$2:$A$301,0))</f>
        <v>0</v>
      </c>
      <c r="Y191" s="10" t="b">
        <f aca="false">INDEX(Segmentation!$AG$2:$AG$301,MATCH($A191,Segmentation!$A$2:$A$301,0))</f>
        <v>0</v>
      </c>
      <c r="Z191" s="2" t="str">
        <f aca="false">INDEX(Segmentation!$AU$2:$AU$301,MATCH($A191,Segmentation!$A$2:$A$301,0))</f>
        <v>Not Eligible</v>
      </c>
      <c r="AA191" s="10" t="b">
        <f aca="false">INDEX(Segmentation!$Z$2:$Z$301,MATCH($A191,Segmentation!$A$2:$A$301,0))</f>
        <v>0</v>
      </c>
      <c r="AB191" s="10" t="b">
        <f aca="false">INDEX(Segmentation!$AH$2:$AH$301,MATCH($A191,Segmentation!$A$2:$A$301,0))</f>
        <v>0</v>
      </c>
      <c r="AC191" s="10" t="b">
        <f aca="false">INDEX(Segmentation!$AK$2:$AK$301,MATCH($A191,Segmentation!$A$2:$A$301,0))</f>
        <v>0</v>
      </c>
      <c r="AD191" s="10" t="b">
        <f aca="false">INDEX(Segmentation!$AQ$2:$AQ$301,MATCH($A191,Segmentation!$A$2:$A$301,0))</f>
        <v>0</v>
      </c>
      <c r="AE191" s="10" t="b">
        <f aca="false">INDEX(Segmentation!$AT$2:$AT$301,MATCH($A191,Segmentation!$A$2:$A$301,0))</f>
        <v>0</v>
      </c>
      <c r="AF191" s="10" t="b">
        <f aca="false">INDEX(Segmentation!$X$2:$X$301,MATCH($A191,Segmentation!$A$2:$A$301,0))</f>
        <v>1</v>
      </c>
      <c r="AG191" s="10" t="b">
        <f aca="false">AND(F191="Low",V191&gt;=Assumptions!$B$71,X191&lt;Assumptions!$B$72)</f>
        <v>0</v>
      </c>
      <c r="AH191" s="10" t="b">
        <f aca="false">AND(F191="Low",OR(G191="Growing",G191="Stable"),P191="Recently Active",V191&gt;=Assumptions!$B$58,K191&gt;=Assumptions!$B$73)</f>
        <v>0</v>
      </c>
      <c r="AI191" s="17" t="str">
        <f aca="false">IF(O191&gt;0,MAX(L191:N191)/O191,"")</f>
        <v/>
      </c>
      <c r="AJ191" s="2" t="str">
        <f aca="false">IF(LEFT(D191,1)="1",IF(E191="Key","MIGRATION_KEY_SIGNOFF",IF(Z191="Ready","MIGRATION_PHASE1_READY",IF(Z191="Manual Review","MIGRATION_PHASE1_REVIEW","MIGRATION_PRE_ENTRY"))),IF(LEFT(D191,1)="2","DECLINING_KEY_CORE",IF(LEFT(D191,1)="3",IF(R191="Established Buyer Lapsed","LAPSED_ESTABLISHED","LAPSED_THIN_HISTORY"),IF(LEFT(D191,1)="4",IF(Q191="New Customer","NEW_CUSTOMER","RETURNED_CUSTOMER"),IF(LEFT(D191,1)="5",IF(P191="Recently Active","COST_TO_SERVE_ACTIVE","DORMANT_LOW_VALUE"),IF(LEFT(D191,1)="6",IF(P191="Recent Inactivity","RECENT_INACTIVITY",IF(AG191,"BROWSING_LOW_OFFERS","HEALTHY_STRONG_SELF_SERVE")),IF(LEFT(D191,1)="7",IF(P191="Recent Inactivity","RECENT_INACTIVITY",IF(Q191="New Customer","NEW_CUSTOMER","RETURNED_CUSTOMER")),IF(LEFT(D191,1)="8",IF(G191="Declining",IF(T191="Engaged but shrinking (Key/Core)","ENGAGED_BUT_SHRINKING","DECLINING_KEY_CORE"),IF(R191="Established Buyer Lapsed","LAPSED_ESTABLISHED","LAPSED_THIN_HISTORY")),IF(S191,IF(P191&lt;&gt;"Recently Active","DORMANT_LOW_VALUE",IF(AG191,"BROWSING_LOW_OFFERS",IF(AH191,"RISING_TAIL","RISING_TAIL_EARLY"))),IF(AND(AG191,P191="Recently Active",OR(G191="Growing",G191="Stable",G191="H2 Active / No H1 GMV"),I191&gt;=Assumptions!$B$74),"BROWSING_LOW_OFFERS","LONG_TAIL_STANDARD"))))))))))</f>
        <v>LONG_TAIL_STANDARD</v>
      </c>
      <c r="AK191" s="2" t="str">
        <f aca="false">INDEX('NBA Library'!$B$4:$B$21,MATCH(AJ191,'NBA Library'!$A$4:$A$21,0))</f>
        <v>Automated Nurture</v>
      </c>
      <c r="AL191" s="2" t="str">
        <f aca="false">INDEX('NBA Library'!$C$4:$C$21,MATCH(AJ191,'NBA Library'!$A$4:$A$21,0))</f>
        <v>Automated</v>
      </c>
      <c r="AM191" s="2" t="str">
        <f aca="false">IF(AA191,"HOLD — Critical Data Issue",IF(Y191,"Human Sign-Off Required",IF(Z191="Manual Review","Human Review Required",IF(AND(AL191="Automated",OR(AE191,AND(OR(AK191="Discovery-to-Offer Enablement",AK191="Reinforce Successful Behaviour"),OR(AC191,AB191)))),"Human Review Required",IF(AL191="Human","Ready — Human",IF(AL191="Hybrid","Ready — Hybrid","Ready — Automated"))))))</f>
        <v>Ready — Automated</v>
      </c>
      <c r="AN191" s="2" t="str">
        <f aca="false">IF(AA191,"P0",IF(AND(AJ191="BROWSING_LOW_OFFERS",E191="Tail"),"P3",IF(AND(AM191="Human Review Required",INDEX('NBA Library'!$D$4:$D$21,MATCH(AJ191,'NBA Library'!$A$4:$A$21,0))="P4"),"P3",INDEX('NBA Library'!$D$4:$D$21,MATCH(AJ191,'NBA Library'!$A$4:$A$21,0)))))</f>
        <v>P4</v>
      </c>
      <c r="AO191" s="2" t="str">
        <f aca="false">E191&amp;" "&amp;C191&amp;" account ("&amp;B191&amp;"); "&amp;G191&amp;" momentum; "&amp;P191&amp;"; £"&amp;TEXT(H191,"#,##0")&amp;" 6m GMV. "&amp;INDEX('NBA Library'!$G$4:$G$21,MATCH(AJ191,'NBA Library'!$A$4:$A$21,0))&amp;IF(LEFT(D191,1)="1"," Baseline: "&amp;V191&amp;" PDP views, "&amp;W191&amp;" app days, "&amp;X191&amp;" offers, "&amp;TEXT(J191/I191,"0%")&amp;" of orders self-serve.","")&amp;IF(AA191," Execution on HOLD until the Duplicate status is resolved.","")&amp;IF(Y191," Key account: explicit AM/leadership sign-off required before any migration activity.","")&amp;IF(AE191," Implied broker % from order counts would move this account to a different segment; review before automating.","")</f>
        <v>Tail AM-Owned / Self-Serving account (Account Managed); Lapsed momentum; No Meaningful History; £113 6m GMV. Low-value, low-dependency account. Scalable automated engagement.</v>
      </c>
      <c r="AP191" s="2" t="str">
        <f aca="false">INDEX('NBA Library'!$E$4:$E$21,MATCH(AJ191,'NBA Library'!$A$4:$A$21,0))&amp;IF(AND(AJ191="NEW_CUSTOMER",AG191),"; introduce Make-an-Offer on items already browsed","")</f>
        <v>Scalable automated engagement matched to nurture sub-context</v>
      </c>
      <c r="AQ191" s="2" t="str">
        <f aca="false">INDEX('NBA Library'!$F$4:$F$21,MATCH(AJ191,'NBA Library'!$A$4:$A$21,0))</f>
        <v>Any repeat order within 90 days</v>
      </c>
      <c r="AR191" s="2" t="str">
        <f aca="false">IF(AND(F191="Low",OR(G191="Growing",G191="Stable"),P191="Recently Active",U191&lt;&gt;"Mixed",OR(AK191="Discovery-to-Offer Enablement",AK191="Reinforce Successful Behaviour"),AM191="Ready — Automated",OR(E191&lt;&gt;"Tail",S191)),"Range Expansion Test — trial "&amp;IF(U191="Bundle-only","handpick","bundles")&amp;" (experimental; not proven to lift GMV)","")</f>
        <v/>
      </c>
      <c r="AS191" s="2" t="str">
        <f aca="false">IF(AK191&lt;&gt;"Automated Nurture","",IF(AJ191="DORMANT_LOW_VALUE","Dormant",IF(AJ191="RISING_TAIL_EARLY","Rising tail – early pattern",IF(Q191="New Customer","New customer onboarding",IF(Q191="Returned Customer","Returned customer",IF(G191="Lapsed","Dormant",IF(T191="Engaged, not converting","Engaged, not converting",IF(T191="One-off low-touch buyer","One-off purchaser",IF(T191="Light-touch repeat buyer","Light-touch repeat buyer","Standard long tail")))))))))</f>
        <v>Dormant</v>
      </c>
      <c r="AT191" s="2" t="str">
        <f aca="false">IF(AA191,"CRITICAL_DATA_BLOCKER; ","")&amp;IF(Y191,"KEY_SIGNOFF; ","")&amp;IF(Z191="Manual Review","PHASE1_MANUAL_REVIEW; ","")&amp;IF(AND(LEFT(D191,1)="1",AZ191="Lumpy"),"LUMPY_CADENCE; ","")&amp;IF(AB191,"BORDERLINE_MOMENTUM; ","")&amp;IF(AC191,"FEB_SENSITIVE; ","")&amp;IF(AD191,"MATERIAL_BROKER_INCONSISTENCY"&amp;IF(AE191," (segment would change)","")&amp;"; ","")&amp;IF(AND(I191&gt;=3,O191&gt;0),IF(AI191&gt;=Assumptions!$B$75,"H2_SINGLE_MONTH_SPIKE; ",""),"")&amp;IF(AND(M191&gt;0,N191=0),"NO_FEB_GMV (Feb unconfirmed); ","")&amp;IF(AF191,"LOW_CONFIDENCE; ","")</f>
        <v>LOW_CONFIDENCE; </v>
      </c>
      <c r="AU191" s="2" t="str">
        <f aca="false">IF(LEFT(D191,1)="1",V191,"")</f>
        <v/>
      </c>
      <c r="AV191" s="2" t="str">
        <f aca="false">IF(LEFT(D191,1)="1",V191&gt;=Assumptions!$B$58,"")</f>
        <v/>
      </c>
      <c r="AW191" s="2" t="str">
        <f aca="false">IF(LEFT(D191,1)="1",W191,"")</f>
        <v/>
      </c>
      <c r="AX191" s="2" t="str">
        <f aca="false">IF(LEFT(D191,1)="1",X191,"")</f>
        <v/>
      </c>
      <c r="AY191" s="17" t="str">
        <f aca="false">IF(LEFT(D191,1)="1",J191/I191,"")</f>
        <v/>
      </c>
      <c r="AZ191" s="2" t="str">
        <f aca="false">IF(LEFT(D191,1)="1",IF(AND(K191&gt;=Assumptions!$B$83,I191&gt;=Assumptions!$B$84),"Regular","Lumpy"),"")</f>
        <v/>
      </c>
      <c r="BA191" s="2" t="str">
        <f aca="false">IF(LEFT(D191,1)="1",ROUND(6/K191,0),"")</f>
        <v/>
      </c>
      <c r="BB191" s="2" t="str">
        <f aca="false">IF(LEFT(D191,1)="1",IF(AZ191="Regular","Regular buyer: expected ~£"&amp;TEXT(H191/2,"#,##0")&amp;" per 90 days. At Risk if GMV to date &lt; "&amp;TEXT(Assumptions!$B$81,"0%")&amp;" of pro-rated expectation, checked from day "&amp;Assumptions!$B$82&amp;". Human-reviewed.","Irregular buyer ("&amp;I191&amp;" orders across "&amp;K191&amp;" months): no numeric GMV threshold. At Risk if no order within ~"&amp;BA191&amp;" month(s); AM reviews at day "&amp;Assumptions!$B$82&amp;" and "&amp;Assumptions!$B$85&amp;"."),"")</f>
        <v/>
      </c>
      <c r="BC191" s="2"/>
      <c r="BD191" s="2"/>
      <c r="BE191" s="2"/>
      <c r="BF191" s="2"/>
      <c r="BG191" s="2"/>
      <c r="BH191" s="2"/>
      <c r="BI191" s="2"/>
      <c r="BJ191" s="2" t="str">
        <f aca="false">IF(OR(NOT(LEFT(D191,1)="1"),BC191=""),"",IF(AZ191="Regular",AND(BC191&gt;=Assumptions!$B$82,N(BI191)&lt;Assumptions!$B$81*H191/180*BC191),AND(BC191&gt;=BA191*30,N(BG191)=0)))</f>
        <v/>
      </c>
      <c r="BK191" s="2" t="str">
        <f aca="false">IF(NOT(LEFT(D191,1)="1"),"N/A",IF(BC191="","Baseline",IF(BJ191,"At Risk",IF(AND(N(BD191)&gt;=Assumptions!$B$78,N(BE191)&gt;=Assumptions!$B$79,N(BH191)&gt;=1,N(BH191)/MAX(N(BG191),1)&gt;AY191),"Self-Serve Capability Demonstrated",IF(OR(N(BD191)&gt;=Assumptions!$B$76,N(BE191)&gt;=Assumptions!$B$77),"Progressing",IF(BC191&gt;=Assumptions!$B$85,"At Risk","Baseline"))))))</f>
        <v>N/A</v>
      </c>
      <c r="BL191" s="2" t="n">
        <f aca="false">(AND(C191="Broker-Reliant",OR(AK191="Discovery-to-Offer Enablement",AK191="Reinforce Successful Behaviour")))*1+(AND(G191="Declining",E191&lt;&gt;"Tail",AL191="Automated"))*1+(AND(Y191,AM191&lt;&gt;"Human Sign-Off Required"))*1+(AND(AA191,AM191&lt;&gt;"HOLD — Critical Data Issue"))*1+(AND(P191="Recent Inactivity",OR(AK191="Discovery-to-Offer Enablement",AK191="Reinforce Successful Behaviour")))*1+(AND(OR(LEFT(D191,1)="2",LEFT(D191,1)="3",LEFT(D191,1)="8"),AL191="Automated"))*1+((LEFT(D191,1)="1")&lt;&gt;(AK191="Guided Self-Serve Migration"))*1+(AND(AR191&lt;&gt;"",OR(F191&lt;&gt;"Low",U191="Mixed",AND(G191&lt;&gt;"Growing",G191&lt;&gt;"Stable"))))*1+ISNUMBER(SEARCH("chat",AP191))*1+ISNUMBER(SEARCH("video",AP191))*1+(AND(AA191,AL191="Automated",AM191&lt;&gt;"HOLD — Critical Data Issue"))*1</f>
        <v>0</v>
      </c>
    </row>
    <row r="192" customFormat="false" ht="15" hidden="false" customHeight="false" outlineLevel="0" collapsed="false">
      <c r="A192" s="2" t="s">
        <v>946</v>
      </c>
      <c r="B192" s="2" t="str">
        <f aca="false">INDEX(Segmentation!$B$2:$B$301,MATCH($A192,Segmentation!$A$2:$A$301,0))</f>
        <v>Account Managed</v>
      </c>
      <c r="C192" s="2" t="str">
        <f aca="false">INDEX(Segmentation!$H$2:$H$301,MATCH($A192,Segmentation!$A$2:$A$301,0))</f>
        <v>AM-Owned / Self-Serving</v>
      </c>
      <c r="D192" s="2" t="str">
        <f aca="false">INDEX(Segmentation!$T$2:$T$301,MATCH($A192,Segmentation!$A$2:$A$301,0))</f>
        <v>9. Long-Tail Automated Nurture</v>
      </c>
      <c r="E192" s="2" t="str">
        <f aca="false">INDEX(Segmentation!$J$2:$J$301,MATCH($A192,Segmentation!$A$2:$A$301,0))</f>
        <v>Tail</v>
      </c>
      <c r="F192" s="2" t="str">
        <f aca="false">INDEX(Segmentation!$G$2:$G$301,MATCH($A192,Segmentation!$A$2:$A$301,0))</f>
        <v>Low</v>
      </c>
      <c r="G192" s="2" t="str">
        <f aca="false">INDEX(Segmentation!$N$2:$N$301,MATCH($A192,Segmentation!$A$2:$A$301,0))</f>
        <v>Lapsed</v>
      </c>
      <c r="H192" s="9" t="n">
        <f aca="false">INDEX(Segmentation!$I$2:$I$301,MATCH($A192,Segmentation!$A$2:$A$301,0))</f>
        <v>109</v>
      </c>
      <c r="I192" s="2" t="n">
        <f aca="false">INDEX(Segmentation!$O$2:$O$301,MATCH($A192,Segmentation!$A$2:$A$301,0))</f>
        <v>1</v>
      </c>
      <c r="J192" s="2" t="n">
        <f aca="false">INDEX(Segmentation!$Q$2:$Q$301,MATCH($A192,Segmentation!$A$2:$A$301,0))</f>
        <v>1</v>
      </c>
      <c r="K192" s="2" t="n">
        <f aca="false">INDEX(Segmentation!$W$2:$W$301,MATCH($A192,Segmentation!$A$2:$A$301,0))</f>
        <v>1</v>
      </c>
      <c r="L192" s="9" t="n">
        <f aca="false">INDEX('Commercial View'!$L$2:$L$301,MATCH($A192,'Commercial View'!$A$2:$A$301,0))</f>
        <v>0</v>
      </c>
      <c r="M192" s="9" t="n">
        <f aca="false">INDEX('Commercial View'!$M$2:$M$301,MATCH($A192,'Commercial View'!$A$2:$A$301,0))</f>
        <v>0</v>
      </c>
      <c r="N192" s="9" t="n">
        <f aca="false">INDEX('Commercial View'!$N$2:$N$301,MATCH($A192,'Commercial View'!$A$2:$A$301,0))</f>
        <v>0</v>
      </c>
      <c r="O192" s="9" t="n">
        <f aca="false">INDEX(Segmentation!$L$2:$L$301,MATCH($A192,Segmentation!$A$2:$A$301,0))</f>
        <v>0</v>
      </c>
      <c r="P192" s="2" t="str">
        <f aca="false">IF(OR(M192&gt;0,N192&gt;0),"Recently Active",IF(OR(I192&lt;=Assumptions!$B$48,K192&lt;=Assumptions!$B$49),"No Meaningful History","Recent Inactivity"))</f>
        <v>No Meaningful History</v>
      </c>
      <c r="Q192" s="2" t="str">
        <f aca="false">INDEX(Segmentation!$AF$2:$AF$301,MATCH($A192,Segmentation!$A$2:$A$301,0))</f>
        <v>Existing Customer</v>
      </c>
      <c r="R192" s="2" t="str">
        <f aca="false">INDEX(Segmentation!$AL$2:$AL$301,MATCH($A192,Segmentation!$A$2:$A$301,0))</f>
        <v>One-Off / Insufficient History — Verify</v>
      </c>
      <c r="S192" s="10" t="b">
        <f aca="false">INDEX(Segmentation!$AW$2:$AW$301,MATCH($A192,Segmentation!$A$2:$A$301,0))</f>
        <v>0</v>
      </c>
      <c r="T192" s="2" t="str">
        <f aca="false">INDEX('Feature Data'!$AD$2:$AD$301,MATCH($A192,'Feature Data'!$A$2:$A$301,0))</f>
        <v>Engaged, not converting</v>
      </c>
      <c r="U192" s="2" t="str">
        <f aca="false">INDEX('Feature Data'!$W$2:$W$301,MATCH($A192,'Feature Data'!$A$2:$A$301,0))</f>
        <v>Bundle-only</v>
      </c>
      <c r="V192" s="2" t="n">
        <f aca="false">INDEX('Feature Data'!$P$2:$P$301,MATCH($A192,'Feature Data'!$A$2:$A$301,0))</f>
        <v>235</v>
      </c>
      <c r="W192" s="2" t="n">
        <f aca="false">INDEX(Segmentation!$R$2:$R$301,MATCH($A192,Segmentation!$A$2:$A$301,0))</f>
        <v>25</v>
      </c>
      <c r="X192" s="2" t="n">
        <f aca="false">INDEX(Segmentation!$S$2:$S$301,MATCH($A192,Segmentation!$A$2:$A$301,0))</f>
        <v>0</v>
      </c>
      <c r="Y192" s="10" t="b">
        <f aca="false">INDEX(Segmentation!$AG$2:$AG$301,MATCH($A192,Segmentation!$A$2:$A$301,0))</f>
        <v>0</v>
      </c>
      <c r="Z192" s="2" t="str">
        <f aca="false">INDEX(Segmentation!$AU$2:$AU$301,MATCH($A192,Segmentation!$A$2:$A$301,0))</f>
        <v>Not Eligible</v>
      </c>
      <c r="AA192" s="10" t="b">
        <f aca="false">INDEX(Segmentation!$Z$2:$Z$301,MATCH($A192,Segmentation!$A$2:$A$301,0))</f>
        <v>0</v>
      </c>
      <c r="AB192" s="10" t="b">
        <f aca="false">INDEX(Segmentation!$AH$2:$AH$301,MATCH($A192,Segmentation!$A$2:$A$301,0))</f>
        <v>0</v>
      </c>
      <c r="AC192" s="10" t="b">
        <f aca="false">INDEX(Segmentation!$AK$2:$AK$301,MATCH($A192,Segmentation!$A$2:$A$301,0))</f>
        <v>0</v>
      </c>
      <c r="AD192" s="10" t="b">
        <f aca="false">INDEX(Segmentation!$AQ$2:$AQ$301,MATCH($A192,Segmentation!$A$2:$A$301,0))</f>
        <v>0</v>
      </c>
      <c r="AE192" s="10" t="b">
        <f aca="false">INDEX(Segmentation!$AT$2:$AT$301,MATCH($A192,Segmentation!$A$2:$A$301,0))</f>
        <v>0</v>
      </c>
      <c r="AF192" s="10" t="b">
        <f aca="false">INDEX(Segmentation!$X$2:$X$301,MATCH($A192,Segmentation!$A$2:$A$301,0))</f>
        <v>1</v>
      </c>
      <c r="AG192" s="10" t="b">
        <f aca="false">AND(F192="Low",V192&gt;=Assumptions!$B$71,X192&lt;Assumptions!$B$72)</f>
        <v>1</v>
      </c>
      <c r="AH192" s="10" t="b">
        <f aca="false">AND(F192="Low",OR(G192="Growing",G192="Stable"),P192="Recently Active",V192&gt;=Assumptions!$B$58,K192&gt;=Assumptions!$B$73)</f>
        <v>0</v>
      </c>
      <c r="AI192" s="17" t="str">
        <f aca="false">IF(O192&gt;0,MAX(L192:N192)/O192,"")</f>
        <v/>
      </c>
      <c r="AJ192" s="2" t="str">
        <f aca="false">IF(LEFT(D192,1)="1",IF(E192="Key","MIGRATION_KEY_SIGNOFF",IF(Z192="Ready","MIGRATION_PHASE1_READY",IF(Z192="Manual Review","MIGRATION_PHASE1_REVIEW","MIGRATION_PRE_ENTRY"))),IF(LEFT(D192,1)="2","DECLINING_KEY_CORE",IF(LEFT(D192,1)="3",IF(R192="Established Buyer Lapsed","LAPSED_ESTABLISHED","LAPSED_THIN_HISTORY"),IF(LEFT(D192,1)="4",IF(Q192="New Customer","NEW_CUSTOMER","RETURNED_CUSTOMER"),IF(LEFT(D192,1)="5",IF(P192="Recently Active","COST_TO_SERVE_ACTIVE","DORMANT_LOW_VALUE"),IF(LEFT(D192,1)="6",IF(P192="Recent Inactivity","RECENT_INACTIVITY",IF(AG192,"BROWSING_LOW_OFFERS","HEALTHY_STRONG_SELF_SERVE")),IF(LEFT(D192,1)="7",IF(P192="Recent Inactivity","RECENT_INACTIVITY",IF(Q192="New Customer","NEW_CUSTOMER","RETURNED_CUSTOMER")),IF(LEFT(D192,1)="8",IF(G192="Declining",IF(T192="Engaged but shrinking (Key/Core)","ENGAGED_BUT_SHRINKING","DECLINING_KEY_CORE"),IF(R192="Established Buyer Lapsed","LAPSED_ESTABLISHED","LAPSED_THIN_HISTORY")),IF(S192,IF(P192&lt;&gt;"Recently Active","DORMANT_LOW_VALUE",IF(AG192,"BROWSING_LOW_OFFERS",IF(AH192,"RISING_TAIL","RISING_TAIL_EARLY"))),IF(AND(AG192,P192="Recently Active",OR(G192="Growing",G192="Stable",G192="H2 Active / No H1 GMV"),I192&gt;=Assumptions!$B$74),"BROWSING_LOW_OFFERS","LONG_TAIL_STANDARD"))))))))))</f>
        <v>LONG_TAIL_STANDARD</v>
      </c>
      <c r="AK192" s="2" t="str">
        <f aca="false">INDEX('NBA Library'!$B$4:$B$21,MATCH(AJ192,'NBA Library'!$A$4:$A$21,0))</f>
        <v>Automated Nurture</v>
      </c>
      <c r="AL192" s="2" t="str">
        <f aca="false">INDEX('NBA Library'!$C$4:$C$21,MATCH(AJ192,'NBA Library'!$A$4:$A$21,0))</f>
        <v>Automated</v>
      </c>
      <c r="AM192" s="2" t="str">
        <f aca="false">IF(AA192,"HOLD — Critical Data Issue",IF(Y192,"Human Sign-Off Required",IF(Z192="Manual Review","Human Review Required",IF(AND(AL192="Automated",OR(AE192,AND(OR(AK192="Discovery-to-Offer Enablement",AK192="Reinforce Successful Behaviour"),OR(AC192,AB192)))),"Human Review Required",IF(AL192="Human","Ready — Human",IF(AL192="Hybrid","Ready — Hybrid","Ready — Automated"))))))</f>
        <v>Ready — Automated</v>
      </c>
      <c r="AN192" s="2" t="str">
        <f aca="false">IF(AA192,"P0",IF(AND(AJ192="BROWSING_LOW_OFFERS",E192="Tail"),"P3",IF(AND(AM192="Human Review Required",INDEX('NBA Library'!$D$4:$D$21,MATCH(AJ192,'NBA Library'!$A$4:$A$21,0))="P4"),"P3",INDEX('NBA Library'!$D$4:$D$21,MATCH(AJ192,'NBA Library'!$A$4:$A$21,0)))))</f>
        <v>P4</v>
      </c>
      <c r="AO192" s="2" t="str">
        <f aca="false">E192&amp;" "&amp;C192&amp;" account ("&amp;B192&amp;"); "&amp;G192&amp;" momentum; "&amp;P192&amp;"; £"&amp;TEXT(H192,"#,##0")&amp;" 6m GMV. "&amp;INDEX('NBA Library'!$G$4:$G$21,MATCH(AJ192,'NBA Library'!$A$4:$A$21,0))&amp;IF(LEFT(D192,1)="1"," Baseline: "&amp;V192&amp;" PDP views, "&amp;W192&amp;" app days, "&amp;X192&amp;" offers, "&amp;TEXT(J192/I192,"0%")&amp;" of orders self-serve.","")&amp;IF(AA192," Execution on HOLD until the Duplicate status is resolved.","")&amp;IF(Y192," Key account: explicit AM/leadership sign-off required before any migration activity.","")&amp;IF(AE192," Implied broker % from order counts would move this account to a different segment; review before automating.","")</f>
        <v>Tail AM-Owned / Self-Serving account (Account Managed); Lapsed momentum; No Meaningful History; £109 6m GMV. Low-value, low-dependency account. Scalable automated engagement.</v>
      </c>
      <c r="AP192" s="2" t="str">
        <f aca="false">INDEX('NBA Library'!$E$4:$E$21,MATCH(AJ192,'NBA Library'!$A$4:$A$21,0))&amp;IF(AND(AJ192="NEW_CUSTOMER",AG192),"; introduce Make-an-Offer on items already browsed","")</f>
        <v>Scalable automated engagement matched to nurture sub-context</v>
      </c>
      <c r="AQ192" s="2" t="str">
        <f aca="false">INDEX('NBA Library'!$F$4:$F$21,MATCH(AJ192,'NBA Library'!$A$4:$A$21,0))</f>
        <v>Any repeat order within 90 days</v>
      </c>
      <c r="AR192" s="2" t="str">
        <f aca="false">IF(AND(F192="Low",OR(G192="Growing",G192="Stable"),P192="Recently Active",U192&lt;&gt;"Mixed",OR(AK192="Discovery-to-Offer Enablement",AK192="Reinforce Successful Behaviour"),AM192="Ready — Automated",OR(E192&lt;&gt;"Tail",S192)),"Range Expansion Test — trial "&amp;IF(U192="Bundle-only","handpick","bundles")&amp;" (experimental; not proven to lift GMV)","")</f>
        <v/>
      </c>
      <c r="AS192" s="2" t="str">
        <f aca="false">IF(AK192&lt;&gt;"Automated Nurture","",IF(AJ192="DORMANT_LOW_VALUE","Dormant",IF(AJ192="RISING_TAIL_EARLY","Rising tail – early pattern",IF(Q192="New Customer","New customer onboarding",IF(Q192="Returned Customer","Returned customer",IF(G192="Lapsed","Dormant",IF(T192="Engaged, not converting","Engaged, not converting",IF(T192="One-off low-touch buyer","One-off purchaser",IF(T192="Light-touch repeat buyer","Light-touch repeat buyer","Standard long tail")))))))))</f>
        <v>Dormant</v>
      </c>
      <c r="AT192" s="2" t="str">
        <f aca="false">IF(AA192,"CRITICAL_DATA_BLOCKER; ","")&amp;IF(Y192,"KEY_SIGNOFF; ","")&amp;IF(Z192="Manual Review","PHASE1_MANUAL_REVIEW; ","")&amp;IF(AND(LEFT(D192,1)="1",AZ192="Lumpy"),"LUMPY_CADENCE; ","")&amp;IF(AB192,"BORDERLINE_MOMENTUM; ","")&amp;IF(AC192,"FEB_SENSITIVE; ","")&amp;IF(AD192,"MATERIAL_BROKER_INCONSISTENCY"&amp;IF(AE192," (segment would change)","")&amp;"; ","")&amp;IF(AND(I192&gt;=3,O192&gt;0),IF(AI192&gt;=Assumptions!$B$75,"H2_SINGLE_MONTH_SPIKE; ",""),"")&amp;IF(AND(M192&gt;0,N192=0),"NO_FEB_GMV (Feb unconfirmed); ","")&amp;IF(AF192,"LOW_CONFIDENCE; ","")</f>
        <v>LOW_CONFIDENCE; </v>
      </c>
      <c r="AU192" s="2" t="str">
        <f aca="false">IF(LEFT(D192,1)="1",V192,"")</f>
        <v/>
      </c>
      <c r="AV192" s="2" t="str">
        <f aca="false">IF(LEFT(D192,1)="1",V192&gt;=Assumptions!$B$58,"")</f>
        <v/>
      </c>
      <c r="AW192" s="2" t="str">
        <f aca="false">IF(LEFT(D192,1)="1",W192,"")</f>
        <v/>
      </c>
      <c r="AX192" s="2" t="str">
        <f aca="false">IF(LEFT(D192,1)="1",X192,"")</f>
        <v/>
      </c>
      <c r="AY192" s="17" t="str">
        <f aca="false">IF(LEFT(D192,1)="1",J192/I192,"")</f>
        <v/>
      </c>
      <c r="AZ192" s="2" t="str">
        <f aca="false">IF(LEFT(D192,1)="1",IF(AND(K192&gt;=Assumptions!$B$83,I192&gt;=Assumptions!$B$84),"Regular","Lumpy"),"")</f>
        <v/>
      </c>
      <c r="BA192" s="2" t="str">
        <f aca="false">IF(LEFT(D192,1)="1",ROUND(6/K192,0),"")</f>
        <v/>
      </c>
      <c r="BB192" s="2" t="str">
        <f aca="false">IF(LEFT(D192,1)="1",IF(AZ192="Regular","Regular buyer: expected ~£"&amp;TEXT(H192/2,"#,##0")&amp;" per 90 days. At Risk if GMV to date &lt; "&amp;TEXT(Assumptions!$B$81,"0%")&amp;" of pro-rated expectation, checked from day "&amp;Assumptions!$B$82&amp;". Human-reviewed.","Irregular buyer ("&amp;I192&amp;" orders across "&amp;K192&amp;" months): no numeric GMV threshold. At Risk if no order within ~"&amp;BA192&amp;" month(s); AM reviews at day "&amp;Assumptions!$B$82&amp;" and "&amp;Assumptions!$B$85&amp;"."),"")</f>
        <v/>
      </c>
      <c r="BC192" s="2"/>
      <c r="BD192" s="2"/>
      <c r="BE192" s="2"/>
      <c r="BF192" s="2"/>
      <c r="BG192" s="2"/>
      <c r="BH192" s="2"/>
      <c r="BI192" s="2"/>
      <c r="BJ192" s="2" t="str">
        <f aca="false">IF(OR(NOT(LEFT(D192,1)="1"),BC192=""),"",IF(AZ192="Regular",AND(BC192&gt;=Assumptions!$B$82,N(BI192)&lt;Assumptions!$B$81*H192/180*BC192),AND(BC192&gt;=BA192*30,N(BG192)=0)))</f>
        <v/>
      </c>
      <c r="BK192" s="2" t="str">
        <f aca="false">IF(NOT(LEFT(D192,1)="1"),"N/A",IF(BC192="","Baseline",IF(BJ192,"At Risk",IF(AND(N(BD192)&gt;=Assumptions!$B$78,N(BE192)&gt;=Assumptions!$B$79,N(BH192)&gt;=1,N(BH192)/MAX(N(BG192),1)&gt;AY192),"Self-Serve Capability Demonstrated",IF(OR(N(BD192)&gt;=Assumptions!$B$76,N(BE192)&gt;=Assumptions!$B$77),"Progressing",IF(BC192&gt;=Assumptions!$B$85,"At Risk","Baseline"))))))</f>
        <v>N/A</v>
      </c>
      <c r="BL192" s="2" t="n">
        <f aca="false">(AND(C192="Broker-Reliant",OR(AK192="Discovery-to-Offer Enablement",AK192="Reinforce Successful Behaviour")))*1+(AND(G192="Declining",E192&lt;&gt;"Tail",AL192="Automated"))*1+(AND(Y192,AM192&lt;&gt;"Human Sign-Off Required"))*1+(AND(AA192,AM192&lt;&gt;"HOLD — Critical Data Issue"))*1+(AND(P192="Recent Inactivity",OR(AK192="Discovery-to-Offer Enablement",AK192="Reinforce Successful Behaviour")))*1+(AND(OR(LEFT(D192,1)="2",LEFT(D192,1)="3",LEFT(D192,1)="8"),AL192="Automated"))*1+((LEFT(D192,1)="1")&lt;&gt;(AK192="Guided Self-Serve Migration"))*1+(AND(AR192&lt;&gt;"",OR(F192&lt;&gt;"Low",U192="Mixed",AND(G192&lt;&gt;"Growing",G192&lt;&gt;"Stable"))))*1+ISNUMBER(SEARCH("chat",AP192))*1+ISNUMBER(SEARCH("video",AP192))*1+(AND(AA192,AL192="Automated",AM192&lt;&gt;"HOLD — Critical Data Issue"))*1</f>
        <v>0</v>
      </c>
    </row>
    <row r="193" customFormat="false" ht="15" hidden="false" customHeight="false" outlineLevel="0" collapsed="false">
      <c r="A193" s="2" t="s">
        <v>948</v>
      </c>
      <c r="B193" s="2" t="str">
        <f aca="false">INDEX(Segmentation!$B$2:$B$301,MATCH($A193,Segmentation!$A$2:$A$301,0))</f>
        <v>Account Managed</v>
      </c>
      <c r="C193" s="2" t="str">
        <f aca="false">INDEX(Segmentation!$H$2:$H$301,MATCH($A193,Segmentation!$A$2:$A$301,0))</f>
        <v>AM-Owned / Self-Serving</v>
      </c>
      <c r="D193" s="2" t="str">
        <f aca="false">INDEX(Segmentation!$T$2:$T$301,MATCH($A193,Segmentation!$A$2:$A$301,0))</f>
        <v>9. Long-Tail Automated Nurture</v>
      </c>
      <c r="E193" s="2" t="str">
        <f aca="false">INDEX(Segmentation!$J$2:$J$301,MATCH($A193,Segmentation!$A$2:$A$301,0))</f>
        <v>Tail</v>
      </c>
      <c r="F193" s="2" t="str">
        <f aca="false">INDEX(Segmentation!$G$2:$G$301,MATCH($A193,Segmentation!$A$2:$A$301,0))</f>
        <v>Low</v>
      </c>
      <c r="G193" s="2" t="str">
        <f aca="false">INDEX(Segmentation!$N$2:$N$301,MATCH($A193,Segmentation!$A$2:$A$301,0))</f>
        <v>H2 Active / No H1 GMV</v>
      </c>
      <c r="H193" s="9" t="n">
        <f aca="false">INDEX(Segmentation!$I$2:$I$301,MATCH($A193,Segmentation!$A$2:$A$301,0))</f>
        <v>107</v>
      </c>
      <c r="I193" s="2" t="n">
        <f aca="false">INDEX(Segmentation!$O$2:$O$301,MATCH($A193,Segmentation!$A$2:$A$301,0))</f>
        <v>1</v>
      </c>
      <c r="J193" s="2" t="n">
        <f aca="false">INDEX(Segmentation!$Q$2:$Q$301,MATCH($A193,Segmentation!$A$2:$A$301,0))</f>
        <v>1</v>
      </c>
      <c r="K193" s="2" t="n">
        <f aca="false">INDEX(Segmentation!$W$2:$W$301,MATCH($A193,Segmentation!$A$2:$A$301,0))</f>
        <v>1</v>
      </c>
      <c r="L193" s="9" t="n">
        <f aca="false">INDEX('Commercial View'!$L$2:$L$301,MATCH($A193,'Commercial View'!$A$2:$A$301,0))</f>
        <v>0</v>
      </c>
      <c r="M193" s="9" t="n">
        <f aca="false">INDEX('Commercial View'!$M$2:$M$301,MATCH($A193,'Commercial View'!$A$2:$A$301,0))</f>
        <v>107</v>
      </c>
      <c r="N193" s="9" t="n">
        <f aca="false">INDEX('Commercial View'!$N$2:$N$301,MATCH($A193,'Commercial View'!$A$2:$A$301,0))</f>
        <v>0</v>
      </c>
      <c r="O193" s="9" t="n">
        <f aca="false">INDEX(Segmentation!$L$2:$L$301,MATCH($A193,Segmentation!$A$2:$A$301,0))</f>
        <v>107</v>
      </c>
      <c r="P193" s="2" t="str">
        <f aca="false">IF(OR(M193&gt;0,N193&gt;0),"Recently Active",IF(OR(I193&lt;=Assumptions!$B$48,K193&lt;=Assumptions!$B$49),"No Meaningful History","Recent Inactivity"))</f>
        <v>Recently Active</v>
      </c>
      <c r="Q193" s="2" t="str">
        <f aca="false">INDEX(Segmentation!$AF$2:$AF$301,MATCH($A193,Segmentation!$A$2:$A$301,0))</f>
        <v>Returned Customer</v>
      </c>
      <c r="R193" s="2" t="str">
        <f aca="false">INDEX(Segmentation!$AL$2:$AL$301,MATCH($A193,Segmentation!$A$2:$A$301,0))</f>
        <v>N/A</v>
      </c>
      <c r="S193" s="10" t="b">
        <f aca="false">INDEX(Segmentation!$AW$2:$AW$301,MATCH($A193,Segmentation!$A$2:$A$301,0))</f>
        <v>0</v>
      </c>
      <c r="T193" s="2" t="str">
        <f aca="false">INDEX('Feature Data'!$AD$2:$AD$301,MATCH($A193,'Feature Data'!$A$2:$A$301,0))</f>
        <v>One-off low-touch buyer</v>
      </c>
      <c r="U193" s="2" t="str">
        <f aca="false">INDEX('Feature Data'!$W$2:$W$301,MATCH($A193,'Feature Data'!$A$2:$A$301,0))</f>
        <v>Bundle-only</v>
      </c>
      <c r="V193" s="2" t="n">
        <f aca="false">INDEX('Feature Data'!$P$2:$P$301,MATCH($A193,'Feature Data'!$A$2:$A$301,0))</f>
        <v>6</v>
      </c>
      <c r="W193" s="2" t="n">
        <f aca="false">INDEX(Segmentation!$R$2:$R$301,MATCH($A193,Segmentation!$A$2:$A$301,0))</f>
        <v>1</v>
      </c>
      <c r="X193" s="2" t="n">
        <f aca="false">INDEX(Segmentation!$S$2:$S$301,MATCH($A193,Segmentation!$A$2:$A$301,0))</f>
        <v>1</v>
      </c>
      <c r="Y193" s="10" t="b">
        <f aca="false">INDEX(Segmentation!$AG$2:$AG$301,MATCH($A193,Segmentation!$A$2:$A$301,0))</f>
        <v>0</v>
      </c>
      <c r="Z193" s="2" t="str">
        <f aca="false">INDEX(Segmentation!$AU$2:$AU$301,MATCH($A193,Segmentation!$A$2:$A$301,0))</f>
        <v>Not Eligible</v>
      </c>
      <c r="AA193" s="10" t="b">
        <f aca="false">INDEX(Segmentation!$Z$2:$Z$301,MATCH($A193,Segmentation!$A$2:$A$301,0))</f>
        <v>0</v>
      </c>
      <c r="AB193" s="10" t="b">
        <f aca="false">INDEX(Segmentation!$AH$2:$AH$301,MATCH($A193,Segmentation!$A$2:$A$301,0))</f>
        <v>0</v>
      </c>
      <c r="AC193" s="10" t="b">
        <f aca="false">INDEX(Segmentation!$AK$2:$AK$301,MATCH($A193,Segmentation!$A$2:$A$301,0))</f>
        <v>0</v>
      </c>
      <c r="AD193" s="10" t="b">
        <f aca="false">INDEX(Segmentation!$AQ$2:$AQ$301,MATCH($A193,Segmentation!$A$2:$A$301,0))</f>
        <v>0</v>
      </c>
      <c r="AE193" s="10" t="b">
        <f aca="false">INDEX(Segmentation!$AT$2:$AT$301,MATCH($A193,Segmentation!$A$2:$A$301,0))</f>
        <v>0</v>
      </c>
      <c r="AF193" s="10" t="b">
        <f aca="false">INDEX(Segmentation!$X$2:$X$301,MATCH($A193,Segmentation!$A$2:$A$301,0))</f>
        <v>1</v>
      </c>
      <c r="AG193" s="10" t="b">
        <f aca="false">AND(F193="Low",V193&gt;=Assumptions!$B$71,X193&lt;Assumptions!$B$72)</f>
        <v>0</v>
      </c>
      <c r="AH193" s="10" t="b">
        <f aca="false">AND(F193="Low",OR(G193="Growing",G193="Stable"),P193="Recently Active",V193&gt;=Assumptions!$B$58,K193&gt;=Assumptions!$B$73)</f>
        <v>0</v>
      </c>
      <c r="AI193" s="17" t="n">
        <f aca="false">IF(O193&gt;0,MAX(L193:N193)/O193,"")</f>
        <v>1</v>
      </c>
      <c r="AJ193" s="2" t="str">
        <f aca="false">IF(LEFT(D193,1)="1",IF(E193="Key","MIGRATION_KEY_SIGNOFF",IF(Z193="Ready","MIGRATION_PHASE1_READY",IF(Z193="Manual Review","MIGRATION_PHASE1_REVIEW","MIGRATION_PRE_ENTRY"))),IF(LEFT(D193,1)="2","DECLINING_KEY_CORE",IF(LEFT(D193,1)="3",IF(R193="Established Buyer Lapsed","LAPSED_ESTABLISHED","LAPSED_THIN_HISTORY"),IF(LEFT(D193,1)="4",IF(Q193="New Customer","NEW_CUSTOMER","RETURNED_CUSTOMER"),IF(LEFT(D193,1)="5",IF(P193="Recently Active","COST_TO_SERVE_ACTIVE","DORMANT_LOW_VALUE"),IF(LEFT(D193,1)="6",IF(P193="Recent Inactivity","RECENT_INACTIVITY",IF(AG193,"BROWSING_LOW_OFFERS","HEALTHY_STRONG_SELF_SERVE")),IF(LEFT(D193,1)="7",IF(P193="Recent Inactivity","RECENT_INACTIVITY",IF(Q193="New Customer","NEW_CUSTOMER","RETURNED_CUSTOMER")),IF(LEFT(D193,1)="8",IF(G193="Declining",IF(T193="Engaged but shrinking (Key/Core)","ENGAGED_BUT_SHRINKING","DECLINING_KEY_CORE"),IF(R193="Established Buyer Lapsed","LAPSED_ESTABLISHED","LAPSED_THIN_HISTORY")),IF(S193,IF(P193&lt;&gt;"Recently Active","DORMANT_LOW_VALUE",IF(AG193,"BROWSING_LOW_OFFERS",IF(AH193,"RISING_TAIL","RISING_TAIL_EARLY"))),IF(AND(AG193,P193="Recently Active",OR(G193="Growing",G193="Stable",G193="H2 Active / No H1 GMV"),I193&gt;=Assumptions!$B$74),"BROWSING_LOW_OFFERS","LONG_TAIL_STANDARD"))))))))))</f>
        <v>LONG_TAIL_STANDARD</v>
      </c>
      <c r="AK193" s="2" t="str">
        <f aca="false">INDEX('NBA Library'!$B$4:$B$21,MATCH(AJ193,'NBA Library'!$A$4:$A$21,0))</f>
        <v>Automated Nurture</v>
      </c>
      <c r="AL193" s="2" t="str">
        <f aca="false">INDEX('NBA Library'!$C$4:$C$21,MATCH(AJ193,'NBA Library'!$A$4:$A$21,0))</f>
        <v>Automated</v>
      </c>
      <c r="AM193" s="2" t="str">
        <f aca="false">IF(AA193,"HOLD — Critical Data Issue",IF(Y193,"Human Sign-Off Required",IF(Z193="Manual Review","Human Review Required",IF(AND(AL193="Automated",OR(AE193,AND(OR(AK193="Discovery-to-Offer Enablement",AK193="Reinforce Successful Behaviour"),OR(AC193,AB193)))),"Human Review Required",IF(AL193="Human","Ready — Human",IF(AL193="Hybrid","Ready — Hybrid","Ready — Automated"))))))</f>
        <v>Ready — Automated</v>
      </c>
      <c r="AN193" s="2" t="str">
        <f aca="false">IF(AA193,"P0",IF(AND(AJ193="BROWSING_LOW_OFFERS",E193="Tail"),"P3",IF(AND(AM193="Human Review Required",INDEX('NBA Library'!$D$4:$D$21,MATCH(AJ193,'NBA Library'!$A$4:$A$21,0))="P4"),"P3",INDEX('NBA Library'!$D$4:$D$21,MATCH(AJ193,'NBA Library'!$A$4:$A$21,0)))))</f>
        <v>P4</v>
      </c>
      <c r="AO193" s="2" t="str">
        <f aca="false">E193&amp;" "&amp;C193&amp;" account ("&amp;B193&amp;"); "&amp;G193&amp;" momentum; "&amp;P193&amp;"; £"&amp;TEXT(H193,"#,##0")&amp;" 6m GMV. "&amp;INDEX('NBA Library'!$G$4:$G$21,MATCH(AJ193,'NBA Library'!$A$4:$A$21,0))&amp;IF(LEFT(D193,1)="1"," Baseline: "&amp;V193&amp;" PDP views, "&amp;W193&amp;" app days, "&amp;X193&amp;" offers, "&amp;TEXT(J193/I193,"0%")&amp;" of orders self-serve.","")&amp;IF(AA193," Execution on HOLD until the Duplicate status is resolved.","")&amp;IF(Y193," Key account: explicit AM/leadership sign-off required before any migration activity.","")&amp;IF(AE193," Implied broker % from order counts would move this account to a different segment; review before automating.","")</f>
        <v>Tail AM-Owned / Self-Serving account (Account Managed); H2 Active / No H1 GMV momentum; Recently Active; £107 6m GMV. Low-value, low-dependency account. Scalable automated engagement.</v>
      </c>
      <c r="AP193" s="2" t="str">
        <f aca="false">INDEX('NBA Library'!$E$4:$E$21,MATCH(AJ193,'NBA Library'!$A$4:$A$21,0))&amp;IF(AND(AJ193="NEW_CUSTOMER",AG193),"; introduce Make-an-Offer on items already browsed","")</f>
        <v>Scalable automated engagement matched to nurture sub-context</v>
      </c>
      <c r="AQ193" s="2" t="str">
        <f aca="false">INDEX('NBA Library'!$F$4:$F$21,MATCH(AJ193,'NBA Library'!$A$4:$A$21,0))</f>
        <v>Any repeat order within 90 days</v>
      </c>
      <c r="AR193" s="2" t="str">
        <f aca="false">IF(AND(F193="Low",OR(G193="Growing",G193="Stable"),P193="Recently Active",U193&lt;&gt;"Mixed",OR(AK193="Discovery-to-Offer Enablement",AK193="Reinforce Successful Behaviour"),AM193="Ready — Automated",OR(E193&lt;&gt;"Tail",S193)),"Range Expansion Test — trial "&amp;IF(U193="Bundle-only","handpick","bundles")&amp;" (experimental; not proven to lift GMV)","")</f>
        <v/>
      </c>
      <c r="AS193" s="2" t="str">
        <f aca="false">IF(AK193&lt;&gt;"Automated Nurture","",IF(AJ193="DORMANT_LOW_VALUE","Dormant",IF(AJ193="RISING_TAIL_EARLY","Rising tail – early pattern",IF(Q193="New Customer","New customer onboarding",IF(Q193="Returned Customer","Returned customer",IF(G193="Lapsed","Dormant",IF(T193="Engaged, not converting","Engaged, not converting",IF(T193="One-off low-touch buyer","One-off purchaser",IF(T193="Light-touch repeat buyer","Light-touch repeat buyer","Standard long tail")))))))))</f>
        <v>Returned customer</v>
      </c>
      <c r="AT193" s="2" t="str">
        <f aca="false">IF(AA193,"CRITICAL_DATA_BLOCKER; ","")&amp;IF(Y193,"KEY_SIGNOFF; ","")&amp;IF(Z193="Manual Review","PHASE1_MANUAL_REVIEW; ","")&amp;IF(AND(LEFT(D193,1)="1",AZ193="Lumpy"),"LUMPY_CADENCE; ","")&amp;IF(AB193,"BORDERLINE_MOMENTUM; ","")&amp;IF(AC193,"FEB_SENSITIVE; ","")&amp;IF(AD193,"MATERIAL_BROKER_INCONSISTENCY"&amp;IF(AE193," (segment would change)","")&amp;"; ","")&amp;IF(AND(I193&gt;=3,O193&gt;0),IF(AI193&gt;=Assumptions!$B$75,"H2_SINGLE_MONTH_SPIKE; ",""),"")&amp;IF(AND(M193&gt;0,N193=0),"NO_FEB_GMV (Feb unconfirmed); ","")&amp;IF(AF193,"LOW_CONFIDENCE; ","")</f>
        <v>NO_FEB_GMV (Feb unconfirmed); LOW_CONFIDENCE; </v>
      </c>
      <c r="AU193" s="2" t="str">
        <f aca="false">IF(LEFT(D193,1)="1",V193,"")</f>
        <v/>
      </c>
      <c r="AV193" s="2" t="str">
        <f aca="false">IF(LEFT(D193,1)="1",V193&gt;=Assumptions!$B$58,"")</f>
        <v/>
      </c>
      <c r="AW193" s="2" t="str">
        <f aca="false">IF(LEFT(D193,1)="1",W193,"")</f>
        <v/>
      </c>
      <c r="AX193" s="2" t="str">
        <f aca="false">IF(LEFT(D193,1)="1",X193,"")</f>
        <v/>
      </c>
      <c r="AY193" s="17" t="str">
        <f aca="false">IF(LEFT(D193,1)="1",J193/I193,"")</f>
        <v/>
      </c>
      <c r="AZ193" s="2" t="str">
        <f aca="false">IF(LEFT(D193,1)="1",IF(AND(K193&gt;=Assumptions!$B$83,I193&gt;=Assumptions!$B$84),"Regular","Lumpy"),"")</f>
        <v/>
      </c>
      <c r="BA193" s="2" t="str">
        <f aca="false">IF(LEFT(D193,1)="1",ROUND(6/K193,0),"")</f>
        <v/>
      </c>
      <c r="BB193" s="2" t="str">
        <f aca="false">IF(LEFT(D193,1)="1",IF(AZ193="Regular","Regular buyer: expected ~£"&amp;TEXT(H193/2,"#,##0")&amp;" per 90 days. At Risk if GMV to date &lt; "&amp;TEXT(Assumptions!$B$81,"0%")&amp;" of pro-rated expectation, checked from day "&amp;Assumptions!$B$82&amp;". Human-reviewed.","Irregular buyer ("&amp;I193&amp;" orders across "&amp;K193&amp;" months): no numeric GMV threshold. At Risk if no order within ~"&amp;BA193&amp;" month(s); AM reviews at day "&amp;Assumptions!$B$82&amp;" and "&amp;Assumptions!$B$85&amp;"."),"")</f>
        <v/>
      </c>
      <c r="BC193" s="2"/>
      <c r="BD193" s="2"/>
      <c r="BE193" s="2"/>
      <c r="BF193" s="2"/>
      <c r="BG193" s="2"/>
      <c r="BH193" s="2"/>
      <c r="BI193" s="2"/>
      <c r="BJ193" s="2" t="str">
        <f aca="false">IF(OR(NOT(LEFT(D193,1)="1"),BC193=""),"",IF(AZ193="Regular",AND(BC193&gt;=Assumptions!$B$82,N(BI193)&lt;Assumptions!$B$81*H193/180*BC193),AND(BC193&gt;=BA193*30,N(BG193)=0)))</f>
        <v/>
      </c>
      <c r="BK193" s="2" t="str">
        <f aca="false">IF(NOT(LEFT(D193,1)="1"),"N/A",IF(BC193="","Baseline",IF(BJ193,"At Risk",IF(AND(N(BD193)&gt;=Assumptions!$B$78,N(BE193)&gt;=Assumptions!$B$79,N(BH193)&gt;=1,N(BH193)/MAX(N(BG193),1)&gt;AY193),"Self-Serve Capability Demonstrated",IF(OR(N(BD193)&gt;=Assumptions!$B$76,N(BE193)&gt;=Assumptions!$B$77),"Progressing",IF(BC193&gt;=Assumptions!$B$85,"At Risk","Baseline"))))))</f>
        <v>N/A</v>
      </c>
      <c r="BL193" s="2" t="n">
        <f aca="false">(AND(C193="Broker-Reliant",OR(AK193="Discovery-to-Offer Enablement",AK193="Reinforce Successful Behaviour")))*1+(AND(G193="Declining",E193&lt;&gt;"Tail",AL193="Automated"))*1+(AND(Y193,AM193&lt;&gt;"Human Sign-Off Required"))*1+(AND(AA193,AM193&lt;&gt;"HOLD — Critical Data Issue"))*1+(AND(P193="Recent Inactivity",OR(AK193="Discovery-to-Offer Enablement",AK193="Reinforce Successful Behaviour")))*1+(AND(OR(LEFT(D193,1)="2",LEFT(D193,1)="3",LEFT(D193,1)="8"),AL193="Automated"))*1+((LEFT(D193,1)="1")&lt;&gt;(AK193="Guided Self-Serve Migration"))*1+(AND(AR193&lt;&gt;"",OR(F193&lt;&gt;"Low",U193="Mixed",AND(G193&lt;&gt;"Growing",G193&lt;&gt;"Stable"))))*1+ISNUMBER(SEARCH("chat",AP193))*1+ISNUMBER(SEARCH("video",AP193))*1+(AND(AA193,AL193="Automated",AM193&lt;&gt;"HOLD — Critical Data Issue"))*1</f>
        <v>0</v>
      </c>
    </row>
    <row r="194" customFormat="false" ht="15" hidden="false" customHeight="false" outlineLevel="0" collapsed="false">
      <c r="A194" s="2" t="s">
        <v>950</v>
      </c>
      <c r="B194" s="2" t="str">
        <f aca="false">INDEX(Segmentation!$B$2:$B$301,MATCH($A194,Segmentation!$A$2:$A$301,0))</f>
        <v>Account Managed</v>
      </c>
      <c r="C194" s="2" t="str">
        <f aca="false">INDEX(Segmentation!$H$2:$H$301,MATCH($A194,Segmentation!$A$2:$A$301,0))</f>
        <v>AM-Owned / Self-Serving</v>
      </c>
      <c r="D194" s="2" t="str">
        <f aca="false">INDEX(Segmentation!$T$2:$T$301,MATCH($A194,Segmentation!$A$2:$A$301,0))</f>
        <v>9. Long-Tail Automated Nurture</v>
      </c>
      <c r="E194" s="2" t="str">
        <f aca="false">INDEX(Segmentation!$J$2:$J$301,MATCH($A194,Segmentation!$A$2:$A$301,0))</f>
        <v>Tail</v>
      </c>
      <c r="F194" s="2" t="str">
        <f aca="false">INDEX(Segmentation!$G$2:$G$301,MATCH($A194,Segmentation!$A$2:$A$301,0))</f>
        <v>Low</v>
      </c>
      <c r="G194" s="2" t="str">
        <f aca="false">INDEX(Segmentation!$N$2:$N$301,MATCH($A194,Segmentation!$A$2:$A$301,0))</f>
        <v>Lapsed</v>
      </c>
      <c r="H194" s="9" t="n">
        <f aca="false">INDEX(Segmentation!$I$2:$I$301,MATCH($A194,Segmentation!$A$2:$A$301,0))</f>
        <v>106</v>
      </c>
      <c r="I194" s="2" t="n">
        <f aca="false">INDEX(Segmentation!$O$2:$O$301,MATCH($A194,Segmentation!$A$2:$A$301,0))</f>
        <v>1</v>
      </c>
      <c r="J194" s="2" t="n">
        <f aca="false">INDEX(Segmentation!$Q$2:$Q$301,MATCH($A194,Segmentation!$A$2:$A$301,0))</f>
        <v>1</v>
      </c>
      <c r="K194" s="2" t="n">
        <f aca="false">INDEX(Segmentation!$W$2:$W$301,MATCH($A194,Segmentation!$A$2:$A$301,0))</f>
        <v>1</v>
      </c>
      <c r="L194" s="9" t="n">
        <f aca="false">INDEX('Commercial View'!$L$2:$L$301,MATCH($A194,'Commercial View'!$A$2:$A$301,0))</f>
        <v>0</v>
      </c>
      <c r="M194" s="9" t="n">
        <f aca="false">INDEX('Commercial View'!$M$2:$M$301,MATCH($A194,'Commercial View'!$A$2:$A$301,0))</f>
        <v>0</v>
      </c>
      <c r="N194" s="9" t="n">
        <f aca="false">INDEX('Commercial View'!$N$2:$N$301,MATCH($A194,'Commercial View'!$A$2:$A$301,0))</f>
        <v>0</v>
      </c>
      <c r="O194" s="9" t="n">
        <f aca="false">INDEX(Segmentation!$L$2:$L$301,MATCH($A194,Segmentation!$A$2:$A$301,0))</f>
        <v>0</v>
      </c>
      <c r="P194" s="2" t="str">
        <f aca="false">IF(OR(M194&gt;0,N194&gt;0),"Recently Active",IF(OR(I194&lt;=Assumptions!$B$48,K194&lt;=Assumptions!$B$49),"No Meaningful History","Recent Inactivity"))</f>
        <v>No Meaningful History</v>
      </c>
      <c r="Q194" s="2" t="str">
        <f aca="false">INDEX(Segmentation!$AF$2:$AF$301,MATCH($A194,Segmentation!$A$2:$A$301,0))</f>
        <v>Existing Customer</v>
      </c>
      <c r="R194" s="2" t="str">
        <f aca="false">INDEX(Segmentation!$AL$2:$AL$301,MATCH($A194,Segmentation!$A$2:$A$301,0))</f>
        <v>One-Off / Insufficient History — Verify</v>
      </c>
      <c r="S194" s="10" t="b">
        <f aca="false">INDEX(Segmentation!$AW$2:$AW$301,MATCH($A194,Segmentation!$A$2:$A$301,0))</f>
        <v>0</v>
      </c>
      <c r="T194" s="2" t="str">
        <f aca="false">INDEX('Feature Data'!$AD$2:$AD$301,MATCH($A194,'Feature Data'!$A$2:$A$301,0))</f>
        <v>One-off low-touch buyer</v>
      </c>
      <c r="U194" s="2" t="str">
        <f aca="false">INDEX('Feature Data'!$W$2:$W$301,MATCH($A194,'Feature Data'!$A$2:$A$301,0))</f>
        <v>Bundle-only</v>
      </c>
      <c r="V194" s="2" t="n">
        <f aca="false">INDEX('Feature Data'!$P$2:$P$301,MATCH($A194,'Feature Data'!$A$2:$A$301,0))</f>
        <v>69</v>
      </c>
      <c r="W194" s="2" t="n">
        <f aca="false">INDEX(Segmentation!$R$2:$R$301,MATCH($A194,Segmentation!$A$2:$A$301,0))</f>
        <v>13</v>
      </c>
      <c r="X194" s="2" t="n">
        <f aca="false">INDEX(Segmentation!$S$2:$S$301,MATCH($A194,Segmentation!$A$2:$A$301,0))</f>
        <v>0</v>
      </c>
      <c r="Y194" s="10" t="b">
        <f aca="false">INDEX(Segmentation!$AG$2:$AG$301,MATCH($A194,Segmentation!$A$2:$A$301,0))</f>
        <v>0</v>
      </c>
      <c r="Z194" s="2" t="str">
        <f aca="false">INDEX(Segmentation!$AU$2:$AU$301,MATCH($A194,Segmentation!$A$2:$A$301,0))</f>
        <v>Not Eligible</v>
      </c>
      <c r="AA194" s="10" t="b">
        <f aca="false">INDEX(Segmentation!$Z$2:$Z$301,MATCH($A194,Segmentation!$A$2:$A$301,0))</f>
        <v>0</v>
      </c>
      <c r="AB194" s="10" t="b">
        <f aca="false">INDEX(Segmentation!$AH$2:$AH$301,MATCH($A194,Segmentation!$A$2:$A$301,0))</f>
        <v>0</v>
      </c>
      <c r="AC194" s="10" t="b">
        <f aca="false">INDEX(Segmentation!$AK$2:$AK$301,MATCH($A194,Segmentation!$A$2:$A$301,0))</f>
        <v>0</v>
      </c>
      <c r="AD194" s="10" t="b">
        <f aca="false">INDEX(Segmentation!$AQ$2:$AQ$301,MATCH($A194,Segmentation!$A$2:$A$301,0))</f>
        <v>0</v>
      </c>
      <c r="AE194" s="10" t="b">
        <f aca="false">INDEX(Segmentation!$AT$2:$AT$301,MATCH($A194,Segmentation!$A$2:$A$301,0))</f>
        <v>0</v>
      </c>
      <c r="AF194" s="10" t="b">
        <f aca="false">INDEX(Segmentation!$X$2:$X$301,MATCH($A194,Segmentation!$A$2:$A$301,0))</f>
        <v>1</v>
      </c>
      <c r="AG194" s="10" t="b">
        <f aca="false">AND(F194="Low",V194&gt;=Assumptions!$B$71,X194&lt;Assumptions!$B$72)</f>
        <v>1</v>
      </c>
      <c r="AH194" s="10" t="b">
        <f aca="false">AND(F194="Low",OR(G194="Growing",G194="Stable"),P194="Recently Active",V194&gt;=Assumptions!$B$58,K194&gt;=Assumptions!$B$73)</f>
        <v>0</v>
      </c>
      <c r="AI194" s="17" t="str">
        <f aca="false">IF(O194&gt;0,MAX(L194:N194)/O194,"")</f>
        <v/>
      </c>
      <c r="AJ194" s="2" t="str">
        <f aca="false">IF(LEFT(D194,1)="1",IF(E194="Key","MIGRATION_KEY_SIGNOFF",IF(Z194="Ready","MIGRATION_PHASE1_READY",IF(Z194="Manual Review","MIGRATION_PHASE1_REVIEW","MIGRATION_PRE_ENTRY"))),IF(LEFT(D194,1)="2","DECLINING_KEY_CORE",IF(LEFT(D194,1)="3",IF(R194="Established Buyer Lapsed","LAPSED_ESTABLISHED","LAPSED_THIN_HISTORY"),IF(LEFT(D194,1)="4",IF(Q194="New Customer","NEW_CUSTOMER","RETURNED_CUSTOMER"),IF(LEFT(D194,1)="5",IF(P194="Recently Active","COST_TO_SERVE_ACTIVE","DORMANT_LOW_VALUE"),IF(LEFT(D194,1)="6",IF(P194="Recent Inactivity","RECENT_INACTIVITY",IF(AG194,"BROWSING_LOW_OFFERS","HEALTHY_STRONG_SELF_SERVE")),IF(LEFT(D194,1)="7",IF(P194="Recent Inactivity","RECENT_INACTIVITY",IF(Q194="New Customer","NEW_CUSTOMER","RETURNED_CUSTOMER")),IF(LEFT(D194,1)="8",IF(G194="Declining",IF(T194="Engaged but shrinking (Key/Core)","ENGAGED_BUT_SHRINKING","DECLINING_KEY_CORE"),IF(R194="Established Buyer Lapsed","LAPSED_ESTABLISHED","LAPSED_THIN_HISTORY")),IF(S194,IF(P194&lt;&gt;"Recently Active","DORMANT_LOW_VALUE",IF(AG194,"BROWSING_LOW_OFFERS",IF(AH194,"RISING_TAIL","RISING_TAIL_EARLY"))),IF(AND(AG194,P194="Recently Active",OR(G194="Growing",G194="Stable",G194="H2 Active / No H1 GMV"),I194&gt;=Assumptions!$B$74),"BROWSING_LOW_OFFERS","LONG_TAIL_STANDARD"))))))))))</f>
        <v>LONG_TAIL_STANDARD</v>
      </c>
      <c r="AK194" s="2" t="str">
        <f aca="false">INDEX('NBA Library'!$B$4:$B$21,MATCH(AJ194,'NBA Library'!$A$4:$A$21,0))</f>
        <v>Automated Nurture</v>
      </c>
      <c r="AL194" s="2" t="str">
        <f aca="false">INDEX('NBA Library'!$C$4:$C$21,MATCH(AJ194,'NBA Library'!$A$4:$A$21,0))</f>
        <v>Automated</v>
      </c>
      <c r="AM194" s="2" t="str">
        <f aca="false">IF(AA194,"HOLD — Critical Data Issue",IF(Y194,"Human Sign-Off Required",IF(Z194="Manual Review","Human Review Required",IF(AND(AL194="Automated",OR(AE194,AND(OR(AK194="Discovery-to-Offer Enablement",AK194="Reinforce Successful Behaviour"),OR(AC194,AB194)))),"Human Review Required",IF(AL194="Human","Ready — Human",IF(AL194="Hybrid","Ready — Hybrid","Ready — Automated"))))))</f>
        <v>Ready — Automated</v>
      </c>
      <c r="AN194" s="2" t="str">
        <f aca="false">IF(AA194,"P0",IF(AND(AJ194="BROWSING_LOW_OFFERS",E194="Tail"),"P3",IF(AND(AM194="Human Review Required",INDEX('NBA Library'!$D$4:$D$21,MATCH(AJ194,'NBA Library'!$A$4:$A$21,0))="P4"),"P3",INDEX('NBA Library'!$D$4:$D$21,MATCH(AJ194,'NBA Library'!$A$4:$A$21,0)))))</f>
        <v>P4</v>
      </c>
      <c r="AO194" s="2" t="str">
        <f aca="false">E194&amp;" "&amp;C194&amp;" account ("&amp;B194&amp;"); "&amp;G194&amp;" momentum; "&amp;P194&amp;"; £"&amp;TEXT(H194,"#,##0")&amp;" 6m GMV. "&amp;INDEX('NBA Library'!$G$4:$G$21,MATCH(AJ194,'NBA Library'!$A$4:$A$21,0))&amp;IF(LEFT(D194,1)="1"," Baseline: "&amp;V194&amp;" PDP views, "&amp;W194&amp;" app days, "&amp;X194&amp;" offers, "&amp;TEXT(J194/I194,"0%")&amp;" of orders self-serve.","")&amp;IF(AA194," Execution on HOLD until the Duplicate status is resolved.","")&amp;IF(Y194," Key account: explicit AM/leadership sign-off required before any migration activity.","")&amp;IF(AE194," Implied broker % from order counts would move this account to a different segment; review before automating.","")</f>
        <v>Tail AM-Owned / Self-Serving account (Account Managed); Lapsed momentum; No Meaningful History; £106 6m GMV. Low-value, low-dependency account. Scalable automated engagement.</v>
      </c>
      <c r="AP194" s="2" t="str">
        <f aca="false">INDEX('NBA Library'!$E$4:$E$21,MATCH(AJ194,'NBA Library'!$A$4:$A$21,0))&amp;IF(AND(AJ194="NEW_CUSTOMER",AG194),"; introduce Make-an-Offer on items already browsed","")</f>
        <v>Scalable automated engagement matched to nurture sub-context</v>
      </c>
      <c r="AQ194" s="2" t="str">
        <f aca="false">INDEX('NBA Library'!$F$4:$F$21,MATCH(AJ194,'NBA Library'!$A$4:$A$21,0))</f>
        <v>Any repeat order within 90 days</v>
      </c>
      <c r="AR194" s="2" t="str">
        <f aca="false">IF(AND(F194="Low",OR(G194="Growing",G194="Stable"),P194="Recently Active",U194&lt;&gt;"Mixed",OR(AK194="Discovery-to-Offer Enablement",AK194="Reinforce Successful Behaviour"),AM194="Ready — Automated",OR(E194&lt;&gt;"Tail",S194)),"Range Expansion Test — trial "&amp;IF(U194="Bundle-only","handpick","bundles")&amp;" (experimental; not proven to lift GMV)","")</f>
        <v/>
      </c>
      <c r="AS194" s="2" t="str">
        <f aca="false">IF(AK194&lt;&gt;"Automated Nurture","",IF(AJ194="DORMANT_LOW_VALUE","Dormant",IF(AJ194="RISING_TAIL_EARLY","Rising tail – early pattern",IF(Q194="New Customer","New customer onboarding",IF(Q194="Returned Customer","Returned customer",IF(G194="Lapsed","Dormant",IF(T194="Engaged, not converting","Engaged, not converting",IF(T194="One-off low-touch buyer","One-off purchaser",IF(T194="Light-touch repeat buyer","Light-touch repeat buyer","Standard long tail")))))))))</f>
        <v>Dormant</v>
      </c>
      <c r="AT194" s="2" t="str">
        <f aca="false">IF(AA194,"CRITICAL_DATA_BLOCKER; ","")&amp;IF(Y194,"KEY_SIGNOFF; ","")&amp;IF(Z194="Manual Review","PHASE1_MANUAL_REVIEW; ","")&amp;IF(AND(LEFT(D194,1)="1",AZ194="Lumpy"),"LUMPY_CADENCE; ","")&amp;IF(AB194,"BORDERLINE_MOMENTUM; ","")&amp;IF(AC194,"FEB_SENSITIVE; ","")&amp;IF(AD194,"MATERIAL_BROKER_INCONSISTENCY"&amp;IF(AE194," (segment would change)","")&amp;"; ","")&amp;IF(AND(I194&gt;=3,O194&gt;0),IF(AI194&gt;=Assumptions!$B$75,"H2_SINGLE_MONTH_SPIKE; ",""),"")&amp;IF(AND(M194&gt;0,N194=0),"NO_FEB_GMV (Feb unconfirmed); ","")&amp;IF(AF194,"LOW_CONFIDENCE; ","")</f>
        <v>LOW_CONFIDENCE; </v>
      </c>
      <c r="AU194" s="2" t="str">
        <f aca="false">IF(LEFT(D194,1)="1",V194,"")</f>
        <v/>
      </c>
      <c r="AV194" s="2" t="str">
        <f aca="false">IF(LEFT(D194,1)="1",V194&gt;=Assumptions!$B$58,"")</f>
        <v/>
      </c>
      <c r="AW194" s="2" t="str">
        <f aca="false">IF(LEFT(D194,1)="1",W194,"")</f>
        <v/>
      </c>
      <c r="AX194" s="2" t="str">
        <f aca="false">IF(LEFT(D194,1)="1",X194,"")</f>
        <v/>
      </c>
      <c r="AY194" s="17" t="str">
        <f aca="false">IF(LEFT(D194,1)="1",J194/I194,"")</f>
        <v/>
      </c>
      <c r="AZ194" s="2" t="str">
        <f aca="false">IF(LEFT(D194,1)="1",IF(AND(K194&gt;=Assumptions!$B$83,I194&gt;=Assumptions!$B$84),"Regular","Lumpy"),"")</f>
        <v/>
      </c>
      <c r="BA194" s="2" t="str">
        <f aca="false">IF(LEFT(D194,1)="1",ROUND(6/K194,0),"")</f>
        <v/>
      </c>
      <c r="BB194" s="2" t="str">
        <f aca="false">IF(LEFT(D194,1)="1",IF(AZ194="Regular","Regular buyer: expected ~£"&amp;TEXT(H194/2,"#,##0")&amp;" per 90 days. At Risk if GMV to date &lt; "&amp;TEXT(Assumptions!$B$81,"0%")&amp;" of pro-rated expectation, checked from day "&amp;Assumptions!$B$82&amp;". Human-reviewed.","Irregular buyer ("&amp;I194&amp;" orders across "&amp;K194&amp;" months): no numeric GMV threshold. At Risk if no order within ~"&amp;BA194&amp;" month(s); AM reviews at day "&amp;Assumptions!$B$82&amp;" and "&amp;Assumptions!$B$85&amp;"."),"")</f>
        <v/>
      </c>
      <c r="BC194" s="2"/>
      <c r="BD194" s="2"/>
      <c r="BE194" s="2"/>
      <c r="BF194" s="2"/>
      <c r="BG194" s="2"/>
      <c r="BH194" s="2"/>
      <c r="BI194" s="2"/>
      <c r="BJ194" s="2" t="str">
        <f aca="false">IF(OR(NOT(LEFT(D194,1)="1"),BC194=""),"",IF(AZ194="Regular",AND(BC194&gt;=Assumptions!$B$82,N(BI194)&lt;Assumptions!$B$81*H194/180*BC194),AND(BC194&gt;=BA194*30,N(BG194)=0)))</f>
        <v/>
      </c>
      <c r="BK194" s="2" t="str">
        <f aca="false">IF(NOT(LEFT(D194,1)="1"),"N/A",IF(BC194="","Baseline",IF(BJ194,"At Risk",IF(AND(N(BD194)&gt;=Assumptions!$B$78,N(BE194)&gt;=Assumptions!$B$79,N(BH194)&gt;=1,N(BH194)/MAX(N(BG194),1)&gt;AY194),"Self-Serve Capability Demonstrated",IF(OR(N(BD194)&gt;=Assumptions!$B$76,N(BE194)&gt;=Assumptions!$B$77),"Progressing",IF(BC194&gt;=Assumptions!$B$85,"At Risk","Baseline"))))))</f>
        <v>N/A</v>
      </c>
      <c r="BL194" s="2" t="n">
        <f aca="false">(AND(C194="Broker-Reliant",OR(AK194="Discovery-to-Offer Enablement",AK194="Reinforce Successful Behaviour")))*1+(AND(G194="Declining",E194&lt;&gt;"Tail",AL194="Automated"))*1+(AND(Y194,AM194&lt;&gt;"Human Sign-Off Required"))*1+(AND(AA194,AM194&lt;&gt;"HOLD — Critical Data Issue"))*1+(AND(P194="Recent Inactivity",OR(AK194="Discovery-to-Offer Enablement",AK194="Reinforce Successful Behaviour")))*1+(AND(OR(LEFT(D194,1)="2",LEFT(D194,1)="3",LEFT(D194,1)="8"),AL194="Automated"))*1+((LEFT(D194,1)="1")&lt;&gt;(AK194="Guided Self-Serve Migration"))*1+(AND(AR194&lt;&gt;"",OR(F194&lt;&gt;"Low",U194="Mixed",AND(G194&lt;&gt;"Growing",G194&lt;&gt;"Stable"))))*1+ISNUMBER(SEARCH("chat",AP194))*1+ISNUMBER(SEARCH("video",AP194))*1+(AND(AA194,AL194="Automated",AM194&lt;&gt;"HOLD — Critical Data Issue"))*1</f>
        <v>0</v>
      </c>
    </row>
    <row r="195" customFormat="false" ht="15" hidden="false" customHeight="false" outlineLevel="0" collapsed="false">
      <c r="A195" s="2" t="s">
        <v>952</v>
      </c>
      <c r="B195" s="2" t="str">
        <f aca="false">INDEX(Segmentation!$B$2:$B$301,MATCH($A195,Segmentation!$A$2:$A$301,0))</f>
        <v>Account Managed</v>
      </c>
      <c r="C195" s="2" t="str">
        <f aca="false">INDEX(Segmentation!$H$2:$H$301,MATCH($A195,Segmentation!$A$2:$A$301,0))</f>
        <v>AM-Owned / Self-Serving</v>
      </c>
      <c r="D195" s="2" t="str">
        <f aca="false">INDEX(Segmentation!$T$2:$T$301,MATCH($A195,Segmentation!$A$2:$A$301,0))</f>
        <v>9. Long-Tail Automated Nurture</v>
      </c>
      <c r="E195" s="2" t="str">
        <f aca="false">INDEX(Segmentation!$J$2:$J$301,MATCH($A195,Segmentation!$A$2:$A$301,0))</f>
        <v>Tail</v>
      </c>
      <c r="F195" s="2" t="str">
        <f aca="false">INDEX(Segmentation!$G$2:$G$301,MATCH($A195,Segmentation!$A$2:$A$301,0))</f>
        <v>Low</v>
      </c>
      <c r="G195" s="2" t="str">
        <f aca="false">INDEX(Segmentation!$N$2:$N$301,MATCH($A195,Segmentation!$A$2:$A$301,0))</f>
        <v>H2 Active / No H1 GMV</v>
      </c>
      <c r="H195" s="9" t="n">
        <f aca="false">INDEX(Segmentation!$I$2:$I$301,MATCH($A195,Segmentation!$A$2:$A$301,0))</f>
        <v>106</v>
      </c>
      <c r="I195" s="2" t="n">
        <f aca="false">INDEX(Segmentation!$O$2:$O$301,MATCH($A195,Segmentation!$A$2:$A$301,0))</f>
        <v>1</v>
      </c>
      <c r="J195" s="2" t="n">
        <f aca="false">INDEX(Segmentation!$Q$2:$Q$301,MATCH($A195,Segmentation!$A$2:$A$301,0))</f>
        <v>1</v>
      </c>
      <c r="K195" s="2" t="n">
        <f aca="false">INDEX(Segmentation!$W$2:$W$301,MATCH($A195,Segmentation!$A$2:$A$301,0))</f>
        <v>1</v>
      </c>
      <c r="L195" s="9" t="n">
        <f aca="false">INDEX('Commercial View'!$L$2:$L$301,MATCH($A195,'Commercial View'!$A$2:$A$301,0))</f>
        <v>106</v>
      </c>
      <c r="M195" s="9" t="n">
        <f aca="false">INDEX('Commercial View'!$M$2:$M$301,MATCH($A195,'Commercial View'!$A$2:$A$301,0))</f>
        <v>0</v>
      </c>
      <c r="N195" s="9" t="n">
        <f aca="false">INDEX('Commercial View'!$N$2:$N$301,MATCH($A195,'Commercial View'!$A$2:$A$301,0))</f>
        <v>0</v>
      </c>
      <c r="O195" s="9" t="n">
        <f aca="false">INDEX(Segmentation!$L$2:$L$301,MATCH($A195,Segmentation!$A$2:$A$301,0))</f>
        <v>106</v>
      </c>
      <c r="P195" s="2" t="str">
        <f aca="false">IF(OR(M195&gt;0,N195&gt;0),"Recently Active",IF(OR(I195&lt;=Assumptions!$B$48,K195&lt;=Assumptions!$B$49),"No Meaningful History","Recent Inactivity"))</f>
        <v>No Meaningful History</v>
      </c>
      <c r="Q195" s="2" t="str">
        <f aca="false">INDEX(Segmentation!$AF$2:$AF$301,MATCH($A195,Segmentation!$A$2:$A$301,0))</f>
        <v>Returned Customer</v>
      </c>
      <c r="R195" s="2" t="str">
        <f aca="false">INDEX(Segmentation!$AL$2:$AL$301,MATCH($A195,Segmentation!$A$2:$A$301,0))</f>
        <v>N/A</v>
      </c>
      <c r="S195" s="10" t="b">
        <f aca="false">INDEX(Segmentation!$AW$2:$AW$301,MATCH($A195,Segmentation!$A$2:$A$301,0))</f>
        <v>0</v>
      </c>
      <c r="T195" s="2" t="str">
        <f aca="false">INDEX('Feature Data'!$AD$2:$AD$301,MATCH($A195,'Feature Data'!$A$2:$A$301,0))</f>
        <v>Engaged, not converting</v>
      </c>
      <c r="U195" s="2" t="str">
        <f aca="false">INDEX('Feature Data'!$W$2:$W$301,MATCH($A195,'Feature Data'!$A$2:$A$301,0))</f>
        <v>Bundle-only</v>
      </c>
      <c r="V195" s="2" t="n">
        <f aca="false">INDEX('Feature Data'!$P$2:$P$301,MATCH($A195,'Feature Data'!$A$2:$A$301,0))</f>
        <v>248</v>
      </c>
      <c r="W195" s="2" t="n">
        <f aca="false">INDEX(Segmentation!$R$2:$R$301,MATCH($A195,Segmentation!$A$2:$A$301,0))</f>
        <v>60</v>
      </c>
      <c r="X195" s="2" t="n">
        <f aca="false">INDEX(Segmentation!$S$2:$S$301,MATCH($A195,Segmentation!$A$2:$A$301,0))</f>
        <v>1</v>
      </c>
      <c r="Y195" s="10" t="b">
        <f aca="false">INDEX(Segmentation!$AG$2:$AG$301,MATCH($A195,Segmentation!$A$2:$A$301,0))</f>
        <v>0</v>
      </c>
      <c r="Z195" s="2" t="str">
        <f aca="false">INDEX(Segmentation!$AU$2:$AU$301,MATCH($A195,Segmentation!$A$2:$A$301,0))</f>
        <v>Not Eligible</v>
      </c>
      <c r="AA195" s="10" t="b">
        <f aca="false">INDEX(Segmentation!$Z$2:$Z$301,MATCH($A195,Segmentation!$A$2:$A$301,0))</f>
        <v>0</v>
      </c>
      <c r="AB195" s="10" t="b">
        <f aca="false">INDEX(Segmentation!$AH$2:$AH$301,MATCH($A195,Segmentation!$A$2:$A$301,0))</f>
        <v>0</v>
      </c>
      <c r="AC195" s="10" t="b">
        <f aca="false">INDEX(Segmentation!$AK$2:$AK$301,MATCH($A195,Segmentation!$A$2:$A$301,0))</f>
        <v>0</v>
      </c>
      <c r="AD195" s="10" t="b">
        <f aca="false">INDEX(Segmentation!$AQ$2:$AQ$301,MATCH($A195,Segmentation!$A$2:$A$301,0))</f>
        <v>0</v>
      </c>
      <c r="AE195" s="10" t="b">
        <f aca="false">INDEX(Segmentation!$AT$2:$AT$301,MATCH($A195,Segmentation!$A$2:$A$301,0))</f>
        <v>0</v>
      </c>
      <c r="AF195" s="10" t="b">
        <f aca="false">INDEX(Segmentation!$X$2:$X$301,MATCH($A195,Segmentation!$A$2:$A$301,0))</f>
        <v>1</v>
      </c>
      <c r="AG195" s="10" t="b">
        <f aca="false">AND(F195="Low",V195&gt;=Assumptions!$B$71,X195&lt;Assumptions!$B$72)</f>
        <v>1</v>
      </c>
      <c r="AH195" s="10" t="b">
        <f aca="false">AND(F195="Low",OR(G195="Growing",G195="Stable"),P195="Recently Active",V195&gt;=Assumptions!$B$58,K195&gt;=Assumptions!$B$73)</f>
        <v>0</v>
      </c>
      <c r="AI195" s="17" t="n">
        <f aca="false">IF(O195&gt;0,MAX(L195:N195)/O195,"")</f>
        <v>1</v>
      </c>
      <c r="AJ195" s="2" t="str">
        <f aca="false">IF(LEFT(D195,1)="1",IF(E195="Key","MIGRATION_KEY_SIGNOFF",IF(Z195="Ready","MIGRATION_PHASE1_READY",IF(Z195="Manual Review","MIGRATION_PHASE1_REVIEW","MIGRATION_PRE_ENTRY"))),IF(LEFT(D195,1)="2","DECLINING_KEY_CORE",IF(LEFT(D195,1)="3",IF(R195="Established Buyer Lapsed","LAPSED_ESTABLISHED","LAPSED_THIN_HISTORY"),IF(LEFT(D195,1)="4",IF(Q195="New Customer","NEW_CUSTOMER","RETURNED_CUSTOMER"),IF(LEFT(D195,1)="5",IF(P195="Recently Active","COST_TO_SERVE_ACTIVE","DORMANT_LOW_VALUE"),IF(LEFT(D195,1)="6",IF(P195="Recent Inactivity","RECENT_INACTIVITY",IF(AG195,"BROWSING_LOW_OFFERS","HEALTHY_STRONG_SELF_SERVE")),IF(LEFT(D195,1)="7",IF(P195="Recent Inactivity","RECENT_INACTIVITY",IF(Q195="New Customer","NEW_CUSTOMER","RETURNED_CUSTOMER")),IF(LEFT(D195,1)="8",IF(G195="Declining",IF(T195="Engaged but shrinking (Key/Core)","ENGAGED_BUT_SHRINKING","DECLINING_KEY_CORE"),IF(R195="Established Buyer Lapsed","LAPSED_ESTABLISHED","LAPSED_THIN_HISTORY")),IF(S195,IF(P195&lt;&gt;"Recently Active","DORMANT_LOW_VALUE",IF(AG195,"BROWSING_LOW_OFFERS",IF(AH195,"RISING_TAIL","RISING_TAIL_EARLY"))),IF(AND(AG195,P195="Recently Active",OR(G195="Growing",G195="Stable",G195="H2 Active / No H1 GMV"),I195&gt;=Assumptions!$B$74),"BROWSING_LOW_OFFERS","LONG_TAIL_STANDARD"))))))))))</f>
        <v>LONG_TAIL_STANDARD</v>
      </c>
      <c r="AK195" s="2" t="str">
        <f aca="false">INDEX('NBA Library'!$B$4:$B$21,MATCH(AJ195,'NBA Library'!$A$4:$A$21,0))</f>
        <v>Automated Nurture</v>
      </c>
      <c r="AL195" s="2" t="str">
        <f aca="false">INDEX('NBA Library'!$C$4:$C$21,MATCH(AJ195,'NBA Library'!$A$4:$A$21,0))</f>
        <v>Automated</v>
      </c>
      <c r="AM195" s="2" t="str">
        <f aca="false">IF(AA195,"HOLD — Critical Data Issue",IF(Y195,"Human Sign-Off Required",IF(Z195="Manual Review","Human Review Required",IF(AND(AL195="Automated",OR(AE195,AND(OR(AK195="Discovery-to-Offer Enablement",AK195="Reinforce Successful Behaviour"),OR(AC195,AB195)))),"Human Review Required",IF(AL195="Human","Ready — Human",IF(AL195="Hybrid","Ready — Hybrid","Ready — Automated"))))))</f>
        <v>Ready — Automated</v>
      </c>
      <c r="AN195" s="2" t="str">
        <f aca="false">IF(AA195,"P0",IF(AND(AJ195="BROWSING_LOW_OFFERS",E195="Tail"),"P3",IF(AND(AM195="Human Review Required",INDEX('NBA Library'!$D$4:$D$21,MATCH(AJ195,'NBA Library'!$A$4:$A$21,0))="P4"),"P3",INDEX('NBA Library'!$D$4:$D$21,MATCH(AJ195,'NBA Library'!$A$4:$A$21,0)))))</f>
        <v>P4</v>
      </c>
      <c r="AO195" s="2" t="str">
        <f aca="false">E195&amp;" "&amp;C195&amp;" account ("&amp;B195&amp;"); "&amp;G195&amp;" momentum; "&amp;P195&amp;"; £"&amp;TEXT(H195,"#,##0")&amp;" 6m GMV. "&amp;INDEX('NBA Library'!$G$4:$G$21,MATCH(AJ195,'NBA Library'!$A$4:$A$21,0))&amp;IF(LEFT(D195,1)="1"," Baseline: "&amp;V195&amp;" PDP views, "&amp;W195&amp;" app days, "&amp;X195&amp;" offers, "&amp;TEXT(J195/I195,"0%")&amp;" of orders self-serve.","")&amp;IF(AA195," Execution on HOLD until the Duplicate status is resolved.","")&amp;IF(Y195," Key account: explicit AM/leadership sign-off required before any migration activity.","")&amp;IF(AE195," Implied broker % from order counts would move this account to a different segment; review before automating.","")</f>
        <v>Tail AM-Owned / Self-Serving account (Account Managed); H2 Active / No H1 GMV momentum; No Meaningful History; £106 6m GMV. Low-value, low-dependency account. Scalable automated engagement.</v>
      </c>
      <c r="AP195" s="2" t="str">
        <f aca="false">INDEX('NBA Library'!$E$4:$E$21,MATCH(AJ195,'NBA Library'!$A$4:$A$21,0))&amp;IF(AND(AJ195="NEW_CUSTOMER",AG195),"; introduce Make-an-Offer on items already browsed","")</f>
        <v>Scalable automated engagement matched to nurture sub-context</v>
      </c>
      <c r="AQ195" s="2" t="str">
        <f aca="false">INDEX('NBA Library'!$F$4:$F$21,MATCH(AJ195,'NBA Library'!$A$4:$A$21,0))</f>
        <v>Any repeat order within 90 days</v>
      </c>
      <c r="AR195" s="2" t="str">
        <f aca="false">IF(AND(F195="Low",OR(G195="Growing",G195="Stable"),P195="Recently Active",U195&lt;&gt;"Mixed",OR(AK195="Discovery-to-Offer Enablement",AK195="Reinforce Successful Behaviour"),AM195="Ready — Automated",OR(E195&lt;&gt;"Tail",S195)),"Range Expansion Test — trial "&amp;IF(U195="Bundle-only","handpick","bundles")&amp;" (experimental; not proven to lift GMV)","")</f>
        <v/>
      </c>
      <c r="AS195" s="2" t="str">
        <f aca="false">IF(AK195&lt;&gt;"Automated Nurture","",IF(AJ195="DORMANT_LOW_VALUE","Dormant",IF(AJ195="RISING_TAIL_EARLY","Rising tail – early pattern",IF(Q195="New Customer","New customer onboarding",IF(Q195="Returned Customer","Returned customer",IF(G195="Lapsed","Dormant",IF(T195="Engaged, not converting","Engaged, not converting",IF(T195="One-off low-touch buyer","One-off purchaser",IF(T195="Light-touch repeat buyer","Light-touch repeat buyer","Standard long tail")))))))))</f>
        <v>Returned customer</v>
      </c>
      <c r="AT195" s="2" t="str">
        <f aca="false">IF(AA195,"CRITICAL_DATA_BLOCKER; ","")&amp;IF(Y195,"KEY_SIGNOFF; ","")&amp;IF(Z195="Manual Review","PHASE1_MANUAL_REVIEW; ","")&amp;IF(AND(LEFT(D195,1)="1",AZ195="Lumpy"),"LUMPY_CADENCE; ","")&amp;IF(AB195,"BORDERLINE_MOMENTUM; ","")&amp;IF(AC195,"FEB_SENSITIVE; ","")&amp;IF(AD195,"MATERIAL_BROKER_INCONSISTENCY"&amp;IF(AE195," (segment would change)","")&amp;"; ","")&amp;IF(AND(I195&gt;=3,O195&gt;0),IF(AI195&gt;=Assumptions!$B$75,"H2_SINGLE_MONTH_SPIKE; ",""),"")&amp;IF(AND(M195&gt;0,N195=0),"NO_FEB_GMV (Feb unconfirmed); ","")&amp;IF(AF195,"LOW_CONFIDENCE; ","")</f>
        <v>LOW_CONFIDENCE; </v>
      </c>
      <c r="AU195" s="2" t="str">
        <f aca="false">IF(LEFT(D195,1)="1",V195,"")</f>
        <v/>
      </c>
      <c r="AV195" s="2" t="str">
        <f aca="false">IF(LEFT(D195,1)="1",V195&gt;=Assumptions!$B$58,"")</f>
        <v/>
      </c>
      <c r="AW195" s="2" t="str">
        <f aca="false">IF(LEFT(D195,1)="1",W195,"")</f>
        <v/>
      </c>
      <c r="AX195" s="2" t="str">
        <f aca="false">IF(LEFT(D195,1)="1",X195,"")</f>
        <v/>
      </c>
      <c r="AY195" s="17" t="str">
        <f aca="false">IF(LEFT(D195,1)="1",J195/I195,"")</f>
        <v/>
      </c>
      <c r="AZ195" s="2" t="str">
        <f aca="false">IF(LEFT(D195,1)="1",IF(AND(K195&gt;=Assumptions!$B$83,I195&gt;=Assumptions!$B$84),"Regular","Lumpy"),"")</f>
        <v/>
      </c>
      <c r="BA195" s="2" t="str">
        <f aca="false">IF(LEFT(D195,1)="1",ROUND(6/K195,0),"")</f>
        <v/>
      </c>
      <c r="BB195" s="2" t="str">
        <f aca="false">IF(LEFT(D195,1)="1",IF(AZ195="Regular","Regular buyer: expected ~£"&amp;TEXT(H195/2,"#,##0")&amp;" per 90 days. At Risk if GMV to date &lt; "&amp;TEXT(Assumptions!$B$81,"0%")&amp;" of pro-rated expectation, checked from day "&amp;Assumptions!$B$82&amp;". Human-reviewed.","Irregular buyer ("&amp;I195&amp;" orders across "&amp;K195&amp;" months): no numeric GMV threshold. At Risk if no order within ~"&amp;BA195&amp;" month(s); AM reviews at day "&amp;Assumptions!$B$82&amp;" and "&amp;Assumptions!$B$85&amp;"."),"")</f>
        <v/>
      </c>
      <c r="BC195" s="2"/>
      <c r="BD195" s="2"/>
      <c r="BE195" s="2"/>
      <c r="BF195" s="2"/>
      <c r="BG195" s="2"/>
      <c r="BH195" s="2"/>
      <c r="BI195" s="2"/>
      <c r="BJ195" s="2" t="str">
        <f aca="false">IF(OR(NOT(LEFT(D195,1)="1"),BC195=""),"",IF(AZ195="Regular",AND(BC195&gt;=Assumptions!$B$82,N(BI195)&lt;Assumptions!$B$81*H195/180*BC195),AND(BC195&gt;=BA195*30,N(BG195)=0)))</f>
        <v/>
      </c>
      <c r="BK195" s="2" t="str">
        <f aca="false">IF(NOT(LEFT(D195,1)="1"),"N/A",IF(BC195="","Baseline",IF(BJ195,"At Risk",IF(AND(N(BD195)&gt;=Assumptions!$B$78,N(BE195)&gt;=Assumptions!$B$79,N(BH195)&gt;=1,N(BH195)/MAX(N(BG195),1)&gt;AY195),"Self-Serve Capability Demonstrated",IF(OR(N(BD195)&gt;=Assumptions!$B$76,N(BE195)&gt;=Assumptions!$B$77),"Progressing",IF(BC195&gt;=Assumptions!$B$85,"At Risk","Baseline"))))))</f>
        <v>N/A</v>
      </c>
      <c r="BL195" s="2" t="n">
        <f aca="false">(AND(C195="Broker-Reliant",OR(AK195="Discovery-to-Offer Enablement",AK195="Reinforce Successful Behaviour")))*1+(AND(G195="Declining",E195&lt;&gt;"Tail",AL195="Automated"))*1+(AND(Y195,AM195&lt;&gt;"Human Sign-Off Required"))*1+(AND(AA195,AM195&lt;&gt;"HOLD — Critical Data Issue"))*1+(AND(P195="Recent Inactivity",OR(AK195="Discovery-to-Offer Enablement",AK195="Reinforce Successful Behaviour")))*1+(AND(OR(LEFT(D195,1)="2",LEFT(D195,1)="3",LEFT(D195,1)="8"),AL195="Automated"))*1+((LEFT(D195,1)="1")&lt;&gt;(AK195="Guided Self-Serve Migration"))*1+(AND(AR195&lt;&gt;"",OR(F195&lt;&gt;"Low",U195="Mixed",AND(G195&lt;&gt;"Growing",G195&lt;&gt;"Stable"))))*1+ISNUMBER(SEARCH("chat",AP195))*1+ISNUMBER(SEARCH("video",AP195))*1+(AND(AA195,AL195="Automated",AM195&lt;&gt;"HOLD — Critical Data Issue"))*1</f>
        <v>0</v>
      </c>
    </row>
    <row r="196" customFormat="false" ht="15" hidden="false" customHeight="false" outlineLevel="0" collapsed="false">
      <c r="A196" s="2" t="s">
        <v>956</v>
      </c>
      <c r="B196" s="2" t="str">
        <f aca="false">INDEX(Segmentation!$B$2:$B$301,MATCH($A196,Segmentation!$A$2:$A$301,0))</f>
        <v>Account Managed</v>
      </c>
      <c r="C196" s="2" t="str">
        <f aca="false">INDEX(Segmentation!$H$2:$H$301,MATCH($A196,Segmentation!$A$2:$A$301,0))</f>
        <v>AM-Owned / Self-Serving</v>
      </c>
      <c r="D196" s="2" t="str">
        <f aca="false">INDEX(Segmentation!$T$2:$T$301,MATCH($A196,Segmentation!$A$2:$A$301,0))</f>
        <v>9. Long-Tail Automated Nurture</v>
      </c>
      <c r="E196" s="2" t="str">
        <f aca="false">INDEX(Segmentation!$J$2:$J$301,MATCH($A196,Segmentation!$A$2:$A$301,0))</f>
        <v>Tail</v>
      </c>
      <c r="F196" s="2" t="str">
        <f aca="false">INDEX(Segmentation!$G$2:$G$301,MATCH($A196,Segmentation!$A$2:$A$301,0))</f>
        <v>Low</v>
      </c>
      <c r="G196" s="2" t="str">
        <f aca="false">INDEX(Segmentation!$N$2:$N$301,MATCH($A196,Segmentation!$A$2:$A$301,0))</f>
        <v>Lapsed</v>
      </c>
      <c r="H196" s="9" t="n">
        <f aca="false">INDEX(Segmentation!$I$2:$I$301,MATCH($A196,Segmentation!$A$2:$A$301,0))</f>
        <v>103</v>
      </c>
      <c r="I196" s="2" t="n">
        <f aca="false">INDEX(Segmentation!$O$2:$O$301,MATCH($A196,Segmentation!$A$2:$A$301,0))</f>
        <v>1</v>
      </c>
      <c r="J196" s="2" t="n">
        <f aca="false">INDEX(Segmentation!$Q$2:$Q$301,MATCH($A196,Segmentation!$A$2:$A$301,0))</f>
        <v>1</v>
      </c>
      <c r="K196" s="2" t="n">
        <f aca="false">INDEX(Segmentation!$W$2:$W$301,MATCH($A196,Segmentation!$A$2:$A$301,0))</f>
        <v>1</v>
      </c>
      <c r="L196" s="9" t="n">
        <f aca="false">INDEX('Commercial View'!$L$2:$L$301,MATCH($A196,'Commercial View'!$A$2:$A$301,0))</f>
        <v>0</v>
      </c>
      <c r="M196" s="9" t="n">
        <f aca="false">INDEX('Commercial View'!$M$2:$M$301,MATCH($A196,'Commercial View'!$A$2:$A$301,0))</f>
        <v>0</v>
      </c>
      <c r="N196" s="9" t="n">
        <f aca="false">INDEX('Commercial View'!$N$2:$N$301,MATCH($A196,'Commercial View'!$A$2:$A$301,0))</f>
        <v>0</v>
      </c>
      <c r="O196" s="9" t="n">
        <f aca="false">INDEX(Segmentation!$L$2:$L$301,MATCH($A196,Segmentation!$A$2:$A$301,0))</f>
        <v>0</v>
      </c>
      <c r="P196" s="2" t="str">
        <f aca="false">IF(OR(M196&gt;0,N196&gt;0),"Recently Active",IF(OR(I196&lt;=Assumptions!$B$48,K196&lt;=Assumptions!$B$49),"No Meaningful History","Recent Inactivity"))</f>
        <v>No Meaningful History</v>
      </c>
      <c r="Q196" s="2" t="str">
        <f aca="false">INDEX(Segmentation!$AF$2:$AF$301,MATCH($A196,Segmentation!$A$2:$A$301,0))</f>
        <v>Existing Customer</v>
      </c>
      <c r="R196" s="2" t="str">
        <f aca="false">INDEX(Segmentation!$AL$2:$AL$301,MATCH($A196,Segmentation!$A$2:$A$301,0))</f>
        <v>One-Off / Insufficient History — Verify</v>
      </c>
      <c r="S196" s="10" t="b">
        <f aca="false">INDEX(Segmentation!$AW$2:$AW$301,MATCH($A196,Segmentation!$A$2:$A$301,0))</f>
        <v>0</v>
      </c>
      <c r="T196" s="2" t="str">
        <f aca="false">INDEX('Feature Data'!$AD$2:$AD$301,MATCH($A196,'Feature Data'!$A$2:$A$301,0))</f>
        <v>One-off low-touch buyer</v>
      </c>
      <c r="U196" s="2" t="str">
        <f aca="false">INDEX('Feature Data'!$W$2:$W$301,MATCH($A196,'Feature Data'!$A$2:$A$301,0))</f>
        <v>Bundle-only</v>
      </c>
      <c r="V196" s="2" t="n">
        <f aca="false">INDEX('Feature Data'!$P$2:$P$301,MATCH($A196,'Feature Data'!$A$2:$A$301,0))</f>
        <v>0</v>
      </c>
      <c r="W196" s="2" t="n">
        <f aca="false">INDEX(Segmentation!$R$2:$R$301,MATCH($A196,Segmentation!$A$2:$A$301,0))</f>
        <v>0</v>
      </c>
      <c r="X196" s="2" t="n">
        <f aca="false">INDEX(Segmentation!$S$2:$S$301,MATCH($A196,Segmentation!$A$2:$A$301,0))</f>
        <v>0</v>
      </c>
      <c r="Y196" s="10" t="b">
        <f aca="false">INDEX(Segmentation!$AG$2:$AG$301,MATCH($A196,Segmentation!$A$2:$A$301,0))</f>
        <v>0</v>
      </c>
      <c r="Z196" s="2" t="str">
        <f aca="false">INDEX(Segmentation!$AU$2:$AU$301,MATCH($A196,Segmentation!$A$2:$A$301,0))</f>
        <v>Not Eligible</v>
      </c>
      <c r="AA196" s="10" t="b">
        <f aca="false">INDEX(Segmentation!$Z$2:$Z$301,MATCH($A196,Segmentation!$A$2:$A$301,0))</f>
        <v>0</v>
      </c>
      <c r="AB196" s="10" t="b">
        <f aca="false">INDEX(Segmentation!$AH$2:$AH$301,MATCH($A196,Segmentation!$A$2:$A$301,0))</f>
        <v>0</v>
      </c>
      <c r="AC196" s="10" t="b">
        <f aca="false">INDEX(Segmentation!$AK$2:$AK$301,MATCH($A196,Segmentation!$A$2:$A$301,0))</f>
        <v>0</v>
      </c>
      <c r="AD196" s="10" t="b">
        <f aca="false">INDEX(Segmentation!$AQ$2:$AQ$301,MATCH($A196,Segmentation!$A$2:$A$301,0))</f>
        <v>0</v>
      </c>
      <c r="AE196" s="10" t="b">
        <f aca="false">INDEX(Segmentation!$AT$2:$AT$301,MATCH($A196,Segmentation!$A$2:$A$301,0))</f>
        <v>0</v>
      </c>
      <c r="AF196" s="10" t="b">
        <f aca="false">INDEX(Segmentation!$X$2:$X$301,MATCH($A196,Segmentation!$A$2:$A$301,0))</f>
        <v>1</v>
      </c>
      <c r="AG196" s="10" t="b">
        <f aca="false">AND(F196="Low",V196&gt;=Assumptions!$B$71,X196&lt;Assumptions!$B$72)</f>
        <v>0</v>
      </c>
      <c r="AH196" s="10" t="b">
        <f aca="false">AND(F196="Low",OR(G196="Growing",G196="Stable"),P196="Recently Active",V196&gt;=Assumptions!$B$58,K196&gt;=Assumptions!$B$73)</f>
        <v>0</v>
      </c>
      <c r="AI196" s="17" t="str">
        <f aca="false">IF(O196&gt;0,MAX(L196:N196)/O196,"")</f>
        <v/>
      </c>
      <c r="AJ196" s="2" t="str">
        <f aca="false">IF(LEFT(D196,1)="1",IF(E196="Key","MIGRATION_KEY_SIGNOFF",IF(Z196="Ready","MIGRATION_PHASE1_READY",IF(Z196="Manual Review","MIGRATION_PHASE1_REVIEW","MIGRATION_PRE_ENTRY"))),IF(LEFT(D196,1)="2","DECLINING_KEY_CORE",IF(LEFT(D196,1)="3",IF(R196="Established Buyer Lapsed","LAPSED_ESTABLISHED","LAPSED_THIN_HISTORY"),IF(LEFT(D196,1)="4",IF(Q196="New Customer","NEW_CUSTOMER","RETURNED_CUSTOMER"),IF(LEFT(D196,1)="5",IF(P196="Recently Active","COST_TO_SERVE_ACTIVE","DORMANT_LOW_VALUE"),IF(LEFT(D196,1)="6",IF(P196="Recent Inactivity","RECENT_INACTIVITY",IF(AG196,"BROWSING_LOW_OFFERS","HEALTHY_STRONG_SELF_SERVE")),IF(LEFT(D196,1)="7",IF(P196="Recent Inactivity","RECENT_INACTIVITY",IF(Q196="New Customer","NEW_CUSTOMER","RETURNED_CUSTOMER")),IF(LEFT(D196,1)="8",IF(G196="Declining",IF(T196="Engaged but shrinking (Key/Core)","ENGAGED_BUT_SHRINKING","DECLINING_KEY_CORE"),IF(R196="Established Buyer Lapsed","LAPSED_ESTABLISHED","LAPSED_THIN_HISTORY")),IF(S196,IF(P196&lt;&gt;"Recently Active","DORMANT_LOW_VALUE",IF(AG196,"BROWSING_LOW_OFFERS",IF(AH196,"RISING_TAIL","RISING_TAIL_EARLY"))),IF(AND(AG196,P196="Recently Active",OR(G196="Growing",G196="Stable",G196="H2 Active / No H1 GMV"),I196&gt;=Assumptions!$B$74),"BROWSING_LOW_OFFERS","LONG_TAIL_STANDARD"))))))))))</f>
        <v>LONG_TAIL_STANDARD</v>
      </c>
      <c r="AK196" s="2" t="str">
        <f aca="false">INDEX('NBA Library'!$B$4:$B$21,MATCH(AJ196,'NBA Library'!$A$4:$A$21,0))</f>
        <v>Automated Nurture</v>
      </c>
      <c r="AL196" s="2" t="str">
        <f aca="false">INDEX('NBA Library'!$C$4:$C$21,MATCH(AJ196,'NBA Library'!$A$4:$A$21,0))</f>
        <v>Automated</v>
      </c>
      <c r="AM196" s="2" t="str">
        <f aca="false">IF(AA196,"HOLD — Critical Data Issue",IF(Y196,"Human Sign-Off Required",IF(Z196="Manual Review","Human Review Required",IF(AND(AL196="Automated",OR(AE196,AND(OR(AK196="Discovery-to-Offer Enablement",AK196="Reinforce Successful Behaviour"),OR(AC196,AB196)))),"Human Review Required",IF(AL196="Human","Ready — Human",IF(AL196="Hybrid","Ready — Hybrid","Ready — Automated"))))))</f>
        <v>Ready — Automated</v>
      </c>
      <c r="AN196" s="2" t="str">
        <f aca="false">IF(AA196,"P0",IF(AND(AJ196="BROWSING_LOW_OFFERS",E196="Tail"),"P3",IF(AND(AM196="Human Review Required",INDEX('NBA Library'!$D$4:$D$21,MATCH(AJ196,'NBA Library'!$A$4:$A$21,0))="P4"),"P3",INDEX('NBA Library'!$D$4:$D$21,MATCH(AJ196,'NBA Library'!$A$4:$A$21,0)))))</f>
        <v>P4</v>
      </c>
      <c r="AO196" s="2" t="str">
        <f aca="false">E196&amp;" "&amp;C196&amp;" account ("&amp;B196&amp;"); "&amp;G196&amp;" momentum; "&amp;P196&amp;"; £"&amp;TEXT(H196,"#,##0")&amp;" 6m GMV. "&amp;INDEX('NBA Library'!$G$4:$G$21,MATCH(AJ196,'NBA Library'!$A$4:$A$21,0))&amp;IF(LEFT(D196,1)="1"," Baseline: "&amp;V196&amp;" PDP views, "&amp;W196&amp;" app days, "&amp;X196&amp;" offers, "&amp;TEXT(J196/I196,"0%")&amp;" of orders self-serve.","")&amp;IF(AA196," Execution on HOLD until the Duplicate status is resolved.","")&amp;IF(Y196," Key account: explicit AM/leadership sign-off required before any migration activity.","")&amp;IF(AE196," Implied broker % from order counts would move this account to a different segment; review before automating.","")</f>
        <v>Tail AM-Owned / Self-Serving account (Account Managed); Lapsed momentum; No Meaningful History; £103 6m GMV. Low-value, low-dependency account. Scalable automated engagement.</v>
      </c>
      <c r="AP196" s="2" t="str">
        <f aca="false">INDEX('NBA Library'!$E$4:$E$21,MATCH(AJ196,'NBA Library'!$A$4:$A$21,0))&amp;IF(AND(AJ196="NEW_CUSTOMER",AG196),"; introduce Make-an-Offer on items already browsed","")</f>
        <v>Scalable automated engagement matched to nurture sub-context</v>
      </c>
      <c r="AQ196" s="2" t="str">
        <f aca="false">INDEX('NBA Library'!$F$4:$F$21,MATCH(AJ196,'NBA Library'!$A$4:$A$21,0))</f>
        <v>Any repeat order within 90 days</v>
      </c>
      <c r="AR196" s="2" t="str">
        <f aca="false">IF(AND(F196="Low",OR(G196="Growing",G196="Stable"),P196="Recently Active",U196&lt;&gt;"Mixed",OR(AK196="Discovery-to-Offer Enablement",AK196="Reinforce Successful Behaviour"),AM196="Ready — Automated",OR(E196&lt;&gt;"Tail",S196)),"Range Expansion Test — trial "&amp;IF(U196="Bundle-only","handpick","bundles")&amp;" (experimental; not proven to lift GMV)","")</f>
        <v/>
      </c>
      <c r="AS196" s="2" t="str">
        <f aca="false">IF(AK196&lt;&gt;"Automated Nurture","",IF(AJ196="DORMANT_LOW_VALUE","Dormant",IF(AJ196="RISING_TAIL_EARLY","Rising tail – early pattern",IF(Q196="New Customer","New customer onboarding",IF(Q196="Returned Customer","Returned customer",IF(G196="Lapsed","Dormant",IF(T196="Engaged, not converting","Engaged, not converting",IF(T196="One-off low-touch buyer","One-off purchaser",IF(T196="Light-touch repeat buyer","Light-touch repeat buyer","Standard long tail")))))))))</f>
        <v>Dormant</v>
      </c>
      <c r="AT196" s="2" t="str">
        <f aca="false">IF(AA196,"CRITICAL_DATA_BLOCKER; ","")&amp;IF(Y196,"KEY_SIGNOFF; ","")&amp;IF(Z196="Manual Review","PHASE1_MANUAL_REVIEW; ","")&amp;IF(AND(LEFT(D196,1)="1",AZ196="Lumpy"),"LUMPY_CADENCE; ","")&amp;IF(AB196,"BORDERLINE_MOMENTUM; ","")&amp;IF(AC196,"FEB_SENSITIVE; ","")&amp;IF(AD196,"MATERIAL_BROKER_INCONSISTENCY"&amp;IF(AE196," (segment would change)","")&amp;"; ","")&amp;IF(AND(I196&gt;=3,O196&gt;0),IF(AI196&gt;=Assumptions!$B$75,"H2_SINGLE_MONTH_SPIKE; ",""),"")&amp;IF(AND(M196&gt;0,N196=0),"NO_FEB_GMV (Feb unconfirmed); ","")&amp;IF(AF196,"LOW_CONFIDENCE; ","")</f>
        <v>LOW_CONFIDENCE; </v>
      </c>
      <c r="AU196" s="2" t="str">
        <f aca="false">IF(LEFT(D196,1)="1",V196,"")</f>
        <v/>
      </c>
      <c r="AV196" s="2" t="str">
        <f aca="false">IF(LEFT(D196,1)="1",V196&gt;=Assumptions!$B$58,"")</f>
        <v/>
      </c>
      <c r="AW196" s="2" t="str">
        <f aca="false">IF(LEFT(D196,1)="1",W196,"")</f>
        <v/>
      </c>
      <c r="AX196" s="2" t="str">
        <f aca="false">IF(LEFT(D196,1)="1",X196,"")</f>
        <v/>
      </c>
      <c r="AY196" s="17" t="str">
        <f aca="false">IF(LEFT(D196,1)="1",J196/I196,"")</f>
        <v/>
      </c>
      <c r="AZ196" s="2" t="str">
        <f aca="false">IF(LEFT(D196,1)="1",IF(AND(K196&gt;=Assumptions!$B$83,I196&gt;=Assumptions!$B$84),"Regular","Lumpy"),"")</f>
        <v/>
      </c>
      <c r="BA196" s="2" t="str">
        <f aca="false">IF(LEFT(D196,1)="1",ROUND(6/K196,0),"")</f>
        <v/>
      </c>
      <c r="BB196" s="2" t="str">
        <f aca="false">IF(LEFT(D196,1)="1",IF(AZ196="Regular","Regular buyer: expected ~£"&amp;TEXT(H196/2,"#,##0")&amp;" per 90 days. At Risk if GMV to date &lt; "&amp;TEXT(Assumptions!$B$81,"0%")&amp;" of pro-rated expectation, checked from day "&amp;Assumptions!$B$82&amp;". Human-reviewed.","Irregular buyer ("&amp;I196&amp;" orders across "&amp;K196&amp;" months): no numeric GMV threshold. At Risk if no order within ~"&amp;BA196&amp;" month(s); AM reviews at day "&amp;Assumptions!$B$82&amp;" and "&amp;Assumptions!$B$85&amp;"."),"")</f>
        <v/>
      </c>
      <c r="BC196" s="2"/>
      <c r="BD196" s="2"/>
      <c r="BE196" s="2"/>
      <c r="BF196" s="2"/>
      <c r="BG196" s="2"/>
      <c r="BH196" s="2"/>
      <c r="BI196" s="2"/>
      <c r="BJ196" s="2" t="str">
        <f aca="false">IF(OR(NOT(LEFT(D196,1)="1"),BC196=""),"",IF(AZ196="Regular",AND(BC196&gt;=Assumptions!$B$82,N(BI196)&lt;Assumptions!$B$81*H196/180*BC196),AND(BC196&gt;=BA196*30,N(BG196)=0)))</f>
        <v/>
      </c>
      <c r="BK196" s="2" t="str">
        <f aca="false">IF(NOT(LEFT(D196,1)="1"),"N/A",IF(BC196="","Baseline",IF(BJ196,"At Risk",IF(AND(N(BD196)&gt;=Assumptions!$B$78,N(BE196)&gt;=Assumptions!$B$79,N(BH196)&gt;=1,N(BH196)/MAX(N(BG196),1)&gt;AY196),"Self-Serve Capability Demonstrated",IF(OR(N(BD196)&gt;=Assumptions!$B$76,N(BE196)&gt;=Assumptions!$B$77),"Progressing",IF(BC196&gt;=Assumptions!$B$85,"At Risk","Baseline"))))))</f>
        <v>N/A</v>
      </c>
      <c r="BL196" s="2" t="n">
        <f aca="false">(AND(C196="Broker-Reliant",OR(AK196="Discovery-to-Offer Enablement",AK196="Reinforce Successful Behaviour")))*1+(AND(G196="Declining",E196&lt;&gt;"Tail",AL196="Automated"))*1+(AND(Y196,AM196&lt;&gt;"Human Sign-Off Required"))*1+(AND(AA196,AM196&lt;&gt;"HOLD — Critical Data Issue"))*1+(AND(P196="Recent Inactivity",OR(AK196="Discovery-to-Offer Enablement",AK196="Reinforce Successful Behaviour")))*1+(AND(OR(LEFT(D196,1)="2",LEFT(D196,1)="3",LEFT(D196,1)="8"),AL196="Automated"))*1+((LEFT(D196,1)="1")&lt;&gt;(AK196="Guided Self-Serve Migration"))*1+(AND(AR196&lt;&gt;"",OR(F196&lt;&gt;"Low",U196="Mixed",AND(G196&lt;&gt;"Growing",G196&lt;&gt;"Stable"))))*1+ISNUMBER(SEARCH("chat",AP196))*1+ISNUMBER(SEARCH("video",AP196))*1+(AND(AA196,AL196="Automated",AM196&lt;&gt;"HOLD — Critical Data Issue"))*1</f>
        <v>0</v>
      </c>
    </row>
    <row r="197" customFormat="false" ht="15" hidden="false" customHeight="false" outlineLevel="0" collapsed="false">
      <c r="A197" s="2" t="s">
        <v>958</v>
      </c>
      <c r="B197" s="2" t="str">
        <f aca="false">INDEX(Segmentation!$B$2:$B$301,MATCH($A197,Segmentation!$A$2:$A$301,0))</f>
        <v>Account Managed</v>
      </c>
      <c r="C197" s="2" t="str">
        <f aca="false">INDEX(Segmentation!$H$2:$H$301,MATCH($A197,Segmentation!$A$2:$A$301,0))</f>
        <v>AM-Owned / Self-Serving</v>
      </c>
      <c r="D197" s="2" t="str">
        <f aca="false">INDEX(Segmentation!$T$2:$T$301,MATCH($A197,Segmentation!$A$2:$A$301,0))</f>
        <v>9. Long-Tail Automated Nurture</v>
      </c>
      <c r="E197" s="2" t="str">
        <f aca="false">INDEX(Segmentation!$J$2:$J$301,MATCH($A197,Segmentation!$A$2:$A$301,0))</f>
        <v>Tail</v>
      </c>
      <c r="F197" s="2" t="str">
        <f aca="false">INDEX(Segmentation!$G$2:$G$301,MATCH($A197,Segmentation!$A$2:$A$301,0))</f>
        <v>Low</v>
      </c>
      <c r="G197" s="2" t="str">
        <f aca="false">INDEX(Segmentation!$N$2:$N$301,MATCH($A197,Segmentation!$A$2:$A$301,0))</f>
        <v>Lapsed</v>
      </c>
      <c r="H197" s="9" t="n">
        <f aca="false">INDEX(Segmentation!$I$2:$I$301,MATCH($A197,Segmentation!$A$2:$A$301,0))</f>
        <v>101</v>
      </c>
      <c r="I197" s="2" t="n">
        <f aca="false">INDEX(Segmentation!$O$2:$O$301,MATCH($A197,Segmentation!$A$2:$A$301,0))</f>
        <v>1</v>
      </c>
      <c r="J197" s="2" t="n">
        <f aca="false">INDEX(Segmentation!$Q$2:$Q$301,MATCH($A197,Segmentation!$A$2:$A$301,0))</f>
        <v>1</v>
      </c>
      <c r="K197" s="2" t="n">
        <f aca="false">INDEX(Segmentation!$W$2:$W$301,MATCH($A197,Segmentation!$A$2:$A$301,0))</f>
        <v>1</v>
      </c>
      <c r="L197" s="9" t="n">
        <f aca="false">INDEX('Commercial View'!$L$2:$L$301,MATCH($A197,'Commercial View'!$A$2:$A$301,0))</f>
        <v>0</v>
      </c>
      <c r="M197" s="9" t="n">
        <f aca="false">INDEX('Commercial View'!$M$2:$M$301,MATCH($A197,'Commercial View'!$A$2:$A$301,0))</f>
        <v>0</v>
      </c>
      <c r="N197" s="9" t="n">
        <f aca="false">INDEX('Commercial View'!$N$2:$N$301,MATCH($A197,'Commercial View'!$A$2:$A$301,0))</f>
        <v>0</v>
      </c>
      <c r="O197" s="9" t="n">
        <f aca="false">INDEX(Segmentation!$L$2:$L$301,MATCH($A197,Segmentation!$A$2:$A$301,0))</f>
        <v>0</v>
      </c>
      <c r="P197" s="2" t="str">
        <f aca="false">IF(OR(M197&gt;0,N197&gt;0),"Recently Active",IF(OR(I197&lt;=Assumptions!$B$48,K197&lt;=Assumptions!$B$49),"No Meaningful History","Recent Inactivity"))</f>
        <v>No Meaningful History</v>
      </c>
      <c r="Q197" s="2" t="str">
        <f aca="false">INDEX(Segmentation!$AF$2:$AF$301,MATCH($A197,Segmentation!$A$2:$A$301,0))</f>
        <v>Existing Customer</v>
      </c>
      <c r="R197" s="2" t="str">
        <f aca="false">INDEX(Segmentation!$AL$2:$AL$301,MATCH($A197,Segmentation!$A$2:$A$301,0))</f>
        <v>One-Off / Insufficient History — Verify</v>
      </c>
      <c r="S197" s="10" t="b">
        <f aca="false">INDEX(Segmentation!$AW$2:$AW$301,MATCH($A197,Segmentation!$A$2:$A$301,0))</f>
        <v>0</v>
      </c>
      <c r="T197" s="2" t="str">
        <f aca="false">INDEX('Feature Data'!$AD$2:$AD$301,MATCH($A197,'Feature Data'!$A$2:$A$301,0))</f>
        <v>One-off low-touch buyer</v>
      </c>
      <c r="U197" s="2" t="str">
        <f aca="false">INDEX('Feature Data'!$W$2:$W$301,MATCH($A197,'Feature Data'!$A$2:$A$301,0))</f>
        <v>Bundle-only</v>
      </c>
      <c r="V197" s="2" t="n">
        <f aca="false">INDEX('Feature Data'!$P$2:$P$301,MATCH($A197,'Feature Data'!$A$2:$A$301,0))</f>
        <v>46</v>
      </c>
      <c r="W197" s="2" t="n">
        <f aca="false">INDEX(Segmentation!$R$2:$R$301,MATCH($A197,Segmentation!$A$2:$A$301,0))</f>
        <v>11</v>
      </c>
      <c r="X197" s="2" t="n">
        <f aca="false">INDEX(Segmentation!$S$2:$S$301,MATCH($A197,Segmentation!$A$2:$A$301,0))</f>
        <v>0</v>
      </c>
      <c r="Y197" s="10" t="b">
        <f aca="false">INDEX(Segmentation!$AG$2:$AG$301,MATCH($A197,Segmentation!$A$2:$A$301,0))</f>
        <v>0</v>
      </c>
      <c r="Z197" s="2" t="str">
        <f aca="false">INDEX(Segmentation!$AU$2:$AU$301,MATCH($A197,Segmentation!$A$2:$A$301,0))</f>
        <v>Not Eligible</v>
      </c>
      <c r="AA197" s="10" t="b">
        <f aca="false">INDEX(Segmentation!$Z$2:$Z$301,MATCH($A197,Segmentation!$A$2:$A$301,0))</f>
        <v>0</v>
      </c>
      <c r="AB197" s="10" t="b">
        <f aca="false">INDEX(Segmentation!$AH$2:$AH$301,MATCH($A197,Segmentation!$A$2:$A$301,0))</f>
        <v>0</v>
      </c>
      <c r="AC197" s="10" t="b">
        <f aca="false">INDEX(Segmentation!$AK$2:$AK$301,MATCH($A197,Segmentation!$A$2:$A$301,0))</f>
        <v>0</v>
      </c>
      <c r="AD197" s="10" t="b">
        <f aca="false">INDEX(Segmentation!$AQ$2:$AQ$301,MATCH($A197,Segmentation!$A$2:$A$301,0))</f>
        <v>0</v>
      </c>
      <c r="AE197" s="10" t="b">
        <f aca="false">INDEX(Segmentation!$AT$2:$AT$301,MATCH($A197,Segmentation!$A$2:$A$301,0))</f>
        <v>0</v>
      </c>
      <c r="AF197" s="10" t="b">
        <f aca="false">INDEX(Segmentation!$X$2:$X$301,MATCH($A197,Segmentation!$A$2:$A$301,0))</f>
        <v>1</v>
      </c>
      <c r="AG197" s="10" t="b">
        <f aca="false">AND(F197="Low",V197&gt;=Assumptions!$B$71,X197&lt;Assumptions!$B$72)</f>
        <v>0</v>
      </c>
      <c r="AH197" s="10" t="b">
        <f aca="false">AND(F197="Low",OR(G197="Growing",G197="Stable"),P197="Recently Active",V197&gt;=Assumptions!$B$58,K197&gt;=Assumptions!$B$73)</f>
        <v>0</v>
      </c>
      <c r="AI197" s="17" t="str">
        <f aca="false">IF(O197&gt;0,MAX(L197:N197)/O197,"")</f>
        <v/>
      </c>
      <c r="AJ197" s="2" t="str">
        <f aca="false">IF(LEFT(D197,1)="1",IF(E197="Key","MIGRATION_KEY_SIGNOFF",IF(Z197="Ready","MIGRATION_PHASE1_READY",IF(Z197="Manual Review","MIGRATION_PHASE1_REVIEW","MIGRATION_PRE_ENTRY"))),IF(LEFT(D197,1)="2","DECLINING_KEY_CORE",IF(LEFT(D197,1)="3",IF(R197="Established Buyer Lapsed","LAPSED_ESTABLISHED","LAPSED_THIN_HISTORY"),IF(LEFT(D197,1)="4",IF(Q197="New Customer","NEW_CUSTOMER","RETURNED_CUSTOMER"),IF(LEFT(D197,1)="5",IF(P197="Recently Active","COST_TO_SERVE_ACTIVE","DORMANT_LOW_VALUE"),IF(LEFT(D197,1)="6",IF(P197="Recent Inactivity","RECENT_INACTIVITY",IF(AG197,"BROWSING_LOW_OFFERS","HEALTHY_STRONG_SELF_SERVE")),IF(LEFT(D197,1)="7",IF(P197="Recent Inactivity","RECENT_INACTIVITY",IF(Q197="New Customer","NEW_CUSTOMER","RETURNED_CUSTOMER")),IF(LEFT(D197,1)="8",IF(G197="Declining",IF(T197="Engaged but shrinking (Key/Core)","ENGAGED_BUT_SHRINKING","DECLINING_KEY_CORE"),IF(R197="Established Buyer Lapsed","LAPSED_ESTABLISHED","LAPSED_THIN_HISTORY")),IF(S197,IF(P197&lt;&gt;"Recently Active","DORMANT_LOW_VALUE",IF(AG197,"BROWSING_LOW_OFFERS",IF(AH197,"RISING_TAIL","RISING_TAIL_EARLY"))),IF(AND(AG197,P197="Recently Active",OR(G197="Growing",G197="Stable",G197="H2 Active / No H1 GMV"),I197&gt;=Assumptions!$B$74),"BROWSING_LOW_OFFERS","LONG_TAIL_STANDARD"))))))))))</f>
        <v>LONG_TAIL_STANDARD</v>
      </c>
      <c r="AK197" s="2" t="str">
        <f aca="false">INDEX('NBA Library'!$B$4:$B$21,MATCH(AJ197,'NBA Library'!$A$4:$A$21,0))</f>
        <v>Automated Nurture</v>
      </c>
      <c r="AL197" s="2" t="str">
        <f aca="false">INDEX('NBA Library'!$C$4:$C$21,MATCH(AJ197,'NBA Library'!$A$4:$A$21,0))</f>
        <v>Automated</v>
      </c>
      <c r="AM197" s="2" t="str">
        <f aca="false">IF(AA197,"HOLD — Critical Data Issue",IF(Y197,"Human Sign-Off Required",IF(Z197="Manual Review","Human Review Required",IF(AND(AL197="Automated",OR(AE197,AND(OR(AK197="Discovery-to-Offer Enablement",AK197="Reinforce Successful Behaviour"),OR(AC197,AB197)))),"Human Review Required",IF(AL197="Human","Ready — Human",IF(AL197="Hybrid","Ready — Hybrid","Ready — Automated"))))))</f>
        <v>Ready — Automated</v>
      </c>
      <c r="AN197" s="2" t="str">
        <f aca="false">IF(AA197,"P0",IF(AND(AJ197="BROWSING_LOW_OFFERS",E197="Tail"),"P3",IF(AND(AM197="Human Review Required",INDEX('NBA Library'!$D$4:$D$21,MATCH(AJ197,'NBA Library'!$A$4:$A$21,0))="P4"),"P3",INDEX('NBA Library'!$D$4:$D$21,MATCH(AJ197,'NBA Library'!$A$4:$A$21,0)))))</f>
        <v>P4</v>
      </c>
      <c r="AO197" s="2" t="str">
        <f aca="false">E197&amp;" "&amp;C197&amp;" account ("&amp;B197&amp;"); "&amp;G197&amp;" momentum; "&amp;P197&amp;"; £"&amp;TEXT(H197,"#,##0")&amp;" 6m GMV. "&amp;INDEX('NBA Library'!$G$4:$G$21,MATCH(AJ197,'NBA Library'!$A$4:$A$21,0))&amp;IF(LEFT(D197,1)="1"," Baseline: "&amp;V197&amp;" PDP views, "&amp;W197&amp;" app days, "&amp;X197&amp;" offers, "&amp;TEXT(J197/I197,"0%")&amp;" of orders self-serve.","")&amp;IF(AA197," Execution on HOLD until the Duplicate status is resolved.","")&amp;IF(Y197," Key account: explicit AM/leadership sign-off required before any migration activity.","")&amp;IF(AE197," Implied broker % from order counts would move this account to a different segment; review before automating.","")</f>
        <v>Tail AM-Owned / Self-Serving account (Account Managed); Lapsed momentum; No Meaningful History; £101 6m GMV. Low-value, low-dependency account. Scalable automated engagement.</v>
      </c>
      <c r="AP197" s="2" t="str">
        <f aca="false">INDEX('NBA Library'!$E$4:$E$21,MATCH(AJ197,'NBA Library'!$A$4:$A$21,0))&amp;IF(AND(AJ197="NEW_CUSTOMER",AG197),"; introduce Make-an-Offer on items already browsed","")</f>
        <v>Scalable automated engagement matched to nurture sub-context</v>
      </c>
      <c r="AQ197" s="2" t="str">
        <f aca="false">INDEX('NBA Library'!$F$4:$F$21,MATCH(AJ197,'NBA Library'!$A$4:$A$21,0))</f>
        <v>Any repeat order within 90 days</v>
      </c>
      <c r="AR197" s="2" t="str">
        <f aca="false">IF(AND(F197="Low",OR(G197="Growing",G197="Stable"),P197="Recently Active",U197&lt;&gt;"Mixed",OR(AK197="Discovery-to-Offer Enablement",AK197="Reinforce Successful Behaviour"),AM197="Ready — Automated",OR(E197&lt;&gt;"Tail",S197)),"Range Expansion Test — trial "&amp;IF(U197="Bundle-only","handpick","bundles")&amp;" (experimental; not proven to lift GMV)","")</f>
        <v/>
      </c>
      <c r="AS197" s="2" t="str">
        <f aca="false">IF(AK197&lt;&gt;"Automated Nurture","",IF(AJ197="DORMANT_LOW_VALUE","Dormant",IF(AJ197="RISING_TAIL_EARLY","Rising tail – early pattern",IF(Q197="New Customer","New customer onboarding",IF(Q197="Returned Customer","Returned customer",IF(G197="Lapsed","Dormant",IF(T197="Engaged, not converting","Engaged, not converting",IF(T197="One-off low-touch buyer","One-off purchaser",IF(T197="Light-touch repeat buyer","Light-touch repeat buyer","Standard long tail")))))))))</f>
        <v>Dormant</v>
      </c>
      <c r="AT197" s="2" t="str">
        <f aca="false">IF(AA197,"CRITICAL_DATA_BLOCKER; ","")&amp;IF(Y197,"KEY_SIGNOFF; ","")&amp;IF(Z197="Manual Review","PHASE1_MANUAL_REVIEW; ","")&amp;IF(AND(LEFT(D197,1)="1",AZ197="Lumpy"),"LUMPY_CADENCE; ","")&amp;IF(AB197,"BORDERLINE_MOMENTUM; ","")&amp;IF(AC197,"FEB_SENSITIVE; ","")&amp;IF(AD197,"MATERIAL_BROKER_INCONSISTENCY"&amp;IF(AE197," (segment would change)","")&amp;"; ","")&amp;IF(AND(I197&gt;=3,O197&gt;0),IF(AI197&gt;=Assumptions!$B$75,"H2_SINGLE_MONTH_SPIKE; ",""),"")&amp;IF(AND(M197&gt;0,N197=0),"NO_FEB_GMV (Feb unconfirmed); ","")&amp;IF(AF197,"LOW_CONFIDENCE; ","")</f>
        <v>LOW_CONFIDENCE; </v>
      </c>
      <c r="AU197" s="2" t="str">
        <f aca="false">IF(LEFT(D197,1)="1",V197,"")</f>
        <v/>
      </c>
      <c r="AV197" s="2" t="str">
        <f aca="false">IF(LEFT(D197,1)="1",V197&gt;=Assumptions!$B$58,"")</f>
        <v/>
      </c>
      <c r="AW197" s="2" t="str">
        <f aca="false">IF(LEFT(D197,1)="1",W197,"")</f>
        <v/>
      </c>
      <c r="AX197" s="2" t="str">
        <f aca="false">IF(LEFT(D197,1)="1",X197,"")</f>
        <v/>
      </c>
      <c r="AY197" s="17" t="str">
        <f aca="false">IF(LEFT(D197,1)="1",J197/I197,"")</f>
        <v/>
      </c>
      <c r="AZ197" s="2" t="str">
        <f aca="false">IF(LEFT(D197,1)="1",IF(AND(K197&gt;=Assumptions!$B$83,I197&gt;=Assumptions!$B$84),"Regular","Lumpy"),"")</f>
        <v/>
      </c>
      <c r="BA197" s="2" t="str">
        <f aca="false">IF(LEFT(D197,1)="1",ROUND(6/K197,0),"")</f>
        <v/>
      </c>
      <c r="BB197" s="2" t="str">
        <f aca="false">IF(LEFT(D197,1)="1",IF(AZ197="Regular","Regular buyer: expected ~£"&amp;TEXT(H197/2,"#,##0")&amp;" per 90 days. At Risk if GMV to date &lt; "&amp;TEXT(Assumptions!$B$81,"0%")&amp;" of pro-rated expectation, checked from day "&amp;Assumptions!$B$82&amp;". Human-reviewed.","Irregular buyer ("&amp;I197&amp;" orders across "&amp;K197&amp;" months): no numeric GMV threshold. At Risk if no order within ~"&amp;BA197&amp;" month(s); AM reviews at day "&amp;Assumptions!$B$82&amp;" and "&amp;Assumptions!$B$85&amp;"."),"")</f>
        <v/>
      </c>
      <c r="BC197" s="2"/>
      <c r="BD197" s="2"/>
      <c r="BE197" s="2"/>
      <c r="BF197" s="2"/>
      <c r="BG197" s="2"/>
      <c r="BH197" s="2"/>
      <c r="BI197" s="2"/>
      <c r="BJ197" s="2" t="str">
        <f aca="false">IF(OR(NOT(LEFT(D197,1)="1"),BC197=""),"",IF(AZ197="Regular",AND(BC197&gt;=Assumptions!$B$82,N(BI197)&lt;Assumptions!$B$81*H197/180*BC197),AND(BC197&gt;=BA197*30,N(BG197)=0)))</f>
        <v/>
      </c>
      <c r="BK197" s="2" t="str">
        <f aca="false">IF(NOT(LEFT(D197,1)="1"),"N/A",IF(BC197="","Baseline",IF(BJ197,"At Risk",IF(AND(N(BD197)&gt;=Assumptions!$B$78,N(BE197)&gt;=Assumptions!$B$79,N(BH197)&gt;=1,N(BH197)/MAX(N(BG197),1)&gt;AY197),"Self-Serve Capability Demonstrated",IF(OR(N(BD197)&gt;=Assumptions!$B$76,N(BE197)&gt;=Assumptions!$B$77),"Progressing",IF(BC197&gt;=Assumptions!$B$85,"At Risk","Baseline"))))))</f>
        <v>N/A</v>
      </c>
      <c r="BL197" s="2" t="n">
        <f aca="false">(AND(C197="Broker-Reliant",OR(AK197="Discovery-to-Offer Enablement",AK197="Reinforce Successful Behaviour")))*1+(AND(G197="Declining",E197&lt;&gt;"Tail",AL197="Automated"))*1+(AND(Y197,AM197&lt;&gt;"Human Sign-Off Required"))*1+(AND(AA197,AM197&lt;&gt;"HOLD — Critical Data Issue"))*1+(AND(P197="Recent Inactivity",OR(AK197="Discovery-to-Offer Enablement",AK197="Reinforce Successful Behaviour")))*1+(AND(OR(LEFT(D197,1)="2",LEFT(D197,1)="3",LEFT(D197,1)="8"),AL197="Automated"))*1+((LEFT(D197,1)="1")&lt;&gt;(AK197="Guided Self-Serve Migration"))*1+(AND(AR197&lt;&gt;"",OR(F197&lt;&gt;"Low",U197="Mixed",AND(G197&lt;&gt;"Growing",G197&lt;&gt;"Stable"))))*1+ISNUMBER(SEARCH("chat",AP197))*1+ISNUMBER(SEARCH("video",AP197))*1+(AND(AA197,AL197="Automated",AM197&lt;&gt;"HOLD — Critical Data Issue"))*1</f>
        <v>0</v>
      </c>
    </row>
    <row r="198" customFormat="false" ht="15" hidden="false" customHeight="false" outlineLevel="0" collapsed="false">
      <c r="A198" s="2" t="s">
        <v>962</v>
      </c>
      <c r="B198" s="2" t="str">
        <f aca="false">INDEX(Segmentation!$B$2:$B$301,MATCH($A198,Segmentation!$A$2:$A$301,0))</f>
        <v>Account Managed</v>
      </c>
      <c r="C198" s="2" t="str">
        <f aca="false">INDEX(Segmentation!$H$2:$H$301,MATCH($A198,Segmentation!$A$2:$A$301,0))</f>
        <v>AM-Owned / Self-Serving</v>
      </c>
      <c r="D198" s="2" t="str">
        <f aca="false">INDEX(Segmentation!$T$2:$T$301,MATCH($A198,Segmentation!$A$2:$A$301,0))</f>
        <v>9. Long-Tail Automated Nurture</v>
      </c>
      <c r="E198" s="2" t="str">
        <f aca="false">INDEX(Segmentation!$J$2:$J$301,MATCH($A198,Segmentation!$A$2:$A$301,0))</f>
        <v>Tail</v>
      </c>
      <c r="F198" s="2" t="str">
        <f aca="false">INDEX(Segmentation!$G$2:$G$301,MATCH($A198,Segmentation!$A$2:$A$301,0))</f>
        <v>Low</v>
      </c>
      <c r="G198" s="2" t="str">
        <f aca="false">INDEX(Segmentation!$N$2:$N$301,MATCH($A198,Segmentation!$A$2:$A$301,0))</f>
        <v>Lapsed</v>
      </c>
      <c r="H198" s="9" t="n">
        <f aca="false">INDEX(Segmentation!$I$2:$I$301,MATCH($A198,Segmentation!$A$2:$A$301,0))</f>
        <v>97</v>
      </c>
      <c r="I198" s="2" t="n">
        <f aca="false">INDEX(Segmentation!$O$2:$O$301,MATCH($A198,Segmentation!$A$2:$A$301,0))</f>
        <v>1</v>
      </c>
      <c r="J198" s="2" t="n">
        <f aca="false">INDEX(Segmentation!$Q$2:$Q$301,MATCH($A198,Segmentation!$A$2:$A$301,0))</f>
        <v>1</v>
      </c>
      <c r="K198" s="2" t="n">
        <f aca="false">INDEX(Segmentation!$W$2:$W$301,MATCH($A198,Segmentation!$A$2:$A$301,0))</f>
        <v>1</v>
      </c>
      <c r="L198" s="9" t="n">
        <f aca="false">INDEX('Commercial View'!$L$2:$L$301,MATCH($A198,'Commercial View'!$A$2:$A$301,0))</f>
        <v>0</v>
      </c>
      <c r="M198" s="9" t="n">
        <f aca="false">INDEX('Commercial View'!$M$2:$M$301,MATCH($A198,'Commercial View'!$A$2:$A$301,0))</f>
        <v>0</v>
      </c>
      <c r="N198" s="9" t="n">
        <f aca="false">INDEX('Commercial View'!$N$2:$N$301,MATCH($A198,'Commercial View'!$A$2:$A$301,0))</f>
        <v>0</v>
      </c>
      <c r="O198" s="9" t="n">
        <f aca="false">INDEX(Segmentation!$L$2:$L$301,MATCH($A198,Segmentation!$A$2:$A$301,0))</f>
        <v>0</v>
      </c>
      <c r="P198" s="2" t="str">
        <f aca="false">IF(OR(M198&gt;0,N198&gt;0),"Recently Active",IF(OR(I198&lt;=Assumptions!$B$48,K198&lt;=Assumptions!$B$49),"No Meaningful History","Recent Inactivity"))</f>
        <v>No Meaningful History</v>
      </c>
      <c r="Q198" s="2" t="str">
        <f aca="false">INDEX(Segmentation!$AF$2:$AF$301,MATCH($A198,Segmentation!$A$2:$A$301,0))</f>
        <v>Existing Customer</v>
      </c>
      <c r="R198" s="2" t="str">
        <f aca="false">INDEX(Segmentation!$AL$2:$AL$301,MATCH($A198,Segmentation!$A$2:$A$301,0))</f>
        <v>One-Off / Insufficient History — Verify</v>
      </c>
      <c r="S198" s="10" t="b">
        <f aca="false">INDEX(Segmentation!$AW$2:$AW$301,MATCH($A198,Segmentation!$A$2:$A$301,0))</f>
        <v>0</v>
      </c>
      <c r="T198" s="2" t="str">
        <f aca="false">INDEX('Feature Data'!$AD$2:$AD$301,MATCH($A198,'Feature Data'!$A$2:$A$301,0))</f>
        <v>One-off low-touch buyer</v>
      </c>
      <c r="U198" s="2" t="str">
        <f aca="false">INDEX('Feature Data'!$W$2:$W$301,MATCH($A198,'Feature Data'!$A$2:$A$301,0))</f>
        <v>Bundle-only</v>
      </c>
      <c r="V198" s="2" t="n">
        <f aca="false">INDEX('Feature Data'!$P$2:$P$301,MATCH($A198,'Feature Data'!$A$2:$A$301,0))</f>
        <v>195</v>
      </c>
      <c r="W198" s="2" t="n">
        <f aca="false">INDEX(Segmentation!$R$2:$R$301,MATCH($A198,Segmentation!$A$2:$A$301,0))</f>
        <v>11</v>
      </c>
      <c r="X198" s="2" t="n">
        <f aca="false">INDEX(Segmentation!$S$2:$S$301,MATCH($A198,Segmentation!$A$2:$A$301,0))</f>
        <v>0</v>
      </c>
      <c r="Y198" s="10" t="b">
        <f aca="false">INDEX(Segmentation!$AG$2:$AG$301,MATCH($A198,Segmentation!$A$2:$A$301,0))</f>
        <v>0</v>
      </c>
      <c r="Z198" s="2" t="str">
        <f aca="false">INDEX(Segmentation!$AU$2:$AU$301,MATCH($A198,Segmentation!$A$2:$A$301,0))</f>
        <v>Not Eligible</v>
      </c>
      <c r="AA198" s="10" t="b">
        <f aca="false">INDEX(Segmentation!$Z$2:$Z$301,MATCH($A198,Segmentation!$A$2:$A$301,0))</f>
        <v>0</v>
      </c>
      <c r="AB198" s="10" t="b">
        <f aca="false">INDEX(Segmentation!$AH$2:$AH$301,MATCH($A198,Segmentation!$A$2:$A$301,0))</f>
        <v>0</v>
      </c>
      <c r="AC198" s="10" t="b">
        <f aca="false">INDEX(Segmentation!$AK$2:$AK$301,MATCH($A198,Segmentation!$A$2:$A$301,0))</f>
        <v>0</v>
      </c>
      <c r="AD198" s="10" t="b">
        <f aca="false">INDEX(Segmentation!$AQ$2:$AQ$301,MATCH($A198,Segmentation!$A$2:$A$301,0))</f>
        <v>0</v>
      </c>
      <c r="AE198" s="10" t="b">
        <f aca="false">INDEX(Segmentation!$AT$2:$AT$301,MATCH($A198,Segmentation!$A$2:$A$301,0))</f>
        <v>0</v>
      </c>
      <c r="AF198" s="10" t="b">
        <f aca="false">INDEX(Segmentation!$X$2:$X$301,MATCH($A198,Segmentation!$A$2:$A$301,0))</f>
        <v>1</v>
      </c>
      <c r="AG198" s="10" t="b">
        <f aca="false">AND(F198="Low",V198&gt;=Assumptions!$B$71,X198&lt;Assumptions!$B$72)</f>
        <v>1</v>
      </c>
      <c r="AH198" s="10" t="b">
        <f aca="false">AND(F198="Low",OR(G198="Growing",G198="Stable"),P198="Recently Active",V198&gt;=Assumptions!$B$58,K198&gt;=Assumptions!$B$73)</f>
        <v>0</v>
      </c>
      <c r="AI198" s="17" t="str">
        <f aca="false">IF(O198&gt;0,MAX(L198:N198)/O198,"")</f>
        <v/>
      </c>
      <c r="AJ198" s="2" t="str">
        <f aca="false">IF(LEFT(D198,1)="1",IF(E198="Key","MIGRATION_KEY_SIGNOFF",IF(Z198="Ready","MIGRATION_PHASE1_READY",IF(Z198="Manual Review","MIGRATION_PHASE1_REVIEW","MIGRATION_PRE_ENTRY"))),IF(LEFT(D198,1)="2","DECLINING_KEY_CORE",IF(LEFT(D198,1)="3",IF(R198="Established Buyer Lapsed","LAPSED_ESTABLISHED","LAPSED_THIN_HISTORY"),IF(LEFT(D198,1)="4",IF(Q198="New Customer","NEW_CUSTOMER","RETURNED_CUSTOMER"),IF(LEFT(D198,1)="5",IF(P198="Recently Active","COST_TO_SERVE_ACTIVE","DORMANT_LOW_VALUE"),IF(LEFT(D198,1)="6",IF(P198="Recent Inactivity","RECENT_INACTIVITY",IF(AG198,"BROWSING_LOW_OFFERS","HEALTHY_STRONG_SELF_SERVE")),IF(LEFT(D198,1)="7",IF(P198="Recent Inactivity","RECENT_INACTIVITY",IF(Q198="New Customer","NEW_CUSTOMER","RETURNED_CUSTOMER")),IF(LEFT(D198,1)="8",IF(G198="Declining",IF(T198="Engaged but shrinking (Key/Core)","ENGAGED_BUT_SHRINKING","DECLINING_KEY_CORE"),IF(R198="Established Buyer Lapsed","LAPSED_ESTABLISHED","LAPSED_THIN_HISTORY")),IF(S198,IF(P198&lt;&gt;"Recently Active","DORMANT_LOW_VALUE",IF(AG198,"BROWSING_LOW_OFFERS",IF(AH198,"RISING_TAIL","RISING_TAIL_EARLY"))),IF(AND(AG198,P198="Recently Active",OR(G198="Growing",G198="Stable",G198="H2 Active / No H1 GMV"),I198&gt;=Assumptions!$B$74),"BROWSING_LOW_OFFERS","LONG_TAIL_STANDARD"))))))))))</f>
        <v>LONG_TAIL_STANDARD</v>
      </c>
      <c r="AK198" s="2" t="str">
        <f aca="false">INDEX('NBA Library'!$B$4:$B$21,MATCH(AJ198,'NBA Library'!$A$4:$A$21,0))</f>
        <v>Automated Nurture</v>
      </c>
      <c r="AL198" s="2" t="str">
        <f aca="false">INDEX('NBA Library'!$C$4:$C$21,MATCH(AJ198,'NBA Library'!$A$4:$A$21,0))</f>
        <v>Automated</v>
      </c>
      <c r="AM198" s="2" t="str">
        <f aca="false">IF(AA198,"HOLD — Critical Data Issue",IF(Y198,"Human Sign-Off Required",IF(Z198="Manual Review","Human Review Required",IF(AND(AL198="Automated",OR(AE198,AND(OR(AK198="Discovery-to-Offer Enablement",AK198="Reinforce Successful Behaviour"),OR(AC198,AB198)))),"Human Review Required",IF(AL198="Human","Ready — Human",IF(AL198="Hybrid","Ready — Hybrid","Ready — Automated"))))))</f>
        <v>Ready — Automated</v>
      </c>
      <c r="AN198" s="2" t="str">
        <f aca="false">IF(AA198,"P0",IF(AND(AJ198="BROWSING_LOW_OFFERS",E198="Tail"),"P3",IF(AND(AM198="Human Review Required",INDEX('NBA Library'!$D$4:$D$21,MATCH(AJ198,'NBA Library'!$A$4:$A$21,0))="P4"),"P3",INDEX('NBA Library'!$D$4:$D$21,MATCH(AJ198,'NBA Library'!$A$4:$A$21,0)))))</f>
        <v>P4</v>
      </c>
      <c r="AO198" s="2" t="str">
        <f aca="false">E198&amp;" "&amp;C198&amp;" account ("&amp;B198&amp;"); "&amp;G198&amp;" momentum; "&amp;P198&amp;"; £"&amp;TEXT(H198,"#,##0")&amp;" 6m GMV. "&amp;INDEX('NBA Library'!$G$4:$G$21,MATCH(AJ198,'NBA Library'!$A$4:$A$21,0))&amp;IF(LEFT(D198,1)="1"," Baseline: "&amp;V198&amp;" PDP views, "&amp;W198&amp;" app days, "&amp;X198&amp;" offers, "&amp;TEXT(J198/I198,"0%")&amp;" of orders self-serve.","")&amp;IF(AA198," Execution on HOLD until the Duplicate status is resolved.","")&amp;IF(Y198," Key account: explicit AM/leadership sign-off required before any migration activity.","")&amp;IF(AE198," Implied broker % from order counts would move this account to a different segment; review before automating.","")</f>
        <v>Tail AM-Owned / Self-Serving account (Account Managed); Lapsed momentum; No Meaningful History; £97 6m GMV. Low-value, low-dependency account. Scalable automated engagement.</v>
      </c>
      <c r="AP198" s="2" t="str">
        <f aca="false">INDEX('NBA Library'!$E$4:$E$21,MATCH(AJ198,'NBA Library'!$A$4:$A$21,0))&amp;IF(AND(AJ198="NEW_CUSTOMER",AG198),"; introduce Make-an-Offer on items already browsed","")</f>
        <v>Scalable automated engagement matched to nurture sub-context</v>
      </c>
      <c r="AQ198" s="2" t="str">
        <f aca="false">INDEX('NBA Library'!$F$4:$F$21,MATCH(AJ198,'NBA Library'!$A$4:$A$21,0))</f>
        <v>Any repeat order within 90 days</v>
      </c>
      <c r="AR198" s="2" t="str">
        <f aca="false">IF(AND(F198="Low",OR(G198="Growing",G198="Stable"),P198="Recently Active",U198&lt;&gt;"Mixed",OR(AK198="Discovery-to-Offer Enablement",AK198="Reinforce Successful Behaviour"),AM198="Ready — Automated",OR(E198&lt;&gt;"Tail",S198)),"Range Expansion Test — trial "&amp;IF(U198="Bundle-only","handpick","bundles")&amp;" (experimental; not proven to lift GMV)","")</f>
        <v/>
      </c>
      <c r="AS198" s="2" t="str">
        <f aca="false">IF(AK198&lt;&gt;"Automated Nurture","",IF(AJ198="DORMANT_LOW_VALUE","Dormant",IF(AJ198="RISING_TAIL_EARLY","Rising tail – early pattern",IF(Q198="New Customer","New customer onboarding",IF(Q198="Returned Customer","Returned customer",IF(G198="Lapsed","Dormant",IF(T198="Engaged, not converting","Engaged, not converting",IF(T198="One-off low-touch buyer","One-off purchaser",IF(T198="Light-touch repeat buyer","Light-touch repeat buyer","Standard long tail")))))))))</f>
        <v>Dormant</v>
      </c>
      <c r="AT198" s="2" t="str">
        <f aca="false">IF(AA198,"CRITICAL_DATA_BLOCKER; ","")&amp;IF(Y198,"KEY_SIGNOFF; ","")&amp;IF(Z198="Manual Review","PHASE1_MANUAL_REVIEW; ","")&amp;IF(AND(LEFT(D198,1)="1",AZ198="Lumpy"),"LUMPY_CADENCE; ","")&amp;IF(AB198,"BORDERLINE_MOMENTUM; ","")&amp;IF(AC198,"FEB_SENSITIVE; ","")&amp;IF(AD198,"MATERIAL_BROKER_INCONSISTENCY"&amp;IF(AE198," (segment would change)","")&amp;"; ","")&amp;IF(AND(I198&gt;=3,O198&gt;0),IF(AI198&gt;=Assumptions!$B$75,"H2_SINGLE_MONTH_SPIKE; ",""),"")&amp;IF(AND(M198&gt;0,N198=0),"NO_FEB_GMV (Feb unconfirmed); ","")&amp;IF(AF198,"LOW_CONFIDENCE; ","")</f>
        <v>LOW_CONFIDENCE; </v>
      </c>
      <c r="AU198" s="2" t="str">
        <f aca="false">IF(LEFT(D198,1)="1",V198,"")</f>
        <v/>
      </c>
      <c r="AV198" s="2" t="str">
        <f aca="false">IF(LEFT(D198,1)="1",V198&gt;=Assumptions!$B$58,"")</f>
        <v/>
      </c>
      <c r="AW198" s="2" t="str">
        <f aca="false">IF(LEFT(D198,1)="1",W198,"")</f>
        <v/>
      </c>
      <c r="AX198" s="2" t="str">
        <f aca="false">IF(LEFT(D198,1)="1",X198,"")</f>
        <v/>
      </c>
      <c r="AY198" s="17" t="str">
        <f aca="false">IF(LEFT(D198,1)="1",J198/I198,"")</f>
        <v/>
      </c>
      <c r="AZ198" s="2" t="str">
        <f aca="false">IF(LEFT(D198,1)="1",IF(AND(K198&gt;=Assumptions!$B$83,I198&gt;=Assumptions!$B$84),"Regular","Lumpy"),"")</f>
        <v/>
      </c>
      <c r="BA198" s="2" t="str">
        <f aca="false">IF(LEFT(D198,1)="1",ROUND(6/K198,0),"")</f>
        <v/>
      </c>
      <c r="BB198" s="2" t="str">
        <f aca="false">IF(LEFT(D198,1)="1",IF(AZ198="Regular","Regular buyer: expected ~£"&amp;TEXT(H198/2,"#,##0")&amp;" per 90 days. At Risk if GMV to date &lt; "&amp;TEXT(Assumptions!$B$81,"0%")&amp;" of pro-rated expectation, checked from day "&amp;Assumptions!$B$82&amp;". Human-reviewed.","Irregular buyer ("&amp;I198&amp;" orders across "&amp;K198&amp;" months): no numeric GMV threshold. At Risk if no order within ~"&amp;BA198&amp;" month(s); AM reviews at day "&amp;Assumptions!$B$82&amp;" and "&amp;Assumptions!$B$85&amp;"."),"")</f>
        <v/>
      </c>
      <c r="BC198" s="2"/>
      <c r="BD198" s="2"/>
      <c r="BE198" s="2"/>
      <c r="BF198" s="2"/>
      <c r="BG198" s="2"/>
      <c r="BH198" s="2"/>
      <c r="BI198" s="2"/>
      <c r="BJ198" s="2" t="str">
        <f aca="false">IF(OR(NOT(LEFT(D198,1)="1"),BC198=""),"",IF(AZ198="Regular",AND(BC198&gt;=Assumptions!$B$82,N(BI198)&lt;Assumptions!$B$81*H198/180*BC198),AND(BC198&gt;=BA198*30,N(BG198)=0)))</f>
        <v/>
      </c>
      <c r="BK198" s="2" t="str">
        <f aca="false">IF(NOT(LEFT(D198,1)="1"),"N/A",IF(BC198="","Baseline",IF(BJ198,"At Risk",IF(AND(N(BD198)&gt;=Assumptions!$B$78,N(BE198)&gt;=Assumptions!$B$79,N(BH198)&gt;=1,N(BH198)/MAX(N(BG198),1)&gt;AY198),"Self-Serve Capability Demonstrated",IF(OR(N(BD198)&gt;=Assumptions!$B$76,N(BE198)&gt;=Assumptions!$B$77),"Progressing",IF(BC198&gt;=Assumptions!$B$85,"At Risk","Baseline"))))))</f>
        <v>N/A</v>
      </c>
      <c r="BL198" s="2" t="n">
        <f aca="false">(AND(C198="Broker-Reliant",OR(AK198="Discovery-to-Offer Enablement",AK198="Reinforce Successful Behaviour")))*1+(AND(G198="Declining",E198&lt;&gt;"Tail",AL198="Automated"))*1+(AND(Y198,AM198&lt;&gt;"Human Sign-Off Required"))*1+(AND(AA198,AM198&lt;&gt;"HOLD — Critical Data Issue"))*1+(AND(P198="Recent Inactivity",OR(AK198="Discovery-to-Offer Enablement",AK198="Reinforce Successful Behaviour")))*1+(AND(OR(LEFT(D198,1)="2",LEFT(D198,1)="3",LEFT(D198,1)="8"),AL198="Automated"))*1+((LEFT(D198,1)="1")&lt;&gt;(AK198="Guided Self-Serve Migration"))*1+(AND(AR198&lt;&gt;"",OR(F198&lt;&gt;"Low",U198="Mixed",AND(G198&lt;&gt;"Growing",G198&lt;&gt;"Stable"))))*1+ISNUMBER(SEARCH("chat",AP198))*1+ISNUMBER(SEARCH("video",AP198))*1+(AND(AA198,AL198="Automated",AM198&lt;&gt;"HOLD — Critical Data Issue"))*1</f>
        <v>0</v>
      </c>
    </row>
    <row r="199" customFormat="false" ht="15" hidden="false" customHeight="false" outlineLevel="0" collapsed="false">
      <c r="A199" s="2" t="s">
        <v>964</v>
      </c>
      <c r="B199" s="2" t="str">
        <f aca="false">INDEX(Segmentation!$B$2:$B$301,MATCH($A199,Segmentation!$A$2:$A$301,0))</f>
        <v>Account Managed</v>
      </c>
      <c r="C199" s="2" t="str">
        <f aca="false">INDEX(Segmentation!$H$2:$H$301,MATCH($A199,Segmentation!$A$2:$A$301,0))</f>
        <v>AM-Owned / Self-Serving</v>
      </c>
      <c r="D199" s="2" t="str">
        <f aca="false">INDEX(Segmentation!$T$2:$T$301,MATCH($A199,Segmentation!$A$2:$A$301,0))</f>
        <v>9. Long-Tail Automated Nurture</v>
      </c>
      <c r="E199" s="2" t="str">
        <f aca="false">INDEX(Segmentation!$J$2:$J$301,MATCH($A199,Segmentation!$A$2:$A$301,0))</f>
        <v>Tail</v>
      </c>
      <c r="F199" s="2" t="str">
        <f aca="false">INDEX(Segmentation!$G$2:$G$301,MATCH($A199,Segmentation!$A$2:$A$301,0))</f>
        <v>Low</v>
      </c>
      <c r="G199" s="2" t="str">
        <f aca="false">INDEX(Segmentation!$N$2:$N$301,MATCH($A199,Segmentation!$A$2:$A$301,0))</f>
        <v>Lapsed</v>
      </c>
      <c r="H199" s="9" t="n">
        <f aca="false">INDEX(Segmentation!$I$2:$I$301,MATCH($A199,Segmentation!$A$2:$A$301,0))</f>
        <v>96</v>
      </c>
      <c r="I199" s="2" t="n">
        <f aca="false">INDEX(Segmentation!$O$2:$O$301,MATCH($A199,Segmentation!$A$2:$A$301,0))</f>
        <v>1</v>
      </c>
      <c r="J199" s="2" t="n">
        <f aca="false">INDEX(Segmentation!$Q$2:$Q$301,MATCH($A199,Segmentation!$A$2:$A$301,0))</f>
        <v>1</v>
      </c>
      <c r="K199" s="2" t="n">
        <f aca="false">INDEX(Segmentation!$W$2:$W$301,MATCH($A199,Segmentation!$A$2:$A$301,0))</f>
        <v>1</v>
      </c>
      <c r="L199" s="9" t="n">
        <f aca="false">INDEX('Commercial View'!$L$2:$L$301,MATCH($A199,'Commercial View'!$A$2:$A$301,0))</f>
        <v>0</v>
      </c>
      <c r="M199" s="9" t="n">
        <f aca="false">INDEX('Commercial View'!$M$2:$M$301,MATCH($A199,'Commercial View'!$A$2:$A$301,0))</f>
        <v>0</v>
      </c>
      <c r="N199" s="9" t="n">
        <f aca="false">INDEX('Commercial View'!$N$2:$N$301,MATCH($A199,'Commercial View'!$A$2:$A$301,0))</f>
        <v>0</v>
      </c>
      <c r="O199" s="9" t="n">
        <f aca="false">INDEX(Segmentation!$L$2:$L$301,MATCH($A199,Segmentation!$A$2:$A$301,0))</f>
        <v>0</v>
      </c>
      <c r="P199" s="2" t="str">
        <f aca="false">IF(OR(M199&gt;0,N199&gt;0),"Recently Active",IF(OR(I199&lt;=Assumptions!$B$48,K199&lt;=Assumptions!$B$49),"No Meaningful History","Recent Inactivity"))</f>
        <v>No Meaningful History</v>
      </c>
      <c r="Q199" s="2" t="str">
        <f aca="false">INDEX(Segmentation!$AF$2:$AF$301,MATCH($A199,Segmentation!$A$2:$A$301,0))</f>
        <v>Existing Customer</v>
      </c>
      <c r="R199" s="2" t="str">
        <f aca="false">INDEX(Segmentation!$AL$2:$AL$301,MATCH($A199,Segmentation!$A$2:$A$301,0))</f>
        <v>One-Off / Insufficient History — Verify</v>
      </c>
      <c r="S199" s="10" t="b">
        <f aca="false">INDEX(Segmentation!$AW$2:$AW$301,MATCH($A199,Segmentation!$A$2:$A$301,0))</f>
        <v>0</v>
      </c>
      <c r="T199" s="2" t="str">
        <f aca="false">INDEX('Feature Data'!$AD$2:$AD$301,MATCH($A199,'Feature Data'!$A$2:$A$301,0))</f>
        <v>One-off low-touch buyer</v>
      </c>
      <c r="U199" s="2" t="str">
        <f aca="false">INDEX('Feature Data'!$W$2:$W$301,MATCH($A199,'Feature Data'!$A$2:$A$301,0))</f>
        <v>Bundle-only</v>
      </c>
      <c r="V199" s="2" t="n">
        <f aca="false">INDEX('Feature Data'!$P$2:$P$301,MATCH($A199,'Feature Data'!$A$2:$A$301,0))</f>
        <v>11</v>
      </c>
      <c r="W199" s="2" t="n">
        <f aca="false">INDEX(Segmentation!$R$2:$R$301,MATCH($A199,Segmentation!$A$2:$A$301,0))</f>
        <v>4</v>
      </c>
      <c r="X199" s="2" t="n">
        <f aca="false">INDEX(Segmentation!$S$2:$S$301,MATCH($A199,Segmentation!$A$2:$A$301,0))</f>
        <v>0</v>
      </c>
      <c r="Y199" s="10" t="b">
        <f aca="false">INDEX(Segmentation!$AG$2:$AG$301,MATCH($A199,Segmentation!$A$2:$A$301,0))</f>
        <v>0</v>
      </c>
      <c r="Z199" s="2" t="str">
        <f aca="false">INDEX(Segmentation!$AU$2:$AU$301,MATCH($A199,Segmentation!$A$2:$A$301,0))</f>
        <v>Not Eligible</v>
      </c>
      <c r="AA199" s="10" t="b">
        <f aca="false">INDEX(Segmentation!$Z$2:$Z$301,MATCH($A199,Segmentation!$A$2:$A$301,0))</f>
        <v>0</v>
      </c>
      <c r="AB199" s="10" t="b">
        <f aca="false">INDEX(Segmentation!$AH$2:$AH$301,MATCH($A199,Segmentation!$A$2:$A$301,0))</f>
        <v>0</v>
      </c>
      <c r="AC199" s="10" t="b">
        <f aca="false">INDEX(Segmentation!$AK$2:$AK$301,MATCH($A199,Segmentation!$A$2:$A$301,0))</f>
        <v>0</v>
      </c>
      <c r="AD199" s="10" t="b">
        <f aca="false">INDEX(Segmentation!$AQ$2:$AQ$301,MATCH($A199,Segmentation!$A$2:$A$301,0))</f>
        <v>0</v>
      </c>
      <c r="AE199" s="10" t="b">
        <f aca="false">INDEX(Segmentation!$AT$2:$AT$301,MATCH($A199,Segmentation!$A$2:$A$301,0))</f>
        <v>0</v>
      </c>
      <c r="AF199" s="10" t="b">
        <f aca="false">INDEX(Segmentation!$X$2:$X$301,MATCH($A199,Segmentation!$A$2:$A$301,0))</f>
        <v>1</v>
      </c>
      <c r="AG199" s="10" t="b">
        <f aca="false">AND(F199="Low",V199&gt;=Assumptions!$B$71,X199&lt;Assumptions!$B$72)</f>
        <v>0</v>
      </c>
      <c r="AH199" s="10" t="b">
        <f aca="false">AND(F199="Low",OR(G199="Growing",G199="Stable"),P199="Recently Active",V199&gt;=Assumptions!$B$58,K199&gt;=Assumptions!$B$73)</f>
        <v>0</v>
      </c>
      <c r="AI199" s="17" t="str">
        <f aca="false">IF(O199&gt;0,MAX(L199:N199)/O199,"")</f>
        <v/>
      </c>
      <c r="AJ199" s="2" t="str">
        <f aca="false">IF(LEFT(D199,1)="1",IF(E199="Key","MIGRATION_KEY_SIGNOFF",IF(Z199="Ready","MIGRATION_PHASE1_READY",IF(Z199="Manual Review","MIGRATION_PHASE1_REVIEW","MIGRATION_PRE_ENTRY"))),IF(LEFT(D199,1)="2","DECLINING_KEY_CORE",IF(LEFT(D199,1)="3",IF(R199="Established Buyer Lapsed","LAPSED_ESTABLISHED","LAPSED_THIN_HISTORY"),IF(LEFT(D199,1)="4",IF(Q199="New Customer","NEW_CUSTOMER","RETURNED_CUSTOMER"),IF(LEFT(D199,1)="5",IF(P199="Recently Active","COST_TO_SERVE_ACTIVE","DORMANT_LOW_VALUE"),IF(LEFT(D199,1)="6",IF(P199="Recent Inactivity","RECENT_INACTIVITY",IF(AG199,"BROWSING_LOW_OFFERS","HEALTHY_STRONG_SELF_SERVE")),IF(LEFT(D199,1)="7",IF(P199="Recent Inactivity","RECENT_INACTIVITY",IF(Q199="New Customer","NEW_CUSTOMER","RETURNED_CUSTOMER")),IF(LEFT(D199,1)="8",IF(G199="Declining",IF(T199="Engaged but shrinking (Key/Core)","ENGAGED_BUT_SHRINKING","DECLINING_KEY_CORE"),IF(R199="Established Buyer Lapsed","LAPSED_ESTABLISHED","LAPSED_THIN_HISTORY")),IF(S199,IF(P199&lt;&gt;"Recently Active","DORMANT_LOW_VALUE",IF(AG199,"BROWSING_LOW_OFFERS",IF(AH199,"RISING_TAIL","RISING_TAIL_EARLY"))),IF(AND(AG199,P199="Recently Active",OR(G199="Growing",G199="Stable",G199="H2 Active / No H1 GMV"),I199&gt;=Assumptions!$B$74),"BROWSING_LOW_OFFERS","LONG_TAIL_STANDARD"))))))))))</f>
        <v>LONG_TAIL_STANDARD</v>
      </c>
      <c r="AK199" s="2" t="str">
        <f aca="false">INDEX('NBA Library'!$B$4:$B$21,MATCH(AJ199,'NBA Library'!$A$4:$A$21,0))</f>
        <v>Automated Nurture</v>
      </c>
      <c r="AL199" s="2" t="str">
        <f aca="false">INDEX('NBA Library'!$C$4:$C$21,MATCH(AJ199,'NBA Library'!$A$4:$A$21,0))</f>
        <v>Automated</v>
      </c>
      <c r="AM199" s="2" t="str">
        <f aca="false">IF(AA199,"HOLD — Critical Data Issue",IF(Y199,"Human Sign-Off Required",IF(Z199="Manual Review","Human Review Required",IF(AND(AL199="Automated",OR(AE199,AND(OR(AK199="Discovery-to-Offer Enablement",AK199="Reinforce Successful Behaviour"),OR(AC199,AB199)))),"Human Review Required",IF(AL199="Human","Ready — Human",IF(AL199="Hybrid","Ready — Hybrid","Ready — Automated"))))))</f>
        <v>Ready — Automated</v>
      </c>
      <c r="AN199" s="2" t="str">
        <f aca="false">IF(AA199,"P0",IF(AND(AJ199="BROWSING_LOW_OFFERS",E199="Tail"),"P3",IF(AND(AM199="Human Review Required",INDEX('NBA Library'!$D$4:$D$21,MATCH(AJ199,'NBA Library'!$A$4:$A$21,0))="P4"),"P3",INDEX('NBA Library'!$D$4:$D$21,MATCH(AJ199,'NBA Library'!$A$4:$A$21,0)))))</f>
        <v>P4</v>
      </c>
      <c r="AO199" s="2" t="str">
        <f aca="false">E199&amp;" "&amp;C199&amp;" account ("&amp;B199&amp;"); "&amp;G199&amp;" momentum; "&amp;P199&amp;"; £"&amp;TEXT(H199,"#,##0")&amp;" 6m GMV. "&amp;INDEX('NBA Library'!$G$4:$G$21,MATCH(AJ199,'NBA Library'!$A$4:$A$21,0))&amp;IF(LEFT(D199,1)="1"," Baseline: "&amp;V199&amp;" PDP views, "&amp;W199&amp;" app days, "&amp;X199&amp;" offers, "&amp;TEXT(J199/I199,"0%")&amp;" of orders self-serve.","")&amp;IF(AA199," Execution on HOLD until the Duplicate status is resolved.","")&amp;IF(Y199," Key account: explicit AM/leadership sign-off required before any migration activity.","")&amp;IF(AE199," Implied broker % from order counts would move this account to a different segment; review before automating.","")</f>
        <v>Tail AM-Owned / Self-Serving account (Account Managed); Lapsed momentum; No Meaningful History; £96 6m GMV. Low-value, low-dependency account. Scalable automated engagement.</v>
      </c>
      <c r="AP199" s="2" t="str">
        <f aca="false">INDEX('NBA Library'!$E$4:$E$21,MATCH(AJ199,'NBA Library'!$A$4:$A$21,0))&amp;IF(AND(AJ199="NEW_CUSTOMER",AG199),"; introduce Make-an-Offer on items already browsed","")</f>
        <v>Scalable automated engagement matched to nurture sub-context</v>
      </c>
      <c r="AQ199" s="2" t="str">
        <f aca="false">INDEX('NBA Library'!$F$4:$F$21,MATCH(AJ199,'NBA Library'!$A$4:$A$21,0))</f>
        <v>Any repeat order within 90 days</v>
      </c>
      <c r="AR199" s="2" t="str">
        <f aca="false">IF(AND(F199="Low",OR(G199="Growing",G199="Stable"),P199="Recently Active",U199&lt;&gt;"Mixed",OR(AK199="Discovery-to-Offer Enablement",AK199="Reinforce Successful Behaviour"),AM199="Ready — Automated",OR(E199&lt;&gt;"Tail",S199)),"Range Expansion Test — trial "&amp;IF(U199="Bundle-only","handpick","bundles")&amp;" (experimental; not proven to lift GMV)","")</f>
        <v/>
      </c>
      <c r="AS199" s="2" t="str">
        <f aca="false">IF(AK199&lt;&gt;"Automated Nurture","",IF(AJ199="DORMANT_LOW_VALUE","Dormant",IF(AJ199="RISING_TAIL_EARLY","Rising tail – early pattern",IF(Q199="New Customer","New customer onboarding",IF(Q199="Returned Customer","Returned customer",IF(G199="Lapsed","Dormant",IF(T199="Engaged, not converting","Engaged, not converting",IF(T199="One-off low-touch buyer","One-off purchaser",IF(T199="Light-touch repeat buyer","Light-touch repeat buyer","Standard long tail")))))))))</f>
        <v>Dormant</v>
      </c>
      <c r="AT199" s="2" t="str">
        <f aca="false">IF(AA199,"CRITICAL_DATA_BLOCKER; ","")&amp;IF(Y199,"KEY_SIGNOFF; ","")&amp;IF(Z199="Manual Review","PHASE1_MANUAL_REVIEW; ","")&amp;IF(AND(LEFT(D199,1)="1",AZ199="Lumpy"),"LUMPY_CADENCE; ","")&amp;IF(AB199,"BORDERLINE_MOMENTUM; ","")&amp;IF(AC199,"FEB_SENSITIVE; ","")&amp;IF(AD199,"MATERIAL_BROKER_INCONSISTENCY"&amp;IF(AE199," (segment would change)","")&amp;"; ","")&amp;IF(AND(I199&gt;=3,O199&gt;0),IF(AI199&gt;=Assumptions!$B$75,"H2_SINGLE_MONTH_SPIKE; ",""),"")&amp;IF(AND(M199&gt;0,N199=0),"NO_FEB_GMV (Feb unconfirmed); ","")&amp;IF(AF199,"LOW_CONFIDENCE; ","")</f>
        <v>LOW_CONFIDENCE; </v>
      </c>
      <c r="AU199" s="2" t="str">
        <f aca="false">IF(LEFT(D199,1)="1",V199,"")</f>
        <v/>
      </c>
      <c r="AV199" s="2" t="str">
        <f aca="false">IF(LEFT(D199,1)="1",V199&gt;=Assumptions!$B$58,"")</f>
        <v/>
      </c>
      <c r="AW199" s="2" t="str">
        <f aca="false">IF(LEFT(D199,1)="1",W199,"")</f>
        <v/>
      </c>
      <c r="AX199" s="2" t="str">
        <f aca="false">IF(LEFT(D199,1)="1",X199,"")</f>
        <v/>
      </c>
      <c r="AY199" s="17" t="str">
        <f aca="false">IF(LEFT(D199,1)="1",J199/I199,"")</f>
        <v/>
      </c>
      <c r="AZ199" s="2" t="str">
        <f aca="false">IF(LEFT(D199,1)="1",IF(AND(K199&gt;=Assumptions!$B$83,I199&gt;=Assumptions!$B$84),"Regular","Lumpy"),"")</f>
        <v/>
      </c>
      <c r="BA199" s="2" t="str">
        <f aca="false">IF(LEFT(D199,1)="1",ROUND(6/K199,0),"")</f>
        <v/>
      </c>
      <c r="BB199" s="2" t="str">
        <f aca="false">IF(LEFT(D199,1)="1",IF(AZ199="Regular","Regular buyer: expected ~£"&amp;TEXT(H199/2,"#,##0")&amp;" per 90 days. At Risk if GMV to date &lt; "&amp;TEXT(Assumptions!$B$81,"0%")&amp;" of pro-rated expectation, checked from day "&amp;Assumptions!$B$82&amp;". Human-reviewed.","Irregular buyer ("&amp;I199&amp;" orders across "&amp;K199&amp;" months): no numeric GMV threshold. At Risk if no order within ~"&amp;BA199&amp;" month(s); AM reviews at day "&amp;Assumptions!$B$82&amp;" and "&amp;Assumptions!$B$85&amp;"."),"")</f>
        <v/>
      </c>
      <c r="BC199" s="2"/>
      <c r="BD199" s="2"/>
      <c r="BE199" s="2"/>
      <c r="BF199" s="2"/>
      <c r="BG199" s="2"/>
      <c r="BH199" s="2"/>
      <c r="BI199" s="2"/>
      <c r="BJ199" s="2" t="str">
        <f aca="false">IF(OR(NOT(LEFT(D199,1)="1"),BC199=""),"",IF(AZ199="Regular",AND(BC199&gt;=Assumptions!$B$82,N(BI199)&lt;Assumptions!$B$81*H199/180*BC199),AND(BC199&gt;=BA199*30,N(BG199)=0)))</f>
        <v/>
      </c>
      <c r="BK199" s="2" t="str">
        <f aca="false">IF(NOT(LEFT(D199,1)="1"),"N/A",IF(BC199="","Baseline",IF(BJ199,"At Risk",IF(AND(N(BD199)&gt;=Assumptions!$B$78,N(BE199)&gt;=Assumptions!$B$79,N(BH199)&gt;=1,N(BH199)/MAX(N(BG199),1)&gt;AY199),"Self-Serve Capability Demonstrated",IF(OR(N(BD199)&gt;=Assumptions!$B$76,N(BE199)&gt;=Assumptions!$B$77),"Progressing",IF(BC199&gt;=Assumptions!$B$85,"At Risk","Baseline"))))))</f>
        <v>N/A</v>
      </c>
      <c r="BL199" s="2" t="n">
        <f aca="false">(AND(C199="Broker-Reliant",OR(AK199="Discovery-to-Offer Enablement",AK199="Reinforce Successful Behaviour")))*1+(AND(G199="Declining",E199&lt;&gt;"Tail",AL199="Automated"))*1+(AND(Y199,AM199&lt;&gt;"Human Sign-Off Required"))*1+(AND(AA199,AM199&lt;&gt;"HOLD — Critical Data Issue"))*1+(AND(P199="Recent Inactivity",OR(AK199="Discovery-to-Offer Enablement",AK199="Reinforce Successful Behaviour")))*1+(AND(OR(LEFT(D199,1)="2",LEFT(D199,1)="3",LEFT(D199,1)="8"),AL199="Automated"))*1+((LEFT(D199,1)="1")&lt;&gt;(AK199="Guided Self-Serve Migration"))*1+(AND(AR199&lt;&gt;"",OR(F199&lt;&gt;"Low",U199="Mixed",AND(G199&lt;&gt;"Growing",G199&lt;&gt;"Stable"))))*1+ISNUMBER(SEARCH("chat",AP199))*1+ISNUMBER(SEARCH("video",AP199))*1+(AND(AA199,AL199="Automated",AM199&lt;&gt;"HOLD — Critical Data Issue"))*1</f>
        <v>0</v>
      </c>
    </row>
    <row r="200" customFormat="false" ht="15" hidden="false" customHeight="false" outlineLevel="0" collapsed="false">
      <c r="A200" s="2" t="s">
        <v>966</v>
      </c>
      <c r="B200" s="2" t="str">
        <f aca="false">INDEX(Segmentation!$B$2:$B$301,MATCH($A200,Segmentation!$A$2:$A$301,0))</f>
        <v>Account Managed</v>
      </c>
      <c r="C200" s="2" t="str">
        <f aca="false">INDEX(Segmentation!$H$2:$H$301,MATCH($A200,Segmentation!$A$2:$A$301,0))</f>
        <v>AM-Owned / Self-Serving</v>
      </c>
      <c r="D200" s="2" t="str">
        <f aca="false">INDEX(Segmentation!$T$2:$T$301,MATCH($A200,Segmentation!$A$2:$A$301,0))</f>
        <v>9. Long-Tail Automated Nurture</v>
      </c>
      <c r="E200" s="2" t="str">
        <f aca="false">INDEX(Segmentation!$J$2:$J$301,MATCH($A200,Segmentation!$A$2:$A$301,0))</f>
        <v>Tail</v>
      </c>
      <c r="F200" s="2" t="str">
        <f aca="false">INDEX(Segmentation!$G$2:$G$301,MATCH($A200,Segmentation!$A$2:$A$301,0))</f>
        <v>Low</v>
      </c>
      <c r="G200" s="2" t="str">
        <f aca="false">INDEX(Segmentation!$N$2:$N$301,MATCH($A200,Segmentation!$A$2:$A$301,0))</f>
        <v>Lapsed</v>
      </c>
      <c r="H200" s="9" t="n">
        <f aca="false">INDEX(Segmentation!$I$2:$I$301,MATCH($A200,Segmentation!$A$2:$A$301,0))</f>
        <v>96</v>
      </c>
      <c r="I200" s="2" t="n">
        <f aca="false">INDEX(Segmentation!$O$2:$O$301,MATCH($A200,Segmentation!$A$2:$A$301,0))</f>
        <v>1</v>
      </c>
      <c r="J200" s="2" t="n">
        <f aca="false">INDEX(Segmentation!$Q$2:$Q$301,MATCH($A200,Segmentation!$A$2:$A$301,0))</f>
        <v>1</v>
      </c>
      <c r="K200" s="2" t="n">
        <f aca="false">INDEX(Segmentation!$W$2:$W$301,MATCH($A200,Segmentation!$A$2:$A$301,0))</f>
        <v>1</v>
      </c>
      <c r="L200" s="9" t="n">
        <f aca="false">INDEX('Commercial View'!$L$2:$L$301,MATCH($A200,'Commercial View'!$A$2:$A$301,0))</f>
        <v>0</v>
      </c>
      <c r="M200" s="9" t="n">
        <f aca="false">INDEX('Commercial View'!$M$2:$M$301,MATCH($A200,'Commercial View'!$A$2:$A$301,0))</f>
        <v>0</v>
      </c>
      <c r="N200" s="9" t="n">
        <f aca="false">INDEX('Commercial View'!$N$2:$N$301,MATCH($A200,'Commercial View'!$A$2:$A$301,0))</f>
        <v>0</v>
      </c>
      <c r="O200" s="9" t="n">
        <f aca="false">INDEX(Segmentation!$L$2:$L$301,MATCH($A200,Segmentation!$A$2:$A$301,0))</f>
        <v>0</v>
      </c>
      <c r="P200" s="2" t="str">
        <f aca="false">IF(OR(M200&gt;0,N200&gt;0),"Recently Active",IF(OR(I200&lt;=Assumptions!$B$48,K200&lt;=Assumptions!$B$49),"No Meaningful History","Recent Inactivity"))</f>
        <v>No Meaningful History</v>
      </c>
      <c r="Q200" s="2" t="str">
        <f aca="false">INDEX(Segmentation!$AF$2:$AF$301,MATCH($A200,Segmentation!$A$2:$A$301,0))</f>
        <v>Existing Customer</v>
      </c>
      <c r="R200" s="2" t="str">
        <f aca="false">INDEX(Segmentation!$AL$2:$AL$301,MATCH($A200,Segmentation!$A$2:$A$301,0))</f>
        <v>One-Off / Insufficient History — Verify</v>
      </c>
      <c r="S200" s="10" t="b">
        <f aca="false">INDEX(Segmentation!$AW$2:$AW$301,MATCH($A200,Segmentation!$A$2:$A$301,0))</f>
        <v>0</v>
      </c>
      <c r="T200" s="2" t="str">
        <f aca="false">INDEX('Feature Data'!$AD$2:$AD$301,MATCH($A200,'Feature Data'!$A$2:$A$301,0))</f>
        <v>One-off low-touch buyer</v>
      </c>
      <c r="U200" s="2" t="str">
        <f aca="false">INDEX('Feature Data'!$W$2:$W$301,MATCH($A200,'Feature Data'!$A$2:$A$301,0))</f>
        <v>Bundle-only</v>
      </c>
      <c r="V200" s="2" t="n">
        <f aca="false">INDEX('Feature Data'!$P$2:$P$301,MATCH($A200,'Feature Data'!$A$2:$A$301,0))</f>
        <v>32</v>
      </c>
      <c r="W200" s="2" t="n">
        <f aca="false">INDEX(Segmentation!$R$2:$R$301,MATCH($A200,Segmentation!$A$2:$A$301,0))</f>
        <v>5</v>
      </c>
      <c r="X200" s="2" t="n">
        <f aca="false">INDEX(Segmentation!$S$2:$S$301,MATCH($A200,Segmentation!$A$2:$A$301,0))</f>
        <v>0</v>
      </c>
      <c r="Y200" s="10" t="b">
        <f aca="false">INDEX(Segmentation!$AG$2:$AG$301,MATCH($A200,Segmentation!$A$2:$A$301,0))</f>
        <v>0</v>
      </c>
      <c r="Z200" s="2" t="str">
        <f aca="false">INDEX(Segmentation!$AU$2:$AU$301,MATCH($A200,Segmentation!$A$2:$A$301,0))</f>
        <v>Not Eligible</v>
      </c>
      <c r="AA200" s="10" t="b">
        <f aca="false">INDEX(Segmentation!$Z$2:$Z$301,MATCH($A200,Segmentation!$A$2:$A$301,0))</f>
        <v>0</v>
      </c>
      <c r="AB200" s="10" t="b">
        <f aca="false">INDEX(Segmentation!$AH$2:$AH$301,MATCH($A200,Segmentation!$A$2:$A$301,0))</f>
        <v>0</v>
      </c>
      <c r="AC200" s="10" t="b">
        <f aca="false">INDEX(Segmentation!$AK$2:$AK$301,MATCH($A200,Segmentation!$A$2:$A$301,0))</f>
        <v>0</v>
      </c>
      <c r="AD200" s="10" t="b">
        <f aca="false">INDEX(Segmentation!$AQ$2:$AQ$301,MATCH($A200,Segmentation!$A$2:$A$301,0))</f>
        <v>0</v>
      </c>
      <c r="AE200" s="10" t="b">
        <f aca="false">INDEX(Segmentation!$AT$2:$AT$301,MATCH($A200,Segmentation!$A$2:$A$301,0))</f>
        <v>0</v>
      </c>
      <c r="AF200" s="10" t="b">
        <f aca="false">INDEX(Segmentation!$X$2:$X$301,MATCH($A200,Segmentation!$A$2:$A$301,0))</f>
        <v>1</v>
      </c>
      <c r="AG200" s="10" t="b">
        <f aca="false">AND(F200="Low",V200&gt;=Assumptions!$B$71,X200&lt;Assumptions!$B$72)</f>
        <v>0</v>
      </c>
      <c r="AH200" s="10" t="b">
        <f aca="false">AND(F200="Low",OR(G200="Growing",G200="Stable"),P200="Recently Active",V200&gt;=Assumptions!$B$58,K200&gt;=Assumptions!$B$73)</f>
        <v>0</v>
      </c>
      <c r="AI200" s="17" t="str">
        <f aca="false">IF(O200&gt;0,MAX(L200:N200)/O200,"")</f>
        <v/>
      </c>
      <c r="AJ200" s="2" t="str">
        <f aca="false">IF(LEFT(D200,1)="1",IF(E200="Key","MIGRATION_KEY_SIGNOFF",IF(Z200="Ready","MIGRATION_PHASE1_READY",IF(Z200="Manual Review","MIGRATION_PHASE1_REVIEW","MIGRATION_PRE_ENTRY"))),IF(LEFT(D200,1)="2","DECLINING_KEY_CORE",IF(LEFT(D200,1)="3",IF(R200="Established Buyer Lapsed","LAPSED_ESTABLISHED","LAPSED_THIN_HISTORY"),IF(LEFT(D200,1)="4",IF(Q200="New Customer","NEW_CUSTOMER","RETURNED_CUSTOMER"),IF(LEFT(D200,1)="5",IF(P200="Recently Active","COST_TO_SERVE_ACTIVE","DORMANT_LOW_VALUE"),IF(LEFT(D200,1)="6",IF(P200="Recent Inactivity","RECENT_INACTIVITY",IF(AG200,"BROWSING_LOW_OFFERS","HEALTHY_STRONG_SELF_SERVE")),IF(LEFT(D200,1)="7",IF(P200="Recent Inactivity","RECENT_INACTIVITY",IF(Q200="New Customer","NEW_CUSTOMER","RETURNED_CUSTOMER")),IF(LEFT(D200,1)="8",IF(G200="Declining",IF(T200="Engaged but shrinking (Key/Core)","ENGAGED_BUT_SHRINKING","DECLINING_KEY_CORE"),IF(R200="Established Buyer Lapsed","LAPSED_ESTABLISHED","LAPSED_THIN_HISTORY")),IF(S200,IF(P200&lt;&gt;"Recently Active","DORMANT_LOW_VALUE",IF(AG200,"BROWSING_LOW_OFFERS",IF(AH200,"RISING_TAIL","RISING_TAIL_EARLY"))),IF(AND(AG200,P200="Recently Active",OR(G200="Growing",G200="Stable",G200="H2 Active / No H1 GMV"),I200&gt;=Assumptions!$B$74),"BROWSING_LOW_OFFERS","LONG_TAIL_STANDARD"))))))))))</f>
        <v>LONG_TAIL_STANDARD</v>
      </c>
      <c r="AK200" s="2" t="str">
        <f aca="false">INDEX('NBA Library'!$B$4:$B$21,MATCH(AJ200,'NBA Library'!$A$4:$A$21,0))</f>
        <v>Automated Nurture</v>
      </c>
      <c r="AL200" s="2" t="str">
        <f aca="false">INDEX('NBA Library'!$C$4:$C$21,MATCH(AJ200,'NBA Library'!$A$4:$A$21,0))</f>
        <v>Automated</v>
      </c>
      <c r="AM200" s="2" t="str">
        <f aca="false">IF(AA200,"HOLD — Critical Data Issue",IF(Y200,"Human Sign-Off Required",IF(Z200="Manual Review","Human Review Required",IF(AND(AL200="Automated",OR(AE200,AND(OR(AK200="Discovery-to-Offer Enablement",AK200="Reinforce Successful Behaviour"),OR(AC200,AB200)))),"Human Review Required",IF(AL200="Human","Ready — Human",IF(AL200="Hybrid","Ready — Hybrid","Ready — Automated"))))))</f>
        <v>Ready — Automated</v>
      </c>
      <c r="AN200" s="2" t="str">
        <f aca="false">IF(AA200,"P0",IF(AND(AJ200="BROWSING_LOW_OFFERS",E200="Tail"),"P3",IF(AND(AM200="Human Review Required",INDEX('NBA Library'!$D$4:$D$21,MATCH(AJ200,'NBA Library'!$A$4:$A$21,0))="P4"),"P3",INDEX('NBA Library'!$D$4:$D$21,MATCH(AJ200,'NBA Library'!$A$4:$A$21,0)))))</f>
        <v>P4</v>
      </c>
      <c r="AO200" s="2" t="str">
        <f aca="false">E200&amp;" "&amp;C200&amp;" account ("&amp;B200&amp;"); "&amp;G200&amp;" momentum; "&amp;P200&amp;"; £"&amp;TEXT(H200,"#,##0")&amp;" 6m GMV. "&amp;INDEX('NBA Library'!$G$4:$G$21,MATCH(AJ200,'NBA Library'!$A$4:$A$21,0))&amp;IF(LEFT(D200,1)="1"," Baseline: "&amp;V200&amp;" PDP views, "&amp;W200&amp;" app days, "&amp;X200&amp;" offers, "&amp;TEXT(J200/I200,"0%")&amp;" of orders self-serve.","")&amp;IF(AA200," Execution on HOLD until the Duplicate status is resolved.","")&amp;IF(Y200," Key account: explicit AM/leadership sign-off required before any migration activity.","")&amp;IF(AE200," Implied broker % from order counts would move this account to a different segment; review before automating.","")</f>
        <v>Tail AM-Owned / Self-Serving account (Account Managed); Lapsed momentum; No Meaningful History; £96 6m GMV. Low-value, low-dependency account. Scalable automated engagement.</v>
      </c>
      <c r="AP200" s="2" t="str">
        <f aca="false">INDEX('NBA Library'!$E$4:$E$21,MATCH(AJ200,'NBA Library'!$A$4:$A$21,0))&amp;IF(AND(AJ200="NEW_CUSTOMER",AG200),"; introduce Make-an-Offer on items already browsed","")</f>
        <v>Scalable automated engagement matched to nurture sub-context</v>
      </c>
      <c r="AQ200" s="2" t="str">
        <f aca="false">INDEX('NBA Library'!$F$4:$F$21,MATCH(AJ200,'NBA Library'!$A$4:$A$21,0))</f>
        <v>Any repeat order within 90 days</v>
      </c>
      <c r="AR200" s="2" t="str">
        <f aca="false">IF(AND(F200="Low",OR(G200="Growing",G200="Stable"),P200="Recently Active",U200&lt;&gt;"Mixed",OR(AK200="Discovery-to-Offer Enablement",AK200="Reinforce Successful Behaviour"),AM200="Ready — Automated",OR(E200&lt;&gt;"Tail",S200)),"Range Expansion Test — trial "&amp;IF(U200="Bundle-only","handpick","bundles")&amp;" (experimental; not proven to lift GMV)","")</f>
        <v/>
      </c>
      <c r="AS200" s="2" t="str">
        <f aca="false">IF(AK200&lt;&gt;"Automated Nurture","",IF(AJ200="DORMANT_LOW_VALUE","Dormant",IF(AJ200="RISING_TAIL_EARLY","Rising tail – early pattern",IF(Q200="New Customer","New customer onboarding",IF(Q200="Returned Customer","Returned customer",IF(G200="Lapsed","Dormant",IF(T200="Engaged, not converting","Engaged, not converting",IF(T200="One-off low-touch buyer","One-off purchaser",IF(T200="Light-touch repeat buyer","Light-touch repeat buyer","Standard long tail")))))))))</f>
        <v>Dormant</v>
      </c>
      <c r="AT200" s="2" t="str">
        <f aca="false">IF(AA200,"CRITICAL_DATA_BLOCKER; ","")&amp;IF(Y200,"KEY_SIGNOFF; ","")&amp;IF(Z200="Manual Review","PHASE1_MANUAL_REVIEW; ","")&amp;IF(AND(LEFT(D200,1)="1",AZ200="Lumpy"),"LUMPY_CADENCE; ","")&amp;IF(AB200,"BORDERLINE_MOMENTUM; ","")&amp;IF(AC200,"FEB_SENSITIVE; ","")&amp;IF(AD200,"MATERIAL_BROKER_INCONSISTENCY"&amp;IF(AE200," (segment would change)","")&amp;"; ","")&amp;IF(AND(I200&gt;=3,O200&gt;0),IF(AI200&gt;=Assumptions!$B$75,"H2_SINGLE_MONTH_SPIKE; ",""),"")&amp;IF(AND(M200&gt;0,N200=0),"NO_FEB_GMV (Feb unconfirmed); ","")&amp;IF(AF200,"LOW_CONFIDENCE; ","")</f>
        <v>LOW_CONFIDENCE; </v>
      </c>
      <c r="AU200" s="2" t="str">
        <f aca="false">IF(LEFT(D200,1)="1",V200,"")</f>
        <v/>
      </c>
      <c r="AV200" s="2" t="str">
        <f aca="false">IF(LEFT(D200,1)="1",V200&gt;=Assumptions!$B$58,"")</f>
        <v/>
      </c>
      <c r="AW200" s="2" t="str">
        <f aca="false">IF(LEFT(D200,1)="1",W200,"")</f>
        <v/>
      </c>
      <c r="AX200" s="2" t="str">
        <f aca="false">IF(LEFT(D200,1)="1",X200,"")</f>
        <v/>
      </c>
      <c r="AY200" s="17" t="str">
        <f aca="false">IF(LEFT(D200,1)="1",J200/I200,"")</f>
        <v/>
      </c>
      <c r="AZ200" s="2" t="str">
        <f aca="false">IF(LEFT(D200,1)="1",IF(AND(K200&gt;=Assumptions!$B$83,I200&gt;=Assumptions!$B$84),"Regular","Lumpy"),"")</f>
        <v/>
      </c>
      <c r="BA200" s="2" t="str">
        <f aca="false">IF(LEFT(D200,1)="1",ROUND(6/K200,0),"")</f>
        <v/>
      </c>
      <c r="BB200" s="2" t="str">
        <f aca="false">IF(LEFT(D200,1)="1",IF(AZ200="Regular","Regular buyer: expected ~£"&amp;TEXT(H200/2,"#,##0")&amp;" per 90 days. At Risk if GMV to date &lt; "&amp;TEXT(Assumptions!$B$81,"0%")&amp;" of pro-rated expectation, checked from day "&amp;Assumptions!$B$82&amp;". Human-reviewed.","Irregular buyer ("&amp;I200&amp;" orders across "&amp;K200&amp;" months): no numeric GMV threshold. At Risk if no order within ~"&amp;BA200&amp;" month(s); AM reviews at day "&amp;Assumptions!$B$82&amp;" and "&amp;Assumptions!$B$85&amp;"."),"")</f>
        <v/>
      </c>
      <c r="BC200" s="2"/>
      <c r="BD200" s="2"/>
      <c r="BE200" s="2"/>
      <c r="BF200" s="2"/>
      <c r="BG200" s="2"/>
      <c r="BH200" s="2"/>
      <c r="BI200" s="2"/>
      <c r="BJ200" s="2" t="str">
        <f aca="false">IF(OR(NOT(LEFT(D200,1)="1"),BC200=""),"",IF(AZ200="Regular",AND(BC200&gt;=Assumptions!$B$82,N(BI200)&lt;Assumptions!$B$81*H200/180*BC200),AND(BC200&gt;=BA200*30,N(BG200)=0)))</f>
        <v/>
      </c>
      <c r="BK200" s="2" t="str">
        <f aca="false">IF(NOT(LEFT(D200,1)="1"),"N/A",IF(BC200="","Baseline",IF(BJ200,"At Risk",IF(AND(N(BD200)&gt;=Assumptions!$B$78,N(BE200)&gt;=Assumptions!$B$79,N(BH200)&gt;=1,N(BH200)/MAX(N(BG200),1)&gt;AY200),"Self-Serve Capability Demonstrated",IF(OR(N(BD200)&gt;=Assumptions!$B$76,N(BE200)&gt;=Assumptions!$B$77),"Progressing",IF(BC200&gt;=Assumptions!$B$85,"At Risk","Baseline"))))))</f>
        <v>N/A</v>
      </c>
      <c r="BL200" s="2" t="n">
        <f aca="false">(AND(C200="Broker-Reliant",OR(AK200="Discovery-to-Offer Enablement",AK200="Reinforce Successful Behaviour")))*1+(AND(G200="Declining",E200&lt;&gt;"Tail",AL200="Automated"))*1+(AND(Y200,AM200&lt;&gt;"Human Sign-Off Required"))*1+(AND(AA200,AM200&lt;&gt;"HOLD — Critical Data Issue"))*1+(AND(P200="Recent Inactivity",OR(AK200="Discovery-to-Offer Enablement",AK200="Reinforce Successful Behaviour")))*1+(AND(OR(LEFT(D200,1)="2",LEFT(D200,1)="3",LEFT(D200,1)="8"),AL200="Automated"))*1+((LEFT(D200,1)="1")&lt;&gt;(AK200="Guided Self-Serve Migration"))*1+(AND(AR200&lt;&gt;"",OR(F200&lt;&gt;"Low",U200="Mixed",AND(G200&lt;&gt;"Growing",G200&lt;&gt;"Stable"))))*1+ISNUMBER(SEARCH("chat",AP200))*1+ISNUMBER(SEARCH("video",AP200))*1+(AND(AA200,AL200="Automated",AM200&lt;&gt;"HOLD — Critical Data Issue"))*1</f>
        <v>0</v>
      </c>
    </row>
    <row r="201" customFormat="false" ht="15" hidden="false" customHeight="false" outlineLevel="0" collapsed="false">
      <c r="A201" s="2" t="s">
        <v>970</v>
      </c>
      <c r="B201" s="2" t="str">
        <f aca="false">INDEX(Segmentation!$B$2:$B$301,MATCH($A201,Segmentation!$A$2:$A$301,0))</f>
        <v>Account Managed</v>
      </c>
      <c r="C201" s="2" t="str">
        <f aca="false">INDEX(Segmentation!$H$2:$H$301,MATCH($A201,Segmentation!$A$2:$A$301,0))</f>
        <v>AM-Owned / Self-Serving</v>
      </c>
      <c r="D201" s="2" t="str">
        <f aca="false">INDEX(Segmentation!$T$2:$T$301,MATCH($A201,Segmentation!$A$2:$A$301,0))</f>
        <v>9. Long-Tail Automated Nurture</v>
      </c>
      <c r="E201" s="2" t="str">
        <f aca="false">INDEX(Segmentation!$J$2:$J$301,MATCH($A201,Segmentation!$A$2:$A$301,0))</f>
        <v>Tail</v>
      </c>
      <c r="F201" s="2" t="str">
        <f aca="false">INDEX(Segmentation!$G$2:$G$301,MATCH($A201,Segmentation!$A$2:$A$301,0))</f>
        <v>Low</v>
      </c>
      <c r="G201" s="2" t="str">
        <f aca="false">INDEX(Segmentation!$N$2:$N$301,MATCH($A201,Segmentation!$A$2:$A$301,0))</f>
        <v>Lapsed</v>
      </c>
      <c r="H201" s="9" t="n">
        <f aca="false">INDEX(Segmentation!$I$2:$I$301,MATCH($A201,Segmentation!$A$2:$A$301,0))</f>
        <v>94</v>
      </c>
      <c r="I201" s="2" t="n">
        <f aca="false">INDEX(Segmentation!$O$2:$O$301,MATCH($A201,Segmentation!$A$2:$A$301,0))</f>
        <v>1</v>
      </c>
      <c r="J201" s="2" t="n">
        <f aca="false">INDEX(Segmentation!$Q$2:$Q$301,MATCH($A201,Segmentation!$A$2:$A$301,0))</f>
        <v>1</v>
      </c>
      <c r="K201" s="2" t="n">
        <f aca="false">INDEX(Segmentation!$W$2:$W$301,MATCH($A201,Segmentation!$A$2:$A$301,0))</f>
        <v>1</v>
      </c>
      <c r="L201" s="9" t="n">
        <f aca="false">INDEX('Commercial View'!$L$2:$L$301,MATCH($A201,'Commercial View'!$A$2:$A$301,0))</f>
        <v>0</v>
      </c>
      <c r="M201" s="9" t="n">
        <f aca="false">INDEX('Commercial View'!$M$2:$M$301,MATCH($A201,'Commercial View'!$A$2:$A$301,0))</f>
        <v>0</v>
      </c>
      <c r="N201" s="9" t="n">
        <f aca="false">INDEX('Commercial View'!$N$2:$N$301,MATCH($A201,'Commercial View'!$A$2:$A$301,0))</f>
        <v>0</v>
      </c>
      <c r="O201" s="9" t="n">
        <f aca="false">INDEX(Segmentation!$L$2:$L$301,MATCH($A201,Segmentation!$A$2:$A$301,0))</f>
        <v>0</v>
      </c>
      <c r="P201" s="2" t="str">
        <f aca="false">IF(OR(M201&gt;0,N201&gt;0),"Recently Active",IF(OR(I201&lt;=Assumptions!$B$48,K201&lt;=Assumptions!$B$49),"No Meaningful History","Recent Inactivity"))</f>
        <v>No Meaningful History</v>
      </c>
      <c r="Q201" s="2" t="str">
        <f aca="false">INDEX(Segmentation!$AF$2:$AF$301,MATCH($A201,Segmentation!$A$2:$A$301,0))</f>
        <v>Existing Customer</v>
      </c>
      <c r="R201" s="2" t="str">
        <f aca="false">INDEX(Segmentation!$AL$2:$AL$301,MATCH($A201,Segmentation!$A$2:$A$301,0))</f>
        <v>One-Off / Insufficient History — Verify</v>
      </c>
      <c r="S201" s="10" t="b">
        <f aca="false">INDEX(Segmentation!$AW$2:$AW$301,MATCH($A201,Segmentation!$A$2:$A$301,0))</f>
        <v>0</v>
      </c>
      <c r="T201" s="2" t="str">
        <f aca="false">INDEX('Feature Data'!$AD$2:$AD$301,MATCH($A201,'Feature Data'!$A$2:$A$301,0))</f>
        <v>One-off low-touch buyer</v>
      </c>
      <c r="U201" s="2" t="str">
        <f aca="false">INDEX('Feature Data'!$W$2:$W$301,MATCH($A201,'Feature Data'!$A$2:$A$301,0))</f>
        <v>Bundle-only</v>
      </c>
      <c r="V201" s="2" t="n">
        <f aca="false">INDEX('Feature Data'!$P$2:$P$301,MATCH($A201,'Feature Data'!$A$2:$A$301,0))</f>
        <v>137</v>
      </c>
      <c r="W201" s="2" t="n">
        <f aca="false">INDEX(Segmentation!$R$2:$R$301,MATCH($A201,Segmentation!$A$2:$A$301,0))</f>
        <v>13</v>
      </c>
      <c r="X201" s="2" t="n">
        <f aca="false">INDEX(Segmentation!$S$2:$S$301,MATCH($A201,Segmentation!$A$2:$A$301,0))</f>
        <v>7</v>
      </c>
      <c r="Y201" s="10" t="b">
        <f aca="false">INDEX(Segmentation!$AG$2:$AG$301,MATCH($A201,Segmentation!$A$2:$A$301,0))</f>
        <v>0</v>
      </c>
      <c r="Z201" s="2" t="str">
        <f aca="false">INDEX(Segmentation!$AU$2:$AU$301,MATCH($A201,Segmentation!$A$2:$A$301,0))</f>
        <v>Not Eligible</v>
      </c>
      <c r="AA201" s="10" t="b">
        <f aca="false">INDEX(Segmentation!$Z$2:$Z$301,MATCH($A201,Segmentation!$A$2:$A$301,0))</f>
        <v>0</v>
      </c>
      <c r="AB201" s="10" t="b">
        <f aca="false">INDEX(Segmentation!$AH$2:$AH$301,MATCH($A201,Segmentation!$A$2:$A$301,0))</f>
        <v>0</v>
      </c>
      <c r="AC201" s="10" t="b">
        <f aca="false">INDEX(Segmentation!$AK$2:$AK$301,MATCH($A201,Segmentation!$A$2:$A$301,0))</f>
        <v>0</v>
      </c>
      <c r="AD201" s="10" t="b">
        <f aca="false">INDEX(Segmentation!$AQ$2:$AQ$301,MATCH($A201,Segmentation!$A$2:$A$301,0))</f>
        <v>0</v>
      </c>
      <c r="AE201" s="10" t="b">
        <f aca="false">INDEX(Segmentation!$AT$2:$AT$301,MATCH($A201,Segmentation!$A$2:$A$301,0))</f>
        <v>0</v>
      </c>
      <c r="AF201" s="10" t="b">
        <f aca="false">INDEX(Segmentation!$X$2:$X$301,MATCH($A201,Segmentation!$A$2:$A$301,0))</f>
        <v>1</v>
      </c>
      <c r="AG201" s="10" t="b">
        <f aca="false">AND(F201="Low",V201&gt;=Assumptions!$B$71,X201&lt;Assumptions!$B$72)</f>
        <v>0</v>
      </c>
      <c r="AH201" s="10" t="b">
        <f aca="false">AND(F201="Low",OR(G201="Growing",G201="Stable"),P201="Recently Active",V201&gt;=Assumptions!$B$58,K201&gt;=Assumptions!$B$73)</f>
        <v>0</v>
      </c>
      <c r="AI201" s="17" t="str">
        <f aca="false">IF(O201&gt;0,MAX(L201:N201)/O201,"")</f>
        <v/>
      </c>
      <c r="AJ201" s="2" t="str">
        <f aca="false">IF(LEFT(D201,1)="1",IF(E201="Key","MIGRATION_KEY_SIGNOFF",IF(Z201="Ready","MIGRATION_PHASE1_READY",IF(Z201="Manual Review","MIGRATION_PHASE1_REVIEW","MIGRATION_PRE_ENTRY"))),IF(LEFT(D201,1)="2","DECLINING_KEY_CORE",IF(LEFT(D201,1)="3",IF(R201="Established Buyer Lapsed","LAPSED_ESTABLISHED","LAPSED_THIN_HISTORY"),IF(LEFT(D201,1)="4",IF(Q201="New Customer","NEW_CUSTOMER","RETURNED_CUSTOMER"),IF(LEFT(D201,1)="5",IF(P201="Recently Active","COST_TO_SERVE_ACTIVE","DORMANT_LOW_VALUE"),IF(LEFT(D201,1)="6",IF(P201="Recent Inactivity","RECENT_INACTIVITY",IF(AG201,"BROWSING_LOW_OFFERS","HEALTHY_STRONG_SELF_SERVE")),IF(LEFT(D201,1)="7",IF(P201="Recent Inactivity","RECENT_INACTIVITY",IF(Q201="New Customer","NEW_CUSTOMER","RETURNED_CUSTOMER")),IF(LEFT(D201,1)="8",IF(G201="Declining",IF(T201="Engaged but shrinking (Key/Core)","ENGAGED_BUT_SHRINKING","DECLINING_KEY_CORE"),IF(R201="Established Buyer Lapsed","LAPSED_ESTABLISHED","LAPSED_THIN_HISTORY")),IF(S201,IF(P201&lt;&gt;"Recently Active","DORMANT_LOW_VALUE",IF(AG201,"BROWSING_LOW_OFFERS",IF(AH201,"RISING_TAIL","RISING_TAIL_EARLY"))),IF(AND(AG201,P201="Recently Active",OR(G201="Growing",G201="Stable",G201="H2 Active / No H1 GMV"),I201&gt;=Assumptions!$B$74),"BROWSING_LOW_OFFERS","LONG_TAIL_STANDARD"))))))))))</f>
        <v>LONG_TAIL_STANDARD</v>
      </c>
      <c r="AK201" s="2" t="str">
        <f aca="false">INDEX('NBA Library'!$B$4:$B$21,MATCH(AJ201,'NBA Library'!$A$4:$A$21,0))</f>
        <v>Automated Nurture</v>
      </c>
      <c r="AL201" s="2" t="str">
        <f aca="false">INDEX('NBA Library'!$C$4:$C$21,MATCH(AJ201,'NBA Library'!$A$4:$A$21,0))</f>
        <v>Automated</v>
      </c>
      <c r="AM201" s="2" t="str">
        <f aca="false">IF(AA201,"HOLD — Critical Data Issue",IF(Y201,"Human Sign-Off Required",IF(Z201="Manual Review","Human Review Required",IF(AND(AL201="Automated",OR(AE201,AND(OR(AK201="Discovery-to-Offer Enablement",AK201="Reinforce Successful Behaviour"),OR(AC201,AB201)))),"Human Review Required",IF(AL201="Human","Ready — Human",IF(AL201="Hybrid","Ready — Hybrid","Ready — Automated"))))))</f>
        <v>Ready — Automated</v>
      </c>
      <c r="AN201" s="2" t="str">
        <f aca="false">IF(AA201,"P0",IF(AND(AJ201="BROWSING_LOW_OFFERS",E201="Tail"),"P3",IF(AND(AM201="Human Review Required",INDEX('NBA Library'!$D$4:$D$21,MATCH(AJ201,'NBA Library'!$A$4:$A$21,0))="P4"),"P3",INDEX('NBA Library'!$D$4:$D$21,MATCH(AJ201,'NBA Library'!$A$4:$A$21,0)))))</f>
        <v>P4</v>
      </c>
      <c r="AO201" s="2" t="str">
        <f aca="false">E201&amp;" "&amp;C201&amp;" account ("&amp;B201&amp;"); "&amp;G201&amp;" momentum; "&amp;P201&amp;"; £"&amp;TEXT(H201,"#,##0")&amp;" 6m GMV. "&amp;INDEX('NBA Library'!$G$4:$G$21,MATCH(AJ201,'NBA Library'!$A$4:$A$21,0))&amp;IF(LEFT(D201,1)="1"," Baseline: "&amp;V201&amp;" PDP views, "&amp;W201&amp;" app days, "&amp;X201&amp;" offers, "&amp;TEXT(J201/I201,"0%")&amp;" of orders self-serve.","")&amp;IF(AA201," Execution on HOLD until the Duplicate status is resolved.","")&amp;IF(Y201," Key account: explicit AM/leadership sign-off required before any migration activity.","")&amp;IF(AE201," Implied broker % from order counts would move this account to a different segment; review before automating.","")</f>
        <v>Tail AM-Owned / Self-Serving account (Account Managed); Lapsed momentum; No Meaningful History; £94 6m GMV. Low-value, low-dependency account. Scalable automated engagement.</v>
      </c>
      <c r="AP201" s="2" t="str">
        <f aca="false">INDEX('NBA Library'!$E$4:$E$21,MATCH(AJ201,'NBA Library'!$A$4:$A$21,0))&amp;IF(AND(AJ201="NEW_CUSTOMER",AG201),"; introduce Make-an-Offer on items already browsed","")</f>
        <v>Scalable automated engagement matched to nurture sub-context</v>
      </c>
      <c r="AQ201" s="2" t="str">
        <f aca="false">INDEX('NBA Library'!$F$4:$F$21,MATCH(AJ201,'NBA Library'!$A$4:$A$21,0))</f>
        <v>Any repeat order within 90 days</v>
      </c>
      <c r="AR201" s="2" t="str">
        <f aca="false">IF(AND(F201="Low",OR(G201="Growing",G201="Stable"),P201="Recently Active",U201&lt;&gt;"Mixed",OR(AK201="Discovery-to-Offer Enablement",AK201="Reinforce Successful Behaviour"),AM201="Ready — Automated",OR(E201&lt;&gt;"Tail",S201)),"Range Expansion Test — trial "&amp;IF(U201="Bundle-only","handpick","bundles")&amp;" (experimental; not proven to lift GMV)","")</f>
        <v/>
      </c>
      <c r="AS201" s="2" t="str">
        <f aca="false">IF(AK201&lt;&gt;"Automated Nurture","",IF(AJ201="DORMANT_LOW_VALUE","Dormant",IF(AJ201="RISING_TAIL_EARLY","Rising tail – early pattern",IF(Q201="New Customer","New customer onboarding",IF(Q201="Returned Customer","Returned customer",IF(G201="Lapsed","Dormant",IF(T201="Engaged, not converting","Engaged, not converting",IF(T201="One-off low-touch buyer","One-off purchaser",IF(T201="Light-touch repeat buyer","Light-touch repeat buyer","Standard long tail")))))))))</f>
        <v>Dormant</v>
      </c>
      <c r="AT201" s="2" t="str">
        <f aca="false">IF(AA201,"CRITICAL_DATA_BLOCKER; ","")&amp;IF(Y201,"KEY_SIGNOFF; ","")&amp;IF(Z201="Manual Review","PHASE1_MANUAL_REVIEW; ","")&amp;IF(AND(LEFT(D201,1)="1",AZ201="Lumpy"),"LUMPY_CADENCE; ","")&amp;IF(AB201,"BORDERLINE_MOMENTUM; ","")&amp;IF(AC201,"FEB_SENSITIVE; ","")&amp;IF(AD201,"MATERIAL_BROKER_INCONSISTENCY"&amp;IF(AE201," (segment would change)","")&amp;"; ","")&amp;IF(AND(I201&gt;=3,O201&gt;0),IF(AI201&gt;=Assumptions!$B$75,"H2_SINGLE_MONTH_SPIKE; ",""),"")&amp;IF(AND(M201&gt;0,N201=0),"NO_FEB_GMV (Feb unconfirmed); ","")&amp;IF(AF201,"LOW_CONFIDENCE; ","")</f>
        <v>LOW_CONFIDENCE; </v>
      </c>
      <c r="AU201" s="2" t="str">
        <f aca="false">IF(LEFT(D201,1)="1",V201,"")</f>
        <v/>
      </c>
      <c r="AV201" s="2" t="str">
        <f aca="false">IF(LEFT(D201,1)="1",V201&gt;=Assumptions!$B$58,"")</f>
        <v/>
      </c>
      <c r="AW201" s="2" t="str">
        <f aca="false">IF(LEFT(D201,1)="1",W201,"")</f>
        <v/>
      </c>
      <c r="AX201" s="2" t="str">
        <f aca="false">IF(LEFT(D201,1)="1",X201,"")</f>
        <v/>
      </c>
      <c r="AY201" s="17" t="str">
        <f aca="false">IF(LEFT(D201,1)="1",J201/I201,"")</f>
        <v/>
      </c>
      <c r="AZ201" s="2" t="str">
        <f aca="false">IF(LEFT(D201,1)="1",IF(AND(K201&gt;=Assumptions!$B$83,I201&gt;=Assumptions!$B$84),"Regular","Lumpy"),"")</f>
        <v/>
      </c>
      <c r="BA201" s="2" t="str">
        <f aca="false">IF(LEFT(D201,1)="1",ROUND(6/K201,0),"")</f>
        <v/>
      </c>
      <c r="BB201" s="2" t="str">
        <f aca="false">IF(LEFT(D201,1)="1",IF(AZ201="Regular","Regular buyer: expected ~£"&amp;TEXT(H201/2,"#,##0")&amp;" per 90 days. At Risk if GMV to date &lt; "&amp;TEXT(Assumptions!$B$81,"0%")&amp;" of pro-rated expectation, checked from day "&amp;Assumptions!$B$82&amp;". Human-reviewed.","Irregular buyer ("&amp;I201&amp;" orders across "&amp;K201&amp;" months): no numeric GMV threshold. At Risk if no order within ~"&amp;BA201&amp;" month(s); AM reviews at day "&amp;Assumptions!$B$82&amp;" and "&amp;Assumptions!$B$85&amp;"."),"")</f>
        <v/>
      </c>
      <c r="BC201" s="2"/>
      <c r="BD201" s="2"/>
      <c r="BE201" s="2"/>
      <c r="BF201" s="2"/>
      <c r="BG201" s="2"/>
      <c r="BH201" s="2"/>
      <c r="BI201" s="2"/>
      <c r="BJ201" s="2" t="str">
        <f aca="false">IF(OR(NOT(LEFT(D201,1)="1"),BC201=""),"",IF(AZ201="Regular",AND(BC201&gt;=Assumptions!$B$82,N(BI201)&lt;Assumptions!$B$81*H201/180*BC201),AND(BC201&gt;=BA201*30,N(BG201)=0)))</f>
        <v/>
      </c>
      <c r="BK201" s="2" t="str">
        <f aca="false">IF(NOT(LEFT(D201,1)="1"),"N/A",IF(BC201="","Baseline",IF(BJ201,"At Risk",IF(AND(N(BD201)&gt;=Assumptions!$B$78,N(BE201)&gt;=Assumptions!$B$79,N(BH201)&gt;=1,N(BH201)/MAX(N(BG201),1)&gt;AY201),"Self-Serve Capability Demonstrated",IF(OR(N(BD201)&gt;=Assumptions!$B$76,N(BE201)&gt;=Assumptions!$B$77),"Progressing",IF(BC201&gt;=Assumptions!$B$85,"At Risk","Baseline"))))))</f>
        <v>N/A</v>
      </c>
      <c r="BL201" s="2" t="n">
        <f aca="false">(AND(C201="Broker-Reliant",OR(AK201="Discovery-to-Offer Enablement",AK201="Reinforce Successful Behaviour")))*1+(AND(G201="Declining",E201&lt;&gt;"Tail",AL201="Automated"))*1+(AND(Y201,AM201&lt;&gt;"Human Sign-Off Required"))*1+(AND(AA201,AM201&lt;&gt;"HOLD — Critical Data Issue"))*1+(AND(P201="Recent Inactivity",OR(AK201="Discovery-to-Offer Enablement",AK201="Reinforce Successful Behaviour")))*1+(AND(OR(LEFT(D201,1)="2",LEFT(D201,1)="3",LEFT(D201,1)="8"),AL201="Automated"))*1+((LEFT(D201,1)="1")&lt;&gt;(AK201="Guided Self-Serve Migration"))*1+(AND(AR201&lt;&gt;"",OR(F201&lt;&gt;"Low",U201="Mixed",AND(G201&lt;&gt;"Growing",G201&lt;&gt;"Stable"))))*1+ISNUMBER(SEARCH("chat",AP201))*1+ISNUMBER(SEARCH("video",AP201))*1+(AND(AA201,AL201="Automated",AM201&lt;&gt;"HOLD — Critical Data Issue"))*1</f>
        <v>0</v>
      </c>
    </row>
    <row r="202" customFormat="false" ht="15" hidden="false" customHeight="false" outlineLevel="0" collapsed="false">
      <c r="A202" s="2" t="s">
        <v>974</v>
      </c>
      <c r="B202" s="2" t="str">
        <f aca="false">INDEX(Segmentation!$B$2:$B$301,MATCH($A202,Segmentation!$A$2:$A$301,0))</f>
        <v>Account Managed</v>
      </c>
      <c r="C202" s="2" t="str">
        <f aca="false">INDEX(Segmentation!$H$2:$H$301,MATCH($A202,Segmentation!$A$2:$A$301,0))</f>
        <v>AM-Owned / Self-Serving</v>
      </c>
      <c r="D202" s="2" t="str">
        <f aca="false">INDEX(Segmentation!$T$2:$T$301,MATCH($A202,Segmentation!$A$2:$A$301,0))</f>
        <v>9. Long-Tail Automated Nurture</v>
      </c>
      <c r="E202" s="2" t="str">
        <f aca="false">INDEX(Segmentation!$J$2:$J$301,MATCH($A202,Segmentation!$A$2:$A$301,0))</f>
        <v>Tail</v>
      </c>
      <c r="F202" s="2" t="str">
        <f aca="false">INDEX(Segmentation!$G$2:$G$301,MATCH($A202,Segmentation!$A$2:$A$301,0))</f>
        <v>Low</v>
      </c>
      <c r="G202" s="2" t="str">
        <f aca="false">INDEX(Segmentation!$N$2:$N$301,MATCH($A202,Segmentation!$A$2:$A$301,0))</f>
        <v>Lapsed</v>
      </c>
      <c r="H202" s="9" t="n">
        <f aca="false">INDEX(Segmentation!$I$2:$I$301,MATCH($A202,Segmentation!$A$2:$A$301,0))</f>
        <v>88</v>
      </c>
      <c r="I202" s="2" t="n">
        <f aca="false">INDEX(Segmentation!$O$2:$O$301,MATCH($A202,Segmentation!$A$2:$A$301,0))</f>
        <v>1</v>
      </c>
      <c r="J202" s="2" t="n">
        <f aca="false">INDEX(Segmentation!$Q$2:$Q$301,MATCH($A202,Segmentation!$A$2:$A$301,0))</f>
        <v>1</v>
      </c>
      <c r="K202" s="2" t="n">
        <f aca="false">INDEX(Segmentation!$W$2:$W$301,MATCH($A202,Segmentation!$A$2:$A$301,0))</f>
        <v>1</v>
      </c>
      <c r="L202" s="9" t="n">
        <f aca="false">INDEX('Commercial View'!$L$2:$L$301,MATCH($A202,'Commercial View'!$A$2:$A$301,0))</f>
        <v>0</v>
      </c>
      <c r="M202" s="9" t="n">
        <f aca="false">INDEX('Commercial View'!$M$2:$M$301,MATCH($A202,'Commercial View'!$A$2:$A$301,0))</f>
        <v>0</v>
      </c>
      <c r="N202" s="9" t="n">
        <f aca="false">INDEX('Commercial View'!$N$2:$N$301,MATCH($A202,'Commercial View'!$A$2:$A$301,0))</f>
        <v>0</v>
      </c>
      <c r="O202" s="9" t="n">
        <f aca="false">INDEX(Segmentation!$L$2:$L$301,MATCH($A202,Segmentation!$A$2:$A$301,0))</f>
        <v>0</v>
      </c>
      <c r="P202" s="2" t="str">
        <f aca="false">IF(OR(M202&gt;0,N202&gt;0),"Recently Active",IF(OR(I202&lt;=Assumptions!$B$48,K202&lt;=Assumptions!$B$49),"No Meaningful History","Recent Inactivity"))</f>
        <v>No Meaningful History</v>
      </c>
      <c r="Q202" s="2" t="str">
        <f aca="false">INDEX(Segmentation!$AF$2:$AF$301,MATCH($A202,Segmentation!$A$2:$A$301,0))</f>
        <v>Existing Customer</v>
      </c>
      <c r="R202" s="2" t="str">
        <f aca="false">INDEX(Segmentation!$AL$2:$AL$301,MATCH($A202,Segmentation!$A$2:$A$301,0))</f>
        <v>One-Off / Insufficient History — Verify</v>
      </c>
      <c r="S202" s="10" t="b">
        <f aca="false">INDEX(Segmentation!$AW$2:$AW$301,MATCH($A202,Segmentation!$A$2:$A$301,0))</f>
        <v>0</v>
      </c>
      <c r="T202" s="2" t="str">
        <f aca="false">INDEX('Feature Data'!$AD$2:$AD$301,MATCH($A202,'Feature Data'!$A$2:$A$301,0))</f>
        <v>One-off low-touch buyer</v>
      </c>
      <c r="U202" s="2" t="str">
        <f aca="false">INDEX('Feature Data'!$W$2:$W$301,MATCH($A202,'Feature Data'!$A$2:$A$301,0))</f>
        <v>Bundle-only</v>
      </c>
      <c r="V202" s="2" t="n">
        <f aca="false">INDEX('Feature Data'!$P$2:$P$301,MATCH($A202,'Feature Data'!$A$2:$A$301,0))</f>
        <v>118</v>
      </c>
      <c r="W202" s="2" t="n">
        <f aca="false">INDEX(Segmentation!$R$2:$R$301,MATCH($A202,Segmentation!$A$2:$A$301,0))</f>
        <v>11</v>
      </c>
      <c r="X202" s="2" t="n">
        <f aca="false">INDEX(Segmentation!$S$2:$S$301,MATCH($A202,Segmentation!$A$2:$A$301,0))</f>
        <v>0</v>
      </c>
      <c r="Y202" s="10" t="b">
        <f aca="false">INDEX(Segmentation!$AG$2:$AG$301,MATCH($A202,Segmentation!$A$2:$A$301,0))</f>
        <v>0</v>
      </c>
      <c r="Z202" s="2" t="str">
        <f aca="false">INDEX(Segmentation!$AU$2:$AU$301,MATCH($A202,Segmentation!$A$2:$A$301,0))</f>
        <v>Not Eligible</v>
      </c>
      <c r="AA202" s="10" t="b">
        <f aca="false">INDEX(Segmentation!$Z$2:$Z$301,MATCH($A202,Segmentation!$A$2:$A$301,0))</f>
        <v>0</v>
      </c>
      <c r="AB202" s="10" t="b">
        <f aca="false">INDEX(Segmentation!$AH$2:$AH$301,MATCH($A202,Segmentation!$A$2:$A$301,0))</f>
        <v>0</v>
      </c>
      <c r="AC202" s="10" t="b">
        <f aca="false">INDEX(Segmentation!$AK$2:$AK$301,MATCH($A202,Segmentation!$A$2:$A$301,0))</f>
        <v>0</v>
      </c>
      <c r="AD202" s="10" t="b">
        <f aca="false">INDEX(Segmentation!$AQ$2:$AQ$301,MATCH($A202,Segmentation!$A$2:$A$301,0))</f>
        <v>0</v>
      </c>
      <c r="AE202" s="10" t="b">
        <f aca="false">INDEX(Segmentation!$AT$2:$AT$301,MATCH($A202,Segmentation!$A$2:$A$301,0))</f>
        <v>0</v>
      </c>
      <c r="AF202" s="10" t="b">
        <f aca="false">INDEX(Segmentation!$X$2:$X$301,MATCH($A202,Segmentation!$A$2:$A$301,0))</f>
        <v>1</v>
      </c>
      <c r="AG202" s="10" t="b">
        <f aca="false">AND(F202="Low",V202&gt;=Assumptions!$B$71,X202&lt;Assumptions!$B$72)</f>
        <v>1</v>
      </c>
      <c r="AH202" s="10" t="b">
        <f aca="false">AND(F202="Low",OR(G202="Growing",G202="Stable"),P202="Recently Active",V202&gt;=Assumptions!$B$58,K202&gt;=Assumptions!$B$73)</f>
        <v>0</v>
      </c>
      <c r="AI202" s="17" t="str">
        <f aca="false">IF(O202&gt;0,MAX(L202:N202)/O202,"")</f>
        <v/>
      </c>
      <c r="AJ202" s="2" t="str">
        <f aca="false">IF(LEFT(D202,1)="1",IF(E202="Key","MIGRATION_KEY_SIGNOFF",IF(Z202="Ready","MIGRATION_PHASE1_READY",IF(Z202="Manual Review","MIGRATION_PHASE1_REVIEW","MIGRATION_PRE_ENTRY"))),IF(LEFT(D202,1)="2","DECLINING_KEY_CORE",IF(LEFT(D202,1)="3",IF(R202="Established Buyer Lapsed","LAPSED_ESTABLISHED","LAPSED_THIN_HISTORY"),IF(LEFT(D202,1)="4",IF(Q202="New Customer","NEW_CUSTOMER","RETURNED_CUSTOMER"),IF(LEFT(D202,1)="5",IF(P202="Recently Active","COST_TO_SERVE_ACTIVE","DORMANT_LOW_VALUE"),IF(LEFT(D202,1)="6",IF(P202="Recent Inactivity","RECENT_INACTIVITY",IF(AG202,"BROWSING_LOW_OFFERS","HEALTHY_STRONG_SELF_SERVE")),IF(LEFT(D202,1)="7",IF(P202="Recent Inactivity","RECENT_INACTIVITY",IF(Q202="New Customer","NEW_CUSTOMER","RETURNED_CUSTOMER")),IF(LEFT(D202,1)="8",IF(G202="Declining",IF(T202="Engaged but shrinking (Key/Core)","ENGAGED_BUT_SHRINKING","DECLINING_KEY_CORE"),IF(R202="Established Buyer Lapsed","LAPSED_ESTABLISHED","LAPSED_THIN_HISTORY")),IF(S202,IF(P202&lt;&gt;"Recently Active","DORMANT_LOW_VALUE",IF(AG202,"BROWSING_LOW_OFFERS",IF(AH202,"RISING_TAIL","RISING_TAIL_EARLY"))),IF(AND(AG202,P202="Recently Active",OR(G202="Growing",G202="Stable",G202="H2 Active / No H1 GMV"),I202&gt;=Assumptions!$B$74),"BROWSING_LOW_OFFERS","LONG_TAIL_STANDARD"))))))))))</f>
        <v>LONG_TAIL_STANDARD</v>
      </c>
      <c r="AK202" s="2" t="str">
        <f aca="false">INDEX('NBA Library'!$B$4:$B$21,MATCH(AJ202,'NBA Library'!$A$4:$A$21,0))</f>
        <v>Automated Nurture</v>
      </c>
      <c r="AL202" s="2" t="str">
        <f aca="false">INDEX('NBA Library'!$C$4:$C$21,MATCH(AJ202,'NBA Library'!$A$4:$A$21,0))</f>
        <v>Automated</v>
      </c>
      <c r="AM202" s="2" t="str">
        <f aca="false">IF(AA202,"HOLD — Critical Data Issue",IF(Y202,"Human Sign-Off Required",IF(Z202="Manual Review","Human Review Required",IF(AND(AL202="Automated",OR(AE202,AND(OR(AK202="Discovery-to-Offer Enablement",AK202="Reinforce Successful Behaviour"),OR(AC202,AB202)))),"Human Review Required",IF(AL202="Human","Ready — Human",IF(AL202="Hybrid","Ready — Hybrid","Ready — Automated"))))))</f>
        <v>Ready — Automated</v>
      </c>
      <c r="AN202" s="2" t="str">
        <f aca="false">IF(AA202,"P0",IF(AND(AJ202="BROWSING_LOW_OFFERS",E202="Tail"),"P3",IF(AND(AM202="Human Review Required",INDEX('NBA Library'!$D$4:$D$21,MATCH(AJ202,'NBA Library'!$A$4:$A$21,0))="P4"),"P3",INDEX('NBA Library'!$D$4:$D$21,MATCH(AJ202,'NBA Library'!$A$4:$A$21,0)))))</f>
        <v>P4</v>
      </c>
      <c r="AO202" s="2" t="str">
        <f aca="false">E202&amp;" "&amp;C202&amp;" account ("&amp;B202&amp;"); "&amp;G202&amp;" momentum; "&amp;P202&amp;"; £"&amp;TEXT(H202,"#,##0")&amp;" 6m GMV. "&amp;INDEX('NBA Library'!$G$4:$G$21,MATCH(AJ202,'NBA Library'!$A$4:$A$21,0))&amp;IF(LEFT(D202,1)="1"," Baseline: "&amp;V202&amp;" PDP views, "&amp;W202&amp;" app days, "&amp;X202&amp;" offers, "&amp;TEXT(J202/I202,"0%")&amp;" of orders self-serve.","")&amp;IF(AA202," Execution on HOLD until the Duplicate status is resolved.","")&amp;IF(Y202," Key account: explicit AM/leadership sign-off required before any migration activity.","")&amp;IF(AE202," Implied broker % from order counts would move this account to a different segment; review before automating.","")</f>
        <v>Tail AM-Owned / Self-Serving account (Account Managed); Lapsed momentum; No Meaningful History; £88 6m GMV. Low-value, low-dependency account. Scalable automated engagement.</v>
      </c>
      <c r="AP202" s="2" t="str">
        <f aca="false">INDEX('NBA Library'!$E$4:$E$21,MATCH(AJ202,'NBA Library'!$A$4:$A$21,0))&amp;IF(AND(AJ202="NEW_CUSTOMER",AG202),"; introduce Make-an-Offer on items already browsed","")</f>
        <v>Scalable automated engagement matched to nurture sub-context</v>
      </c>
      <c r="AQ202" s="2" t="str">
        <f aca="false">INDEX('NBA Library'!$F$4:$F$21,MATCH(AJ202,'NBA Library'!$A$4:$A$21,0))</f>
        <v>Any repeat order within 90 days</v>
      </c>
      <c r="AR202" s="2" t="str">
        <f aca="false">IF(AND(F202="Low",OR(G202="Growing",G202="Stable"),P202="Recently Active",U202&lt;&gt;"Mixed",OR(AK202="Discovery-to-Offer Enablement",AK202="Reinforce Successful Behaviour"),AM202="Ready — Automated",OR(E202&lt;&gt;"Tail",S202)),"Range Expansion Test — trial "&amp;IF(U202="Bundle-only","handpick","bundles")&amp;" (experimental; not proven to lift GMV)","")</f>
        <v/>
      </c>
      <c r="AS202" s="2" t="str">
        <f aca="false">IF(AK202&lt;&gt;"Automated Nurture","",IF(AJ202="DORMANT_LOW_VALUE","Dormant",IF(AJ202="RISING_TAIL_EARLY","Rising tail – early pattern",IF(Q202="New Customer","New customer onboarding",IF(Q202="Returned Customer","Returned customer",IF(G202="Lapsed","Dormant",IF(T202="Engaged, not converting","Engaged, not converting",IF(T202="One-off low-touch buyer","One-off purchaser",IF(T202="Light-touch repeat buyer","Light-touch repeat buyer","Standard long tail")))))))))</f>
        <v>Dormant</v>
      </c>
      <c r="AT202" s="2" t="str">
        <f aca="false">IF(AA202,"CRITICAL_DATA_BLOCKER; ","")&amp;IF(Y202,"KEY_SIGNOFF; ","")&amp;IF(Z202="Manual Review","PHASE1_MANUAL_REVIEW; ","")&amp;IF(AND(LEFT(D202,1)="1",AZ202="Lumpy"),"LUMPY_CADENCE; ","")&amp;IF(AB202,"BORDERLINE_MOMENTUM; ","")&amp;IF(AC202,"FEB_SENSITIVE; ","")&amp;IF(AD202,"MATERIAL_BROKER_INCONSISTENCY"&amp;IF(AE202," (segment would change)","")&amp;"; ","")&amp;IF(AND(I202&gt;=3,O202&gt;0),IF(AI202&gt;=Assumptions!$B$75,"H2_SINGLE_MONTH_SPIKE; ",""),"")&amp;IF(AND(M202&gt;0,N202=0),"NO_FEB_GMV (Feb unconfirmed); ","")&amp;IF(AF202,"LOW_CONFIDENCE; ","")</f>
        <v>LOW_CONFIDENCE; </v>
      </c>
      <c r="AU202" s="2" t="str">
        <f aca="false">IF(LEFT(D202,1)="1",V202,"")</f>
        <v/>
      </c>
      <c r="AV202" s="2" t="str">
        <f aca="false">IF(LEFT(D202,1)="1",V202&gt;=Assumptions!$B$58,"")</f>
        <v/>
      </c>
      <c r="AW202" s="2" t="str">
        <f aca="false">IF(LEFT(D202,1)="1",W202,"")</f>
        <v/>
      </c>
      <c r="AX202" s="2" t="str">
        <f aca="false">IF(LEFT(D202,1)="1",X202,"")</f>
        <v/>
      </c>
      <c r="AY202" s="17" t="str">
        <f aca="false">IF(LEFT(D202,1)="1",J202/I202,"")</f>
        <v/>
      </c>
      <c r="AZ202" s="2" t="str">
        <f aca="false">IF(LEFT(D202,1)="1",IF(AND(K202&gt;=Assumptions!$B$83,I202&gt;=Assumptions!$B$84),"Regular","Lumpy"),"")</f>
        <v/>
      </c>
      <c r="BA202" s="2" t="str">
        <f aca="false">IF(LEFT(D202,1)="1",ROUND(6/K202,0),"")</f>
        <v/>
      </c>
      <c r="BB202" s="2" t="str">
        <f aca="false">IF(LEFT(D202,1)="1",IF(AZ202="Regular","Regular buyer: expected ~£"&amp;TEXT(H202/2,"#,##0")&amp;" per 90 days. At Risk if GMV to date &lt; "&amp;TEXT(Assumptions!$B$81,"0%")&amp;" of pro-rated expectation, checked from day "&amp;Assumptions!$B$82&amp;". Human-reviewed.","Irregular buyer ("&amp;I202&amp;" orders across "&amp;K202&amp;" months): no numeric GMV threshold. At Risk if no order within ~"&amp;BA202&amp;" month(s); AM reviews at day "&amp;Assumptions!$B$82&amp;" and "&amp;Assumptions!$B$85&amp;"."),"")</f>
        <v/>
      </c>
      <c r="BC202" s="2"/>
      <c r="BD202" s="2"/>
      <c r="BE202" s="2"/>
      <c r="BF202" s="2"/>
      <c r="BG202" s="2"/>
      <c r="BH202" s="2"/>
      <c r="BI202" s="2"/>
      <c r="BJ202" s="2" t="str">
        <f aca="false">IF(OR(NOT(LEFT(D202,1)="1"),BC202=""),"",IF(AZ202="Regular",AND(BC202&gt;=Assumptions!$B$82,N(BI202)&lt;Assumptions!$B$81*H202/180*BC202),AND(BC202&gt;=BA202*30,N(BG202)=0)))</f>
        <v/>
      </c>
      <c r="BK202" s="2" t="str">
        <f aca="false">IF(NOT(LEFT(D202,1)="1"),"N/A",IF(BC202="","Baseline",IF(BJ202,"At Risk",IF(AND(N(BD202)&gt;=Assumptions!$B$78,N(BE202)&gt;=Assumptions!$B$79,N(BH202)&gt;=1,N(BH202)/MAX(N(BG202),1)&gt;AY202),"Self-Serve Capability Demonstrated",IF(OR(N(BD202)&gt;=Assumptions!$B$76,N(BE202)&gt;=Assumptions!$B$77),"Progressing",IF(BC202&gt;=Assumptions!$B$85,"At Risk","Baseline"))))))</f>
        <v>N/A</v>
      </c>
      <c r="BL202" s="2" t="n">
        <f aca="false">(AND(C202="Broker-Reliant",OR(AK202="Discovery-to-Offer Enablement",AK202="Reinforce Successful Behaviour")))*1+(AND(G202="Declining",E202&lt;&gt;"Tail",AL202="Automated"))*1+(AND(Y202,AM202&lt;&gt;"Human Sign-Off Required"))*1+(AND(AA202,AM202&lt;&gt;"HOLD — Critical Data Issue"))*1+(AND(P202="Recent Inactivity",OR(AK202="Discovery-to-Offer Enablement",AK202="Reinforce Successful Behaviour")))*1+(AND(OR(LEFT(D202,1)="2",LEFT(D202,1)="3",LEFT(D202,1)="8"),AL202="Automated"))*1+((LEFT(D202,1)="1")&lt;&gt;(AK202="Guided Self-Serve Migration"))*1+(AND(AR202&lt;&gt;"",OR(F202&lt;&gt;"Low",U202="Mixed",AND(G202&lt;&gt;"Growing",G202&lt;&gt;"Stable"))))*1+ISNUMBER(SEARCH("chat",AP202))*1+ISNUMBER(SEARCH("video",AP202))*1+(AND(AA202,AL202="Automated",AM202&lt;&gt;"HOLD — Critical Data Issue"))*1</f>
        <v>0</v>
      </c>
    </row>
    <row r="203" customFormat="false" ht="15" hidden="false" customHeight="false" outlineLevel="0" collapsed="false">
      <c r="A203" s="2" t="s">
        <v>982</v>
      </c>
      <c r="B203" s="2" t="str">
        <f aca="false">INDEX(Segmentation!$B$2:$B$301,MATCH($A203,Segmentation!$A$2:$A$301,0))</f>
        <v>Account Managed</v>
      </c>
      <c r="C203" s="2" t="str">
        <f aca="false">INDEX(Segmentation!$H$2:$H$301,MATCH($A203,Segmentation!$A$2:$A$301,0))</f>
        <v>AM-Owned / Self-Serving</v>
      </c>
      <c r="D203" s="2" t="str">
        <f aca="false">INDEX(Segmentation!$T$2:$T$301,MATCH($A203,Segmentation!$A$2:$A$301,0))</f>
        <v>9. Long-Tail Automated Nurture</v>
      </c>
      <c r="E203" s="2" t="str">
        <f aca="false">INDEX(Segmentation!$J$2:$J$301,MATCH($A203,Segmentation!$A$2:$A$301,0))</f>
        <v>Tail</v>
      </c>
      <c r="F203" s="2" t="str">
        <f aca="false">INDEX(Segmentation!$G$2:$G$301,MATCH($A203,Segmentation!$A$2:$A$301,0))</f>
        <v>Low</v>
      </c>
      <c r="G203" s="2" t="str">
        <f aca="false">INDEX(Segmentation!$N$2:$N$301,MATCH($A203,Segmentation!$A$2:$A$301,0))</f>
        <v>Lapsed</v>
      </c>
      <c r="H203" s="9" t="n">
        <f aca="false">INDEX(Segmentation!$I$2:$I$301,MATCH($A203,Segmentation!$A$2:$A$301,0))</f>
        <v>85</v>
      </c>
      <c r="I203" s="2" t="n">
        <f aca="false">INDEX(Segmentation!$O$2:$O$301,MATCH($A203,Segmentation!$A$2:$A$301,0))</f>
        <v>1</v>
      </c>
      <c r="J203" s="2" t="n">
        <f aca="false">INDEX(Segmentation!$Q$2:$Q$301,MATCH($A203,Segmentation!$A$2:$A$301,0))</f>
        <v>1</v>
      </c>
      <c r="K203" s="2" t="n">
        <f aca="false">INDEX(Segmentation!$W$2:$W$301,MATCH($A203,Segmentation!$A$2:$A$301,0))</f>
        <v>1</v>
      </c>
      <c r="L203" s="9" t="n">
        <f aca="false">INDEX('Commercial View'!$L$2:$L$301,MATCH($A203,'Commercial View'!$A$2:$A$301,0))</f>
        <v>0</v>
      </c>
      <c r="M203" s="9" t="n">
        <f aca="false">INDEX('Commercial View'!$M$2:$M$301,MATCH($A203,'Commercial View'!$A$2:$A$301,0))</f>
        <v>0</v>
      </c>
      <c r="N203" s="9" t="n">
        <f aca="false">INDEX('Commercial View'!$N$2:$N$301,MATCH($A203,'Commercial View'!$A$2:$A$301,0))</f>
        <v>0</v>
      </c>
      <c r="O203" s="9" t="n">
        <f aca="false">INDEX(Segmentation!$L$2:$L$301,MATCH($A203,Segmentation!$A$2:$A$301,0))</f>
        <v>0</v>
      </c>
      <c r="P203" s="2" t="str">
        <f aca="false">IF(OR(M203&gt;0,N203&gt;0),"Recently Active",IF(OR(I203&lt;=Assumptions!$B$48,K203&lt;=Assumptions!$B$49),"No Meaningful History","Recent Inactivity"))</f>
        <v>No Meaningful History</v>
      </c>
      <c r="Q203" s="2" t="str">
        <f aca="false">INDEX(Segmentation!$AF$2:$AF$301,MATCH($A203,Segmentation!$A$2:$A$301,0))</f>
        <v>Existing Customer</v>
      </c>
      <c r="R203" s="2" t="str">
        <f aca="false">INDEX(Segmentation!$AL$2:$AL$301,MATCH($A203,Segmentation!$A$2:$A$301,0))</f>
        <v>One-Off / Insufficient History — Verify</v>
      </c>
      <c r="S203" s="10" t="b">
        <f aca="false">INDEX(Segmentation!$AW$2:$AW$301,MATCH($A203,Segmentation!$A$2:$A$301,0))</f>
        <v>0</v>
      </c>
      <c r="T203" s="2" t="str">
        <f aca="false">INDEX('Feature Data'!$AD$2:$AD$301,MATCH($A203,'Feature Data'!$A$2:$A$301,0))</f>
        <v>Engaged, not converting</v>
      </c>
      <c r="U203" s="2" t="str">
        <f aca="false">INDEX('Feature Data'!$W$2:$W$301,MATCH($A203,'Feature Data'!$A$2:$A$301,0))</f>
        <v>Bundle-only</v>
      </c>
      <c r="V203" s="2" t="n">
        <f aca="false">INDEX('Feature Data'!$P$2:$P$301,MATCH($A203,'Feature Data'!$A$2:$A$301,0))</f>
        <v>206</v>
      </c>
      <c r="W203" s="2" t="n">
        <f aca="false">INDEX(Segmentation!$R$2:$R$301,MATCH($A203,Segmentation!$A$2:$A$301,0))</f>
        <v>13</v>
      </c>
      <c r="X203" s="2" t="n">
        <f aca="false">INDEX(Segmentation!$S$2:$S$301,MATCH($A203,Segmentation!$A$2:$A$301,0))</f>
        <v>4</v>
      </c>
      <c r="Y203" s="10" t="b">
        <f aca="false">INDEX(Segmentation!$AG$2:$AG$301,MATCH($A203,Segmentation!$A$2:$A$301,0))</f>
        <v>0</v>
      </c>
      <c r="Z203" s="2" t="str">
        <f aca="false">INDEX(Segmentation!$AU$2:$AU$301,MATCH($A203,Segmentation!$A$2:$A$301,0))</f>
        <v>Not Eligible</v>
      </c>
      <c r="AA203" s="10" t="b">
        <f aca="false">INDEX(Segmentation!$Z$2:$Z$301,MATCH($A203,Segmentation!$A$2:$A$301,0))</f>
        <v>0</v>
      </c>
      <c r="AB203" s="10" t="b">
        <f aca="false">INDEX(Segmentation!$AH$2:$AH$301,MATCH($A203,Segmentation!$A$2:$A$301,0))</f>
        <v>0</v>
      </c>
      <c r="AC203" s="10" t="b">
        <f aca="false">INDEX(Segmentation!$AK$2:$AK$301,MATCH($A203,Segmentation!$A$2:$A$301,0))</f>
        <v>0</v>
      </c>
      <c r="AD203" s="10" t="b">
        <f aca="false">INDEX(Segmentation!$AQ$2:$AQ$301,MATCH($A203,Segmentation!$A$2:$A$301,0))</f>
        <v>0</v>
      </c>
      <c r="AE203" s="10" t="b">
        <f aca="false">INDEX(Segmentation!$AT$2:$AT$301,MATCH($A203,Segmentation!$A$2:$A$301,0))</f>
        <v>0</v>
      </c>
      <c r="AF203" s="10" t="b">
        <f aca="false">INDEX(Segmentation!$X$2:$X$301,MATCH($A203,Segmentation!$A$2:$A$301,0))</f>
        <v>1</v>
      </c>
      <c r="AG203" s="10" t="b">
        <f aca="false">AND(F203="Low",V203&gt;=Assumptions!$B$71,X203&lt;Assumptions!$B$72)</f>
        <v>0</v>
      </c>
      <c r="AH203" s="10" t="b">
        <f aca="false">AND(F203="Low",OR(G203="Growing",G203="Stable"),P203="Recently Active",V203&gt;=Assumptions!$B$58,K203&gt;=Assumptions!$B$73)</f>
        <v>0</v>
      </c>
      <c r="AI203" s="17" t="str">
        <f aca="false">IF(O203&gt;0,MAX(L203:N203)/O203,"")</f>
        <v/>
      </c>
      <c r="AJ203" s="2" t="str">
        <f aca="false">IF(LEFT(D203,1)="1",IF(E203="Key","MIGRATION_KEY_SIGNOFF",IF(Z203="Ready","MIGRATION_PHASE1_READY",IF(Z203="Manual Review","MIGRATION_PHASE1_REVIEW","MIGRATION_PRE_ENTRY"))),IF(LEFT(D203,1)="2","DECLINING_KEY_CORE",IF(LEFT(D203,1)="3",IF(R203="Established Buyer Lapsed","LAPSED_ESTABLISHED","LAPSED_THIN_HISTORY"),IF(LEFT(D203,1)="4",IF(Q203="New Customer","NEW_CUSTOMER","RETURNED_CUSTOMER"),IF(LEFT(D203,1)="5",IF(P203="Recently Active","COST_TO_SERVE_ACTIVE","DORMANT_LOW_VALUE"),IF(LEFT(D203,1)="6",IF(P203="Recent Inactivity","RECENT_INACTIVITY",IF(AG203,"BROWSING_LOW_OFFERS","HEALTHY_STRONG_SELF_SERVE")),IF(LEFT(D203,1)="7",IF(P203="Recent Inactivity","RECENT_INACTIVITY",IF(Q203="New Customer","NEW_CUSTOMER","RETURNED_CUSTOMER")),IF(LEFT(D203,1)="8",IF(G203="Declining",IF(T203="Engaged but shrinking (Key/Core)","ENGAGED_BUT_SHRINKING","DECLINING_KEY_CORE"),IF(R203="Established Buyer Lapsed","LAPSED_ESTABLISHED","LAPSED_THIN_HISTORY")),IF(S203,IF(P203&lt;&gt;"Recently Active","DORMANT_LOW_VALUE",IF(AG203,"BROWSING_LOW_OFFERS",IF(AH203,"RISING_TAIL","RISING_TAIL_EARLY"))),IF(AND(AG203,P203="Recently Active",OR(G203="Growing",G203="Stable",G203="H2 Active / No H1 GMV"),I203&gt;=Assumptions!$B$74),"BROWSING_LOW_OFFERS","LONG_TAIL_STANDARD"))))))))))</f>
        <v>LONG_TAIL_STANDARD</v>
      </c>
      <c r="AK203" s="2" t="str">
        <f aca="false">INDEX('NBA Library'!$B$4:$B$21,MATCH(AJ203,'NBA Library'!$A$4:$A$21,0))</f>
        <v>Automated Nurture</v>
      </c>
      <c r="AL203" s="2" t="str">
        <f aca="false">INDEX('NBA Library'!$C$4:$C$21,MATCH(AJ203,'NBA Library'!$A$4:$A$21,0))</f>
        <v>Automated</v>
      </c>
      <c r="AM203" s="2" t="str">
        <f aca="false">IF(AA203,"HOLD — Critical Data Issue",IF(Y203,"Human Sign-Off Required",IF(Z203="Manual Review","Human Review Required",IF(AND(AL203="Automated",OR(AE203,AND(OR(AK203="Discovery-to-Offer Enablement",AK203="Reinforce Successful Behaviour"),OR(AC203,AB203)))),"Human Review Required",IF(AL203="Human","Ready — Human",IF(AL203="Hybrid","Ready — Hybrid","Ready — Automated"))))))</f>
        <v>Ready — Automated</v>
      </c>
      <c r="AN203" s="2" t="str">
        <f aca="false">IF(AA203,"P0",IF(AND(AJ203="BROWSING_LOW_OFFERS",E203="Tail"),"P3",IF(AND(AM203="Human Review Required",INDEX('NBA Library'!$D$4:$D$21,MATCH(AJ203,'NBA Library'!$A$4:$A$21,0))="P4"),"P3",INDEX('NBA Library'!$D$4:$D$21,MATCH(AJ203,'NBA Library'!$A$4:$A$21,0)))))</f>
        <v>P4</v>
      </c>
      <c r="AO203" s="2" t="str">
        <f aca="false">E203&amp;" "&amp;C203&amp;" account ("&amp;B203&amp;"); "&amp;G203&amp;" momentum; "&amp;P203&amp;"; £"&amp;TEXT(H203,"#,##0")&amp;" 6m GMV. "&amp;INDEX('NBA Library'!$G$4:$G$21,MATCH(AJ203,'NBA Library'!$A$4:$A$21,0))&amp;IF(LEFT(D203,1)="1"," Baseline: "&amp;V203&amp;" PDP views, "&amp;W203&amp;" app days, "&amp;X203&amp;" offers, "&amp;TEXT(J203/I203,"0%")&amp;" of orders self-serve.","")&amp;IF(AA203," Execution on HOLD until the Duplicate status is resolved.","")&amp;IF(Y203," Key account: explicit AM/leadership sign-off required before any migration activity.","")&amp;IF(AE203," Implied broker % from order counts would move this account to a different segment; review before automating.","")</f>
        <v>Tail AM-Owned / Self-Serving account (Account Managed); Lapsed momentum; No Meaningful History; £85 6m GMV. Low-value, low-dependency account. Scalable automated engagement.</v>
      </c>
      <c r="AP203" s="2" t="str">
        <f aca="false">INDEX('NBA Library'!$E$4:$E$21,MATCH(AJ203,'NBA Library'!$A$4:$A$21,0))&amp;IF(AND(AJ203="NEW_CUSTOMER",AG203),"; introduce Make-an-Offer on items already browsed","")</f>
        <v>Scalable automated engagement matched to nurture sub-context</v>
      </c>
      <c r="AQ203" s="2" t="str">
        <f aca="false">INDEX('NBA Library'!$F$4:$F$21,MATCH(AJ203,'NBA Library'!$A$4:$A$21,0))</f>
        <v>Any repeat order within 90 days</v>
      </c>
      <c r="AR203" s="2" t="str">
        <f aca="false">IF(AND(F203="Low",OR(G203="Growing",G203="Stable"),P203="Recently Active",U203&lt;&gt;"Mixed",OR(AK203="Discovery-to-Offer Enablement",AK203="Reinforce Successful Behaviour"),AM203="Ready — Automated",OR(E203&lt;&gt;"Tail",S203)),"Range Expansion Test — trial "&amp;IF(U203="Bundle-only","handpick","bundles")&amp;" (experimental; not proven to lift GMV)","")</f>
        <v/>
      </c>
      <c r="AS203" s="2" t="str">
        <f aca="false">IF(AK203&lt;&gt;"Automated Nurture","",IF(AJ203="DORMANT_LOW_VALUE","Dormant",IF(AJ203="RISING_TAIL_EARLY","Rising tail – early pattern",IF(Q203="New Customer","New customer onboarding",IF(Q203="Returned Customer","Returned customer",IF(G203="Lapsed","Dormant",IF(T203="Engaged, not converting","Engaged, not converting",IF(T203="One-off low-touch buyer","One-off purchaser",IF(T203="Light-touch repeat buyer","Light-touch repeat buyer","Standard long tail")))))))))</f>
        <v>Dormant</v>
      </c>
      <c r="AT203" s="2" t="str">
        <f aca="false">IF(AA203,"CRITICAL_DATA_BLOCKER; ","")&amp;IF(Y203,"KEY_SIGNOFF; ","")&amp;IF(Z203="Manual Review","PHASE1_MANUAL_REVIEW; ","")&amp;IF(AND(LEFT(D203,1)="1",AZ203="Lumpy"),"LUMPY_CADENCE; ","")&amp;IF(AB203,"BORDERLINE_MOMENTUM; ","")&amp;IF(AC203,"FEB_SENSITIVE; ","")&amp;IF(AD203,"MATERIAL_BROKER_INCONSISTENCY"&amp;IF(AE203," (segment would change)","")&amp;"; ","")&amp;IF(AND(I203&gt;=3,O203&gt;0),IF(AI203&gt;=Assumptions!$B$75,"H2_SINGLE_MONTH_SPIKE; ",""),"")&amp;IF(AND(M203&gt;0,N203=0),"NO_FEB_GMV (Feb unconfirmed); ","")&amp;IF(AF203,"LOW_CONFIDENCE; ","")</f>
        <v>LOW_CONFIDENCE; </v>
      </c>
      <c r="AU203" s="2" t="str">
        <f aca="false">IF(LEFT(D203,1)="1",V203,"")</f>
        <v/>
      </c>
      <c r="AV203" s="2" t="str">
        <f aca="false">IF(LEFT(D203,1)="1",V203&gt;=Assumptions!$B$58,"")</f>
        <v/>
      </c>
      <c r="AW203" s="2" t="str">
        <f aca="false">IF(LEFT(D203,1)="1",W203,"")</f>
        <v/>
      </c>
      <c r="AX203" s="2" t="str">
        <f aca="false">IF(LEFT(D203,1)="1",X203,"")</f>
        <v/>
      </c>
      <c r="AY203" s="17" t="str">
        <f aca="false">IF(LEFT(D203,1)="1",J203/I203,"")</f>
        <v/>
      </c>
      <c r="AZ203" s="2" t="str">
        <f aca="false">IF(LEFT(D203,1)="1",IF(AND(K203&gt;=Assumptions!$B$83,I203&gt;=Assumptions!$B$84),"Regular","Lumpy"),"")</f>
        <v/>
      </c>
      <c r="BA203" s="2" t="str">
        <f aca="false">IF(LEFT(D203,1)="1",ROUND(6/K203,0),"")</f>
        <v/>
      </c>
      <c r="BB203" s="2" t="str">
        <f aca="false">IF(LEFT(D203,1)="1",IF(AZ203="Regular","Regular buyer: expected ~£"&amp;TEXT(H203/2,"#,##0")&amp;" per 90 days. At Risk if GMV to date &lt; "&amp;TEXT(Assumptions!$B$81,"0%")&amp;" of pro-rated expectation, checked from day "&amp;Assumptions!$B$82&amp;". Human-reviewed.","Irregular buyer ("&amp;I203&amp;" orders across "&amp;K203&amp;" months): no numeric GMV threshold. At Risk if no order within ~"&amp;BA203&amp;" month(s); AM reviews at day "&amp;Assumptions!$B$82&amp;" and "&amp;Assumptions!$B$85&amp;"."),"")</f>
        <v/>
      </c>
      <c r="BC203" s="2"/>
      <c r="BD203" s="2"/>
      <c r="BE203" s="2"/>
      <c r="BF203" s="2"/>
      <c r="BG203" s="2"/>
      <c r="BH203" s="2"/>
      <c r="BI203" s="2"/>
      <c r="BJ203" s="2" t="str">
        <f aca="false">IF(OR(NOT(LEFT(D203,1)="1"),BC203=""),"",IF(AZ203="Regular",AND(BC203&gt;=Assumptions!$B$82,N(BI203)&lt;Assumptions!$B$81*H203/180*BC203),AND(BC203&gt;=BA203*30,N(BG203)=0)))</f>
        <v/>
      </c>
      <c r="BK203" s="2" t="str">
        <f aca="false">IF(NOT(LEFT(D203,1)="1"),"N/A",IF(BC203="","Baseline",IF(BJ203,"At Risk",IF(AND(N(BD203)&gt;=Assumptions!$B$78,N(BE203)&gt;=Assumptions!$B$79,N(BH203)&gt;=1,N(BH203)/MAX(N(BG203),1)&gt;AY203),"Self-Serve Capability Demonstrated",IF(OR(N(BD203)&gt;=Assumptions!$B$76,N(BE203)&gt;=Assumptions!$B$77),"Progressing",IF(BC203&gt;=Assumptions!$B$85,"At Risk","Baseline"))))))</f>
        <v>N/A</v>
      </c>
      <c r="BL203" s="2" t="n">
        <f aca="false">(AND(C203="Broker-Reliant",OR(AK203="Discovery-to-Offer Enablement",AK203="Reinforce Successful Behaviour")))*1+(AND(G203="Declining",E203&lt;&gt;"Tail",AL203="Automated"))*1+(AND(Y203,AM203&lt;&gt;"Human Sign-Off Required"))*1+(AND(AA203,AM203&lt;&gt;"HOLD — Critical Data Issue"))*1+(AND(P203="Recent Inactivity",OR(AK203="Discovery-to-Offer Enablement",AK203="Reinforce Successful Behaviour")))*1+(AND(OR(LEFT(D203,1)="2",LEFT(D203,1)="3",LEFT(D203,1)="8"),AL203="Automated"))*1+((LEFT(D203,1)="1")&lt;&gt;(AK203="Guided Self-Serve Migration"))*1+(AND(AR203&lt;&gt;"",OR(F203&lt;&gt;"Low",U203="Mixed",AND(G203&lt;&gt;"Growing",G203&lt;&gt;"Stable"))))*1+ISNUMBER(SEARCH("chat",AP203))*1+ISNUMBER(SEARCH("video",AP203))*1+(AND(AA203,AL203="Automated",AM203&lt;&gt;"HOLD — Critical Data Issue"))*1</f>
        <v>0</v>
      </c>
    </row>
    <row r="204" customFormat="false" ht="15" hidden="false" customHeight="false" outlineLevel="0" collapsed="false">
      <c r="A204" s="2" t="s">
        <v>984</v>
      </c>
      <c r="B204" s="2" t="str">
        <f aca="false">INDEX(Segmentation!$B$2:$B$301,MATCH($A204,Segmentation!$A$2:$A$301,0))</f>
        <v>Account Managed</v>
      </c>
      <c r="C204" s="2" t="str">
        <f aca="false">INDEX(Segmentation!$H$2:$H$301,MATCH($A204,Segmentation!$A$2:$A$301,0))</f>
        <v>AM-Owned / Self-Serving</v>
      </c>
      <c r="D204" s="2" t="str">
        <f aca="false">INDEX(Segmentation!$T$2:$T$301,MATCH($A204,Segmentation!$A$2:$A$301,0))</f>
        <v>9. Long-Tail Automated Nurture</v>
      </c>
      <c r="E204" s="2" t="str">
        <f aca="false">INDEX(Segmentation!$J$2:$J$301,MATCH($A204,Segmentation!$A$2:$A$301,0))</f>
        <v>Tail</v>
      </c>
      <c r="F204" s="2" t="str">
        <f aca="false">INDEX(Segmentation!$G$2:$G$301,MATCH($A204,Segmentation!$A$2:$A$301,0))</f>
        <v>Low</v>
      </c>
      <c r="G204" s="2" t="str">
        <f aca="false">INDEX(Segmentation!$N$2:$N$301,MATCH($A204,Segmentation!$A$2:$A$301,0))</f>
        <v>Lapsed</v>
      </c>
      <c r="H204" s="9" t="n">
        <f aca="false">INDEX(Segmentation!$I$2:$I$301,MATCH($A204,Segmentation!$A$2:$A$301,0))</f>
        <v>84</v>
      </c>
      <c r="I204" s="2" t="n">
        <f aca="false">INDEX(Segmentation!$O$2:$O$301,MATCH($A204,Segmentation!$A$2:$A$301,0))</f>
        <v>1</v>
      </c>
      <c r="J204" s="2" t="n">
        <f aca="false">INDEX(Segmentation!$Q$2:$Q$301,MATCH($A204,Segmentation!$A$2:$A$301,0))</f>
        <v>1</v>
      </c>
      <c r="K204" s="2" t="n">
        <f aca="false">INDEX(Segmentation!$W$2:$W$301,MATCH($A204,Segmentation!$A$2:$A$301,0))</f>
        <v>1</v>
      </c>
      <c r="L204" s="9" t="n">
        <f aca="false">INDEX('Commercial View'!$L$2:$L$301,MATCH($A204,'Commercial View'!$A$2:$A$301,0))</f>
        <v>0</v>
      </c>
      <c r="M204" s="9" t="n">
        <f aca="false">INDEX('Commercial View'!$M$2:$M$301,MATCH($A204,'Commercial View'!$A$2:$A$301,0))</f>
        <v>0</v>
      </c>
      <c r="N204" s="9" t="n">
        <f aca="false">INDEX('Commercial View'!$N$2:$N$301,MATCH($A204,'Commercial View'!$A$2:$A$301,0))</f>
        <v>0</v>
      </c>
      <c r="O204" s="9" t="n">
        <f aca="false">INDEX(Segmentation!$L$2:$L$301,MATCH($A204,Segmentation!$A$2:$A$301,0))</f>
        <v>0</v>
      </c>
      <c r="P204" s="2" t="str">
        <f aca="false">IF(OR(M204&gt;0,N204&gt;0),"Recently Active",IF(OR(I204&lt;=Assumptions!$B$48,K204&lt;=Assumptions!$B$49),"No Meaningful History","Recent Inactivity"))</f>
        <v>No Meaningful History</v>
      </c>
      <c r="Q204" s="2" t="str">
        <f aca="false">INDEX(Segmentation!$AF$2:$AF$301,MATCH($A204,Segmentation!$A$2:$A$301,0))</f>
        <v>Existing Customer</v>
      </c>
      <c r="R204" s="2" t="str">
        <f aca="false">INDEX(Segmentation!$AL$2:$AL$301,MATCH($A204,Segmentation!$A$2:$A$301,0))</f>
        <v>One-Off / Insufficient History — Verify</v>
      </c>
      <c r="S204" s="10" t="b">
        <f aca="false">INDEX(Segmentation!$AW$2:$AW$301,MATCH($A204,Segmentation!$A$2:$A$301,0))</f>
        <v>0</v>
      </c>
      <c r="T204" s="2" t="str">
        <f aca="false">INDEX('Feature Data'!$AD$2:$AD$301,MATCH($A204,'Feature Data'!$A$2:$A$301,0))</f>
        <v>One-off low-touch buyer</v>
      </c>
      <c r="U204" s="2" t="str">
        <f aca="false">INDEX('Feature Data'!$W$2:$W$301,MATCH($A204,'Feature Data'!$A$2:$A$301,0))</f>
        <v>Bundle-only</v>
      </c>
      <c r="V204" s="2" t="n">
        <f aca="false">INDEX('Feature Data'!$P$2:$P$301,MATCH($A204,'Feature Data'!$A$2:$A$301,0))</f>
        <v>34</v>
      </c>
      <c r="W204" s="2" t="n">
        <f aca="false">INDEX(Segmentation!$R$2:$R$301,MATCH($A204,Segmentation!$A$2:$A$301,0))</f>
        <v>7</v>
      </c>
      <c r="X204" s="2" t="n">
        <f aca="false">INDEX(Segmentation!$S$2:$S$301,MATCH($A204,Segmentation!$A$2:$A$301,0))</f>
        <v>0</v>
      </c>
      <c r="Y204" s="10" t="b">
        <f aca="false">INDEX(Segmentation!$AG$2:$AG$301,MATCH($A204,Segmentation!$A$2:$A$301,0))</f>
        <v>0</v>
      </c>
      <c r="Z204" s="2" t="str">
        <f aca="false">INDEX(Segmentation!$AU$2:$AU$301,MATCH($A204,Segmentation!$A$2:$A$301,0))</f>
        <v>Not Eligible</v>
      </c>
      <c r="AA204" s="10" t="b">
        <f aca="false">INDEX(Segmentation!$Z$2:$Z$301,MATCH($A204,Segmentation!$A$2:$A$301,0))</f>
        <v>0</v>
      </c>
      <c r="AB204" s="10" t="b">
        <f aca="false">INDEX(Segmentation!$AH$2:$AH$301,MATCH($A204,Segmentation!$A$2:$A$301,0))</f>
        <v>0</v>
      </c>
      <c r="AC204" s="10" t="b">
        <f aca="false">INDEX(Segmentation!$AK$2:$AK$301,MATCH($A204,Segmentation!$A$2:$A$301,0))</f>
        <v>0</v>
      </c>
      <c r="AD204" s="10" t="b">
        <f aca="false">INDEX(Segmentation!$AQ$2:$AQ$301,MATCH($A204,Segmentation!$A$2:$A$301,0))</f>
        <v>0</v>
      </c>
      <c r="AE204" s="10" t="b">
        <f aca="false">INDEX(Segmentation!$AT$2:$AT$301,MATCH($A204,Segmentation!$A$2:$A$301,0))</f>
        <v>0</v>
      </c>
      <c r="AF204" s="10" t="b">
        <f aca="false">INDEX(Segmentation!$X$2:$X$301,MATCH($A204,Segmentation!$A$2:$A$301,0))</f>
        <v>1</v>
      </c>
      <c r="AG204" s="10" t="b">
        <f aca="false">AND(F204="Low",V204&gt;=Assumptions!$B$71,X204&lt;Assumptions!$B$72)</f>
        <v>0</v>
      </c>
      <c r="AH204" s="10" t="b">
        <f aca="false">AND(F204="Low",OR(G204="Growing",G204="Stable"),P204="Recently Active",V204&gt;=Assumptions!$B$58,K204&gt;=Assumptions!$B$73)</f>
        <v>0</v>
      </c>
      <c r="AI204" s="17" t="str">
        <f aca="false">IF(O204&gt;0,MAX(L204:N204)/O204,"")</f>
        <v/>
      </c>
      <c r="AJ204" s="2" t="str">
        <f aca="false">IF(LEFT(D204,1)="1",IF(E204="Key","MIGRATION_KEY_SIGNOFF",IF(Z204="Ready","MIGRATION_PHASE1_READY",IF(Z204="Manual Review","MIGRATION_PHASE1_REVIEW","MIGRATION_PRE_ENTRY"))),IF(LEFT(D204,1)="2","DECLINING_KEY_CORE",IF(LEFT(D204,1)="3",IF(R204="Established Buyer Lapsed","LAPSED_ESTABLISHED","LAPSED_THIN_HISTORY"),IF(LEFT(D204,1)="4",IF(Q204="New Customer","NEW_CUSTOMER","RETURNED_CUSTOMER"),IF(LEFT(D204,1)="5",IF(P204="Recently Active","COST_TO_SERVE_ACTIVE","DORMANT_LOW_VALUE"),IF(LEFT(D204,1)="6",IF(P204="Recent Inactivity","RECENT_INACTIVITY",IF(AG204,"BROWSING_LOW_OFFERS","HEALTHY_STRONG_SELF_SERVE")),IF(LEFT(D204,1)="7",IF(P204="Recent Inactivity","RECENT_INACTIVITY",IF(Q204="New Customer","NEW_CUSTOMER","RETURNED_CUSTOMER")),IF(LEFT(D204,1)="8",IF(G204="Declining",IF(T204="Engaged but shrinking (Key/Core)","ENGAGED_BUT_SHRINKING","DECLINING_KEY_CORE"),IF(R204="Established Buyer Lapsed","LAPSED_ESTABLISHED","LAPSED_THIN_HISTORY")),IF(S204,IF(P204&lt;&gt;"Recently Active","DORMANT_LOW_VALUE",IF(AG204,"BROWSING_LOW_OFFERS",IF(AH204,"RISING_TAIL","RISING_TAIL_EARLY"))),IF(AND(AG204,P204="Recently Active",OR(G204="Growing",G204="Stable",G204="H2 Active / No H1 GMV"),I204&gt;=Assumptions!$B$74),"BROWSING_LOW_OFFERS","LONG_TAIL_STANDARD"))))))))))</f>
        <v>LONG_TAIL_STANDARD</v>
      </c>
      <c r="AK204" s="2" t="str">
        <f aca="false">INDEX('NBA Library'!$B$4:$B$21,MATCH(AJ204,'NBA Library'!$A$4:$A$21,0))</f>
        <v>Automated Nurture</v>
      </c>
      <c r="AL204" s="2" t="str">
        <f aca="false">INDEX('NBA Library'!$C$4:$C$21,MATCH(AJ204,'NBA Library'!$A$4:$A$21,0))</f>
        <v>Automated</v>
      </c>
      <c r="AM204" s="2" t="str">
        <f aca="false">IF(AA204,"HOLD — Critical Data Issue",IF(Y204,"Human Sign-Off Required",IF(Z204="Manual Review","Human Review Required",IF(AND(AL204="Automated",OR(AE204,AND(OR(AK204="Discovery-to-Offer Enablement",AK204="Reinforce Successful Behaviour"),OR(AC204,AB204)))),"Human Review Required",IF(AL204="Human","Ready — Human",IF(AL204="Hybrid","Ready — Hybrid","Ready — Automated"))))))</f>
        <v>Ready — Automated</v>
      </c>
      <c r="AN204" s="2" t="str">
        <f aca="false">IF(AA204,"P0",IF(AND(AJ204="BROWSING_LOW_OFFERS",E204="Tail"),"P3",IF(AND(AM204="Human Review Required",INDEX('NBA Library'!$D$4:$D$21,MATCH(AJ204,'NBA Library'!$A$4:$A$21,0))="P4"),"P3",INDEX('NBA Library'!$D$4:$D$21,MATCH(AJ204,'NBA Library'!$A$4:$A$21,0)))))</f>
        <v>P4</v>
      </c>
      <c r="AO204" s="2" t="str">
        <f aca="false">E204&amp;" "&amp;C204&amp;" account ("&amp;B204&amp;"); "&amp;G204&amp;" momentum; "&amp;P204&amp;"; £"&amp;TEXT(H204,"#,##0")&amp;" 6m GMV. "&amp;INDEX('NBA Library'!$G$4:$G$21,MATCH(AJ204,'NBA Library'!$A$4:$A$21,0))&amp;IF(LEFT(D204,1)="1"," Baseline: "&amp;V204&amp;" PDP views, "&amp;W204&amp;" app days, "&amp;X204&amp;" offers, "&amp;TEXT(J204/I204,"0%")&amp;" of orders self-serve.","")&amp;IF(AA204," Execution on HOLD until the Duplicate status is resolved.","")&amp;IF(Y204," Key account: explicit AM/leadership sign-off required before any migration activity.","")&amp;IF(AE204," Implied broker % from order counts would move this account to a different segment; review before automating.","")</f>
        <v>Tail AM-Owned / Self-Serving account (Account Managed); Lapsed momentum; No Meaningful History; £84 6m GMV. Low-value, low-dependency account. Scalable automated engagement.</v>
      </c>
      <c r="AP204" s="2" t="str">
        <f aca="false">INDEX('NBA Library'!$E$4:$E$21,MATCH(AJ204,'NBA Library'!$A$4:$A$21,0))&amp;IF(AND(AJ204="NEW_CUSTOMER",AG204),"; introduce Make-an-Offer on items already browsed","")</f>
        <v>Scalable automated engagement matched to nurture sub-context</v>
      </c>
      <c r="AQ204" s="2" t="str">
        <f aca="false">INDEX('NBA Library'!$F$4:$F$21,MATCH(AJ204,'NBA Library'!$A$4:$A$21,0))</f>
        <v>Any repeat order within 90 days</v>
      </c>
      <c r="AR204" s="2" t="str">
        <f aca="false">IF(AND(F204="Low",OR(G204="Growing",G204="Stable"),P204="Recently Active",U204&lt;&gt;"Mixed",OR(AK204="Discovery-to-Offer Enablement",AK204="Reinforce Successful Behaviour"),AM204="Ready — Automated",OR(E204&lt;&gt;"Tail",S204)),"Range Expansion Test — trial "&amp;IF(U204="Bundle-only","handpick","bundles")&amp;" (experimental; not proven to lift GMV)","")</f>
        <v/>
      </c>
      <c r="AS204" s="2" t="str">
        <f aca="false">IF(AK204&lt;&gt;"Automated Nurture","",IF(AJ204="DORMANT_LOW_VALUE","Dormant",IF(AJ204="RISING_TAIL_EARLY","Rising tail – early pattern",IF(Q204="New Customer","New customer onboarding",IF(Q204="Returned Customer","Returned customer",IF(G204="Lapsed","Dormant",IF(T204="Engaged, not converting","Engaged, not converting",IF(T204="One-off low-touch buyer","One-off purchaser",IF(T204="Light-touch repeat buyer","Light-touch repeat buyer","Standard long tail")))))))))</f>
        <v>Dormant</v>
      </c>
      <c r="AT204" s="2" t="str">
        <f aca="false">IF(AA204,"CRITICAL_DATA_BLOCKER; ","")&amp;IF(Y204,"KEY_SIGNOFF; ","")&amp;IF(Z204="Manual Review","PHASE1_MANUAL_REVIEW; ","")&amp;IF(AND(LEFT(D204,1)="1",AZ204="Lumpy"),"LUMPY_CADENCE; ","")&amp;IF(AB204,"BORDERLINE_MOMENTUM; ","")&amp;IF(AC204,"FEB_SENSITIVE; ","")&amp;IF(AD204,"MATERIAL_BROKER_INCONSISTENCY"&amp;IF(AE204," (segment would change)","")&amp;"; ","")&amp;IF(AND(I204&gt;=3,O204&gt;0),IF(AI204&gt;=Assumptions!$B$75,"H2_SINGLE_MONTH_SPIKE; ",""),"")&amp;IF(AND(M204&gt;0,N204=0),"NO_FEB_GMV (Feb unconfirmed); ","")&amp;IF(AF204,"LOW_CONFIDENCE; ","")</f>
        <v>LOW_CONFIDENCE; </v>
      </c>
      <c r="AU204" s="2" t="str">
        <f aca="false">IF(LEFT(D204,1)="1",V204,"")</f>
        <v/>
      </c>
      <c r="AV204" s="2" t="str">
        <f aca="false">IF(LEFT(D204,1)="1",V204&gt;=Assumptions!$B$58,"")</f>
        <v/>
      </c>
      <c r="AW204" s="2" t="str">
        <f aca="false">IF(LEFT(D204,1)="1",W204,"")</f>
        <v/>
      </c>
      <c r="AX204" s="2" t="str">
        <f aca="false">IF(LEFT(D204,1)="1",X204,"")</f>
        <v/>
      </c>
      <c r="AY204" s="17" t="str">
        <f aca="false">IF(LEFT(D204,1)="1",J204/I204,"")</f>
        <v/>
      </c>
      <c r="AZ204" s="2" t="str">
        <f aca="false">IF(LEFT(D204,1)="1",IF(AND(K204&gt;=Assumptions!$B$83,I204&gt;=Assumptions!$B$84),"Regular","Lumpy"),"")</f>
        <v/>
      </c>
      <c r="BA204" s="2" t="str">
        <f aca="false">IF(LEFT(D204,1)="1",ROUND(6/K204,0),"")</f>
        <v/>
      </c>
      <c r="BB204" s="2" t="str">
        <f aca="false">IF(LEFT(D204,1)="1",IF(AZ204="Regular","Regular buyer: expected ~£"&amp;TEXT(H204/2,"#,##0")&amp;" per 90 days. At Risk if GMV to date &lt; "&amp;TEXT(Assumptions!$B$81,"0%")&amp;" of pro-rated expectation, checked from day "&amp;Assumptions!$B$82&amp;". Human-reviewed.","Irregular buyer ("&amp;I204&amp;" orders across "&amp;K204&amp;" months): no numeric GMV threshold. At Risk if no order within ~"&amp;BA204&amp;" month(s); AM reviews at day "&amp;Assumptions!$B$82&amp;" and "&amp;Assumptions!$B$85&amp;"."),"")</f>
        <v/>
      </c>
      <c r="BC204" s="2"/>
      <c r="BD204" s="2"/>
      <c r="BE204" s="2"/>
      <c r="BF204" s="2"/>
      <c r="BG204" s="2"/>
      <c r="BH204" s="2"/>
      <c r="BI204" s="2"/>
      <c r="BJ204" s="2" t="str">
        <f aca="false">IF(OR(NOT(LEFT(D204,1)="1"),BC204=""),"",IF(AZ204="Regular",AND(BC204&gt;=Assumptions!$B$82,N(BI204)&lt;Assumptions!$B$81*H204/180*BC204),AND(BC204&gt;=BA204*30,N(BG204)=0)))</f>
        <v/>
      </c>
      <c r="BK204" s="2" t="str">
        <f aca="false">IF(NOT(LEFT(D204,1)="1"),"N/A",IF(BC204="","Baseline",IF(BJ204,"At Risk",IF(AND(N(BD204)&gt;=Assumptions!$B$78,N(BE204)&gt;=Assumptions!$B$79,N(BH204)&gt;=1,N(BH204)/MAX(N(BG204),1)&gt;AY204),"Self-Serve Capability Demonstrated",IF(OR(N(BD204)&gt;=Assumptions!$B$76,N(BE204)&gt;=Assumptions!$B$77),"Progressing",IF(BC204&gt;=Assumptions!$B$85,"At Risk","Baseline"))))))</f>
        <v>N/A</v>
      </c>
      <c r="BL204" s="2" t="n">
        <f aca="false">(AND(C204="Broker-Reliant",OR(AK204="Discovery-to-Offer Enablement",AK204="Reinforce Successful Behaviour")))*1+(AND(G204="Declining",E204&lt;&gt;"Tail",AL204="Automated"))*1+(AND(Y204,AM204&lt;&gt;"Human Sign-Off Required"))*1+(AND(AA204,AM204&lt;&gt;"HOLD — Critical Data Issue"))*1+(AND(P204="Recent Inactivity",OR(AK204="Discovery-to-Offer Enablement",AK204="Reinforce Successful Behaviour")))*1+(AND(OR(LEFT(D204,1)="2",LEFT(D204,1)="3",LEFT(D204,1)="8"),AL204="Automated"))*1+((LEFT(D204,1)="1")&lt;&gt;(AK204="Guided Self-Serve Migration"))*1+(AND(AR204&lt;&gt;"",OR(F204&lt;&gt;"Low",U204="Mixed",AND(G204&lt;&gt;"Growing",G204&lt;&gt;"Stable"))))*1+ISNUMBER(SEARCH("chat",AP204))*1+ISNUMBER(SEARCH("video",AP204))*1+(AND(AA204,AL204="Automated",AM204&lt;&gt;"HOLD — Critical Data Issue"))*1</f>
        <v>0</v>
      </c>
    </row>
    <row r="205" customFormat="false" ht="15" hidden="false" customHeight="false" outlineLevel="0" collapsed="false">
      <c r="A205" s="2" t="s">
        <v>986</v>
      </c>
      <c r="B205" s="2" t="str">
        <f aca="false">INDEX(Segmentation!$B$2:$B$301,MATCH($A205,Segmentation!$A$2:$A$301,0))</f>
        <v>Account Managed</v>
      </c>
      <c r="C205" s="2" t="str">
        <f aca="false">INDEX(Segmentation!$H$2:$H$301,MATCH($A205,Segmentation!$A$2:$A$301,0))</f>
        <v>AM-Owned / Self-Serving</v>
      </c>
      <c r="D205" s="2" t="str">
        <f aca="false">INDEX(Segmentation!$T$2:$T$301,MATCH($A205,Segmentation!$A$2:$A$301,0))</f>
        <v>9. Long-Tail Automated Nurture</v>
      </c>
      <c r="E205" s="2" t="str">
        <f aca="false">INDEX(Segmentation!$J$2:$J$301,MATCH($A205,Segmentation!$A$2:$A$301,0))</f>
        <v>Tail</v>
      </c>
      <c r="F205" s="2" t="str">
        <f aca="false">INDEX(Segmentation!$G$2:$G$301,MATCH($A205,Segmentation!$A$2:$A$301,0))</f>
        <v>Low</v>
      </c>
      <c r="G205" s="2" t="str">
        <f aca="false">INDEX(Segmentation!$N$2:$N$301,MATCH($A205,Segmentation!$A$2:$A$301,0))</f>
        <v>Lapsed</v>
      </c>
      <c r="H205" s="9" t="n">
        <f aca="false">INDEX(Segmentation!$I$2:$I$301,MATCH($A205,Segmentation!$A$2:$A$301,0))</f>
        <v>84</v>
      </c>
      <c r="I205" s="2" t="n">
        <f aca="false">INDEX(Segmentation!$O$2:$O$301,MATCH($A205,Segmentation!$A$2:$A$301,0))</f>
        <v>1</v>
      </c>
      <c r="J205" s="2" t="n">
        <f aca="false">INDEX(Segmentation!$Q$2:$Q$301,MATCH($A205,Segmentation!$A$2:$A$301,0))</f>
        <v>1</v>
      </c>
      <c r="K205" s="2" t="n">
        <f aca="false">INDEX(Segmentation!$W$2:$W$301,MATCH($A205,Segmentation!$A$2:$A$301,0))</f>
        <v>1</v>
      </c>
      <c r="L205" s="9" t="n">
        <f aca="false">INDEX('Commercial View'!$L$2:$L$301,MATCH($A205,'Commercial View'!$A$2:$A$301,0))</f>
        <v>0</v>
      </c>
      <c r="M205" s="9" t="n">
        <f aca="false">INDEX('Commercial View'!$M$2:$M$301,MATCH($A205,'Commercial View'!$A$2:$A$301,0))</f>
        <v>0</v>
      </c>
      <c r="N205" s="9" t="n">
        <f aca="false">INDEX('Commercial View'!$N$2:$N$301,MATCH($A205,'Commercial View'!$A$2:$A$301,0))</f>
        <v>0</v>
      </c>
      <c r="O205" s="9" t="n">
        <f aca="false">INDEX(Segmentation!$L$2:$L$301,MATCH($A205,Segmentation!$A$2:$A$301,0))</f>
        <v>0</v>
      </c>
      <c r="P205" s="2" t="str">
        <f aca="false">IF(OR(M205&gt;0,N205&gt;0),"Recently Active",IF(OR(I205&lt;=Assumptions!$B$48,K205&lt;=Assumptions!$B$49),"No Meaningful History","Recent Inactivity"))</f>
        <v>No Meaningful History</v>
      </c>
      <c r="Q205" s="2" t="str">
        <f aca="false">INDEX(Segmentation!$AF$2:$AF$301,MATCH($A205,Segmentation!$A$2:$A$301,0))</f>
        <v>Existing Customer</v>
      </c>
      <c r="R205" s="2" t="str">
        <f aca="false">INDEX(Segmentation!$AL$2:$AL$301,MATCH($A205,Segmentation!$A$2:$A$301,0))</f>
        <v>One-Off / Insufficient History — Verify</v>
      </c>
      <c r="S205" s="10" t="b">
        <f aca="false">INDEX(Segmentation!$AW$2:$AW$301,MATCH($A205,Segmentation!$A$2:$A$301,0))</f>
        <v>0</v>
      </c>
      <c r="T205" s="2" t="str">
        <f aca="false">INDEX('Feature Data'!$AD$2:$AD$301,MATCH($A205,'Feature Data'!$A$2:$A$301,0))</f>
        <v>One-off low-touch buyer</v>
      </c>
      <c r="U205" s="2" t="str">
        <f aca="false">INDEX('Feature Data'!$W$2:$W$301,MATCH($A205,'Feature Data'!$A$2:$A$301,0))</f>
        <v>Bundle-only</v>
      </c>
      <c r="V205" s="2" t="n">
        <f aca="false">INDEX('Feature Data'!$P$2:$P$301,MATCH($A205,'Feature Data'!$A$2:$A$301,0))</f>
        <v>37</v>
      </c>
      <c r="W205" s="2" t="n">
        <f aca="false">INDEX(Segmentation!$R$2:$R$301,MATCH($A205,Segmentation!$A$2:$A$301,0))</f>
        <v>4</v>
      </c>
      <c r="X205" s="2" t="n">
        <f aca="false">INDEX(Segmentation!$S$2:$S$301,MATCH($A205,Segmentation!$A$2:$A$301,0))</f>
        <v>0</v>
      </c>
      <c r="Y205" s="10" t="b">
        <f aca="false">INDEX(Segmentation!$AG$2:$AG$301,MATCH($A205,Segmentation!$A$2:$A$301,0))</f>
        <v>0</v>
      </c>
      <c r="Z205" s="2" t="str">
        <f aca="false">INDEX(Segmentation!$AU$2:$AU$301,MATCH($A205,Segmentation!$A$2:$A$301,0))</f>
        <v>Not Eligible</v>
      </c>
      <c r="AA205" s="10" t="b">
        <f aca="false">INDEX(Segmentation!$Z$2:$Z$301,MATCH($A205,Segmentation!$A$2:$A$301,0))</f>
        <v>0</v>
      </c>
      <c r="AB205" s="10" t="b">
        <f aca="false">INDEX(Segmentation!$AH$2:$AH$301,MATCH($A205,Segmentation!$A$2:$A$301,0))</f>
        <v>0</v>
      </c>
      <c r="AC205" s="10" t="b">
        <f aca="false">INDEX(Segmentation!$AK$2:$AK$301,MATCH($A205,Segmentation!$A$2:$A$301,0))</f>
        <v>0</v>
      </c>
      <c r="AD205" s="10" t="b">
        <f aca="false">INDEX(Segmentation!$AQ$2:$AQ$301,MATCH($A205,Segmentation!$A$2:$A$301,0))</f>
        <v>0</v>
      </c>
      <c r="AE205" s="10" t="b">
        <f aca="false">INDEX(Segmentation!$AT$2:$AT$301,MATCH($A205,Segmentation!$A$2:$A$301,0))</f>
        <v>0</v>
      </c>
      <c r="AF205" s="10" t="b">
        <f aca="false">INDEX(Segmentation!$X$2:$X$301,MATCH($A205,Segmentation!$A$2:$A$301,0))</f>
        <v>1</v>
      </c>
      <c r="AG205" s="10" t="b">
        <f aca="false">AND(F205="Low",V205&gt;=Assumptions!$B$71,X205&lt;Assumptions!$B$72)</f>
        <v>0</v>
      </c>
      <c r="AH205" s="10" t="b">
        <f aca="false">AND(F205="Low",OR(G205="Growing",G205="Stable"),P205="Recently Active",V205&gt;=Assumptions!$B$58,K205&gt;=Assumptions!$B$73)</f>
        <v>0</v>
      </c>
      <c r="AI205" s="17" t="str">
        <f aca="false">IF(O205&gt;0,MAX(L205:N205)/O205,"")</f>
        <v/>
      </c>
      <c r="AJ205" s="2" t="str">
        <f aca="false">IF(LEFT(D205,1)="1",IF(E205="Key","MIGRATION_KEY_SIGNOFF",IF(Z205="Ready","MIGRATION_PHASE1_READY",IF(Z205="Manual Review","MIGRATION_PHASE1_REVIEW","MIGRATION_PRE_ENTRY"))),IF(LEFT(D205,1)="2","DECLINING_KEY_CORE",IF(LEFT(D205,1)="3",IF(R205="Established Buyer Lapsed","LAPSED_ESTABLISHED","LAPSED_THIN_HISTORY"),IF(LEFT(D205,1)="4",IF(Q205="New Customer","NEW_CUSTOMER","RETURNED_CUSTOMER"),IF(LEFT(D205,1)="5",IF(P205="Recently Active","COST_TO_SERVE_ACTIVE","DORMANT_LOW_VALUE"),IF(LEFT(D205,1)="6",IF(P205="Recent Inactivity","RECENT_INACTIVITY",IF(AG205,"BROWSING_LOW_OFFERS","HEALTHY_STRONG_SELF_SERVE")),IF(LEFT(D205,1)="7",IF(P205="Recent Inactivity","RECENT_INACTIVITY",IF(Q205="New Customer","NEW_CUSTOMER","RETURNED_CUSTOMER")),IF(LEFT(D205,1)="8",IF(G205="Declining",IF(T205="Engaged but shrinking (Key/Core)","ENGAGED_BUT_SHRINKING","DECLINING_KEY_CORE"),IF(R205="Established Buyer Lapsed","LAPSED_ESTABLISHED","LAPSED_THIN_HISTORY")),IF(S205,IF(P205&lt;&gt;"Recently Active","DORMANT_LOW_VALUE",IF(AG205,"BROWSING_LOW_OFFERS",IF(AH205,"RISING_TAIL","RISING_TAIL_EARLY"))),IF(AND(AG205,P205="Recently Active",OR(G205="Growing",G205="Stable",G205="H2 Active / No H1 GMV"),I205&gt;=Assumptions!$B$74),"BROWSING_LOW_OFFERS","LONG_TAIL_STANDARD"))))))))))</f>
        <v>LONG_TAIL_STANDARD</v>
      </c>
      <c r="AK205" s="2" t="str">
        <f aca="false">INDEX('NBA Library'!$B$4:$B$21,MATCH(AJ205,'NBA Library'!$A$4:$A$21,0))</f>
        <v>Automated Nurture</v>
      </c>
      <c r="AL205" s="2" t="str">
        <f aca="false">INDEX('NBA Library'!$C$4:$C$21,MATCH(AJ205,'NBA Library'!$A$4:$A$21,0))</f>
        <v>Automated</v>
      </c>
      <c r="AM205" s="2" t="str">
        <f aca="false">IF(AA205,"HOLD — Critical Data Issue",IF(Y205,"Human Sign-Off Required",IF(Z205="Manual Review","Human Review Required",IF(AND(AL205="Automated",OR(AE205,AND(OR(AK205="Discovery-to-Offer Enablement",AK205="Reinforce Successful Behaviour"),OR(AC205,AB205)))),"Human Review Required",IF(AL205="Human","Ready — Human",IF(AL205="Hybrid","Ready — Hybrid","Ready — Automated"))))))</f>
        <v>Ready — Automated</v>
      </c>
      <c r="AN205" s="2" t="str">
        <f aca="false">IF(AA205,"P0",IF(AND(AJ205="BROWSING_LOW_OFFERS",E205="Tail"),"P3",IF(AND(AM205="Human Review Required",INDEX('NBA Library'!$D$4:$D$21,MATCH(AJ205,'NBA Library'!$A$4:$A$21,0))="P4"),"P3",INDEX('NBA Library'!$D$4:$D$21,MATCH(AJ205,'NBA Library'!$A$4:$A$21,0)))))</f>
        <v>P4</v>
      </c>
      <c r="AO205" s="2" t="str">
        <f aca="false">E205&amp;" "&amp;C205&amp;" account ("&amp;B205&amp;"); "&amp;G205&amp;" momentum; "&amp;P205&amp;"; £"&amp;TEXT(H205,"#,##0")&amp;" 6m GMV. "&amp;INDEX('NBA Library'!$G$4:$G$21,MATCH(AJ205,'NBA Library'!$A$4:$A$21,0))&amp;IF(LEFT(D205,1)="1"," Baseline: "&amp;V205&amp;" PDP views, "&amp;W205&amp;" app days, "&amp;X205&amp;" offers, "&amp;TEXT(J205/I205,"0%")&amp;" of orders self-serve.","")&amp;IF(AA205," Execution on HOLD until the Duplicate status is resolved.","")&amp;IF(Y205," Key account: explicit AM/leadership sign-off required before any migration activity.","")&amp;IF(AE205," Implied broker % from order counts would move this account to a different segment; review before automating.","")</f>
        <v>Tail AM-Owned / Self-Serving account (Account Managed); Lapsed momentum; No Meaningful History; £84 6m GMV. Low-value, low-dependency account. Scalable automated engagement.</v>
      </c>
      <c r="AP205" s="2" t="str">
        <f aca="false">INDEX('NBA Library'!$E$4:$E$21,MATCH(AJ205,'NBA Library'!$A$4:$A$21,0))&amp;IF(AND(AJ205="NEW_CUSTOMER",AG205),"; introduce Make-an-Offer on items already browsed","")</f>
        <v>Scalable automated engagement matched to nurture sub-context</v>
      </c>
      <c r="AQ205" s="2" t="str">
        <f aca="false">INDEX('NBA Library'!$F$4:$F$21,MATCH(AJ205,'NBA Library'!$A$4:$A$21,0))</f>
        <v>Any repeat order within 90 days</v>
      </c>
      <c r="AR205" s="2" t="str">
        <f aca="false">IF(AND(F205="Low",OR(G205="Growing",G205="Stable"),P205="Recently Active",U205&lt;&gt;"Mixed",OR(AK205="Discovery-to-Offer Enablement",AK205="Reinforce Successful Behaviour"),AM205="Ready — Automated",OR(E205&lt;&gt;"Tail",S205)),"Range Expansion Test — trial "&amp;IF(U205="Bundle-only","handpick","bundles")&amp;" (experimental; not proven to lift GMV)","")</f>
        <v/>
      </c>
      <c r="AS205" s="2" t="str">
        <f aca="false">IF(AK205&lt;&gt;"Automated Nurture","",IF(AJ205="DORMANT_LOW_VALUE","Dormant",IF(AJ205="RISING_TAIL_EARLY","Rising tail – early pattern",IF(Q205="New Customer","New customer onboarding",IF(Q205="Returned Customer","Returned customer",IF(G205="Lapsed","Dormant",IF(T205="Engaged, not converting","Engaged, not converting",IF(T205="One-off low-touch buyer","One-off purchaser",IF(T205="Light-touch repeat buyer","Light-touch repeat buyer","Standard long tail")))))))))</f>
        <v>Dormant</v>
      </c>
      <c r="AT205" s="2" t="str">
        <f aca="false">IF(AA205,"CRITICAL_DATA_BLOCKER; ","")&amp;IF(Y205,"KEY_SIGNOFF; ","")&amp;IF(Z205="Manual Review","PHASE1_MANUAL_REVIEW; ","")&amp;IF(AND(LEFT(D205,1)="1",AZ205="Lumpy"),"LUMPY_CADENCE; ","")&amp;IF(AB205,"BORDERLINE_MOMENTUM; ","")&amp;IF(AC205,"FEB_SENSITIVE; ","")&amp;IF(AD205,"MATERIAL_BROKER_INCONSISTENCY"&amp;IF(AE205," (segment would change)","")&amp;"; ","")&amp;IF(AND(I205&gt;=3,O205&gt;0),IF(AI205&gt;=Assumptions!$B$75,"H2_SINGLE_MONTH_SPIKE; ",""),"")&amp;IF(AND(M205&gt;0,N205=0),"NO_FEB_GMV (Feb unconfirmed); ","")&amp;IF(AF205,"LOW_CONFIDENCE; ","")</f>
        <v>LOW_CONFIDENCE; </v>
      </c>
      <c r="AU205" s="2" t="str">
        <f aca="false">IF(LEFT(D205,1)="1",V205,"")</f>
        <v/>
      </c>
      <c r="AV205" s="2" t="str">
        <f aca="false">IF(LEFT(D205,1)="1",V205&gt;=Assumptions!$B$58,"")</f>
        <v/>
      </c>
      <c r="AW205" s="2" t="str">
        <f aca="false">IF(LEFT(D205,1)="1",W205,"")</f>
        <v/>
      </c>
      <c r="AX205" s="2" t="str">
        <f aca="false">IF(LEFT(D205,1)="1",X205,"")</f>
        <v/>
      </c>
      <c r="AY205" s="17" t="str">
        <f aca="false">IF(LEFT(D205,1)="1",J205/I205,"")</f>
        <v/>
      </c>
      <c r="AZ205" s="2" t="str">
        <f aca="false">IF(LEFT(D205,1)="1",IF(AND(K205&gt;=Assumptions!$B$83,I205&gt;=Assumptions!$B$84),"Regular","Lumpy"),"")</f>
        <v/>
      </c>
      <c r="BA205" s="2" t="str">
        <f aca="false">IF(LEFT(D205,1)="1",ROUND(6/K205,0),"")</f>
        <v/>
      </c>
      <c r="BB205" s="2" t="str">
        <f aca="false">IF(LEFT(D205,1)="1",IF(AZ205="Regular","Regular buyer: expected ~£"&amp;TEXT(H205/2,"#,##0")&amp;" per 90 days. At Risk if GMV to date &lt; "&amp;TEXT(Assumptions!$B$81,"0%")&amp;" of pro-rated expectation, checked from day "&amp;Assumptions!$B$82&amp;". Human-reviewed.","Irregular buyer ("&amp;I205&amp;" orders across "&amp;K205&amp;" months): no numeric GMV threshold. At Risk if no order within ~"&amp;BA205&amp;" month(s); AM reviews at day "&amp;Assumptions!$B$82&amp;" and "&amp;Assumptions!$B$85&amp;"."),"")</f>
        <v/>
      </c>
      <c r="BC205" s="2"/>
      <c r="BD205" s="2"/>
      <c r="BE205" s="2"/>
      <c r="BF205" s="2"/>
      <c r="BG205" s="2"/>
      <c r="BH205" s="2"/>
      <c r="BI205" s="2"/>
      <c r="BJ205" s="2" t="str">
        <f aca="false">IF(OR(NOT(LEFT(D205,1)="1"),BC205=""),"",IF(AZ205="Regular",AND(BC205&gt;=Assumptions!$B$82,N(BI205)&lt;Assumptions!$B$81*H205/180*BC205),AND(BC205&gt;=BA205*30,N(BG205)=0)))</f>
        <v/>
      </c>
      <c r="BK205" s="2" t="str">
        <f aca="false">IF(NOT(LEFT(D205,1)="1"),"N/A",IF(BC205="","Baseline",IF(BJ205,"At Risk",IF(AND(N(BD205)&gt;=Assumptions!$B$78,N(BE205)&gt;=Assumptions!$B$79,N(BH205)&gt;=1,N(BH205)/MAX(N(BG205),1)&gt;AY205),"Self-Serve Capability Demonstrated",IF(OR(N(BD205)&gt;=Assumptions!$B$76,N(BE205)&gt;=Assumptions!$B$77),"Progressing",IF(BC205&gt;=Assumptions!$B$85,"At Risk","Baseline"))))))</f>
        <v>N/A</v>
      </c>
      <c r="BL205" s="2" t="n">
        <f aca="false">(AND(C205="Broker-Reliant",OR(AK205="Discovery-to-Offer Enablement",AK205="Reinforce Successful Behaviour")))*1+(AND(G205="Declining",E205&lt;&gt;"Tail",AL205="Automated"))*1+(AND(Y205,AM205&lt;&gt;"Human Sign-Off Required"))*1+(AND(AA205,AM205&lt;&gt;"HOLD — Critical Data Issue"))*1+(AND(P205="Recent Inactivity",OR(AK205="Discovery-to-Offer Enablement",AK205="Reinforce Successful Behaviour")))*1+(AND(OR(LEFT(D205,1)="2",LEFT(D205,1)="3",LEFT(D205,1)="8"),AL205="Automated"))*1+((LEFT(D205,1)="1")&lt;&gt;(AK205="Guided Self-Serve Migration"))*1+(AND(AR205&lt;&gt;"",OR(F205&lt;&gt;"Low",U205="Mixed",AND(G205&lt;&gt;"Growing",G205&lt;&gt;"Stable"))))*1+ISNUMBER(SEARCH("chat",AP205))*1+ISNUMBER(SEARCH("video",AP205))*1+(AND(AA205,AL205="Automated",AM205&lt;&gt;"HOLD — Critical Data Issue"))*1</f>
        <v>0</v>
      </c>
    </row>
    <row r="206" customFormat="false" ht="15" hidden="false" customHeight="false" outlineLevel="0" collapsed="false">
      <c r="A206" s="2" t="s">
        <v>988</v>
      </c>
      <c r="B206" s="2" t="str">
        <f aca="false">INDEX(Segmentation!$B$2:$B$301,MATCH($A206,Segmentation!$A$2:$A$301,0))</f>
        <v>Account Managed</v>
      </c>
      <c r="C206" s="2" t="str">
        <f aca="false">INDEX(Segmentation!$H$2:$H$301,MATCH($A206,Segmentation!$A$2:$A$301,0))</f>
        <v>AM-Owned / Self-Serving</v>
      </c>
      <c r="D206" s="2" t="str">
        <f aca="false">INDEX(Segmentation!$T$2:$T$301,MATCH($A206,Segmentation!$A$2:$A$301,0))</f>
        <v>9. Long-Tail Automated Nurture</v>
      </c>
      <c r="E206" s="2" t="str">
        <f aca="false">INDEX(Segmentation!$J$2:$J$301,MATCH($A206,Segmentation!$A$2:$A$301,0))</f>
        <v>Tail</v>
      </c>
      <c r="F206" s="2" t="str">
        <f aca="false">INDEX(Segmentation!$G$2:$G$301,MATCH($A206,Segmentation!$A$2:$A$301,0))</f>
        <v>Low</v>
      </c>
      <c r="G206" s="2" t="str">
        <f aca="false">INDEX(Segmentation!$N$2:$N$301,MATCH($A206,Segmentation!$A$2:$A$301,0))</f>
        <v>Lapsed</v>
      </c>
      <c r="H206" s="9" t="n">
        <f aca="false">INDEX(Segmentation!$I$2:$I$301,MATCH($A206,Segmentation!$A$2:$A$301,0))</f>
        <v>84</v>
      </c>
      <c r="I206" s="2" t="n">
        <f aca="false">INDEX(Segmentation!$O$2:$O$301,MATCH($A206,Segmentation!$A$2:$A$301,0))</f>
        <v>1</v>
      </c>
      <c r="J206" s="2" t="n">
        <f aca="false">INDEX(Segmentation!$Q$2:$Q$301,MATCH($A206,Segmentation!$A$2:$A$301,0))</f>
        <v>1</v>
      </c>
      <c r="K206" s="2" t="n">
        <f aca="false">INDEX(Segmentation!$W$2:$W$301,MATCH($A206,Segmentation!$A$2:$A$301,0))</f>
        <v>1</v>
      </c>
      <c r="L206" s="9" t="n">
        <f aca="false">INDEX('Commercial View'!$L$2:$L$301,MATCH($A206,'Commercial View'!$A$2:$A$301,0))</f>
        <v>0</v>
      </c>
      <c r="M206" s="9" t="n">
        <f aca="false">INDEX('Commercial View'!$M$2:$M$301,MATCH($A206,'Commercial View'!$A$2:$A$301,0))</f>
        <v>0</v>
      </c>
      <c r="N206" s="9" t="n">
        <f aca="false">INDEX('Commercial View'!$N$2:$N$301,MATCH($A206,'Commercial View'!$A$2:$A$301,0))</f>
        <v>0</v>
      </c>
      <c r="O206" s="9" t="n">
        <f aca="false">INDEX(Segmentation!$L$2:$L$301,MATCH($A206,Segmentation!$A$2:$A$301,0))</f>
        <v>0</v>
      </c>
      <c r="P206" s="2" t="str">
        <f aca="false">IF(OR(M206&gt;0,N206&gt;0),"Recently Active",IF(OR(I206&lt;=Assumptions!$B$48,K206&lt;=Assumptions!$B$49),"No Meaningful History","Recent Inactivity"))</f>
        <v>No Meaningful History</v>
      </c>
      <c r="Q206" s="2" t="str">
        <f aca="false">INDEX(Segmentation!$AF$2:$AF$301,MATCH($A206,Segmentation!$A$2:$A$301,0))</f>
        <v>Existing Customer</v>
      </c>
      <c r="R206" s="2" t="str">
        <f aca="false">INDEX(Segmentation!$AL$2:$AL$301,MATCH($A206,Segmentation!$A$2:$A$301,0))</f>
        <v>One-Off / Insufficient History — Verify</v>
      </c>
      <c r="S206" s="10" t="b">
        <f aca="false">INDEX(Segmentation!$AW$2:$AW$301,MATCH($A206,Segmentation!$A$2:$A$301,0))</f>
        <v>0</v>
      </c>
      <c r="T206" s="2" t="str">
        <f aca="false">INDEX('Feature Data'!$AD$2:$AD$301,MATCH($A206,'Feature Data'!$A$2:$A$301,0))</f>
        <v>One-off low-touch buyer</v>
      </c>
      <c r="U206" s="2" t="str">
        <f aca="false">INDEX('Feature Data'!$W$2:$W$301,MATCH($A206,'Feature Data'!$A$2:$A$301,0))</f>
        <v>Bundle-only</v>
      </c>
      <c r="V206" s="2" t="n">
        <f aca="false">INDEX('Feature Data'!$P$2:$P$301,MATCH($A206,'Feature Data'!$A$2:$A$301,0))</f>
        <v>45</v>
      </c>
      <c r="W206" s="2" t="n">
        <f aca="false">INDEX(Segmentation!$R$2:$R$301,MATCH($A206,Segmentation!$A$2:$A$301,0))</f>
        <v>6</v>
      </c>
      <c r="X206" s="2" t="n">
        <f aca="false">INDEX(Segmentation!$S$2:$S$301,MATCH($A206,Segmentation!$A$2:$A$301,0))</f>
        <v>0</v>
      </c>
      <c r="Y206" s="10" t="b">
        <f aca="false">INDEX(Segmentation!$AG$2:$AG$301,MATCH($A206,Segmentation!$A$2:$A$301,0))</f>
        <v>0</v>
      </c>
      <c r="Z206" s="2" t="str">
        <f aca="false">INDEX(Segmentation!$AU$2:$AU$301,MATCH($A206,Segmentation!$A$2:$A$301,0))</f>
        <v>Not Eligible</v>
      </c>
      <c r="AA206" s="10" t="b">
        <f aca="false">INDEX(Segmentation!$Z$2:$Z$301,MATCH($A206,Segmentation!$A$2:$A$301,0))</f>
        <v>0</v>
      </c>
      <c r="AB206" s="10" t="b">
        <f aca="false">INDEX(Segmentation!$AH$2:$AH$301,MATCH($A206,Segmentation!$A$2:$A$301,0))</f>
        <v>0</v>
      </c>
      <c r="AC206" s="10" t="b">
        <f aca="false">INDEX(Segmentation!$AK$2:$AK$301,MATCH($A206,Segmentation!$A$2:$A$301,0))</f>
        <v>0</v>
      </c>
      <c r="AD206" s="10" t="b">
        <f aca="false">INDEX(Segmentation!$AQ$2:$AQ$301,MATCH($A206,Segmentation!$A$2:$A$301,0))</f>
        <v>0</v>
      </c>
      <c r="AE206" s="10" t="b">
        <f aca="false">INDEX(Segmentation!$AT$2:$AT$301,MATCH($A206,Segmentation!$A$2:$A$301,0))</f>
        <v>0</v>
      </c>
      <c r="AF206" s="10" t="b">
        <f aca="false">INDEX(Segmentation!$X$2:$X$301,MATCH($A206,Segmentation!$A$2:$A$301,0))</f>
        <v>1</v>
      </c>
      <c r="AG206" s="10" t="b">
        <f aca="false">AND(F206="Low",V206&gt;=Assumptions!$B$71,X206&lt;Assumptions!$B$72)</f>
        <v>0</v>
      </c>
      <c r="AH206" s="10" t="b">
        <f aca="false">AND(F206="Low",OR(G206="Growing",G206="Stable"),P206="Recently Active",V206&gt;=Assumptions!$B$58,K206&gt;=Assumptions!$B$73)</f>
        <v>0</v>
      </c>
      <c r="AI206" s="17" t="str">
        <f aca="false">IF(O206&gt;0,MAX(L206:N206)/O206,"")</f>
        <v/>
      </c>
      <c r="AJ206" s="2" t="str">
        <f aca="false">IF(LEFT(D206,1)="1",IF(E206="Key","MIGRATION_KEY_SIGNOFF",IF(Z206="Ready","MIGRATION_PHASE1_READY",IF(Z206="Manual Review","MIGRATION_PHASE1_REVIEW","MIGRATION_PRE_ENTRY"))),IF(LEFT(D206,1)="2","DECLINING_KEY_CORE",IF(LEFT(D206,1)="3",IF(R206="Established Buyer Lapsed","LAPSED_ESTABLISHED","LAPSED_THIN_HISTORY"),IF(LEFT(D206,1)="4",IF(Q206="New Customer","NEW_CUSTOMER","RETURNED_CUSTOMER"),IF(LEFT(D206,1)="5",IF(P206="Recently Active","COST_TO_SERVE_ACTIVE","DORMANT_LOW_VALUE"),IF(LEFT(D206,1)="6",IF(P206="Recent Inactivity","RECENT_INACTIVITY",IF(AG206,"BROWSING_LOW_OFFERS","HEALTHY_STRONG_SELF_SERVE")),IF(LEFT(D206,1)="7",IF(P206="Recent Inactivity","RECENT_INACTIVITY",IF(Q206="New Customer","NEW_CUSTOMER","RETURNED_CUSTOMER")),IF(LEFT(D206,1)="8",IF(G206="Declining",IF(T206="Engaged but shrinking (Key/Core)","ENGAGED_BUT_SHRINKING","DECLINING_KEY_CORE"),IF(R206="Established Buyer Lapsed","LAPSED_ESTABLISHED","LAPSED_THIN_HISTORY")),IF(S206,IF(P206&lt;&gt;"Recently Active","DORMANT_LOW_VALUE",IF(AG206,"BROWSING_LOW_OFFERS",IF(AH206,"RISING_TAIL","RISING_TAIL_EARLY"))),IF(AND(AG206,P206="Recently Active",OR(G206="Growing",G206="Stable",G206="H2 Active / No H1 GMV"),I206&gt;=Assumptions!$B$74),"BROWSING_LOW_OFFERS","LONG_TAIL_STANDARD"))))))))))</f>
        <v>LONG_TAIL_STANDARD</v>
      </c>
      <c r="AK206" s="2" t="str">
        <f aca="false">INDEX('NBA Library'!$B$4:$B$21,MATCH(AJ206,'NBA Library'!$A$4:$A$21,0))</f>
        <v>Automated Nurture</v>
      </c>
      <c r="AL206" s="2" t="str">
        <f aca="false">INDEX('NBA Library'!$C$4:$C$21,MATCH(AJ206,'NBA Library'!$A$4:$A$21,0))</f>
        <v>Automated</v>
      </c>
      <c r="AM206" s="2" t="str">
        <f aca="false">IF(AA206,"HOLD — Critical Data Issue",IF(Y206,"Human Sign-Off Required",IF(Z206="Manual Review","Human Review Required",IF(AND(AL206="Automated",OR(AE206,AND(OR(AK206="Discovery-to-Offer Enablement",AK206="Reinforce Successful Behaviour"),OR(AC206,AB206)))),"Human Review Required",IF(AL206="Human","Ready — Human",IF(AL206="Hybrid","Ready — Hybrid","Ready — Automated"))))))</f>
        <v>Ready — Automated</v>
      </c>
      <c r="AN206" s="2" t="str">
        <f aca="false">IF(AA206,"P0",IF(AND(AJ206="BROWSING_LOW_OFFERS",E206="Tail"),"P3",IF(AND(AM206="Human Review Required",INDEX('NBA Library'!$D$4:$D$21,MATCH(AJ206,'NBA Library'!$A$4:$A$21,0))="P4"),"P3",INDEX('NBA Library'!$D$4:$D$21,MATCH(AJ206,'NBA Library'!$A$4:$A$21,0)))))</f>
        <v>P4</v>
      </c>
      <c r="AO206" s="2" t="str">
        <f aca="false">E206&amp;" "&amp;C206&amp;" account ("&amp;B206&amp;"); "&amp;G206&amp;" momentum; "&amp;P206&amp;"; £"&amp;TEXT(H206,"#,##0")&amp;" 6m GMV. "&amp;INDEX('NBA Library'!$G$4:$G$21,MATCH(AJ206,'NBA Library'!$A$4:$A$21,0))&amp;IF(LEFT(D206,1)="1"," Baseline: "&amp;V206&amp;" PDP views, "&amp;W206&amp;" app days, "&amp;X206&amp;" offers, "&amp;TEXT(J206/I206,"0%")&amp;" of orders self-serve.","")&amp;IF(AA206," Execution on HOLD until the Duplicate status is resolved.","")&amp;IF(Y206," Key account: explicit AM/leadership sign-off required before any migration activity.","")&amp;IF(AE206," Implied broker % from order counts would move this account to a different segment; review before automating.","")</f>
        <v>Tail AM-Owned / Self-Serving account (Account Managed); Lapsed momentum; No Meaningful History; £84 6m GMV. Low-value, low-dependency account. Scalable automated engagement.</v>
      </c>
      <c r="AP206" s="2" t="str">
        <f aca="false">INDEX('NBA Library'!$E$4:$E$21,MATCH(AJ206,'NBA Library'!$A$4:$A$21,0))&amp;IF(AND(AJ206="NEW_CUSTOMER",AG206),"; introduce Make-an-Offer on items already browsed","")</f>
        <v>Scalable automated engagement matched to nurture sub-context</v>
      </c>
      <c r="AQ206" s="2" t="str">
        <f aca="false">INDEX('NBA Library'!$F$4:$F$21,MATCH(AJ206,'NBA Library'!$A$4:$A$21,0))</f>
        <v>Any repeat order within 90 days</v>
      </c>
      <c r="AR206" s="2" t="str">
        <f aca="false">IF(AND(F206="Low",OR(G206="Growing",G206="Stable"),P206="Recently Active",U206&lt;&gt;"Mixed",OR(AK206="Discovery-to-Offer Enablement",AK206="Reinforce Successful Behaviour"),AM206="Ready — Automated",OR(E206&lt;&gt;"Tail",S206)),"Range Expansion Test — trial "&amp;IF(U206="Bundle-only","handpick","bundles")&amp;" (experimental; not proven to lift GMV)","")</f>
        <v/>
      </c>
      <c r="AS206" s="2" t="str">
        <f aca="false">IF(AK206&lt;&gt;"Automated Nurture","",IF(AJ206="DORMANT_LOW_VALUE","Dormant",IF(AJ206="RISING_TAIL_EARLY","Rising tail – early pattern",IF(Q206="New Customer","New customer onboarding",IF(Q206="Returned Customer","Returned customer",IF(G206="Lapsed","Dormant",IF(T206="Engaged, not converting","Engaged, not converting",IF(T206="One-off low-touch buyer","One-off purchaser",IF(T206="Light-touch repeat buyer","Light-touch repeat buyer","Standard long tail")))))))))</f>
        <v>Dormant</v>
      </c>
      <c r="AT206" s="2" t="str">
        <f aca="false">IF(AA206,"CRITICAL_DATA_BLOCKER; ","")&amp;IF(Y206,"KEY_SIGNOFF; ","")&amp;IF(Z206="Manual Review","PHASE1_MANUAL_REVIEW; ","")&amp;IF(AND(LEFT(D206,1)="1",AZ206="Lumpy"),"LUMPY_CADENCE; ","")&amp;IF(AB206,"BORDERLINE_MOMENTUM; ","")&amp;IF(AC206,"FEB_SENSITIVE; ","")&amp;IF(AD206,"MATERIAL_BROKER_INCONSISTENCY"&amp;IF(AE206," (segment would change)","")&amp;"; ","")&amp;IF(AND(I206&gt;=3,O206&gt;0),IF(AI206&gt;=Assumptions!$B$75,"H2_SINGLE_MONTH_SPIKE; ",""),"")&amp;IF(AND(M206&gt;0,N206=0),"NO_FEB_GMV (Feb unconfirmed); ","")&amp;IF(AF206,"LOW_CONFIDENCE; ","")</f>
        <v>LOW_CONFIDENCE; </v>
      </c>
      <c r="AU206" s="2" t="str">
        <f aca="false">IF(LEFT(D206,1)="1",V206,"")</f>
        <v/>
      </c>
      <c r="AV206" s="2" t="str">
        <f aca="false">IF(LEFT(D206,1)="1",V206&gt;=Assumptions!$B$58,"")</f>
        <v/>
      </c>
      <c r="AW206" s="2" t="str">
        <f aca="false">IF(LEFT(D206,1)="1",W206,"")</f>
        <v/>
      </c>
      <c r="AX206" s="2" t="str">
        <f aca="false">IF(LEFT(D206,1)="1",X206,"")</f>
        <v/>
      </c>
      <c r="AY206" s="17" t="str">
        <f aca="false">IF(LEFT(D206,1)="1",J206/I206,"")</f>
        <v/>
      </c>
      <c r="AZ206" s="2" t="str">
        <f aca="false">IF(LEFT(D206,1)="1",IF(AND(K206&gt;=Assumptions!$B$83,I206&gt;=Assumptions!$B$84),"Regular","Lumpy"),"")</f>
        <v/>
      </c>
      <c r="BA206" s="2" t="str">
        <f aca="false">IF(LEFT(D206,1)="1",ROUND(6/K206,0),"")</f>
        <v/>
      </c>
      <c r="BB206" s="2" t="str">
        <f aca="false">IF(LEFT(D206,1)="1",IF(AZ206="Regular","Regular buyer: expected ~£"&amp;TEXT(H206/2,"#,##0")&amp;" per 90 days. At Risk if GMV to date &lt; "&amp;TEXT(Assumptions!$B$81,"0%")&amp;" of pro-rated expectation, checked from day "&amp;Assumptions!$B$82&amp;". Human-reviewed.","Irregular buyer ("&amp;I206&amp;" orders across "&amp;K206&amp;" months): no numeric GMV threshold. At Risk if no order within ~"&amp;BA206&amp;" month(s); AM reviews at day "&amp;Assumptions!$B$82&amp;" and "&amp;Assumptions!$B$85&amp;"."),"")</f>
        <v/>
      </c>
      <c r="BC206" s="2"/>
      <c r="BD206" s="2"/>
      <c r="BE206" s="2"/>
      <c r="BF206" s="2"/>
      <c r="BG206" s="2"/>
      <c r="BH206" s="2"/>
      <c r="BI206" s="2"/>
      <c r="BJ206" s="2" t="str">
        <f aca="false">IF(OR(NOT(LEFT(D206,1)="1"),BC206=""),"",IF(AZ206="Regular",AND(BC206&gt;=Assumptions!$B$82,N(BI206)&lt;Assumptions!$B$81*H206/180*BC206),AND(BC206&gt;=BA206*30,N(BG206)=0)))</f>
        <v/>
      </c>
      <c r="BK206" s="2" t="str">
        <f aca="false">IF(NOT(LEFT(D206,1)="1"),"N/A",IF(BC206="","Baseline",IF(BJ206,"At Risk",IF(AND(N(BD206)&gt;=Assumptions!$B$78,N(BE206)&gt;=Assumptions!$B$79,N(BH206)&gt;=1,N(BH206)/MAX(N(BG206),1)&gt;AY206),"Self-Serve Capability Demonstrated",IF(OR(N(BD206)&gt;=Assumptions!$B$76,N(BE206)&gt;=Assumptions!$B$77),"Progressing",IF(BC206&gt;=Assumptions!$B$85,"At Risk","Baseline"))))))</f>
        <v>N/A</v>
      </c>
      <c r="BL206" s="2" t="n">
        <f aca="false">(AND(C206="Broker-Reliant",OR(AK206="Discovery-to-Offer Enablement",AK206="Reinforce Successful Behaviour")))*1+(AND(G206="Declining",E206&lt;&gt;"Tail",AL206="Automated"))*1+(AND(Y206,AM206&lt;&gt;"Human Sign-Off Required"))*1+(AND(AA206,AM206&lt;&gt;"HOLD — Critical Data Issue"))*1+(AND(P206="Recent Inactivity",OR(AK206="Discovery-to-Offer Enablement",AK206="Reinforce Successful Behaviour")))*1+(AND(OR(LEFT(D206,1)="2",LEFT(D206,1)="3",LEFT(D206,1)="8"),AL206="Automated"))*1+((LEFT(D206,1)="1")&lt;&gt;(AK206="Guided Self-Serve Migration"))*1+(AND(AR206&lt;&gt;"",OR(F206&lt;&gt;"Low",U206="Mixed",AND(G206&lt;&gt;"Growing",G206&lt;&gt;"Stable"))))*1+ISNUMBER(SEARCH("chat",AP206))*1+ISNUMBER(SEARCH("video",AP206))*1+(AND(AA206,AL206="Automated",AM206&lt;&gt;"HOLD — Critical Data Issue"))*1</f>
        <v>0</v>
      </c>
    </row>
    <row r="207" customFormat="false" ht="15" hidden="false" customHeight="false" outlineLevel="0" collapsed="false">
      <c r="A207" s="2" t="s">
        <v>996</v>
      </c>
      <c r="B207" s="2" t="str">
        <f aca="false">INDEX(Segmentation!$B$2:$B$301,MATCH($A207,Segmentation!$A$2:$A$301,0))</f>
        <v>Account Managed</v>
      </c>
      <c r="C207" s="2" t="str">
        <f aca="false">INDEX(Segmentation!$H$2:$H$301,MATCH($A207,Segmentation!$A$2:$A$301,0))</f>
        <v>AM-Owned / Self-Serving</v>
      </c>
      <c r="D207" s="2" t="str">
        <f aca="false">INDEX(Segmentation!$T$2:$T$301,MATCH($A207,Segmentation!$A$2:$A$301,0))</f>
        <v>9. Long-Tail Automated Nurture</v>
      </c>
      <c r="E207" s="2" t="str">
        <f aca="false">INDEX(Segmentation!$J$2:$J$301,MATCH($A207,Segmentation!$A$2:$A$301,0))</f>
        <v>Tail</v>
      </c>
      <c r="F207" s="2" t="str">
        <f aca="false">INDEX(Segmentation!$G$2:$G$301,MATCH($A207,Segmentation!$A$2:$A$301,0))</f>
        <v>Low</v>
      </c>
      <c r="G207" s="2" t="str">
        <f aca="false">INDEX(Segmentation!$N$2:$N$301,MATCH($A207,Segmentation!$A$2:$A$301,0))</f>
        <v>Lapsed</v>
      </c>
      <c r="H207" s="9" t="n">
        <f aca="false">INDEX(Segmentation!$I$2:$I$301,MATCH($A207,Segmentation!$A$2:$A$301,0))</f>
        <v>80</v>
      </c>
      <c r="I207" s="2" t="n">
        <f aca="false">INDEX(Segmentation!$O$2:$O$301,MATCH($A207,Segmentation!$A$2:$A$301,0))</f>
        <v>1</v>
      </c>
      <c r="J207" s="2" t="n">
        <f aca="false">INDEX(Segmentation!$Q$2:$Q$301,MATCH($A207,Segmentation!$A$2:$A$301,0))</f>
        <v>1</v>
      </c>
      <c r="K207" s="2" t="n">
        <f aca="false">INDEX(Segmentation!$W$2:$W$301,MATCH($A207,Segmentation!$A$2:$A$301,0))</f>
        <v>1</v>
      </c>
      <c r="L207" s="9" t="n">
        <f aca="false">INDEX('Commercial View'!$L$2:$L$301,MATCH($A207,'Commercial View'!$A$2:$A$301,0))</f>
        <v>0</v>
      </c>
      <c r="M207" s="9" t="n">
        <f aca="false">INDEX('Commercial View'!$M$2:$M$301,MATCH($A207,'Commercial View'!$A$2:$A$301,0))</f>
        <v>0</v>
      </c>
      <c r="N207" s="9" t="n">
        <f aca="false">INDEX('Commercial View'!$N$2:$N$301,MATCH($A207,'Commercial View'!$A$2:$A$301,0))</f>
        <v>0</v>
      </c>
      <c r="O207" s="9" t="n">
        <f aca="false">INDEX(Segmentation!$L$2:$L$301,MATCH($A207,Segmentation!$A$2:$A$301,0))</f>
        <v>0</v>
      </c>
      <c r="P207" s="2" t="str">
        <f aca="false">IF(OR(M207&gt;0,N207&gt;0),"Recently Active",IF(OR(I207&lt;=Assumptions!$B$48,K207&lt;=Assumptions!$B$49),"No Meaningful History","Recent Inactivity"))</f>
        <v>No Meaningful History</v>
      </c>
      <c r="Q207" s="2" t="str">
        <f aca="false">INDEX(Segmentation!$AF$2:$AF$301,MATCH($A207,Segmentation!$A$2:$A$301,0))</f>
        <v>Existing Customer</v>
      </c>
      <c r="R207" s="2" t="str">
        <f aca="false">INDEX(Segmentation!$AL$2:$AL$301,MATCH($A207,Segmentation!$A$2:$A$301,0))</f>
        <v>One-Off / Insufficient History — Verify</v>
      </c>
      <c r="S207" s="10" t="b">
        <f aca="false">INDEX(Segmentation!$AW$2:$AW$301,MATCH($A207,Segmentation!$A$2:$A$301,0))</f>
        <v>0</v>
      </c>
      <c r="T207" s="2" t="str">
        <f aca="false">INDEX('Feature Data'!$AD$2:$AD$301,MATCH($A207,'Feature Data'!$A$2:$A$301,0))</f>
        <v>One-off low-touch buyer</v>
      </c>
      <c r="U207" s="2" t="str">
        <f aca="false">INDEX('Feature Data'!$W$2:$W$301,MATCH($A207,'Feature Data'!$A$2:$A$301,0))</f>
        <v>Bundle-only</v>
      </c>
      <c r="V207" s="2" t="n">
        <f aca="false">INDEX('Feature Data'!$P$2:$P$301,MATCH($A207,'Feature Data'!$A$2:$A$301,0))</f>
        <v>36</v>
      </c>
      <c r="W207" s="2" t="n">
        <f aca="false">INDEX(Segmentation!$R$2:$R$301,MATCH($A207,Segmentation!$A$2:$A$301,0))</f>
        <v>7</v>
      </c>
      <c r="X207" s="2" t="n">
        <f aca="false">INDEX(Segmentation!$S$2:$S$301,MATCH($A207,Segmentation!$A$2:$A$301,0))</f>
        <v>1</v>
      </c>
      <c r="Y207" s="10" t="b">
        <f aca="false">INDEX(Segmentation!$AG$2:$AG$301,MATCH($A207,Segmentation!$A$2:$A$301,0))</f>
        <v>0</v>
      </c>
      <c r="Z207" s="2" t="str">
        <f aca="false">INDEX(Segmentation!$AU$2:$AU$301,MATCH($A207,Segmentation!$A$2:$A$301,0))</f>
        <v>Not Eligible</v>
      </c>
      <c r="AA207" s="10" t="b">
        <f aca="false">INDEX(Segmentation!$Z$2:$Z$301,MATCH($A207,Segmentation!$A$2:$A$301,0))</f>
        <v>0</v>
      </c>
      <c r="AB207" s="10" t="b">
        <f aca="false">INDEX(Segmentation!$AH$2:$AH$301,MATCH($A207,Segmentation!$A$2:$A$301,0))</f>
        <v>0</v>
      </c>
      <c r="AC207" s="10" t="b">
        <f aca="false">INDEX(Segmentation!$AK$2:$AK$301,MATCH($A207,Segmentation!$A$2:$A$301,0))</f>
        <v>0</v>
      </c>
      <c r="AD207" s="10" t="b">
        <f aca="false">INDEX(Segmentation!$AQ$2:$AQ$301,MATCH($A207,Segmentation!$A$2:$A$301,0))</f>
        <v>0</v>
      </c>
      <c r="AE207" s="10" t="b">
        <f aca="false">INDEX(Segmentation!$AT$2:$AT$301,MATCH($A207,Segmentation!$A$2:$A$301,0))</f>
        <v>0</v>
      </c>
      <c r="AF207" s="10" t="b">
        <f aca="false">INDEX(Segmentation!$X$2:$X$301,MATCH($A207,Segmentation!$A$2:$A$301,0))</f>
        <v>1</v>
      </c>
      <c r="AG207" s="10" t="b">
        <f aca="false">AND(F207="Low",V207&gt;=Assumptions!$B$71,X207&lt;Assumptions!$B$72)</f>
        <v>0</v>
      </c>
      <c r="AH207" s="10" t="b">
        <f aca="false">AND(F207="Low",OR(G207="Growing",G207="Stable"),P207="Recently Active",V207&gt;=Assumptions!$B$58,K207&gt;=Assumptions!$B$73)</f>
        <v>0</v>
      </c>
      <c r="AI207" s="17" t="str">
        <f aca="false">IF(O207&gt;0,MAX(L207:N207)/O207,"")</f>
        <v/>
      </c>
      <c r="AJ207" s="2" t="str">
        <f aca="false">IF(LEFT(D207,1)="1",IF(E207="Key","MIGRATION_KEY_SIGNOFF",IF(Z207="Ready","MIGRATION_PHASE1_READY",IF(Z207="Manual Review","MIGRATION_PHASE1_REVIEW","MIGRATION_PRE_ENTRY"))),IF(LEFT(D207,1)="2","DECLINING_KEY_CORE",IF(LEFT(D207,1)="3",IF(R207="Established Buyer Lapsed","LAPSED_ESTABLISHED","LAPSED_THIN_HISTORY"),IF(LEFT(D207,1)="4",IF(Q207="New Customer","NEW_CUSTOMER","RETURNED_CUSTOMER"),IF(LEFT(D207,1)="5",IF(P207="Recently Active","COST_TO_SERVE_ACTIVE","DORMANT_LOW_VALUE"),IF(LEFT(D207,1)="6",IF(P207="Recent Inactivity","RECENT_INACTIVITY",IF(AG207,"BROWSING_LOW_OFFERS","HEALTHY_STRONG_SELF_SERVE")),IF(LEFT(D207,1)="7",IF(P207="Recent Inactivity","RECENT_INACTIVITY",IF(Q207="New Customer","NEW_CUSTOMER","RETURNED_CUSTOMER")),IF(LEFT(D207,1)="8",IF(G207="Declining",IF(T207="Engaged but shrinking (Key/Core)","ENGAGED_BUT_SHRINKING","DECLINING_KEY_CORE"),IF(R207="Established Buyer Lapsed","LAPSED_ESTABLISHED","LAPSED_THIN_HISTORY")),IF(S207,IF(P207&lt;&gt;"Recently Active","DORMANT_LOW_VALUE",IF(AG207,"BROWSING_LOW_OFFERS",IF(AH207,"RISING_TAIL","RISING_TAIL_EARLY"))),IF(AND(AG207,P207="Recently Active",OR(G207="Growing",G207="Stable",G207="H2 Active / No H1 GMV"),I207&gt;=Assumptions!$B$74),"BROWSING_LOW_OFFERS","LONG_TAIL_STANDARD"))))))))))</f>
        <v>LONG_TAIL_STANDARD</v>
      </c>
      <c r="AK207" s="2" t="str">
        <f aca="false">INDEX('NBA Library'!$B$4:$B$21,MATCH(AJ207,'NBA Library'!$A$4:$A$21,0))</f>
        <v>Automated Nurture</v>
      </c>
      <c r="AL207" s="2" t="str">
        <f aca="false">INDEX('NBA Library'!$C$4:$C$21,MATCH(AJ207,'NBA Library'!$A$4:$A$21,0))</f>
        <v>Automated</v>
      </c>
      <c r="AM207" s="2" t="str">
        <f aca="false">IF(AA207,"HOLD — Critical Data Issue",IF(Y207,"Human Sign-Off Required",IF(Z207="Manual Review","Human Review Required",IF(AND(AL207="Automated",OR(AE207,AND(OR(AK207="Discovery-to-Offer Enablement",AK207="Reinforce Successful Behaviour"),OR(AC207,AB207)))),"Human Review Required",IF(AL207="Human","Ready — Human",IF(AL207="Hybrid","Ready — Hybrid","Ready — Automated"))))))</f>
        <v>Ready — Automated</v>
      </c>
      <c r="AN207" s="2" t="str">
        <f aca="false">IF(AA207,"P0",IF(AND(AJ207="BROWSING_LOW_OFFERS",E207="Tail"),"P3",IF(AND(AM207="Human Review Required",INDEX('NBA Library'!$D$4:$D$21,MATCH(AJ207,'NBA Library'!$A$4:$A$21,0))="P4"),"P3",INDEX('NBA Library'!$D$4:$D$21,MATCH(AJ207,'NBA Library'!$A$4:$A$21,0)))))</f>
        <v>P4</v>
      </c>
      <c r="AO207" s="2" t="str">
        <f aca="false">E207&amp;" "&amp;C207&amp;" account ("&amp;B207&amp;"); "&amp;G207&amp;" momentum; "&amp;P207&amp;"; £"&amp;TEXT(H207,"#,##0")&amp;" 6m GMV. "&amp;INDEX('NBA Library'!$G$4:$G$21,MATCH(AJ207,'NBA Library'!$A$4:$A$21,0))&amp;IF(LEFT(D207,1)="1"," Baseline: "&amp;V207&amp;" PDP views, "&amp;W207&amp;" app days, "&amp;X207&amp;" offers, "&amp;TEXT(J207/I207,"0%")&amp;" of orders self-serve.","")&amp;IF(AA207," Execution on HOLD until the Duplicate status is resolved.","")&amp;IF(Y207," Key account: explicit AM/leadership sign-off required before any migration activity.","")&amp;IF(AE207," Implied broker % from order counts would move this account to a different segment; review before automating.","")</f>
        <v>Tail AM-Owned / Self-Serving account (Account Managed); Lapsed momentum; No Meaningful History; £80 6m GMV. Low-value, low-dependency account. Scalable automated engagement.</v>
      </c>
      <c r="AP207" s="2" t="str">
        <f aca="false">INDEX('NBA Library'!$E$4:$E$21,MATCH(AJ207,'NBA Library'!$A$4:$A$21,0))&amp;IF(AND(AJ207="NEW_CUSTOMER",AG207),"; introduce Make-an-Offer on items already browsed","")</f>
        <v>Scalable automated engagement matched to nurture sub-context</v>
      </c>
      <c r="AQ207" s="2" t="str">
        <f aca="false">INDEX('NBA Library'!$F$4:$F$21,MATCH(AJ207,'NBA Library'!$A$4:$A$21,0))</f>
        <v>Any repeat order within 90 days</v>
      </c>
      <c r="AR207" s="2" t="str">
        <f aca="false">IF(AND(F207="Low",OR(G207="Growing",G207="Stable"),P207="Recently Active",U207&lt;&gt;"Mixed",OR(AK207="Discovery-to-Offer Enablement",AK207="Reinforce Successful Behaviour"),AM207="Ready — Automated",OR(E207&lt;&gt;"Tail",S207)),"Range Expansion Test — trial "&amp;IF(U207="Bundle-only","handpick","bundles")&amp;" (experimental; not proven to lift GMV)","")</f>
        <v/>
      </c>
      <c r="AS207" s="2" t="str">
        <f aca="false">IF(AK207&lt;&gt;"Automated Nurture","",IF(AJ207="DORMANT_LOW_VALUE","Dormant",IF(AJ207="RISING_TAIL_EARLY","Rising tail – early pattern",IF(Q207="New Customer","New customer onboarding",IF(Q207="Returned Customer","Returned customer",IF(G207="Lapsed","Dormant",IF(T207="Engaged, not converting","Engaged, not converting",IF(T207="One-off low-touch buyer","One-off purchaser",IF(T207="Light-touch repeat buyer","Light-touch repeat buyer","Standard long tail")))))))))</f>
        <v>Dormant</v>
      </c>
      <c r="AT207" s="2" t="str">
        <f aca="false">IF(AA207,"CRITICAL_DATA_BLOCKER; ","")&amp;IF(Y207,"KEY_SIGNOFF; ","")&amp;IF(Z207="Manual Review","PHASE1_MANUAL_REVIEW; ","")&amp;IF(AND(LEFT(D207,1)="1",AZ207="Lumpy"),"LUMPY_CADENCE; ","")&amp;IF(AB207,"BORDERLINE_MOMENTUM; ","")&amp;IF(AC207,"FEB_SENSITIVE; ","")&amp;IF(AD207,"MATERIAL_BROKER_INCONSISTENCY"&amp;IF(AE207," (segment would change)","")&amp;"; ","")&amp;IF(AND(I207&gt;=3,O207&gt;0),IF(AI207&gt;=Assumptions!$B$75,"H2_SINGLE_MONTH_SPIKE; ",""),"")&amp;IF(AND(M207&gt;0,N207=0),"NO_FEB_GMV (Feb unconfirmed); ","")&amp;IF(AF207,"LOW_CONFIDENCE; ","")</f>
        <v>LOW_CONFIDENCE; </v>
      </c>
      <c r="AU207" s="2" t="str">
        <f aca="false">IF(LEFT(D207,1)="1",V207,"")</f>
        <v/>
      </c>
      <c r="AV207" s="2" t="str">
        <f aca="false">IF(LEFT(D207,1)="1",V207&gt;=Assumptions!$B$58,"")</f>
        <v/>
      </c>
      <c r="AW207" s="2" t="str">
        <f aca="false">IF(LEFT(D207,1)="1",W207,"")</f>
        <v/>
      </c>
      <c r="AX207" s="2" t="str">
        <f aca="false">IF(LEFT(D207,1)="1",X207,"")</f>
        <v/>
      </c>
      <c r="AY207" s="17" t="str">
        <f aca="false">IF(LEFT(D207,1)="1",J207/I207,"")</f>
        <v/>
      </c>
      <c r="AZ207" s="2" t="str">
        <f aca="false">IF(LEFT(D207,1)="1",IF(AND(K207&gt;=Assumptions!$B$83,I207&gt;=Assumptions!$B$84),"Regular","Lumpy"),"")</f>
        <v/>
      </c>
      <c r="BA207" s="2" t="str">
        <f aca="false">IF(LEFT(D207,1)="1",ROUND(6/K207,0),"")</f>
        <v/>
      </c>
      <c r="BB207" s="2" t="str">
        <f aca="false">IF(LEFT(D207,1)="1",IF(AZ207="Regular","Regular buyer: expected ~£"&amp;TEXT(H207/2,"#,##0")&amp;" per 90 days. At Risk if GMV to date &lt; "&amp;TEXT(Assumptions!$B$81,"0%")&amp;" of pro-rated expectation, checked from day "&amp;Assumptions!$B$82&amp;". Human-reviewed.","Irregular buyer ("&amp;I207&amp;" orders across "&amp;K207&amp;" months): no numeric GMV threshold. At Risk if no order within ~"&amp;BA207&amp;" month(s); AM reviews at day "&amp;Assumptions!$B$82&amp;" and "&amp;Assumptions!$B$85&amp;"."),"")</f>
        <v/>
      </c>
      <c r="BC207" s="2"/>
      <c r="BD207" s="2"/>
      <c r="BE207" s="2"/>
      <c r="BF207" s="2"/>
      <c r="BG207" s="2"/>
      <c r="BH207" s="2"/>
      <c r="BI207" s="2"/>
      <c r="BJ207" s="2" t="str">
        <f aca="false">IF(OR(NOT(LEFT(D207,1)="1"),BC207=""),"",IF(AZ207="Regular",AND(BC207&gt;=Assumptions!$B$82,N(BI207)&lt;Assumptions!$B$81*H207/180*BC207),AND(BC207&gt;=BA207*30,N(BG207)=0)))</f>
        <v/>
      </c>
      <c r="BK207" s="2" t="str">
        <f aca="false">IF(NOT(LEFT(D207,1)="1"),"N/A",IF(BC207="","Baseline",IF(BJ207,"At Risk",IF(AND(N(BD207)&gt;=Assumptions!$B$78,N(BE207)&gt;=Assumptions!$B$79,N(BH207)&gt;=1,N(BH207)/MAX(N(BG207),1)&gt;AY207),"Self-Serve Capability Demonstrated",IF(OR(N(BD207)&gt;=Assumptions!$B$76,N(BE207)&gt;=Assumptions!$B$77),"Progressing",IF(BC207&gt;=Assumptions!$B$85,"At Risk","Baseline"))))))</f>
        <v>N/A</v>
      </c>
      <c r="BL207" s="2" t="n">
        <f aca="false">(AND(C207="Broker-Reliant",OR(AK207="Discovery-to-Offer Enablement",AK207="Reinforce Successful Behaviour")))*1+(AND(G207="Declining",E207&lt;&gt;"Tail",AL207="Automated"))*1+(AND(Y207,AM207&lt;&gt;"Human Sign-Off Required"))*1+(AND(AA207,AM207&lt;&gt;"HOLD — Critical Data Issue"))*1+(AND(P207="Recent Inactivity",OR(AK207="Discovery-to-Offer Enablement",AK207="Reinforce Successful Behaviour")))*1+(AND(OR(LEFT(D207,1)="2",LEFT(D207,1)="3",LEFT(D207,1)="8"),AL207="Automated"))*1+((LEFT(D207,1)="1")&lt;&gt;(AK207="Guided Self-Serve Migration"))*1+(AND(AR207&lt;&gt;"",OR(F207&lt;&gt;"Low",U207="Mixed",AND(G207&lt;&gt;"Growing",G207&lt;&gt;"Stable"))))*1+ISNUMBER(SEARCH("chat",AP207))*1+ISNUMBER(SEARCH("video",AP207))*1+(AND(AA207,AL207="Automated",AM207&lt;&gt;"HOLD — Critical Data Issue"))*1</f>
        <v>0</v>
      </c>
    </row>
    <row r="208" customFormat="false" ht="15" hidden="false" customHeight="false" outlineLevel="0" collapsed="false">
      <c r="A208" s="2" t="s">
        <v>1000</v>
      </c>
      <c r="B208" s="2" t="str">
        <f aca="false">INDEX(Segmentation!$B$2:$B$301,MATCH($A208,Segmentation!$A$2:$A$301,0))</f>
        <v>Account Managed</v>
      </c>
      <c r="C208" s="2" t="str">
        <f aca="false">INDEX(Segmentation!$H$2:$H$301,MATCH($A208,Segmentation!$A$2:$A$301,0))</f>
        <v>AM-Owned / Self-Serving</v>
      </c>
      <c r="D208" s="2" t="str">
        <f aca="false">INDEX(Segmentation!$T$2:$T$301,MATCH($A208,Segmentation!$A$2:$A$301,0))</f>
        <v>9. Long-Tail Automated Nurture</v>
      </c>
      <c r="E208" s="2" t="str">
        <f aca="false">INDEX(Segmentation!$J$2:$J$301,MATCH($A208,Segmentation!$A$2:$A$301,0))</f>
        <v>Tail</v>
      </c>
      <c r="F208" s="2" t="str">
        <f aca="false">INDEX(Segmentation!$G$2:$G$301,MATCH($A208,Segmentation!$A$2:$A$301,0))</f>
        <v>Low</v>
      </c>
      <c r="G208" s="2" t="str">
        <f aca="false">INDEX(Segmentation!$N$2:$N$301,MATCH($A208,Segmentation!$A$2:$A$301,0))</f>
        <v>Lapsed</v>
      </c>
      <c r="H208" s="9" t="n">
        <f aca="false">INDEX(Segmentation!$I$2:$I$301,MATCH($A208,Segmentation!$A$2:$A$301,0))</f>
        <v>77</v>
      </c>
      <c r="I208" s="2" t="n">
        <f aca="false">INDEX(Segmentation!$O$2:$O$301,MATCH($A208,Segmentation!$A$2:$A$301,0))</f>
        <v>1</v>
      </c>
      <c r="J208" s="2" t="n">
        <f aca="false">INDEX(Segmentation!$Q$2:$Q$301,MATCH($A208,Segmentation!$A$2:$A$301,0))</f>
        <v>1</v>
      </c>
      <c r="K208" s="2" t="n">
        <f aca="false">INDEX(Segmentation!$W$2:$W$301,MATCH($A208,Segmentation!$A$2:$A$301,0))</f>
        <v>1</v>
      </c>
      <c r="L208" s="9" t="n">
        <f aca="false">INDEX('Commercial View'!$L$2:$L$301,MATCH($A208,'Commercial View'!$A$2:$A$301,0))</f>
        <v>0</v>
      </c>
      <c r="M208" s="9" t="n">
        <f aca="false">INDEX('Commercial View'!$M$2:$M$301,MATCH($A208,'Commercial View'!$A$2:$A$301,0))</f>
        <v>0</v>
      </c>
      <c r="N208" s="9" t="n">
        <f aca="false">INDEX('Commercial View'!$N$2:$N$301,MATCH($A208,'Commercial View'!$A$2:$A$301,0))</f>
        <v>0</v>
      </c>
      <c r="O208" s="9" t="n">
        <f aca="false">INDEX(Segmentation!$L$2:$L$301,MATCH($A208,Segmentation!$A$2:$A$301,0))</f>
        <v>0</v>
      </c>
      <c r="P208" s="2" t="str">
        <f aca="false">IF(OR(M208&gt;0,N208&gt;0),"Recently Active",IF(OR(I208&lt;=Assumptions!$B$48,K208&lt;=Assumptions!$B$49),"No Meaningful History","Recent Inactivity"))</f>
        <v>No Meaningful History</v>
      </c>
      <c r="Q208" s="2" t="str">
        <f aca="false">INDEX(Segmentation!$AF$2:$AF$301,MATCH($A208,Segmentation!$A$2:$A$301,0))</f>
        <v>Existing Customer</v>
      </c>
      <c r="R208" s="2" t="str">
        <f aca="false">INDEX(Segmentation!$AL$2:$AL$301,MATCH($A208,Segmentation!$A$2:$A$301,0))</f>
        <v>One-Off / Insufficient History — Verify</v>
      </c>
      <c r="S208" s="10" t="b">
        <f aca="false">INDEX(Segmentation!$AW$2:$AW$301,MATCH($A208,Segmentation!$A$2:$A$301,0))</f>
        <v>0</v>
      </c>
      <c r="T208" s="2" t="str">
        <f aca="false">INDEX('Feature Data'!$AD$2:$AD$301,MATCH($A208,'Feature Data'!$A$2:$A$301,0))</f>
        <v>One-off low-touch buyer</v>
      </c>
      <c r="U208" s="2" t="str">
        <f aca="false">INDEX('Feature Data'!$W$2:$W$301,MATCH($A208,'Feature Data'!$A$2:$A$301,0))</f>
        <v>Bundle-only</v>
      </c>
      <c r="V208" s="2" t="n">
        <f aca="false">INDEX('Feature Data'!$P$2:$P$301,MATCH($A208,'Feature Data'!$A$2:$A$301,0))</f>
        <v>191</v>
      </c>
      <c r="W208" s="2" t="n">
        <f aca="false">INDEX(Segmentation!$R$2:$R$301,MATCH($A208,Segmentation!$A$2:$A$301,0))</f>
        <v>11</v>
      </c>
      <c r="X208" s="2" t="n">
        <f aca="false">INDEX(Segmentation!$S$2:$S$301,MATCH($A208,Segmentation!$A$2:$A$301,0))</f>
        <v>8</v>
      </c>
      <c r="Y208" s="10" t="b">
        <f aca="false">INDEX(Segmentation!$AG$2:$AG$301,MATCH($A208,Segmentation!$A$2:$A$301,0))</f>
        <v>0</v>
      </c>
      <c r="Z208" s="2" t="str">
        <f aca="false">INDEX(Segmentation!$AU$2:$AU$301,MATCH($A208,Segmentation!$A$2:$A$301,0))</f>
        <v>Not Eligible</v>
      </c>
      <c r="AA208" s="10" t="b">
        <f aca="false">INDEX(Segmentation!$Z$2:$Z$301,MATCH($A208,Segmentation!$A$2:$A$301,0))</f>
        <v>0</v>
      </c>
      <c r="AB208" s="10" t="b">
        <f aca="false">INDEX(Segmentation!$AH$2:$AH$301,MATCH($A208,Segmentation!$A$2:$A$301,0))</f>
        <v>0</v>
      </c>
      <c r="AC208" s="10" t="b">
        <f aca="false">INDEX(Segmentation!$AK$2:$AK$301,MATCH($A208,Segmentation!$A$2:$A$301,0))</f>
        <v>0</v>
      </c>
      <c r="AD208" s="10" t="b">
        <f aca="false">INDEX(Segmentation!$AQ$2:$AQ$301,MATCH($A208,Segmentation!$A$2:$A$301,0))</f>
        <v>0</v>
      </c>
      <c r="AE208" s="10" t="b">
        <f aca="false">INDEX(Segmentation!$AT$2:$AT$301,MATCH($A208,Segmentation!$A$2:$A$301,0))</f>
        <v>0</v>
      </c>
      <c r="AF208" s="10" t="b">
        <f aca="false">INDEX(Segmentation!$X$2:$X$301,MATCH($A208,Segmentation!$A$2:$A$301,0))</f>
        <v>1</v>
      </c>
      <c r="AG208" s="10" t="b">
        <f aca="false">AND(F208="Low",V208&gt;=Assumptions!$B$71,X208&lt;Assumptions!$B$72)</f>
        <v>0</v>
      </c>
      <c r="AH208" s="10" t="b">
        <f aca="false">AND(F208="Low",OR(G208="Growing",G208="Stable"),P208="Recently Active",V208&gt;=Assumptions!$B$58,K208&gt;=Assumptions!$B$73)</f>
        <v>0</v>
      </c>
      <c r="AI208" s="17" t="str">
        <f aca="false">IF(O208&gt;0,MAX(L208:N208)/O208,"")</f>
        <v/>
      </c>
      <c r="AJ208" s="2" t="str">
        <f aca="false">IF(LEFT(D208,1)="1",IF(E208="Key","MIGRATION_KEY_SIGNOFF",IF(Z208="Ready","MIGRATION_PHASE1_READY",IF(Z208="Manual Review","MIGRATION_PHASE1_REVIEW","MIGRATION_PRE_ENTRY"))),IF(LEFT(D208,1)="2","DECLINING_KEY_CORE",IF(LEFT(D208,1)="3",IF(R208="Established Buyer Lapsed","LAPSED_ESTABLISHED","LAPSED_THIN_HISTORY"),IF(LEFT(D208,1)="4",IF(Q208="New Customer","NEW_CUSTOMER","RETURNED_CUSTOMER"),IF(LEFT(D208,1)="5",IF(P208="Recently Active","COST_TO_SERVE_ACTIVE","DORMANT_LOW_VALUE"),IF(LEFT(D208,1)="6",IF(P208="Recent Inactivity","RECENT_INACTIVITY",IF(AG208,"BROWSING_LOW_OFFERS","HEALTHY_STRONG_SELF_SERVE")),IF(LEFT(D208,1)="7",IF(P208="Recent Inactivity","RECENT_INACTIVITY",IF(Q208="New Customer","NEW_CUSTOMER","RETURNED_CUSTOMER")),IF(LEFT(D208,1)="8",IF(G208="Declining",IF(T208="Engaged but shrinking (Key/Core)","ENGAGED_BUT_SHRINKING","DECLINING_KEY_CORE"),IF(R208="Established Buyer Lapsed","LAPSED_ESTABLISHED","LAPSED_THIN_HISTORY")),IF(S208,IF(P208&lt;&gt;"Recently Active","DORMANT_LOW_VALUE",IF(AG208,"BROWSING_LOW_OFFERS",IF(AH208,"RISING_TAIL","RISING_TAIL_EARLY"))),IF(AND(AG208,P208="Recently Active",OR(G208="Growing",G208="Stable",G208="H2 Active / No H1 GMV"),I208&gt;=Assumptions!$B$74),"BROWSING_LOW_OFFERS","LONG_TAIL_STANDARD"))))))))))</f>
        <v>LONG_TAIL_STANDARD</v>
      </c>
      <c r="AK208" s="2" t="str">
        <f aca="false">INDEX('NBA Library'!$B$4:$B$21,MATCH(AJ208,'NBA Library'!$A$4:$A$21,0))</f>
        <v>Automated Nurture</v>
      </c>
      <c r="AL208" s="2" t="str">
        <f aca="false">INDEX('NBA Library'!$C$4:$C$21,MATCH(AJ208,'NBA Library'!$A$4:$A$21,0))</f>
        <v>Automated</v>
      </c>
      <c r="AM208" s="2" t="str">
        <f aca="false">IF(AA208,"HOLD — Critical Data Issue",IF(Y208,"Human Sign-Off Required",IF(Z208="Manual Review","Human Review Required",IF(AND(AL208="Automated",OR(AE208,AND(OR(AK208="Discovery-to-Offer Enablement",AK208="Reinforce Successful Behaviour"),OR(AC208,AB208)))),"Human Review Required",IF(AL208="Human","Ready — Human",IF(AL208="Hybrid","Ready — Hybrid","Ready — Automated"))))))</f>
        <v>Ready — Automated</v>
      </c>
      <c r="AN208" s="2" t="str">
        <f aca="false">IF(AA208,"P0",IF(AND(AJ208="BROWSING_LOW_OFFERS",E208="Tail"),"P3",IF(AND(AM208="Human Review Required",INDEX('NBA Library'!$D$4:$D$21,MATCH(AJ208,'NBA Library'!$A$4:$A$21,0))="P4"),"P3",INDEX('NBA Library'!$D$4:$D$21,MATCH(AJ208,'NBA Library'!$A$4:$A$21,0)))))</f>
        <v>P4</v>
      </c>
      <c r="AO208" s="2" t="str">
        <f aca="false">E208&amp;" "&amp;C208&amp;" account ("&amp;B208&amp;"); "&amp;G208&amp;" momentum; "&amp;P208&amp;"; £"&amp;TEXT(H208,"#,##0")&amp;" 6m GMV. "&amp;INDEX('NBA Library'!$G$4:$G$21,MATCH(AJ208,'NBA Library'!$A$4:$A$21,0))&amp;IF(LEFT(D208,1)="1"," Baseline: "&amp;V208&amp;" PDP views, "&amp;W208&amp;" app days, "&amp;X208&amp;" offers, "&amp;TEXT(J208/I208,"0%")&amp;" of orders self-serve.","")&amp;IF(AA208," Execution on HOLD until the Duplicate status is resolved.","")&amp;IF(Y208," Key account: explicit AM/leadership sign-off required before any migration activity.","")&amp;IF(AE208," Implied broker % from order counts would move this account to a different segment; review before automating.","")</f>
        <v>Tail AM-Owned / Self-Serving account (Account Managed); Lapsed momentum; No Meaningful History; £77 6m GMV. Low-value, low-dependency account. Scalable automated engagement.</v>
      </c>
      <c r="AP208" s="2" t="str">
        <f aca="false">INDEX('NBA Library'!$E$4:$E$21,MATCH(AJ208,'NBA Library'!$A$4:$A$21,0))&amp;IF(AND(AJ208="NEW_CUSTOMER",AG208),"; introduce Make-an-Offer on items already browsed","")</f>
        <v>Scalable automated engagement matched to nurture sub-context</v>
      </c>
      <c r="AQ208" s="2" t="str">
        <f aca="false">INDEX('NBA Library'!$F$4:$F$21,MATCH(AJ208,'NBA Library'!$A$4:$A$21,0))</f>
        <v>Any repeat order within 90 days</v>
      </c>
      <c r="AR208" s="2" t="str">
        <f aca="false">IF(AND(F208="Low",OR(G208="Growing",G208="Stable"),P208="Recently Active",U208&lt;&gt;"Mixed",OR(AK208="Discovery-to-Offer Enablement",AK208="Reinforce Successful Behaviour"),AM208="Ready — Automated",OR(E208&lt;&gt;"Tail",S208)),"Range Expansion Test — trial "&amp;IF(U208="Bundle-only","handpick","bundles")&amp;" (experimental; not proven to lift GMV)","")</f>
        <v/>
      </c>
      <c r="AS208" s="2" t="str">
        <f aca="false">IF(AK208&lt;&gt;"Automated Nurture","",IF(AJ208="DORMANT_LOW_VALUE","Dormant",IF(AJ208="RISING_TAIL_EARLY","Rising tail – early pattern",IF(Q208="New Customer","New customer onboarding",IF(Q208="Returned Customer","Returned customer",IF(G208="Lapsed","Dormant",IF(T208="Engaged, not converting","Engaged, not converting",IF(T208="One-off low-touch buyer","One-off purchaser",IF(T208="Light-touch repeat buyer","Light-touch repeat buyer","Standard long tail")))))))))</f>
        <v>Dormant</v>
      </c>
      <c r="AT208" s="2" t="str">
        <f aca="false">IF(AA208,"CRITICAL_DATA_BLOCKER; ","")&amp;IF(Y208,"KEY_SIGNOFF; ","")&amp;IF(Z208="Manual Review","PHASE1_MANUAL_REVIEW; ","")&amp;IF(AND(LEFT(D208,1)="1",AZ208="Lumpy"),"LUMPY_CADENCE; ","")&amp;IF(AB208,"BORDERLINE_MOMENTUM; ","")&amp;IF(AC208,"FEB_SENSITIVE; ","")&amp;IF(AD208,"MATERIAL_BROKER_INCONSISTENCY"&amp;IF(AE208," (segment would change)","")&amp;"; ","")&amp;IF(AND(I208&gt;=3,O208&gt;0),IF(AI208&gt;=Assumptions!$B$75,"H2_SINGLE_MONTH_SPIKE; ",""),"")&amp;IF(AND(M208&gt;0,N208=0),"NO_FEB_GMV (Feb unconfirmed); ","")&amp;IF(AF208,"LOW_CONFIDENCE; ","")</f>
        <v>LOW_CONFIDENCE; </v>
      </c>
      <c r="AU208" s="2" t="str">
        <f aca="false">IF(LEFT(D208,1)="1",V208,"")</f>
        <v/>
      </c>
      <c r="AV208" s="2" t="str">
        <f aca="false">IF(LEFT(D208,1)="1",V208&gt;=Assumptions!$B$58,"")</f>
        <v/>
      </c>
      <c r="AW208" s="2" t="str">
        <f aca="false">IF(LEFT(D208,1)="1",W208,"")</f>
        <v/>
      </c>
      <c r="AX208" s="2" t="str">
        <f aca="false">IF(LEFT(D208,1)="1",X208,"")</f>
        <v/>
      </c>
      <c r="AY208" s="17" t="str">
        <f aca="false">IF(LEFT(D208,1)="1",J208/I208,"")</f>
        <v/>
      </c>
      <c r="AZ208" s="2" t="str">
        <f aca="false">IF(LEFT(D208,1)="1",IF(AND(K208&gt;=Assumptions!$B$83,I208&gt;=Assumptions!$B$84),"Regular","Lumpy"),"")</f>
        <v/>
      </c>
      <c r="BA208" s="2" t="str">
        <f aca="false">IF(LEFT(D208,1)="1",ROUND(6/K208,0),"")</f>
        <v/>
      </c>
      <c r="BB208" s="2" t="str">
        <f aca="false">IF(LEFT(D208,1)="1",IF(AZ208="Regular","Regular buyer: expected ~£"&amp;TEXT(H208/2,"#,##0")&amp;" per 90 days. At Risk if GMV to date &lt; "&amp;TEXT(Assumptions!$B$81,"0%")&amp;" of pro-rated expectation, checked from day "&amp;Assumptions!$B$82&amp;". Human-reviewed.","Irregular buyer ("&amp;I208&amp;" orders across "&amp;K208&amp;" months): no numeric GMV threshold. At Risk if no order within ~"&amp;BA208&amp;" month(s); AM reviews at day "&amp;Assumptions!$B$82&amp;" and "&amp;Assumptions!$B$85&amp;"."),"")</f>
        <v/>
      </c>
      <c r="BC208" s="2"/>
      <c r="BD208" s="2"/>
      <c r="BE208" s="2"/>
      <c r="BF208" s="2"/>
      <c r="BG208" s="2"/>
      <c r="BH208" s="2"/>
      <c r="BI208" s="2"/>
      <c r="BJ208" s="2" t="str">
        <f aca="false">IF(OR(NOT(LEFT(D208,1)="1"),BC208=""),"",IF(AZ208="Regular",AND(BC208&gt;=Assumptions!$B$82,N(BI208)&lt;Assumptions!$B$81*H208/180*BC208),AND(BC208&gt;=BA208*30,N(BG208)=0)))</f>
        <v/>
      </c>
      <c r="BK208" s="2" t="str">
        <f aca="false">IF(NOT(LEFT(D208,1)="1"),"N/A",IF(BC208="","Baseline",IF(BJ208,"At Risk",IF(AND(N(BD208)&gt;=Assumptions!$B$78,N(BE208)&gt;=Assumptions!$B$79,N(BH208)&gt;=1,N(BH208)/MAX(N(BG208),1)&gt;AY208),"Self-Serve Capability Demonstrated",IF(OR(N(BD208)&gt;=Assumptions!$B$76,N(BE208)&gt;=Assumptions!$B$77),"Progressing",IF(BC208&gt;=Assumptions!$B$85,"At Risk","Baseline"))))))</f>
        <v>N/A</v>
      </c>
      <c r="BL208" s="2" t="n">
        <f aca="false">(AND(C208="Broker-Reliant",OR(AK208="Discovery-to-Offer Enablement",AK208="Reinforce Successful Behaviour")))*1+(AND(G208="Declining",E208&lt;&gt;"Tail",AL208="Automated"))*1+(AND(Y208,AM208&lt;&gt;"Human Sign-Off Required"))*1+(AND(AA208,AM208&lt;&gt;"HOLD — Critical Data Issue"))*1+(AND(P208="Recent Inactivity",OR(AK208="Discovery-to-Offer Enablement",AK208="Reinforce Successful Behaviour")))*1+(AND(OR(LEFT(D208,1)="2",LEFT(D208,1)="3",LEFT(D208,1)="8"),AL208="Automated"))*1+((LEFT(D208,1)="1")&lt;&gt;(AK208="Guided Self-Serve Migration"))*1+(AND(AR208&lt;&gt;"",OR(F208&lt;&gt;"Low",U208="Mixed",AND(G208&lt;&gt;"Growing",G208&lt;&gt;"Stable"))))*1+ISNUMBER(SEARCH("chat",AP208))*1+ISNUMBER(SEARCH("video",AP208))*1+(AND(AA208,AL208="Automated",AM208&lt;&gt;"HOLD — Critical Data Issue"))*1</f>
        <v>0</v>
      </c>
    </row>
    <row r="209" customFormat="false" ht="15" hidden="false" customHeight="false" outlineLevel="0" collapsed="false">
      <c r="A209" s="2" t="s">
        <v>1012</v>
      </c>
      <c r="B209" s="2" t="str">
        <f aca="false">INDEX(Segmentation!$B$2:$B$301,MATCH($A209,Segmentation!$A$2:$A$301,0))</f>
        <v>Account Managed</v>
      </c>
      <c r="C209" s="2" t="str">
        <f aca="false">INDEX(Segmentation!$H$2:$H$301,MATCH($A209,Segmentation!$A$2:$A$301,0))</f>
        <v>AM-Owned / Self-Serving</v>
      </c>
      <c r="D209" s="2" t="str">
        <f aca="false">INDEX(Segmentation!$T$2:$T$301,MATCH($A209,Segmentation!$A$2:$A$301,0))</f>
        <v>9. Long-Tail Automated Nurture</v>
      </c>
      <c r="E209" s="2" t="str">
        <f aca="false">INDEX(Segmentation!$J$2:$J$301,MATCH($A209,Segmentation!$A$2:$A$301,0))</f>
        <v>Tail</v>
      </c>
      <c r="F209" s="2" t="str">
        <f aca="false">INDEX(Segmentation!$G$2:$G$301,MATCH($A209,Segmentation!$A$2:$A$301,0))</f>
        <v>Low</v>
      </c>
      <c r="G209" s="2" t="str">
        <f aca="false">INDEX(Segmentation!$N$2:$N$301,MATCH($A209,Segmentation!$A$2:$A$301,0))</f>
        <v>Lapsed</v>
      </c>
      <c r="H209" s="9" t="n">
        <f aca="false">INDEX(Segmentation!$I$2:$I$301,MATCH($A209,Segmentation!$A$2:$A$301,0))</f>
        <v>53</v>
      </c>
      <c r="I209" s="2" t="n">
        <f aca="false">INDEX(Segmentation!$O$2:$O$301,MATCH($A209,Segmentation!$A$2:$A$301,0))</f>
        <v>1</v>
      </c>
      <c r="J209" s="2" t="n">
        <f aca="false">INDEX(Segmentation!$Q$2:$Q$301,MATCH($A209,Segmentation!$A$2:$A$301,0))</f>
        <v>1</v>
      </c>
      <c r="K209" s="2" t="n">
        <f aca="false">INDEX(Segmentation!$W$2:$W$301,MATCH($A209,Segmentation!$A$2:$A$301,0))</f>
        <v>1</v>
      </c>
      <c r="L209" s="9" t="n">
        <f aca="false">INDEX('Commercial View'!$L$2:$L$301,MATCH($A209,'Commercial View'!$A$2:$A$301,0))</f>
        <v>0</v>
      </c>
      <c r="M209" s="9" t="n">
        <f aca="false">INDEX('Commercial View'!$M$2:$M$301,MATCH($A209,'Commercial View'!$A$2:$A$301,0))</f>
        <v>0</v>
      </c>
      <c r="N209" s="9" t="n">
        <f aca="false">INDEX('Commercial View'!$N$2:$N$301,MATCH($A209,'Commercial View'!$A$2:$A$301,0))</f>
        <v>0</v>
      </c>
      <c r="O209" s="9" t="n">
        <f aca="false">INDEX(Segmentation!$L$2:$L$301,MATCH($A209,Segmentation!$A$2:$A$301,0))</f>
        <v>0</v>
      </c>
      <c r="P209" s="2" t="str">
        <f aca="false">IF(OR(M209&gt;0,N209&gt;0),"Recently Active",IF(OR(I209&lt;=Assumptions!$B$48,K209&lt;=Assumptions!$B$49),"No Meaningful History","Recent Inactivity"))</f>
        <v>No Meaningful History</v>
      </c>
      <c r="Q209" s="2" t="str">
        <f aca="false">INDEX(Segmentation!$AF$2:$AF$301,MATCH($A209,Segmentation!$A$2:$A$301,0))</f>
        <v>Existing Customer</v>
      </c>
      <c r="R209" s="2" t="str">
        <f aca="false">INDEX(Segmentation!$AL$2:$AL$301,MATCH($A209,Segmentation!$A$2:$A$301,0))</f>
        <v>One-Off / Insufficient History — Verify</v>
      </c>
      <c r="S209" s="10" t="b">
        <f aca="false">INDEX(Segmentation!$AW$2:$AW$301,MATCH($A209,Segmentation!$A$2:$A$301,0))</f>
        <v>0</v>
      </c>
      <c r="T209" s="2" t="str">
        <f aca="false">INDEX('Feature Data'!$AD$2:$AD$301,MATCH($A209,'Feature Data'!$A$2:$A$301,0))</f>
        <v>One-off low-touch buyer</v>
      </c>
      <c r="U209" s="2" t="str">
        <f aca="false">INDEX('Feature Data'!$W$2:$W$301,MATCH($A209,'Feature Data'!$A$2:$A$301,0))</f>
        <v>Bundle-only</v>
      </c>
      <c r="V209" s="2" t="n">
        <f aca="false">INDEX('Feature Data'!$P$2:$P$301,MATCH($A209,'Feature Data'!$A$2:$A$301,0))</f>
        <v>10</v>
      </c>
      <c r="W209" s="2" t="n">
        <f aca="false">INDEX(Segmentation!$R$2:$R$301,MATCH($A209,Segmentation!$A$2:$A$301,0))</f>
        <v>4</v>
      </c>
      <c r="X209" s="2" t="n">
        <f aca="false">INDEX(Segmentation!$S$2:$S$301,MATCH($A209,Segmentation!$A$2:$A$301,0))</f>
        <v>1</v>
      </c>
      <c r="Y209" s="10" t="b">
        <f aca="false">INDEX(Segmentation!$AG$2:$AG$301,MATCH($A209,Segmentation!$A$2:$A$301,0))</f>
        <v>0</v>
      </c>
      <c r="Z209" s="2" t="str">
        <f aca="false">INDEX(Segmentation!$AU$2:$AU$301,MATCH($A209,Segmentation!$A$2:$A$301,0))</f>
        <v>Not Eligible</v>
      </c>
      <c r="AA209" s="10" t="b">
        <f aca="false">INDEX(Segmentation!$Z$2:$Z$301,MATCH($A209,Segmentation!$A$2:$A$301,0))</f>
        <v>0</v>
      </c>
      <c r="AB209" s="10" t="b">
        <f aca="false">INDEX(Segmentation!$AH$2:$AH$301,MATCH($A209,Segmentation!$A$2:$A$301,0))</f>
        <v>0</v>
      </c>
      <c r="AC209" s="10" t="b">
        <f aca="false">INDEX(Segmentation!$AK$2:$AK$301,MATCH($A209,Segmentation!$A$2:$A$301,0))</f>
        <v>0</v>
      </c>
      <c r="AD209" s="10" t="b">
        <f aca="false">INDEX(Segmentation!$AQ$2:$AQ$301,MATCH($A209,Segmentation!$A$2:$A$301,0))</f>
        <v>0</v>
      </c>
      <c r="AE209" s="10" t="b">
        <f aca="false">INDEX(Segmentation!$AT$2:$AT$301,MATCH($A209,Segmentation!$A$2:$A$301,0))</f>
        <v>0</v>
      </c>
      <c r="AF209" s="10" t="b">
        <f aca="false">INDEX(Segmentation!$X$2:$X$301,MATCH($A209,Segmentation!$A$2:$A$301,0))</f>
        <v>1</v>
      </c>
      <c r="AG209" s="10" t="b">
        <f aca="false">AND(F209="Low",V209&gt;=Assumptions!$B$71,X209&lt;Assumptions!$B$72)</f>
        <v>0</v>
      </c>
      <c r="AH209" s="10" t="b">
        <f aca="false">AND(F209="Low",OR(G209="Growing",G209="Stable"),P209="Recently Active",V209&gt;=Assumptions!$B$58,K209&gt;=Assumptions!$B$73)</f>
        <v>0</v>
      </c>
      <c r="AI209" s="17" t="str">
        <f aca="false">IF(O209&gt;0,MAX(L209:N209)/O209,"")</f>
        <v/>
      </c>
      <c r="AJ209" s="2" t="str">
        <f aca="false">IF(LEFT(D209,1)="1",IF(E209="Key","MIGRATION_KEY_SIGNOFF",IF(Z209="Ready","MIGRATION_PHASE1_READY",IF(Z209="Manual Review","MIGRATION_PHASE1_REVIEW","MIGRATION_PRE_ENTRY"))),IF(LEFT(D209,1)="2","DECLINING_KEY_CORE",IF(LEFT(D209,1)="3",IF(R209="Established Buyer Lapsed","LAPSED_ESTABLISHED","LAPSED_THIN_HISTORY"),IF(LEFT(D209,1)="4",IF(Q209="New Customer","NEW_CUSTOMER","RETURNED_CUSTOMER"),IF(LEFT(D209,1)="5",IF(P209="Recently Active","COST_TO_SERVE_ACTIVE","DORMANT_LOW_VALUE"),IF(LEFT(D209,1)="6",IF(P209="Recent Inactivity","RECENT_INACTIVITY",IF(AG209,"BROWSING_LOW_OFFERS","HEALTHY_STRONG_SELF_SERVE")),IF(LEFT(D209,1)="7",IF(P209="Recent Inactivity","RECENT_INACTIVITY",IF(Q209="New Customer","NEW_CUSTOMER","RETURNED_CUSTOMER")),IF(LEFT(D209,1)="8",IF(G209="Declining",IF(T209="Engaged but shrinking (Key/Core)","ENGAGED_BUT_SHRINKING","DECLINING_KEY_CORE"),IF(R209="Established Buyer Lapsed","LAPSED_ESTABLISHED","LAPSED_THIN_HISTORY")),IF(S209,IF(P209&lt;&gt;"Recently Active","DORMANT_LOW_VALUE",IF(AG209,"BROWSING_LOW_OFFERS",IF(AH209,"RISING_TAIL","RISING_TAIL_EARLY"))),IF(AND(AG209,P209="Recently Active",OR(G209="Growing",G209="Stable",G209="H2 Active / No H1 GMV"),I209&gt;=Assumptions!$B$74),"BROWSING_LOW_OFFERS","LONG_TAIL_STANDARD"))))))))))</f>
        <v>LONG_TAIL_STANDARD</v>
      </c>
      <c r="AK209" s="2" t="str">
        <f aca="false">INDEX('NBA Library'!$B$4:$B$21,MATCH(AJ209,'NBA Library'!$A$4:$A$21,0))</f>
        <v>Automated Nurture</v>
      </c>
      <c r="AL209" s="2" t="str">
        <f aca="false">INDEX('NBA Library'!$C$4:$C$21,MATCH(AJ209,'NBA Library'!$A$4:$A$21,0))</f>
        <v>Automated</v>
      </c>
      <c r="AM209" s="2" t="str">
        <f aca="false">IF(AA209,"HOLD — Critical Data Issue",IF(Y209,"Human Sign-Off Required",IF(Z209="Manual Review","Human Review Required",IF(AND(AL209="Automated",OR(AE209,AND(OR(AK209="Discovery-to-Offer Enablement",AK209="Reinforce Successful Behaviour"),OR(AC209,AB209)))),"Human Review Required",IF(AL209="Human","Ready — Human",IF(AL209="Hybrid","Ready — Hybrid","Ready — Automated"))))))</f>
        <v>Ready — Automated</v>
      </c>
      <c r="AN209" s="2" t="str">
        <f aca="false">IF(AA209,"P0",IF(AND(AJ209="BROWSING_LOW_OFFERS",E209="Tail"),"P3",IF(AND(AM209="Human Review Required",INDEX('NBA Library'!$D$4:$D$21,MATCH(AJ209,'NBA Library'!$A$4:$A$21,0))="P4"),"P3",INDEX('NBA Library'!$D$4:$D$21,MATCH(AJ209,'NBA Library'!$A$4:$A$21,0)))))</f>
        <v>P4</v>
      </c>
      <c r="AO209" s="2" t="str">
        <f aca="false">E209&amp;" "&amp;C209&amp;" account ("&amp;B209&amp;"); "&amp;G209&amp;" momentum; "&amp;P209&amp;"; £"&amp;TEXT(H209,"#,##0")&amp;" 6m GMV. "&amp;INDEX('NBA Library'!$G$4:$G$21,MATCH(AJ209,'NBA Library'!$A$4:$A$21,0))&amp;IF(LEFT(D209,1)="1"," Baseline: "&amp;V209&amp;" PDP views, "&amp;W209&amp;" app days, "&amp;X209&amp;" offers, "&amp;TEXT(J209/I209,"0%")&amp;" of orders self-serve.","")&amp;IF(AA209," Execution on HOLD until the Duplicate status is resolved.","")&amp;IF(Y209," Key account: explicit AM/leadership sign-off required before any migration activity.","")&amp;IF(AE209," Implied broker % from order counts would move this account to a different segment; review before automating.","")</f>
        <v>Tail AM-Owned / Self-Serving account (Account Managed); Lapsed momentum; No Meaningful History; £53 6m GMV. Low-value, low-dependency account. Scalable automated engagement.</v>
      </c>
      <c r="AP209" s="2" t="str">
        <f aca="false">INDEX('NBA Library'!$E$4:$E$21,MATCH(AJ209,'NBA Library'!$A$4:$A$21,0))&amp;IF(AND(AJ209="NEW_CUSTOMER",AG209),"; introduce Make-an-Offer on items already browsed","")</f>
        <v>Scalable automated engagement matched to nurture sub-context</v>
      </c>
      <c r="AQ209" s="2" t="str">
        <f aca="false">INDEX('NBA Library'!$F$4:$F$21,MATCH(AJ209,'NBA Library'!$A$4:$A$21,0))</f>
        <v>Any repeat order within 90 days</v>
      </c>
      <c r="AR209" s="2" t="str">
        <f aca="false">IF(AND(F209="Low",OR(G209="Growing",G209="Stable"),P209="Recently Active",U209&lt;&gt;"Mixed",OR(AK209="Discovery-to-Offer Enablement",AK209="Reinforce Successful Behaviour"),AM209="Ready — Automated",OR(E209&lt;&gt;"Tail",S209)),"Range Expansion Test — trial "&amp;IF(U209="Bundle-only","handpick","bundles")&amp;" (experimental; not proven to lift GMV)","")</f>
        <v/>
      </c>
      <c r="AS209" s="2" t="str">
        <f aca="false">IF(AK209&lt;&gt;"Automated Nurture","",IF(AJ209="DORMANT_LOW_VALUE","Dormant",IF(AJ209="RISING_TAIL_EARLY","Rising tail – early pattern",IF(Q209="New Customer","New customer onboarding",IF(Q209="Returned Customer","Returned customer",IF(G209="Lapsed","Dormant",IF(T209="Engaged, not converting","Engaged, not converting",IF(T209="One-off low-touch buyer","One-off purchaser",IF(T209="Light-touch repeat buyer","Light-touch repeat buyer","Standard long tail")))))))))</f>
        <v>Dormant</v>
      </c>
      <c r="AT209" s="2" t="str">
        <f aca="false">IF(AA209,"CRITICAL_DATA_BLOCKER; ","")&amp;IF(Y209,"KEY_SIGNOFF; ","")&amp;IF(Z209="Manual Review","PHASE1_MANUAL_REVIEW; ","")&amp;IF(AND(LEFT(D209,1)="1",AZ209="Lumpy"),"LUMPY_CADENCE; ","")&amp;IF(AB209,"BORDERLINE_MOMENTUM; ","")&amp;IF(AC209,"FEB_SENSITIVE; ","")&amp;IF(AD209,"MATERIAL_BROKER_INCONSISTENCY"&amp;IF(AE209," (segment would change)","")&amp;"; ","")&amp;IF(AND(I209&gt;=3,O209&gt;0),IF(AI209&gt;=Assumptions!$B$75,"H2_SINGLE_MONTH_SPIKE; ",""),"")&amp;IF(AND(M209&gt;0,N209=0),"NO_FEB_GMV (Feb unconfirmed); ","")&amp;IF(AF209,"LOW_CONFIDENCE; ","")</f>
        <v>LOW_CONFIDENCE; </v>
      </c>
      <c r="AU209" s="2" t="str">
        <f aca="false">IF(LEFT(D209,1)="1",V209,"")</f>
        <v/>
      </c>
      <c r="AV209" s="2" t="str">
        <f aca="false">IF(LEFT(D209,1)="1",V209&gt;=Assumptions!$B$58,"")</f>
        <v/>
      </c>
      <c r="AW209" s="2" t="str">
        <f aca="false">IF(LEFT(D209,1)="1",W209,"")</f>
        <v/>
      </c>
      <c r="AX209" s="2" t="str">
        <f aca="false">IF(LEFT(D209,1)="1",X209,"")</f>
        <v/>
      </c>
      <c r="AY209" s="17" t="str">
        <f aca="false">IF(LEFT(D209,1)="1",J209/I209,"")</f>
        <v/>
      </c>
      <c r="AZ209" s="2" t="str">
        <f aca="false">IF(LEFT(D209,1)="1",IF(AND(K209&gt;=Assumptions!$B$83,I209&gt;=Assumptions!$B$84),"Regular","Lumpy"),"")</f>
        <v/>
      </c>
      <c r="BA209" s="2" t="str">
        <f aca="false">IF(LEFT(D209,1)="1",ROUND(6/K209,0),"")</f>
        <v/>
      </c>
      <c r="BB209" s="2" t="str">
        <f aca="false">IF(LEFT(D209,1)="1",IF(AZ209="Regular","Regular buyer: expected ~£"&amp;TEXT(H209/2,"#,##0")&amp;" per 90 days. At Risk if GMV to date &lt; "&amp;TEXT(Assumptions!$B$81,"0%")&amp;" of pro-rated expectation, checked from day "&amp;Assumptions!$B$82&amp;". Human-reviewed.","Irregular buyer ("&amp;I209&amp;" orders across "&amp;K209&amp;" months): no numeric GMV threshold. At Risk if no order within ~"&amp;BA209&amp;" month(s); AM reviews at day "&amp;Assumptions!$B$82&amp;" and "&amp;Assumptions!$B$85&amp;"."),"")</f>
        <v/>
      </c>
      <c r="BC209" s="2"/>
      <c r="BD209" s="2"/>
      <c r="BE209" s="2"/>
      <c r="BF209" s="2"/>
      <c r="BG209" s="2"/>
      <c r="BH209" s="2"/>
      <c r="BI209" s="2"/>
      <c r="BJ209" s="2" t="str">
        <f aca="false">IF(OR(NOT(LEFT(D209,1)="1"),BC209=""),"",IF(AZ209="Regular",AND(BC209&gt;=Assumptions!$B$82,N(BI209)&lt;Assumptions!$B$81*H209/180*BC209),AND(BC209&gt;=BA209*30,N(BG209)=0)))</f>
        <v/>
      </c>
      <c r="BK209" s="2" t="str">
        <f aca="false">IF(NOT(LEFT(D209,1)="1"),"N/A",IF(BC209="","Baseline",IF(BJ209,"At Risk",IF(AND(N(BD209)&gt;=Assumptions!$B$78,N(BE209)&gt;=Assumptions!$B$79,N(BH209)&gt;=1,N(BH209)/MAX(N(BG209),1)&gt;AY209),"Self-Serve Capability Demonstrated",IF(OR(N(BD209)&gt;=Assumptions!$B$76,N(BE209)&gt;=Assumptions!$B$77),"Progressing",IF(BC209&gt;=Assumptions!$B$85,"At Risk","Baseline"))))))</f>
        <v>N/A</v>
      </c>
      <c r="BL209" s="2" t="n">
        <f aca="false">(AND(C209="Broker-Reliant",OR(AK209="Discovery-to-Offer Enablement",AK209="Reinforce Successful Behaviour")))*1+(AND(G209="Declining",E209&lt;&gt;"Tail",AL209="Automated"))*1+(AND(Y209,AM209&lt;&gt;"Human Sign-Off Required"))*1+(AND(AA209,AM209&lt;&gt;"HOLD — Critical Data Issue"))*1+(AND(P209="Recent Inactivity",OR(AK209="Discovery-to-Offer Enablement",AK209="Reinforce Successful Behaviour")))*1+(AND(OR(LEFT(D209,1)="2",LEFT(D209,1)="3",LEFT(D209,1)="8"),AL209="Automated"))*1+((LEFT(D209,1)="1")&lt;&gt;(AK209="Guided Self-Serve Migration"))*1+(AND(AR209&lt;&gt;"",OR(F209&lt;&gt;"Low",U209="Mixed",AND(G209&lt;&gt;"Growing",G209&lt;&gt;"Stable"))))*1+ISNUMBER(SEARCH("chat",AP209))*1+ISNUMBER(SEARCH("video",AP209))*1+(AND(AA209,AL209="Automated",AM209&lt;&gt;"HOLD — Critical Data Issue"))*1</f>
        <v>0</v>
      </c>
    </row>
    <row r="210" customFormat="false" ht="15" hidden="false" customHeight="false" outlineLevel="0" collapsed="false">
      <c r="A210" s="2" t="s">
        <v>1014</v>
      </c>
      <c r="B210" s="2" t="str">
        <f aca="false">INDEX(Segmentation!$B$2:$B$301,MATCH($A210,Segmentation!$A$2:$A$301,0))</f>
        <v>Account Managed</v>
      </c>
      <c r="C210" s="2" t="str">
        <f aca="false">INDEX(Segmentation!$H$2:$H$301,MATCH($A210,Segmentation!$A$2:$A$301,0))</f>
        <v>AM-Owned / Self-Serving</v>
      </c>
      <c r="D210" s="2" t="str">
        <f aca="false">INDEX(Segmentation!$T$2:$T$301,MATCH($A210,Segmentation!$A$2:$A$301,0))</f>
        <v>9. Long-Tail Automated Nurture</v>
      </c>
      <c r="E210" s="2" t="str">
        <f aca="false">INDEX(Segmentation!$J$2:$J$301,MATCH($A210,Segmentation!$A$2:$A$301,0))</f>
        <v>Tail</v>
      </c>
      <c r="F210" s="2" t="str">
        <f aca="false">INDEX(Segmentation!$G$2:$G$301,MATCH($A210,Segmentation!$A$2:$A$301,0))</f>
        <v>Low</v>
      </c>
      <c r="G210" s="2" t="str">
        <f aca="false">INDEX(Segmentation!$N$2:$N$301,MATCH($A210,Segmentation!$A$2:$A$301,0))</f>
        <v>H2 Active / No H1 GMV</v>
      </c>
      <c r="H210" s="9" t="n">
        <f aca="false">INDEX(Segmentation!$I$2:$I$301,MATCH($A210,Segmentation!$A$2:$A$301,0))</f>
        <v>49</v>
      </c>
      <c r="I210" s="2" t="n">
        <f aca="false">INDEX(Segmentation!$O$2:$O$301,MATCH($A210,Segmentation!$A$2:$A$301,0))</f>
        <v>1</v>
      </c>
      <c r="J210" s="2" t="n">
        <f aca="false">INDEX(Segmentation!$Q$2:$Q$301,MATCH($A210,Segmentation!$A$2:$A$301,0))</f>
        <v>1</v>
      </c>
      <c r="K210" s="2" t="n">
        <f aca="false">INDEX(Segmentation!$W$2:$W$301,MATCH($A210,Segmentation!$A$2:$A$301,0))</f>
        <v>1</v>
      </c>
      <c r="L210" s="9" t="n">
        <f aca="false">INDEX('Commercial View'!$L$2:$L$301,MATCH($A210,'Commercial View'!$A$2:$A$301,0))</f>
        <v>49</v>
      </c>
      <c r="M210" s="9" t="n">
        <f aca="false">INDEX('Commercial View'!$M$2:$M$301,MATCH($A210,'Commercial View'!$A$2:$A$301,0))</f>
        <v>0</v>
      </c>
      <c r="N210" s="9" t="n">
        <f aca="false">INDEX('Commercial View'!$N$2:$N$301,MATCH($A210,'Commercial View'!$A$2:$A$301,0))</f>
        <v>0</v>
      </c>
      <c r="O210" s="9" t="n">
        <f aca="false">INDEX(Segmentation!$L$2:$L$301,MATCH($A210,Segmentation!$A$2:$A$301,0))</f>
        <v>49</v>
      </c>
      <c r="P210" s="2" t="str">
        <f aca="false">IF(OR(M210&gt;0,N210&gt;0),"Recently Active",IF(OR(I210&lt;=Assumptions!$B$48,K210&lt;=Assumptions!$B$49),"No Meaningful History","Recent Inactivity"))</f>
        <v>No Meaningful History</v>
      </c>
      <c r="Q210" s="2" t="str">
        <f aca="false">INDEX(Segmentation!$AF$2:$AF$301,MATCH($A210,Segmentation!$A$2:$A$301,0))</f>
        <v>Returned Customer</v>
      </c>
      <c r="R210" s="2" t="str">
        <f aca="false">INDEX(Segmentation!$AL$2:$AL$301,MATCH($A210,Segmentation!$A$2:$A$301,0))</f>
        <v>N/A</v>
      </c>
      <c r="S210" s="10" t="b">
        <f aca="false">INDEX(Segmentation!$AW$2:$AW$301,MATCH($A210,Segmentation!$A$2:$A$301,0))</f>
        <v>0</v>
      </c>
      <c r="T210" s="2" t="str">
        <f aca="false">INDEX('Feature Data'!$AD$2:$AD$301,MATCH($A210,'Feature Data'!$A$2:$A$301,0))</f>
        <v>One-off low-touch buyer</v>
      </c>
      <c r="U210" s="2" t="str">
        <f aca="false">INDEX('Feature Data'!$W$2:$W$301,MATCH($A210,'Feature Data'!$A$2:$A$301,0))</f>
        <v>Bundle-only</v>
      </c>
      <c r="V210" s="2" t="n">
        <f aca="false">INDEX('Feature Data'!$P$2:$P$301,MATCH($A210,'Feature Data'!$A$2:$A$301,0))</f>
        <v>90</v>
      </c>
      <c r="W210" s="2" t="n">
        <f aca="false">INDEX(Segmentation!$R$2:$R$301,MATCH($A210,Segmentation!$A$2:$A$301,0))</f>
        <v>9</v>
      </c>
      <c r="X210" s="2" t="n">
        <f aca="false">INDEX(Segmentation!$S$2:$S$301,MATCH($A210,Segmentation!$A$2:$A$301,0))</f>
        <v>2</v>
      </c>
      <c r="Y210" s="10" t="b">
        <f aca="false">INDEX(Segmentation!$AG$2:$AG$301,MATCH($A210,Segmentation!$A$2:$A$301,0))</f>
        <v>0</v>
      </c>
      <c r="Z210" s="2" t="str">
        <f aca="false">INDEX(Segmentation!$AU$2:$AU$301,MATCH($A210,Segmentation!$A$2:$A$301,0))</f>
        <v>Not Eligible</v>
      </c>
      <c r="AA210" s="10" t="b">
        <f aca="false">INDEX(Segmentation!$Z$2:$Z$301,MATCH($A210,Segmentation!$A$2:$A$301,0))</f>
        <v>0</v>
      </c>
      <c r="AB210" s="10" t="b">
        <f aca="false">INDEX(Segmentation!$AH$2:$AH$301,MATCH($A210,Segmentation!$A$2:$A$301,0))</f>
        <v>0</v>
      </c>
      <c r="AC210" s="10" t="b">
        <f aca="false">INDEX(Segmentation!$AK$2:$AK$301,MATCH($A210,Segmentation!$A$2:$A$301,0))</f>
        <v>0</v>
      </c>
      <c r="AD210" s="10" t="b">
        <f aca="false">INDEX(Segmentation!$AQ$2:$AQ$301,MATCH($A210,Segmentation!$A$2:$A$301,0))</f>
        <v>0</v>
      </c>
      <c r="AE210" s="10" t="b">
        <f aca="false">INDEX(Segmentation!$AT$2:$AT$301,MATCH($A210,Segmentation!$A$2:$A$301,0))</f>
        <v>0</v>
      </c>
      <c r="AF210" s="10" t="b">
        <f aca="false">INDEX(Segmentation!$X$2:$X$301,MATCH($A210,Segmentation!$A$2:$A$301,0))</f>
        <v>1</v>
      </c>
      <c r="AG210" s="10" t="b">
        <f aca="false">AND(F210="Low",V210&gt;=Assumptions!$B$71,X210&lt;Assumptions!$B$72)</f>
        <v>1</v>
      </c>
      <c r="AH210" s="10" t="b">
        <f aca="false">AND(F210="Low",OR(G210="Growing",G210="Stable"),P210="Recently Active",V210&gt;=Assumptions!$B$58,K210&gt;=Assumptions!$B$73)</f>
        <v>0</v>
      </c>
      <c r="AI210" s="17" t="n">
        <f aca="false">IF(O210&gt;0,MAX(L210:N210)/O210,"")</f>
        <v>1</v>
      </c>
      <c r="AJ210" s="2" t="str">
        <f aca="false">IF(LEFT(D210,1)="1",IF(E210="Key","MIGRATION_KEY_SIGNOFF",IF(Z210="Ready","MIGRATION_PHASE1_READY",IF(Z210="Manual Review","MIGRATION_PHASE1_REVIEW","MIGRATION_PRE_ENTRY"))),IF(LEFT(D210,1)="2","DECLINING_KEY_CORE",IF(LEFT(D210,1)="3",IF(R210="Established Buyer Lapsed","LAPSED_ESTABLISHED","LAPSED_THIN_HISTORY"),IF(LEFT(D210,1)="4",IF(Q210="New Customer","NEW_CUSTOMER","RETURNED_CUSTOMER"),IF(LEFT(D210,1)="5",IF(P210="Recently Active","COST_TO_SERVE_ACTIVE","DORMANT_LOW_VALUE"),IF(LEFT(D210,1)="6",IF(P210="Recent Inactivity","RECENT_INACTIVITY",IF(AG210,"BROWSING_LOW_OFFERS","HEALTHY_STRONG_SELF_SERVE")),IF(LEFT(D210,1)="7",IF(P210="Recent Inactivity","RECENT_INACTIVITY",IF(Q210="New Customer","NEW_CUSTOMER","RETURNED_CUSTOMER")),IF(LEFT(D210,1)="8",IF(G210="Declining",IF(T210="Engaged but shrinking (Key/Core)","ENGAGED_BUT_SHRINKING","DECLINING_KEY_CORE"),IF(R210="Established Buyer Lapsed","LAPSED_ESTABLISHED","LAPSED_THIN_HISTORY")),IF(S210,IF(P210&lt;&gt;"Recently Active","DORMANT_LOW_VALUE",IF(AG210,"BROWSING_LOW_OFFERS",IF(AH210,"RISING_TAIL","RISING_TAIL_EARLY"))),IF(AND(AG210,P210="Recently Active",OR(G210="Growing",G210="Stable",G210="H2 Active / No H1 GMV"),I210&gt;=Assumptions!$B$74),"BROWSING_LOW_OFFERS","LONG_TAIL_STANDARD"))))))))))</f>
        <v>LONG_TAIL_STANDARD</v>
      </c>
      <c r="AK210" s="2" t="str">
        <f aca="false">INDEX('NBA Library'!$B$4:$B$21,MATCH(AJ210,'NBA Library'!$A$4:$A$21,0))</f>
        <v>Automated Nurture</v>
      </c>
      <c r="AL210" s="2" t="str">
        <f aca="false">INDEX('NBA Library'!$C$4:$C$21,MATCH(AJ210,'NBA Library'!$A$4:$A$21,0))</f>
        <v>Automated</v>
      </c>
      <c r="AM210" s="2" t="str">
        <f aca="false">IF(AA210,"HOLD — Critical Data Issue",IF(Y210,"Human Sign-Off Required",IF(Z210="Manual Review","Human Review Required",IF(AND(AL210="Automated",OR(AE210,AND(OR(AK210="Discovery-to-Offer Enablement",AK210="Reinforce Successful Behaviour"),OR(AC210,AB210)))),"Human Review Required",IF(AL210="Human","Ready — Human",IF(AL210="Hybrid","Ready — Hybrid","Ready — Automated"))))))</f>
        <v>Ready — Automated</v>
      </c>
      <c r="AN210" s="2" t="str">
        <f aca="false">IF(AA210,"P0",IF(AND(AJ210="BROWSING_LOW_OFFERS",E210="Tail"),"P3",IF(AND(AM210="Human Review Required",INDEX('NBA Library'!$D$4:$D$21,MATCH(AJ210,'NBA Library'!$A$4:$A$21,0))="P4"),"P3",INDEX('NBA Library'!$D$4:$D$21,MATCH(AJ210,'NBA Library'!$A$4:$A$21,0)))))</f>
        <v>P4</v>
      </c>
      <c r="AO210" s="2" t="str">
        <f aca="false">E210&amp;" "&amp;C210&amp;" account ("&amp;B210&amp;"); "&amp;G210&amp;" momentum; "&amp;P210&amp;"; £"&amp;TEXT(H210,"#,##0")&amp;" 6m GMV. "&amp;INDEX('NBA Library'!$G$4:$G$21,MATCH(AJ210,'NBA Library'!$A$4:$A$21,0))&amp;IF(LEFT(D210,1)="1"," Baseline: "&amp;V210&amp;" PDP views, "&amp;W210&amp;" app days, "&amp;X210&amp;" offers, "&amp;TEXT(J210/I210,"0%")&amp;" of orders self-serve.","")&amp;IF(AA210," Execution on HOLD until the Duplicate status is resolved.","")&amp;IF(Y210," Key account: explicit AM/leadership sign-off required before any migration activity.","")&amp;IF(AE210," Implied broker % from order counts would move this account to a different segment; review before automating.","")</f>
        <v>Tail AM-Owned / Self-Serving account (Account Managed); H2 Active / No H1 GMV momentum; No Meaningful History; £49 6m GMV. Low-value, low-dependency account. Scalable automated engagement.</v>
      </c>
      <c r="AP210" s="2" t="str">
        <f aca="false">INDEX('NBA Library'!$E$4:$E$21,MATCH(AJ210,'NBA Library'!$A$4:$A$21,0))&amp;IF(AND(AJ210="NEW_CUSTOMER",AG210),"; introduce Make-an-Offer on items already browsed","")</f>
        <v>Scalable automated engagement matched to nurture sub-context</v>
      </c>
      <c r="AQ210" s="2" t="str">
        <f aca="false">INDEX('NBA Library'!$F$4:$F$21,MATCH(AJ210,'NBA Library'!$A$4:$A$21,0))</f>
        <v>Any repeat order within 90 days</v>
      </c>
      <c r="AR210" s="2" t="str">
        <f aca="false">IF(AND(F210="Low",OR(G210="Growing",G210="Stable"),P210="Recently Active",U210&lt;&gt;"Mixed",OR(AK210="Discovery-to-Offer Enablement",AK210="Reinforce Successful Behaviour"),AM210="Ready — Automated",OR(E210&lt;&gt;"Tail",S210)),"Range Expansion Test — trial "&amp;IF(U210="Bundle-only","handpick","bundles")&amp;" (experimental; not proven to lift GMV)","")</f>
        <v/>
      </c>
      <c r="AS210" s="2" t="str">
        <f aca="false">IF(AK210&lt;&gt;"Automated Nurture","",IF(AJ210="DORMANT_LOW_VALUE","Dormant",IF(AJ210="RISING_TAIL_EARLY","Rising tail – early pattern",IF(Q210="New Customer","New customer onboarding",IF(Q210="Returned Customer","Returned customer",IF(G210="Lapsed","Dormant",IF(T210="Engaged, not converting","Engaged, not converting",IF(T210="One-off low-touch buyer","One-off purchaser",IF(T210="Light-touch repeat buyer","Light-touch repeat buyer","Standard long tail")))))))))</f>
        <v>Returned customer</v>
      </c>
      <c r="AT210" s="2" t="str">
        <f aca="false">IF(AA210,"CRITICAL_DATA_BLOCKER; ","")&amp;IF(Y210,"KEY_SIGNOFF; ","")&amp;IF(Z210="Manual Review","PHASE1_MANUAL_REVIEW; ","")&amp;IF(AND(LEFT(D210,1)="1",AZ210="Lumpy"),"LUMPY_CADENCE; ","")&amp;IF(AB210,"BORDERLINE_MOMENTUM; ","")&amp;IF(AC210,"FEB_SENSITIVE; ","")&amp;IF(AD210,"MATERIAL_BROKER_INCONSISTENCY"&amp;IF(AE210," (segment would change)","")&amp;"; ","")&amp;IF(AND(I210&gt;=3,O210&gt;0),IF(AI210&gt;=Assumptions!$B$75,"H2_SINGLE_MONTH_SPIKE; ",""),"")&amp;IF(AND(M210&gt;0,N210=0),"NO_FEB_GMV (Feb unconfirmed); ","")&amp;IF(AF210,"LOW_CONFIDENCE; ","")</f>
        <v>LOW_CONFIDENCE; </v>
      </c>
      <c r="AU210" s="2" t="str">
        <f aca="false">IF(LEFT(D210,1)="1",V210,"")</f>
        <v/>
      </c>
      <c r="AV210" s="2" t="str">
        <f aca="false">IF(LEFT(D210,1)="1",V210&gt;=Assumptions!$B$58,"")</f>
        <v/>
      </c>
      <c r="AW210" s="2" t="str">
        <f aca="false">IF(LEFT(D210,1)="1",W210,"")</f>
        <v/>
      </c>
      <c r="AX210" s="2" t="str">
        <f aca="false">IF(LEFT(D210,1)="1",X210,"")</f>
        <v/>
      </c>
      <c r="AY210" s="17" t="str">
        <f aca="false">IF(LEFT(D210,1)="1",J210/I210,"")</f>
        <v/>
      </c>
      <c r="AZ210" s="2" t="str">
        <f aca="false">IF(LEFT(D210,1)="1",IF(AND(K210&gt;=Assumptions!$B$83,I210&gt;=Assumptions!$B$84),"Regular","Lumpy"),"")</f>
        <v/>
      </c>
      <c r="BA210" s="2" t="str">
        <f aca="false">IF(LEFT(D210,1)="1",ROUND(6/K210,0),"")</f>
        <v/>
      </c>
      <c r="BB210" s="2" t="str">
        <f aca="false">IF(LEFT(D210,1)="1",IF(AZ210="Regular","Regular buyer: expected ~£"&amp;TEXT(H210/2,"#,##0")&amp;" per 90 days. At Risk if GMV to date &lt; "&amp;TEXT(Assumptions!$B$81,"0%")&amp;" of pro-rated expectation, checked from day "&amp;Assumptions!$B$82&amp;". Human-reviewed.","Irregular buyer ("&amp;I210&amp;" orders across "&amp;K210&amp;" months): no numeric GMV threshold. At Risk if no order within ~"&amp;BA210&amp;" month(s); AM reviews at day "&amp;Assumptions!$B$82&amp;" and "&amp;Assumptions!$B$85&amp;"."),"")</f>
        <v/>
      </c>
      <c r="BC210" s="2"/>
      <c r="BD210" s="2"/>
      <c r="BE210" s="2"/>
      <c r="BF210" s="2"/>
      <c r="BG210" s="2"/>
      <c r="BH210" s="2"/>
      <c r="BI210" s="2"/>
      <c r="BJ210" s="2" t="str">
        <f aca="false">IF(OR(NOT(LEFT(D210,1)="1"),BC210=""),"",IF(AZ210="Regular",AND(BC210&gt;=Assumptions!$B$82,N(BI210)&lt;Assumptions!$B$81*H210/180*BC210),AND(BC210&gt;=BA210*30,N(BG210)=0)))</f>
        <v/>
      </c>
      <c r="BK210" s="2" t="str">
        <f aca="false">IF(NOT(LEFT(D210,1)="1"),"N/A",IF(BC210="","Baseline",IF(BJ210,"At Risk",IF(AND(N(BD210)&gt;=Assumptions!$B$78,N(BE210)&gt;=Assumptions!$B$79,N(BH210)&gt;=1,N(BH210)/MAX(N(BG210),1)&gt;AY210),"Self-Serve Capability Demonstrated",IF(OR(N(BD210)&gt;=Assumptions!$B$76,N(BE210)&gt;=Assumptions!$B$77),"Progressing",IF(BC210&gt;=Assumptions!$B$85,"At Risk","Baseline"))))))</f>
        <v>N/A</v>
      </c>
      <c r="BL210" s="2" t="n">
        <f aca="false">(AND(C210="Broker-Reliant",OR(AK210="Discovery-to-Offer Enablement",AK210="Reinforce Successful Behaviour")))*1+(AND(G210="Declining",E210&lt;&gt;"Tail",AL210="Automated"))*1+(AND(Y210,AM210&lt;&gt;"Human Sign-Off Required"))*1+(AND(AA210,AM210&lt;&gt;"HOLD — Critical Data Issue"))*1+(AND(P210="Recent Inactivity",OR(AK210="Discovery-to-Offer Enablement",AK210="Reinforce Successful Behaviour")))*1+(AND(OR(LEFT(D210,1)="2",LEFT(D210,1)="3",LEFT(D210,1)="8"),AL210="Automated"))*1+((LEFT(D210,1)="1")&lt;&gt;(AK210="Guided Self-Serve Migration"))*1+(AND(AR210&lt;&gt;"",OR(F210&lt;&gt;"Low",U210="Mixed",AND(G210&lt;&gt;"Growing",G210&lt;&gt;"Stable"))))*1+ISNUMBER(SEARCH("chat",AP210))*1+ISNUMBER(SEARCH("video",AP210))*1+(AND(AA210,AL210="Automated",AM210&lt;&gt;"HOLD — Critical Data Issue"))*1</f>
        <v>0</v>
      </c>
    </row>
    <row r="211" customFormat="false" ht="15" hidden="false" customHeight="false" outlineLevel="0" collapsed="false">
      <c r="A211" s="2" t="s">
        <v>1018</v>
      </c>
      <c r="B211" s="2" t="str">
        <f aca="false">INDEX(Segmentation!$B$2:$B$301,MATCH($A211,Segmentation!$A$2:$A$301,0))</f>
        <v>Account Managed</v>
      </c>
      <c r="C211" s="2" t="str">
        <f aca="false">INDEX(Segmentation!$H$2:$H$301,MATCH($A211,Segmentation!$A$2:$A$301,0))</f>
        <v>AM-Owned / Self-Serving</v>
      </c>
      <c r="D211" s="2" t="str">
        <f aca="false">INDEX(Segmentation!$T$2:$T$301,MATCH($A211,Segmentation!$A$2:$A$301,0))</f>
        <v>9. Long-Tail Automated Nurture</v>
      </c>
      <c r="E211" s="2" t="str">
        <f aca="false">INDEX(Segmentation!$J$2:$J$301,MATCH($A211,Segmentation!$A$2:$A$301,0))</f>
        <v>Tail</v>
      </c>
      <c r="F211" s="2" t="str">
        <f aca="false">INDEX(Segmentation!$G$2:$G$301,MATCH($A211,Segmentation!$A$2:$A$301,0))</f>
        <v>Low</v>
      </c>
      <c r="G211" s="2" t="str">
        <f aca="false">INDEX(Segmentation!$N$2:$N$301,MATCH($A211,Segmentation!$A$2:$A$301,0))</f>
        <v>Lapsed</v>
      </c>
      <c r="H211" s="9" t="n">
        <f aca="false">INDEX(Segmentation!$I$2:$I$301,MATCH($A211,Segmentation!$A$2:$A$301,0))</f>
        <v>7</v>
      </c>
      <c r="I211" s="2" t="n">
        <f aca="false">INDEX(Segmentation!$O$2:$O$301,MATCH($A211,Segmentation!$A$2:$A$301,0))</f>
        <v>1</v>
      </c>
      <c r="J211" s="2" t="n">
        <f aca="false">INDEX(Segmentation!$Q$2:$Q$301,MATCH($A211,Segmentation!$A$2:$A$301,0))</f>
        <v>1</v>
      </c>
      <c r="K211" s="2" t="n">
        <f aca="false">INDEX(Segmentation!$W$2:$W$301,MATCH($A211,Segmentation!$A$2:$A$301,0))</f>
        <v>1</v>
      </c>
      <c r="L211" s="9" t="n">
        <f aca="false">INDEX('Commercial View'!$L$2:$L$301,MATCH($A211,'Commercial View'!$A$2:$A$301,0))</f>
        <v>0</v>
      </c>
      <c r="M211" s="9" t="n">
        <f aca="false">INDEX('Commercial View'!$M$2:$M$301,MATCH($A211,'Commercial View'!$A$2:$A$301,0))</f>
        <v>0</v>
      </c>
      <c r="N211" s="9" t="n">
        <f aca="false">INDEX('Commercial View'!$N$2:$N$301,MATCH($A211,'Commercial View'!$A$2:$A$301,0))</f>
        <v>0</v>
      </c>
      <c r="O211" s="9" t="n">
        <f aca="false">INDEX(Segmentation!$L$2:$L$301,MATCH($A211,Segmentation!$A$2:$A$301,0))</f>
        <v>0</v>
      </c>
      <c r="P211" s="2" t="str">
        <f aca="false">IF(OR(M211&gt;0,N211&gt;0),"Recently Active",IF(OR(I211&lt;=Assumptions!$B$48,K211&lt;=Assumptions!$B$49),"No Meaningful History","Recent Inactivity"))</f>
        <v>No Meaningful History</v>
      </c>
      <c r="Q211" s="2" t="str">
        <f aca="false">INDEX(Segmentation!$AF$2:$AF$301,MATCH($A211,Segmentation!$A$2:$A$301,0))</f>
        <v>Existing Customer</v>
      </c>
      <c r="R211" s="2" t="str">
        <f aca="false">INDEX(Segmentation!$AL$2:$AL$301,MATCH($A211,Segmentation!$A$2:$A$301,0))</f>
        <v>One-Off / Insufficient History — Verify</v>
      </c>
      <c r="S211" s="10" t="b">
        <f aca="false">INDEX(Segmentation!$AW$2:$AW$301,MATCH($A211,Segmentation!$A$2:$A$301,0))</f>
        <v>0</v>
      </c>
      <c r="T211" s="2" t="str">
        <f aca="false">INDEX('Feature Data'!$AD$2:$AD$301,MATCH($A211,'Feature Data'!$A$2:$A$301,0))</f>
        <v>One-off low-touch buyer</v>
      </c>
      <c r="U211" s="2" t="str">
        <f aca="false">INDEX('Feature Data'!$W$2:$W$301,MATCH($A211,'Feature Data'!$A$2:$A$301,0))</f>
        <v>Bundle-only</v>
      </c>
      <c r="V211" s="2" t="n">
        <f aca="false">INDEX('Feature Data'!$P$2:$P$301,MATCH($A211,'Feature Data'!$A$2:$A$301,0))</f>
        <v>9</v>
      </c>
      <c r="W211" s="2" t="n">
        <f aca="false">INDEX(Segmentation!$R$2:$R$301,MATCH($A211,Segmentation!$A$2:$A$301,0))</f>
        <v>2</v>
      </c>
      <c r="X211" s="2" t="n">
        <f aca="false">INDEX(Segmentation!$S$2:$S$301,MATCH($A211,Segmentation!$A$2:$A$301,0))</f>
        <v>0</v>
      </c>
      <c r="Y211" s="10" t="b">
        <f aca="false">INDEX(Segmentation!$AG$2:$AG$301,MATCH($A211,Segmentation!$A$2:$A$301,0))</f>
        <v>0</v>
      </c>
      <c r="Z211" s="2" t="str">
        <f aca="false">INDEX(Segmentation!$AU$2:$AU$301,MATCH($A211,Segmentation!$A$2:$A$301,0))</f>
        <v>Not Eligible</v>
      </c>
      <c r="AA211" s="10" t="b">
        <f aca="false">INDEX(Segmentation!$Z$2:$Z$301,MATCH($A211,Segmentation!$A$2:$A$301,0))</f>
        <v>0</v>
      </c>
      <c r="AB211" s="10" t="b">
        <f aca="false">INDEX(Segmentation!$AH$2:$AH$301,MATCH($A211,Segmentation!$A$2:$A$301,0))</f>
        <v>0</v>
      </c>
      <c r="AC211" s="10" t="b">
        <f aca="false">INDEX(Segmentation!$AK$2:$AK$301,MATCH($A211,Segmentation!$A$2:$A$301,0))</f>
        <v>0</v>
      </c>
      <c r="AD211" s="10" t="b">
        <f aca="false">INDEX(Segmentation!$AQ$2:$AQ$301,MATCH($A211,Segmentation!$A$2:$A$301,0))</f>
        <v>0</v>
      </c>
      <c r="AE211" s="10" t="b">
        <f aca="false">INDEX(Segmentation!$AT$2:$AT$301,MATCH($A211,Segmentation!$A$2:$A$301,0))</f>
        <v>0</v>
      </c>
      <c r="AF211" s="10" t="b">
        <f aca="false">INDEX(Segmentation!$X$2:$X$301,MATCH($A211,Segmentation!$A$2:$A$301,0))</f>
        <v>1</v>
      </c>
      <c r="AG211" s="10" t="b">
        <f aca="false">AND(F211="Low",V211&gt;=Assumptions!$B$71,X211&lt;Assumptions!$B$72)</f>
        <v>0</v>
      </c>
      <c r="AH211" s="10" t="b">
        <f aca="false">AND(F211="Low",OR(G211="Growing",G211="Stable"),P211="Recently Active",V211&gt;=Assumptions!$B$58,K211&gt;=Assumptions!$B$73)</f>
        <v>0</v>
      </c>
      <c r="AI211" s="17" t="str">
        <f aca="false">IF(O211&gt;0,MAX(L211:N211)/O211,"")</f>
        <v/>
      </c>
      <c r="AJ211" s="2" t="str">
        <f aca="false">IF(LEFT(D211,1)="1",IF(E211="Key","MIGRATION_KEY_SIGNOFF",IF(Z211="Ready","MIGRATION_PHASE1_READY",IF(Z211="Manual Review","MIGRATION_PHASE1_REVIEW","MIGRATION_PRE_ENTRY"))),IF(LEFT(D211,1)="2","DECLINING_KEY_CORE",IF(LEFT(D211,1)="3",IF(R211="Established Buyer Lapsed","LAPSED_ESTABLISHED","LAPSED_THIN_HISTORY"),IF(LEFT(D211,1)="4",IF(Q211="New Customer","NEW_CUSTOMER","RETURNED_CUSTOMER"),IF(LEFT(D211,1)="5",IF(P211="Recently Active","COST_TO_SERVE_ACTIVE","DORMANT_LOW_VALUE"),IF(LEFT(D211,1)="6",IF(P211="Recent Inactivity","RECENT_INACTIVITY",IF(AG211,"BROWSING_LOW_OFFERS","HEALTHY_STRONG_SELF_SERVE")),IF(LEFT(D211,1)="7",IF(P211="Recent Inactivity","RECENT_INACTIVITY",IF(Q211="New Customer","NEW_CUSTOMER","RETURNED_CUSTOMER")),IF(LEFT(D211,1)="8",IF(G211="Declining",IF(T211="Engaged but shrinking (Key/Core)","ENGAGED_BUT_SHRINKING","DECLINING_KEY_CORE"),IF(R211="Established Buyer Lapsed","LAPSED_ESTABLISHED","LAPSED_THIN_HISTORY")),IF(S211,IF(P211&lt;&gt;"Recently Active","DORMANT_LOW_VALUE",IF(AG211,"BROWSING_LOW_OFFERS",IF(AH211,"RISING_TAIL","RISING_TAIL_EARLY"))),IF(AND(AG211,P211="Recently Active",OR(G211="Growing",G211="Stable",G211="H2 Active / No H1 GMV"),I211&gt;=Assumptions!$B$74),"BROWSING_LOW_OFFERS","LONG_TAIL_STANDARD"))))))))))</f>
        <v>LONG_TAIL_STANDARD</v>
      </c>
      <c r="AK211" s="2" t="str">
        <f aca="false">INDEX('NBA Library'!$B$4:$B$21,MATCH(AJ211,'NBA Library'!$A$4:$A$21,0))</f>
        <v>Automated Nurture</v>
      </c>
      <c r="AL211" s="2" t="str">
        <f aca="false">INDEX('NBA Library'!$C$4:$C$21,MATCH(AJ211,'NBA Library'!$A$4:$A$21,0))</f>
        <v>Automated</v>
      </c>
      <c r="AM211" s="2" t="str">
        <f aca="false">IF(AA211,"HOLD — Critical Data Issue",IF(Y211,"Human Sign-Off Required",IF(Z211="Manual Review","Human Review Required",IF(AND(AL211="Automated",OR(AE211,AND(OR(AK211="Discovery-to-Offer Enablement",AK211="Reinforce Successful Behaviour"),OR(AC211,AB211)))),"Human Review Required",IF(AL211="Human","Ready — Human",IF(AL211="Hybrid","Ready — Hybrid","Ready — Automated"))))))</f>
        <v>Ready — Automated</v>
      </c>
      <c r="AN211" s="2" t="str">
        <f aca="false">IF(AA211,"P0",IF(AND(AJ211="BROWSING_LOW_OFFERS",E211="Tail"),"P3",IF(AND(AM211="Human Review Required",INDEX('NBA Library'!$D$4:$D$21,MATCH(AJ211,'NBA Library'!$A$4:$A$21,0))="P4"),"P3",INDEX('NBA Library'!$D$4:$D$21,MATCH(AJ211,'NBA Library'!$A$4:$A$21,0)))))</f>
        <v>P4</v>
      </c>
      <c r="AO211" s="2" t="str">
        <f aca="false">E211&amp;" "&amp;C211&amp;" account ("&amp;B211&amp;"); "&amp;G211&amp;" momentum; "&amp;P211&amp;"; £"&amp;TEXT(H211,"#,##0")&amp;" 6m GMV. "&amp;INDEX('NBA Library'!$G$4:$G$21,MATCH(AJ211,'NBA Library'!$A$4:$A$21,0))&amp;IF(LEFT(D211,1)="1"," Baseline: "&amp;V211&amp;" PDP views, "&amp;W211&amp;" app days, "&amp;X211&amp;" offers, "&amp;TEXT(J211/I211,"0%")&amp;" of orders self-serve.","")&amp;IF(AA211," Execution on HOLD until the Duplicate status is resolved.","")&amp;IF(Y211," Key account: explicit AM/leadership sign-off required before any migration activity.","")&amp;IF(AE211," Implied broker % from order counts would move this account to a different segment; review before automating.","")</f>
        <v>Tail AM-Owned / Self-Serving account (Account Managed); Lapsed momentum; No Meaningful History; £7 6m GMV. Low-value, low-dependency account. Scalable automated engagement.</v>
      </c>
      <c r="AP211" s="2" t="str">
        <f aca="false">INDEX('NBA Library'!$E$4:$E$21,MATCH(AJ211,'NBA Library'!$A$4:$A$21,0))&amp;IF(AND(AJ211="NEW_CUSTOMER",AG211),"; introduce Make-an-Offer on items already browsed","")</f>
        <v>Scalable automated engagement matched to nurture sub-context</v>
      </c>
      <c r="AQ211" s="2" t="str">
        <f aca="false">INDEX('NBA Library'!$F$4:$F$21,MATCH(AJ211,'NBA Library'!$A$4:$A$21,0))</f>
        <v>Any repeat order within 90 days</v>
      </c>
      <c r="AR211" s="2" t="str">
        <f aca="false">IF(AND(F211="Low",OR(G211="Growing",G211="Stable"),P211="Recently Active",U211&lt;&gt;"Mixed",OR(AK211="Discovery-to-Offer Enablement",AK211="Reinforce Successful Behaviour"),AM211="Ready — Automated",OR(E211&lt;&gt;"Tail",S211)),"Range Expansion Test — trial "&amp;IF(U211="Bundle-only","handpick","bundles")&amp;" (experimental; not proven to lift GMV)","")</f>
        <v/>
      </c>
      <c r="AS211" s="2" t="str">
        <f aca="false">IF(AK211&lt;&gt;"Automated Nurture","",IF(AJ211="DORMANT_LOW_VALUE","Dormant",IF(AJ211="RISING_TAIL_EARLY","Rising tail – early pattern",IF(Q211="New Customer","New customer onboarding",IF(Q211="Returned Customer","Returned customer",IF(G211="Lapsed","Dormant",IF(T211="Engaged, not converting","Engaged, not converting",IF(T211="One-off low-touch buyer","One-off purchaser",IF(T211="Light-touch repeat buyer","Light-touch repeat buyer","Standard long tail")))))))))</f>
        <v>Dormant</v>
      </c>
      <c r="AT211" s="2" t="str">
        <f aca="false">IF(AA211,"CRITICAL_DATA_BLOCKER; ","")&amp;IF(Y211,"KEY_SIGNOFF; ","")&amp;IF(Z211="Manual Review","PHASE1_MANUAL_REVIEW; ","")&amp;IF(AND(LEFT(D211,1)="1",AZ211="Lumpy"),"LUMPY_CADENCE; ","")&amp;IF(AB211,"BORDERLINE_MOMENTUM; ","")&amp;IF(AC211,"FEB_SENSITIVE; ","")&amp;IF(AD211,"MATERIAL_BROKER_INCONSISTENCY"&amp;IF(AE211," (segment would change)","")&amp;"; ","")&amp;IF(AND(I211&gt;=3,O211&gt;0),IF(AI211&gt;=Assumptions!$B$75,"H2_SINGLE_MONTH_SPIKE; ",""),"")&amp;IF(AND(M211&gt;0,N211=0),"NO_FEB_GMV (Feb unconfirmed); ","")&amp;IF(AF211,"LOW_CONFIDENCE; ","")</f>
        <v>LOW_CONFIDENCE; </v>
      </c>
      <c r="AU211" s="2" t="str">
        <f aca="false">IF(LEFT(D211,1)="1",V211,"")</f>
        <v/>
      </c>
      <c r="AV211" s="2" t="str">
        <f aca="false">IF(LEFT(D211,1)="1",V211&gt;=Assumptions!$B$58,"")</f>
        <v/>
      </c>
      <c r="AW211" s="2" t="str">
        <f aca="false">IF(LEFT(D211,1)="1",W211,"")</f>
        <v/>
      </c>
      <c r="AX211" s="2" t="str">
        <f aca="false">IF(LEFT(D211,1)="1",X211,"")</f>
        <v/>
      </c>
      <c r="AY211" s="17" t="str">
        <f aca="false">IF(LEFT(D211,1)="1",J211/I211,"")</f>
        <v/>
      </c>
      <c r="AZ211" s="2" t="str">
        <f aca="false">IF(LEFT(D211,1)="1",IF(AND(K211&gt;=Assumptions!$B$83,I211&gt;=Assumptions!$B$84),"Regular","Lumpy"),"")</f>
        <v/>
      </c>
      <c r="BA211" s="2" t="str">
        <f aca="false">IF(LEFT(D211,1)="1",ROUND(6/K211,0),"")</f>
        <v/>
      </c>
      <c r="BB211" s="2" t="str">
        <f aca="false">IF(LEFT(D211,1)="1",IF(AZ211="Regular","Regular buyer: expected ~£"&amp;TEXT(H211/2,"#,##0")&amp;" per 90 days. At Risk if GMV to date &lt; "&amp;TEXT(Assumptions!$B$81,"0%")&amp;" of pro-rated expectation, checked from day "&amp;Assumptions!$B$82&amp;". Human-reviewed.","Irregular buyer ("&amp;I211&amp;" orders across "&amp;K211&amp;" months): no numeric GMV threshold. At Risk if no order within ~"&amp;BA211&amp;" month(s); AM reviews at day "&amp;Assumptions!$B$82&amp;" and "&amp;Assumptions!$B$85&amp;"."),"")</f>
        <v/>
      </c>
      <c r="BC211" s="2"/>
      <c r="BD211" s="2"/>
      <c r="BE211" s="2"/>
      <c r="BF211" s="2"/>
      <c r="BG211" s="2"/>
      <c r="BH211" s="2"/>
      <c r="BI211" s="2"/>
      <c r="BJ211" s="2" t="str">
        <f aca="false">IF(OR(NOT(LEFT(D211,1)="1"),BC211=""),"",IF(AZ211="Regular",AND(BC211&gt;=Assumptions!$B$82,N(BI211)&lt;Assumptions!$B$81*H211/180*BC211),AND(BC211&gt;=BA211*30,N(BG211)=0)))</f>
        <v/>
      </c>
      <c r="BK211" s="2" t="str">
        <f aca="false">IF(NOT(LEFT(D211,1)="1"),"N/A",IF(BC211="","Baseline",IF(BJ211,"At Risk",IF(AND(N(BD211)&gt;=Assumptions!$B$78,N(BE211)&gt;=Assumptions!$B$79,N(BH211)&gt;=1,N(BH211)/MAX(N(BG211),1)&gt;AY211),"Self-Serve Capability Demonstrated",IF(OR(N(BD211)&gt;=Assumptions!$B$76,N(BE211)&gt;=Assumptions!$B$77),"Progressing",IF(BC211&gt;=Assumptions!$B$85,"At Risk","Baseline"))))))</f>
        <v>N/A</v>
      </c>
      <c r="BL211" s="2" t="n">
        <f aca="false">(AND(C211="Broker-Reliant",OR(AK211="Discovery-to-Offer Enablement",AK211="Reinforce Successful Behaviour")))*1+(AND(G211="Declining",E211&lt;&gt;"Tail",AL211="Automated"))*1+(AND(Y211,AM211&lt;&gt;"Human Sign-Off Required"))*1+(AND(AA211,AM211&lt;&gt;"HOLD — Critical Data Issue"))*1+(AND(P211="Recent Inactivity",OR(AK211="Discovery-to-Offer Enablement",AK211="Reinforce Successful Behaviour")))*1+(AND(OR(LEFT(D211,1)="2",LEFT(D211,1)="3",LEFT(D211,1)="8"),AL211="Automated"))*1+((LEFT(D211,1)="1")&lt;&gt;(AK211="Guided Self-Serve Migration"))*1+(AND(AR211&lt;&gt;"",OR(F211&lt;&gt;"Low",U211="Mixed",AND(G211&lt;&gt;"Growing",G211&lt;&gt;"Stable"))))*1+ISNUMBER(SEARCH("chat",AP211))*1+ISNUMBER(SEARCH("video",AP211))*1+(AND(AA211,AL211="Automated",AM211&lt;&gt;"HOLD — Critical Data Issue"))*1</f>
        <v>0</v>
      </c>
    </row>
    <row r="212" customFormat="false" ht="15" hidden="false" customHeight="false" outlineLevel="0" collapsed="false">
      <c r="A212" s="2" t="s">
        <v>178</v>
      </c>
      <c r="B212" s="2" t="str">
        <f aca="false">INDEX(Segmentation!$B$2:$B$301,MATCH($A212,Segmentation!$A$2:$A$301,0))</f>
        <v>Self Serve</v>
      </c>
      <c r="C212" s="2" t="str">
        <f aca="false">INDEX(Segmentation!$H$2:$H$301,MATCH($A212,Segmentation!$A$2:$A$301,0))</f>
        <v>Self-Serve</v>
      </c>
      <c r="D212" s="2" t="str">
        <f aca="false">INDEX(Segmentation!$T$2:$T$301,MATCH($A212,Segmentation!$A$2:$A$301,0))</f>
        <v>8. Retention / Reactivation</v>
      </c>
      <c r="E212" s="2" t="str">
        <f aca="false">INDEX(Segmentation!$J$2:$J$301,MATCH($A212,Segmentation!$A$2:$A$301,0))</f>
        <v>Key</v>
      </c>
      <c r="F212" s="2" t="str">
        <f aca="false">INDEX(Segmentation!$G$2:$G$301,MATCH($A212,Segmentation!$A$2:$A$301,0))</f>
        <v>Low</v>
      </c>
      <c r="G212" s="2" t="str">
        <f aca="false">INDEX(Segmentation!$N$2:$N$301,MATCH($A212,Segmentation!$A$2:$A$301,0))</f>
        <v>Declining</v>
      </c>
      <c r="H212" s="9" t="n">
        <f aca="false">INDEX(Segmentation!$I$2:$I$301,MATCH($A212,Segmentation!$A$2:$A$301,0))</f>
        <v>13412</v>
      </c>
      <c r="I212" s="2" t="n">
        <f aca="false">INDEX(Segmentation!$O$2:$O$301,MATCH($A212,Segmentation!$A$2:$A$301,0))</f>
        <v>15</v>
      </c>
      <c r="J212" s="2" t="n">
        <f aca="false">INDEX(Segmentation!$Q$2:$Q$301,MATCH($A212,Segmentation!$A$2:$A$301,0))</f>
        <v>15</v>
      </c>
      <c r="K212" s="2" t="n">
        <f aca="false">INDEX(Segmentation!$W$2:$W$301,MATCH($A212,Segmentation!$A$2:$A$301,0))</f>
        <v>3</v>
      </c>
      <c r="L212" s="9" t="n">
        <f aca="false">INDEX('Commercial View'!$L$2:$L$301,MATCH($A212,'Commercial View'!$A$2:$A$301,0))</f>
        <v>4378</v>
      </c>
      <c r="M212" s="9" t="n">
        <f aca="false">INDEX('Commercial View'!$M$2:$M$301,MATCH($A212,'Commercial View'!$A$2:$A$301,0))</f>
        <v>0</v>
      </c>
      <c r="N212" s="9" t="n">
        <f aca="false">INDEX('Commercial View'!$N$2:$N$301,MATCH($A212,'Commercial View'!$A$2:$A$301,0))</f>
        <v>0</v>
      </c>
      <c r="O212" s="9" t="n">
        <f aca="false">INDEX(Segmentation!$L$2:$L$301,MATCH($A212,Segmentation!$A$2:$A$301,0))</f>
        <v>4378</v>
      </c>
      <c r="P212" s="2" t="str">
        <f aca="false">IF(OR(M212&gt;0,N212&gt;0),"Recently Active",IF(OR(I212&lt;=Assumptions!$B$48,K212&lt;=Assumptions!$B$49),"No Meaningful History","Recent Inactivity"))</f>
        <v>Recent Inactivity</v>
      </c>
      <c r="Q212" s="2" t="str">
        <f aca="false">INDEX(Segmentation!$AF$2:$AF$301,MATCH($A212,Segmentation!$A$2:$A$301,0))</f>
        <v>Existing Customer</v>
      </c>
      <c r="R212" s="2" t="str">
        <f aca="false">INDEX(Segmentation!$AL$2:$AL$301,MATCH($A212,Segmentation!$A$2:$A$301,0))</f>
        <v>N/A</v>
      </c>
      <c r="S212" s="10" t="b">
        <f aca="false">INDEX(Segmentation!$AW$2:$AW$301,MATCH($A212,Segmentation!$A$2:$A$301,0))</f>
        <v>0</v>
      </c>
      <c r="T212" s="2" t="str">
        <f aca="false">INDEX('Feature Data'!$AD$2:$AD$301,MATCH($A212,'Feature Data'!$A$2:$A$301,0))</f>
        <v>Engaged but shrinking (Key/Core)</v>
      </c>
      <c r="U212" s="2" t="str">
        <f aca="false">INDEX('Feature Data'!$W$2:$W$301,MATCH($A212,'Feature Data'!$A$2:$A$301,0))</f>
        <v>Mixed</v>
      </c>
      <c r="V212" s="2" t="n">
        <f aca="false">INDEX('Feature Data'!$P$2:$P$301,MATCH($A212,'Feature Data'!$A$2:$A$301,0))</f>
        <v>6665</v>
      </c>
      <c r="W212" s="2" t="n">
        <f aca="false">INDEX(Segmentation!$R$2:$R$301,MATCH($A212,Segmentation!$A$2:$A$301,0))</f>
        <v>100</v>
      </c>
      <c r="X212" s="2" t="n">
        <f aca="false">INDEX(Segmentation!$S$2:$S$301,MATCH($A212,Segmentation!$A$2:$A$301,0))</f>
        <v>71</v>
      </c>
      <c r="Y212" s="10" t="b">
        <f aca="false">INDEX(Segmentation!$AG$2:$AG$301,MATCH($A212,Segmentation!$A$2:$A$301,0))</f>
        <v>0</v>
      </c>
      <c r="Z212" s="2" t="str">
        <f aca="false">INDEX(Segmentation!$AU$2:$AU$301,MATCH($A212,Segmentation!$A$2:$A$301,0))</f>
        <v>Not Eligible</v>
      </c>
      <c r="AA212" s="10" t="b">
        <f aca="false">INDEX(Segmentation!$Z$2:$Z$301,MATCH($A212,Segmentation!$A$2:$A$301,0))</f>
        <v>0</v>
      </c>
      <c r="AB212" s="10" t="b">
        <f aca="false">INDEX(Segmentation!$AH$2:$AH$301,MATCH($A212,Segmentation!$A$2:$A$301,0))</f>
        <v>0</v>
      </c>
      <c r="AC212" s="10" t="b">
        <f aca="false">INDEX(Segmentation!$AK$2:$AK$301,MATCH($A212,Segmentation!$A$2:$A$301,0))</f>
        <v>0</v>
      </c>
      <c r="AD212" s="10" t="b">
        <f aca="false">INDEX(Segmentation!$AQ$2:$AQ$301,MATCH($A212,Segmentation!$A$2:$A$301,0))</f>
        <v>0</v>
      </c>
      <c r="AE212" s="10" t="b">
        <f aca="false">INDEX(Segmentation!$AT$2:$AT$301,MATCH($A212,Segmentation!$A$2:$A$301,0))</f>
        <v>0</v>
      </c>
      <c r="AF212" s="10" t="b">
        <f aca="false">INDEX(Segmentation!$X$2:$X$301,MATCH($A212,Segmentation!$A$2:$A$301,0))</f>
        <v>0</v>
      </c>
      <c r="AG212" s="10" t="b">
        <f aca="false">AND(F212="Low",V212&gt;=Assumptions!$B$71,X212&lt;Assumptions!$B$72)</f>
        <v>0</v>
      </c>
      <c r="AH212" s="10" t="b">
        <f aca="false">AND(F212="Low",OR(G212="Growing",G212="Stable"),P212="Recently Active",V212&gt;=Assumptions!$B$58,K212&gt;=Assumptions!$B$73)</f>
        <v>0</v>
      </c>
      <c r="AI212" s="17" t="n">
        <f aca="false">IF(O212&gt;0,MAX(L212:N212)/O212,"")</f>
        <v>1</v>
      </c>
      <c r="AJ212" s="2" t="str">
        <f aca="false">IF(LEFT(D212,1)="1",IF(E212="Key","MIGRATION_KEY_SIGNOFF",IF(Z212="Ready","MIGRATION_PHASE1_READY",IF(Z212="Manual Review","MIGRATION_PHASE1_REVIEW","MIGRATION_PRE_ENTRY"))),IF(LEFT(D212,1)="2","DECLINING_KEY_CORE",IF(LEFT(D212,1)="3",IF(R212="Established Buyer Lapsed","LAPSED_ESTABLISHED","LAPSED_THIN_HISTORY"),IF(LEFT(D212,1)="4",IF(Q212="New Customer","NEW_CUSTOMER","RETURNED_CUSTOMER"),IF(LEFT(D212,1)="5",IF(P212="Recently Active","COST_TO_SERVE_ACTIVE","DORMANT_LOW_VALUE"),IF(LEFT(D212,1)="6",IF(P212="Recent Inactivity","RECENT_INACTIVITY",IF(AG212,"BROWSING_LOW_OFFERS","HEALTHY_STRONG_SELF_SERVE")),IF(LEFT(D212,1)="7",IF(P212="Recent Inactivity","RECENT_INACTIVITY",IF(Q212="New Customer","NEW_CUSTOMER","RETURNED_CUSTOMER")),IF(LEFT(D212,1)="8",IF(G212="Declining",IF(T212="Engaged but shrinking (Key/Core)","ENGAGED_BUT_SHRINKING","DECLINING_KEY_CORE"),IF(R212="Established Buyer Lapsed","LAPSED_ESTABLISHED","LAPSED_THIN_HISTORY")),IF(S212,IF(P212&lt;&gt;"Recently Active","DORMANT_LOW_VALUE",IF(AG212,"BROWSING_LOW_OFFERS",IF(AH212,"RISING_TAIL","RISING_TAIL_EARLY"))),IF(AND(AG212,P212="Recently Active",OR(G212="Growing",G212="Stable",G212="H2 Active / No H1 GMV"),I212&gt;=Assumptions!$B$74),"BROWSING_LOW_OFFERS","LONG_TAIL_STANDARD"))))))))))</f>
        <v>ENGAGED_BUT_SHRINKING</v>
      </c>
      <c r="AK212" s="2" t="str">
        <f aca="false">INDEX('NBA Library'!$B$4:$B$21,MATCH(AJ212,'NBA Library'!$A$4:$A$21,0))</f>
        <v>Retention Conversation</v>
      </c>
      <c r="AL212" s="2" t="str">
        <f aca="false">INDEX('NBA Library'!$C$4:$C$21,MATCH(AJ212,'NBA Library'!$A$4:$A$21,0))</f>
        <v>Human</v>
      </c>
      <c r="AM212" s="2" t="str">
        <f aca="false">IF(AA212,"HOLD — Critical Data Issue",IF(Y212,"Human Sign-Off Required",IF(Z212="Manual Review","Human Review Required",IF(AND(AL212="Automated",OR(AE212,AND(OR(AK212="Discovery-to-Offer Enablement",AK212="Reinforce Successful Behaviour"),OR(AC212,AB212)))),"Human Review Required",IF(AL212="Human","Ready — Human",IF(AL212="Hybrid","Ready — Hybrid","Ready — Automated"))))))</f>
        <v>Ready — Human</v>
      </c>
      <c r="AN212" s="2" t="str">
        <f aca="false">IF(AA212,"P0",IF(AND(AJ212="BROWSING_LOW_OFFERS",E212="Tail"),"P3",IF(AND(AM212="Human Review Required",INDEX('NBA Library'!$D$4:$D$21,MATCH(AJ212,'NBA Library'!$A$4:$A$21,0))="P4"),"P3",INDEX('NBA Library'!$D$4:$D$21,MATCH(AJ212,'NBA Library'!$A$4:$A$21,0)))))</f>
        <v>P1</v>
      </c>
      <c r="AO212" s="2" t="str">
        <f aca="false">E212&amp;" "&amp;C212&amp;" account ("&amp;B212&amp;"); "&amp;G212&amp;" momentum; "&amp;P212&amp;"; £"&amp;TEXT(H212,"#,##0")&amp;" 6m GMV. "&amp;INDEX('NBA Library'!$G$4:$G$21,MATCH(AJ212,'NBA Library'!$A$4:$A$21,0))&amp;IF(LEFT(D212,1)="1"," Baseline: "&amp;V212&amp;" PDP views, "&amp;W212&amp;" app days, "&amp;X212&amp;" offers, "&amp;TEXT(J212/I212,"0%")&amp;" of orders self-serve.","")&amp;IF(AA212," Execution on HOLD until the Duplicate status is resolved.","")&amp;IF(Y212," Key account: explicit AM/leadership sign-off required before any migration activity.","")&amp;IF(AE212," Implied broker % from order counts would move this account to a different segment; review before automating.","")</f>
        <v>Key Self-Serve account (Self Serve); Declining momentum; Recent Inactivity; £13,412 6m GMV. Already heavily self-serving (high browsing / offers) but spend is falling. Product adoption is not the issue.</v>
      </c>
      <c r="AP212" s="2" t="str">
        <f aca="false">INDEX('NBA Library'!$E$4:$E$21,MATCH(AJ212,'NBA Library'!$A$4:$A$21,0))&amp;IF(AND(AJ212="NEW_CUSTOMER",AG212),"; introduce Make-an-Offer on items already browsed","")</f>
        <v>AM investigates supply, price, competition or conversion friction; no additional product nudges</v>
      </c>
      <c r="AQ212" s="2" t="str">
        <f aca="false">INDEX('NBA Library'!$F$4:$F$21,MATCH(AJ212,'NBA Library'!$A$4:$A$21,0))</f>
        <v>Root cause logged; next 90-day GMV back to at least the Sep-Nov (H1) level</v>
      </c>
      <c r="AR212" s="2" t="str">
        <f aca="false">IF(AND(F212="Low",OR(G212="Growing",G212="Stable"),P212="Recently Active",U212&lt;&gt;"Mixed",OR(AK212="Discovery-to-Offer Enablement",AK212="Reinforce Successful Behaviour"),AM212="Ready — Automated",OR(E212&lt;&gt;"Tail",S212)),"Range Expansion Test — trial "&amp;IF(U212="Bundle-only","handpick","bundles")&amp;" (experimental; not proven to lift GMV)","")</f>
        <v/>
      </c>
      <c r="AS212" s="2" t="str">
        <f aca="false">IF(AK212&lt;&gt;"Automated Nurture","",IF(AJ212="DORMANT_LOW_VALUE","Dormant",IF(AJ212="RISING_TAIL_EARLY","Rising tail – early pattern",IF(Q212="New Customer","New customer onboarding",IF(Q212="Returned Customer","Returned customer",IF(G212="Lapsed","Dormant",IF(T212="Engaged, not converting","Engaged, not converting",IF(T212="One-off low-touch buyer","One-off purchaser",IF(T212="Light-touch repeat buyer","Light-touch repeat buyer","Standard long tail")))))))))</f>
        <v/>
      </c>
      <c r="AT212" s="2" t="str">
        <f aca="false">IF(AA212,"CRITICAL_DATA_BLOCKER; ","")&amp;IF(Y212,"KEY_SIGNOFF; ","")&amp;IF(Z212="Manual Review","PHASE1_MANUAL_REVIEW; ","")&amp;IF(AND(LEFT(D212,1)="1",AZ212="Lumpy"),"LUMPY_CADENCE; ","")&amp;IF(AB212,"BORDERLINE_MOMENTUM; ","")&amp;IF(AC212,"FEB_SENSITIVE; ","")&amp;IF(AD212,"MATERIAL_BROKER_INCONSISTENCY"&amp;IF(AE212," (segment would change)","")&amp;"; ","")&amp;IF(AND(I212&gt;=3,O212&gt;0),IF(AI212&gt;=Assumptions!$B$75,"H2_SINGLE_MONTH_SPIKE; ",""),"")&amp;IF(AND(M212&gt;0,N212=0),"NO_FEB_GMV (Feb unconfirmed); ","")&amp;IF(AF212,"LOW_CONFIDENCE; ","")</f>
        <v>H2_SINGLE_MONTH_SPIKE; </v>
      </c>
      <c r="AU212" s="2" t="str">
        <f aca="false">IF(LEFT(D212,1)="1",V212,"")</f>
        <v/>
      </c>
      <c r="AV212" s="2" t="str">
        <f aca="false">IF(LEFT(D212,1)="1",V212&gt;=Assumptions!$B$58,"")</f>
        <v/>
      </c>
      <c r="AW212" s="2" t="str">
        <f aca="false">IF(LEFT(D212,1)="1",W212,"")</f>
        <v/>
      </c>
      <c r="AX212" s="2" t="str">
        <f aca="false">IF(LEFT(D212,1)="1",X212,"")</f>
        <v/>
      </c>
      <c r="AY212" s="17" t="str">
        <f aca="false">IF(LEFT(D212,1)="1",J212/I212,"")</f>
        <v/>
      </c>
      <c r="AZ212" s="2" t="str">
        <f aca="false">IF(LEFT(D212,1)="1",IF(AND(K212&gt;=Assumptions!$B$83,I212&gt;=Assumptions!$B$84),"Regular","Lumpy"),"")</f>
        <v/>
      </c>
      <c r="BA212" s="2" t="str">
        <f aca="false">IF(LEFT(D212,1)="1",ROUND(6/K212,0),"")</f>
        <v/>
      </c>
      <c r="BB212" s="2" t="str">
        <f aca="false">IF(LEFT(D212,1)="1",IF(AZ212="Regular","Regular buyer: expected ~£"&amp;TEXT(H212/2,"#,##0")&amp;" per 90 days. At Risk if GMV to date &lt; "&amp;TEXT(Assumptions!$B$81,"0%")&amp;" of pro-rated expectation, checked from day "&amp;Assumptions!$B$82&amp;". Human-reviewed.","Irregular buyer ("&amp;I212&amp;" orders across "&amp;K212&amp;" months): no numeric GMV threshold. At Risk if no order within ~"&amp;BA212&amp;" month(s); AM reviews at day "&amp;Assumptions!$B$82&amp;" and "&amp;Assumptions!$B$85&amp;"."),"")</f>
        <v/>
      </c>
      <c r="BC212" s="2"/>
      <c r="BD212" s="2"/>
      <c r="BE212" s="2"/>
      <c r="BF212" s="2"/>
      <c r="BG212" s="2"/>
      <c r="BH212" s="2"/>
      <c r="BI212" s="2"/>
      <c r="BJ212" s="2" t="str">
        <f aca="false">IF(OR(NOT(LEFT(D212,1)="1"),BC212=""),"",IF(AZ212="Regular",AND(BC212&gt;=Assumptions!$B$82,N(BI212)&lt;Assumptions!$B$81*H212/180*BC212),AND(BC212&gt;=BA212*30,N(BG212)=0)))</f>
        <v/>
      </c>
      <c r="BK212" s="2" t="str">
        <f aca="false">IF(NOT(LEFT(D212,1)="1"),"N/A",IF(BC212="","Baseline",IF(BJ212,"At Risk",IF(AND(N(BD212)&gt;=Assumptions!$B$78,N(BE212)&gt;=Assumptions!$B$79,N(BH212)&gt;=1,N(BH212)/MAX(N(BG212),1)&gt;AY212),"Self-Serve Capability Demonstrated",IF(OR(N(BD212)&gt;=Assumptions!$B$76,N(BE212)&gt;=Assumptions!$B$77),"Progressing",IF(BC212&gt;=Assumptions!$B$85,"At Risk","Baseline"))))))</f>
        <v>N/A</v>
      </c>
      <c r="BL212" s="2" t="n">
        <f aca="false">(AND(C212="Broker-Reliant",OR(AK212="Discovery-to-Offer Enablement",AK212="Reinforce Successful Behaviour")))*1+(AND(G212="Declining",E212&lt;&gt;"Tail",AL212="Automated"))*1+(AND(Y212,AM212&lt;&gt;"Human Sign-Off Required"))*1+(AND(AA212,AM212&lt;&gt;"HOLD — Critical Data Issue"))*1+(AND(P212="Recent Inactivity",OR(AK212="Discovery-to-Offer Enablement",AK212="Reinforce Successful Behaviour")))*1+(AND(OR(LEFT(D212,1)="2",LEFT(D212,1)="3",LEFT(D212,1)="8"),AL212="Automated"))*1+((LEFT(D212,1)="1")&lt;&gt;(AK212="Guided Self-Serve Migration"))*1+(AND(AR212&lt;&gt;"",OR(F212&lt;&gt;"Low",U212="Mixed",AND(G212&lt;&gt;"Growing",G212&lt;&gt;"Stable"))))*1+ISNUMBER(SEARCH("chat",AP212))*1+ISNUMBER(SEARCH("video",AP212))*1+(AND(AA212,AL212="Automated",AM212&lt;&gt;"HOLD — Critical Data Issue"))*1</f>
        <v>0</v>
      </c>
    </row>
    <row r="213" customFormat="false" ht="15" hidden="false" customHeight="false" outlineLevel="0" collapsed="false">
      <c r="A213" s="2" t="s">
        <v>365</v>
      </c>
      <c r="B213" s="2" t="str">
        <f aca="false">INDEX(Segmentation!$B$2:$B$301,MATCH($A213,Segmentation!$A$2:$A$301,0))</f>
        <v>Self Serve</v>
      </c>
      <c r="C213" s="2" t="str">
        <f aca="false">INDEX(Segmentation!$H$2:$H$301,MATCH($A213,Segmentation!$A$2:$A$301,0))</f>
        <v>Self-Serve</v>
      </c>
      <c r="D213" s="2" t="str">
        <f aca="false">INDEX(Segmentation!$T$2:$T$301,MATCH($A213,Segmentation!$A$2:$A$301,0))</f>
        <v>6. Growth Opportunity</v>
      </c>
      <c r="E213" s="2" t="str">
        <f aca="false">INDEX(Segmentation!$J$2:$J$301,MATCH($A213,Segmentation!$A$2:$A$301,0))</f>
        <v>Core</v>
      </c>
      <c r="F213" s="2" t="str">
        <f aca="false">INDEX(Segmentation!$G$2:$G$301,MATCH($A213,Segmentation!$A$2:$A$301,0))</f>
        <v>Low</v>
      </c>
      <c r="G213" s="2" t="str">
        <f aca="false">INDEX(Segmentation!$N$2:$N$301,MATCH($A213,Segmentation!$A$2:$A$301,0))</f>
        <v>Growing</v>
      </c>
      <c r="H213" s="9" t="n">
        <f aca="false">INDEX(Segmentation!$I$2:$I$301,MATCH($A213,Segmentation!$A$2:$A$301,0))</f>
        <v>8581</v>
      </c>
      <c r="I213" s="2" t="n">
        <f aca="false">INDEX(Segmentation!$O$2:$O$301,MATCH($A213,Segmentation!$A$2:$A$301,0))</f>
        <v>8</v>
      </c>
      <c r="J213" s="2" t="n">
        <f aca="false">INDEX(Segmentation!$Q$2:$Q$301,MATCH($A213,Segmentation!$A$2:$A$301,0))</f>
        <v>8</v>
      </c>
      <c r="K213" s="2" t="n">
        <f aca="false">INDEX(Segmentation!$W$2:$W$301,MATCH($A213,Segmentation!$A$2:$A$301,0))</f>
        <v>4</v>
      </c>
      <c r="L213" s="9" t="n">
        <f aca="false">INDEX('Commercial View'!$L$2:$L$301,MATCH($A213,'Commercial View'!$A$2:$A$301,0))</f>
        <v>0</v>
      </c>
      <c r="M213" s="9" t="n">
        <f aca="false">INDEX('Commercial View'!$M$2:$M$301,MATCH($A213,'Commercial View'!$A$2:$A$301,0))</f>
        <v>4310</v>
      </c>
      <c r="N213" s="9" t="n">
        <f aca="false">INDEX('Commercial View'!$N$2:$N$301,MATCH($A213,'Commercial View'!$A$2:$A$301,0))</f>
        <v>1593</v>
      </c>
      <c r="O213" s="9" t="n">
        <f aca="false">INDEX(Segmentation!$L$2:$L$301,MATCH($A213,Segmentation!$A$2:$A$301,0))</f>
        <v>5903</v>
      </c>
      <c r="P213" s="2" t="str">
        <f aca="false">IF(OR(M213&gt;0,N213&gt;0),"Recently Active",IF(OR(I213&lt;=Assumptions!$B$48,K213&lt;=Assumptions!$B$49),"No Meaningful History","Recent Inactivity"))</f>
        <v>Recently Active</v>
      </c>
      <c r="Q213" s="2" t="str">
        <f aca="false">INDEX(Segmentation!$AF$2:$AF$301,MATCH($A213,Segmentation!$A$2:$A$301,0))</f>
        <v>Existing Customer</v>
      </c>
      <c r="R213" s="2" t="str">
        <f aca="false">INDEX(Segmentation!$AL$2:$AL$301,MATCH($A213,Segmentation!$A$2:$A$301,0))</f>
        <v>N/A</v>
      </c>
      <c r="S213" s="10" t="b">
        <f aca="false">INDEX(Segmentation!$AW$2:$AW$301,MATCH($A213,Segmentation!$A$2:$A$301,0))</f>
        <v>0</v>
      </c>
      <c r="T213" s="2" t="str">
        <f aca="false">INDEX('Feature Data'!$AD$2:$AD$301,MATCH($A213,'Feature Data'!$A$2:$A$301,0))</f>
        <v>Independent browser-buyer</v>
      </c>
      <c r="U213" s="2" t="str">
        <f aca="false">INDEX('Feature Data'!$W$2:$W$301,MATCH($A213,'Feature Data'!$A$2:$A$301,0))</f>
        <v>Mixed</v>
      </c>
      <c r="V213" s="2" t="n">
        <f aca="false">INDEX('Feature Data'!$P$2:$P$301,MATCH($A213,'Feature Data'!$A$2:$A$301,0))</f>
        <v>612</v>
      </c>
      <c r="W213" s="2" t="n">
        <f aca="false">INDEX(Segmentation!$R$2:$R$301,MATCH($A213,Segmentation!$A$2:$A$301,0))</f>
        <v>78</v>
      </c>
      <c r="X213" s="2" t="n">
        <f aca="false">INDEX(Segmentation!$S$2:$S$301,MATCH($A213,Segmentation!$A$2:$A$301,0))</f>
        <v>5</v>
      </c>
      <c r="Y213" s="10" t="b">
        <f aca="false">INDEX(Segmentation!$AG$2:$AG$301,MATCH($A213,Segmentation!$A$2:$A$301,0))</f>
        <v>0</v>
      </c>
      <c r="Z213" s="2" t="str">
        <f aca="false">INDEX(Segmentation!$AU$2:$AU$301,MATCH($A213,Segmentation!$A$2:$A$301,0))</f>
        <v>Not Eligible</v>
      </c>
      <c r="AA213" s="10" t="b">
        <f aca="false">INDEX(Segmentation!$Z$2:$Z$301,MATCH($A213,Segmentation!$A$2:$A$301,0))</f>
        <v>0</v>
      </c>
      <c r="AB213" s="10" t="b">
        <f aca="false">INDEX(Segmentation!$AH$2:$AH$301,MATCH($A213,Segmentation!$A$2:$A$301,0))</f>
        <v>0</v>
      </c>
      <c r="AC213" s="10" t="b">
        <f aca="false">INDEX(Segmentation!$AK$2:$AK$301,MATCH($A213,Segmentation!$A$2:$A$301,0))</f>
        <v>0</v>
      </c>
      <c r="AD213" s="10" t="b">
        <f aca="false">INDEX(Segmentation!$AQ$2:$AQ$301,MATCH($A213,Segmentation!$A$2:$A$301,0))</f>
        <v>0</v>
      </c>
      <c r="AE213" s="10" t="b">
        <f aca="false">INDEX(Segmentation!$AT$2:$AT$301,MATCH($A213,Segmentation!$A$2:$A$301,0))</f>
        <v>0</v>
      </c>
      <c r="AF213" s="10" t="b">
        <f aca="false">INDEX(Segmentation!$X$2:$X$301,MATCH($A213,Segmentation!$A$2:$A$301,0))</f>
        <v>0</v>
      </c>
      <c r="AG213" s="10" t="b">
        <f aca="false">AND(F213="Low",V213&gt;=Assumptions!$B$71,X213&lt;Assumptions!$B$72)</f>
        <v>0</v>
      </c>
      <c r="AH213" s="10" t="b">
        <f aca="false">AND(F213="Low",OR(G213="Growing",G213="Stable"),P213="Recently Active",V213&gt;=Assumptions!$B$58,K213&gt;=Assumptions!$B$73)</f>
        <v>1</v>
      </c>
      <c r="AI213" s="17" t="n">
        <f aca="false">IF(O213&gt;0,MAX(L213:N213)/O213,"")</f>
        <v>0.730137218363544</v>
      </c>
      <c r="AJ213" s="2" t="str">
        <f aca="false">IF(LEFT(D213,1)="1",IF(E213="Key","MIGRATION_KEY_SIGNOFF",IF(Z213="Ready","MIGRATION_PHASE1_READY",IF(Z213="Manual Review","MIGRATION_PHASE1_REVIEW","MIGRATION_PRE_ENTRY"))),IF(LEFT(D213,1)="2","DECLINING_KEY_CORE",IF(LEFT(D213,1)="3",IF(R213="Established Buyer Lapsed","LAPSED_ESTABLISHED","LAPSED_THIN_HISTORY"),IF(LEFT(D213,1)="4",IF(Q213="New Customer","NEW_CUSTOMER","RETURNED_CUSTOMER"),IF(LEFT(D213,1)="5",IF(P213="Recently Active","COST_TO_SERVE_ACTIVE","DORMANT_LOW_VALUE"),IF(LEFT(D213,1)="6",IF(P213="Recent Inactivity","RECENT_INACTIVITY",IF(AG213,"BROWSING_LOW_OFFERS","HEALTHY_STRONG_SELF_SERVE")),IF(LEFT(D213,1)="7",IF(P213="Recent Inactivity","RECENT_INACTIVITY",IF(Q213="New Customer","NEW_CUSTOMER","RETURNED_CUSTOMER")),IF(LEFT(D213,1)="8",IF(G213="Declining",IF(T213="Engaged but shrinking (Key/Core)","ENGAGED_BUT_SHRINKING","DECLINING_KEY_CORE"),IF(R213="Established Buyer Lapsed","LAPSED_ESTABLISHED","LAPSED_THIN_HISTORY")),IF(S213,IF(P213&lt;&gt;"Recently Active","DORMANT_LOW_VALUE",IF(AG213,"BROWSING_LOW_OFFERS",IF(AH213,"RISING_TAIL","RISING_TAIL_EARLY"))),IF(AND(AG213,P213="Recently Active",OR(G213="Growing",G213="Stable",G213="H2 Active / No H1 GMV"),I213&gt;=Assumptions!$B$74),"BROWSING_LOW_OFFERS","LONG_TAIL_STANDARD"))))))))))</f>
        <v>HEALTHY_STRONG_SELF_SERVE</v>
      </c>
      <c r="AK213" s="2" t="str">
        <f aca="false">INDEX('NBA Library'!$B$4:$B$21,MATCH(AJ213,'NBA Library'!$A$4:$A$21,0))</f>
        <v>Reinforce Successful Behaviour</v>
      </c>
      <c r="AL213" s="2" t="str">
        <f aca="false">INDEX('NBA Library'!$C$4:$C$21,MATCH(AJ213,'NBA Library'!$A$4:$A$21,0))</f>
        <v>Automated</v>
      </c>
      <c r="AM213" s="2" t="str">
        <f aca="false">IF(AA213,"HOLD — Critical Data Issue",IF(Y213,"Human Sign-Off Required",IF(Z213="Manual Review","Human Review Required",IF(AND(AL213="Automated",OR(AE213,AND(OR(AK213="Discovery-to-Offer Enablement",AK213="Reinforce Successful Behaviour"),OR(AC213,AB213)))),"Human Review Required",IF(AL213="Human","Ready — Human",IF(AL213="Hybrid","Ready — Hybrid","Ready — Automated"))))))</f>
        <v>Ready — Automated</v>
      </c>
      <c r="AN213" s="2" t="str">
        <f aca="false">IF(AA213,"P0",IF(AND(AJ213="BROWSING_LOW_OFFERS",E213="Tail"),"P3",IF(AND(AM213="Human Review Required",INDEX('NBA Library'!$D$4:$D$21,MATCH(AJ213,'NBA Library'!$A$4:$A$21,0))="P4"),"P3",INDEX('NBA Library'!$D$4:$D$21,MATCH(AJ213,'NBA Library'!$A$4:$A$21,0)))))</f>
        <v>P2</v>
      </c>
      <c r="AO213" s="2" t="str">
        <f aca="false">E213&amp;" "&amp;C213&amp;" account ("&amp;B213&amp;"); "&amp;G213&amp;" momentum; "&amp;P213&amp;"; £"&amp;TEXT(H213,"#,##0")&amp;" 6m GMV. "&amp;INDEX('NBA Library'!$G$4:$G$21,MATCH(AJ213,'NBA Library'!$A$4:$A$21,0))&amp;IF(LEFT(D213,1)="1"," Baseline: "&amp;V213&amp;" PDP views, "&amp;W213&amp;" app days, "&amp;X213&amp;" offers, "&amp;TEXT(J213/I213,"0%")&amp;" of orders self-serve.","")&amp;IF(AA213," Execution on HOLD until the Duplicate status is resolved.","")&amp;IF(Y213," Key account: explicit AM/leadership sign-off required before any migration activity.","")&amp;IF(AE213," Implied broker % from order counts would move this account to a different segment; review before automating.","")</f>
        <v>Core Self-Serve account (Self Serve); Growing momentum; Recently Active; £8,581 6m GMV. Low-dependency account with growing/stable spend, recent activity and strong independent browsing. Reinforce what is working.</v>
      </c>
      <c r="AP213" s="2" t="str">
        <f aca="false">INDEX('NBA Library'!$E$4:$E$21,MATCH(AJ213,'NBA Library'!$A$4:$A$21,0))&amp;IF(AND(AJ213="NEW_CUSTOMER",AG213),"; introduce Make-an-Offer on items already browsed","")</f>
        <v>Maintain current browsing and purchasing; light-touch reinforcement only</v>
      </c>
      <c r="AQ213" s="2" t="str">
        <f aca="false">INDEX('NBA Library'!$F$4:$F$21,MATCH(AJ213,'NBA Library'!$A$4:$A$21,0))</f>
        <v>GMV run-rate maintained or higher; GMV in each month of the next quarter</v>
      </c>
      <c r="AR213" s="2" t="str">
        <f aca="false">IF(AND(F213="Low",OR(G213="Growing",G213="Stable"),P213="Recently Active",U213&lt;&gt;"Mixed",OR(AK213="Discovery-to-Offer Enablement",AK213="Reinforce Successful Behaviour"),AM213="Ready — Automated",OR(E213&lt;&gt;"Tail",S213)),"Range Expansion Test — trial "&amp;IF(U213="Bundle-only","handpick","bundles")&amp;" (experimental; not proven to lift GMV)","")</f>
        <v/>
      </c>
      <c r="AS213" s="2" t="str">
        <f aca="false">IF(AK213&lt;&gt;"Automated Nurture","",IF(AJ213="DORMANT_LOW_VALUE","Dormant",IF(AJ213="RISING_TAIL_EARLY","Rising tail – early pattern",IF(Q213="New Customer","New customer onboarding",IF(Q213="Returned Customer","Returned customer",IF(G213="Lapsed","Dormant",IF(T213="Engaged, not converting","Engaged, not converting",IF(T213="One-off low-touch buyer","One-off purchaser",IF(T213="Light-touch repeat buyer","Light-touch repeat buyer","Standard long tail")))))))))</f>
        <v/>
      </c>
      <c r="AT213" s="2" t="str">
        <f aca="false">IF(AA213,"CRITICAL_DATA_BLOCKER; ","")&amp;IF(Y213,"KEY_SIGNOFF; ","")&amp;IF(Z213="Manual Review","PHASE1_MANUAL_REVIEW; ","")&amp;IF(AND(LEFT(D213,1)="1",AZ213="Lumpy"),"LUMPY_CADENCE; ","")&amp;IF(AB213,"BORDERLINE_MOMENTUM; ","")&amp;IF(AC213,"FEB_SENSITIVE; ","")&amp;IF(AD213,"MATERIAL_BROKER_INCONSISTENCY"&amp;IF(AE213," (segment would change)","")&amp;"; ","")&amp;IF(AND(I213&gt;=3,O213&gt;0),IF(AI213&gt;=Assumptions!$B$75,"H2_SINGLE_MONTH_SPIKE; ",""),"")&amp;IF(AND(M213&gt;0,N213=0),"NO_FEB_GMV (Feb unconfirmed); ","")&amp;IF(AF213,"LOW_CONFIDENCE; ","")</f>
        <v/>
      </c>
      <c r="AU213" s="2" t="str">
        <f aca="false">IF(LEFT(D213,1)="1",V213,"")</f>
        <v/>
      </c>
      <c r="AV213" s="2" t="str">
        <f aca="false">IF(LEFT(D213,1)="1",V213&gt;=Assumptions!$B$58,"")</f>
        <v/>
      </c>
      <c r="AW213" s="2" t="str">
        <f aca="false">IF(LEFT(D213,1)="1",W213,"")</f>
        <v/>
      </c>
      <c r="AX213" s="2" t="str">
        <f aca="false">IF(LEFT(D213,1)="1",X213,"")</f>
        <v/>
      </c>
      <c r="AY213" s="17" t="str">
        <f aca="false">IF(LEFT(D213,1)="1",J213/I213,"")</f>
        <v/>
      </c>
      <c r="AZ213" s="2" t="str">
        <f aca="false">IF(LEFT(D213,1)="1",IF(AND(K213&gt;=Assumptions!$B$83,I213&gt;=Assumptions!$B$84),"Regular","Lumpy"),"")</f>
        <v/>
      </c>
      <c r="BA213" s="2" t="str">
        <f aca="false">IF(LEFT(D213,1)="1",ROUND(6/K213,0),"")</f>
        <v/>
      </c>
      <c r="BB213" s="2" t="str">
        <f aca="false">IF(LEFT(D213,1)="1",IF(AZ213="Regular","Regular buyer: expected ~£"&amp;TEXT(H213/2,"#,##0")&amp;" per 90 days. At Risk if GMV to date &lt; "&amp;TEXT(Assumptions!$B$81,"0%")&amp;" of pro-rated expectation, checked from day "&amp;Assumptions!$B$82&amp;". Human-reviewed.","Irregular buyer ("&amp;I213&amp;" orders across "&amp;K213&amp;" months): no numeric GMV threshold. At Risk if no order within ~"&amp;BA213&amp;" month(s); AM reviews at day "&amp;Assumptions!$B$82&amp;" and "&amp;Assumptions!$B$85&amp;"."),"")</f>
        <v/>
      </c>
      <c r="BC213" s="2"/>
      <c r="BD213" s="2"/>
      <c r="BE213" s="2"/>
      <c r="BF213" s="2"/>
      <c r="BG213" s="2"/>
      <c r="BH213" s="2"/>
      <c r="BI213" s="2"/>
      <c r="BJ213" s="2" t="str">
        <f aca="false">IF(OR(NOT(LEFT(D213,1)="1"),BC213=""),"",IF(AZ213="Regular",AND(BC213&gt;=Assumptions!$B$82,N(BI213)&lt;Assumptions!$B$81*H213/180*BC213),AND(BC213&gt;=BA213*30,N(BG213)=0)))</f>
        <v/>
      </c>
      <c r="BK213" s="2" t="str">
        <f aca="false">IF(NOT(LEFT(D213,1)="1"),"N/A",IF(BC213="","Baseline",IF(BJ213,"At Risk",IF(AND(N(BD213)&gt;=Assumptions!$B$78,N(BE213)&gt;=Assumptions!$B$79,N(BH213)&gt;=1,N(BH213)/MAX(N(BG213),1)&gt;AY213),"Self-Serve Capability Demonstrated",IF(OR(N(BD213)&gt;=Assumptions!$B$76,N(BE213)&gt;=Assumptions!$B$77),"Progressing",IF(BC213&gt;=Assumptions!$B$85,"At Risk","Baseline"))))))</f>
        <v>N/A</v>
      </c>
      <c r="BL213" s="2" t="n">
        <f aca="false">(AND(C213="Broker-Reliant",OR(AK213="Discovery-to-Offer Enablement",AK213="Reinforce Successful Behaviour")))*1+(AND(G213="Declining",E213&lt;&gt;"Tail",AL213="Automated"))*1+(AND(Y213,AM213&lt;&gt;"Human Sign-Off Required"))*1+(AND(AA213,AM213&lt;&gt;"HOLD — Critical Data Issue"))*1+(AND(P213="Recent Inactivity",OR(AK213="Discovery-to-Offer Enablement",AK213="Reinforce Successful Behaviour")))*1+(AND(OR(LEFT(D213,1)="2",LEFT(D213,1)="3",LEFT(D213,1)="8"),AL213="Automated"))*1+((LEFT(D213,1)="1")&lt;&gt;(AK213="Guided Self-Serve Migration"))*1+(AND(AR213&lt;&gt;"",OR(F213&lt;&gt;"Low",U213="Mixed",AND(G213&lt;&gt;"Growing",G213&lt;&gt;"Stable"))))*1+ISNUMBER(SEARCH("chat",AP213))*1+ISNUMBER(SEARCH("video",AP213))*1+(AND(AA213,AL213="Automated",AM213&lt;&gt;"HOLD — Critical Data Issue"))*1</f>
        <v>0</v>
      </c>
    </row>
    <row r="214" customFormat="false" ht="15" hidden="false" customHeight="false" outlineLevel="0" collapsed="false">
      <c r="A214" s="2" t="s">
        <v>405</v>
      </c>
      <c r="B214" s="2" t="str">
        <f aca="false">INDEX(Segmentation!$B$2:$B$301,MATCH($A214,Segmentation!$A$2:$A$301,0))</f>
        <v>Self Serve</v>
      </c>
      <c r="C214" s="2" t="str">
        <f aca="false">INDEX(Segmentation!$H$2:$H$301,MATCH($A214,Segmentation!$A$2:$A$301,0))</f>
        <v>Self-Serve</v>
      </c>
      <c r="D214" s="2" t="str">
        <f aca="false">INDEX(Segmentation!$T$2:$T$301,MATCH($A214,Segmentation!$A$2:$A$301,0))</f>
        <v>6. Growth Opportunity</v>
      </c>
      <c r="E214" s="2" t="str">
        <f aca="false">INDEX(Segmentation!$J$2:$J$301,MATCH($A214,Segmentation!$A$2:$A$301,0))</f>
        <v>Core</v>
      </c>
      <c r="F214" s="2" t="str">
        <f aca="false">INDEX(Segmentation!$G$2:$G$301,MATCH($A214,Segmentation!$A$2:$A$301,0))</f>
        <v>Low</v>
      </c>
      <c r="G214" s="2" t="str">
        <f aca="false">INDEX(Segmentation!$N$2:$N$301,MATCH($A214,Segmentation!$A$2:$A$301,0))</f>
        <v>Growing</v>
      </c>
      <c r="H214" s="9" t="n">
        <f aca="false">INDEX(Segmentation!$I$2:$I$301,MATCH($A214,Segmentation!$A$2:$A$301,0))</f>
        <v>4899</v>
      </c>
      <c r="I214" s="2" t="n">
        <f aca="false">INDEX(Segmentation!$O$2:$O$301,MATCH($A214,Segmentation!$A$2:$A$301,0))</f>
        <v>8</v>
      </c>
      <c r="J214" s="2" t="n">
        <f aca="false">INDEX(Segmentation!$Q$2:$Q$301,MATCH($A214,Segmentation!$A$2:$A$301,0))</f>
        <v>8</v>
      </c>
      <c r="K214" s="2" t="n">
        <f aca="false">INDEX(Segmentation!$W$2:$W$301,MATCH($A214,Segmentation!$A$2:$A$301,0))</f>
        <v>4</v>
      </c>
      <c r="L214" s="9" t="n">
        <f aca="false">INDEX('Commercial View'!$L$2:$L$301,MATCH($A214,'Commercial View'!$A$2:$A$301,0))</f>
        <v>3053</v>
      </c>
      <c r="M214" s="9" t="n">
        <f aca="false">INDEX('Commercial View'!$M$2:$M$301,MATCH($A214,'Commercial View'!$A$2:$A$301,0))</f>
        <v>978</v>
      </c>
      <c r="N214" s="9" t="n">
        <f aca="false">INDEX('Commercial View'!$N$2:$N$301,MATCH($A214,'Commercial View'!$A$2:$A$301,0))</f>
        <v>0</v>
      </c>
      <c r="O214" s="9" t="n">
        <f aca="false">INDEX(Segmentation!$L$2:$L$301,MATCH($A214,Segmentation!$A$2:$A$301,0))</f>
        <v>4031</v>
      </c>
      <c r="P214" s="2" t="str">
        <f aca="false">IF(OR(M214&gt;0,N214&gt;0),"Recently Active",IF(OR(I214&lt;=Assumptions!$B$48,K214&lt;=Assumptions!$B$49),"No Meaningful History","Recent Inactivity"))</f>
        <v>Recently Active</v>
      </c>
      <c r="Q214" s="2" t="str">
        <f aca="false">INDEX(Segmentation!$AF$2:$AF$301,MATCH($A214,Segmentation!$A$2:$A$301,0))</f>
        <v>Existing Customer</v>
      </c>
      <c r="R214" s="2" t="str">
        <f aca="false">INDEX(Segmentation!$AL$2:$AL$301,MATCH($A214,Segmentation!$A$2:$A$301,0))</f>
        <v>N/A</v>
      </c>
      <c r="S214" s="10" t="b">
        <f aca="false">INDEX(Segmentation!$AW$2:$AW$301,MATCH($A214,Segmentation!$A$2:$A$301,0))</f>
        <v>0</v>
      </c>
      <c r="T214" s="2" t="str">
        <f aca="false">INDEX('Feature Data'!$AD$2:$AD$301,MATCH($A214,'Feature Data'!$A$2:$A$301,0))</f>
        <v>Light-touch repeat buyer</v>
      </c>
      <c r="U214" s="2" t="str">
        <f aca="false">INDEX('Feature Data'!$W$2:$W$301,MATCH($A214,'Feature Data'!$A$2:$A$301,0))</f>
        <v>Mixed</v>
      </c>
      <c r="V214" s="2" t="n">
        <f aca="false">INDEX('Feature Data'!$P$2:$P$301,MATCH($A214,'Feature Data'!$A$2:$A$301,0))</f>
        <v>70</v>
      </c>
      <c r="W214" s="2" t="n">
        <f aca="false">INDEX(Segmentation!$R$2:$R$301,MATCH($A214,Segmentation!$A$2:$A$301,0))</f>
        <v>29</v>
      </c>
      <c r="X214" s="2" t="n">
        <f aca="false">INDEX(Segmentation!$S$2:$S$301,MATCH($A214,Segmentation!$A$2:$A$301,0))</f>
        <v>37</v>
      </c>
      <c r="Y214" s="10" t="b">
        <f aca="false">INDEX(Segmentation!$AG$2:$AG$301,MATCH($A214,Segmentation!$A$2:$A$301,0))</f>
        <v>0</v>
      </c>
      <c r="Z214" s="2" t="str">
        <f aca="false">INDEX(Segmentation!$AU$2:$AU$301,MATCH($A214,Segmentation!$A$2:$A$301,0))</f>
        <v>Not Eligible</v>
      </c>
      <c r="AA214" s="10" t="b">
        <f aca="false">INDEX(Segmentation!$Z$2:$Z$301,MATCH($A214,Segmentation!$A$2:$A$301,0))</f>
        <v>0</v>
      </c>
      <c r="AB214" s="10" t="b">
        <f aca="false">INDEX(Segmentation!$AH$2:$AH$301,MATCH($A214,Segmentation!$A$2:$A$301,0))</f>
        <v>0</v>
      </c>
      <c r="AC214" s="10" t="b">
        <f aca="false">INDEX(Segmentation!$AK$2:$AK$301,MATCH($A214,Segmentation!$A$2:$A$301,0))</f>
        <v>0</v>
      </c>
      <c r="AD214" s="10" t="b">
        <f aca="false">INDEX(Segmentation!$AQ$2:$AQ$301,MATCH($A214,Segmentation!$A$2:$A$301,0))</f>
        <v>0</v>
      </c>
      <c r="AE214" s="10" t="b">
        <f aca="false">INDEX(Segmentation!$AT$2:$AT$301,MATCH($A214,Segmentation!$A$2:$A$301,0))</f>
        <v>0</v>
      </c>
      <c r="AF214" s="10" t="b">
        <f aca="false">INDEX(Segmentation!$X$2:$X$301,MATCH($A214,Segmentation!$A$2:$A$301,0))</f>
        <v>0</v>
      </c>
      <c r="AG214" s="10" t="b">
        <f aca="false">AND(F214="Low",V214&gt;=Assumptions!$B$71,X214&lt;Assumptions!$B$72)</f>
        <v>0</v>
      </c>
      <c r="AH214" s="10" t="b">
        <f aca="false">AND(F214="Low",OR(G214="Growing",G214="Stable"),P214="Recently Active",V214&gt;=Assumptions!$B$58,K214&gt;=Assumptions!$B$73)</f>
        <v>1</v>
      </c>
      <c r="AI214" s="17" t="n">
        <f aca="false">IF(O214&gt;0,MAX(L214:N214)/O214,"")</f>
        <v>0.757380302654428</v>
      </c>
      <c r="AJ214" s="2" t="str">
        <f aca="false">IF(LEFT(D214,1)="1",IF(E214="Key","MIGRATION_KEY_SIGNOFF",IF(Z214="Ready","MIGRATION_PHASE1_READY",IF(Z214="Manual Review","MIGRATION_PHASE1_REVIEW","MIGRATION_PRE_ENTRY"))),IF(LEFT(D214,1)="2","DECLINING_KEY_CORE",IF(LEFT(D214,1)="3",IF(R214="Established Buyer Lapsed","LAPSED_ESTABLISHED","LAPSED_THIN_HISTORY"),IF(LEFT(D214,1)="4",IF(Q214="New Customer","NEW_CUSTOMER","RETURNED_CUSTOMER"),IF(LEFT(D214,1)="5",IF(P214="Recently Active","COST_TO_SERVE_ACTIVE","DORMANT_LOW_VALUE"),IF(LEFT(D214,1)="6",IF(P214="Recent Inactivity","RECENT_INACTIVITY",IF(AG214,"BROWSING_LOW_OFFERS","HEALTHY_STRONG_SELF_SERVE")),IF(LEFT(D214,1)="7",IF(P214="Recent Inactivity","RECENT_INACTIVITY",IF(Q214="New Customer","NEW_CUSTOMER","RETURNED_CUSTOMER")),IF(LEFT(D214,1)="8",IF(G214="Declining",IF(T214="Engaged but shrinking (Key/Core)","ENGAGED_BUT_SHRINKING","DECLINING_KEY_CORE"),IF(R214="Established Buyer Lapsed","LAPSED_ESTABLISHED","LAPSED_THIN_HISTORY")),IF(S214,IF(P214&lt;&gt;"Recently Active","DORMANT_LOW_VALUE",IF(AG214,"BROWSING_LOW_OFFERS",IF(AH214,"RISING_TAIL","RISING_TAIL_EARLY"))),IF(AND(AG214,P214="Recently Active",OR(G214="Growing",G214="Stable",G214="H2 Active / No H1 GMV"),I214&gt;=Assumptions!$B$74),"BROWSING_LOW_OFFERS","LONG_TAIL_STANDARD"))))))))))</f>
        <v>HEALTHY_STRONG_SELF_SERVE</v>
      </c>
      <c r="AK214" s="2" t="str">
        <f aca="false">INDEX('NBA Library'!$B$4:$B$21,MATCH(AJ214,'NBA Library'!$A$4:$A$21,0))</f>
        <v>Reinforce Successful Behaviour</v>
      </c>
      <c r="AL214" s="2" t="str">
        <f aca="false">INDEX('NBA Library'!$C$4:$C$21,MATCH(AJ214,'NBA Library'!$A$4:$A$21,0))</f>
        <v>Automated</v>
      </c>
      <c r="AM214" s="2" t="str">
        <f aca="false">IF(AA214,"HOLD — Critical Data Issue",IF(Y214,"Human Sign-Off Required",IF(Z214="Manual Review","Human Review Required",IF(AND(AL214="Automated",OR(AE214,AND(OR(AK214="Discovery-to-Offer Enablement",AK214="Reinforce Successful Behaviour"),OR(AC214,AB214)))),"Human Review Required",IF(AL214="Human","Ready — Human",IF(AL214="Hybrid","Ready — Hybrid","Ready — Automated"))))))</f>
        <v>Ready — Automated</v>
      </c>
      <c r="AN214" s="2" t="str">
        <f aca="false">IF(AA214,"P0",IF(AND(AJ214="BROWSING_LOW_OFFERS",E214="Tail"),"P3",IF(AND(AM214="Human Review Required",INDEX('NBA Library'!$D$4:$D$21,MATCH(AJ214,'NBA Library'!$A$4:$A$21,0))="P4"),"P3",INDEX('NBA Library'!$D$4:$D$21,MATCH(AJ214,'NBA Library'!$A$4:$A$21,0)))))</f>
        <v>P2</v>
      </c>
      <c r="AO214" s="2" t="str">
        <f aca="false">E214&amp;" "&amp;C214&amp;" account ("&amp;B214&amp;"); "&amp;G214&amp;" momentum; "&amp;P214&amp;"; £"&amp;TEXT(H214,"#,##0")&amp;" 6m GMV. "&amp;INDEX('NBA Library'!$G$4:$G$21,MATCH(AJ214,'NBA Library'!$A$4:$A$21,0))&amp;IF(LEFT(D214,1)="1"," Baseline: "&amp;V214&amp;" PDP views, "&amp;W214&amp;" app days, "&amp;X214&amp;" offers, "&amp;TEXT(J214/I214,"0%")&amp;" of orders self-serve.","")&amp;IF(AA214," Execution on HOLD until the Duplicate status is resolved.","")&amp;IF(Y214," Key account: explicit AM/leadership sign-off required before any migration activity.","")&amp;IF(AE214," Implied broker % from order counts would move this account to a different segment; review before automating.","")</f>
        <v>Core Self-Serve account (Self Serve); Growing momentum; Recently Active; £4,899 6m GMV. Low-dependency account with growing/stable spend, recent activity and strong independent browsing. Reinforce what is working.</v>
      </c>
      <c r="AP214" s="2" t="str">
        <f aca="false">INDEX('NBA Library'!$E$4:$E$21,MATCH(AJ214,'NBA Library'!$A$4:$A$21,0))&amp;IF(AND(AJ214="NEW_CUSTOMER",AG214),"; introduce Make-an-Offer on items already browsed","")</f>
        <v>Maintain current browsing and purchasing; light-touch reinforcement only</v>
      </c>
      <c r="AQ214" s="2" t="str">
        <f aca="false">INDEX('NBA Library'!$F$4:$F$21,MATCH(AJ214,'NBA Library'!$A$4:$A$21,0))</f>
        <v>GMV run-rate maintained or higher; GMV in each month of the next quarter</v>
      </c>
      <c r="AR214" s="2" t="str">
        <f aca="false">IF(AND(F214="Low",OR(G214="Growing",G214="Stable"),P214="Recently Active",U214&lt;&gt;"Mixed",OR(AK214="Discovery-to-Offer Enablement",AK214="Reinforce Successful Behaviour"),AM214="Ready — Automated",OR(E214&lt;&gt;"Tail",S214)),"Range Expansion Test — trial "&amp;IF(U214="Bundle-only","handpick","bundles")&amp;" (experimental; not proven to lift GMV)","")</f>
        <v/>
      </c>
      <c r="AS214" s="2" t="str">
        <f aca="false">IF(AK214&lt;&gt;"Automated Nurture","",IF(AJ214="DORMANT_LOW_VALUE","Dormant",IF(AJ214="RISING_TAIL_EARLY","Rising tail – early pattern",IF(Q214="New Customer","New customer onboarding",IF(Q214="Returned Customer","Returned customer",IF(G214="Lapsed","Dormant",IF(T214="Engaged, not converting","Engaged, not converting",IF(T214="One-off low-touch buyer","One-off purchaser",IF(T214="Light-touch repeat buyer","Light-touch repeat buyer","Standard long tail")))))))))</f>
        <v/>
      </c>
      <c r="AT214" s="2" t="str">
        <f aca="false">IF(AA214,"CRITICAL_DATA_BLOCKER; ","")&amp;IF(Y214,"KEY_SIGNOFF; ","")&amp;IF(Z214="Manual Review","PHASE1_MANUAL_REVIEW; ","")&amp;IF(AND(LEFT(D214,1)="1",AZ214="Lumpy"),"LUMPY_CADENCE; ","")&amp;IF(AB214,"BORDERLINE_MOMENTUM; ","")&amp;IF(AC214,"FEB_SENSITIVE; ","")&amp;IF(AD214,"MATERIAL_BROKER_INCONSISTENCY"&amp;IF(AE214," (segment would change)","")&amp;"; ","")&amp;IF(AND(I214&gt;=3,O214&gt;0),IF(AI214&gt;=Assumptions!$B$75,"H2_SINGLE_MONTH_SPIKE; ",""),"")&amp;IF(AND(M214&gt;0,N214=0),"NO_FEB_GMV (Feb unconfirmed); ","")&amp;IF(AF214,"LOW_CONFIDENCE; ","")</f>
        <v>NO_FEB_GMV (Feb unconfirmed); </v>
      </c>
      <c r="AU214" s="2" t="str">
        <f aca="false">IF(LEFT(D214,1)="1",V214,"")</f>
        <v/>
      </c>
      <c r="AV214" s="2" t="str">
        <f aca="false">IF(LEFT(D214,1)="1",V214&gt;=Assumptions!$B$58,"")</f>
        <v/>
      </c>
      <c r="AW214" s="2" t="str">
        <f aca="false">IF(LEFT(D214,1)="1",W214,"")</f>
        <v/>
      </c>
      <c r="AX214" s="2" t="str">
        <f aca="false">IF(LEFT(D214,1)="1",X214,"")</f>
        <v/>
      </c>
      <c r="AY214" s="17" t="str">
        <f aca="false">IF(LEFT(D214,1)="1",J214/I214,"")</f>
        <v/>
      </c>
      <c r="AZ214" s="2" t="str">
        <f aca="false">IF(LEFT(D214,1)="1",IF(AND(K214&gt;=Assumptions!$B$83,I214&gt;=Assumptions!$B$84),"Regular","Lumpy"),"")</f>
        <v/>
      </c>
      <c r="BA214" s="2" t="str">
        <f aca="false">IF(LEFT(D214,1)="1",ROUND(6/K214,0),"")</f>
        <v/>
      </c>
      <c r="BB214" s="2" t="str">
        <f aca="false">IF(LEFT(D214,1)="1",IF(AZ214="Regular","Regular buyer: expected ~£"&amp;TEXT(H214/2,"#,##0")&amp;" per 90 days. At Risk if GMV to date &lt; "&amp;TEXT(Assumptions!$B$81,"0%")&amp;" of pro-rated expectation, checked from day "&amp;Assumptions!$B$82&amp;". Human-reviewed.","Irregular buyer ("&amp;I214&amp;" orders across "&amp;K214&amp;" months): no numeric GMV threshold. At Risk if no order within ~"&amp;BA214&amp;" month(s); AM reviews at day "&amp;Assumptions!$B$82&amp;" and "&amp;Assumptions!$B$85&amp;"."),"")</f>
        <v/>
      </c>
      <c r="BC214" s="2"/>
      <c r="BD214" s="2"/>
      <c r="BE214" s="2"/>
      <c r="BF214" s="2"/>
      <c r="BG214" s="2"/>
      <c r="BH214" s="2"/>
      <c r="BI214" s="2"/>
      <c r="BJ214" s="2" t="str">
        <f aca="false">IF(OR(NOT(LEFT(D214,1)="1"),BC214=""),"",IF(AZ214="Regular",AND(BC214&gt;=Assumptions!$B$82,N(BI214)&lt;Assumptions!$B$81*H214/180*BC214),AND(BC214&gt;=BA214*30,N(BG214)=0)))</f>
        <v/>
      </c>
      <c r="BK214" s="2" t="str">
        <f aca="false">IF(NOT(LEFT(D214,1)="1"),"N/A",IF(BC214="","Baseline",IF(BJ214,"At Risk",IF(AND(N(BD214)&gt;=Assumptions!$B$78,N(BE214)&gt;=Assumptions!$B$79,N(BH214)&gt;=1,N(BH214)/MAX(N(BG214),1)&gt;AY214),"Self-Serve Capability Demonstrated",IF(OR(N(BD214)&gt;=Assumptions!$B$76,N(BE214)&gt;=Assumptions!$B$77),"Progressing",IF(BC214&gt;=Assumptions!$B$85,"At Risk","Baseline"))))))</f>
        <v>N/A</v>
      </c>
      <c r="BL214" s="2" t="n">
        <f aca="false">(AND(C214="Broker-Reliant",OR(AK214="Discovery-to-Offer Enablement",AK214="Reinforce Successful Behaviour")))*1+(AND(G214="Declining",E214&lt;&gt;"Tail",AL214="Automated"))*1+(AND(Y214,AM214&lt;&gt;"Human Sign-Off Required"))*1+(AND(AA214,AM214&lt;&gt;"HOLD — Critical Data Issue"))*1+(AND(P214="Recent Inactivity",OR(AK214="Discovery-to-Offer Enablement",AK214="Reinforce Successful Behaviour")))*1+(AND(OR(LEFT(D214,1)="2",LEFT(D214,1)="3",LEFT(D214,1)="8"),AL214="Automated"))*1+((LEFT(D214,1)="1")&lt;&gt;(AK214="Guided Self-Serve Migration"))*1+(AND(AR214&lt;&gt;"",OR(F214&lt;&gt;"Low",U214="Mixed",AND(G214&lt;&gt;"Growing",G214&lt;&gt;"Stable"))))*1+ISNUMBER(SEARCH("chat",AP214))*1+ISNUMBER(SEARCH("video",AP214))*1+(AND(AA214,AL214="Automated",AM214&lt;&gt;"HOLD — Critical Data Issue"))*1</f>
        <v>0</v>
      </c>
    </row>
    <row r="215" customFormat="false" ht="15" hidden="false" customHeight="false" outlineLevel="0" collapsed="false">
      <c r="A215" s="2" t="s">
        <v>226</v>
      </c>
      <c r="B215" s="2" t="str">
        <f aca="false">INDEX(Segmentation!$B$2:$B$301,MATCH($A215,Segmentation!$A$2:$A$301,0))</f>
        <v>Self Serve</v>
      </c>
      <c r="C215" s="2" t="str">
        <f aca="false">INDEX(Segmentation!$H$2:$H$301,MATCH($A215,Segmentation!$A$2:$A$301,0))</f>
        <v>Self-Serve</v>
      </c>
      <c r="D215" s="2" t="str">
        <f aca="false">INDEX(Segmentation!$T$2:$T$301,MATCH($A215,Segmentation!$A$2:$A$301,0))</f>
        <v>8. Retention / Reactivation</v>
      </c>
      <c r="E215" s="2" t="str">
        <f aca="false">INDEX(Segmentation!$J$2:$J$301,MATCH($A215,Segmentation!$A$2:$A$301,0))</f>
        <v>Core</v>
      </c>
      <c r="F215" s="2" t="str">
        <f aca="false">INDEX(Segmentation!$G$2:$G$301,MATCH($A215,Segmentation!$A$2:$A$301,0))</f>
        <v>Low</v>
      </c>
      <c r="G215" s="2" t="str">
        <f aca="false">INDEX(Segmentation!$N$2:$N$301,MATCH($A215,Segmentation!$A$2:$A$301,0))</f>
        <v>Declining</v>
      </c>
      <c r="H215" s="9" t="n">
        <f aca="false">INDEX(Segmentation!$I$2:$I$301,MATCH($A215,Segmentation!$A$2:$A$301,0))</f>
        <v>4632</v>
      </c>
      <c r="I215" s="2" t="n">
        <f aca="false">INDEX(Segmentation!$O$2:$O$301,MATCH($A215,Segmentation!$A$2:$A$301,0))</f>
        <v>12</v>
      </c>
      <c r="J215" s="2" t="n">
        <f aca="false">INDEX(Segmentation!$Q$2:$Q$301,MATCH($A215,Segmentation!$A$2:$A$301,0))</f>
        <v>12</v>
      </c>
      <c r="K215" s="2" t="n">
        <f aca="false">INDEX(Segmentation!$W$2:$W$301,MATCH($A215,Segmentation!$A$2:$A$301,0))</f>
        <v>3</v>
      </c>
      <c r="L215" s="9" t="n">
        <f aca="false">INDEX('Commercial View'!$L$2:$L$301,MATCH($A215,'Commercial View'!$A$2:$A$301,0))</f>
        <v>0</v>
      </c>
      <c r="M215" s="9" t="n">
        <f aca="false">INDEX('Commercial View'!$M$2:$M$301,MATCH($A215,'Commercial View'!$A$2:$A$301,0))</f>
        <v>116</v>
      </c>
      <c r="N215" s="9" t="n">
        <f aca="false">INDEX('Commercial View'!$N$2:$N$301,MATCH($A215,'Commercial View'!$A$2:$A$301,0))</f>
        <v>0</v>
      </c>
      <c r="O215" s="9" t="n">
        <f aca="false">INDEX(Segmentation!$L$2:$L$301,MATCH($A215,Segmentation!$A$2:$A$301,0))</f>
        <v>116</v>
      </c>
      <c r="P215" s="2" t="str">
        <f aca="false">IF(OR(M215&gt;0,N215&gt;0),"Recently Active",IF(OR(I215&lt;=Assumptions!$B$48,K215&lt;=Assumptions!$B$49),"No Meaningful History","Recent Inactivity"))</f>
        <v>Recently Active</v>
      </c>
      <c r="Q215" s="2" t="str">
        <f aca="false">INDEX(Segmentation!$AF$2:$AF$301,MATCH($A215,Segmentation!$A$2:$A$301,0))</f>
        <v>Existing Customer</v>
      </c>
      <c r="R215" s="2" t="str">
        <f aca="false">INDEX(Segmentation!$AL$2:$AL$301,MATCH($A215,Segmentation!$A$2:$A$301,0))</f>
        <v>N/A</v>
      </c>
      <c r="S215" s="10" t="b">
        <f aca="false">INDEX(Segmentation!$AW$2:$AW$301,MATCH($A215,Segmentation!$A$2:$A$301,0))</f>
        <v>0</v>
      </c>
      <c r="T215" s="2" t="str">
        <f aca="false">INDEX('Feature Data'!$AD$2:$AD$301,MATCH($A215,'Feature Data'!$A$2:$A$301,0))</f>
        <v>Engaged but shrinking (Key/Core)</v>
      </c>
      <c r="U215" s="2" t="str">
        <f aca="false">INDEX('Feature Data'!$W$2:$W$301,MATCH($A215,'Feature Data'!$A$2:$A$301,0))</f>
        <v>Mixed</v>
      </c>
      <c r="V215" s="2" t="n">
        <f aca="false">INDEX('Feature Data'!$P$2:$P$301,MATCH($A215,'Feature Data'!$A$2:$A$301,0))</f>
        <v>665</v>
      </c>
      <c r="W215" s="2" t="n">
        <f aca="false">INDEX(Segmentation!$R$2:$R$301,MATCH($A215,Segmentation!$A$2:$A$301,0))</f>
        <v>74</v>
      </c>
      <c r="X215" s="2" t="n">
        <f aca="false">INDEX(Segmentation!$S$2:$S$301,MATCH($A215,Segmentation!$A$2:$A$301,0))</f>
        <v>53</v>
      </c>
      <c r="Y215" s="10" t="b">
        <f aca="false">INDEX(Segmentation!$AG$2:$AG$301,MATCH($A215,Segmentation!$A$2:$A$301,0))</f>
        <v>0</v>
      </c>
      <c r="Z215" s="2" t="str">
        <f aca="false">INDEX(Segmentation!$AU$2:$AU$301,MATCH($A215,Segmentation!$A$2:$A$301,0))</f>
        <v>Not Eligible</v>
      </c>
      <c r="AA215" s="10" t="b">
        <f aca="false">INDEX(Segmentation!$Z$2:$Z$301,MATCH($A215,Segmentation!$A$2:$A$301,0))</f>
        <v>0</v>
      </c>
      <c r="AB215" s="10" t="b">
        <f aca="false">INDEX(Segmentation!$AH$2:$AH$301,MATCH($A215,Segmentation!$A$2:$A$301,0))</f>
        <v>0</v>
      </c>
      <c r="AC215" s="10" t="b">
        <f aca="false">INDEX(Segmentation!$AK$2:$AK$301,MATCH($A215,Segmentation!$A$2:$A$301,0))</f>
        <v>0</v>
      </c>
      <c r="AD215" s="10" t="b">
        <f aca="false">INDEX(Segmentation!$AQ$2:$AQ$301,MATCH($A215,Segmentation!$A$2:$A$301,0))</f>
        <v>0</v>
      </c>
      <c r="AE215" s="10" t="b">
        <f aca="false">INDEX(Segmentation!$AT$2:$AT$301,MATCH($A215,Segmentation!$A$2:$A$301,0))</f>
        <v>0</v>
      </c>
      <c r="AF215" s="10" t="b">
        <f aca="false">INDEX(Segmentation!$X$2:$X$301,MATCH($A215,Segmentation!$A$2:$A$301,0))</f>
        <v>0</v>
      </c>
      <c r="AG215" s="10" t="b">
        <f aca="false">AND(F215="Low",V215&gt;=Assumptions!$B$71,X215&lt;Assumptions!$B$72)</f>
        <v>0</v>
      </c>
      <c r="AH215" s="10" t="b">
        <f aca="false">AND(F215="Low",OR(G215="Growing",G215="Stable"),P215="Recently Active",V215&gt;=Assumptions!$B$58,K215&gt;=Assumptions!$B$73)</f>
        <v>0</v>
      </c>
      <c r="AI215" s="17" t="n">
        <f aca="false">IF(O215&gt;0,MAX(L215:N215)/O215,"")</f>
        <v>1</v>
      </c>
      <c r="AJ215" s="2" t="str">
        <f aca="false">IF(LEFT(D215,1)="1",IF(E215="Key","MIGRATION_KEY_SIGNOFF",IF(Z215="Ready","MIGRATION_PHASE1_READY",IF(Z215="Manual Review","MIGRATION_PHASE1_REVIEW","MIGRATION_PRE_ENTRY"))),IF(LEFT(D215,1)="2","DECLINING_KEY_CORE",IF(LEFT(D215,1)="3",IF(R215="Established Buyer Lapsed","LAPSED_ESTABLISHED","LAPSED_THIN_HISTORY"),IF(LEFT(D215,1)="4",IF(Q215="New Customer","NEW_CUSTOMER","RETURNED_CUSTOMER"),IF(LEFT(D215,1)="5",IF(P215="Recently Active","COST_TO_SERVE_ACTIVE","DORMANT_LOW_VALUE"),IF(LEFT(D215,1)="6",IF(P215="Recent Inactivity","RECENT_INACTIVITY",IF(AG215,"BROWSING_LOW_OFFERS","HEALTHY_STRONG_SELF_SERVE")),IF(LEFT(D215,1)="7",IF(P215="Recent Inactivity","RECENT_INACTIVITY",IF(Q215="New Customer","NEW_CUSTOMER","RETURNED_CUSTOMER")),IF(LEFT(D215,1)="8",IF(G215="Declining",IF(T215="Engaged but shrinking (Key/Core)","ENGAGED_BUT_SHRINKING","DECLINING_KEY_CORE"),IF(R215="Established Buyer Lapsed","LAPSED_ESTABLISHED","LAPSED_THIN_HISTORY")),IF(S215,IF(P215&lt;&gt;"Recently Active","DORMANT_LOW_VALUE",IF(AG215,"BROWSING_LOW_OFFERS",IF(AH215,"RISING_TAIL","RISING_TAIL_EARLY"))),IF(AND(AG215,P215="Recently Active",OR(G215="Growing",G215="Stable",G215="H2 Active / No H1 GMV"),I215&gt;=Assumptions!$B$74),"BROWSING_LOW_OFFERS","LONG_TAIL_STANDARD"))))))))))</f>
        <v>ENGAGED_BUT_SHRINKING</v>
      </c>
      <c r="AK215" s="2" t="str">
        <f aca="false">INDEX('NBA Library'!$B$4:$B$21,MATCH(AJ215,'NBA Library'!$A$4:$A$21,0))</f>
        <v>Retention Conversation</v>
      </c>
      <c r="AL215" s="2" t="str">
        <f aca="false">INDEX('NBA Library'!$C$4:$C$21,MATCH(AJ215,'NBA Library'!$A$4:$A$21,0))</f>
        <v>Human</v>
      </c>
      <c r="AM215" s="2" t="str">
        <f aca="false">IF(AA215,"HOLD — Critical Data Issue",IF(Y215,"Human Sign-Off Required",IF(Z215="Manual Review","Human Review Required",IF(AND(AL215="Automated",OR(AE215,AND(OR(AK215="Discovery-to-Offer Enablement",AK215="Reinforce Successful Behaviour"),OR(AC215,AB215)))),"Human Review Required",IF(AL215="Human","Ready — Human",IF(AL215="Hybrid","Ready — Hybrid","Ready — Automated"))))))</f>
        <v>Ready — Human</v>
      </c>
      <c r="AN215" s="2" t="str">
        <f aca="false">IF(AA215,"P0",IF(AND(AJ215="BROWSING_LOW_OFFERS",E215="Tail"),"P3",IF(AND(AM215="Human Review Required",INDEX('NBA Library'!$D$4:$D$21,MATCH(AJ215,'NBA Library'!$A$4:$A$21,0))="P4"),"P3",INDEX('NBA Library'!$D$4:$D$21,MATCH(AJ215,'NBA Library'!$A$4:$A$21,0)))))</f>
        <v>P1</v>
      </c>
      <c r="AO215" s="2" t="str">
        <f aca="false">E215&amp;" "&amp;C215&amp;" account ("&amp;B215&amp;"); "&amp;G215&amp;" momentum; "&amp;P215&amp;"; £"&amp;TEXT(H215,"#,##0")&amp;" 6m GMV. "&amp;INDEX('NBA Library'!$G$4:$G$21,MATCH(AJ215,'NBA Library'!$A$4:$A$21,0))&amp;IF(LEFT(D215,1)="1"," Baseline: "&amp;V215&amp;" PDP views, "&amp;W215&amp;" app days, "&amp;X215&amp;" offers, "&amp;TEXT(J215/I215,"0%")&amp;" of orders self-serve.","")&amp;IF(AA215," Execution on HOLD until the Duplicate status is resolved.","")&amp;IF(Y215," Key account: explicit AM/leadership sign-off required before any migration activity.","")&amp;IF(AE215," Implied broker % from order counts would move this account to a different segment; review before automating.","")</f>
        <v>Core Self-Serve account (Self Serve); Declining momentum; Recently Active; £4,632 6m GMV. Already heavily self-serving (high browsing / offers) but spend is falling. Product adoption is not the issue.</v>
      </c>
      <c r="AP215" s="2" t="str">
        <f aca="false">INDEX('NBA Library'!$E$4:$E$21,MATCH(AJ215,'NBA Library'!$A$4:$A$21,0))&amp;IF(AND(AJ215="NEW_CUSTOMER",AG215),"; introduce Make-an-Offer on items already browsed","")</f>
        <v>AM investigates supply, price, competition or conversion friction; no additional product nudges</v>
      </c>
      <c r="AQ215" s="2" t="str">
        <f aca="false">INDEX('NBA Library'!$F$4:$F$21,MATCH(AJ215,'NBA Library'!$A$4:$A$21,0))</f>
        <v>Root cause logged; next 90-day GMV back to at least the Sep-Nov (H1) level</v>
      </c>
      <c r="AR215" s="2" t="str">
        <f aca="false">IF(AND(F215="Low",OR(G215="Growing",G215="Stable"),P215="Recently Active",U215&lt;&gt;"Mixed",OR(AK215="Discovery-to-Offer Enablement",AK215="Reinforce Successful Behaviour"),AM215="Ready — Automated",OR(E215&lt;&gt;"Tail",S215)),"Range Expansion Test — trial "&amp;IF(U215="Bundle-only","handpick","bundles")&amp;" (experimental; not proven to lift GMV)","")</f>
        <v/>
      </c>
      <c r="AS215" s="2" t="str">
        <f aca="false">IF(AK215&lt;&gt;"Automated Nurture","",IF(AJ215="DORMANT_LOW_VALUE","Dormant",IF(AJ215="RISING_TAIL_EARLY","Rising tail – early pattern",IF(Q215="New Customer","New customer onboarding",IF(Q215="Returned Customer","Returned customer",IF(G215="Lapsed","Dormant",IF(T215="Engaged, not converting","Engaged, not converting",IF(T215="One-off low-touch buyer","One-off purchaser",IF(T215="Light-touch repeat buyer","Light-touch repeat buyer","Standard long tail")))))))))</f>
        <v/>
      </c>
      <c r="AT215" s="2" t="str">
        <f aca="false">IF(AA215,"CRITICAL_DATA_BLOCKER; ","")&amp;IF(Y215,"KEY_SIGNOFF; ","")&amp;IF(Z215="Manual Review","PHASE1_MANUAL_REVIEW; ","")&amp;IF(AND(LEFT(D215,1)="1",AZ215="Lumpy"),"LUMPY_CADENCE; ","")&amp;IF(AB215,"BORDERLINE_MOMENTUM; ","")&amp;IF(AC215,"FEB_SENSITIVE; ","")&amp;IF(AD215,"MATERIAL_BROKER_INCONSISTENCY"&amp;IF(AE215," (segment would change)","")&amp;"; ","")&amp;IF(AND(I215&gt;=3,O215&gt;0),IF(AI215&gt;=Assumptions!$B$75,"H2_SINGLE_MONTH_SPIKE; ",""),"")&amp;IF(AND(M215&gt;0,N215=0),"NO_FEB_GMV (Feb unconfirmed); ","")&amp;IF(AF215,"LOW_CONFIDENCE; ","")</f>
        <v>H2_SINGLE_MONTH_SPIKE; NO_FEB_GMV (Feb unconfirmed); </v>
      </c>
      <c r="AU215" s="2" t="str">
        <f aca="false">IF(LEFT(D215,1)="1",V215,"")</f>
        <v/>
      </c>
      <c r="AV215" s="2" t="str">
        <f aca="false">IF(LEFT(D215,1)="1",V215&gt;=Assumptions!$B$58,"")</f>
        <v/>
      </c>
      <c r="AW215" s="2" t="str">
        <f aca="false">IF(LEFT(D215,1)="1",W215,"")</f>
        <v/>
      </c>
      <c r="AX215" s="2" t="str">
        <f aca="false">IF(LEFT(D215,1)="1",X215,"")</f>
        <v/>
      </c>
      <c r="AY215" s="17" t="str">
        <f aca="false">IF(LEFT(D215,1)="1",J215/I215,"")</f>
        <v/>
      </c>
      <c r="AZ215" s="2" t="str">
        <f aca="false">IF(LEFT(D215,1)="1",IF(AND(K215&gt;=Assumptions!$B$83,I215&gt;=Assumptions!$B$84),"Regular","Lumpy"),"")</f>
        <v/>
      </c>
      <c r="BA215" s="2" t="str">
        <f aca="false">IF(LEFT(D215,1)="1",ROUND(6/K215,0),"")</f>
        <v/>
      </c>
      <c r="BB215" s="2" t="str">
        <f aca="false">IF(LEFT(D215,1)="1",IF(AZ215="Regular","Regular buyer: expected ~£"&amp;TEXT(H215/2,"#,##0")&amp;" per 90 days. At Risk if GMV to date &lt; "&amp;TEXT(Assumptions!$B$81,"0%")&amp;" of pro-rated expectation, checked from day "&amp;Assumptions!$B$82&amp;". Human-reviewed.","Irregular buyer ("&amp;I215&amp;" orders across "&amp;K215&amp;" months): no numeric GMV threshold. At Risk if no order within ~"&amp;BA215&amp;" month(s); AM reviews at day "&amp;Assumptions!$B$82&amp;" and "&amp;Assumptions!$B$85&amp;"."),"")</f>
        <v/>
      </c>
      <c r="BC215" s="2"/>
      <c r="BD215" s="2"/>
      <c r="BE215" s="2"/>
      <c r="BF215" s="2"/>
      <c r="BG215" s="2"/>
      <c r="BH215" s="2"/>
      <c r="BI215" s="2"/>
      <c r="BJ215" s="2" t="str">
        <f aca="false">IF(OR(NOT(LEFT(D215,1)="1"),BC215=""),"",IF(AZ215="Regular",AND(BC215&gt;=Assumptions!$B$82,N(BI215)&lt;Assumptions!$B$81*H215/180*BC215),AND(BC215&gt;=BA215*30,N(BG215)=0)))</f>
        <v/>
      </c>
      <c r="BK215" s="2" t="str">
        <f aca="false">IF(NOT(LEFT(D215,1)="1"),"N/A",IF(BC215="","Baseline",IF(BJ215,"At Risk",IF(AND(N(BD215)&gt;=Assumptions!$B$78,N(BE215)&gt;=Assumptions!$B$79,N(BH215)&gt;=1,N(BH215)/MAX(N(BG215),1)&gt;AY215),"Self-Serve Capability Demonstrated",IF(OR(N(BD215)&gt;=Assumptions!$B$76,N(BE215)&gt;=Assumptions!$B$77),"Progressing",IF(BC215&gt;=Assumptions!$B$85,"At Risk","Baseline"))))))</f>
        <v>N/A</v>
      </c>
      <c r="BL215" s="2" t="n">
        <f aca="false">(AND(C215="Broker-Reliant",OR(AK215="Discovery-to-Offer Enablement",AK215="Reinforce Successful Behaviour")))*1+(AND(G215="Declining",E215&lt;&gt;"Tail",AL215="Automated"))*1+(AND(Y215,AM215&lt;&gt;"Human Sign-Off Required"))*1+(AND(AA215,AM215&lt;&gt;"HOLD — Critical Data Issue"))*1+(AND(P215="Recent Inactivity",OR(AK215="Discovery-to-Offer Enablement",AK215="Reinforce Successful Behaviour")))*1+(AND(OR(LEFT(D215,1)="2",LEFT(D215,1)="3",LEFT(D215,1)="8"),AL215="Automated"))*1+((LEFT(D215,1)="1")&lt;&gt;(AK215="Guided Self-Serve Migration"))*1+(AND(AR215&lt;&gt;"",OR(F215&lt;&gt;"Low",U215="Mixed",AND(G215&lt;&gt;"Growing",G215&lt;&gt;"Stable"))))*1+ISNUMBER(SEARCH("chat",AP215))*1+ISNUMBER(SEARCH("video",AP215))*1+(AND(AA215,AL215="Automated",AM215&lt;&gt;"HOLD — Critical Data Issue"))*1</f>
        <v>0</v>
      </c>
    </row>
    <row r="216" customFormat="false" ht="15" hidden="false" customHeight="false" outlineLevel="0" collapsed="false">
      <c r="A216" s="2" t="s">
        <v>232</v>
      </c>
      <c r="B216" s="2" t="str">
        <f aca="false">INDEX(Segmentation!$B$2:$B$301,MATCH($A216,Segmentation!$A$2:$A$301,0))</f>
        <v>Self Serve</v>
      </c>
      <c r="C216" s="2" t="str">
        <f aca="false">INDEX(Segmentation!$H$2:$H$301,MATCH($A216,Segmentation!$A$2:$A$301,0))</f>
        <v>Self-Serve</v>
      </c>
      <c r="D216" s="2" t="str">
        <f aca="false">INDEX(Segmentation!$T$2:$T$301,MATCH($A216,Segmentation!$A$2:$A$301,0))</f>
        <v>8. Retention / Reactivation</v>
      </c>
      <c r="E216" s="2" t="str">
        <f aca="false">INDEX(Segmentation!$J$2:$J$301,MATCH($A216,Segmentation!$A$2:$A$301,0))</f>
        <v>Core</v>
      </c>
      <c r="F216" s="2" t="str">
        <f aca="false">INDEX(Segmentation!$G$2:$G$301,MATCH($A216,Segmentation!$A$2:$A$301,0))</f>
        <v>Low</v>
      </c>
      <c r="G216" s="2" t="str">
        <f aca="false">INDEX(Segmentation!$N$2:$N$301,MATCH($A216,Segmentation!$A$2:$A$301,0))</f>
        <v>Lapsed</v>
      </c>
      <c r="H216" s="9" t="n">
        <f aca="false">INDEX(Segmentation!$I$2:$I$301,MATCH($A216,Segmentation!$A$2:$A$301,0))</f>
        <v>3907</v>
      </c>
      <c r="I216" s="2" t="n">
        <f aca="false">INDEX(Segmentation!$O$2:$O$301,MATCH($A216,Segmentation!$A$2:$A$301,0))</f>
        <v>1</v>
      </c>
      <c r="J216" s="2" t="n">
        <f aca="false">INDEX(Segmentation!$Q$2:$Q$301,MATCH($A216,Segmentation!$A$2:$A$301,0))</f>
        <v>1</v>
      </c>
      <c r="K216" s="2" t="n">
        <f aca="false">INDEX(Segmentation!$W$2:$W$301,MATCH($A216,Segmentation!$A$2:$A$301,0))</f>
        <v>1</v>
      </c>
      <c r="L216" s="9" t="n">
        <f aca="false">INDEX('Commercial View'!$L$2:$L$301,MATCH($A216,'Commercial View'!$A$2:$A$301,0))</f>
        <v>0</v>
      </c>
      <c r="M216" s="9" t="n">
        <f aca="false">INDEX('Commercial View'!$M$2:$M$301,MATCH($A216,'Commercial View'!$A$2:$A$301,0))</f>
        <v>0</v>
      </c>
      <c r="N216" s="9" t="n">
        <f aca="false">INDEX('Commercial View'!$N$2:$N$301,MATCH($A216,'Commercial View'!$A$2:$A$301,0))</f>
        <v>0</v>
      </c>
      <c r="O216" s="9" t="n">
        <f aca="false">INDEX(Segmentation!$L$2:$L$301,MATCH($A216,Segmentation!$A$2:$A$301,0))</f>
        <v>0</v>
      </c>
      <c r="P216" s="2" t="str">
        <f aca="false">IF(OR(M216&gt;0,N216&gt;0),"Recently Active",IF(OR(I216&lt;=Assumptions!$B$48,K216&lt;=Assumptions!$B$49),"No Meaningful History","Recent Inactivity"))</f>
        <v>No Meaningful History</v>
      </c>
      <c r="Q216" s="2" t="str">
        <f aca="false">INDEX(Segmentation!$AF$2:$AF$301,MATCH($A216,Segmentation!$A$2:$A$301,0))</f>
        <v>Existing Customer</v>
      </c>
      <c r="R216" s="2" t="str">
        <f aca="false">INDEX(Segmentation!$AL$2:$AL$301,MATCH($A216,Segmentation!$A$2:$A$301,0))</f>
        <v>One-Off / Insufficient History — Verify</v>
      </c>
      <c r="S216" s="10" t="b">
        <f aca="false">INDEX(Segmentation!$AW$2:$AW$301,MATCH($A216,Segmentation!$A$2:$A$301,0))</f>
        <v>0</v>
      </c>
      <c r="T216" s="2" t="str">
        <f aca="false">INDEX('Feature Data'!$AD$2:$AD$301,MATCH($A216,'Feature Data'!$A$2:$A$301,0))</f>
        <v>One-off low-touch buyer</v>
      </c>
      <c r="U216" s="2" t="str">
        <f aca="false">INDEX('Feature Data'!$W$2:$W$301,MATCH($A216,'Feature Data'!$A$2:$A$301,0))</f>
        <v>Handpick-only</v>
      </c>
      <c r="V216" s="2" t="n">
        <f aca="false">INDEX('Feature Data'!$P$2:$P$301,MATCH($A216,'Feature Data'!$A$2:$A$301,0))</f>
        <v>76</v>
      </c>
      <c r="W216" s="2" t="n">
        <f aca="false">INDEX(Segmentation!$R$2:$R$301,MATCH($A216,Segmentation!$A$2:$A$301,0))</f>
        <v>14</v>
      </c>
      <c r="X216" s="2" t="n">
        <f aca="false">INDEX(Segmentation!$S$2:$S$301,MATCH($A216,Segmentation!$A$2:$A$301,0))</f>
        <v>0</v>
      </c>
      <c r="Y216" s="10" t="b">
        <f aca="false">INDEX(Segmentation!$AG$2:$AG$301,MATCH($A216,Segmentation!$A$2:$A$301,0))</f>
        <v>0</v>
      </c>
      <c r="Z216" s="2" t="str">
        <f aca="false">INDEX(Segmentation!$AU$2:$AU$301,MATCH($A216,Segmentation!$A$2:$A$301,0))</f>
        <v>Not Eligible</v>
      </c>
      <c r="AA216" s="10" t="b">
        <f aca="false">INDEX(Segmentation!$Z$2:$Z$301,MATCH($A216,Segmentation!$A$2:$A$301,0))</f>
        <v>0</v>
      </c>
      <c r="AB216" s="10" t="b">
        <f aca="false">INDEX(Segmentation!$AH$2:$AH$301,MATCH($A216,Segmentation!$A$2:$A$301,0))</f>
        <v>0</v>
      </c>
      <c r="AC216" s="10" t="b">
        <f aca="false">INDEX(Segmentation!$AK$2:$AK$301,MATCH($A216,Segmentation!$A$2:$A$301,0))</f>
        <v>0</v>
      </c>
      <c r="AD216" s="10" t="b">
        <f aca="false">INDEX(Segmentation!$AQ$2:$AQ$301,MATCH($A216,Segmentation!$A$2:$A$301,0))</f>
        <v>0</v>
      </c>
      <c r="AE216" s="10" t="b">
        <f aca="false">INDEX(Segmentation!$AT$2:$AT$301,MATCH($A216,Segmentation!$A$2:$A$301,0))</f>
        <v>0</v>
      </c>
      <c r="AF216" s="10" t="b">
        <f aca="false">INDEX(Segmentation!$X$2:$X$301,MATCH($A216,Segmentation!$A$2:$A$301,0))</f>
        <v>1</v>
      </c>
      <c r="AG216" s="10" t="b">
        <f aca="false">AND(F216="Low",V216&gt;=Assumptions!$B$71,X216&lt;Assumptions!$B$72)</f>
        <v>1</v>
      </c>
      <c r="AH216" s="10" t="b">
        <f aca="false">AND(F216="Low",OR(G216="Growing",G216="Stable"),P216="Recently Active",V216&gt;=Assumptions!$B$58,K216&gt;=Assumptions!$B$73)</f>
        <v>0</v>
      </c>
      <c r="AI216" s="17" t="str">
        <f aca="false">IF(O216&gt;0,MAX(L216:N216)/O216,"")</f>
        <v/>
      </c>
      <c r="AJ216" s="2" t="str">
        <f aca="false">IF(LEFT(D216,1)="1",IF(E216="Key","MIGRATION_KEY_SIGNOFF",IF(Z216="Ready","MIGRATION_PHASE1_READY",IF(Z216="Manual Review","MIGRATION_PHASE1_REVIEW","MIGRATION_PRE_ENTRY"))),IF(LEFT(D216,1)="2","DECLINING_KEY_CORE",IF(LEFT(D216,1)="3",IF(R216="Established Buyer Lapsed","LAPSED_ESTABLISHED","LAPSED_THIN_HISTORY"),IF(LEFT(D216,1)="4",IF(Q216="New Customer","NEW_CUSTOMER","RETURNED_CUSTOMER"),IF(LEFT(D216,1)="5",IF(P216="Recently Active","COST_TO_SERVE_ACTIVE","DORMANT_LOW_VALUE"),IF(LEFT(D216,1)="6",IF(P216="Recent Inactivity","RECENT_INACTIVITY",IF(AG216,"BROWSING_LOW_OFFERS","HEALTHY_STRONG_SELF_SERVE")),IF(LEFT(D216,1)="7",IF(P216="Recent Inactivity","RECENT_INACTIVITY",IF(Q216="New Customer","NEW_CUSTOMER","RETURNED_CUSTOMER")),IF(LEFT(D216,1)="8",IF(G216="Declining",IF(T216="Engaged but shrinking (Key/Core)","ENGAGED_BUT_SHRINKING","DECLINING_KEY_CORE"),IF(R216="Established Buyer Lapsed","LAPSED_ESTABLISHED","LAPSED_THIN_HISTORY")),IF(S216,IF(P216&lt;&gt;"Recently Active","DORMANT_LOW_VALUE",IF(AG216,"BROWSING_LOW_OFFERS",IF(AH216,"RISING_TAIL","RISING_TAIL_EARLY"))),IF(AND(AG216,P216="Recently Active",OR(G216="Growing",G216="Stable",G216="H2 Active / No H1 GMV"),I216&gt;=Assumptions!$B$74),"BROWSING_LOW_OFFERS","LONG_TAIL_STANDARD"))))))))))</f>
        <v>LAPSED_THIN_HISTORY</v>
      </c>
      <c r="AK216" s="2" t="str">
        <f aca="false">INDEX('NBA Library'!$B$4:$B$21,MATCH(AJ216,'NBA Library'!$A$4:$A$21,0))</f>
        <v>Verify Demand / Win-Back</v>
      </c>
      <c r="AL216" s="2" t="str">
        <f aca="false">INDEX('NBA Library'!$C$4:$C$21,MATCH(AJ216,'NBA Library'!$A$4:$A$21,0))</f>
        <v>Human</v>
      </c>
      <c r="AM216" s="2" t="str">
        <f aca="false">IF(AA216,"HOLD — Critical Data Issue",IF(Y216,"Human Sign-Off Required",IF(Z216="Manual Review","Human Review Required",IF(AND(AL216="Automated",OR(AE216,AND(OR(AK216="Discovery-to-Offer Enablement",AK216="Reinforce Successful Behaviour"),OR(AC216,AB216)))),"Human Review Required",IF(AL216="Human","Ready — Human",IF(AL216="Hybrid","Ready — Hybrid","Ready — Automated"))))))</f>
        <v>Ready — Human</v>
      </c>
      <c r="AN216" s="2" t="str">
        <f aca="false">IF(AA216,"P0",IF(AND(AJ216="BROWSING_LOW_OFFERS",E216="Tail"),"P3",IF(AND(AM216="Human Review Required",INDEX('NBA Library'!$D$4:$D$21,MATCH(AJ216,'NBA Library'!$A$4:$A$21,0))="P4"),"P3",INDEX('NBA Library'!$D$4:$D$21,MATCH(AJ216,'NBA Library'!$A$4:$A$21,0)))))</f>
        <v>P1</v>
      </c>
      <c r="AO216" s="2" t="str">
        <f aca="false">E216&amp;" "&amp;C216&amp;" account ("&amp;B216&amp;"); "&amp;G216&amp;" momentum; "&amp;P216&amp;"; £"&amp;TEXT(H216,"#,##0")&amp;" 6m GMV. "&amp;INDEX('NBA Library'!$G$4:$G$21,MATCH(AJ216,'NBA Library'!$A$4:$A$21,0))&amp;IF(LEFT(D216,1)="1"," Baseline: "&amp;V216&amp;" PDP views, "&amp;W216&amp;" app days, "&amp;X216&amp;" offers, "&amp;TEXT(J216/I216,"0%")&amp;" of orders self-serve.","")&amp;IF(AA216," Execution on HOLD until the Duplicate status is resolved.","")&amp;IF(Y216," Key account: explicit AM/leadership sign-off required before any migration activity.","")&amp;IF(AE216," Implied broker % from order counts would move this account to a different segment; review before automating.","")</f>
        <v>Core Self-Serve account (Self Serve); Lapsed momentum; No Meaningful History; £3,907 6m GMV. Apparent lapse rests on 1-2 orders or a single buying month. Verify cadence rather than treating as churn.</v>
      </c>
      <c r="AP216" s="2" t="str">
        <f aca="false">INDEX('NBA Library'!$E$4:$E$21,MATCH(AJ216,'NBA Library'!$A$4:$A$21,0))&amp;IF(AND(AJ216="NEW_CUSTOMER",AG216),"; introduce Make-an-Offer on items already browsed","")</f>
        <v>Confirm expected purchase cadence (one-off, seasonal, project buyer) before calling it churn</v>
      </c>
      <c r="AQ216" s="2" t="str">
        <f aca="false">INDEX('NBA Library'!$F$4:$F$21,MATCH(AJ216,'NBA Library'!$A$4:$A$21,0))</f>
        <v>Cadence recorded and account reclassified; order within the stated cadence window</v>
      </c>
      <c r="AR216" s="2" t="str">
        <f aca="false">IF(AND(F216="Low",OR(G216="Growing",G216="Stable"),P216="Recently Active",U216&lt;&gt;"Mixed",OR(AK216="Discovery-to-Offer Enablement",AK216="Reinforce Successful Behaviour"),AM216="Ready — Automated",OR(E216&lt;&gt;"Tail",S216)),"Range Expansion Test — trial "&amp;IF(U216="Bundle-only","handpick","bundles")&amp;" (experimental; not proven to lift GMV)","")</f>
        <v/>
      </c>
      <c r="AS216" s="2" t="str">
        <f aca="false">IF(AK216&lt;&gt;"Automated Nurture","",IF(AJ216="DORMANT_LOW_VALUE","Dormant",IF(AJ216="RISING_TAIL_EARLY","Rising tail – early pattern",IF(Q216="New Customer","New customer onboarding",IF(Q216="Returned Customer","Returned customer",IF(G216="Lapsed","Dormant",IF(T216="Engaged, not converting","Engaged, not converting",IF(T216="One-off low-touch buyer","One-off purchaser",IF(T216="Light-touch repeat buyer","Light-touch repeat buyer","Standard long tail")))))))))</f>
        <v/>
      </c>
      <c r="AT216" s="2" t="str">
        <f aca="false">IF(AA216,"CRITICAL_DATA_BLOCKER; ","")&amp;IF(Y216,"KEY_SIGNOFF; ","")&amp;IF(Z216="Manual Review","PHASE1_MANUAL_REVIEW; ","")&amp;IF(AND(LEFT(D216,1)="1",AZ216="Lumpy"),"LUMPY_CADENCE; ","")&amp;IF(AB216,"BORDERLINE_MOMENTUM; ","")&amp;IF(AC216,"FEB_SENSITIVE; ","")&amp;IF(AD216,"MATERIAL_BROKER_INCONSISTENCY"&amp;IF(AE216," (segment would change)","")&amp;"; ","")&amp;IF(AND(I216&gt;=3,O216&gt;0),IF(AI216&gt;=Assumptions!$B$75,"H2_SINGLE_MONTH_SPIKE; ",""),"")&amp;IF(AND(M216&gt;0,N216=0),"NO_FEB_GMV (Feb unconfirmed); ","")&amp;IF(AF216,"LOW_CONFIDENCE; ","")</f>
        <v>LOW_CONFIDENCE; </v>
      </c>
      <c r="AU216" s="2" t="str">
        <f aca="false">IF(LEFT(D216,1)="1",V216,"")</f>
        <v/>
      </c>
      <c r="AV216" s="2" t="str">
        <f aca="false">IF(LEFT(D216,1)="1",V216&gt;=Assumptions!$B$58,"")</f>
        <v/>
      </c>
      <c r="AW216" s="2" t="str">
        <f aca="false">IF(LEFT(D216,1)="1",W216,"")</f>
        <v/>
      </c>
      <c r="AX216" s="2" t="str">
        <f aca="false">IF(LEFT(D216,1)="1",X216,"")</f>
        <v/>
      </c>
      <c r="AY216" s="17" t="str">
        <f aca="false">IF(LEFT(D216,1)="1",J216/I216,"")</f>
        <v/>
      </c>
      <c r="AZ216" s="2" t="str">
        <f aca="false">IF(LEFT(D216,1)="1",IF(AND(K216&gt;=Assumptions!$B$83,I216&gt;=Assumptions!$B$84),"Regular","Lumpy"),"")</f>
        <v/>
      </c>
      <c r="BA216" s="2" t="str">
        <f aca="false">IF(LEFT(D216,1)="1",ROUND(6/K216,0),"")</f>
        <v/>
      </c>
      <c r="BB216" s="2" t="str">
        <f aca="false">IF(LEFT(D216,1)="1",IF(AZ216="Regular","Regular buyer: expected ~£"&amp;TEXT(H216/2,"#,##0")&amp;" per 90 days. At Risk if GMV to date &lt; "&amp;TEXT(Assumptions!$B$81,"0%")&amp;" of pro-rated expectation, checked from day "&amp;Assumptions!$B$82&amp;". Human-reviewed.","Irregular buyer ("&amp;I216&amp;" orders across "&amp;K216&amp;" months): no numeric GMV threshold. At Risk if no order within ~"&amp;BA216&amp;" month(s); AM reviews at day "&amp;Assumptions!$B$82&amp;" and "&amp;Assumptions!$B$85&amp;"."),"")</f>
        <v/>
      </c>
      <c r="BC216" s="2"/>
      <c r="BD216" s="2"/>
      <c r="BE216" s="2"/>
      <c r="BF216" s="2"/>
      <c r="BG216" s="2"/>
      <c r="BH216" s="2"/>
      <c r="BI216" s="2"/>
      <c r="BJ216" s="2" t="str">
        <f aca="false">IF(OR(NOT(LEFT(D216,1)="1"),BC216=""),"",IF(AZ216="Regular",AND(BC216&gt;=Assumptions!$B$82,N(BI216)&lt;Assumptions!$B$81*H216/180*BC216),AND(BC216&gt;=BA216*30,N(BG216)=0)))</f>
        <v/>
      </c>
      <c r="BK216" s="2" t="str">
        <f aca="false">IF(NOT(LEFT(D216,1)="1"),"N/A",IF(BC216="","Baseline",IF(BJ216,"At Risk",IF(AND(N(BD216)&gt;=Assumptions!$B$78,N(BE216)&gt;=Assumptions!$B$79,N(BH216)&gt;=1,N(BH216)/MAX(N(BG216),1)&gt;AY216),"Self-Serve Capability Demonstrated",IF(OR(N(BD216)&gt;=Assumptions!$B$76,N(BE216)&gt;=Assumptions!$B$77),"Progressing",IF(BC216&gt;=Assumptions!$B$85,"At Risk","Baseline"))))))</f>
        <v>N/A</v>
      </c>
      <c r="BL216" s="2" t="n">
        <f aca="false">(AND(C216="Broker-Reliant",OR(AK216="Discovery-to-Offer Enablement",AK216="Reinforce Successful Behaviour")))*1+(AND(G216="Declining",E216&lt;&gt;"Tail",AL216="Automated"))*1+(AND(Y216,AM216&lt;&gt;"Human Sign-Off Required"))*1+(AND(AA216,AM216&lt;&gt;"HOLD — Critical Data Issue"))*1+(AND(P216="Recent Inactivity",OR(AK216="Discovery-to-Offer Enablement",AK216="Reinforce Successful Behaviour")))*1+(AND(OR(LEFT(D216,1)="2",LEFT(D216,1)="3",LEFT(D216,1)="8"),AL216="Automated"))*1+((LEFT(D216,1)="1")&lt;&gt;(AK216="Guided Self-Serve Migration"))*1+(AND(AR216&lt;&gt;"",OR(F216&lt;&gt;"Low",U216="Mixed",AND(G216&lt;&gt;"Growing",G216&lt;&gt;"Stable"))))*1+ISNUMBER(SEARCH("chat",AP216))*1+ISNUMBER(SEARCH("video",AP216))*1+(AND(AA216,AL216="Automated",AM216&lt;&gt;"HOLD — Critical Data Issue"))*1</f>
        <v>0</v>
      </c>
    </row>
    <row r="217" customFormat="false" ht="15" hidden="false" customHeight="false" outlineLevel="0" collapsed="false">
      <c r="A217" s="2" t="s">
        <v>252</v>
      </c>
      <c r="B217" s="2" t="str">
        <f aca="false">INDEX(Segmentation!$B$2:$B$301,MATCH($A217,Segmentation!$A$2:$A$301,0))</f>
        <v>Self Serve</v>
      </c>
      <c r="C217" s="2" t="str">
        <f aca="false">INDEX(Segmentation!$H$2:$H$301,MATCH($A217,Segmentation!$A$2:$A$301,0))</f>
        <v>Self-Serve</v>
      </c>
      <c r="D217" s="2" t="str">
        <f aca="false">INDEX(Segmentation!$T$2:$T$301,MATCH($A217,Segmentation!$A$2:$A$301,0))</f>
        <v>6. Growth Opportunity</v>
      </c>
      <c r="E217" s="2" t="str">
        <f aca="false">INDEX(Segmentation!$J$2:$J$301,MATCH($A217,Segmentation!$A$2:$A$301,0))</f>
        <v>Core</v>
      </c>
      <c r="F217" s="2" t="str">
        <f aca="false">INDEX(Segmentation!$G$2:$G$301,MATCH($A217,Segmentation!$A$2:$A$301,0))</f>
        <v>Low</v>
      </c>
      <c r="G217" s="2" t="str">
        <f aca="false">INDEX(Segmentation!$N$2:$N$301,MATCH($A217,Segmentation!$A$2:$A$301,0))</f>
        <v>Growing</v>
      </c>
      <c r="H217" s="9" t="n">
        <f aca="false">INDEX(Segmentation!$I$2:$I$301,MATCH($A217,Segmentation!$A$2:$A$301,0))</f>
        <v>3497</v>
      </c>
      <c r="I217" s="2" t="n">
        <f aca="false">INDEX(Segmentation!$O$2:$O$301,MATCH($A217,Segmentation!$A$2:$A$301,0))</f>
        <v>11</v>
      </c>
      <c r="J217" s="2" t="n">
        <f aca="false">INDEX(Segmentation!$Q$2:$Q$301,MATCH($A217,Segmentation!$A$2:$A$301,0))</f>
        <v>11</v>
      </c>
      <c r="K217" s="2" t="n">
        <f aca="false">INDEX(Segmentation!$W$2:$W$301,MATCH($A217,Segmentation!$A$2:$A$301,0))</f>
        <v>3</v>
      </c>
      <c r="L217" s="9" t="n">
        <f aca="false">INDEX('Commercial View'!$L$2:$L$301,MATCH($A217,'Commercial View'!$A$2:$A$301,0))</f>
        <v>2103</v>
      </c>
      <c r="M217" s="9" t="n">
        <f aca="false">INDEX('Commercial View'!$M$2:$M$301,MATCH($A217,'Commercial View'!$A$2:$A$301,0))</f>
        <v>0</v>
      </c>
      <c r="N217" s="9" t="n">
        <f aca="false">INDEX('Commercial View'!$N$2:$N$301,MATCH($A217,'Commercial View'!$A$2:$A$301,0))</f>
        <v>0</v>
      </c>
      <c r="O217" s="9" t="n">
        <f aca="false">INDEX(Segmentation!$L$2:$L$301,MATCH($A217,Segmentation!$A$2:$A$301,0))</f>
        <v>2103</v>
      </c>
      <c r="P217" s="2" t="str">
        <f aca="false">IF(OR(M217&gt;0,N217&gt;0),"Recently Active",IF(OR(I217&lt;=Assumptions!$B$48,K217&lt;=Assumptions!$B$49),"No Meaningful History","Recent Inactivity"))</f>
        <v>Recent Inactivity</v>
      </c>
      <c r="Q217" s="2" t="str">
        <f aca="false">INDEX(Segmentation!$AF$2:$AF$301,MATCH($A217,Segmentation!$A$2:$A$301,0))</f>
        <v>Existing Customer</v>
      </c>
      <c r="R217" s="2" t="str">
        <f aca="false">INDEX(Segmentation!$AL$2:$AL$301,MATCH($A217,Segmentation!$A$2:$A$301,0))</f>
        <v>N/A</v>
      </c>
      <c r="S217" s="10" t="b">
        <f aca="false">INDEX(Segmentation!$AW$2:$AW$301,MATCH($A217,Segmentation!$A$2:$A$301,0))</f>
        <v>0</v>
      </c>
      <c r="T217" s="2" t="str">
        <f aca="false">INDEX('Feature Data'!$AD$2:$AD$301,MATCH($A217,'Feature Data'!$A$2:$A$301,0))</f>
        <v>Independent browser-buyer</v>
      </c>
      <c r="U217" s="2" t="str">
        <f aca="false">INDEX('Feature Data'!$W$2:$W$301,MATCH($A217,'Feature Data'!$A$2:$A$301,0))</f>
        <v>Bundle-only</v>
      </c>
      <c r="V217" s="2" t="n">
        <f aca="false">INDEX('Feature Data'!$P$2:$P$301,MATCH($A217,'Feature Data'!$A$2:$A$301,0))</f>
        <v>1416</v>
      </c>
      <c r="W217" s="2" t="n">
        <f aca="false">INDEX(Segmentation!$R$2:$R$301,MATCH($A217,Segmentation!$A$2:$A$301,0))</f>
        <v>50</v>
      </c>
      <c r="X217" s="2" t="n">
        <f aca="false">INDEX(Segmentation!$S$2:$S$301,MATCH($A217,Segmentation!$A$2:$A$301,0))</f>
        <v>13</v>
      </c>
      <c r="Y217" s="10" t="b">
        <f aca="false">INDEX(Segmentation!$AG$2:$AG$301,MATCH($A217,Segmentation!$A$2:$A$301,0))</f>
        <v>0</v>
      </c>
      <c r="Z217" s="2" t="str">
        <f aca="false">INDEX(Segmentation!$AU$2:$AU$301,MATCH($A217,Segmentation!$A$2:$A$301,0))</f>
        <v>Not Eligible</v>
      </c>
      <c r="AA217" s="10" t="b">
        <f aca="false">INDEX(Segmentation!$Z$2:$Z$301,MATCH($A217,Segmentation!$A$2:$A$301,0))</f>
        <v>0</v>
      </c>
      <c r="AB217" s="10" t="b">
        <f aca="false">INDEX(Segmentation!$AH$2:$AH$301,MATCH($A217,Segmentation!$A$2:$A$301,0))</f>
        <v>0</v>
      </c>
      <c r="AC217" s="10" t="b">
        <f aca="false">INDEX(Segmentation!$AK$2:$AK$301,MATCH($A217,Segmentation!$A$2:$A$301,0))</f>
        <v>0</v>
      </c>
      <c r="AD217" s="10" t="b">
        <f aca="false">INDEX(Segmentation!$AQ$2:$AQ$301,MATCH($A217,Segmentation!$A$2:$A$301,0))</f>
        <v>0</v>
      </c>
      <c r="AE217" s="10" t="b">
        <f aca="false">INDEX(Segmentation!$AT$2:$AT$301,MATCH($A217,Segmentation!$A$2:$A$301,0))</f>
        <v>0</v>
      </c>
      <c r="AF217" s="10" t="b">
        <f aca="false">INDEX(Segmentation!$X$2:$X$301,MATCH($A217,Segmentation!$A$2:$A$301,0))</f>
        <v>0</v>
      </c>
      <c r="AG217" s="10" t="b">
        <f aca="false">AND(F217="Low",V217&gt;=Assumptions!$B$71,X217&lt;Assumptions!$B$72)</f>
        <v>0</v>
      </c>
      <c r="AH217" s="10" t="b">
        <f aca="false">AND(F217="Low",OR(G217="Growing",G217="Stable"),P217="Recently Active",V217&gt;=Assumptions!$B$58,K217&gt;=Assumptions!$B$73)</f>
        <v>0</v>
      </c>
      <c r="AI217" s="17" t="n">
        <f aca="false">IF(O217&gt;0,MAX(L217:N217)/O217,"")</f>
        <v>1</v>
      </c>
      <c r="AJ217" s="2" t="str">
        <f aca="false">IF(LEFT(D217,1)="1",IF(E217="Key","MIGRATION_KEY_SIGNOFF",IF(Z217="Ready","MIGRATION_PHASE1_READY",IF(Z217="Manual Review","MIGRATION_PHASE1_REVIEW","MIGRATION_PRE_ENTRY"))),IF(LEFT(D217,1)="2","DECLINING_KEY_CORE",IF(LEFT(D217,1)="3",IF(R217="Established Buyer Lapsed","LAPSED_ESTABLISHED","LAPSED_THIN_HISTORY"),IF(LEFT(D217,1)="4",IF(Q217="New Customer","NEW_CUSTOMER","RETURNED_CUSTOMER"),IF(LEFT(D217,1)="5",IF(P217="Recently Active","COST_TO_SERVE_ACTIVE","DORMANT_LOW_VALUE"),IF(LEFT(D217,1)="6",IF(P217="Recent Inactivity","RECENT_INACTIVITY",IF(AG217,"BROWSING_LOW_OFFERS","HEALTHY_STRONG_SELF_SERVE")),IF(LEFT(D217,1)="7",IF(P217="Recent Inactivity","RECENT_INACTIVITY",IF(Q217="New Customer","NEW_CUSTOMER","RETURNED_CUSTOMER")),IF(LEFT(D217,1)="8",IF(G217="Declining",IF(T217="Engaged but shrinking (Key/Core)","ENGAGED_BUT_SHRINKING","DECLINING_KEY_CORE"),IF(R217="Established Buyer Lapsed","LAPSED_ESTABLISHED","LAPSED_THIN_HISTORY")),IF(S217,IF(P217&lt;&gt;"Recently Active","DORMANT_LOW_VALUE",IF(AG217,"BROWSING_LOW_OFFERS",IF(AH217,"RISING_TAIL","RISING_TAIL_EARLY"))),IF(AND(AG217,P217="Recently Active",OR(G217="Growing",G217="Stable",G217="H2 Active / No H1 GMV"),I217&gt;=Assumptions!$B$74),"BROWSING_LOW_OFFERS","LONG_TAIL_STANDARD"))))))))))</f>
        <v>RECENT_INACTIVITY</v>
      </c>
      <c r="AK217" s="2" t="str">
        <f aca="false">INDEX('NBA Library'!$B$4:$B$21,MATCH(AJ217,'NBA Library'!$A$4:$A$21,0))</f>
        <v>Verify Demand / Win-Back</v>
      </c>
      <c r="AL217" s="2" t="str">
        <f aca="false">INDEX('NBA Library'!$C$4:$C$21,MATCH(AJ217,'NBA Library'!$A$4:$A$21,0))</f>
        <v>Human</v>
      </c>
      <c r="AM217" s="2" t="str">
        <f aca="false">IF(AA217,"HOLD — Critical Data Issue",IF(Y217,"Human Sign-Off Required",IF(Z217="Manual Review","Human Review Required",IF(AND(AL217="Automated",OR(AE217,AND(OR(AK217="Discovery-to-Offer Enablement",AK217="Reinforce Successful Behaviour"),OR(AC217,AB217)))),"Human Review Required",IF(AL217="Human","Ready — Human",IF(AL217="Hybrid","Ready — Hybrid","Ready — Automated"))))))</f>
        <v>Ready — Human</v>
      </c>
      <c r="AN217" s="2" t="str">
        <f aca="false">IF(AA217,"P0",IF(AND(AJ217="BROWSING_LOW_OFFERS",E217="Tail"),"P3",IF(AND(AM217="Human Review Required",INDEX('NBA Library'!$D$4:$D$21,MATCH(AJ217,'NBA Library'!$A$4:$A$21,0))="P4"),"P3",INDEX('NBA Library'!$D$4:$D$21,MATCH(AJ217,'NBA Library'!$A$4:$A$21,0)))))</f>
        <v>P1</v>
      </c>
      <c r="AO217" s="2" t="str">
        <f aca="false">E217&amp;" "&amp;C217&amp;" account ("&amp;B217&amp;"); "&amp;G217&amp;" momentum; "&amp;P217&amp;"; £"&amp;TEXT(H217,"#,##0")&amp;" 6m GMV. "&amp;INDEX('NBA Library'!$G$4:$G$21,MATCH(AJ217,'NBA Library'!$A$4:$A$21,0))&amp;IF(LEFT(D217,1)="1"," Baseline: "&amp;V217&amp;" PDP views, "&amp;W217&amp;" app days, "&amp;X217&amp;" offers, "&amp;TEXT(J217/I217,"0%")&amp;" of orders self-serve.","")&amp;IF(AA217," Execution on HOLD until the Duplicate status is resolved.","")&amp;IF(Y217," Key account: explicit AM/leadership sign-off required before any migration activity.","")&amp;IF(AE217," Implied broker % from order counts would move this account to a different segment; review before automating.","")</f>
        <v>Core Self-Serve account (Self Serve); Growing momentum; Recent Inactivity; £3,497 6m GMV. Growth-type account with an established pattern but no GMV in January or February. Confirm status before any automated growth nudge.</v>
      </c>
      <c r="AP217" s="2" t="str">
        <f aca="false">INDEX('NBA Library'!$E$4:$E$21,MATCH(AJ217,'NBA Library'!$A$4:$A$21,0))&amp;IF(AND(AJ217="NEW_CUSTOMER",AG217),"; introduce Make-an-Offer on items already browsed","")</f>
        <v>Check the account is still buying and why there was no January/February GMV; hold automated growth nudges</v>
      </c>
      <c r="AQ217" s="2" t="str">
        <f aca="false">INDEX('NBA Library'!$F$4:$F$21,MATCH(AJ217,'NBA Library'!$A$4:$A$21,0))</f>
        <v>Order in next 60 days or reason logged; growth action re-assessed on next run</v>
      </c>
      <c r="AR217" s="2" t="str">
        <f aca="false">IF(AND(F217="Low",OR(G217="Growing",G217="Stable"),P217="Recently Active",U217&lt;&gt;"Mixed",OR(AK217="Discovery-to-Offer Enablement",AK217="Reinforce Successful Behaviour"),AM217="Ready — Automated",OR(E217&lt;&gt;"Tail",S217)),"Range Expansion Test — trial "&amp;IF(U217="Bundle-only","handpick","bundles")&amp;" (experimental; not proven to lift GMV)","")</f>
        <v/>
      </c>
      <c r="AS217" s="2" t="str">
        <f aca="false">IF(AK217&lt;&gt;"Automated Nurture","",IF(AJ217="DORMANT_LOW_VALUE","Dormant",IF(AJ217="RISING_TAIL_EARLY","Rising tail – early pattern",IF(Q217="New Customer","New customer onboarding",IF(Q217="Returned Customer","Returned customer",IF(G217="Lapsed","Dormant",IF(T217="Engaged, not converting","Engaged, not converting",IF(T217="One-off low-touch buyer","One-off purchaser",IF(T217="Light-touch repeat buyer","Light-touch repeat buyer","Standard long tail")))))))))</f>
        <v/>
      </c>
      <c r="AT217" s="2" t="str">
        <f aca="false">IF(AA217,"CRITICAL_DATA_BLOCKER; ","")&amp;IF(Y217,"KEY_SIGNOFF; ","")&amp;IF(Z217="Manual Review","PHASE1_MANUAL_REVIEW; ","")&amp;IF(AND(LEFT(D217,1)="1",AZ217="Lumpy"),"LUMPY_CADENCE; ","")&amp;IF(AB217,"BORDERLINE_MOMENTUM; ","")&amp;IF(AC217,"FEB_SENSITIVE; ","")&amp;IF(AD217,"MATERIAL_BROKER_INCONSISTENCY"&amp;IF(AE217," (segment would change)","")&amp;"; ","")&amp;IF(AND(I217&gt;=3,O217&gt;0),IF(AI217&gt;=Assumptions!$B$75,"H2_SINGLE_MONTH_SPIKE; ",""),"")&amp;IF(AND(M217&gt;0,N217=0),"NO_FEB_GMV (Feb unconfirmed); ","")&amp;IF(AF217,"LOW_CONFIDENCE; ","")</f>
        <v>H2_SINGLE_MONTH_SPIKE; </v>
      </c>
      <c r="AU217" s="2" t="str">
        <f aca="false">IF(LEFT(D217,1)="1",V217,"")</f>
        <v/>
      </c>
      <c r="AV217" s="2" t="str">
        <f aca="false">IF(LEFT(D217,1)="1",V217&gt;=Assumptions!$B$58,"")</f>
        <v/>
      </c>
      <c r="AW217" s="2" t="str">
        <f aca="false">IF(LEFT(D217,1)="1",W217,"")</f>
        <v/>
      </c>
      <c r="AX217" s="2" t="str">
        <f aca="false">IF(LEFT(D217,1)="1",X217,"")</f>
        <v/>
      </c>
      <c r="AY217" s="17" t="str">
        <f aca="false">IF(LEFT(D217,1)="1",J217/I217,"")</f>
        <v/>
      </c>
      <c r="AZ217" s="2" t="str">
        <f aca="false">IF(LEFT(D217,1)="1",IF(AND(K217&gt;=Assumptions!$B$83,I217&gt;=Assumptions!$B$84),"Regular","Lumpy"),"")</f>
        <v/>
      </c>
      <c r="BA217" s="2" t="str">
        <f aca="false">IF(LEFT(D217,1)="1",ROUND(6/K217,0),"")</f>
        <v/>
      </c>
      <c r="BB217" s="2" t="str">
        <f aca="false">IF(LEFT(D217,1)="1",IF(AZ217="Regular","Regular buyer: expected ~£"&amp;TEXT(H217/2,"#,##0")&amp;" per 90 days. At Risk if GMV to date &lt; "&amp;TEXT(Assumptions!$B$81,"0%")&amp;" of pro-rated expectation, checked from day "&amp;Assumptions!$B$82&amp;". Human-reviewed.","Irregular buyer ("&amp;I217&amp;" orders across "&amp;K217&amp;" months): no numeric GMV threshold. At Risk if no order within ~"&amp;BA217&amp;" month(s); AM reviews at day "&amp;Assumptions!$B$82&amp;" and "&amp;Assumptions!$B$85&amp;"."),"")</f>
        <v/>
      </c>
      <c r="BC217" s="2"/>
      <c r="BD217" s="2"/>
      <c r="BE217" s="2"/>
      <c r="BF217" s="2"/>
      <c r="BG217" s="2"/>
      <c r="BH217" s="2"/>
      <c r="BI217" s="2"/>
      <c r="BJ217" s="2" t="str">
        <f aca="false">IF(OR(NOT(LEFT(D217,1)="1"),BC217=""),"",IF(AZ217="Regular",AND(BC217&gt;=Assumptions!$B$82,N(BI217)&lt;Assumptions!$B$81*H217/180*BC217),AND(BC217&gt;=BA217*30,N(BG217)=0)))</f>
        <v/>
      </c>
      <c r="BK217" s="2" t="str">
        <f aca="false">IF(NOT(LEFT(D217,1)="1"),"N/A",IF(BC217="","Baseline",IF(BJ217,"At Risk",IF(AND(N(BD217)&gt;=Assumptions!$B$78,N(BE217)&gt;=Assumptions!$B$79,N(BH217)&gt;=1,N(BH217)/MAX(N(BG217),1)&gt;AY217),"Self-Serve Capability Demonstrated",IF(OR(N(BD217)&gt;=Assumptions!$B$76,N(BE217)&gt;=Assumptions!$B$77),"Progressing",IF(BC217&gt;=Assumptions!$B$85,"At Risk","Baseline"))))))</f>
        <v>N/A</v>
      </c>
      <c r="BL217" s="2" t="n">
        <f aca="false">(AND(C217="Broker-Reliant",OR(AK217="Discovery-to-Offer Enablement",AK217="Reinforce Successful Behaviour")))*1+(AND(G217="Declining",E217&lt;&gt;"Tail",AL217="Automated"))*1+(AND(Y217,AM217&lt;&gt;"Human Sign-Off Required"))*1+(AND(AA217,AM217&lt;&gt;"HOLD — Critical Data Issue"))*1+(AND(P217="Recent Inactivity",OR(AK217="Discovery-to-Offer Enablement",AK217="Reinforce Successful Behaviour")))*1+(AND(OR(LEFT(D217,1)="2",LEFT(D217,1)="3",LEFT(D217,1)="8"),AL217="Automated"))*1+((LEFT(D217,1)="1")&lt;&gt;(AK217="Guided Self-Serve Migration"))*1+(AND(AR217&lt;&gt;"",OR(F217&lt;&gt;"Low",U217="Mixed",AND(G217&lt;&gt;"Growing",G217&lt;&gt;"Stable"))))*1+ISNUMBER(SEARCH("chat",AP217))*1+ISNUMBER(SEARCH("video",AP217))*1+(AND(AA217,AL217="Automated",AM217&lt;&gt;"HOLD — Critical Data Issue"))*1</f>
        <v>0</v>
      </c>
    </row>
    <row r="218" customFormat="false" ht="15" hidden="false" customHeight="false" outlineLevel="0" collapsed="false">
      <c r="A218" s="2" t="s">
        <v>435</v>
      </c>
      <c r="B218" s="2" t="str">
        <f aca="false">INDEX(Segmentation!$B$2:$B$301,MATCH($A218,Segmentation!$A$2:$A$301,0))</f>
        <v>Self Serve</v>
      </c>
      <c r="C218" s="2" t="str">
        <f aca="false">INDEX(Segmentation!$H$2:$H$301,MATCH($A218,Segmentation!$A$2:$A$301,0))</f>
        <v>Self-Serve</v>
      </c>
      <c r="D218" s="2" t="str">
        <f aca="false">INDEX(Segmentation!$T$2:$T$301,MATCH($A218,Segmentation!$A$2:$A$301,0))</f>
        <v>7. Onboard / Re-engage / Learn</v>
      </c>
      <c r="E218" s="2" t="str">
        <f aca="false">INDEX(Segmentation!$J$2:$J$301,MATCH($A218,Segmentation!$A$2:$A$301,0))</f>
        <v>Core</v>
      </c>
      <c r="F218" s="2" t="str">
        <f aca="false">INDEX(Segmentation!$G$2:$G$301,MATCH($A218,Segmentation!$A$2:$A$301,0))</f>
        <v>Low</v>
      </c>
      <c r="G218" s="2" t="str">
        <f aca="false">INDEX(Segmentation!$N$2:$N$301,MATCH($A218,Segmentation!$A$2:$A$301,0))</f>
        <v>H2 Active / No H1 GMV</v>
      </c>
      <c r="H218" s="9" t="n">
        <f aca="false">INDEX(Segmentation!$I$2:$I$301,MATCH($A218,Segmentation!$A$2:$A$301,0))</f>
        <v>2402</v>
      </c>
      <c r="I218" s="2" t="n">
        <f aca="false">INDEX(Segmentation!$O$2:$O$301,MATCH($A218,Segmentation!$A$2:$A$301,0))</f>
        <v>9</v>
      </c>
      <c r="J218" s="2" t="n">
        <f aca="false">INDEX(Segmentation!$Q$2:$Q$301,MATCH($A218,Segmentation!$A$2:$A$301,0))</f>
        <v>9</v>
      </c>
      <c r="K218" s="2" t="n">
        <f aca="false">INDEX(Segmentation!$W$2:$W$301,MATCH($A218,Segmentation!$A$2:$A$301,0))</f>
        <v>3</v>
      </c>
      <c r="L218" s="9" t="n">
        <f aca="false">INDEX('Commercial View'!$L$2:$L$301,MATCH($A218,'Commercial View'!$A$2:$A$301,0))</f>
        <v>283</v>
      </c>
      <c r="M218" s="9" t="n">
        <f aca="false">INDEX('Commercial View'!$M$2:$M$301,MATCH($A218,'Commercial View'!$A$2:$A$301,0))</f>
        <v>617</v>
      </c>
      <c r="N218" s="9" t="n">
        <f aca="false">INDEX('Commercial View'!$N$2:$N$301,MATCH($A218,'Commercial View'!$A$2:$A$301,0))</f>
        <v>1502</v>
      </c>
      <c r="O218" s="9" t="n">
        <f aca="false">INDEX(Segmentation!$L$2:$L$301,MATCH($A218,Segmentation!$A$2:$A$301,0))</f>
        <v>2402</v>
      </c>
      <c r="P218" s="2" t="str">
        <f aca="false">IF(OR(M218&gt;0,N218&gt;0),"Recently Active",IF(OR(I218&lt;=Assumptions!$B$48,K218&lt;=Assumptions!$B$49),"No Meaningful History","Recent Inactivity"))</f>
        <v>Recently Active</v>
      </c>
      <c r="Q218" s="2" t="str">
        <f aca="false">INDEX(Segmentation!$AF$2:$AF$301,MATCH($A218,Segmentation!$A$2:$A$301,0))</f>
        <v>New Customer</v>
      </c>
      <c r="R218" s="2" t="str">
        <f aca="false">INDEX(Segmentation!$AL$2:$AL$301,MATCH($A218,Segmentation!$A$2:$A$301,0))</f>
        <v>N/A</v>
      </c>
      <c r="S218" s="10" t="b">
        <f aca="false">INDEX(Segmentation!$AW$2:$AW$301,MATCH($A218,Segmentation!$A$2:$A$301,0))</f>
        <v>0</v>
      </c>
      <c r="T218" s="2" t="str">
        <f aca="false">INDEX('Feature Data'!$AD$2:$AD$301,MATCH($A218,'Feature Data'!$A$2:$A$301,0))</f>
        <v>Light-touch repeat buyer</v>
      </c>
      <c r="U218" s="2" t="str">
        <f aca="false">INDEX('Feature Data'!$W$2:$W$301,MATCH($A218,'Feature Data'!$A$2:$A$301,0))</f>
        <v>Bundle-only</v>
      </c>
      <c r="V218" s="2" t="n">
        <f aca="false">INDEX('Feature Data'!$P$2:$P$301,MATCH($A218,'Feature Data'!$A$2:$A$301,0))</f>
        <v>482</v>
      </c>
      <c r="W218" s="2" t="n">
        <f aca="false">INDEX(Segmentation!$R$2:$R$301,MATCH($A218,Segmentation!$A$2:$A$301,0))</f>
        <v>21</v>
      </c>
      <c r="X218" s="2" t="n">
        <f aca="false">INDEX(Segmentation!$S$2:$S$301,MATCH($A218,Segmentation!$A$2:$A$301,0))</f>
        <v>0</v>
      </c>
      <c r="Y218" s="10" t="b">
        <f aca="false">INDEX(Segmentation!$AG$2:$AG$301,MATCH($A218,Segmentation!$A$2:$A$301,0))</f>
        <v>0</v>
      </c>
      <c r="Z218" s="2" t="str">
        <f aca="false">INDEX(Segmentation!$AU$2:$AU$301,MATCH($A218,Segmentation!$A$2:$A$301,0))</f>
        <v>Not Eligible</v>
      </c>
      <c r="AA218" s="10" t="b">
        <f aca="false">INDEX(Segmentation!$Z$2:$Z$301,MATCH($A218,Segmentation!$A$2:$A$301,0))</f>
        <v>0</v>
      </c>
      <c r="AB218" s="10" t="b">
        <f aca="false">INDEX(Segmentation!$AH$2:$AH$301,MATCH($A218,Segmentation!$A$2:$A$301,0))</f>
        <v>0</v>
      </c>
      <c r="AC218" s="10" t="b">
        <f aca="false">INDEX(Segmentation!$AK$2:$AK$301,MATCH($A218,Segmentation!$A$2:$A$301,0))</f>
        <v>0</v>
      </c>
      <c r="AD218" s="10" t="b">
        <f aca="false">INDEX(Segmentation!$AQ$2:$AQ$301,MATCH($A218,Segmentation!$A$2:$A$301,0))</f>
        <v>0</v>
      </c>
      <c r="AE218" s="10" t="b">
        <f aca="false">INDEX(Segmentation!$AT$2:$AT$301,MATCH($A218,Segmentation!$A$2:$A$301,0))</f>
        <v>0</v>
      </c>
      <c r="AF218" s="10" t="b">
        <f aca="false">INDEX(Segmentation!$X$2:$X$301,MATCH($A218,Segmentation!$A$2:$A$301,0))</f>
        <v>0</v>
      </c>
      <c r="AG218" s="10" t="b">
        <f aca="false">AND(F218="Low",V218&gt;=Assumptions!$B$71,X218&lt;Assumptions!$B$72)</f>
        <v>1</v>
      </c>
      <c r="AH218" s="10" t="b">
        <f aca="false">AND(F218="Low",OR(G218="Growing",G218="Stable"),P218="Recently Active",V218&gt;=Assumptions!$B$58,K218&gt;=Assumptions!$B$73)</f>
        <v>0</v>
      </c>
      <c r="AI218" s="17" t="n">
        <f aca="false">IF(O218&gt;0,MAX(L218:N218)/O218,"")</f>
        <v>0.625312239800167</v>
      </c>
      <c r="AJ218" s="2" t="str">
        <f aca="false">IF(LEFT(D218,1)="1",IF(E218="Key","MIGRATION_KEY_SIGNOFF",IF(Z218="Ready","MIGRATION_PHASE1_READY",IF(Z218="Manual Review","MIGRATION_PHASE1_REVIEW","MIGRATION_PRE_ENTRY"))),IF(LEFT(D218,1)="2","DECLINING_KEY_CORE",IF(LEFT(D218,1)="3",IF(R218="Established Buyer Lapsed","LAPSED_ESTABLISHED","LAPSED_THIN_HISTORY"),IF(LEFT(D218,1)="4",IF(Q218="New Customer","NEW_CUSTOMER","RETURNED_CUSTOMER"),IF(LEFT(D218,1)="5",IF(P218="Recently Active","COST_TO_SERVE_ACTIVE","DORMANT_LOW_VALUE"),IF(LEFT(D218,1)="6",IF(P218="Recent Inactivity","RECENT_INACTIVITY",IF(AG218,"BROWSING_LOW_OFFERS","HEALTHY_STRONG_SELF_SERVE")),IF(LEFT(D218,1)="7",IF(P218="Recent Inactivity","RECENT_INACTIVITY",IF(Q218="New Customer","NEW_CUSTOMER","RETURNED_CUSTOMER")),IF(LEFT(D218,1)="8",IF(G218="Declining",IF(T218="Engaged but shrinking (Key/Core)","ENGAGED_BUT_SHRINKING","DECLINING_KEY_CORE"),IF(R218="Established Buyer Lapsed","LAPSED_ESTABLISHED","LAPSED_THIN_HISTORY")),IF(S218,IF(P218&lt;&gt;"Recently Active","DORMANT_LOW_VALUE",IF(AG218,"BROWSING_LOW_OFFERS",IF(AH218,"RISING_TAIL","RISING_TAIL_EARLY"))),IF(AND(AG218,P218="Recently Active",OR(G218="Growing",G218="Stable",G218="H2 Active / No H1 GMV"),I218&gt;=Assumptions!$B$74),"BROWSING_LOW_OFFERS","LONG_TAIL_STANDARD"))))))))))</f>
        <v>NEW_CUSTOMER</v>
      </c>
      <c r="AK218" s="2" t="str">
        <f aca="false">INDEX('NBA Library'!$B$4:$B$21,MATCH(AJ218,'NBA Library'!$A$4:$A$21,0))</f>
        <v>Establish / Re-establish</v>
      </c>
      <c r="AL218" s="2" t="str">
        <f aca="false">INDEX('NBA Library'!$C$4:$C$21,MATCH(AJ218,'NBA Library'!$A$4:$A$21,0))</f>
        <v>Automated</v>
      </c>
      <c r="AM218" s="2" t="str">
        <f aca="false">IF(AA218,"HOLD — Critical Data Issue",IF(Y218,"Human Sign-Off Required",IF(Z218="Manual Review","Human Review Required",IF(AND(AL218="Automated",OR(AE218,AND(OR(AK218="Discovery-to-Offer Enablement",AK218="Reinforce Successful Behaviour"),OR(AC218,AB218)))),"Human Review Required",IF(AL218="Human","Ready — Human",IF(AL218="Hybrid","Ready — Hybrid","Ready — Automated"))))))</f>
        <v>Ready — Automated</v>
      </c>
      <c r="AN218" s="2" t="str">
        <f aca="false">IF(AA218,"P0",IF(AND(AJ218="BROWSING_LOW_OFFERS",E218="Tail"),"P3",IF(AND(AM218="Human Review Required",INDEX('NBA Library'!$D$4:$D$21,MATCH(AJ218,'NBA Library'!$A$4:$A$21,0))="P4"),"P3",INDEX('NBA Library'!$D$4:$D$21,MATCH(AJ218,'NBA Library'!$A$4:$A$21,0)))))</f>
        <v>P2</v>
      </c>
      <c r="AO218" s="2" t="str">
        <f aca="false">E218&amp;" "&amp;C218&amp;" account ("&amp;B218&amp;"); "&amp;G218&amp;" momentum; "&amp;P218&amp;"; £"&amp;TEXT(H218,"#,##0")&amp;" 6m GMV. "&amp;INDEX('NBA Library'!$G$4:$G$21,MATCH(AJ218,'NBA Library'!$A$4:$A$21,0))&amp;IF(LEFT(D218,1)="1"," Baseline: "&amp;V218&amp;" PDP views, "&amp;W218&amp;" app days, "&amp;X218&amp;" offers, "&amp;TEXT(J218/I218,"0%")&amp;" of orders self-serve.","")&amp;IF(AA218," Execution on HOLD until the Duplicate status is resolved.","")&amp;IF(Y218," Key account: explicit AM/leadership sign-off required before any migration activity.","")&amp;IF(AE218," Implied broker % from order counts would move this account to a different segment; review before automating.","")</f>
        <v>Core Self-Serve account (Self Serve); H2 Active / No H1 GMV momentum; Recently Active; £2,402 6m GMV. New customer (tenure &lt;= 6 months) buying only in H2. Establish a repeat buying pattern.</v>
      </c>
      <c r="AP218" s="2" t="str">
        <f aca="false">INDEX('NBA Library'!$E$4:$E$21,MATCH(AJ218,'NBA Library'!$A$4:$A$21,0))&amp;IF(AND(AJ218="NEW_CUSTOMER",AG218),"; introduce Make-an-Offer on items already browsed","")</f>
        <v>Onboarding: repeat purchase and regular independent browsing; introduce Make-an-Offer on items already browsed</v>
      </c>
      <c r="AQ218" s="2" t="str">
        <f aca="false">INDEX('NBA Library'!$F$4:$F$21,MATCH(AJ218,'NBA Library'!$A$4:$A$21,0))</f>
        <v>2+ orders across 2+ months within 90 days</v>
      </c>
      <c r="AR218" s="2" t="str">
        <f aca="false">IF(AND(F218="Low",OR(G218="Growing",G218="Stable"),P218="Recently Active",U218&lt;&gt;"Mixed",OR(AK218="Discovery-to-Offer Enablement",AK218="Reinforce Successful Behaviour"),AM218="Ready — Automated",OR(E218&lt;&gt;"Tail",S218)),"Range Expansion Test — trial "&amp;IF(U218="Bundle-only","handpick","bundles")&amp;" (experimental; not proven to lift GMV)","")</f>
        <v/>
      </c>
      <c r="AS218" s="2" t="str">
        <f aca="false">IF(AK218&lt;&gt;"Automated Nurture","",IF(AJ218="DORMANT_LOW_VALUE","Dormant",IF(AJ218="RISING_TAIL_EARLY","Rising tail – early pattern",IF(Q218="New Customer","New customer onboarding",IF(Q218="Returned Customer","Returned customer",IF(G218="Lapsed","Dormant",IF(T218="Engaged, not converting","Engaged, not converting",IF(T218="One-off low-touch buyer","One-off purchaser",IF(T218="Light-touch repeat buyer","Light-touch repeat buyer","Standard long tail")))))))))</f>
        <v/>
      </c>
      <c r="AT218" s="2" t="str">
        <f aca="false">IF(AA218,"CRITICAL_DATA_BLOCKER; ","")&amp;IF(Y218,"KEY_SIGNOFF; ","")&amp;IF(Z218="Manual Review","PHASE1_MANUAL_REVIEW; ","")&amp;IF(AND(LEFT(D218,1)="1",AZ218="Lumpy"),"LUMPY_CADENCE; ","")&amp;IF(AB218,"BORDERLINE_MOMENTUM; ","")&amp;IF(AC218,"FEB_SENSITIVE; ","")&amp;IF(AD218,"MATERIAL_BROKER_INCONSISTENCY"&amp;IF(AE218," (segment would change)","")&amp;"; ","")&amp;IF(AND(I218&gt;=3,O218&gt;0),IF(AI218&gt;=Assumptions!$B$75,"H2_SINGLE_MONTH_SPIKE; ",""),"")&amp;IF(AND(M218&gt;0,N218=0),"NO_FEB_GMV (Feb unconfirmed); ","")&amp;IF(AF218,"LOW_CONFIDENCE; ","")</f>
        <v/>
      </c>
      <c r="AU218" s="2" t="str">
        <f aca="false">IF(LEFT(D218,1)="1",V218,"")</f>
        <v/>
      </c>
      <c r="AV218" s="2" t="str">
        <f aca="false">IF(LEFT(D218,1)="1",V218&gt;=Assumptions!$B$58,"")</f>
        <v/>
      </c>
      <c r="AW218" s="2" t="str">
        <f aca="false">IF(LEFT(D218,1)="1",W218,"")</f>
        <v/>
      </c>
      <c r="AX218" s="2" t="str">
        <f aca="false">IF(LEFT(D218,1)="1",X218,"")</f>
        <v/>
      </c>
      <c r="AY218" s="17" t="str">
        <f aca="false">IF(LEFT(D218,1)="1",J218/I218,"")</f>
        <v/>
      </c>
      <c r="AZ218" s="2" t="str">
        <f aca="false">IF(LEFT(D218,1)="1",IF(AND(K218&gt;=Assumptions!$B$83,I218&gt;=Assumptions!$B$84),"Regular","Lumpy"),"")</f>
        <v/>
      </c>
      <c r="BA218" s="2" t="str">
        <f aca="false">IF(LEFT(D218,1)="1",ROUND(6/K218,0),"")</f>
        <v/>
      </c>
      <c r="BB218" s="2" t="str">
        <f aca="false">IF(LEFT(D218,1)="1",IF(AZ218="Regular","Regular buyer: expected ~£"&amp;TEXT(H218/2,"#,##0")&amp;" per 90 days. At Risk if GMV to date &lt; "&amp;TEXT(Assumptions!$B$81,"0%")&amp;" of pro-rated expectation, checked from day "&amp;Assumptions!$B$82&amp;". Human-reviewed.","Irregular buyer ("&amp;I218&amp;" orders across "&amp;K218&amp;" months): no numeric GMV threshold. At Risk if no order within ~"&amp;BA218&amp;" month(s); AM reviews at day "&amp;Assumptions!$B$82&amp;" and "&amp;Assumptions!$B$85&amp;"."),"")</f>
        <v/>
      </c>
      <c r="BC218" s="2"/>
      <c r="BD218" s="2"/>
      <c r="BE218" s="2"/>
      <c r="BF218" s="2"/>
      <c r="BG218" s="2"/>
      <c r="BH218" s="2"/>
      <c r="BI218" s="2"/>
      <c r="BJ218" s="2" t="str">
        <f aca="false">IF(OR(NOT(LEFT(D218,1)="1"),BC218=""),"",IF(AZ218="Regular",AND(BC218&gt;=Assumptions!$B$82,N(BI218)&lt;Assumptions!$B$81*H218/180*BC218),AND(BC218&gt;=BA218*30,N(BG218)=0)))</f>
        <v/>
      </c>
      <c r="BK218" s="2" t="str">
        <f aca="false">IF(NOT(LEFT(D218,1)="1"),"N/A",IF(BC218="","Baseline",IF(BJ218,"At Risk",IF(AND(N(BD218)&gt;=Assumptions!$B$78,N(BE218)&gt;=Assumptions!$B$79,N(BH218)&gt;=1,N(BH218)/MAX(N(BG218),1)&gt;AY218),"Self-Serve Capability Demonstrated",IF(OR(N(BD218)&gt;=Assumptions!$B$76,N(BE218)&gt;=Assumptions!$B$77),"Progressing",IF(BC218&gt;=Assumptions!$B$85,"At Risk","Baseline"))))))</f>
        <v>N/A</v>
      </c>
      <c r="BL218" s="2" t="n">
        <f aca="false">(AND(C218="Broker-Reliant",OR(AK218="Discovery-to-Offer Enablement",AK218="Reinforce Successful Behaviour")))*1+(AND(G218="Declining",E218&lt;&gt;"Tail",AL218="Automated"))*1+(AND(Y218,AM218&lt;&gt;"Human Sign-Off Required"))*1+(AND(AA218,AM218&lt;&gt;"HOLD — Critical Data Issue"))*1+(AND(P218="Recent Inactivity",OR(AK218="Discovery-to-Offer Enablement",AK218="Reinforce Successful Behaviour")))*1+(AND(OR(LEFT(D218,1)="2",LEFT(D218,1)="3",LEFT(D218,1)="8"),AL218="Automated"))*1+((LEFT(D218,1)="1")&lt;&gt;(AK218="Guided Self-Serve Migration"))*1+(AND(AR218&lt;&gt;"",OR(F218&lt;&gt;"Low",U218="Mixed",AND(G218&lt;&gt;"Growing",G218&lt;&gt;"Stable"))))*1+ISNUMBER(SEARCH("chat",AP218))*1+ISNUMBER(SEARCH("video",AP218))*1+(AND(AA218,AL218="Automated",AM218&lt;&gt;"HOLD — Critical Data Issue"))*1</f>
        <v>0</v>
      </c>
    </row>
    <row r="219" customFormat="false" ht="15" hidden="false" customHeight="false" outlineLevel="0" collapsed="false">
      <c r="A219" s="2" t="s">
        <v>601</v>
      </c>
      <c r="B219" s="2" t="str">
        <f aca="false">INDEX(Segmentation!$B$2:$B$301,MATCH($A219,Segmentation!$A$2:$A$301,0))</f>
        <v>Self Serve</v>
      </c>
      <c r="C219" s="2" t="str">
        <f aca="false">INDEX(Segmentation!$H$2:$H$301,MATCH($A219,Segmentation!$A$2:$A$301,0))</f>
        <v>Self-Serve</v>
      </c>
      <c r="D219" s="2" t="str">
        <f aca="false">INDEX(Segmentation!$T$2:$T$301,MATCH($A219,Segmentation!$A$2:$A$301,0))</f>
        <v>9. Long-Tail Automated Nurture</v>
      </c>
      <c r="E219" s="2" t="str">
        <f aca="false">INDEX(Segmentation!$J$2:$J$301,MATCH($A219,Segmentation!$A$2:$A$301,0))</f>
        <v>Tail</v>
      </c>
      <c r="F219" s="2" t="str">
        <f aca="false">INDEX(Segmentation!$G$2:$G$301,MATCH($A219,Segmentation!$A$2:$A$301,0))</f>
        <v>Low</v>
      </c>
      <c r="G219" s="2" t="str">
        <f aca="false">INDEX(Segmentation!$N$2:$N$301,MATCH($A219,Segmentation!$A$2:$A$301,0))</f>
        <v>Lapsed</v>
      </c>
      <c r="H219" s="9" t="n">
        <f aca="false">INDEX(Segmentation!$I$2:$I$301,MATCH($A219,Segmentation!$A$2:$A$301,0))</f>
        <v>1219</v>
      </c>
      <c r="I219" s="2" t="n">
        <f aca="false">INDEX(Segmentation!$O$2:$O$301,MATCH($A219,Segmentation!$A$2:$A$301,0))</f>
        <v>4</v>
      </c>
      <c r="J219" s="2" t="n">
        <f aca="false">INDEX(Segmentation!$Q$2:$Q$301,MATCH($A219,Segmentation!$A$2:$A$301,0))</f>
        <v>4</v>
      </c>
      <c r="K219" s="2" t="n">
        <f aca="false">INDEX(Segmentation!$W$2:$W$301,MATCH($A219,Segmentation!$A$2:$A$301,0))</f>
        <v>1</v>
      </c>
      <c r="L219" s="9" t="n">
        <f aca="false">INDEX('Commercial View'!$L$2:$L$301,MATCH($A219,'Commercial View'!$A$2:$A$301,0))</f>
        <v>0</v>
      </c>
      <c r="M219" s="9" t="n">
        <f aca="false">INDEX('Commercial View'!$M$2:$M$301,MATCH($A219,'Commercial View'!$A$2:$A$301,0))</f>
        <v>0</v>
      </c>
      <c r="N219" s="9" t="n">
        <f aca="false">INDEX('Commercial View'!$N$2:$N$301,MATCH($A219,'Commercial View'!$A$2:$A$301,0))</f>
        <v>0</v>
      </c>
      <c r="O219" s="9" t="n">
        <f aca="false">INDEX(Segmentation!$L$2:$L$301,MATCH($A219,Segmentation!$A$2:$A$301,0))</f>
        <v>0</v>
      </c>
      <c r="P219" s="2" t="str">
        <f aca="false">IF(OR(M219&gt;0,N219&gt;0),"Recently Active",IF(OR(I219&lt;=Assumptions!$B$48,K219&lt;=Assumptions!$B$49),"No Meaningful History","Recent Inactivity"))</f>
        <v>No Meaningful History</v>
      </c>
      <c r="Q219" s="2" t="str">
        <f aca="false">INDEX(Segmentation!$AF$2:$AF$301,MATCH($A219,Segmentation!$A$2:$A$301,0))</f>
        <v>Existing Customer</v>
      </c>
      <c r="R219" s="2" t="str">
        <f aca="false">INDEX(Segmentation!$AL$2:$AL$301,MATCH($A219,Segmentation!$A$2:$A$301,0))</f>
        <v>One-Off / Insufficient History — Verify</v>
      </c>
      <c r="S219" s="10" t="b">
        <f aca="false">INDEX(Segmentation!$AW$2:$AW$301,MATCH($A219,Segmentation!$A$2:$A$301,0))</f>
        <v>0</v>
      </c>
      <c r="T219" s="2" t="str">
        <f aca="false">INDEX('Feature Data'!$AD$2:$AD$301,MATCH($A219,'Feature Data'!$A$2:$A$301,0))</f>
        <v>Light-touch repeat buyer</v>
      </c>
      <c r="U219" s="2" t="str">
        <f aca="false">INDEX('Feature Data'!$W$2:$W$301,MATCH($A219,'Feature Data'!$A$2:$A$301,0))</f>
        <v>Bundle-only</v>
      </c>
      <c r="V219" s="2" t="n">
        <f aca="false">INDEX('Feature Data'!$P$2:$P$301,MATCH($A219,'Feature Data'!$A$2:$A$301,0))</f>
        <v>0</v>
      </c>
      <c r="W219" s="2" t="n">
        <f aca="false">INDEX(Segmentation!$R$2:$R$301,MATCH($A219,Segmentation!$A$2:$A$301,0))</f>
        <v>0</v>
      </c>
      <c r="X219" s="2" t="n">
        <f aca="false">INDEX(Segmentation!$S$2:$S$301,MATCH($A219,Segmentation!$A$2:$A$301,0))</f>
        <v>0</v>
      </c>
      <c r="Y219" s="10" t="b">
        <f aca="false">INDEX(Segmentation!$AG$2:$AG$301,MATCH($A219,Segmentation!$A$2:$A$301,0))</f>
        <v>0</v>
      </c>
      <c r="Z219" s="2" t="str">
        <f aca="false">INDEX(Segmentation!$AU$2:$AU$301,MATCH($A219,Segmentation!$A$2:$A$301,0))</f>
        <v>Not Eligible</v>
      </c>
      <c r="AA219" s="10" t="b">
        <f aca="false">INDEX(Segmentation!$Z$2:$Z$301,MATCH($A219,Segmentation!$A$2:$A$301,0))</f>
        <v>0</v>
      </c>
      <c r="AB219" s="10" t="b">
        <f aca="false">INDEX(Segmentation!$AH$2:$AH$301,MATCH($A219,Segmentation!$A$2:$A$301,0))</f>
        <v>0</v>
      </c>
      <c r="AC219" s="10" t="b">
        <f aca="false">INDEX(Segmentation!$AK$2:$AK$301,MATCH($A219,Segmentation!$A$2:$A$301,0))</f>
        <v>0</v>
      </c>
      <c r="AD219" s="10" t="b">
        <f aca="false">INDEX(Segmentation!$AQ$2:$AQ$301,MATCH($A219,Segmentation!$A$2:$A$301,0))</f>
        <v>0</v>
      </c>
      <c r="AE219" s="10" t="b">
        <f aca="false">INDEX(Segmentation!$AT$2:$AT$301,MATCH($A219,Segmentation!$A$2:$A$301,0))</f>
        <v>0</v>
      </c>
      <c r="AF219" s="10" t="b">
        <f aca="false">INDEX(Segmentation!$X$2:$X$301,MATCH($A219,Segmentation!$A$2:$A$301,0))</f>
        <v>0</v>
      </c>
      <c r="AG219" s="10" t="b">
        <f aca="false">AND(F219="Low",V219&gt;=Assumptions!$B$71,X219&lt;Assumptions!$B$72)</f>
        <v>0</v>
      </c>
      <c r="AH219" s="10" t="b">
        <f aca="false">AND(F219="Low",OR(G219="Growing",G219="Stable"),P219="Recently Active",V219&gt;=Assumptions!$B$58,K219&gt;=Assumptions!$B$73)</f>
        <v>0</v>
      </c>
      <c r="AI219" s="17" t="str">
        <f aca="false">IF(O219&gt;0,MAX(L219:N219)/O219,"")</f>
        <v/>
      </c>
      <c r="AJ219" s="2" t="str">
        <f aca="false">IF(LEFT(D219,1)="1",IF(E219="Key","MIGRATION_KEY_SIGNOFF",IF(Z219="Ready","MIGRATION_PHASE1_READY",IF(Z219="Manual Review","MIGRATION_PHASE1_REVIEW","MIGRATION_PRE_ENTRY"))),IF(LEFT(D219,1)="2","DECLINING_KEY_CORE",IF(LEFT(D219,1)="3",IF(R219="Established Buyer Lapsed","LAPSED_ESTABLISHED","LAPSED_THIN_HISTORY"),IF(LEFT(D219,1)="4",IF(Q219="New Customer","NEW_CUSTOMER","RETURNED_CUSTOMER"),IF(LEFT(D219,1)="5",IF(P219="Recently Active","COST_TO_SERVE_ACTIVE","DORMANT_LOW_VALUE"),IF(LEFT(D219,1)="6",IF(P219="Recent Inactivity","RECENT_INACTIVITY",IF(AG219,"BROWSING_LOW_OFFERS","HEALTHY_STRONG_SELF_SERVE")),IF(LEFT(D219,1)="7",IF(P219="Recent Inactivity","RECENT_INACTIVITY",IF(Q219="New Customer","NEW_CUSTOMER","RETURNED_CUSTOMER")),IF(LEFT(D219,1)="8",IF(G219="Declining",IF(T219="Engaged but shrinking (Key/Core)","ENGAGED_BUT_SHRINKING","DECLINING_KEY_CORE"),IF(R219="Established Buyer Lapsed","LAPSED_ESTABLISHED","LAPSED_THIN_HISTORY")),IF(S219,IF(P219&lt;&gt;"Recently Active","DORMANT_LOW_VALUE",IF(AG219,"BROWSING_LOW_OFFERS",IF(AH219,"RISING_TAIL","RISING_TAIL_EARLY"))),IF(AND(AG219,P219="Recently Active",OR(G219="Growing",G219="Stable",G219="H2 Active / No H1 GMV"),I219&gt;=Assumptions!$B$74),"BROWSING_LOW_OFFERS","LONG_TAIL_STANDARD"))))))))))</f>
        <v>LONG_TAIL_STANDARD</v>
      </c>
      <c r="AK219" s="2" t="str">
        <f aca="false">INDEX('NBA Library'!$B$4:$B$21,MATCH(AJ219,'NBA Library'!$A$4:$A$21,0))</f>
        <v>Automated Nurture</v>
      </c>
      <c r="AL219" s="2" t="str">
        <f aca="false">INDEX('NBA Library'!$C$4:$C$21,MATCH(AJ219,'NBA Library'!$A$4:$A$21,0))</f>
        <v>Automated</v>
      </c>
      <c r="AM219" s="2" t="str">
        <f aca="false">IF(AA219,"HOLD — Critical Data Issue",IF(Y219,"Human Sign-Off Required",IF(Z219="Manual Review","Human Review Required",IF(AND(AL219="Automated",OR(AE219,AND(OR(AK219="Discovery-to-Offer Enablement",AK219="Reinforce Successful Behaviour"),OR(AC219,AB219)))),"Human Review Required",IF(AL219="Human","Ready — Human",IF(AL219="Hybrid","Ready — Hybrid","Ready — Automated"))))))</f>
        <v>Ready — Automated</v>
      </c>
      <c r="AN219" s="2" t="str">
        <f aca="false">IF(AA219,"P0",IF(AND(AJ219="BROWSING_LOW_OFFERS",E219="Tail"),"P3",IF(AND(AM219="Human Review Required",INDEX('NBA Library'!$D$4:$D$21,MATCH(AJ219,'NBA Library'!$A$4:$A$21,0))="P4"),"P3",INDEX('NBA Library'!$D$4:$D$21,MATCH(AJ219,'NBA Library'!$A$4:$A$21,0)))))</f>
        <v>P4</v>
      </c>
      <c r="AO219" s="2" t="str">
        <f aca="false">E219&amp;" "&amp;C219&amp;" account ("&amp;B219&amp;"); "&amp;G219&amp;" momentum; "&amp;P219&amp;"; £"&amp;TEXT(H219,"#,##0")&amp;" 6m GMV. "&amp;INDEX('NBA Library'!$G$4:$G$21,MATCH(AJ219,'NBA Library'!$A$4:$A$21,0))&amp;IF(LEFT(D219,1)="1"," Baseline: "&amp;V219&amp;" PDP views, "&amp;W219&amp;" app days, "&amp;X219&amp;" offers, "&amp;TEXT(J219/I219,"0%")&amp;" of orders self-serve.","")&amp;IF(AA219," Execution on HOLD until the Duplicate status is resolved.","")&amp;IF(Y219," Key account: explicit AM/leadership sign-off required before any migration activity.","")&amp;IF(AE219," Implied broker % from order counts would move this account to a different segment; review before automating.","")</f>
        <v>Tail Self-Serve account (Self Serve); Lapsed momentum; No Meaningful History; £1,219 6m GMV. Low-value, low-dependency account. Scalable automated engagement.</v>
      </c>
      <c r="AP219" s="2" t="str">
        <f aca="false">INDEX('NBA Library'!$E$4:$E$21,MATCH(AJ219,'NBA Library'!$A$4:$A$21,0))&amp;IF(AND(AJ219="NEW_CUSTOMER",AG219),"; introduce Make-an-Offer on items already browsed","")</f>
        <v>Scalable automated engagement matched to nurture sub-context</v>
      </c>
      <c r="AQ219" s="2" t="str">
        <f aca="false">INDEX('NBA Library'!$F$4:$F$21,MATCH(AJ219,'NBA Library'!$A$4:$A$21,0))</f>
        <v>Any repeat order within 90 days</v>
      </c>
      <c r="AR219" s="2" t="str">
        <f aca="false">IF(AND(F219="Low",OR(G219="Growing",G219="Stable"),P219="Recently Active",U219&lt;&gt;"Mixed",OR(AK219="Discovery-to-Offer Enablement",AK219="Reinforce Successful Behaviour"),AM219="Ready — Automated",OR(E219&lt;&gt;"Tail",S219)),"Range Expansion Test — trial "&amp;IF(U219="Bundle-only","handpick","bundles")&amp;" (experimental; not proven to lift GMV)","")</f>
        <v/>
      </c>
      <c r="AS219" s="2" t="str">
        <f aca="false">IF(AK219&lt;&gt;"Automated Nurture","",IF(AJ219="DORMANT_LOW_VALUE","Dormant",IF(AJ219="RISING_TAIL_EARLY","Rising tail – early pattern",IF(Q219="New Customer","New customer onboarding",IF(Q219="Returned Customer","Returned customer",IF(G219="Lapsed","Dormant",IF(T219="Engaged, not converting","Engaged, not converting",IF(T219="One-off low-touch buyer","One-off purchaser",IF(T219="Light-touch repeat buyer","Light-touch repeat buyer","Standard long tail")))))))))</f>
        <v>Dormant</v>
      </c>
      <c r="AT219" s="2" t="str">
        <f aca="false">IF(AA219,"CRITICAL_DATA_BLOCKER; ","")&amp;IF(Y219,"KEY_SIGNOFF; ","")&amp;IF(Z219="Manual Review","PHASE1_MANUAL_REVIEW; ","")&amp;IF(AND(LEFT(D219,1)="1",AZ219="Lumpy"),"LUMPY_CADENCE; ","")&amp;IF(AB219,"BORDERLINE_MOMENTUM; ","")&amp;IF(AC219,"FEB_SENSITIVE; ","")&amp;IF(AD219,"MATERIAL_BROKER_INCONSISTENCY"&amp;IF(AE219," (segment would change)","")&amp;"; ","")&amp;IF(AND(I219&gt;=3,O219&gt;0),IF(AI219&gt;=Assumptions!$B$75,"H2_SINGLE_MONTH_SPIKE; ",""),"")&amp;IF(AND(M219&gt;0,N219=0),"NO_FEB_GMV (Feb unconfirmed); ","")&amp;IF(AF219,"LOW_CONFIDENCE; ","")</f>
        <v/>
      </c>
      <c r="AU219" s="2" t="str">
        <f aca="false">IF(LEFT(D219,1)="1",V219,"")</f>
        <v/>
      </c>
      <c r="AV219" s="2" t="str">
        <f aca="false">IF(LEFT(D219,1)="1",V219&gt;=Assumptions!$B$58,"")</f>
        <v/>
      </c>
      <c r="AW219" s="2" t="str">
        <f aca="false">IF(LEFT(D219,1)="1",W219,"")</f>
        <v/>
      </c>
      <c r="AX219" s="2" t="str">
        <f aca="false">IF(LEFT(D219,1)="1",X219,"")</f>
        <v/>
      </c>
      <c r="AY219" s="17" t="str">
        <f aca="false">IF(LEFT(D219,1)="1",J219/I219,"")</f>
        <v/>
      </c>
      <c r="AZ219" s="2" t="str">
        <f aca="false">IF(LEFT(D219,1)="1",IF(AND(K219&gt;=Assumptions!$B$83,I219&gt;=Assumptions!$B$84),"Regular","Lumpy"),"")</f>
        <v/>
      </c>
      <c r="BA219" s="2" t="str">
        <f aca="false">IF(LEFT(D219,1)="1",ROUND(6/K219,0),"")</f>
        <v/>
      </c>
      <c r="BB219" s="2" t="str">
        <f aca="false">IF(LEFT(D219,1)="1",IF(AZ219="Regular","Regular buyer: expected ~£"&amp;TEXT(H219/2,"#,##0")&amp;" per 90 days. At Risk if GMV to date &lt; "&amp;TEXT(Assumptions!$B$81,"0%")&amp;" of pro-rated expectation, checked from day "&amp;Assumptions!$B$82&amp;". Human-reviewed.","Irregular buyer ("&amp;I219&amp;" orders across "&amp;K219&amp;" months): no numeric GMV threshold. At Risk if no order within ~"&amp;BA219&amp;" month(s); AM reviews at day "&amp;Assumptions!$B$82&amp;" and "&amp;Assumptions!$B$85&amp;"."),"")</f>
        <v/>
      </c>
      <c r="BC219" s="2"/>
      <c r="BD219" s="2"/>
      <c r="BE219" s="2"/>
      <c r="BF219" s="2"/>
      <c r="BG219" s="2"/>
      <c r="BH219" s="2"/>
      <c r="BI219" s="2"/>
      <c r="BJ219" s="2" t="str">
        <f aca="false">IF(OR(NOT(LEFT(D219,1)="1"),BC219=""),"",IF(AZ219="Regular",AND(BC219&gt;=Assumptions!$B$82,N(BI219)&lt;Assumptions!$B$81*H219/180*BC219),AND(BC219&gt;=BA219*30,N(BG219)=0)))</f>
        <v/>
      </c>
      <c r="BK219" s="2" t="str">
        <f aca="false">IF(NOT(LEFT(D219,1)="1"),"N/A",IF(BC219="","Baseline",IF(BJ219,"At Risk",IF(AND(N(BD219)&gt;=Assumptions!$B$78,N(BE219)&gt;=Assumptions!$B$79,N(BH219)&gt;=1,N(BH219)/MAX(N(BG219),1)&gt;AY219),"Self-Serve Capability Demonstrated",IF(OR(N(BD219)&gt;=Assumptions!$B$76,N(BE219)&gt;=Assumptions!$B$77),"Progressing",IF(BC219&gt;=Assumptions!$B$85,"At Risk","Baseline"))))))</f>
        <v>N/A</v>
      </c>
      <c r="BL219" s="2" t="n">
        <f aca="false">(AND(C219="Broker-Reliant",OR(AK219="Discovery-to-Offer Enablement",AK219="Reinforce Successful Behaviour")))*1+(AND(G219="Declining",E219&lt;&gt;"Tail",AL219="Automated"))*1+(AND(Y219,AM219&lt;&gt;"Human Sign-Off Required"))*1+(AND(AA219,AM219&lt;&gt;"HOLD — Critical Data Issue"))*1+(AND(P219="Recent Inactivity",OR(AK219="Discovery-to-Offer Enablement",AK219="Reinforce Successful Behaviour")))*1+(AND(OR(LEFT(D219,1)="2",LEFT(D219,1)="3",LEFT(D219,1)="8"),AL219="Automated"))*1+((LEFT(D219,1)="1")&lt;&gt;(AK219="Guided Self-Serve Migration"))*1+(AND(AR219&lt;&gt;"",OR(F219&lt;&gt;"Low",U219="Mixed",AND(G219&lt;&gt;"Growing",G219&lt;&gt;"Stable"))))*1+ISNUMBER(SEARCH("chat",AP219))*1+ISNUMBER(SEARCH("video",AP219))*1+(AND(AA219,AL219="Automated",AM219&lt;&gt;"HOLD — Critical Data Issue"))*1</f>
        <v>0</v>
      </c>
    </row>
    <row r="220" customFormat="false" ht="15" hidden="false" customHeight="false" outlineLevel="0" collapsed="false">
      <c r="A220" s="2" t="s">
        <v>541</v>
      </c>
      <c r="B220" s="2" t="str">
        <f aca="false">INDEX(Segmentation!$B$2:$B$301,MATCH($A220,Segmentation!$A$2:$A$301,0))</f>
        <v>Self Serve</v>
      </c>
      <c r="C220" s="2" t="str">
        <f aca="false">INDEX(Segmentation!$H$2:$H$301,MATCH($A220,Segmentation!$A$2:$A$301,0))</f>
        <v>Self-Serve</v>
      </c>
      <c r="D220" s="2" t="str">
        <f aca="false">INDEX(Segmentation!$T$2:$T$301,MATCH($A220,Segmentation!$A$2:$A$301,0))</f>
        <v>9. Long-Tail Automated Nurture</v>
      </c>
      <c r="E220" s="2" t="str">
        <f aca="false">INDEX(Segmentation!$J$2:$J$301,MATCH($A220,Segmentation!$A$2:$A$301,0))</f>
        <v>Tail</v>
      </c>
      <c r="F220" s="2" t="str">
        <f aca="false">INDEX(Segmentation!$G$2:$G$301,MATCH($A220,Segmentation!$A$2:$A$301,0))</f>
        <v>Low</v>
      </c>
      <c r="G220" s="2" t="str">
        <f aca="false">INDEX(Segmentation!$N$2:$N$301,MATCH($A220,Segmentation!$A$2:$A$301,0))</f>
        <v>H2 Active / No H1 GMV</v>
      </c>
      <c r="H220" s="9" t="n">
        <f aca="false">INDEX(Segmentation!$I$2:$I$301,MATCH($A220,Segmentation!$A$2:$A$301,0))</f>
        <v>1166</v>
      </c>
      <c r="I220" s="2" t="n">
        <f aca="false">INDEX(Segmentation!$O$2:$O$301,MATCH($A220,Segmentation!$A$2:$A$301,0))</f>
        <v>5</v>
      </c>
      <c r="J220" s="2" t="n">
        <f aca="false">INDEX(Segmentation!$Q$2:$Q$301,MATCH($A220,Segmentation!$A$2:$A$301,0))</f>
        <v>5</v>
      </c>
      <c r="K220" s="2" t="n">
        <f aca="false">INDEX(Segmentation!$W$2:$W$301,MATCH($A220,Segmentation!$A$2:$A$301,0))</f>
        <v>3</v>
      </c>
      <c r="L220" s="9" t="n">
        <f aca="false">INDEX('Commercial View'!$L$2:$L$301,MATCH($A220,'Commercial View'!$A$2:$A$301,0))</f>
        <v>153</v>
      </c>
      <c r="M220" s="9" t="n">
        <f aca="false">INDEX('Commercial View'!$M$2:$M$301,MATCH($A220,'Commercial View'!$A$2:$A$301,0))</f>
        <v>798</v>
      </c>
      <c r="N220" s="9" t="n">
        <f aca="false">INDEX('Commercial View'!$N$2:$N$301,MATCH($A220,'Commercial View'!$A$2:$A$301,0))</f>
        <v>215</v>
      </c>
      <c r="O220" s="9" t="n">
        <f aca="false">INDEX(Segmentation!$L$2:$L$301,MATCH($A220,Segmentation!$A$2:$A$301,0))</f>
        <v>1166</v>
      </c>
      <c r="P220" s="2" t="str">
        <f aca="false">IF(OR(M220&gt;0,N220&gt;0),"Recently Active",IF(OR(I220&lt;=Assumptions!$B$48,K220&lt;=Assumptions!$B$49),"No Meaningful History","Recent Inactivity"))</f>
        <v>Recently Active</v>
      </c>
      <c r="Q220" s="2" t="str">
        <f aca="false">INDEX(Segmentation!$AF$2:$AF$301,MATCH($A220,Segmentation!$A$2:$A$301,0))</f>
        <v>New Customer</v>
      </c>
      <c r="R220" s="2" t="str">
        <f aca="false">INDEX(Segmentation!$AL$2:$AL$301,MATCH($A220,Segmentation!$A$2:$A$301,0))</f>
        <v>N/A</v>
      </c>
      <c r="S220" s="10" t="b">
        <f aca="false">INDEX(Segmentation!$AW$2:$AW$301,MATCH($A220,Segmentation!$A$2:$A$301,0))</f>
        <v>1</v>
      </c>
      <c r="T220" s="2" t="str">
        <f aca="false">INDEX('Feature Data'!$AD$2:$AD$301,MATCH($A220,'Feature Data'!$A$2:$A$301,0))</f>
        <v>Light-touch repeat buyer</v>
      </c>
      <c r="U220" s="2" t="str">
        <f aca="false">INDEX('Feature Data'!$W$2:$W$301,MATCH($A220,'Feature Data'!$A$2:$A$301,0))</f>
        <v>Mixed</v>
      </c>
      <c r="V220" s="2" t="n">
        <f aca="false">INDEX('Feature Data'!$P$2:$P$301,MATCH($A220,'Feature Data'!$A$2:$A$301,0))</f>
        <v>548</v>
      </c>
      <c r="W220" s="2" t="n">
        <f aca="false">INDEX(Segmentation!$R$2:$R$301,MATCH($A220,Segmentation!$A$2:$A$301,0))</f>
        <v>39</v>
      </c>
      <c r="X220" s="2" t="n">
        <f aca="false">INDEX(Segmentation!$S$2:$S$301,MATCH($A220,Segmentation!$A$2:$A$301,0))</f>
        <v>2</v>
      </c>
      <c r="Y220" s="10" t="b">
        <f aca="false">INDEX(Segmentation!$AG$2:$AG$301,MATCH($A220,Segmentation!$A$2:$A$301,0))</f>
        <v>0</v>
      </c>
      <c r="Z220" s="2" t="str">
        <f aca="false">INDEX(Segmentation!$AU$2:$AU$301,MATCH($A220,Segmentation!$A$2:$A$301,0))</f>
        <v>Not Eligible</v>
      </c>
      <c r="AA220" s="10" t="b">
        <f aca="false">INDEX(Segmentation!$Z$2:$Z$301,MATCH($A220,Segmentation!$A$2:$A$301,0))</f>
        <v>0</v>
      </c>
      <c r="AB220" s="10" t="b">
        <f aca="false">INDEX(Segmentation!$AH$2:$AH$301,MATCH($A220,Segmentation!$A$2:$A$301,0))</f>
        <v>0</v>
      </c>
      <c r="AC220" s="10" t="b">
        <f aca="false">INDEX(Segmentation!$AK$2:$AK$301,MATCH($A220,Segmentation!$A$2:$A$301,0))</f>
        <v>0</v>
      </c>
      <c r="AD220" s="10" t="b">
        <f aca="false">INDEX(Segmentation!$AQ$2:$AQ$301,MATCH($A220,Segmentation!$A$2:$A$301,0))</f>
        <v>0</v>
      </c>
      <c r="AE220" s="10" t="b">
        <f aca="false">INDEX(Segmentation!$AT$2:$AT$301,MATCH($A220,Segmentation!$A$2:$A$301,0))</f>
        <v>0</v>
      </c>
      <c r="AF220" s="10" t="b">
        <f aca="false">INDEX(Segmentation!$X$2:$X$301,MATCH($A220,Segmentation!$A$2:$A$301,0))</f>
        <v>0</v>
      </c>
      <c r="AG220" s="10" t="b">
        <f aca="false">AND(F220="Low",V220&gt;=Assumptions!$B$71,X220&lt;Assumptions!$B$72)</f>
        <v>1</v>
      </c>
      <c r="AH220" s="10" t="b">
        <f aca="false">AND(F220="Low",OR(G220="Growing",G220="Stable"),P220="Recently Active",V220&gt;=Assumptions!$B$58,K220&gt;=Assumptions!$B$73)</f>
        <v>0</v>
      </c>
      <c r="AI220" s="17" t="n">
        <f aca="false">IF(O220&gt;0,MAX(L220:N220)/O220,"")</f>
        <v>0.684391080617496</v>
      </c>
      <c r="AJ220" s="2" t="str">
        <f aca="false">IF(LEFT(D220,1)="1",IF(E220="Key","MIGRATION_KEY_SIGNOFF",IF(Z220="Ready","MIGRATION_PHASE1_READY",IF(Z220="Manual Review","MIGRATION_PHASE1_REVIEW","MIGRATION_PRE_ENTRY"))),IF(LEFT(D220,1)="2","DECLINING_KEY_CORE",IF(LEFT(D220,1)="3",IF(R220="Established Buyer Lapsed","LAPSED_ESTABLISHED","LAPSED_THIN_HISTORY"),IF(LEFT(D220,1)="4",IF(Q220="New Customer","NEW_CUSTOMER","RETURNED_CUSTOMER"),IF(LEFT(D220,1)="5",IF(P220="Recently Active","COST_TO_SERVE_ACTIVE","DORMANT_LOW_VALUE"),IF(LEFT(D220,1)="6",IF(P220="Recent Inactivity","RECENT_INACTIVITY",IF(AG220,"BROWSING_LOW_OFFERS","HEALTHY_STRONG_SELF_SERVE")),IF(LEFT(D220,1)="7",IF(P220="Recent Inactivity","RECENT_INACTIVITY",IF(Q220="New Customer","NEW_CUSTOMER","RETURNED_CUSTOMER")),IF(LEFT(D220,1)="8",IF(G220="Declining",IF(T220="Engaged but shrinking (Key/Core)","ENGAGED_BUT_SHRINKING","DECLINING_KEY_CORE"),IF(R220="Established Buyer Lapsed","LAPSED_ESTABLISHED","LAPSED_THIN_HISTORY")),IF(S220,IF(P220&lt;&gt;"Recently Active","DORMANT_LOW_VALUE",IF(AG220,"BROWSING_LOW_OFFERS",IF(AH220,"RISING_TAIL","RISING_TAIL_EARLY"))),IF(AND(AG220,P220="Recently Active",OR(G220="Growing",G220="Stable",G220="H2 Active / No H1 GMV"),I220&gt;=Assumptions!$B$74),"BROWSING_LOW_OFFERS","LONG_TAIL_STANDARD"))))))))))</f>
        <v>BROWSING_LOW_OFFERS</v>
      </c>
      <c r="AK220" s="2" t="str">
        <f aca="false">INDEX('NBA Library'!$B$4:$B$21,MATCH(AJ220,'NBA Library'!$A$4:$A$21,0))</f>
        <v>Discovery-to-Offer Enablement</v>
      </c>
      <c r="AL220" s="2" t="str">
        <f aca="false">INDEX('NBA Library'!$C$4:$C$21,MATCH(AJ220,'NBA Library'!$A$4:$A$21,0))</f>
        <v>Automated</v>
      </c>
      <c r="AM220" s="2" t="str">
        <f aca="false">IF(AA220,"HOLD — Critical Data Issue",IF(Y220,"Human Sign-Off Required",IF(Z220="Manual Review","Human Review Required",IF(AND(AL220="Automated",OR(AE220,AND(OR(AK220="Discovery-to-Offer Enablement",AK220="Reinforce Successful Behaviour"),OR(AC220,AB220)))),"Human Review Required",IF(AL220="Human","Ready — Human",IF(AL220="Hybrid","Ready — Hybrid","Ready — Automated"))))))</f>
        <v>Ready — Automated</v>
      </c>
      <c r="AN220" s="2" t="str">
        <f aca="false">IF(AA220,"P0",IF(AND(AJ220="BROWSING_LOW_OFFERS",E220="Tail"),"P3",IF(AND(AM220="Human Review Required",INDEX('NBA Library'!$D$4:$D$21,MATCH(AJ220,'NBA Library'!$A$4:$A$21,0))="P4"),"P3",INDEX('NBA Library'!$D$4:$D$21,MATCH(AJ220,'NBA Library'!$A$4:$A$21,0)))))</f>
        <v>P3</v>
      </c>
      <c r="AO220" s="2" t="str">
        <f aca="false">E220&amp;" "&amp;C220&amp;" account ("&amp;B220&amp;"); "&amp;G220&amp;" momentum; "&amp;P220&amp;"; £"&amp;TEXT(H220,"#,##0")&amp;" 6m GMV. "&amp;INDEX('NBA Library'!$G$4:$G$21,MATCH(AJ220,'NBA Library'!$A$4:$A$21,0))&amp;IF(LEFT(D220,1)="1"," Baseline: "&amp;V220&amp;" PDP views, "&amp;W220&amp;" app days, "&amp;X220&amp;" offers, "&amp;TEXT(J220/I220,"0%")&amp;" of orders self-serve.","")&amp;IF(AA220," Execution on HOLD until the Duplicate status is resolved.","")&amp;IF(Y220," Key account: explicit AM/leadership sign-off required before any migration activity.","")&amp;IF(AE220," Implied broker % from order counts would move this account to a different segment; review before automating.","")</f>
        <v>Tail Self-Serve account (Self Serve); H2 Active / No H1 GMV momentum; Recently Active; £1,166 6m GMV. Low-dependency account browses meaningfully but makes few offers. Encourage self-directed negotiation.</v>
      </c>
      <c r="AP220" s="2" t="str">
        <f aca="false">INDEX('NBA Library'!$E$4:$E$21,MATCH(AJ220,'NBA Library'!$A$4:$A$21,0))&amp;IF(AND(AJ220="NEW_CUSTOMER",AG220),"; introduce Make-an-Offer on items already browsed","")</f>
        <v>Make offers on items already browsed (3+ offers)</v>
      </c>
      <c r="AQ220" s="2" t="str">
        <f aca="false">INDEX('NBA Library'!$F$4:$F$21,MATCH(AJ220,'NBA Library'!$A$4:$A$21,0))</f>
        <v>3+ offers within 90 days and at least one offer-led order; GMV not lower</v>
      </c>
      <c r="AR220" s="2" t="str">
        <f aca="false">IF(AND(F220="Low",OR(G220="Growing",G220="Stable"),P220="Recently Active",U220&lt;&gt;"Mixed",OR(AK220="Discovery-to-Offer Enablement",AK220="Reinforce Successful Behaviour"),AM220="Ready — Automated",OR(E220&lt;&gt;"Tail",S220)),"Range Expansion Test — trial "&amp;IF(U220="Bundle-only","handpick","bundles")&amp;" (experimental; not proven to lift GMV)","")</f>
        <v/>
      </c>
      <c r="AS220" s="2" t="str">
        <f aca="false">IF(AK220&lt;&gt;"Automated Nurture","",IF(AJ220="DORMANT_LOW_VALUE","Dormant",IF(AJ220="RISING_TAIL_EARLY","Rising tail – early pattern",IF(Q220="New Customer","New customer onboarding",IF(Q220="Returned Customer","Returned customer",IF(G220="Lapsed","Dormant",IF(T220="Engaged, not converting","Engaged, not converting",IF(T220="One-off low-touch buyer","One-off purchaser",IF(T220="Light-touch repeat buyer","Light-touch repeat buyer","Standard long tail")))))))))</f>
        <v/>
      </c>
      <c r="AT220" s="2" t="str">
        <f aca="false">IF(AA220,"CRITICAL_DATA_BLOCKER; ","")&amp;IF(Y220,"KEY_SIGNOFF; ","")&amp;IF(Z220="Manual Review","PHASE1_MANUAL_REVIEW; ","")&amp;IF(AND(LEFT(D220,1)="1",AZ220="Lumpy"),"LUMPY_CADENCE; ","")&amp;IF(AB220,"BORDERLINE_MOMENTUM; ","")&amp;IF(AC220,"FEB_SENSITIVE; ","")&amp;IF(AD220,"MATERIAL_BROKER_INCONSISTENCY"&amp;IF(AE220," (segment would change)","")&amp;"; ","")&amp;IF(AND(I220&gt;=3,O220&gt;0),IF(AI220&gt;=Assumptions!$B$75,"H2_SINGLE_MONTH_SPIKE; ",""),"")&amp;IF(AND(M220&gt;0,N220=0),"NO_FEB_GMV (Feb unconfirmed); ","")&amp;IF(AF220,"LOW_CONFIDENCE; ","")</f>
        <v/>
      </c>
      <c r="AU220" s="2" t="str">
        <f aca="false">IF(LEFT(D220,1)="1",V220,"")</f>
        <v/>
      </c>
      <c r="AV220" s="2" t="str">
        <f aca="false">IF(LEFT(D220,1)="1",V220&gt;=Assumptions!$B$58,"")</f>
        <v/>
      </c>
      <c r="AW220" s="2" t="str">
        <f aca="false">IF(LEFT(D220,1)="1",W220,"")</f>
        <v/>
      </c>
      <c r="AX220" s="2" t="str">
        <f aca="false">IF(LEFT(D220,1)="1",X220,"")</f>
        <v/>
      </c>
      <c r="AY220" s="17" t="str">
        <f aca="false">IF(LEFT(D220,1)="1",J220/I220,"")</f>
        <v/>
      </c>
      <c r="AZ220" s="2" t="str">
        <f aca="false">IF(LEFT(D220,1)="1",IF(AND(K220&gt;=Assumptions!$B$83,I220&gt;=Assumptions!$B$84),"Regular","Lumpy"),"")</f>
        <v/>
      </c>
      <c r="BA220" s="2" t="str">
        <f aca="false">IF(LEFT(D220,1)="1",ROUND(6/K220,0),"")</f>
        <v/>
      </c>
      <c r="BB220" s="2" t="str">
        <f aca="false">IF(LEFT(D220,1)="1",IF(AZ220="Regular","Regular buyer: expected ~£"&amp;TEXT(H220/2,"#,##0")&amp;" per 90 days. At Risk if GMV to date &lt; "&amp;TEXT(Assumptions!$B$81,"0%")&amp;" of pro-rated expectation, checked from day "&amp;Assumptions!$B$82&amp;". Human-reviewed.","Irregular buyer ("&amp;I220&amp;" orders across "&amp;K220&amp;" months): no numeric GMV threshold. At Risk if no order within ~"&amp;BA220&amp;" month(s); AM reviews at day "&amp;Assumptions!$B$82&amp;" and "&amp;Assumptions!$B$85&amp;"."),"")</f>
        <v/>
      </c>
      <c r="BC220" s="2"/>
      <c r="BD220" s="2"/>
      <c r="BE220" s="2"/>
      <c r="BF220" s="2"/>
      <c r="BG220" s="2"/>
      <c r="BH220" s="2"/>
      <c r="BI220" s="2"/>
      <c r="BJ220" s="2" t="str">
        <f aca="false">IF(OR(NOT(LEFT(D220,1)="1"),BC220=""),"",IF(AZ220="Regular",AND(BC220&gt;=Assumptions!$B$82,N(BI220)&lt;Assumptions!$B$81*H220/180*BC220),AND(BC220&gt;=BA220*30,N(BG220)=0)))</f>
        <v/>
      </c>
      <c r="BK220" s="2" t="str">
        <f aca="false">IF(NOT(LEFT(D220,1)="1"),"N/A",IF(BC220="","Baseline",IF(BJ220,"At Risk",IF(AND(N(BD220)&gt;=Assumptions!$B$78,N(BE220)&gt;=Assumptions!$B$79,N(BH220)&gt;=1,N(BH220)/MAX(N(BG220),1)&gt;AY220),"Self-Serve Capability Demonstrated",IF(OR(N(BD220)&gt;=Assumptions!$B$76,N(BE220)&gt;=Assumptions!$B$77),"Progressing",IF(BC220&gt;=Assumptions!$B$85,"At Risk","Baseline"))))))</f>
        <v>N/A</v>
      </c>
      <c r="BL220" s="2" t="n">
        <f aca="false">(AND(C220="Broker-Reliant",OR(AK220="Discovery-to-Offer Enablement",AK220="Reinforce Successful Behaviour")))*1+(AND(G220="Declining",E220&lt;&gt;"Tail",AL220="Automated"))*1+(AND(Y220,AM220&lt;&gt;"Human Sign-Off Required"))*1+(AND(AA220,AM220&lt;&gt;"HOLD — Critical Data Issue"))*1+(AND(P220="Recent Inactivity",OR(AK220="Discovery-to-Offer Enablement",AK220="Reinforce Successful Behaviour")))*1+(AND(OR(LEFT(D220,1)="2",LEFT(D220,1)="3",LEFT(D220,1)="8"),AL220="Automated"))*1+((LEFT(D220,1)="1")&lt;&gt;(AK220="Guided Self-Serve Migration"))*1+(AND(AR220&lt;&gt;"",OR(F220&lt;&gt;"Low",U220="Mixed",AND(G220&lt;&gt;"Growing",G220&lt;&gt;"Stable"))))*1+ISNUMBER(SEARCH("chat",AP220))*1+ISNUMBER(SEARCH("video",AP220))*1+(AND(AA220,AL220="Automated",AM220&lt;&gt;"HOLD — Critical Data Issue"))*1</f>
        <v>0</v>
      </c>
    </row>
    <row r="221" customFormat="false" ht="15" hidden="false" customHeight="false" outlineLevel="0" collapsed="false">
      <c r="A221" s="2" t="s">
        <v>605</v>
      </c>
      <c r="B221" s="2" t="str">
        <f aca="false">INDEX(Segmentation!$B$2:$B$301,MATCH($A221,Segmentation!$A$2:$A$301,0))</f>
        <v>Self Serve</v>
      </c>
      <c r="C221" s="2" t="str">
        <f aca="false">INDEX(Segmentation!$H$2:$H$301,MATCH($A221,Segmentation!$A$2:$A$301,0))</f>
        <v>Self-Serve</v>
      </c>
      <c r="D221" s="2" t="str">
        <f aca="false">INDEX(Segmentation!$T$2:$T$301,MATCH($A221,Segmentation!$A$2:$A$301,0))</f>
        <v>9. Long-Tail Automated Nurture</v>
      </c>
      <c r="E221" s="2" t="str">
        <f aca="false">INDEX(Segmentation!$J$2:$J$301,MATCH($A221,Segmentation!$A$2:$A$301,0))</f>
        <v>Tail</v>
      </c>
      <c r="F221" s="2" t="str">
        <f aca="false">INDEX(Segmentation!$G$2:$G$301,MATCH($A221,Segmentation!$A$2:$A$301,0))</f>
        <v>Low</v>
      </c>
      <c r="G221" s="2" t="str">
        <f aca="false">INDEX(Segmentation!$N$2:$N$301,MATCH($A221,Segmentation!$A$2:$A$301,0))</f>
        <v>H2 Active / No H1 GMV</v>
      </c>
      <c r="H221" s="9" t="n">
        <f aca="false">INDEX(Segmentation!$I$2:$I$301,MATCH($A221,Segmentation!$A$2:$A$301,0))</f>
        <v>1119</v>
      </c>
      <c r="I221" s="2" t="n">
        <f aca="false">INDEX(Segmentation!$O$2:$O$301,MATCH($A221,Segmentation!$A$2:$A$301,0))</f>
        <v>1</v>
      </c>
      <c r="J221" s="2" t="n">
        <f aca="false">INDEX(Segmentation!$Q$2:$Q$301,MATCH($A221,Segmentation!$A$2:$A$301,0))</f>
        <v>1</v>
      </c>
      <c r="K221" s="2" t="n">
        <f aca="false">INDEX(Segmentation!$W$2:$W$301,MATCH($A221,Segmentation!$A$2:$A$301,0))</f>
        <v>1</v>
      </c>
      <c r="L221" s="9" t="n">
        <f aca="false">INDEX('Commercial View'!$L$2:$L$301,MATCH($A221,'Commercial View'!$A$2:$A$301,0))</f>
        <v>1119</v>
      </c>
      <c r="M221" s="9" t="n">
        <f aca="false">INDEX('Commercial View'!$M$2:$M$301,MATCH($A221,'Commercial View'!$A$2:$A$301,0))</f>
        <v>0</v>
      </c>
      <c r="N221" s="9" t="n">
        <f aca="false">INDEX('Commercial View'!$N$2:$N$301,MATCH($A221,'Commercial View'!$A$2:$A$301,0))</f>
        <v>0</v>
      </c>
      <c r="O221" s="9" t="n">
        <f aca="false">INDEX(Segmentation!$L$2:$L$301,MATCH($A221,Segmentation!$A$2:$A$301,0))</f>
        <v>1119</v>
      </c>
      <c r="P221" s="2" t="str">
        <f aca="false">IF(OR(M221&gt;0,N221&gt;0),"Recently Active",IF(OR(I221&lt;=Assumptions!$B$48,K221&lt;=Assumptions!$B$49),"No Meaningful History","Recent Inactivity"))</f>
        <v>No Meaningful History</v>
      </c>
      <c r="Q221" s="2" t="str">
        <f aca="false">INDEX(Segmentation!$AF$2:$AF$301,MATCH($A221,Segmentation!$A$2:$A$301,0))</f>
        <v>New Customer</v>
      </c>
      <c r="R221" s="2" t="str">
        <f aca="false">INDEX(Segmentation!$AL$2:$AL$301,MATCH($A221,Segmentation!$A$2:$A$301,0))</f>
        <v>N/A</v>
      </c>
      <c r="S221" s="10" t="b">
        <f aca="false">INDEX(Segmentation!$AW$2:$AW$301,MATCH($A221,Segmentation!$A$2:$A$301,0))</f>
        <v>0</v>
      </c>
      <c r="T221" s="2" t="str">
        <f aca="false">INDEX('Feature Data'!$AD$2:$AD$301,MATCH($A221,'Feature Data'!$A$2:$A$301,0))</f>
        <v>One-off low-touch buyer</v>
      </c>
      <c r="U221" s="2" t="str">
        <f aca="false">INDEX('Feature Data'!$W$2:$W$301,MATCH($A221,'Feature Data'!$A$2:$A$301,0))</f>
        <v>Bundle-only</v>
      </c>
      <c r="V221" s="2" t="n">
        <f aca="false">INDEX('Feature Data'!$P$2:$P$301,MATCH($A221,'Feature Data'!$A$2:$A$301,0))</f>
        <v>59</v>
      </c>
      <c r="W221" s="2" t="n">
        <f aca="false">INDEX(Segmentation!$R$2:$R$301,MATCH($A221,Segmentation!$A$2:$A$301,0))</f>
        <v>8</v>
      </c>
      <c r="X221" s="2" t="n">
        <f aca="false">INDEX(Segmentation!$S$2:$S$301,MATCH($A221,Segmentation!$A$2:$A$301,0))</f>
        <v>0</v>
      </c>
      <c r="Y221" s="10" t="b">
        <f aca="false">INDEX(Segmentation!$AG$2:$AG$301,MATCH($A221,Segmentation!$A$2:$A$301,0))</f>
        <v>0</v>
      </c>
      <c r="Z221" s="2" t="str">
        <f aca="false">INDEX(Segmentation!$AU$2:$AU$301,MATCH($A221,Segmentation!$A$2:$A$301,0))</f>
        <v>Not Eligible</v>
      </c>
      <c r="AA221" s="10" t="b">
        <f aca="false">INDEX(Segmentation!$Z$2:$Z$301,MATCH($A221,Segmentation!$A$2:$A$301,0))</f>
        <v>0</v>
      </c>
      <c r="AB221" s="10" t="b">
        <f aca="false">INDEX(Segmentation!$AH$2:$AH$301,MATCH($A221,Segmentation!$A$2:$A$301,0))</f>
        <v>0</v>
      </c>
      <c r="AC221" s="10" t="b">
        <f aca="false">INDEX(Segmentation!$AK$2:$AK$301,MATCH($A221,Segmentation!$A$2:$A$301,0))</f>
        <v>0</v>
      </c>
      <c r="AD221" s="10" t="b">
        <f aca="false">INDEX(Segmentation!$AQ$2:$AQ$301,MATCH($A221,Segmentation!$A$2:$A$301,0))</f>
        <v>0</v>
      </c>
      <c r="AE221" s="10" t="b">
        <f aca="false">INDEX(Segmentation!$AT$2:$AT$301,MATCH($A221,Segmentation!$A$2:$A$301,0))</f>
        <v>0</v>
      </c>
      <c r="AF221" s="10" t="b">
        <f aca="false">INDEX(Segmentation!$X$2:$X$301,MATCH($A221,Segmentation!$A$2:$A$301,0))</f>
        <v>1</v>
      </c>
      <c r="AG221" s="10" t="b">
        <f aca="false">AND(F221="Low",V221&gt;=Assumptions!$B$71,X221&lt;Assumptions!$B$72)</f>
        <v>1</v>
      </c>
      <c r="AH221" s="10" t="b">
        <f aca="false">AND(F221="Low",OR(G221="Growing",G221="Stable"),P221="Recently Active",V221&gt;=Assumptions!$B$58,K221&gt;=Assumptions!$B$73)</f>
        <v>0</v>
      </c>
      <c r="AI221" s="17" t="n">
        <f aca="false">IF(O221&gt;0,MAX(L221:N221)/O221,"")</f>
        <v>1</v>
      </c>
      <c r="AJ221" s="2" t="str">
        <f aca="false">IF(LEFT(D221,1)="1",IF(E221="Key","MIGRATION_KEY_SIGNOFF",IF(Z221="Ready","MIGRATION_PHASE1_READY",IF(Z221="Manual Review","MIGRATION_PHASE1_REVIEW","MIGRATION_PRE_ENTRY"))),IF(LEFT(D221,1)="2","DECLINING_KEY_CORE",IF(LEFT(D221,1)="3",IF(R221="Established Buyer Lapsed","LAPSED_ESTABLISHED","LAPSED_THIN_HISTORY"),IF(LEFT(D221,1)="4",IF(Q221="New Customer","NEW_CUSTOMER","RETURNED_CUSTOMER"),IF(LEFT(D221,1)="5",IF(P221="Recently Active","COST_TO_SERVE_ACTIVE","DORMANT_LOW_VALUE"),IF(LEFT(D221,1)="6",IF(P221="Recent Inactivity","RECENT_INACTIVITY",IF(AG221,"BROWSING_LOW_OFFERS","HEALTHY_STRONG_SELF_SERVE")),IF(LEFT(D221,1)="7",IF(P221="Recent Inactivity","RECENT_INACTIVITY",IF(Q221="New Customer","NEW_CUSTOMER","RETURNED_CUSTOMER")),IF(LEFT(D221,1)="8",IF(G221="Declining",IF(T221="Engaged but shrinking (Key/Core)","ENGAGED_BUT_SHRINKING","DECLINING_KEY_CORE"),IF(R221="Established Buyer Lapsed","LAPSED_ESTABLISHED","LAPSED_THIN_HISTORY")),IF(S221,IF(P221&lt;&gt;"Recently Active","DORMANT_LOW_VALUE",IF(AG221,"BROWSING_LOW_OFFERS",IF(AH221,"RISING_TAIL","RISING_TAIL_EARLY"))),IF(AND(AG221,P221="Recently Active",OR(G221="Growing",G221="Stable",G221="H2 Active / No H1 GMV"),I221&gt;=Assumptions!$B$74),"BROWSING_LOW_OFFERS","LONG_TAIL_STANDARD"))))))))))</f>
        <v>LONG_TAIL_STANDARD</v>
      </c>
      <c r="AK221" s="2" t="str">
        <f aca="false">INDEX('NBA Library'!$B$4:$B$21,MATCH(AJ221,'NBA Library'!$A$4:$A$21,0))</f>
        <v>Automated Nurture</v>
      </c>
      <c r="AL221" s="2" t="str">
        <f aca="false">INDEX('NBA Library'!$C$4:$C$21,MATCH(AJ221,'NBA Library'!$A$4:$A$21,0))</f>
        <v>Automated</v>
      </c>
      <c r="AM221" s="2" t="str">
        <f aca="false">IF(AA221,"HOLD — Critical Data Issue",IF(Y221,"Human Sign-Off Required",IF(Z221="Manual Review","Human Review Required",IF(AND(AL221="Automated",OR(AE221,AND(OR(AK221="Discovery-to-Offer Enablement",AK221="Reinforce Successful Behaviour"),OR(AC221,AB221)))),"Human Review Required",IF(AL221="Human","Ready — Human",IF(AL221="Hybrid","Ready — Hybrid","Ready — Automated"))))))</f>
        <v>Ready — Automated</v>
      </c>
      <c r="AN221" s="2" t="str">
        <f aca="false">IF(AA221,"P0",IF(AND(AJ221="BROWSING_LOW_OFFERS",E221="Tail"),"P3",IF(AND(AM221="Human Review Required",INDEX('NBA Library'!$D$4:$D$21,MATCH(AJ221,'NBA Library'!$A$4:$A$21,0))="P4"),"P3",INDEX('NBA Library'!$D$4:$D$21,MATCH(AJ221,'NBA Library'!$A$4:$A$21,0)))))</f>
        <v>P4</v>
      </c>
      <c r="AO221" s="2" t="str">
        <f aca="false">E221&amp;" "&amp;C221&amp;" account ("&amp;B221&amp;"); "&amp;G221&amp;" momentum; "&amp;P221&amp;"; £"&amp;TEXT(H221,"#,##0")&amp;" 6m GMV. "&amp;INDEX('NBA Library'!$G$4:$G$21,MATCH(AJ221,'NBA Library'!$A$4:$A$21,0))&amp;IF(LEFT(D221,1)="1"," Baseline: "&amp;V221&amp;" PDP views, "&amp;W221&amp;" app days, "&amp;X221&amp;" offers, "&amp;TEXT(J221/I221,"0%")&amp;" of orders self-serve.","")&amp;IF(AA221," Execution on HOLD until the Duplicate status is resolved.","")&amp;IF(Y221," Key account: explicit AM/leadership sign-off required before any migration activity.","")&amp;IF(AE221," Implied broker % from order counts would move this account to a different segment; review before automating.","")</f>
        <v>Tail Self-Serve account (Self Serve); H2 Active / No H1 GMV momentum; No Meaningful History; £1,119 6m GMV. Low-value, low-dependency account. Scalable automated engagement.</v>
      </c>
      <c r="AP221" s="2" t="str">
        <f aca="false">INDEX('NBA Library'!$E$4:$E$21,MATCH(AJ221,'NBA Library'!$A$4:$A$21,0))&amp;IF(AND(AJ221="NEW_CUSTOMER",AG221),"; introduce Make-an-Offer on items already browsed","")</f>
        <v>Scalable automated engagement matched to nurture sub-context</v>
      </c>
      <c r="AQ221" s="2" t="str">
        <f aca="false">INDEX('NBA Library'!$F$4:$F$21,MATCH(AJ221,'NBA Library'!$A$4:$A$21,0))</f>
        <v>Any repeat order within 90 days</v>
      </c>
      <c r="AR221" s="2" t="str">
        <f aca="false">IF(AND(F221="Low",OR(G221="Growing",G221="Stable"),P221="Recently Active",U221&lt;&gt;"Mixed",OR(AK221="Discovery-to-Offer Enablement",AK221="Reinforce Successful Behaviour"),AM221="Ready — Automated",OR(E221&lt;&gt;"Tail",S221)),"Range Expansion Test — trial "&amp;IF(U221="Bundle-only","handpick","bundles")&amp;" (experimental; not proven to lift GMV)","")</f>
        <v/>
      </c>
      <c r="AS221" s="2" t="str">
        <f aca="false">IF(AK221&lt;&gt;"Automated Nurture","",IF(AJ221="DORMANT_LOW_VALUE","Dormant",IF(AJ221="RISING_TAIL_EARLY","Rising tail – early pattern",IF(Q221="New Customer","New customer onboarding",IF(Q221="Returned Customer","Returned customer",IF(G221="Lapsed","Dormant",IF(T221="Engaged, not converting","Engaged, not converting",IF(T221="One-off low-touch buyer","One-off purchaser",IF(T221="Light-touch repeat buyer","Light-touch repeat buyer","Standard long tail")))))))))</f>
        <v>New customer onboarding</v>
      </c>
      <c r="AT221" s="2" t="str">
        <f aca="false">IF(AA221,"CRITICAL_DATA_BLOCKER; ","")&amp;IF(Y221,"KEY_SIGNOFF; ","")&amp;IF(Z221="Manual Review","PHASE1_MANUAL_REVIEW; ","")&amp;IF(AND(LEFT(D221,1)="1",AZ221="Lumpy"),"LUMPY_CADENCE; ","")&amp;IF(AB221,"BORDERLINE_MOMENTUM; ","")&amp;IF(AC221,"FEB_SENSITIVE; ","")&amp;IF(AD221,"MATERIAL_BROKER_INCONSISTENCY"&amp;IF(AE221," (segment would change)","")&amp;"; ","")&amp;IF(AND(I221&gt;=3,O221&gt;0),IF(AI221&gt;=Assumptions!$B$75,"H2_SINGLE_MONTH_SPIKE; ",""),"")&amp;IF(AND(M221&gt;0,N221=0),"NO_FEB_GMV (Feb unconfirmed); ","")&amp;IF(AF221,"LOW_CONFIDENCE; ","")</f>
        <v>LOW_CONFIDENCE; </v>
      </c>
      <c r="AU221" s="2" t="str">
        <f aca="false">IF(LEFT(D221,1)="1",V221,"")</f>
        <v/>
      </c>
      <c r="AV221" s="2" t="str">
        <f aca="false">IF(LEFT(D221,1)="1",V221&gt;=Assumptions!$B$58,"")</f>
        <v/>
      </c>
      <c r="AW221" s="2" t="str">
        <f aca="false">IF(LEFT(D221,1)="1",W221,"")</f>
        <v/>
      </c>
      <c r="AX221" s="2" t="str">
        <f aca="false">IF(LEFT(D221,1)="1",X221,"")</f>
        <v/>
      </c>
      <c r="AY221" s="17" t="str">
        <f aca="false">IF(LEFT(D221,1)="1",J221/I221,"")</f>
        <v/>
      </c>
      <c r="AZ221" s="2" t="str">
        <f aca="false">IF(LEFT(D221,1)="1",IF(AND(K221&gt;=Assumptions!$B$83,I221&gt;=Assumptions!$B$84),"Regular","Lumpy"),"")</f>
        <v/>
      </c>
      <c r="BA221" s="2" t="str">
        <f aca="false">IF(LEFT(D221,1)="1",ROUND(6/K221,0),"")</f>
        <v/>
      </c>
      <c r="BB221" s="2" t="str">
        <f aca="false">IF(LEFT(D221,1)="1",IF(AZ221="Regular","Regular buyer: expected ~£"&amp;TEXT(H221/2,"#,##0")&amp;" per 90 days. At Risk if GMV to date &lt; "&amp;TEXT(Assumptions!$B$81,"0%")&amp;" of pro-rated expectation, checked from day "&amp;Assumptions!$B$82&amp;". Human-reviewed.","Irregular buyer ("&amp;I221&amp;" orders across "&amp;K221&amp;" months): no numeric GMV threshold. At Risk if no order within ~"&amp;BA221&amp;" month(s); AM reviews at day "&amp;Assumptions!$B$82&amp;" and "&amp;Assumptions!$B$85&amp;"."),"")</f>
        <v/>
      </c>
      <c r="BC221" s="2"/>
      <c r="BD221" s="2"/>
      <c r="BE221" s="2"/>
      <c r="BF221" s="2"/>
      <c r="BG221" s="2"/>
      <c r="BH221" s="2"/>
      <c r="BI221" s="2"/>
      <c r="BJ221" s="2" t="str">
        <f aca="false">IF(OR(NOT(LEFT(D221,1)="1"),BC221=""),"",IF(AZ221="Regular",AND(BC221&gt;=Assumptions!$B$82,N(BI221)&lt;Assumptions!$B$81*H221/180*BC221),AND(BC221&gt;=BA221*30,N(BG221)=0)))</f>
        <v/>
      </c>
      <c r="BK221" s="2" t="str">
        <f aca="false">IF(NOT(LEFT(D221,1)="1"),"N/A",IF(BC221="","Baseline",IF(BJ221,"At Risk",IF(AND(N(BD221)&gt;=Assumptions!$B$78,N(BE221)&gt;=Assumptions!$B$79,N(BH221)&gt;=1,N(BH221)/MAX(N(BG221),1)&gt;AY221),"Self-Serve Capability Demonstrated",IF(OR(N(BD221)&gt;=Assumptions!$B$76,N(BE221)&gt;=Assumptions!$B$77),"Progressing",IF(BC221&gt;=Assumptions!$B$85,"At Risk","Baseline"))))))</f>
        <v>N/A</v>
      </c>
      <c r="BL221" s="2" t="n">
        <f aca="false">(AND(C221="Broker-Reliant",OR(AK221="Discovery-to-Offer Enablement",AK221="Reinforce Successful Behaviour")))*1+(AND(G221="Declining",E221&lt;&gt;"Tail",AL221="Automated"))*1+(AND(Y221,AM221&lt;&gt;"Human Sign-Off Required"))*1+(AND(AA221,AM221&lt;&gt;"HOLD — Critical Data Issue"))*1+(AND(P221="Recent Inactivity",OR(AK221="Discovery-to-Offer Enablement",AK221="Reinforce Successful Behaviour")))*1+(AND(OR(LEFT(D221,1)="2",LEFT(D221,1)="3",LEFT(D221,1)="8"),AL221="Automated"))*1+((LEFT(D221,1)="1")&lt;&gt;(AK221="Guided Self-Serve Migration"))*1+(AND(AR221&lt;&gt;"",OR(F221&lt;&gt;"Low",U221="Mixed",AND(G221&lt;&gt;"Growing",G221&lt;&gt;"Stable"))))*1+ISNUMBER(SEARCH("chat",AP221))*1+ISNUMBER(SEARCH("video",AP221))*1+(AND(AA221,AL221="Automated",AM221&lt;&gt;"HOLD — Critical Data Issue"))*1</f>
        <v>0</v>
      </c>
    </row>
    <row r="222" customFormat="false" ht="15" hidden="false" customHeight="false" outlineLevel="0" collapsed="false">
      <c r="A222" s="2" t="s">
        <v>622</v>
      </c>
      <c r="B222" s="2" t="str">
        <f aca="false">INDEX(Segmentation!$B$2:$B$301,MATCH($A222,Segmentation!$A$2:$A$301,0))</f>
        <v>Self Serve</v>
      </c>
      <c r="C222" s="2" t="str">
        <f aca="false">INDEX(Segmentation!$H$2:$H$301,MATCH($A222,Segmentation!$A$2:$A$301,0))</f>
        <v>Self-Serve</v>
      </c>
      <c r="D222" s="2" t="str">
        <f aca="false">INDEX(Segmentation!$T$2:$T$301,MATCH($A222,Segmentation!$A$2:$A$301,0))</f>
        <v>9. Long-Tail Automated Nurture</v>
      </c>
      <c r="E222" s="2" t="str">
        <f aca="false">INDEX(Segmentation!$J$2:$J$301,MATCH($A222,Segmentation!$A$2:$A$301,0))</f>
        <v>Tail</v>
      </c>
      <c r="F222" s="2" t="str">
        <f aca="false">INDEX(Segmentation!$G$2:$G$301,MATCH($A222,Segmentation!$A$2:$A$301,0))</f>
        <v>Low</v>
      </c>
      <c r="G222" s="2" t="str">
        <f aca="false">INDEX(Segmentation!$N$2:$N$301,MATCH($A222,Segmentation!$A$2:$A$301,0))</f>
        <v>H2 Active / No H1 GMV</v>
      </c>
      <c r="H222" s="9" t="n">
        <f aca="false">INDEX(Segmentation!$I$2:$I$301,MATCH($A222,Segmentation!$A$2:$A$301,0))</f>
        <v>925</v>
      </c>
      <c r="I222" s="2" t="n">
        <f aca="false">INDEX(Segmentation!$O$2:$O$301,MATCH($A222,Segmentation!$A$2:$A$301,0))</f>
        <v>4</v>
      </c>
      <c r="J222" s="2" t="n">
        <f aca="false">INDEX(Segmentation!$Q$2:$Q$301,MATCH($A222,Segmentation!$A$2:$A$301,0))</f>
        <v>4</v>
      </c>
      <c r="K222" s="2" t="n">
        <f aca="false">INDEX(Segmentation!$W$2:$W$301,MATCH($A222,Segmentation!$A$2:$A$301,0))</f>
        <v>3</v>
      </c>
      <c r="L222" s="9" t="n">
        <f aca="false">INDEX('Commercial View'!$L$2:$L$301,MATCH($A222,'Commercial View'!$A$2:$A$301,0))</f>
        <v>129</v>
      </c>
      <c r="M222" s="9" t="n">
        <f aca="false">INDEX('Commercial View'!$M$2:$M$301,MATCH($A222,'Commercial View'!$A$2:$A$301,0))</f>
        <v>335</v>
      </c>
      <c r="N222" s="9" t="n">
        <f aca="false">INDEX('Commercial View'!$N$2:$N$301,MATCH($A222,'Commercial View'!$A$2:$A$301,0))</f>
        <v>460</v>
      </c>
      <c r="O222" s="9" t="n">
        <f aca="false">INDEX(Segmentation!$L$2:$L$301,MATCH($A222,Segmentation!$A$2:$A$301,0))</f>
        <v>924</v>
      </c>
      <c r="P222" s="2" t="str">
        <f aca="false">IF(OR(M222&gt;0,N222&gt;0),"Recently Active",IF(OR(I222&lt;=Assumptions!$B$48,K222&lt;=Assumptions!$B$49),"No Meaningful History","Recent Inactivity"))</f>
        <v>Recently Active</v>
      </c>
      <c r="Q222" s="2" t="str">
        <f aca="false">INDEX(Segmentation!$AF$2:$AF$301,MATCH($A222,Segmentation!$A$2:$A$301,0))</f>
        <v>New Customer</v>
      </c>
      <c r="R222" s="2" t="str">
        <f aca="false">INDEX(Segmentation!$AL$2:$AL$301,MATCH($A222,Segmentation!$A$2:$A$301,0))</f>
        <v>N/A</v>
      </c>
      <c r="S222" s="10" t="b">
        <f aca="false">INDEX(Segmentation!$AW$2:$AW$301,MATCH($A222,Segmentation!$A$2:$A$301,0))</f>
        <v>0</v>
      </c>
      <c r="T222" s="2" t="str">
        <f aca="false">INDEX('Feature Data'!$AD$2:$AD$301,MATCH($A222,'Feature Data'!$A$2:$A$301,0))</f>
        <v>Light-touch repeat buyer</v>
      </c>
      <c r="U222" s="2" t="str">
        <f aca="false">INDEX('Feature Data'!$W$2:$W$301,MATCH($A222,'Feature Data'!$A$2:$A$301,0))</f>
        <v>Mixed</v>
      </c>
      <c r="V222" s="2" t="n">
        <f aca="false">INDEX('Feature Data'!$P$2:$P$301,MATCH($A222,'Feature Data'!$A$2:$A$301,0))</f>
        <v>110</v>
      </c>
      <c r="W222" s="2" t="n">
        <f aca="false">INDEX(Segmentation!$R$2:$R$301,MATCH($A222,Segmentation!$A$2:$A$301,0))</f>
        <v>21</v>
      </c>
      <c r="X222" s="2" t="n">
        <f aca="false">INDEX(Segmentation!$S$2:$S$301,MATCH($A222,Segmentation!$A$2:$A$301,0))</f>
        <v>13</v>
      </c>
      <c r="Y222" s="10" t="b">
        <f aca="false">INDEX(Segmentation!$AG$2:$AG$301,MATCH($A222,Segmentation!$A$2:$A$301,0))</f>
        <v>0</v>
      </c>
      <c r="Z222" s="2" t="str">
        <f aca="false">INDEX(Segmentation!$AU$2:$AU$301,MATCH($A222,Segmentation!$A$2:$A$301,0))</f>
        <v>Not Eligible</v>
      </c>
      <c r="AA222" s="10" t="b">
        <f aca="false">INDEX(Segmentation!$Z$2:$Z$301,MATCH($A222,Segmentation!$A$2:$A$301,0))</f>
        <v>0</v>
      </c>
      <c r="AB222" s="10" t="b">
        <f aca="false">INDEX(Segmentation!$AH$2:$AH$301,MATCH($A222,Segmentation!$A$2:$A$301,0))</f>
        <v>0</v>
      </c>
      <c r="AC222" s="10" t="b">
        <f aca="false">INDEX(Segmentation!$AK$2:$AK$301,MATCH($A222,Segmentation!$A$2:$A$301,0))</f>
        <v>0</v>
      </c>
      <c r="AD222" s="10" t="b">
        <f aca="false">INDEX(Segmentation!$AQ$2:$AQ$301,MATCH($A222,Segmentation!$A$2:$A$301,0))</f>
        <v>0</v>
      </c>
      <c r="AE222" s="10" t="b">
        <f aca="false">INDEX(Segmentation!$AT$2:$AT$301,MATCH($A222,Segmentation!$A$2:$A$301,0))</f>
        <v>0</v>
      </c>
      <c r="AF222" s="10" t="b">
        <f aca="false">INDEX(Segmentation!$X$2:$X$301,MATCH($A222,Segmentation!$A$2:$A$301,0))</f>
        <v>0</v>
      </c>
      <c r="AG222" s="10" t="b">
        <f aca="false">AND(F222="Low",V222&gt;=Assumptions!$B$71,X222&lt;Assumptions!$B$72)</f>
        <v>0</v>
      </c>
      <c r="AH222" s="10" t="b">
        <f aca="false">AND(F222="Low",OR(G222="Growing",G222="Stable"),P222="Recently Active",V222&gt;=Assumptions!$B$58,K222&gt;=Assumptions!$B$73)</f>
        <v>0</v>
      </c>
      <c r="AI222" s="17" t="n">
        <f aca="false">IF(O222&gt;0,MAX(L222:N222)/O222,"")</f>
        <v>0.497835497835498</v>
      </c>
      <c r="AJ222" s="2" t="str">
        <f aca="false">IF(LEFT(D222,1)="1",IF(E222="Key","MIGRATION_KEY_SIGNOFF",IF(Z222="Ready","MIGRATION_PHASE1_READY",IF(Z222="Manual Review","MIGRATION_PHASE1_REVIEW","MIGRATION_PRE_ENTRY"))),IF(LEFT(D222,1)="2","DECLINING_KEY_CORE",IF(LEFT(D222,1)="3",IF(R222="Established Buyer Lapsed","LAPSED_ESTABLISHED","LAPSED_THIN_HISTORY"),IF(LEFT(D222,1)="4",IF(Q222="New Customer","NEW_CUSTOMER","RETURNED_CUSTOMER"),IF(LEFT(D222,1)="5",IF(P222="Recently Active","COST_TO_SERVE_ACTIVE","DORMANT_LOW_VALUE"),IF(LEFT(D222,1)="6",IF(P222="Recent Inactivity","RECENT_INACTIVITY",IF(AG222,"BROWSING_LOW_OFFERS","HEALTHY_STRONG_SELF_SERVE")),IF(LEFT(D222,1)="7",IF(P222="Recent Inactivity","RECENT_INACTIVITY",IF(Q222="New Customer","NEW_CUSTOMER","RETURNED_CUSTOMER")),IF(LEFT(D222,1)="8",IF(G222="Declining",IF(T222="Engaged but shrinking (Key/Core)","ENGAGED_BUT_SHRINKING","DECLINING_KEY_CORE"),IF(R222="Established Buyer Lapsed","LAPSED_ESTABLISHED","LAPSED_THIN_HISTORY")),IF(S222,IF(P222&lt;&gt;"Recently Active","DORMANT_LOW_VALUE",IF(AG222,"BROWSING_LOW_OFFERS",IF(AH222,"RISING_TAIL","RISING_TAIL_EARLY"))),IF(AND(AG222,P222="Recently Active",OR(G222="Growing",G222="Stable",G222="H2 Active / No H1 GMV"),I222&gt;=Assumptions!$B$74),"BROWSING_LOW_OFFERS","LONG_TAIL_STANDARD"))))))))))</f>
        <v>LONG_TAIL_STANDARD</v>
      </c>
      <c r="AK222" s="2" t="str">
        <f aca="false">INDEX('NBA Library'!$B$4:$B$21,MATCH(AJ222,'NBA Library'!$A$4:$A$21,0))</f>
        <v>Automated Nurture</v>
      </c>
      <c r="AL222" s="2" t="str">
        <f aca="false">INDEX('NBA Library'!$C$4:$C$21,MATCH(AJ222,'NBA Library'!$A$4:$A$21,0))</f>
        <v>Automated</v>
      </c>
      <c r="AM222" s="2" t="str">
        <f aca="false">IF(AA222,"HOLD — Critical Data Issue",IF(Y222,"Human Sign-Off Required",IF(Z222="Manual Review","Human Review Required",IF(AND(AL222="Automated",OR(AE222,AND(OR(AK222="Discovery-to-Offer Enablement",AK222="Reinforce Successful Behaviour"),OR(AC222,AB222)))),"Human Review Required",IF(AL222="Human","Ready — Human",IF(AL222="Hybrid","Ready — Hybrid","Ready — Automated"))))))</f>
        <v>Ready — Automated</v>
      </c>
      <c r="AN222" s="2" t="str">
        <f aca="false">IF(AA222,"P0",IF(AND(AJ222="BROWSING_LOW_OFFERS",E222="Tail"),"P3",IF(AND(AM222="Human Review Required",INDEX('NBA Library'!$D$4:$D$21,MATCH(AJ222,'NBA Library'!$A$4:$A$21,0))="P4"),"P3",INDEX('NBA Library'!$D$4:$D$21,MATCH(AJ222,'NBA Library'!$A$4:$A$21,0)))))</f>
        <v>P4</v>
      </c>
      <c r="AO222" s="2" t="str">
        <f aca="false">E222&amp;" "&amp;C222&amp;" account ("&amp;B222&amp;"); "&amp;G222&amp;" momentum; "&amp;P222&amp;"; £"&amp;TEXT(H222,"#,##0")&amp;" 6m GMV. "&amp;INDEX('NBA Library'!$G$4:$G$21,MATCH(AJ222,'NBA Library'!$A$4:$A$21,0))&amp;IF(LEFT(D222,1)="1"," Baseline: "&amp;V222&amp;" PDP views, "&amp;W222&amp;" app days, "&amp;X222&amp;" offers, "&amp;TEXT(J222/I222,"0%")&amp;" of orders self-serve.","")&amp;IF(AA222," Execution on HOLD until the Duplicate status is resolved.","")&amp;IF(Y222," Key account: explicit AM/leadership sign-off required before any migration activity.","")&amp;IF(AE222," Implied broker % from order counts would move this account to a different segment; review before automating.","")</f>
        <v>Tail Self-Serve account (Self Serve); H2 Active / No H1 GMV momentum; Recently Active; £925 6m GMV. Low-value, low-dependency account. Scalable automated engagement.</v>
      </c>
      <c r="AP222" s="2" t="str">
        <f aca="false">INDEX('NBA Library'!$E$4:$E$21,MATCH(AJ222,'NBA Library'!$A$4:$A$21,0))&amp;IF(AND(AJ222="NEW_CUSTOMER",AG222),"; introduce Make-an-Offer on items already browsed","")</f>
        <v>Scalable automated engagement matched to nurture sub-context</v>
      </c>
      <c r="AQ222" s="2" t="str">
        <f aca="false">INDEX('NBA Library'!$F$4:$F$21,MATCH(AJ222,'NBA Library'!$A$4:$A$21,0))</f>
        <v>Any repeat order within 90 days</v>
      </c>
      <c r="AR222" s="2" t="str">
        <f aca="false">IF(AND(F222="Low",OR(G222="Growing",G222="Stable"),P222="Recently Active",U222&lt;&gt;"Mixed",OR(AK222="Discovery-to-Offer Enablement",AK222="Reinforce Successful Behaviour"),AM222="Ready — Automated",OR(E222&lt;&gt;"Tail",S222)),"Range Expansion Test — trial "&amp;IF(U222="Bundle-only","handpick","bundles")&amp;" (experimental; not proven to lift GMV)","")</f>
        <v/>
      </c>
      <c r="AS222" s="2" t="str">
        <f aca="false">IF(AK222&lt;&gt;"Automated Nurture","",IF(AJ222="DORMANT_LOW_VALUE","Dormant",IF(AJ222="RISING_TAIL_EARLY","Rising tail – early pattern",IF(Q222="New Customer","New customer onboarding",IF(Q222="Returned Customer","Returned customer",IF(G222="Lapsed","Dormant",IF(T222="Engaged, not converting","Engaged, not converting",IF(T222="One-off low-touch buyer","One-off purchaser",IF(T222="Light-touch repeat buyer","Light-touch repeat buyer","Standard long tail")))))))))</f>
        <v>New customer onboarding</v>
      </c>
      <c r="AT222" s="2" t="str">
        <f aca="false">IF(AA222,"CRITICAL_DATA_BLOCKER; ","")&amp;IF(Y222,"KEY_SIGNOFF; ","")&amp;IF(Z222="Manual Review","PHASE1_MANUAL_REVIEW; ","")&amp;IF(AND(LEFT(D222,1)="1",AZ222="Lumpy"),"LUMPY_CADENCE; ","")&amp;IF(AB222,"BORDERLINE_MOMENTUM; ","")&amp;IF(AC222,"FEB_SENSITIVE; ","")&amp;IF(AD222,"MATERIAL_BROKER_INCONSISTENCY"&amp;IF(AE222," (segment would change)","")&amp;"; ","")&amp;IF(AND(I222&gt;=3,O222&gt;0),IF(AI222&gt;=Assumptions!$B$75,"H2_SINGLE_MONTH_SPIKE; ",""),"")&amp;IF(AND(M222&gt;0,N222=0),"NO_FEB_GMV (Feb unconfirmed); ","")&amp;IF(AF222,"LOW_CONFIDENCE; ","")</f>
        <v/>
      </c>
      <c r="AU222" s="2" t="str">
        <f aca="false">IF(LEFT(D222,1)="1",V222,"")</f>
        <v/>
      </c>
      <c r="AV222" s="2" t="str">
        <f aca="false">IF(LEFT(D222,1)="1",V222&gt;=Assumptions!$B$58,"")</f>
        <v/>
      </c>
      <c r="AW222" s="2" t="str">
        <f aca="false">IF(LEFT(D222,1)="1",W222,"")</f>
        <v/>
      </c>
      <c r="AX222" s="2" t="str">
        <f aca="false">IF(LEFT(D222,1)="1",X222,"")</f>
        <v/>
      </c>
      <c r="AY222" s="17" t="str">
        <f aca="false">IF(LEFT(D222,1)="1",J222/I222,"")</f>
        <v/>
      </c>
      <c r="AZ222" s="2" t="str">
        <f aca="false">IF(LEFT(D222,1)="1",IF(AND(K222&gt;=Assumptions!$B$83,I222&gt;=Assumptions!$B$84),"Regular","Lumpy"),"")</f>
        <v/>
      </c>
      <c r="BA222" s="2" t="str">
        <f aca="false">IF(LEFT(D222,1)="1",ROUND(6/K222,0),"")</f>
        <v/>
      </c>
      <c r="BB222" s="2" t="str">
        <f aca="false">IF(LEFT(D222,1)="1",IF(AZ222="Regular","Regular buyer: expected ~£"&amp;TEXT(H222/2,"#,##0")&amp;" per 90 days. At Risk if GMV to date &lt; "&amp;TEXT(Assumptions!$B$81,"0%")&amp;" of pro-rated expectation, checked from day "&amp;Assumptions!$B$82&amp;". Human-reviewed.","Irregular buyer ("&amp;I222&amp;" orders across "&amp;K222&amp;" months): no numeric GMV threshold. At Risk if no order within ~"&amp;BA222&amp;" month(s); AM reviews at day "&amp;Assumptions!$B$82&amp;" and "&amp;Assumptions!$B$85&amp;"."),"")</f>
        <v/>
      </c>
      <c r="BC222" s="2"/>
      <c r="BD222" s="2"/>
      <c r="BE222" s="2"/>
      <c r="BF222" s="2"/>
      <c r="BG222" s="2"/>
      <c r="BH222" s="2"/>
      <c r="BI222" s="2"/>
      <c r="BJ222" s="2" t="str">
        <f aca="false">IF(OR(NOT(LEFT(D222,1)="1"),BC222=""),"",IF(AZ222="Regular",AND(BC222&gt;=Assumptions!$B$82,N(BI222)&lt;Assumptions!$B$81*H222/180*BC222),AND(BC222&gt;=BA222*30,N(BG222)=0)))</f>
        <v/>
      </c>
      <c r="BK222" s="2" t="str">
        <f aca="false">IF(NOT(LEFT(D222,1)="1"),"N/A",IF(BC222="","Baseline",IF(BJ222,"At Risk",IF(AND(N(BD222)&gt;=Assumptions!$B$78,N(BE222)&gt;=Assumptions!$B$79,N(BH222)&gt;=1,N(BH222)/MAX(N(BG222),1)&gt;AY222),"Self-Serve Capability Demonstrated",IF(OR(N(BD222)&gt;=Assumptions!$B$76,N(BE222)&gt;=Assumptions!$B$77),"Progressing",IF(BC222&gt;=Assumptions!$B$85,"At Risk","Baseline"))))))</f>
        <v>N/A</v>
      </c>
      <c r="BL222" s="2" t="n">
        <f aca="false">(AND(C222="Broker-Reliant",OR(AK222="Discovery-to-Offer Enablement",AK222="Reinforce Successful Behaviour")))*1+(AND(G222="Declining",E222&lt;&gt;"Tail",AL222="Automated"))*1+(AND(Y222,AM222&lt;&gt;"Human Sign-Off Required"))*1+(AND(AA222,AM222&lt;&gt;"HOLD — Critical Data Issue"))*1+(AND(P222="Recent Inactivity",OR(AK222="Discovery-to-Offer Enablement",AK222="Reinforce Successful Behaviour")))*1+(AND(OR(LEFT(D222,1)="2",LEFT(D222,1)="3",LEFT(D222,1)="8"),AL222="Automated"))*1+((LEFT(D222,1)="1")&lt;&gt;(AK222="Guided Self-Serve Migration"))*1+(AND(AR222&lt;&gt;"",OR(F222&lt;&gt;"Low",U222="Mixed",AND(G222&lt;&gt;"Growing",G222&lt;&gt;"Stable"))))*1+ISNUMBER(SEARCH("chat",AP222))*1+ISNUMBER(SEARCH("video",AP222))*1+(AND(AA222,AL222="Automated",AM222&lt;&gt;"HOLD — Critical Data Issue"))*1</f>
        <v>0</v>
      </c>
    </row>
    <row r="223" customFormat="false" ht="15" hidden="false" customHeight="false" outlineLevel="0" collapsed="false">
      <c r="A223" s="2" t="s">
        <v>631</v>
      </c>
      <c r="B223" s="2" t="str">
        <f aca="false">INDEX(Segmentation!$B$2:$B$301,MATCH($A223,Segmentation!$A$2:$A$301,0))</f>
        <v>Self Serve</v>
      </c>
      <c r="C223" s="2" t="str">
        <f aca="false">INDEX(Segmentation!$H$2:$H$301,MATCH($A223,Segmentation!$A$2:$A$301,0))</f>
        <v>Self-Serve</v>
      </c>
      <c r="D223" s="2" t="str">
        <f aca="false">INDEX(Segmentation!$T$2:$T$301,MATCH($A223,Segmentation!$A$2:$A$301,0))</f>
        <v>9. Long-Tail Automated Nurture</v>
      </c>
      <c r="E223" s="2" t="str">
        <f aca="false">INDEX(Segmentation!$J$2:$J$301,MATCH($A223,Segmentation!$A$2:$A$301,0))</f>
        <v>Tail</v>
      </c>
      <c r="F223" s="2" t="str">
        <f aca="false">INDEX(Segmentation!$G$2:$G$301,MATCH($A223,Segmentation!$A$2:$A$301,0))</f>
        <v>Low</v>
      </c>
      <c r="G223" s="2" t="str">
        <f aca="false">INDEX(Segmentation!$N$2:$N$301,MATCH($A223,Segmentation!$A$2:$A$301,0))</f>
        <v>H2 Active / No H1 GMV</v>
      </c>
      <c r="H223" s="9" t="n">
        <f aca="false">INDEX(Segmentation!$I$2:$I$301,MATCH($A223,Segmentation!$A$2:$A$301,0))</f>
        <v>880</v>
      </c>
      <c r="I223" s="2" t="n">
        <f aca="false">INDEX(Segmentation!$O$2:$O$301,MATCH($A223,Segmentation!$A$2:$A$301,0))</f>
        <v>1</v>
      </c>
      <c r="J223" s="2" t="n">
        <f aca="false">INDEX(Segmentation!$Q$2:$Q$301,MATCH($A223,Segmentation!$A$2:$A$301,0))</f>
        <v>1</v>
      </c>
      <c r="K223" s="2" t="n">
        <f aca="false">INDEX(Segmentation!$W$2:$W$301,MATCH($A223,Segmentation!$A$2:$A$301,0))</f>
        <v>1</v>
      </c>
      <c r="L223" s="9" t="n">
        <f aca="false">INDEX('Commercial View'!$L$2:$L$301,MATCH($A223,'Commercial View'!$A$2:$A$301,0))</f>
        <v>0</v>
      </c>
      <c r="M223" s="9" t="n">
        <f aca="false">INDEX('Commercial View'!$M$2:$M$301,MATCH($A223,'Commercial View'!$A$2:$A$301,0))</f>
        <v>0</v>
      </c>
      <c r="N223" s="9" t="n">
        <f aca="false">INDEX('Commercial View'!$N$2:$N$301,MATCH($A223,'Commercial View'!$A$2:$A$301,0))</f>
        <v>880</v>
      </c>
      <c r="O223" s="9" t="n">
        <f aca="false">INDEX(Segmentation!$L$2:$L$301,MATCH($A223,Segmentation!$A$2:$A$301,0))</f>
        <v>880</v>
      </c>
      <c r="P223" s="2" t="str">
        <f aca="false">IF(OR(M223&gt;0,N223&gt;0),"Recently Active",IF(OR(I223&lt;=Assumptions!$B$48,K223&lt;=Assumptions!$B$49),"No Meaningful History","Recent Inactivity"))</f>
        <v>Recently Active</v>
      </c>
      <c r="Q223" s="2" t="str">
        <f aca="false">INDEX(Segmentation!$AF$2:$AF$301,MATCH($A223,Segmentation!$A$2:$A$301,0))</f>
        <v>New Customer</v>
      </c>
      <c r="R223" s="2" t="str">
        <f aca="false">INDEX(Segmentation!$AL$2:$AL$301,MATCH($A223,Segmentation!$A$2:$A$301,0))</f>
        <v>N/A</v>
      </c>
      <c r="S223" s="10" t="b">
        <f aca="false">INDEX(Segmentation!$AW$2:$AW$301,MATCH($A223,Segmentation!$A$2:$A$301,0))</f>
        <v>0</v>
      </c>
      <c r="T223" s="2" t="str">
        <f aca="false">INDEX('Feature Data'!$AD$2:$AD$301,MATCH($A223,'Feature Data'!$A$2:$A$301,0))</f>
        <v>One-off low-touch buyer</v>
      </c>
      <c r="U223" s="2" t="str">
        <f aca="false">INDEX('Feature Data'!$W$2:$W$301,MATCH($A223,'Feature Data'!$A$2:$A$301,0))</f>
        <v>Bundle-only</v>
      </c>
      <c r="V223" s="2" t="n">
        <f aca="false">INDEX('Feature Data'!$P$2:$P$301,MATCH($A223,'Feature Data'!$A$2:$A$301,0))</f>
        <v>0</v>
      </c>
      <c r="W223" s="2" t="n">
        <f aca="false">INDEX(Segmentation!$R$2:$R$301,MATCH($A223,Segmentation!$A$2:$A$301,0))</f>
        <v>2</v>
      </c>
      <c r="X223" s="2" t="n">
        <f aca="false">INDEX(Segmentation!$S$2:$S$301,MATCH($A223,Segmentation!$A$2:$A$301,0))</f>
        <v>7</v>
      </c>
      <c r="Y223" s="10" t="b">
        <f aca="false">INDEX(Segmentation!$AG$2:$AG$301,MATCH($A223,Segmentation!$A$2:$A$301,0))</f>
        <v>0</v>
      </c>
      <c r="Z223" s="2" t="str">
        <f aca="false">INDEX(Segmentation!$AU$2:$AU$301,MATCH($A223,Segmentation!$A$2:$A$301,0))</f>
        <v>Not Eligible</v>
      </c>
      <c r="AA223" s="10" t="b">
        <f aca="false">INDEX(Segmentation!$Z$2:$Z$301,MATCH($A223,Segmentation!$A$2:$A$301,0))</f>
        <v>0</v>
      </c>
      <c r="AB223" s="10" t="b">
        <f aca="false">INDEX(Segmentation!$AH$2:$AH$301,MATCH($A223,Segmentation!$A$2:$A$301,0))</f>
        <v>0</v>
      </c>
      <c r="AC223" s="10" t="b">
        <f aca="false">INDEX(Segmentation!$AK$2:$AK$301,MATCH($A223,Segmentation!$A$2:$A$301,0))</f>
        <v>1</v>
      </c>
      <c r="AD223" s="10" t="b">
        <f aca="false">INDEX(Segmentation!$AQ$2:$AQ$301,MATCH($A223,Segmentation!$A$2:$A$301,0))</f>
        <v>0</v>
      </c>
      <c r="AE223" s="10" t="b">
        <f aca="false">INDEX(Segmentation!$AT$2:$AT$301,MATCH($A223,Segmentation!$A$2:$A$301,0))</f>
        <v>0</v>
      </c>
      <c r="AF223" s="10" t="b">
        <f aca="false">INDEX(Segmentation!$X$2:$X$301,MATCH($A223,Segmentation!$A$2:$A$301,0))</f>
        <v>1</v>
      </c>
      <c r="AG223" s="10" t="b">
        <f aca="false">AND(F223="Low",V223&gt;=Assumptions!$B$71,X223&lt;Assumptions!$B$72)</f>
        <v>0</v>
      </c>
      <c r="AH223" s="10" t="b">
        <f aca="false">AND(F223="Low",OR(G223="Growing",G223="Stable"),P223="Recently Active",V223&gt;=Assumptions!$B$58,K223&gt;=Assumptions!$B$73)</f>
        <v>0</v>
      </c>
      <c r="AI223" s="17" t="n">
        <f aca="false">IF(O223&gt;0,MAX(L223:N223)/O223,"")</f>
        <v>1</v>
      </c>
      <c r="AJ223" s="2" t="str">
        <f aca="false">IF(LEFT(D223,1)="1",IF(E223="Key","MIGRATION_KEY_SIGNOFF",IF(Z223="Ready","MIGRATION_PHASE1_READY",IF(Z223="Manual Review","MIGRATION_PHASE1_REVIEW","MIGRATION_PRE_ENTRY"))),IF(LEFT(D223,1)="2","DECLINING_KEY_CORE",IF(LEFT(D223,1)="3",IF(R223="Established Buyer Lapsed","LAPSED_ESTABLISHED","LAPSED_THIN_HISTORY"),IF(LEFT(D223,1)="4",IF(Q223="New Customer","NEW_CUSTOMER","RETURNED_CUSTOMER"),IF(LEFT(D223,1)="5",IF(P223="Recently Active","COST_TO_SERVE_ACTIVE","DORMANT_LOW_VALUE"),IF(LEFT(D223,1)="6",IF(P223="Recent Inactivity","RECENT_INACTIVITY",IF(AG223,"BROWSING_LOW_OFFERS","HEALTHY_STRONG_SELF_SERVE")),IF(LEFT(D223,1)="7",IF(P223="Recent Inactivity","RECENT_INACTIVITY",IF(Q223="New Customer","NEW_CUSTOMER","RETURNED_CUSTOMER")),IF(LEFT(D223,1)="8",IF(G223="Declining",IF(T223="Engaged but shrinking (Key/Core)","ENGAGED_BUT_SHRINKING","DECLINING_KEY_CORE"),IF(R223="Established Buyer Lapsed","LAPSED_ESTABLISHED","LAPSED_THIN_HISTORY")),IF(S223,IF(P223&lt;&gt;"Recently Active","DORMANT_LOW_VALUE",IF(AG223,"BROWSING_LOW_OFFERS",IF(AH223,"RISING_TAIL","RISING_TAIL_EARLY"))),IF(AND(AG223,P223="Recently Active",OR(G223="Growing",G223="Stable",G223="H2 Active / No H1 GMV"),I223&gt;=Assumptions!$B$74),"BROWSING_LOW_OFFERS","LONG_TAIL_STANDARD"))))))))))</f>
        <v>LONG_TAIL_STANDARD</v>
      </c>
      <c r="AK223" s="2" t="str">
        <f aca="false">INDEX('NBA Library'!$B$4:$B$21,MATCH(AJ223,'NBA Library'!$A$4:$A$21,0))</f>
        <v>Automated Nurture</v>
      </c>
      <c r="AL223" s="2" t="str">
        <f aca="false">INDEX('NBA Library'!$C$4:$C$21,MATCH(AJ223,'NBA Library'!$A$4:$A$21,0))</f>
        <v>Automated</v>
      </c>
      <c r="AM223" s="2" t="str">
        <f aca="false">IF(AA223,"HOLD — Critical Data Issue",IF(Y223,"Human Sign-Off Required",IF(Z223="Manual Review","Human Review Required",IF(AND(AL223="Automated",OR(AE223,AND(OR(AK223="Discovery-to-Offer Enablement",AK223="Reinforce Successful Behaviour"),OR(AC223,AB223)))),"Human Review Required",IF(AL223="Human","Ready — Human",IF(AL223="Hybrid","Ready — Hybrid","Ready — Automated"))))))</f>
        <v>Ready — Automated</v>
      </c>
      <c r="AN223" s="2" t="str">
        <f aca="false">IF(AA223,"P0",IF(AND(AJ223="BROWSING_LOW_OFFERS",E223="Tail"),"P3",IF(AND(AM223="Human Review Required",INDEX('NBA Library'!$D$4:$D$21,MATCH(AJ223,'NBA Library'!$A$4:$A$21,0))="P4"),"P3",INDEX('NBA Library'!$D$4:$D$21,MATCH(AJ223,'NBA Library'!$A$4:$A$21,0)))))</f>
        <v>P4</v>
      </c>
      <c r="AO223" s="2" t="str">
        <f aca="false">E223&amp;" "&amp;C223&amp;" account ("&amp;B223&amp;"); "&amp;G223&amp;" momentum; "&amp;P223&amp;"; £"&amp;TEXT(H223,"#,##0")&amp;" 6m GMV. "&amp;INDEX('NBA Library'!$G$4:$G$21,MATCH(AJ223,'NBA Library'!$A$4:$A$21,0))&amp;IF(LEFT(D223,1)="1"," Baseline: "&amp;V223&amp;" PDP views, "&amp;W223&amp;" app days, "&amp;X223&amp;" offers, "&amp;TEXT(J223/I223,"0%")&amp;" of orders self-serve.","")&amp;IF(AA223," Execution on HOLD until the Duplicate status is resolved.","")&amp;IF(Y223," Key account: explicit AM/leadership sign-off required before any migration activity.","")&amp;IF(AE223," Implied broker % from order counts would move this account to a different segment; review before automating.","")</f>
        <v>Tail Self-Serve account (Self Serve); H2 Active / No H1 GMV momentum; Recently Active; £880 6m GMV. Low-value, low-dependency account. Scalable automated engagement.</v>
      </c>
      <c r="AP223" s="2" t="str">
        <f aca="false">INDEX('NBA Library'!$E$4:$E$21,MATCH(AJ223,'NBA Library'!$A$4:$A$21,0))&amp;IF(AND(AJ223="NEW_CUSTOMER",AG223),"; introduce Make-an-Offer on items already browsed","")</f>
        <v>Scalable automated engagement matched to nurture sub-context</v>
      </c>
      <c r="AQ223" s="2" t="str">
        <f aca="false">INDEX('NBA Library'!$F$4:$F$21,MATCH(AJ223,'NBA Library'!$A$4:$A$21,0))</f>
        <v>Any repeat order within 90 days</v>
      </c>
      <c r="AR223" s="2" t="str">
        <f aca="false">IF(AND(F223="Low",OR(G223="Growing",G223="Stable"),P223="Recently Active",U223&lt;&gt;"Mixed",OR(AK223="Discovery-to-Offer Enablement",AK223="Reinforce Successful Behaviour"),AM223="Ready — Automated",OR(E223&lt;&gt;"Tail",S223)),"Range Expansion Test — trial "&amp;IF(U223="Bundle-only","handpick","bundles")&amp;" (experimental; not proven to lift GMV)","")</f>
        <v/>
      </c>
      <c r="AS223" s="2" t="str">
        <f aca="false">IF(AK223&lt;&gt;"Automated Nurture","",IF(AJ223="DORMANT_LOW_VALUE","Dormant",IF(AJ223="RISING_TAIL_EARLY","Rising tail – early pattern",IF(Q223="New Customer","New customer onboarding",IF(Q223="Returned Customer","Returned customer",IF(G223="Lapsed","Dormant",IF(T223="Engaged, not converting","Engaged, not converting",IF(T223="One-off low-touch buyer","One-off purchaser",IF(T223="Light-touch repeat buyer","Light-touch repeat buyer","Standard long tail")))))))))</f>
        <v>New customer onboarding</v>
      </c>
      <c r="AT223" s="2" t="str">
        <f aca="false">IF(AA223,"CRITICAL_DATA_BLOCKER; ","")&amp;IF(Y223,"KEY_SIGNOFF; ","")&amp;IF(Z223="Manual Review","PHASE1_MANUAL_REVIEW; ","")&amp;IF(AND(LEFT(D223,1)="1",AZ223="Lumpy"),"LUMPY_CADENCE; ","")&amp;IF(AB223,"BORDERLINE_MOMENTUM; ","")&amp;IF(AC223,"FEB_SENSITIVE; ","")&amp;IF(AD223,"MATERIAL_BROKER_INCONSISTENCY"&amp;IF(AE223," (segment would change)","")&amp;"; ","")&amp;IF(AND(I223&gt;=3,O223&gt;0),IF(AI223&gt;=Assumptions!$B$75,"H2_SINGLE_MONTH_SPIKE; ",""),"")&amp;IF(AND(M223&gt;0,N223=0),"NO_FEB_GMV (Feb unconfirmed); ","")&amp;IF(AF223,"LOW_CONFIDENCE; ","")</f>
        <v>FEB_SENSITIVE; LOW_CONFIDENCE; </v>
      </c>
      <c r="AU223" s="2" t="str">
        <f aca="false">IF(LEFT(D223,1)="1",V223,"")</f>
        <v/>
      </c>
      <c r="AV223" s="2" t="str">
        <f aca="false">IF(LEFT(D223,1)="1",V223&gt;=Assumptions!$B$58,"")</f>
        <v/>
      </c>
      <c r="AW223" s="2" t="str">
        <f aca="false">IF(LEFT(D223,1)="1",W223,"")</f>
        <v/>
      </c>
      <c r="AX223" s="2" t="str">
        <f aca="false">IF(LEFT(D223,1)="1",X223,"")</f>
        <v/>
      </c>
      <c r="AY223" s="17" t="str">
        <f aca="false">IF(LEFT(D223,1)="1",J223/I223,"")</f>
        <v/>
      </c>
      <c r="AZ223" s="2" t="str">
        <f aca="false">IF(LEFT(D223,1)="1",IF(AND(K223&gt;=Assumptions!$B$83,I223&gt;=Assumptions!$B$84),"Regular","Lumpy"),"")</f>
        <v/>
      </c>
      <c r="BA223" s="2" t="str">
        <f aca="false">IF(LEFT(D223,1)="1",ROUND(6/K223,0),"")</f>
        <v/>
      </c>
      <c r="BB223" s="2" t="str">
        <f aca="false">IF(LEFT(D223,1)="1",IF(AZ223="Regular","Regular buyer: expected ~£"&amp;TEXT(H223/2,"#,##0")&amp;" per 90 days. At Risk if GMV to date &lt; "&amp;TEXT(Assumptions!$B$81,"0%")&amp;" of pro-rated expectation, checked from day "&amp;Assumptions!$B$82&amp;". Human-reviewed.","Irregular buyer ("&amp;I223&amp;" orders across "&amp;K223&amp;" months): no numeric GMV threshold. At Risk if no order within ~"&amp;BA223&amp;" month(s); AM reviews at day "&amp;Assumptions!$B$82&amp;" and "&amp;Assumptions!$B$85&amp;"."),"")</f>
        <v/>
      </c>
      <c r="BC223" s="2"/>
      <c r="BD223" s="2"/>
      <c r="BE223" s="2"/>
      <c r="BF223" s="2"/>
      <c r="BG223" s="2"/>
      <c r="BH223" s="2"/>
      <c r="BI223" s="2"/>
      <c r="BJ223" s="2" t="str">
        <f aca="false">IF(OR(NOT(LEFT(D223,1)="1"),BC223=""),"",IF(AZ223="Regular",AND(BC223&gt;=Assumptions!$B$82,N(BI223)&lt;Assumptions!$B$81*H223/180*BC223),AND(BC223&gt;=BA223*30,N(BG223)=0)))</f>
        <v/>
      </c>
      <c r="BK223" s="2" t="str">
        <f aca="false">IF(NOT(LEFT(D223,1)="1"),"N/A",IF(BC223="","Baseline",IF(BJ223,"At Risk",IF(AND(N(BD223)&gt;=Assumptions!$B$78,N(BE223)&gt;=Assumptions!$B$79,N(BH223)&gt;=1,N(BH223)/MAX(N(BG223),1)&gt;AY223),"Self-Serve Capability Demonstrated",IF(OR(N(BD223)&gt;=Assumptions!$B$76,N(BE223)&gt;=Assumptions!$B$77),"Progressing",IF(BC223&gt;=Assumptions!$B$85,"At Risk","Baseline"))))))</f>
        <v>N/A</v>
      </c>
      <c r="BL223" s="2" t="n">
        <f aca="false">(AND(C223="Broker-Reliant",OR(AK223="Discovery-to-Offer Enablement",AK223="Reinforce Successful Behaviour")))*1+(AND(G223="Declining",E223&lt;&gt;"Tail",AL223="Automated"))*1+(AND(Y223,AM223&lt;&gt;"Human Sign-Off Required"))*1+(AND(AA223,AM223&lt;&gt;"HOLD — Critical Data Issue"))*1+(AND(P223="Recent Inactivity",OR(AK223="Discovery-to-Offer Enablement",AK223="Reinforce Successful Behaviour")))*1+(AND(OR(LEFT(D223,1)="2",LEFT(D223,1)="3",LEFT(D223,1)="8"),AL223="Automated"))*1+((LEFT(D223,1)="1")&lt;&gt;(AK223="Guided Self-Serve Migration"))*1+(AND(AR223&lt;&gt;"",OR(F223&lt;&gt;"Low",U223="Mixed",AND(G223&lt;&gt;"Growing",G223&lt;&gt;"Stable"))))*1+ISNUMBER(SEARCH("chat",AP223))*1+ISNUMBER(SEARCH("video",AP223))*1+(AND(AA223,AL223="Automated",AM223&lt;&gt;"HOLD — Critical Data Issue"))*1</f>
        <v>0</v>
      </c>
    </row>
    <row r="224" customFormat="false" ht="15" hidden="false" customHeight="false" outlineLevel="0" collapsed="false">
      <c r="A224" s="2" t="s">
        <v>676</v>
      </c>
      <c r="B224" s="2" t="str">
        <f aca="false">INDEX(Segmentation!$B$2:$B$301,MATCH($A224,Segmentation!$A$2:$A$301,0))</f>
        <v>Self Serve</v>
      </c>
      <c r="C224" s="2" t="str">
        <f aca="false">INDEX(Segmentation!$H$2:$H$301,MATCH($A224,Segmentation!$A$2:$A$301,0))</f>
        <v>Self-Serve</v>
      </c>
      <c r="D224" s="2" t="str">
        <f aca="false">INDEX(Segmentation!$T$2:$T$301,MATCH($A224,Segmentation!$A$2:$A$301,0))</f>
        <v>9. Long-Tail Automated Nurture</v>
      </c>
      <c r="E224" s="2" t="str">
        <f aca="false">INDEX(Segmentation!$J$2:$J$301,MATCH($A224,Segmentation!$A$2:$A$301,0))</f>
        <v>Tail</v>
      </c>
      <c r="F224" s="2" t="str">
        <f aca="false">INDEX(Segmentation!$G$2:$G$301,MATCH($A224,Segmentation!$A$2:$A$301,0))</f>
        <v>Low</v>
      </c>
      <c r="G224" s="2" t="str">
        <f aca="false">INDEX(Segmentation!$N$2:$N$301,MATCH($A224,Segmentation!$A$2:$A$301,0))</f>
        <v>Lapsed</v>
      </c>
      <c r="H224" s="9" t="n">
        <f aca="false">INDEX(Segmentation!$I$2:$I$301,MATCH($A224,Segmentation!$A$2:$A$301,0))</f>
        <v>550</v>
      </c>
      <c r="I224" s="2" t="n">
        <f aca="false">INDEX(Segmentation!$O$2:$O$301,MATCH($A224,Segmentation!$A$2:$A$301,0))</f>
        <v>2</v>
      </c>
      <c r="J224" s="2" t="n">
        <f aca="false">INDEX(Segmentation!$Q$2:$Q$301,MATCH($A224,Segmentation!$A$2:$A$301,0))</f>
        <v>2</v>
      </c>
      <c r="K224" s="2" t="n">
        <f aca="false">INDEX(Segmentation!$W$2:$W$301,MATCH($A224,Segmentation!$A$2:$A$301,0))</f>
        <v>2</v>
      </c>
      <c r="L224" s="9" t="n">
        <f aca="false">INDEX('Commercial View'!$L$2:$L$301,MATCH($A224,'Commercial View'!$A$2:$A$301,0))</f>
        <v>0</v>
      </c>
      <c r="M224" s="9" t="n">
        <f aca="false">INDEX('Commercial View'!$M$2:$M$301,MATCH($A224,'Commercial View'!$A$2:$A$301,0))</f>
        <v>0</v>
      </c>
      <c r="N224" s="9" t="n">
        <f aca="false">INDEX('Commercial View'!$N$2:$N$301,MATCH($A224,'Commercial View'!$A$2:$A$301,0))</f>
        <v>0</v>
      </c>
      <c r="O224" s="9" t="n">
        <f aca="false">INDEX(Segmentation!$L$2:$L$301,MATCH($A224,Segmentation!$A$2:$A$301,0))</f>
        <v>0</v>
      </c>
      <c r="P224" s="2" t="str">
        <f aca="false">IF(OR(M224&gt;0,N224&gt;0),"Recently Active",IF(OR(I224&lt;=Assumptions!$B$48,K224&lt;=Assumptions!$B$49),"No Meaningful History","Recent Inactivity"))</f>
        <v>No Meaningful History</v>
      </c>
      <c r="Q224" s="2" t="str">
        <f aca="false">INDEX(Segmentation!$AF$2:$AF$301,MATCH($A224,Segmentation!$A$2:$A$301,0))</f>
        <v>Existing Customer</v>
      </c>
      <c r="R224" s="2" t="str">
        <f aca="false">INDEX(Segmentation!$AL$2:$AL$301,MATCH($A224,Segmentation!$A$2:$A$301,0))</f>
        <v>One-Off / Insufficient History — Verify</v>
      </c>
      <c r="S224" s="10" t="b">
        <f aca="false">INDEX(Segmentation!$AW$2:$AW$301,MATCH($A224,Segmentation!$A$2:$A$301,0))</f>
        <v>0</v>
      </c>
      <c r="T224" s="2" t="str">
        <f aca="false">INDEX('Feature Data'!$AD$2:$AD$301,MATCH($A224,'Feature Data'!$A$2:$A$301,0))</f>
        <v>Engaged, not converting</v>
      </c>
      <c r="U224" s="2" t="str">
        <f aca="false">INDEX('Feature Data'!$W$2:$W$301,MATCH($A224,'Feature Data'!$A$2:$A$301,0))</f>
        <v>Bundle-only</v>
      </c>
      <c r="V224" s="2" t="n">
        <f aca="false">INDEX('Feature Data'!$P$2:$P$301,MATCH($A224,'Feature Data'!$A$2:$A$301,0))</f>
        <v>128</v>
      </c>
      <c r="W224" s="2" t="n">
        <f aca="false">INDEX(Segmentation!$R$2:$R$301,MATCH($A224,Segmentation!$A$2:$A$301,0))</f>
        <v>23</v>
      </c>
      <c r="X224" s="2" t="n">
        <f aca="false">INDEX(Segmentation!$S$2:$S$301,MATCH($A224,Segmentation!$A$2:$A$301,0))</f>
        <v>0</v>
      </c>
      <c r="Y224" s="10" t="b">
        <f aca="false">INDEX(Segmentation!$AG$2:$AG$301,MATCH($A224,Segmentation!$A$2:$A$301,0))</f>
        <v>0</v>
      </c>
      <c r="Z224" s="2" t="str">
        <f aca="false">INDEX(Segmentation!$AU$2:$AU$301,MATCH($A224,Segmentation!$A$2:$A$301,0))</f>
        <v>Not Eligible</v>
      </c>
      <c r="AA224" s="10" t="b">
        <f aca="false">INDEX(Segmentation!$Z$2:$Z$301,MATCH($A224,Segmentation!$A$2:$A$301,0))</f>
        <v>0</v>
      </c>
      <c r="AB224" s="10" t="b">
        <f aca="false">INDEX(Segmentation!$AH$2:$AH$301,MATCH($A224,Segmentation!$A$2:$A$301,0))</f>
        <v>0</v>
      </c>
      <c r="AC224" s="10" t="b">
        <f aca="false">INDEX(Segmentation!$AK$2:$AK$301,MATCH($A224,Segmentation!$A$2:$A$301,0))</f>
        <v>0</v>
      </c>
      <c r="AD224" s="10" t="b">
        <f aca="false">INDEX(Segmentation!$AQ$2:$AQ$301,MATCH($A224,Segmentation!$A$2:$A$301,0))</f>
        <v>0</v>
      </c>
      <c r="AE224" s="10" t="b">
        <f aca="false">INDEX(Segmentation!$AT$2:$AT$301,MATCH($A224,Segmentation!$A$2:$A$301,0))</f>
        <v>0</v>
      </c>
      <c r="AF224" s="10" t="b">
        <f aca="false">INDEX(Segmentation!$X$2:$X$301,MATCH($A224,Segmentation!$A$2:$A$301,0))</f>
        <v>1</v>
      </c>
      <c r="AG224" s="10" t="b">
        <f aca="false">AND(F224="Low",V224&gt;=Assumptions!$B$71,X224&lt;Assumptions!$B$72)</f>
        <v>1</v>
      </c>
      <c r="AH224" s="10" t="b">
        <f aca="false">AND(F224="Low",OR(G224="Growing",G224="Stable"),P224="Recently Active",V224&gt;=Assumptions!$B$58,K224&gt;=Assumptions!$B$73)</f>
        <v>0</v>
      </c>
      <c r="AI224" s="17" t="str">
        <f aca="false">IF(O224&gt;0,MAX(L224:N224)/O224,"")</f>
        <v/>
      </c>
      <c r="AJ224" s="2" t="str">
        <f aca="false">IF(LEFT(D224,1)="1",IF(E224="Key","MIGRATION_KEY_SIGNOFF",IF(Z224="Ready","MIGRATION_PHASE1_READY",IF(Z224="Manual Review","MIGRATION_PHASE1_REVIEW","MIGRATION_PRE_ENTRY"))),IF(LEFT(D224,1)="2","DECLINING_KEY_CORE",IF(LEFT(D224,1)="3",IF(R224="Established Buyer Lapsed","LAPSED_ESTABLISHED","LAPSED_THIN_HISTORY"),IF(LEFT(D224,1)="4",IF(Q224="New Customer","NEW_CUSTOMER","RETURNED_CUSTOMER"),IF(LEFT(D224,1)="5",IF(P224="Recently Active","COST_TO_SERVE_ACTIVE","DORMANT_LOW_VALUE"),IF(LEFT(D224,1)="6",IF(P224="Recent Inactivity","RECENT_INACTIVITY",IF(AG224,"BROWSING_LOW_OFFERS","HEALTHY_STRONG_SELF_SERVE")),IF(LEFT(D224,1)="7",IF(P224="Recent Inactivity","RECENT_INACTIVITY",IF(Q224="New Customer","NEW_CUSTOMER","RETURNED_CUSTOMER")),IF(LEFT(D224,1)="8",IF(G224="Declining",IF(T224="Engaged but shrinking (Key/Core)","ENGAGED_BUT_SHRINKING","DECLINING_KEY_CORE"),IF(R224="Established Buyer Lapsed","LAPSED_ESTABLISHED","LAPSED_THIN_HISTORY")),IF(S224,IF(P224&lt;&gt;"Recently Active","DORMANT_LOW_VALUE",IF(AG224,"BROWSING_LOW_OFFERS",IF(AH224,"RISING_TAIL","RISING_TAIL_EARLY"))),IF(AND(AG224,P224="Recently Active",OR(G224="Growing",G224="Stable",G224="H2 Active / No H1 GMV"),I224&gt;=Assumptions!$B$74),"BROWSING_LOW_OFFERS","LONG_TAIL_STANDARD"))))))))))</f>
        <v>LONG_TAIL_STANDARD</v>
      </c>
      <c r="AK224" s="2" t="str">
        <f aca="false">INDEX('NBA Library'!$B$4:$B$21,MATCH(AJ224,'NBA Library'!$A$4:$A$21,0))</f>
        <v>Automated Nurture</v>
      </c>
      <c r="AL224" s="2" t="str">
        <f aca="false">INDEX('NBA Library'!$C$4:$C$21,MATCH(AJ224,'NBA Library'!$A$4:$A$21,0))</f>
        <v>Automated</v>
      </c>
      <c r="AM224" s="2" t="str">
        <f aca="false">IF(AA224,"HOLD — Critical Data Issue",IF(Y224,"Human Sign-Off Required",IF(Z224="Manual Review","Human Review Required",IF(AND(AL224="Automated",OR(AE224,AND(OR(AK224="Discovery-to-Offer Enablement",AK224="Reinforce Successful Behaviour"),OR(AC224,AB224)))),"Human Review Required",IF(AL224="Human","Ready — Human",IF(AL224="Hybrid","Ready — Hybrid","Ready — Automated"))))))</f>
        <v>Ready — Automated</v>
      </c>
      <c r="AN224" s="2" t="str">
        <f aca="false">IF(AA224,"P0",IF(AND(AJ224="BROWSING_LOW_OFFERS",E224="Tail"),"P3",IF(AND(AM224="Human Review Required",INDEX('NBA Library'!$D$4:$D$21,MATCH(AJ224,'NBA Library'!$A$4:$A$21,0))="P4"),"P3",INDEX('NBA Library'!$D$4:$D$21,MATCH(AJ224,'NBA Library'!$A$4:$A$21,0)))))</f>
        <v>P4</v>
      </c>
      <c r="AO224" s="2" t="str">
        <f aca="false">E224&amp;" "&amp;C224&amp;" account ("&amp;B224&amp;"); "&amp;G224&amp;" momentum; "&amp;P224&amp;"; £"&amp;TEXT(H224,"#,##0")&amp;" 6m GMV. "&amp;INDEX('NBA Library'!$G$4:$G$21,MATCH(AJ224,'NBA Library'!$A$4:$A$21,0))&amp;IF(LEFT(D224,1)="1"," Baseline: "&amp;V224&amp;" PDP views, "&amp;W224&amp;" app days, "&amp;X224&amp;" offers, "&amp;TEXT(J224/I224,"0%")&amp;" of orders self-serve.","")&amp;IF(AA224," Execution on HOLD until the Duplicate status is resolved.","")&amp;IF(Y224," Key account: explicit AM/leadership sign-off required before any migration activity.","")&amp;IF(AE224," Implied broker % from order counts would move this account to a different segment; review before automating.","")</f>
        <v>Tail Self-Serve account (Self Serve); Lapsed momentum; No Meaningful History; £550 6m GMV. Low-value, low-dependency account. Scalable automated engagement.</v>
      </c>
      <c r="AP224" s="2" t="str">
        <f aca="false">INDEX('NBA Library'!$E$4:$E$21,MATCH(AJ224,'NBA Library'!$A$4:$A$21,0))&amp;IF(AND(AJ224="NEW_CUSTOMER",AG224),"; introduce Make-an-Offer on items already browsed","")</f>
        <v>Scalable automated engagement matched to nurture sub-context</v>
      </c>
      <c r="AQ224" s="2" t="str">
        <f aca="false">INDEX('NBA Library'!$F$4:$F$21,MATCH(AJ224,'NBA Library'!$A$4:$A$21,0))</f>
        <v>Any repeat order within 90 days</v>
      </c>
      <c r="AR224" s="2" t="str">
        <f aca="false">IF(AND(F224="Low",OR(G224="Growing",G224="Stable"),P224="Recently Active",U224&lt;&gt;"Mixed",OR(AK224="Discovery-to-Offer Enablement",AK224="Reinforce Successful Behaviour"),AM224="Ready — Automated",OR(E224&lt;&gt;"Tail",S224)),"Range Expansion Test — trial "&amp;IF(U224="Bundle-only","handpick","bundles")&amp;" (experimental; not proven to lift GMV)","")</f>
        <v/>
      </c>
      <c r="AS224" s="2" t="str">
        <f aca="false">IF(AK224&lt;&gt;"Automated Nurture","",IF(AJ224="DORMANT_LOW_VALUE","Dormant",IF(AJ224="RISING_TAIL_EARLY","Rising tail – early pattern",IF(Q224="New Customer","New customer onboarding",IF(Q224="Returned Customer","Returned customer",IF(G224="Lapsed","Dormant",IF(T224="Engaged, not converting","Engaged, not converting",IF(T224="One-off low-touch buyer","One-off purchaser",IF(T224="Light-touch repeat buyer","Light-touch repeat buyer","Standard long tail")))))))))</f>
        <v>Dormant</v>
      </c>
      <c r="AT224" s="2" t="str">
        <f aca="false">IF(AA224,"CRITICAL_DATA_BLOCKER; ","")&amp;IF(Y224,"KEY_SIGNOFF; ","")&amp;IF(Z224="Manual Review","PHASE1_MANUAL_REVIEW; ","")&amp;IF(AND(LEFT(D224,1)="1",AZ224="Lumpy"),"LUMPY_CADENCE; ","")&amp;IF(AB224,"BORDERLINE_MOMENTUM; ","")&amp;IF(AC224,"FEB_SENSITIVE; ","")&amp;IF(AD224,"MATERIAL_BROKER_INCONSISTENCY"&amp;IF(AE224," (segment would change)","")&amp;"; ","")&amp;IF(AND(I224&gt;=3,O224&gt;0),IF(AI224&gt;=Assumptions!$B$75,"H2_SINGLE_MONTH_SPIKE; ",""),"")&amp;IF(AND(M224&gt;0,N224=0),"NO_FEB_GMV (Feb unconfirmed); ","")&amp;IF(AF224,"LOW_CONFIDENCE; ","")</f>
        <v>LOW_CONFIDENCE; </v>
      </c>
      <c r="AU224" s="2" t="str">
        <f aca="false">IF(LEFT(D224,1)="1",V224,"")</f>
        <v/>
      </c>
      <c r="AV224" s="2" t="str">
        <f aca="false">IF(LEFT(D224,1)="1",V224&gt;=Assumptions!$B$58,"")</f>
        <v/>
      </c>
      <c r="AW224" s="2" t="str">
        <f aca="false">IF(LEFT(D224,1)="1",W224,"")</f>
        <v/>
      </c>
      <c r="AX224" s="2" t="str">
        <f aca="false">IF(LEFT(D224,1)="1",X224,"")</f>
        <v/>
      </c>
      <c r="AY224" s="17" t="str">
        <f aca="false">IF(LEFT(D224,1)="1",J224/I224,"")</f>
        <v/>
      </c>
      <c r="AZ224" s="2" t="str">
        <f aca="false">IF(LEFT(D224,1)="1",IF(AND(K224&gt;=Assumptions!$B$83,I224&gt;=Assumptions!$B$84),"Regular","Lumpy"),"")</f>
        <v/>
      </c>
      <c r="BA224" s="2" t="str">
        <f aca="false">IF(LEFT(D224,1)="1",ROUND(6/K224,0),"")</f>
        <v/>
      </c>
      <c r="BB224" s="2" t="str">
        <f aca="false">IF(LEFT(D224,1)="1",IF(AZ224="Regular","Regular buyer: expected ~£"&amp;TEXT(H224/2,"#,##0")&amp;" per 90 days. At Risk if GMV to date &lt; "&amp;TEXT(Assumptions!$B$81,"0%")&amp;" of pro-rated expectation, checked from day "&amp;Assumptions!$B$82&amp;". Human-reviewed.","Irregular buyer ("&amp;I224&amp;" orders across "&amp;K224&amp;" months): no numeric GMV threshold. At Risk if no order within ~"&amp;BA224&amp;" month(s); AM reviews at day "&amp;Assumptions!$B$82&amp;" and "&amp;Assumptions!$B$85&amp;"."),"")</f>
        <v/>
      </c>
      <c r="BC224" s="2"/>
      <c r="BD224" s="2"/>
      <c r="BE224" s="2"/>
      <c r="BF224" s="2"/>
      <c r="BG224" s="2"/>
      <c r="BH224" s="2"/>
      <c r="BI224" s="2"/>
      <c r="BJ224" s="2" t="str">
        <f aca="false">IF(OR(NOT(LEFT(D224,1)="1"),BC224=""),"",IF(AZ224="Regular",AND(BC224&gt;=Assumptions!$B$82,N(BI224)&lt;Assumptions!$B$81*H224/180*BC224),AND(BC224&gt;=BA224*30,N(BG224)=0)))</f>
        <v/>
      </c>
      <c r="BK224" s="2" t="str">
        <f aca="false">IF(NOT(LEFT(D224,1)="1"),"N/A",IF(BC224="","Baseline",IF(BJ224,"At Risk",IF(AND(N(BD224)&gt;=Assumptions!$B$78,N(BE224)&gt;=Assumptions!$B$79,N(BH224)&gt;=1,N(BH224)/MAX(N(BG224),1)&gt;AY224),"Self-Serve Capability Demonstrated",IF(OR(N(BD224)&gt;=Assumptions!$B$76,N(BE224)&gt;=Assumptions!$B$77),"Progressing",IF(BC224&gt;=Assumptions!$B$85,"At Risk","Baseline"))))))</f>
        <v>N/A</v>
      </c>
      <c r="BL224" s="2" t="n">
        <f aca="false">(AND(C224="Broker-Reliant",OR(AK224="Discovery-to-Offer Enablement",AK224="Reinforce Successful Behaviour")))*1+(AND(G224="Declining",E224&lt;&gt;"Tail",AL224="Automated"))*1+(AND(Y224,AM224&lt;&gt;"Human Sign-Off Required"))*1+(AND(AA224,AM224&lt;&gt;"HOLD — Critical Data Issue"))*1+(AND(P224="Recent Inactivity",OR(AK224="Discovery-to-Offer Enablement",AK224="Reinforce Successful Behaviour")))*1+(AND(OR(LEFT(D224,1)="2",LEFT(D224,1)="3",LEFT(D224,1)="8"),AL224="Automated"))*1+((LEFT(D224,1)="1")&lt;&gt;(AK224="Guided Self-Serve Migration"))*1+(AND(AR224&lt;&gt;"",OR(F224&lt;&gt;"Low",U224="Mixed",AND(G224&lt;&gt;"Growing",G224&lt;&gt;"Stable"))))*1+ISNUMBER(SEARCH("chat",AP224))*1+ISNUMBER(SEARCH("video",AP224))*1+(AND(AA224,AL224="Automated",AM224&lt;&gt;"HOLD — Critical Data Issue"))*1</f>
        <v>0</v>
      </c>
    </row>
    <row r="225" customFormat="false" ht="15" hidden="false" customHeight="false" outlineLevel="0" collapsed="false">
      <c r="A225" s="2" t="s">
        <v>682</v>
      </c>
      <c r="B225" s="2" t="str">
        <f aca="false">INDEX(Segmentation!$B$2:$B$301,MATCH($A225,Segmentation!$A$2:$A$301,0))</f>
        <v>Self Serve</v>
      </c>
      <c r="C225" s="2" t="str">
        <f aca="false">INDEX(Segmentation!$H$2:$H$301,MATCH($A225,Segmentation!$A$2:$A$301,0))</f>
        <v>Self-Serve</v>
      </c>
      <c r="D225" s="2" t="str">
        <f aca="false">INDEX(Segmentation!$T$2:$T$301,MATCH($A225,Segmentation!$A$2:$A$301,0))</f>
        <v>9. Long-Tail Automated Nurture</v>
      </c>
      <c r="E225" s="2" t="str">
        <f aca="false">INDEX(Segmentation!$J$2:$J$301,MATCH($A225,Segmentation!$A$2:$A$301,0))</f>
        <v>Tail</v>
      </c>
      <c r="F225" s="2" t="str">
        <f aca="false">INDEX(Segmentation!$G$2:$G$301,MATCH($A225,Segmentation!$A$2:$A$301,0))</f>
        <v>Low</v>
      </c>
      <c r="G225" s="2" t="str">
        <f aca="false">INDEX(Segmentation!$N$2:$N$301,MATCH($A225,Segmentation!$A$2:$A$301,0))</f>
        <v>H2 Active / No H1 GMV</v>
      </c>
      <c r="H225" s="9" t="n">
        <f aca="false">INDEX(Segmentation!$I$2:$I$301,MATCH($A225,Segmentation!$A$2:$A$301,0))</f>
        <v>501</v>
      </c>
      <c r="I225" s="2" t="n">
        <f aca="false">INDEX(Segmentation!$O$2:$O$301,MATCH($A225,Segmentation!$A$2:$A$301,0))</f>
        <v>1</v>
      </c>
      <c r="J225" s="2" t="n">
        <f aca="false">INDEX(Segmentation!$Q$2:$Q$301,MATCH($A225,Segmentation!$A$2:$A$301,0))</f>
        <v>1</v>
      </c>
      <c r="K225" s="2" t="n">
        <f aca="false">INDEX(Segmentation!$W$2:$W$301,MATCH($A225,Segmentation!$A$2:$A$301,0))</f>
        <v>1</v>
      </c>
      <c r="L225" s="9" t="n">
        <f aca="false">INDEX('Commercial View'!$L$2:$L$301,MATCH($A225,'Commercial View'!$A$2:$A$301,0))</f>
        <v>0</v>
      </c>
      <c r="M225" s="9" t="n">
        <f aca="false">INDEX('Commercial View'!$M$2:$M$301,MATCH($A225,'Commercial View'!$A$2:$A$301,0))</f>
        <v>501</v>
      </c>
      <c r="N225" s="9" t="n">
        <f aca="false">INDEX('Commercial View'!$N$2:$N$301,MATCH($A225,'Commercial View'!$A$2:$A$301,0))</f>
        <v>0</v>
      </c>
      <c r="O225" s="9" t="n">
        <f aca="false">INDEX(Segmentation!$L$2:$L$301,MATCH($A225,Segmentation!$A$2:$A$301,0))</f>
        <v>501</v>
      </c>
      <c r="P225" s="2" t="str">
        <f aca="false">IF(OR(M225&gt;0,N225&gt;0),"Recently Active",IF(OR(I225&lt;=Assumptions!$B$48,K225&lt;=Assumptions!$B$49),"No Meaningful History","Recent Inactivity"))</f>
        <v>Recently Active</v>
      </c>
      <c r="Q225" s="2" t="str">
        <f aca="false">INDEX(Segmentation!$AF$2:$AF$301,MATCH($A225,Segmentation!$A$2:$A$301,0))</f>
        <v>New Customer</v>
      </c>
      <c r="R225" s="2" t="str">
        <f aca="false">INDEX(Segmentation!$AL$2:$AL$301,MATCH($A225,Segmentation!$A$2:$A$301,0))</f>
        <v>N/A</v>
      </c>
      <c r="S225" s="10" t="b">
        <f aca="false">INDEX(Segmentation!$AW$2:$AW$301,MATCH($A225,Segmentation!$A$2:$A$301,0))</f>
        <v>0</v>
      </c>
      <c r="T225" s="2" t="str">
        <f aca="false">INDEX('Feature Data'!$AD$2:$AD$301,MATCH($A225,'Feature Data'!$A$2:$A$301,0))</f>
        <v>One-off low-touch buyer</v>
      </c>
      <c r="U225" s="2" t="str">
        <f aca="false">INDEX('Feature Data'!$W$2:$W$301,MATCH($A225,'Feature Data'!$A$2:$A$301,0))</f>
        <v>Bundle-only</v>
      </c>
      <c r="V225" s="2" t="n">
        <f aca="false">INDEX('Feature Data'!$P$2:$P$301,MATCH($A225,'Feature Data'!$A$2:$A$301,0))</f>
        <v>47</v>
      </c>
      <c r="W225" s="2" t="n">
        <f aca="false">INDEX(Segmentation!$R$2:$R$301,MATCH($A225,Segmentation!$A$2:$A$301,0))</f>
        <v>4</v>
      </c>
      <c r="X225" s="2" t="n">
        <f aca="false">INDEX(Segmentation!$S$2:$S$301,MATCH($A225,Segmentation!$A$2:$A$301,0))</f>
        <v>1</v>
      </c>
      <c r="Y225" s="10" t="b">
        <f aca="false">INDEX(Segmentation!$AG$2:$AG$301,MATCH($A225,Segmentation!$A$2:$A$301,0))</f>
        <v>0</v>
      </c>
      <c r="Z225" s="2" t="str">
        <f aca="false">INDEX(Segmentation!$AU$2:$AU$301,MATCH($A225,Segmentation!$A$2:$A$301,0))</f>
        <v>Not Eligible</v>
      </c>
      <c r="AA225" s="10" t="b">
        <f aca="false">INDEX(Segmentation!$Z$2:$Z$301,MATCH($A225,Segmentation!$A$2:$A$301,0))</f>
        <v>0</v>
      </c>
      <c r="AB225" s="10" t="b">
        <f aca="false">INDEX(Segmentation!$AH$2:$AH$301,MATCH($A225,Segmentation!$A$2:$A$301,0))</f>
        <v>0</v>
      </c>
      <c r="AC225" s="10" t="b">
        <f aca="false">INDEX(Segmentation!$AK$2:$AK$301,MATCH($A225,Segmentation!$A$2:$A$301,0))</f>
        <v>0</v>
      </c>
      <c r="AD225" s="10" t="b">
        <f aca="false">INDEX(Segmentation!$AQ$2:$AQ$301,MATCH($A225,Segmentation!$A$2:$A$301,0))</f>
        <v>0</v>
      </c>
      <c r="AE225" s="10" t="b">
        <f aca="false">INDEX(Segmentation!$AT$2:$AT$301,MATCH($A225,Segmentation!$A$2:$A$301,0))</f>
        <v>0</v>
      </c>
      <c r="AF225" s="10" t="b">
        <f aca="false">INDEX(Segmentation!$X$2:$X$301,MATCH($A225,Segmentation!$A$2:$A$301,0))</f>
        <v>1</v>
      </c>
      <c r="AG225" s="10" t="b">
        <f aca="false">AND(F225="Low",V225&gt;=Assumptions!$B$71,X225&lt;Assumptions!$B$72)</f>
        <v>0</v>
      </c>
      <c r="AH225" s="10" t="b">
        <f aca="false">AND(F225="Low",OR(G225="Growing",G225="Stable"),P225="Recently Active",V225&gt;=Assumptions!$B$58,K225&gt;=Assumptions!$B$73)</f>
        <v>0</v>
      </c>
      <c r="AI225" s="17" t="n">
        <f aca="false">IF(O225&gt;0,MAX(L225:N225)/O225,"")</f>
        <v>1</v>
      </c>
      <c r="AJ225" s="2" t="str">
        <f aca="false">IF(LEFT(D225,1)="1",IF(E225="Key","MIGRATION_KEY_SIGNOFF",IF(Z225="Ready","MIGRATION_PHASE1_READY",IF(Z225="Manual Review","MIGRATION_PHASE1_REVIEW","MIGRATION_PRE_ENTRY"))),IF(LEFT(D225,1)="2","DECLINING_KEY_CORE",IF(LEFT(D225,1)="3",IF(R225="Established Buyer Lapsed","LAPSED_ESTABLISHED","LAPSED_THIN_HISTORY"),IF(LEFT(D225,1)="4",IF(Q225="New Customer","NEW_CUSTOMER","RETURNED_CUSTOMER"),IF(LEFT(D225,1)="5",IF(P225="Recently Active","COST_TO_SERVE_ACTIVE","DORMANT_LOW_VALUE"),IF(LEFT(D225,1)="6",IF(P225="Recent Inactivity","RECENT_INACTIVITY",IF(AG225,"BROWSING_LOW_OFFERS","HEALTHY_STRONG_SELF_SERVE")),IF(LEFT(D225,1)="7",IF(P225="Recent Inactivity","RECENT_INACTIVITY",IF(Q225="New Customer","NEW_CUSTOMER","RETURNED_CUSTOMER")),IF(LEFT(D225,1)="8",IF(G225="Declining",IF(T225="Engaged but shrinking (Key/Core)","ENGAGED_BUT_SHRINKING","DECLINING_KEY_CORE"),IF(R225="Established Buyer Lapsed","LAPSED_ESTABLISHED","LAPSED_THIN_HISTORY")),IF(S225,IF(P225&lt;&gt;"Recently Active","DORMANT_LOW_VALUE",IF(AG225,"BROWSING_LOW_OFFERS",IF(AH225,"RISING_TAIL","RISING_TAIL_EARLY"))),IF(AND(AG225,P225="Recently Active",OR(G225="Growing",G225="Stable",G225="H2 Active / No H1 GMV"),I225&gt;=Assumptions!$B$74),"BROWSING_LOW_OFFERS","LONG_TAIL_STANDARD"))))))))))</f>
        <v>LONG_TAIL_STANDARD</v>
      </c>
      <c r="AK225" s="2" t="str">
        <f aca="false">INDEX('NBA Library'!$B$4:$B$21,MATCH(AJ225,'NBA Library'!$A$4:$A$21,0))</f>
        <v>Automated Nurture</v>
      </c>
      <c r="AL225" s="2" t="str">
        <f aca="false">INDEX('NBA Library'!$C$4:$C$21,MATCH(AJ225,'NBA Library'!$A$4:$A$21,0))</f>
        <v>Automated</v>
      </c>
      <c r="AM225" s="2" t="str">
        <f aca="false">IF(AA225,"HOLD — Critical Data Issue",IF(Y225,"Human Sign-Off Required",IF(Z225="Manual Review","Human Review Required",IF(AND(AL225="Automated",OR(AE225,AND(OR(AK225="Discovery-to-Offer Enablement",AK225="Reinforce Successful Behaviour"),OR(AC225,AB225)))),"Human Review Required",IF(AL225="Human","Ready — Human",IF(AL225="Hybrid","Ready — Hybrid","Ready — Automated"))))))</f>
        <v>Ready — Automated</v>
      </c>
      <c r="AN225" s="2" t="str">
        <f aca="false">IF(AA225,"P0",IF(AND(AJ225="BROWSING_LOW_OFFERS",E225="Tail"),"P3",IF(AND(AM225="Human Review Required",INDEX('NBA Library'!$D$4:$D$21,MATCH(AJ225,'NBA Library'!$A$4:$A$21,0))="P4"),"P3",INDEX('NBA Library'!$D$4:$D$21,MATCH(AJ225,'NBA Library'!$A$4:$A$21,0)))))</f>
        <v>P4</v>
      </c>
      <c r="AO225" s="2" t="str">
        <f aca="false">E225&amp;" "&amp;C225&amp;" account ("&amp;B225&amp;"); "&amp;G225&amp;" momentum; "&amp;P225&amp;"; £"&amp;TEXT(H225,"#,##0")&amp;" 6m GMV. "&amp;INDEX('NBA Library'!$G$4:$G$21,MATCH(AJ225,'NBA Library'!$A$4:$A$21,0))&amp;IF(LEFT(D225,1)="1"," Baseline: "&amp;V225&amp;" PDP views, "&amp;W225&amp;" app days, "&amp;X225&amp;" offers, "&amp;TEXT(J225/I225,"0%")&amp;" of orders self-serve.","")&amp;IF(AA225," Execution on HOLD until the Duplicate status is resolved.","")&amp;IF(Y225," Key account: explicit AM/leadership sign-off required before any migration activity.","")&amp;IF(AE225," Implied broker % from order counts would move this account to a different segment; review before automating.","")</f>
        <v>Tail Self-Serve account (Self Serve); H2 Active / No H1 GMV momentum; Recently Active; £501 6m GMV. Low-value, low-dependency account. Scalable automated engagement.</v>
      </c>
      <c r="AP225" s="2" t="str">
        <f aca="false">INDEX('NBA Library'!$E$4:$E$21,MATCH(AJ225,'NBA Library'!$A$4:$A$21,0))&amp;IF(AND(AJ225="NEW_CUSTOMER",AG225),"; introduce Make-an-Offer on items already browsed","")</f>
        <v>Scalable automated engagement matched to nurture sub-context</v>
      </c>
      <c r="AQ225" s="2" t="str">
        <f aca="false">INDEX('NBA Library'!$F$4:$F$21,MATCH(AJ225,'NBA Library'!$A$4:$A$21,0))</f>
        <v>Any repeat order within 90 days</v>
      </c>
      <c r="AR225" s="2" t="str">
        <f aca="false">IF(AND(F225="Low",OR(G225="Growing",G225="Stable"),P225="Recently Active",U225&lt;&gt;"Mixed",OR(AK225="Discovery-to-Offer Enablement",AK225="Reinforce Successful Behaviour"),AM225="Ready — Automated",OR(E225&lt;&gt;"Tail",S225)),"Range Expansion Test — trial "&amp;IF(U225="Bundle-only","handpick","bundles")&amp;" (experimental; not proven to lift GMV)","")</f>
        <v/>
      </c>
      <c r="AS225" s="2" t="str">
        <f aca="false">IF(AK225&lt;&gt;"Automated Nurture","",IF(AJ225="DORMANT_LOW_VALUE","Dormant",IF(AJ225="RISING_TAIL_EARLY","Rising tail – early pattern",IF(Q225="New Customer","New customer onboarding",IF(Q225="Returned Customer","Returned customer",IF(G225="Lapsed","Dormant",IF(T225="Engaged, not converting","Engaged, not converting",IF(T225="One-off low-touch buyer","One-off purchaser",IF(T225="Light-touch repeat buyer","Light-touch repeat buyer","Standard long tail")))))))))</f>
        <v>New customer onboarding</v>
      </c>
      <c r="AT225" s="2" t="str">
        <f aca="false">IF(AA225,"CRITICAL_DATA_BLOCKER; ","")&amp;IF(Y225,"KEY_SIGNOFF; ","")&amp;IF(Z225="Manual Review","PHASE1_MANUAL_REVIEW; ","")&amp;IF(AND(LEFT(D225,1)="1",AZ225="Lumpy"),"LUMPY_CADENCE; ","")&amp;IF(AB225,"BORDERLINE_MOMENTUM; ","")&amp;IF(AC225,"FEB_SENSITIVE; ","")&amp;IF(AD225,"MATERIAL_BROKER_INCONSISTENCY"&amp;IF(AE225," (segment would change)","")&amp;"; ","")&amp;IF(AND(I225&gt;=3,O225&gt;0),IF(AI225&gt;=Assumptions!$B$75,"H2_SINGLE_MONTH_SPIKE; ",""),"")&amp;IF(AND(M225&gt;0,N225=0),"NO_FEB_GMV (Feb unconfirmed); ","")&amp;IF(AF225,"LOW_CONFIDENCE; ","")</f>
        <v>NO_FEB_GMV (Feb unconfirmed); LOW_CONFIDENCE; </v>
      </c>
      <c r="AU225" s="2" t="str">
        <f aca="false">IF(LEFT(D225,1)="1",V225,"")</f>
        <v/>
      </c>
      <c r="AV225" s="2" t="str">
        <f aca="false">IF(LEFT(D225,1)="1",V225&gt;=Assumptions!$B$58,"")</f>
        <v/>
      </c>
      <c r="AW225" s="2" t="str">
        <f aca="false">IF(LEFT(D225,1)="1",W225,"")</f>
        <v/>
      </c>
      <c r="AX225" s="2" t="str">
        <f aca="false">IF(LEFT(D225,1)="1",X225,"")</f>
        <v/>
      </c>
      <c r="AY225" s="17" t="str">
        <f aca="false">IF(LEFT(D225,1)="1",J225/I225,"")</f>
        <v/>
      </c>
      <c r="AZ225" s="2" t="str">
        <f aca="false">IF(LEFT(D225,1)="1",IF(AND(K225&gt;=Assumptions!$B$83,I225&gt;=Assumptions!$B$84),"Regular","Lumpy"),"")</f>
        <v/>
      </c>
      <c r="BA225" s="2" t="str">
        <f aca="false">IF(LEFT(D225,1)="1",ROUND(6/K225,0),"")</f>
        <v/>
      </c>
      <c r="BB225" s="2" t="str">
        <f aca="false">IF(LEFT(D225,1)="1",IF(AZ225="Regular","Regular buyer: expected ~£"&amp;TEXT(H225/2,"#,##0")&amp;" per 90 days. At Risk if GMV to date &lt; "&amp;TEXT(Assumptions!$B$81,"0%")&amp;" of pro-rated expectation, checked from day "&amp;Assumptions!$B$82&amp;". Human-reviewed.","Irregular buyer ("&amp;I225&amp;" orders across "&amp;K225&amp;" months): no numeric GMV threshold. At Risk if no order within ~"&amp;BA225&amp;" month(s); AM reviews at day "&amp;Assumptions!$B$82&amp;" and "&amp;Assumptions!$B$85&amp;"."),"")</f>
        <v/>
      </c>
      <c r="BC225" s="2"/>
      <c r="BD225" s="2"/>
      <c r="BE225" s="2"/>
      <c r="BF225" s="2"/>
      <c r="BG225" s="2"/>
      <c r="BH225" s="2"/>
      <c r="BI225" s="2"/>
      <c r="BJ225" s="2" t="str">
        <f aca="false">IF(OR(NOT(LEFT(D225,1)="1"),BC225=""),"",IF(AZ225="Regular",AND(BC225&gt;=Assumptions!$B$82,N(BI225)&lt;Assumptions!$B$81*H225/180*BC225),AND(BC225&gt;=BA225*30,N(BG225)=0)))</f>
        <v/>
      </c>
      <c r="BK225" s="2" t="str">
        <f aca="false">IF(NOT(LEFT(D225,1)="1"),"N/A",IF(BC225="","Baseline",IF(BJ225,"At Risk",IF(AND(N(BD225)&gt;=Assumptions!$B$78,N(BE225)&gt;=Assumptions!$B$79,N(BH225)&gt;=1,N(BH225)/MAX(N(BG225),1)&gt;AY225),"Self-Serve Capability Demonstrated",IF(OR(N(BD225)&gt;=Assumptions!$B$76,N(BE225)&gt;=Assumptions!$B$77),"Progressing",IF(BC225&gt;=Assumptions!$B$85,"At Risk","Baseline"))))))</f>
        <v>N/A</v>
      </c>
      <c r="BL225" s="2" t="n">
        <f aca="false">(AND(C225="Broker-Reliant",OR(AK225="Discovery-to-Offer Enablement",AK225="Reinforce Successful Behaviour")))*1+(AND(G225="Declining",E225&lt;&gt;"Tail",AL225="Automated"))*1+(AND(Y225,AM225&lt;&gt;"Human Sign-Off Required"))*1+(AND(AA225,AM225&lt;&gt;"HOLD — Critical Data Issue"))*1+(AND(P225="Recent Inactivity",OR(AK225="Discovery-to-Offer Enablement",AK225="Reinforce Successful Behaviour")))*1+(AND(OR(LEFT(D225,1)="2",LEFT(D225,1)="3",LEFT(D225,1)="8"),AL225="Automated"))*1+((LEFT(D225,1)="1")&lt;&gt;(AK225="Guided Self-Serve Migration"))*1+(AND(AR225&lt;&gt;"",OR(F225&lt;&gt;"Low",U225="Mixed",AND(G225&lt;&gt;"Growing",G225&lt;&gt;"Stable"))))*1+ISNUMBER(SEARCH("chat",AP225))*1+ISNUMBER(SEARCH("video",AP225))*1+(AND(AA225,AL225="Automated",AM225&lt;&gt;"HOLD — Critical Data Issue"))*1</f>
        <v>0</v>
      </c>
    </row>
    <row r="226" customFormat="false" ht="15" hidden="false" customHeight="false" outlineLevel="0" collapsed="false">
      <c r="A226" s="2" t="s">
        <v>684</v>
      </c>
      <c r="B226" s="2" t="str">
        <f aca="false">INDEX(Segmentation!$B$2:$B$301,MATCH($A226,Segmentation!$A$2:$A$301,0))</f>
        <v>Self Serve</v>
      </c>
      <c r="C226" s="2" t="str">
        <f aca="false">INDEX(Segmentation!$H$2:$H$301,MATCH($A226,Segmentation!$A$2:$A$301,0))</f>
        <v>Self-Serve</v>
      </c>
      <c r="D226" s="2" t="str">
        <f aca="false">INDEX(Segmentation!$T$2:$T$301,MATCH($A226,Segmentation!$A$2:$A$301,0))</f>
        <v>9. Long-Tail Automated Nurture</v>
      </c>
      <c r="E226" s="2" t="str">
        <f aca="false">INDEX(Segmentation!$J$2:$J$301,MATCH($A226,Segmentation!$A$2:$A$301,0))</f>
        <v>Tail</v>
      </c>
      <c r="F226" s="2" t="str">
        <f aca="false">INDEX(Segmentation!$G$2:$G$301,MATCH($A226,Segmentation!$A$2:$A$301,0))</f>
        <v>Low</v>
      </c>
      <c r="G226" s="2" t="str">
        <f aca="false">INDEX(Segmentation!$N$2:$N$301,MATCH($A226,Segmentation!$A$2:$A$301,0))</f>
        <v>Lapsed</v>
      </c>
      <c r="H226" s="9" t="n">
        <f aca="false">INDEX(Segmentation!$I$2:$I$301,MATCH($A226,Segmentation!$A$2:$A$301,0))</f>
        <v>493</v>
      </c>
      <c r="I226" s="2" t="n">
        <f aca="false">INDEX(Segmentation!$O$2:$O$301,MATCH($A226,Segmentation!$A$2:$A$301,0))</f>
        <v>3</v>
      </c>
      <c r="J226" s="2" t="n">
        <f aca="false">INDEX(Segmentation!$Q$2:$Q$301,MATCH($A226,Segmentation!$A$2:$A$301,0))</f>
        <v>3</v>
      </c>
      <c r="K226" s="2" t="n">
        <f aca="false">INDEX(Segmentation!$W$2:$W$301,MATCH($A226,Segmentation!$A$2:$A$301,0))</f>
        <v>3</v>
      </c>
      <c r="L226" s="9" t="n">
        <f aca="false">INDEX('Commercial View'!$L$2:$L$301,MATCH($A226,'Commercial View'!$A$2:$A$301,0))</f>
        <v>0</v>
      </c>
      <c r="M226" s="9" t="n">
        <f aca="false">INDEX('Commercial View'!$M$2:$M$301,MATCH($A226,'Commercial View'!$A$2:$A$301,0))</f>
        <v>0</v>
      </c>
      <c r="N226" s="9" t="n">
        <f aca="false">INDEX('Commercial View'!$N$2:$N$301,MATCH($A226,'Commercial View'!$A$2:$A$301,0))</f>
        <v>0</v>
      </c>
      <c r="O226" s="9" t="n">
        <f aca="false">INDEX(Segmentation!$L$2:$L$301,MATCH($A226,Segmentation!$A$2:$A$301,0))</f>
        <v>0</v>
      </c>
      <c r="P226" s="2" t="str">
        <f aca="false">IF(OR(M226&gt;0,N226&gt;0),"Recently Active",IF(OR(I226&lt;=Assumptions!$B$48,K226&lt;=Assumptions!$B$49),"No Meaningful History","Recent Inactivity"))</f>
        <v>Recent Inactivity</v>
      </c>
      <c r="Q226" s="2" t="str">
        <f aca="false">INDEX(Segmentation!$AF$2:$AF$301,MATCH($A226,Segmentation!$A$2:$A$301,0))</f>
        <v>Existing Customer</v>
      </c>
      <c r="R226" s="2" t="str">
        <f aca="false">INDEX(Segmentation!$AL$2:$AL$301,MATCH($A226,Segmentation!$A$2:$A$301,0))</f>
        <v>Established Buyer Lapsed</v>
      </c>
      <c r="S226" s="10" t="b">
        <f aca="false">INDEX(Segmentation!$AW$2:$AW$301,MATCH($A226,Segmentation!$A$2:$A$301,0))</f>
        <v>0</v>
      </c>
      <c r="T226" s="2" t="str">
        <f aca="false">INDEX('Feature Data'!$AD$2:$AD$301,MATCH($A226,'Feature Data'!$A$2:$A$301,0))</f>
        <v>Light-touch repeat buyer</v>
      </c>
      <c r="U226" s="2" t="str">
        <f aca="false">INDEX('Feature Data'!$W$2:$W$301,MATCH($A226,'Feature Data'!$A$2:$A$301,0))</f>
        <v>Mixed</v>
      </c>
      <c r="V226" s="2" t="n">
        <f aca="false">INDEX('Feature Data'!$P$2:$P$301,MATCH($A226,'Feature Data'!$A$2:$A$301,0))</f>
        <v>479</v>
      </c>
      <c r="W226" s="2" t="n">
        <f aca="false">INDEX(Segmentation!$R$2:$R$301,MATCH($A226,Segmentation!$A$2:$A$301,0))</f>
        <v>35</v>
      </c>
      <c r="X226" s="2" t="n">
        <f aca="false">INDEX(Segmentation!$S$2:$S$301,MATCH($A226,Segmentation!$A$2:$A$301,0))</f>
        <v>2</v>
      </c>
      <c r="Y226" s="10" t="b">
        <f aca="false">INDEX(Segmentation!$AG$2:$AG$301,MATCH($A226,Segmentation!$A$2:$A$301,0))</f>
        <v>0</v>
      </c>
      <c r="Z226" s="2" t="str">
        <f aca="false">INDEX(Segmentation!$AU$2:$AU$301,MATCH($A226,Segmentation!$A$2:$A$301,0))</f>
        <v>Not Eligible</v>
      </c>
      <c r="AA226" s="10" t="b">
        <f aca="false">INDEX(Segmentation!$Z$2:$Z$301,MATCH($A226,Segmentation!$A$2:$A$301,0))</f>
        <v>0</v>
      </c>
      <c r="AB226" s="10" t="b">
        <f aca="false">INDEX(Segmentation!$AH$2:$AH$301,MATCH($A226,Segmentation!$A$2:$A$301,0))</f>
        <v>0</v>
      </c>
      <c r="AC226" s="10" t="b">
        <f aca="false">INDEX(Segmentation!$AK$2:$AK$301,MATCH($A226,Segmentation!$A$2:$A$301,0))</f>
        <v>0</v>
      </c>
      <c r="AD226" s="10" t="b">
        <f aca="false">INDEX(Segmentation!$AQ$2:$AQ$301,MATCH($A226,Segmentation!$A$2:$A$301,0))</f>
        <v>0</v>
      </c>
      <c r="AE226" s="10" t="b">
        <f aca="false">INDEX(Segmentation!$AT$2:$AT$301,MATCH($A226,Segmentation!$A$2:$A$301,0))</f>
        <v>0</v>
      </c>
      <c r="AF226" s="10" t="b">
        <f aca="false">INDEX(Segmentation!$X$2:$X$301,MATCH($A226,Segmentation!$A$2:$A$301,0))</f>
        <v>0</v>
      </c>
      <c r="AG226" s="10" t="b">
        <f aca="false">AND(F226="Low",V226&gt;=Assumptions!$B$71,X226&lt;Assumptions!$B$72)</f>
        <v>1</v>
      </c>
      <c r="AH226" s="10" t="b">
        <f aca="false">AND(F226="Low",OR(G226="Growing",G226="Stable"),P226="Recently Active",V226&gt;=Assumptions!$B$58,K226&gt;=Assumptions!$B$73)</f>
        <v>0</v>
      </c>
      <c r="AI226" s="17" t="str">
        <f aca="false">IF(O226&gt;0,MAX(L226:N226)/O226,"")</f>
        <v/>
      </c>
      <c r="AJ226" s="2" t="str">
        <f aca="false">IF(LEFT(D226,1)="1",IF(E226="Key","MIGRATION_KEY_SIGNOFF",IF(Z226="Ready","MIGRATION_PHASE1_READY",IF(Z226="Manual Review","MIGRATION_PHASE1_REVIEW","MIGRATION_PRE_ENTRY"))),IF(LEFT(D226,1)="2","DECLINING_KEY_CORE",IF(LEFT(D226,1)="3",IF(R226="Established Buyer Lapsed","LAPSED_ESTABLISHED","LAPSED_THIN_HISTORY"),IF(LEFT(D226,1)="4",IF(Q226="New Customer","NEW_CUSTOMER","RETURNED_CUSTOMER"),IF(LEFT(D226,1)="5",IF(P226="Recently Active","COST_TO_SERVE_ACTIVE","DORMANT_LOW_VALUE"),IF(LEFT(D226,1)="6",IF(P226="Recent Inactivity","RECENT_INACTIVITY",IF(AG226,"BROWSING_LOW_OFFERS","HEALTHY_STRONG_SELF_SERVE")),IF(LEFT(D226,1)="7",IF(P226="Recent Inactivity","RECENT_INACTIVITY",IF(Q226="New Customer","NEW_CUSTOMER","RETURNED_CUSTOMER")),IF(LEFT(D226,1)="8",IF(G226="Declining",IF(T226="Engaged but shrinking (Key/Core)","ENGAGED_BUT_SHRINKING","DECLINING_KEY_CORE"),IF(R226="Established Buyer Lapsed","LAPSED_ESTABLISHED","LAPSED_THIN_HISTORY")),IF(S226,IF(P226&lt;&gt;"Recently Active","DORMANT_LOW_VALUE",IF(AG226,"BROWSING_LOW_OFFERS",IF(AH226,"RISING_TAIL","RISING_TAIL_EARLY"))),IF(AND(AG226,P226="Recently Active",OR(G226="Growing",G226="Stable",G226="H2 Active / No H1 GMV"),I226&gt;=Assumptions!$B$74),"BROWSING_LOW_OFFERS","LONG_TAIL_STANDARD"))))))))))</f>
        <v>LONG_TAIL_STANDARD</v>
      </c>
      <c r="AK226" s="2" t="str">
        <f aca="false">INDEX('NBA Library'!$B$4:$B$21,MATCH(AJ226,'NBA Library'!$A$4:$A$21,0))</f>
        <v>Automated Nurture</v>
      </c>
      <c r="AL226" s="2" t="str">
        <f aca="false">INDEX('NBA Library'!$C$4:$C$21,MATCH(AJ226,'NBA Library'!$A$4:$A$21,0))</f>
        <v>Automated</v>
      </c>
      <c r="AM226" s="2" t="str">
        <f aca="false">IF(AA226,"HOLD — Critical Data Issue",IF(Y226,"Human Sign-Off Required",IF(Z226="Manual Review","Human Review Required",IF(AND(AL226="Automated",OR(AE226,AND(OR(AK226="Discovery-to-Offer Enablement",AK226="Reinforce Successful Behaviour"),OR(AC226,AB226)))),"Human Review Required",IF(AL226="Human","Ready — Human",IF(AL226="Hybrid","Ready — Hybrid","Ready — Automated"))))))</f>
        <v>Ready — Automated</v>
      </c>
      <c r="AN226" s="2" t="str">
        <f aca="false">IF(AA226,"P0",IF(AND(AJ226="BROWSING_LOW_OFFERS",E226="Tail"),"P3",IF(AND(AM226="Human Review Required",INDEX('NBA Library'!$D$4:$D$21,MATCH(AJ226,'NBA Library'!$A$4:$A$21,0))="P4"),"P3",INDEX('NBA Library'!$D$4:$D$21,MATCH(AJ226,'NBA Library'!$A$4:$A$21,0)))))</f>
        <v>P4</v>
      </c>
      <c r="AO226" s="2" t="str">
        <f aca="false">E226&amp;" "&amp;C226&amp;" account ("&amp;B226&amp;"); "&amp;G226&amp;" momentum; "&amp;P226&amp;"; £"&amp;TEXT(H226,"#,##0")&amp;" 6m GMV. "&amp;INDEX('NBA Library'!$G$4:$G$21,MATCH(AJ226,'NBA Library'!$A$4:$A$21,0))&amp;IF(LEFT(D226,1)="1"," Baseline: "&amp;V226&amp;" PDP views, "&amp;W226&amp;" app days, "&amp;X226&amp;" offers, "&amp;TEXT(J226/I226,"0%")&amp;" of orders self-serve.","")&amp;IF(AA226," Execution on HOLD until the Duplicate status is resolved.","")&amp;IF(Y226," Key account: explicit AM/leadership sign-off required before any migration activity.","")&amp;IF(AE226," Implied broker % from order counts would move this account to a different segment; review before automating.","")</f>
        <v>Tail Self-Serve account (Self Serve); Lapsed momentum; Recent Inactivity; £493 6m GMV. Low-value, low-dependency account. Scalable automated engagement.</v>
      </c>
      <c r="AP226" s="2" t="str">
        <f aca="false">INDEX('NBA Library'!$E$4:$E$21,MATCH(AJ226,'NBA Library'!$A$4:$A$21,0))&amp;IF(AND(AJ226="NEW_CUSTOMER",AG226),"; introduce Make-an-Offer on items already browsed","")</f>
        <v>Scalable automated engagement matched to nurture sub-context</v>
      </c>
      <c r="AQ226" s="2" t="str">
        <f aca="false">INDEX('NBA Library'!$F$4:$F$21,MATCH(AJ226,'NBA Library'!$A$4:$A$21,0))</f>
        <v>Any repeat order within 90 days</v>
      </c>
      <c r="AR226" s="2" t="str">
        <f aca="false">IF(AND(F226="Low",OR(G226="Growing",G226="Stable"),P226="Recently Active",U226&lt;&gt;"Mixed",OR(AK226="Discovery-to-Offer Enablement",AK226="Reinforce Successful Behaviour"),AM226="Ready — Automated",OR(E226&lt;&gt;"Tail",S226)),"Range Expansion Test — trial "&amp;IF(U226="Bundle-only","handpick","bundles")&amp;" (experimental; not proven to lift GMV)","")</f>
        <v/>
      </c>
      <c r="AS226" s="2" t="str">
        <f aca="false">IF(AK226&lt;&gt;"Automated Nurture","",IF(AJ226="DORMANT_LOW_VALUE","Dormant",IF(AJ226="RISING_TAIL_EARLY","Rising tail – early pattern",IF(Q226="New Customer","New customer onboarding",IF(Q226="Returned Customer","Returned customer",IF(G226="Lapsed","Dormant",IF(T226="Engaged, not converting","Engaged, not converting",IF(T226="One-off low-touch buyer","One-off purchaser",IF(T226="Light-touch repeat buyer","Light-touch repeat buyer","Standard long tail")))))))))</f>
        <v>Dormant</v>
      </c>
      <c r="AT226" s="2" t="str">
        <f aca="false">IF(AA226,"CRITICAL_DATA_BLOCKER; ","")&amp;IF(Y226,"KEY_SIGNOFF; ","")&amp;IF(Z226="Manual Review","PHASE1_MANUAL_REVIEW; ","")&amp;IF(AND(LEFT(D226,1)="1",AZ226="Lumpy"),"LUMPY_CADENCE; ","")&amp;IF(AB226,"BORDERLINE_MOMENTUM; ","")&amp;IF(AC226,"FEB_SENSITIVE; ","")&amp;IF(AD226,"MATERIAL_BROKER_INCONSISTENCY"&amp;IF(AE226," (segment would change)","")&amp;"; ","")&amp;IF(AND(I226&gt;=3,O226&gt;0),IF(AI226&gt;=Assumptions!$B$75,"H2_SINGLE_MONTH_SPIKE; ",""),"")&amp;IF(AND(M226&gt;0,N226=0),"NO_FEB_GMV (Feb unconfirmed); ","")&amp;IF(AF226,"LOW_CONFIDENCE; ","")</f>
        <v/>
      </c>
      <c r="AU226" s="2" t="str">
        <f aca="false">IF(LEFT(D226,1)="1",V226,"")</f>
        <v/>
      </c>
      <c r="AV226" s="2" t="str">
        <f aca="false">IF(LEFT(D226,1)="1",V226&gt;=Assumptions!$B$58,"")</f>
        <v/>
      </c>
      <c r="AW226" s="2" t="str">
        <f aca="false">IF(LEFT(D226,1)="1",W226,"")</f>
        <v/>
      </c>
      <c r="AX226" s="2" t="str">
        <f aca="false">IF(LEFT(D226,1)="1",X226,"")</f>
        <v/>
      </c>
      <c r="AY226" s="17" t="str">
        <f aca="false">IF(LEFT(D226,1)="1",J226/I226,"")</f>
        <v/>
      </c>
      <c r="AZ226" s="2" t="str">
        <f aca="false">IF(LEFT(D226,1)="1",IF(AND(K226&gt;=Assumptions!$B$83,I226&gt;=Assumptions!$B$84),"Regular","Lumpy"),"")</f>
        <v/>
      </c>
      <c r="BA226" s="2" t="str">
        <f aca="false">IF(LEFT(D226,1)="1",ROUND(6/K226,0),"")</f>
        <v/>
      </c>
      <c r="BB226" s="2" t="str">
        <f aca="false">IF(LEFT(D226,1)="1",IF(AZ226="Regular","Regular buyer: expected ~£"&amp;TEXT(H226/2,"#,##0")&amp;" per 90 days. At Risk if GMV to date &lt; "&amp;TEXT(Assumptions!$B$81,"0%")&amp;" of pro-rated expectation, checked from day "&amp;Assumptions!$B$82&amp;". Human-reviewed.","Irregular buyer ("&amp;I226&amp;" orders across "&amp;K226&amp;" months): no numeric GMV threshold. At Risk if no order within ~"&amp;BA226&amp;" month(s); AM reviews at day "&amp;Assumptions!$B$82&amp;" and "&amp;Assumptions!$B$85&amp;"."),"")</f>
        <v/>
      </c>
      <c r="BC226" s="2"/>
      <c r="BD226" s="2"/>
      <c r="BE226" s="2"/>
      <c r="BF226" s="2"/>
      <c r="BG226" s="2"/>
      <c r="BH226" s="2"/>
      <c r="BI226" s="2"/>
      <c r="BJ226" s="2" t="str">
        <f aca="false">IF(OR(NOT(LEFT(D226,1)="1"),BC226=""),"",IF(AZ226="Regular",AND(BC226&gt;=Assumptions!$B$82,N(BI226)&lt;Assumptions!$B$81*H226/180*BC226),AND(BC226&gt;=BA226*30,N(BG226)=0)))</f>
        <v/>
      </c>
      <c r="BK226" s="2" t="str">
        <f aca="false">IF(NOT(LEFT(D226,1)="1"),"N/A",IF(BC226="","Baseline",IF(BJ226,"At Risk",IF(AND(N(BD226)&gt;=Assumptions!$B$78,N(BE226)&gt;=Assumptions!$B$79,N(BH226)&gt;=1,N(BH226)/MAX(N(BG226),1)&gt;AY226),"Self-Serve Capability Demonstrated",IF(OR(N(BD226)&gt;=Assumptions!$B$76,N(BE226)&gt;=Assumptions!$B$77),"Progressing",IF(BC226&gt;=Assumptions!$B$85,"At Risk","Baseline"))))))</f>
        <v>N/A</v>
      </c>
      <c r="BL226" s="2" t="n">
        <f aca="false">(AND(C226="Broker-Reliant",OR(AK226="Discovery-to-Offer Enablement",AK226="Reinforce Successful Behaviour")))*1+(AND(G226="Declining",E226&lt;&gt;"Tail",AL226="Automated"))*1+(AND(Y226,AM226&lt;&gt;"Human Sign-Off Required"))*1+(AND(AA226,AM226&lt;&gt;"HOLD — Critical Data Issue"))*1+(AND(P226="Recent Inactivity",OR(AK226="Discovery-to-Offer Enablement",AK226="Reinforce Successful Behaviour")))*1+(AND(OR(LEFT(D226,1)="2",LEFT(D226,1)="3",LEFT(D226,1)="8"),AL226="Automated"))*1+((LEFT(D226,1)="1")&lt;&gt;(AK226="Guided Self-Serve Migration"))*1+(AND(AR226&lt;&gt;"",OR(F226&lt;&gt;"Low",U226="Mixed",AND(G226&lt;&gt;"Growing",G226&lt;&gt;"Stable"))))*1+ISNUMBER(SEARCH("chat",AP226))*1+ISNUMBER(SEARCH("video",AP226))*1+(AND(AA226,AL226="Automated",AM226&lt;&gt;"HOLD — Critical Data Issue"))*1</f>
        <v>0</v>
      </c>
    </row>
    <row r="227" customFormat="false" ht="15" hidden="false" customHeight="false" outlineLevel="0" collapsed="false">
      <c r="A227" s="2" t="s">
        <v>691</v>
      </c>
      <c r="B227" s="2" t="str">
        <f aca="false">INDEX(Segmentation!$B$2:$B$301,MATCH($A227,Segmentation!$A$2:$A$301,0))</f>
        <v>Self Serve</v>
      </c>
      <c r="C227" s="2" t="str">
        <f aca="false">INDEX(Segmentation!$H$2:$H$301,MATCH($A227,Segmentation!$A$2:$A$301,0))</f>
        <v>Self-Serve</v>
      </c>
      <c r="D227" s="2" t="str">
        <f aca="false">INDEX(Segmentation!$T$2:$T$301,MATCH($A227,Segmentation!$A$2:$A$301,0))</f>
        <v>9. Long-Tail Automated Nurture</v>
      </c>
      <c r="E227" s="2" t="str">
        <f aca="false">INDEX(Segmentation!$J$2:$J$301,MATCH($A227,Segmentation!$A$2:$A$301,0))</f>
        <v>Tail</v>
      </c>
      <c r="F227" s="2" t="str">
        <f aca="false">INDEX(Segmentation!$G$2:$G$301,MATCH($A227,Segmentation!$A$2:$A$301,0))</f>
        <v>Low</v>
      </c>
      <c r="G227" s="2" t="str">
        <f aca="false">INDEX(Segmentation!$N$2:$N$301,MATCH($A227,Segmentation!$A$2:$A$301,0))</f>
        <v>Lapsed</v>
      </c>
      <c r="H227" s="9" t="n">
        <f aca="false">INDEX(Segmentation!$I$2:$I$301,MATCH($A227,Segmentation!$A$2:$A$301,0))</f>
        <v>486</v>
      </c>
      <c r="I227" s="2" t="n">
        <f aca="false">INDEX(Segmentation!$O$2:$O$301,MATCH($A227,Segmentation!$A$2:$A$301,0))</f>
        <v>2</v>
      </c>
      <c r="J227" s="2" t="n">
        <f aca="false">INDEX(Segmentation!$Q$2:$Q$301,MATCH($A227,Segmentation!$A$2:$A$301,0))</f>
        <v>2</v>
      </c>
      <c r="K227" s="2" t="n">
        <f aca="false">INDEX(Segmentation!$W$2:$W$301,MATCH($A227,Segmentation!$A$2:$A$301,0))</f>
        <v>1</v>
      </c>
      <c r="L227" s="9" t="n">
        <f aca="false">INDEX('Commercial View'!$L$2:$L$301,MATCH($A227,'Commercial View'!$A$2:$A$301,0))</f>
        <v>0</v>
      </c>
      <c r="M227" s="9" t="n">
        <f aca="false">INDEX('Commercial View'!$M$2:$M$301,MATCH($A227,'Commercial View'!$A$2:$A$301,0))</f>
        <v>0</v>
      </c>
      <c r="N227" s="9" t="n">
        <f aca="false">INDEX('Commercial View'!$N$2:$N$301,MATCH($A227,'Commercial View'!$A$2:$A$301,0))</f>
        <v>0</v>
      </c>
      <c r="O227" s="9" t="n">
        <f aca="false">INDEX(Segmentation!$L$2:$L$301,MATCH($A227,Segmentation!$A$2:$A$301,0))</f>
        <v>0</v>
      </c>
      <c r="P227" s="2" t="str">
        <f aca="false">IF(OR(M227&gt;0,N227&gt;0),"Recently Active",IF(OR(I227&lt;=Assumptions!$B$48,K227&lt;=Assumptions!$B$49),"No Meaningful History","Recent Inactivity"))</f>
        <v>No Meaningful History</v>
      </c>
      <c r="Q227" s="2" t="str">
        <f aca="false">INDEX(Segmentation!$AF$2:$AF$301,MATCH($A227,Segmentation!$A$2:$A$301,0))</f>
        <v>Existing Customer</v>
      </c>
      <c r="R227" s="2" t="str">
        <f aca="false">INDEX(Segmentation!$AL$2:$AL$301,MATCH($A227,Segmentation!$A$2:$A$301,0))</f>
        <v>One-Off / Insufficient History — Verify</v>
      </c>
      <c r="S227" s="10" t="b">
        <f aca="false">INDEX(Segmentation!$AW$2:$AW$301,MATCH($A227,Segmentation!$A$2:$A$301,0))</f>
        <v>0</v>
      </c>
      <c r="T227" s="2" t="str">
        <f aca="false">INDEX('Feature Data'!$AD$2:$AD$301,MATCH($A227,'Feature Data'!$A$2:$A$301,0))</f>
        <v>Engaged, not converting</v>
      </c>
      <c r="U227" s="2" t="str">
        <f aca="false">INDEX('Feature Data'!$W$2:$W$301,MATCH($A227,'Feature Data'!$A$2:$A$301,0))</f>
        <v>Bundle-only</v>
      </c>
      <c r="V227" s="2" t="n">
        <f aca="false">INDEX('Feature Data'!$P$2:$P$301,MATCH($A227,'Feature Data'!$A$2:$A$301,0))</f>
        <v>1305</v>
      </c>
      <c r="W227" s="2" t="n">
        <f aca="false">INDEX(Segmentation!$R$2:$R$301,MATCH($A227,Segmentation!$A$2:$A$301,0))</f>
        <v>39</v>
      </c>
      <c r="X227" s="2" t="n">
        <f aca="false">INDEX(Segmentation!$S$2:$S$301,MATCH($A227,Segmentation!$A$2:$A$301,0))</f>
        <v>17</v>
      </c>
      <c r="Y227" s="10" t="b">
        <f aca="false">INDEX(Segmentation!$AG$2:$AG$301,MATCH($A227,Segmentation!$A$2:$A$301,0))</f>
        <v>0</v>
      </c>
      <c r="Z227" s="2" t="str">
        <f aca="false">INDEX(Segmentation!$AU$2:$AU$301,MATCH($A227,Segmentation!$A$2:$A$301,0))</f>
        <v>Not Eligible</v>
      </c>
      <c r="AA227" s="10" t="b">
        <f aca="false">INDEX(Segmentation!$Z$2:$Z$301,MATCH($A227,Segmentation!$A$2:$A$301,0))</f>
        <v>0</v>
      </c>
      <c r="AB227" s="10" t="b">
        <f aca="false">INDEX(Segmentation!$AH$2:$AH$301,MATCH($A227,Segmentation!$A$2:$A$301,0))</f>
        <v>0</v>
      </c>
      <c r="AC227" s="10" t="b">
        <f aca="false">INDEX(Segmentation!$AK$2:$AK$301,MATCH($A227,Segmentation!$A$2:$A$301,0))</f>
        <v>0</v>
      </c>
      <c r="AD227" s="10" t="b">
        <f aca="false">INDEX(Segmentation!$AQ$2:$AQ$301,MATCH($A227,Segmentation!$A$2:$A$301,0))</f>
        <v>0</v>
      </c>
      <c r="AE227" s="10" t="b">
        <f aca="false">INDEX(Segmentation!$AT$2:$AT$301,MATCH($A227,Segmentation!$A$2:$A$301,0))</f>
        <v>0</v>
      </c>
      <c r="AF227" s="10" t="b">
        <f aca="false">INDEX(Segmentation!$X$2:$X$301,MATCH($A227,Segmentation!$A$2:$A$301,0))</f>
        <v>1</v>
      </c>
      <c r="AG227" s="10" t="b">
        <f aca="false">AND(F227="Low",V227&gt;=Assumptions!$B$71,X227&lt;Assumptions!$B$72)</f>
        <v>0</v>
      </c>
      <c r="AH227" s="10" t="b">
        <f aca="false">AND(F227="Low",OR(G227="Growing",G227="Stable"),P227="Recently Active",V227&gt;=Assumptions!$B$58,K227&gt;=Assumptions!$B$73)</f>
        <v>0</v>
      </c>
      <c r="AI227" s="17" t="str">
        <f aca="false">IF(O227&gt;0,MAX(L227:N227)/O227,"")</f>
        <v/>
      </c>
      <c r="AJ227" s="2" t="str">
        <f aca="false">IF(LEFT(D227,1)="1",IF(E227="Key","MIGRATION_KEY_SIGNOFF",IF(Z227="Ready","MIGRATION_PHASE1_READY",IF(Z227="Manual Review","MIGRATION_PHASE1_REVIEW","MIGRATION_PRE_ENTRY"))),IF(LEFT(D227,1)="2","DECLINING_KEY_CORE",IF(LEFT(D227,1)="3",IF(R227="Established Buyer Lapsed","LAPSED_ESTABLISHED","LAPSED_THIN_HISTORY"),IF(LEFT(D227,1)="4",IF(Q227="New Customer","NEW_CUSTOMER","RETURNED_CUSTOMER"),IF(LEFT(D227,1)="5",IF(P227="Recently Active","COST_TO_SERVE_ACTIVE","DORMANT_LOW_VALUE"),IF(LEFT(D227,1)="6",IF(P227="Recent Inactivity","RECENT_INACTIVITY",IF(AG227,"BROWSING_LOW_OFFERS","HEALTHY_STRONG_SELF_SERVE")),IF(LEFT(D227,1)="7",IF(P227="Recent Inactivity","RECENT_INACTIVITY",IF(Q227="New Customer","NEW_CUSTOMER","RETURNED_CUSTOMER")),IF(LEFT(D227,1)="8",IF(G227="Declining",IF(T227="Engaged but shrinking (Key/Core)","ENGAGED_BUT_SHRINKING","DECLINING_KEY_CORE"),IF(R227="Established Buyer Lapsed","LAPSED_ESTABLISHED","LAPSED_THIN_HISTORY")),IF(S227,IF(P227&lt;&gt;"Recently Active","DORMANT_LOW_VALUE",IF(AG227,"BROWSING_LOW_OFFERS",IF(AH227,"RISING_TAIL","RISING_TAIL_EARLY"))),IF(AND(AG227,P227="Recently Active",OR(G227="Growing",G227="Stable",G227="H2 Active / No H1 GMV"),I227&gt;=Assumptions!$B$74),"BROWSING_LOW_OFFERS","LONG_TAIL_STANDARD"))))))))))</f>
        <v>LONG_TAIL_STANDARD</v>
      </c>
      <c r="AK227" s="2" t="str">
        <f aca="false">INDEX('NBA Library'!$B$4:$B$21,MATCH(AJ227,'NBA Library'!$A$4:$A$21,0))</f>
        <v>Automated Nurture</v>
      </c>
      <c r="AL227" s="2" t="str">
        <f aca="false">INDEX('NBA Library'!$C$4:$C$21,MATCH(AJ227,'NBA Library'!$A$4:$A$21,0))</f>
        <v>Automated</v>
      </c>
      <c r="AM227" s="2" t="str">
        <f aca="false">IF(AA227,"HOLD — Critical Data Issue",IF(Y227,"Human Sign-Off Required",IF(Z227="Manual Review","Human Review Required",IF(AND(AL227="Automated",OR(AE227,AND(OR(AK227="Discovery-to-Offer Enablement",AK227="Reinforce Successful Behaviour"),OR(AC227,AB227)))),"Human Review Required",IF(AL227="Human","Ready — Human",IF(AL227="Hybrid","Ready — Hybrid","Ready — Automated"))))))</f>
        <v>Ready — Automated</v>
      </c>
      <c r="AN227" s="2" t="str">
        <f aca="false">IF(AA227,"P0",IF(AND(AJ227="BROWSING_LOW_OFFERS",E227="Tail"),"P3",IF(AND(AM227="Human Review Required",INDEX('NBA Library'!$D$4:$D$21,MATCH(AJ227,'NBA Library'!$A$4:$A$21,0))="P4"),"P3",INDEX('NBA Library'!$D$4:$D$21,MATCH(AJ227,'NBA Library'!$A$4:$A$21,0)))))</f>
        <v>P4</v>
      </c>
      <c r="AO227" s="2" t="str">
        <f aca="false">E227&amp;" "&amp;C227&amp;" account ("&amp;B227&amp;"); "&amp;G227&amp;" momentum; "&amp;P227&amp;"; £"&amp;TEXT(H227,"#,##0")&amp;" 6m GMV. "&amp;INDEX('NBA Library'!$G$4:$G$21,MATCH(AJ227,'NBA Library'!$A$4:$A$21,0))&amp;IF(LEFT(D227,1)="1"," Baseline: "&amp;V227&amp;" PDP views, "&amp;W227&amp;" app days, "&amp;X227&amp;" offers, "&amp;TEXT(J227/I227,"0%")&amp;" of orders self-serve.","")&amp;IF(AA227," Execution on HOLD until the Duplicate status is resolved.","")&amp;IF(Y227," Key account: explicit AM/leadership sign-off required before any migration activity.","")&amp;IF(AE227," Implied broker % from order counts would move this account to a different segment; review before automating.","")</f>
        <v>Tail Self-Serve account (Self Serve); Lapsed momentum; No Meaningful History; £486 6m GMV. Low-value, low-dependency account. Scalable automated engagement.</v>
      </c>
      <c r="AP227" s="2" t="str">
        <f aca="false">INDEX('NBA Library'!$E$4:$E$21,MATCH(AJ227,'NBA Library'!$A$4:$A$21,0))&amp;IF(AND(AJ227="NEW_CUSTOMER",AG227),"; introduce Make-an-Offer on items already browsed","")</f>
        <v>Scalable automated engagement matched to nurture sub-context</v>
      </c>
      <c r="AQ227" s="2" t="str">
        <f aca="false">INDEX('NBA Library'!$F$4:$F$21,MATCH(AJ227,'NBA Library'!$A$4:$A$21,0))</f>
        <v>Any repeat order within 90 days</v>
      </c>
      <c r="AR227" s="2" t="str">
        <f aca="false">IF(AND(F227="Low",OR(G227="Growing",G227="Stable"),P227="Recently Active",U227&lt;&gt;"Mixed",OR(AK227="Discovery-to-Offer Enablement",AK227="Reinforce Successful Behaviour"),AM227="Ready — Automated",OR(E227&lt;&gt;"Tail",S227)),"Range Expansion Test — trial "&amp;IF(U227="Bundle-only","handpick","bundles")&amp;" (experimental; not proven to lift GMV)","")</f>
        <v/>
      </c>
      <c r="AS227" s="2" t="str">
        <f aca="false">IF(AK227&lt;&gt;"Automated Nurture","",IF(AJ227="DORMANT_LOW_VALUE","Dormant",IF(AJ227="RISING_TAIL_EARLY","Rising tail – early pattern",IF(Q227="New Customer","New customer onboarding",IF(Q227="Returned Customer","Returned customer",IF(G227="Lapsed","Dormant",IF(T227="Engaged, not converting","Engaged, not converting",IF(T227="One-off low-touch buyer","One-off purchaser",IF(T227="Light-touch repeat buyer","Light-touch repeat buyer","Standard long tail")))))))))</f>
        <v>Dormant</v>
      </c>
      <c r="AT227" s="2" t="str">
        <f aca="false">IF(AA227,"CRITICAL_DATA_BLOCKER; ","")&amp;IF(Y227,"KEY_SIGNOFF; ","")&amp;IF(Z227="Manual Review","PHASE1_MANUAL_REVIEW; ","")&amp;IF(AND(LEFT(D227,1)="1",AZ227="Lumpy"),"LUMPY_CADENCE; ","")&amp;IF(AB227,"BORDERLINE_MOMENTUM; ","")&amp;IF(AC227,"FEB_SENSITIVE; ","")&amp;IF(AD227,"MATERIAL_BROKER_INCONSISTENCY"&amp;IF(AE227," (segment would change)","")&amp;"; ","")&amp;IF(AND(I227&gt;=3,O227&gt;0),IF(AI227&gt;=Assumptions!$B$75,"H2_SINGLE_MONTH_SPIKE; ",""),"")&amp;IF(AND(M227&gt;0,N227=0),"NO_FEB_GMV (Feb unconfirmed); ","")&amp;IF(AF227,"LOW_CONFIDENCE; ","")</f>
        <v>LOW_CONFIDENCE; </v>
      </c>
      <c r="AU227" s="2" t="str">
        <f aca="false">IF(LEFT(D227,1)="1",V227,"")</f>
        <v/>
      </c>
      <c r="AV227" s="2" t="str">
        <f aca="false">IF(LEFT(D227,1)="1",V227&gt;=Assumptions!$B$58,"")</f>
        <v/>
      </c>
      <c r="AW227" s="2" t="str">
        <f aca="false">IF(LEFT(D227,1)="1",W227,"")</f>
        <v/>
      </c>
      <c r="AX227" s="2" t="str">
        <f aca="false">IF(LEFT(D227,1)="1",X227,"")</f>
        <v/>
      </c>
      <c r="AY227" s="17" t="str">
        <f aca="false">IF(LEFT(D227,1)="1",J227/I227,"")</f>
        <v/>
      </c>
      <c r="AZ227" s="2" t="str">
        <f aca="false">IF(LEFT(D227,1)="1",IF(AND(K227&gt;=Assumptions!$B$83,I227&gt;=Assumptions!$B$84),"Regular","Lumpy"),"")</f>
        <v/>
      </c>
      <c r="BA227" s="2" t="str">
        <f aca="false">IF(LEFT(D227,1)="1",ROUND(6/K227,0),"")</f>
        <v/>
      </c>
      <c r="BB227" s="2" t="str">
        <f aca="false">IF(LEFT(D227,1)="1",IF(AZ227="Regular","Regular buyer: expected ~£"&amp;TEXT(H227/2,"#,##0")&amp;" per 90 days. At Risk if GMV to date &lt; "&amp;TEXT(Assumptions!$B$81,"0%")&amp;" of pro-rated expectation, checked from day "&amp;Assumptions!$B$82&amp;". Human-reviewed.","Irregular buyer ("&amp;I227&amp;" orders across "&amp;K227&amp;" months): no numeric GMV threshold. At Risk if no order within ~"&amp;BA227&amp;" month(s); AM reviews at day "&amp;Assumptions!$B$82&amp;" and "&amp;Assumptions!$B$85&amp;"."),"")</f>
        <v/>
      </c>
      <c r="BC227" s="2"/>
      <c r="BD227" s="2"/>
      <c r="BE227" s="2"/>
      <c r="BF227" s="2"/>
      <c r="BG227" s="2"/>
      <c r="BH227" s="2"/>
      <c r="BI227" s="2"/>
      <c r="BJ227" s="2" t="str">
        <f aca="false">IF(OR(NOT(LEFT(D227,1)="1"),BC227=""),"",IF(AZ227="Regular",AND(BC227&gt;=Assumptions!$B$82,N(BI227)&lt;Assumptions!$B$81*H227/180*BC227),AND(BC227&gt;=BA227*30,N(BG227)=0)))</f>
        <v/>
      </c>
      <c r="BK227" s="2" t="str">
        <f aca="false">IF(NOT(LEFT(D227,1)="1"),"N/A",IF(BC227="","Baseline",IF(BJ227,"At Risk",IF(AND(N(BD227)&gt;=Assumptions!$B$78,N(BE227)&gt;=Assumptions!$B$79,N(BH227)&gt;=1,N(BH227)/MAX(N(BG227),1)&gt;AY227),"Self-Serve Capability Demonstrated",IF(OR(N(BD227)&gt;=Assumptions!$B$76,N(BE227)&gt;=Assumptions!$B$77),"Progressing",IF(BC227&gt;=Assumptions!$B$85,"At Risk","Baseline"))))))</f>
        <v>N/A</v>
      </c>
      <c r="BL227" s="2" t="n">
        <f aca="false">(AND(C227="Broker-Reliant",OR(AK227="Discovery-to-Offer Enablement",AK227="Reinforce Successful Behaviour")))*1+(AND(G227="Declining",E227&lt;&gt;"Tail",AL227="Automated"))*1+(AND(Y227,AM227&lt;&gt;"Human Sign-Off Required"))*1+(AND(AA227,AM227&lt;&gt;"HOLD — Critical Data Issue"))*1+(AND(P227="Recent Inactivity",OR(AK227="Discovery-to-Offer Enablement",AK227="Reinforce Successful Behaviour")))*1+(AND(OR(LEFT(D227,1)="2",LEFT(D227,1)="3",LEFT(D227,1)="8"),AL227="Automated"))*1+((LEFT(D227,1)="1")&lt;&gt;(AK227="Guided Self-Serve Migration"))*1+(AND(AR227&lt;&gt;"",OR(F227&lt;&gt;"Low",U227="Mixed",AND(G227&lt;&gt;"Growing",G227&lt;&gt;"Stable"))))*1+ISNUMBER(SEARCH("chat",AP227))*1+ISNUMBER(SEARCH("video",AP227))*1+(AND(AA227,AL227="Automated",AM227&lt;&gt;"HOLD — Critical Data Issue"))*1</f>
        <v>0</v>
      </c>
    </row>
    <row r="228" customFormat="false" ht="15" hidden="false" customHeight="false" outlineLevel="0" collapsed="false">
      <c r="A228" s="2" t="s">
        <v>697</v>
      </c>
      <c r="B228" s="2" t="str">
        <f aca="false">INDEX(Segmentation!$B$2:$B$301,MATCH($A228,Segmentation!$A$2:$A$301,0))</f>
        <v>Self Serve</v>
      </c>
      <c r="C228" s="2" t="str">
        <f aca="false">INDEX(Segmentation!$H$2:$H$301,MATCH($A228,Segmentation!$A$2:$A$301,0))</f>
        <v>Self-Serve</v>
      </c>
      <c r="D228" s="2" t="str">
        <f aca="false">INDEX(Segmentation!$T$2:$T$301,MATCH($A228,Segmentation!$A$2:$A$301,0))</f>
        <v>9. Long-Tail Automated Nurture</v>
      </c>
      <c r="E228" s="2" t="str">
        <f aca="false">INDEX(Segmentation!$J$2:$J$301,MATCH($A228,Segmentation!$A$2:$A$301,0))</f>
        <v>Tail</v>
      </c>
      <c r="F228" s="2" t="str">
        <f aca="false">INDEX(Segmentation!$G$2:$G$301,MATCH($A228,Segmentation!$A$2:$A$301,0))</f>
        <v>Low</v>
      </c>
      <c r="G228" s="2" t="str">
        <f aca="false">INDEX(Segmentation!$N$2:$N$301,MATCH($A228,Segmentation!$A$2:$A$301,0))</f>
        <v>H2 Active / No H1 GMV</v>
      </c>
      <c r="H228" s="9" t="n">
        <f aca="false">INDEX(Segmentation!$I$2:$I$301,MATCH($A228,Segmentation!$A$2:$A$301,0))</f>
        <v>461</v>
      </c>
      <c r="I228" s="2" t="n">
        <f aca="false">INDEX(Segmentation!$O$2:$O$301,MATCH($A228,Segmentation!$A$2:$A$301,0))</f>
        <v>1</v>
      </c>
      <c r="J228" s="2" t="n">
        <f aca="false">INDEX(Segmentation!$Q$2:$Q$301,MATCH($A228,Segmentation!$A$2:$A$301,0))</f>
        <v>1</v>
      </c>
      <c r="K228" s="2" t="n">
        <f aca="false">INDEX(Segmentation!$W$2:$W$301,MATCH($A228,Segmentation!$A$2:$A$301,0))</f>
        <v>1</v>
      </c>
      <c r="L228" s="9" t="n">
        <f aca="false">INDEX('Commercial View'!$L$2:$L$301,MATCH($A228,'Commercial View'!$A$2:$A$301,0))</f>
        <v>0</v>
      </c>
      <c r="M228" s="9" t="n">
        <f aca="false">INDEX('Commercial View'!$M$2:$M$301,MATCH($A228,'Commercial View'!$A$2:$A$301,0))</f>
        <v>0</v>
      </c>
      <c r="N228" s="9" t="n">
        <f aca="false">INDEX('Commercial View'!$N$2:$N$301,MATCH($A228,'Commercial View'!$A$2:$A$301,0))</f>
        <v>461</v>
      </c>
      <c r="O228" s="9" t="n">
        <f aca="false">INDEX(Segmentation!$L$2:$L$301,MATCH($A228,Segmentation!$A$2:$A$301,0))</f>
        <v>461</v>
      </c>
      <c r="P228" s="2" t="str">
        <f aca="false">IF(OR(M228&gt;0,N228&gt;0),"Recently Active",IF(OR(I228&lt;=Assumptions!$B$48,K228&lt;=Assumptions!$B$49),"No Meaningful History","Recent Inactivity"))</f>
        <v>Recently Active</v>
      </c>
      <c r="Q228" s="2" t="str">
        <f aca="false">INDEX(Segmentation!$AF$2:$AF$301,MATCH($A228,Segmentation!$A$2:$A$301,0))</f>
        <v>New Customer</v>
      </c>
      <c r="R228" s="2" t="str">
        <f aca="false">INDEX(Segmentation!$AL$2:$AL$301,MATCH($A228,Segmentation!$A$2:$A$301,0))</f>
        <v>N/A</v>
      </c>
      <c r="S228" s="10" t="b">
        <f aca="false">INDEX(Segmentation!$AW$2:$AW$301,MATCH($A228,Segmentation!$A$2:$A$301,0))</f>
        <v>0</v>
      </c>
      <c r="T228" s="2" t="str">
        <f aca="false">INDEX('Feature Data'!$AD$2:$AD$301,MATCH($A228,'Feature Data'!$A$2:$A$301,0))</f>
        <v>One-off low-touch buyer</v>
      </c>
      <c r="U228" s="2" t="str">
        <f aca="false">INDEX('Feature Data'!$W$2:$W$301,MATCH($A228,'Feature Data'!$A$2:$A$301,0))</f>
        <v>Bundle-only</v>
      </c>
      <c r="V228" s="2" t="n">
        <f aca="false">INDEX('Feature Data'!$P$2:$P$301,MATCH($A228,'Feature Data'!$A$2:$A$301,0))</f>
        <v>48</v>
      </c>
      <c r="W228" s="2" t="n">
        <f aca="false">INDEX(Segmentation!$R$2:$R$301,MATCH($A228,Segmentation!$A$2:$A$301,0))</f>
        <v>9</v>
      </c>
      <c r="X228" s="2" t="n">
        <f aca="false">INDEX(Segmentation!$S$2:$S$301,MATCH($A228,Segmentation!$A$2:$A$301,0))</f>
        <v>0</v>
      </c>
      <c r="Y228" s="10" t="b">
        <f aca="false">INDEX(Segmentation!$AG$2:$AG$301,MATCH($A228,Segmentation!$A$2:$A$301,0))</f>
        <v>0</v>
      </c>
      <c r="Z228" s="2" t="str">
        <f aca="false">INDEX(Segmentation!$AU$2:$AU$301,MATCH($A228,Segmentation!$A$2:$A$301,0))</f>
        <v>Not Eligible</v>
      </c>
      <c r="AA228" s="10" t="b">
        <f aca="false">INDEX(Segmentation!$Z$2:$Z$301,MATCH($A228,Segmentation!$A$2:$A$301,0))</f>
        <v>0</v>
      </c>
      <c r="AB228" s="10" t="b">
        <f aca="false">INDEX(Segmentation!$AH$2:$AH$301,MATCH($A228,Segmentation!$A$2:$A$301,0))</f>
        <v>0</v>
      </c>
      <c r="AC228" s="10" t="b">
        <f aca="false">INDEX(Segmentation!$AK$2:$AK$301,MATCH($A228,Segmentation!$A$2:$A$301,0))</f>
        <v>1</v>
      </c>
      <c r="AD228" s="10" t="b">
        <f aca="false">INDEX(Segmentation!$AQ$2:$AQ$301,MATCH($A228,Segmentation!$A$2:$A$301,0))</f>
        <v>0</v>
      </c>
      <c r="AE228" s="10" t="b">
        <f aca="false">INDEX(Segmentation!$AT$2:$AT$301,MATCH($A228,Segmentation!$A$2:$A$301,0))</f>
        <v>0</v>
      </c>
      <c r="AF228" s="10" t="b">
        <f aca="false">INDEX(Segmentation!$X$2:$X$301,MATCH($A228,Segmentation!$A$2:$A$301,0))</f>
        <v>1</v>
      </c>
      <c r="AG228" s="10" t="b">
        <f aca="false">AND(F228="Low",V228&gt;=Assumptions!$B$71,X228&lt;Assumptions!$B$72)</f>
        <v>0</v>
      </c>
      <c r="AH228" s="10" t="b">
        <f aca="false">AND(F228="Low",OR(G228="Growing",G228="Stable"),P228="Recently Active",V228&gt;=Assumptions!$B$58,K228&gt;=Assumptions!$B$73)</f>
        <v>0</v>
      </c>
      <c r="AI228" s="17" t="n">
        <f aca="false">IF(O228&gt;0,MAX(L228:N228)/O228,"")</f>
        <v>1</v>
      </c>
      <c r="AJ228" s="2" t="str">
        <f aca="false">IF(LEFT(D228,1)="1",IF(E228="Key","MIGRATION_KEY_SIGNOFF",IF(Z228="Ready","MIGRATION_PHASE1_READY",IF(Z228="Manual Review","MIGRATION_PHASE1_REVIEW","MIGRATION_PRE_ENTRY"))),IF(LEFT(D228,1)="2","DECLINING_KEY_CORE",IF(LEFT(D228,1)="3",IF(R228="Established Buyer Lapsed","LAPSED_ESTABLISHED","LAPSED_THIN_HISTORY"),IF(LEFT(D228,1)="4",IF(Q228="New Customer","NEW_CUSTOMER","RETURNED_CUSTOMER"),IF(LEFT(D228,1)="5",IF(P228="Recently Active","COST_TO_SERVE_ACTIVE","DORMANT_LOW_VALUE"),IF(LEFT(D228,1)="6",IF(P228="Recent Inactivity","RECENT_INACTIVITY",IF(AG228,"BROWSING_LOW_OFFERS","HEALTHY_STRONG_SELF_SERVE")),IF(LEFT(D228,1)="7",IF(P228="Recent Inactivity","RECENT_INACTIVITY",IF(Q228="New Customer","NEW_CUSTOMER","RETURNED_CUSTOMER")),IF(LEFT(D228,1)="8",IF(G228="Declining",IF(T228="Engaged but shrinking (Key/Core)","ENGAGED_BUT_SHRINKING","DECLINING_KEY_CORE"),IF(R228="Established Buyer Lapsed","LAPSED_ESTABLISHED","LAPSED_THIN_HISTORY")),IF(S228,IF(P228&lt;&gt;"Recently Active","DORMANT_LOW_VALUE",IF(AG228,"BROWSING_LOW_OFFERS",IF(AH228,"RISING_TAIL","RISING_TAIL_EARLY"))),IF(AND(AG228,P228="Recently Active",OR(G228="Growing",G228="Stable",G228="H2 Active / No H1 GMV"),I228&gt;=Assumptions!$B$74),"BROWSING_LOW_OFFERS","LONG_TAIL_STANDARD"))))))))))</f>
        <v>LONG_TAIL_STANDARD</v>
      </c>
      <c r="AK228" s="2" t="str">
        <f aca="false">INDEX('NBA Library'!$B$4:$B$21,MATCH(AJ228,'NBA Library'!$A$4:$A$21,0))</f>
        <v>Automated Nurture</v>
      </c>
      <c r="AL228" s="2" t="str">
        <f aca="false">INDEX('NBA Library'!$C$4:$C$21,MATCH(AJ228,'NBA Library'!$A$4:$A$21,0))</f>
        <v>Automated</v>
      </c>
      <c r="AM228" s="2" t="str">
        <f aca="false">IF(AA228,"HOLD — Critical Data Issue",IF(Y228,"Human Sign-Off Required",IF(Z228="Manual Review","Human Review Required",IF(AND(AL228="Automated",OR(AE228,AND(OR(AK228="Discovery-to-Offer Enablement",AK228="Reinforce Successful Behaviour"),OR(AC228,AB228)))),"Human Review Required",IF(AL228="Human","Ready — Human",IF(AL228="Hybrid","Ready — Hybrid","Ready — Automated"))))))</f>
        <v>Ready — Automated</v>
      </c>
      <c r="AN228" s="2" t="str">
        <f aca="false">IF(AA228,"P0",IF(AND(AJ228="BROWSING_LOW_OFFERS",E228="Tail"),"P3",IF(AND(AM228="Human Review Required",INDEX('NBA Library'!$D$4:$D$21,MATCH(AJ228,'NBA Library'!$A$4:$A$21,0))="P4"),"P3",INDEX('NBA Library'!$D$4:$D$21,MATCH(AJ228,'NBA Library'!$A$4:$A$21,0)))))</f>
        <v>P4</v>
      </c>
      <c r="AO228" s="2" t="str">
        <f aca="false">E228&amp;" "&amp;C228&amp;" account ("&amp;B228&amp;"); "&amp;G228&amp;" momentum; "&amp;P228&amp;"; £"&amp;TEXT(H228,"#,##0")&amp;" 6m GMV. "&amp;INDEX('NBA Library'!$G$4:$G$21,MATCH(AJ228,'NBA Library'!$A$4:$A$21,0))&amp;IF(LEFT(D228,1)="1"," Baseline: "&amp;V228&amp;" PDP views, "&amp;W228&amp;" app days, "&amp;X228&amp;" offers, "&amp;TEXT(J228/I228,"0%")&amp;" of orders self-serve.","")&amp;IF(AA228," Execution on HOLD until the Duplicate status is resolved.","")&amp;IF(Y228," Key account: explicit AM/leadership sign-off required before any migration activity.","")&amp;IF(AE228," Implied broker % from order counts would move this account to a different segment; review before automating.","")</f>
        <v>Tail Self-Serve account (Self Serve); H2 Active / No H1 GMV momentum; Recently Active; £461 6m GMV. Low-value, low-dependency account. Scalable automated engagement.</v>
      </c>
      <c r="AP228" s="2" t="str">
        <f aca="false">INDEX('NBA Library'!$E$4:$E$21,MATCH(AJ228,'NBA Library'!$A$4:$A$21,0))&amp;IF(AND(AJ228="NEW_CUSTOMER",AG228),"; introduce Make-an-Offer on items already browsed","")</f>
        <v>Scalable automated engagement matched to nurture sub-context</v>
      </c>
      <c r="AQ228" s="2" t="str">
        <f aca="false">INDEX('NBA Library'!$F$4:$F$21,MATCH(AJ228,'NBA Library'!$A$4:$A$21,0))</f>
        <v>Any repeat order within 90 days</v>
      </c>
      <c r="AR228" s="2" t="str">
        <f aca="false">IF(AND(F228="Low",OR(G228="Growing",G228="Stable"),P228="Recently Active",U228&lt;&gt;"Mixed",OR(AK228="Discovery-to-Offer Enablement",AK228="Reinforce Successful Behaviour"),AM228="Ready — Automated",OR(E228&lt;&gt;"Tail",S228)),"Range Expansion Test — trial "&amp;IF(U228="Bundle-only","handpick","bundles")&amp;" (experimental; not proven to lift GMV)","")</f>
        <v/>
      </c>
      <c r="AS228" s="2" t="str">
        <f aca="false">IF(AK228&lt;&gt;"Automated Nurture","",IF(AJ228="DORMANT_LOW_VALUE","Dormant",IF(AJ228="RISING_TAIL_EARLY","Rising tail – early pattern",IF(Q228="New Customer","New customer onboarding",IF(Q228="Returned Customer","Returned customer",IF(G228="Lapsed","Dormant",IF(T228="Engaged, not converting","Engaged, not converting",IF(T228="One-off low-touch buyer","One-off purchaser",IF(T228="Light-touch repeat buyer","Light-touch repeat buyer","Standard long tail")))))))))</f>
        <v>New customer onboarding</v>
      </c>
      <c r="AT228" s="2" t="str">
        <f aca="false">IF(AA228,"CRITICAL_DATA_BLOCKER; ","")&amp;IF(Y228,"KEY_SIGNOFF; ","")&amp;IF(Z228="Manual Review","PHASE1_MANUAL_REVIEW; ","")&amp;IF(AND(LEFT(D228,1)="1",AZ228="Lumpy"),"LUMPY_CADENCE; ","")&amp;IF(AB228,"BORDERLINE_MOMENTUM; ","")&amp;IF(AC228,"FEB_SENSITIVE; ","")&amp;IF(AD228,"MATERIAL_BROKER_INCONSISTENCY"&amp;IF(AE228," (segment would change)","")&amp;"; ","")&amp;IF(AND(I228&gt;=3,O228&gt;0),IF(AI228&gt;=Assumptions!$B$75,"H2_SINGLE_MONTH_SPIKE; ",""),"")&amp;IF(AND(M228&gt;0,N228=0),"NO_FEB_GMV (Feb unconfirmed); ","")&amp;IF(AF228,"LOW_CONFIDENCE; ","")</f>
        <v>FEB_SENSITIVE; LOW_CONFIDENCE; </v>
      </c>
      <c r="AU228" s="2" t="str">
        <f aca="false">IF(LEFT(D228,1)="1",V228,"")</f>
        <v/>
      </c>
      <c r="AV228" s="2" t="str">
        <f aca="false">IF(LEFT(D228,1)="1",V228&gt;=Assumptions!$B$58,"")</f>
        <v/>
      </c>
      <c r="AW228" s="2" t="str">
        <f aca="false">IF(LEFT(D228,1)="1",W228,"")</f>
        <v/>
      </c>
      <c r="AX228" s="2" t="str">
        <f aca="false">IF(LEFT(D228,1)="1",X228,"")</f>
        <v/>
      </c>
      <c r="AY228" s="17" t="str">
        <f aca="false">IF(LEFT(D228,1)="1",J228/I228,"")</f>
        <v/>
      </c>
      <c r="AZ228" s="2" t="str">
        <f aca="false">IF(LEFT(D228,1)="1",IF(AND(K228&gt;=Assumptions!$B$83,I228&gt;=Assumptions!$B$84),"Regular","Lumpy"),"")</f>
        <v/>
      </c>
      <c r="BA228" s="2" t="str">
        <f aca="false">IF(LEFT(D228,1)="1",ROUND(6/K228,0),"")</f>
        <v/>
      </c>
      <c r="BB228" s="2" t="str">
        <f aca="false">IF(LEFT(D228,1)="1",IF(AZ228="Regular","Regular buyer: expected ~£"&amp;TEXT(H228/2,"#,##0")&amp;" per 90 days. At Risk if GMV to date &lt; "&amp;TEXT(Assumptions!$B$81,"0%")&amp;" of pro-rated expectation, checked from day "&amp;Assumptions!$B$82&amp;". Human-reviewed.","Irregular buyer ("&amp;I228&amp;" orders across "&amp;K228&amp;" months): no numeric GMV threshold. At Risk if no order within ~"&amp;BA228&amp;" month(s); AM reviews at day "&amp;Assumptions!$B$82&amp;" and "&amp;Assumptions!$B$85&amp;"."),"")</f>
        <v/>
      </c>
      <c r="BC228" s="2"/>
      <c r="BD228" s="2"/>
      <c r="BE228" s="2"/>
      <c r="BF228" s="2"/>
      <c r="BG228" s="2"/>
      <c r="BH228" s="2"/>
      <c r="BI228" s="2"/>
      <c r="BJ228" s="2" t="str">
        <f aca="false">IF(OR(NOT(LEFT(D228,1)="1"),BC228=""),"",IF(AZ228="Regular",AND(BC228&gt;=Assumptions!$B$82,N(BI228)&lt;Assumptions!$B$81*H228/180*BC228),AND(BC228&gt;=BA228*30,N(BG228)=0)))</f>
        <v/>
      </c>
      <c r="BK228" s="2" t="str">
        <f aca="false">IF(NOT(LEFT(D228,1)="1"),"N/A",IF(BC228="","Baseline",IF(BJ228,"At Risk",IF(AND(N(BD228)&gt;=Assumptions!$B$78,N(BE228)&gt;=Assumptions!$B$79,N(BH228)&gt;=1,N(BH228)/MAX(N(BG228),1)&gt;AY228),"Self-Serve Capability Demonstrated",IF(OR(N(BD228)&gt;=Assumptions!$B$76,N(BE228)&gt;=Assumptions!$B$77),"Progressing",IF(BC228&gt;=Assumptions!$B$85,"At Risk","Baseline"))))))</f>
        <v>N/A</v>
      </c>
      <c r="BL228" s="2" t="n">
        <f aca="false">(AND(C228="Broker-Reliant",OR(AK228="Discovery-to-Offer Enablement",AK228="Reinforce Successful Behaviour")))*1+(AND(G228="Declining",E228&lt;&gt;"Tail",AL228="Automated"))*1+(AND(Y228,AM228&lt;&gt;"Human Sign-Off Required"))*1+(AND(AA228,AM228&lt;&gt;"HOLD — Critical Data Issue"))*1+(AND(P228="Recent Inactivity",OR(AK228="Discovery-to-Offer Enablement",AK228="Reinforce Successful Behaviour")))*1+(AND(OR(LEFT(D228,1)="2",LEFT(D228,1)="3",LEFT(D228,1)="8"),AL228="Automated"))*1+((LEFT(D228,1)="1")&lt;&gt;(AK228="Guided Self-Serve Migration"))*1+(AND(AR228&lt;&gt;"",OR(F228&lt;&gt;"Low",U228="Mixed",AND(G228&lt;&gt;"Growing",G228&lt;&gt;"Stable"))))*1+ISNUMBER(SEARCH("chat",AP228))*1+ISNUMBER(SEARCH("video",AP228))*1+(AND(AA228,AL228="Automated",AM228&lt;&gt;"HOLD — Critical Data Issue"))*1</f>
        <v>0</v>
      </c>
    </row>
    <row r="229" customFormat="false" ht="15" hidden="false" customHeight="false" outlineLevel="0" collapsed="false">
      <c r="A229" s="2" t="s">
        <v>701</v>
      </c>
      <c r="B229" s="2" t="str">
        <f aca="false">INDEX(Segmentation!$B$2:$B$301,MATCH($A229,Segmentation!$A$2:$A$301,0))</f>
        <v>Self Serve</v>
      </c>
      <c r="C229" s="2" t="str">
        <f aca="false">INDEX(Segmentation!$H$2:$H$301,MATCH($A229,Segmentation!$A$2:$A$301,0))</f>
        <v>Self-Serve</v>
      </c>
      <c r="D229" s="2" t="str">
        <f aca="false">INDEX(Segmentation!$T$2:$T$301,MATCH($A229,Segmentation!$A$2:$A$301,0))</f>
        <v>9. Long-Tail Automated Nurture</v>
      </c>
      <c r="E229" s="2" t="str">
        <f aca="false">INDEX(Segmentation!$J$2:$J$301,MATCH($A229,Segmentation!$A$2:$A$301,0))</f>
        <v>Tail</v>
      </c>
      <c r="F229" s="2" t="str">
        <f aca="false">INDEX(Segmentation!$G$2:$G$301,MATCH($A229,Segmentation!$A$2:$A$301,0))</f>
        <v>Low</v>
      </c>
      <c r="G229" s="2" t="str">
        <f aca="false">INDEX(Segmentation!$N$2:$N$301,MATCH($A229,Segmentation!$A$2:$A$301,0))</f>
        <v>H2 Active / No H1 GMV</v>
      </c>
      <c r="H229" s="9" t="n">
        <f aca="false">INDEX(Segmentation!$I$2:$I$301,MATCH($A229,Segmentation!$A$2:$A$301,0))</f>
        <v>457</v>
      </c>
      <c r="I229" s="2" t="n">
        <f aca="false">INDEX(Segmentation!$O$2:$O$301,MATCH($A229,Segmentation!$A$2:$A$301,0))</f>
        <v>1</v>
      </c>
      <c r="J229" s="2" t="n">
        <f aca="false">INDEX(Segmentation!$Q$2:$Q$301,MATCH($A229,Segmentation!$A$2:$A$301,0))</f>
        <v>1</v>
      </c>
      <c r="K229" s="2" t="n">
        <f aca="false">INDEX(Segmentation!$W$2:$W$301,MATCH($A229,Segmentation!$A$2:$A$301,0))</f>
        <v>1</v>
      </c>
      <c r="L229" s="9" t="n">
        <f aca="false">INDEX('Commercial View'!$L$2:$L$301,MATCH($A229,'Commercial View'!$A$2:$A$301,0))</f>
        <v>0</v>
      </c>
      <c r="M229" s="9" t="n">
        <f aca="false">INDEX('Commercial View'!$M$2:$M$301,MATCH($A229,'Commercial View'!$A$2:$A$301,0))</f>
        <v>0</v>
      </c>
      <c r="N229" s="9" t="n">
        <f aca="false">INDEX('Commercial View'!$N$2:$N$301,MATCH($A229,'Commercial View'!$A$2:$A$301,0))</f>
        <v>457</v>
      </c>
      <c r="O229" s="9" t="n">
        <f aca="false">INDEX(Segmentation!$L$2:$L$301,MATCH($A229,Segmentation!$A$2:$A$301,0))</f>
        <v>457</v>
      </c>
      <c r="P229" s="2" t="str">
        <f aca="false">IF(OR(M229&gt;0,N229&gt;0),"Recently Active",IF(OR(I229&lt;=Assumptions!$B$48,K229&lt;=Assumptions!$B$49),"No Meaningful History","Recent Inactivity"))</f>
        <v>Recently Active</v>
      </c>
      <c r="Q229" s="2" t="str">
        <f aca="false">INDEX(Segmentation!$AF$2:$AF$301,MATCH($A229,Segmentation!$A$2:$A$301,0))</f>
        <v>New Customer</v>
      </c>
      <c r="R229" s="2" t="str">
        <f aca="false">INDEX(Segmentation!$AL$2:$AL$301,MATCH($A229,Segmentation!$A$2:$A$301,0))</f>
        <v>N/A</v>
      </c>
      <c r="S229" s="10" t="b">
        <f aca="false">INDEX(Segmentation!$AW$2:$AW$301,MATCH($A229,Segmentation!$A$2:$A$301,0))</f>
        <v>0</v>
      </c>
      <c r="T229" s="2" t="str">
        <f aca="false">INDEX('Feature Data'!$AD$2:$AD$301,MATCH($A229,'Feature Data'!$A$2:$A$301,0))</f>
        <v>One-off low-touch buyer</v>
      </c>
      <c r="U229" s="2" t="str">
        <f aca="false">INDEX('Feature Data'!$W$2:$W$301,MATCH($A229,'Feature Data'!$A$2:$A$301,0))</f>
        <v>Bundle-only</v>
      </c>
      <c r="V229" s="2" t="n">
        <f aca="false">INDEX('Feature Data'!$P$2:$P$301,MATCH($A229,'Feature Data'!$A$2:$A$301,0))</f>
        <v>9</v>
      </c>
      <c r="W229" s="2" t="n">
        <f aca="false">INDEX(Segmentation!$R$2:$R$301,MATCH($A229,Segmentation!$A$2:$A$301,0))</f>
        <v>5</v>
      </c>
      <c r="X229" s="2" t="n">
        <f aca="false">INDEX(Segmentation!$S$2:$S$301,MATCH($A229,Segmentation!$A$2:$A$301,0))</f>
        <v>3</v>
      </c>
      <c r="Y229" s="10" t="b">
        <f aca="false">INDEX(Segmentation!$AG$2:$AG$301,MATCH($A229,Segmentation!$A$2:$A$301,0))</f>
        <v>0</v>
      </c>
      <c r="Z229" s="2" t="str">
        <f aca="false">INDEX(Segmentation!$AU$2:$AU$301,MATCH($A229,Segmentation!$A$2:$A$301,0))</f>
        <v>Not Eligible</v>
      </c>
      <c r="AA229" s="10" t="b">
        <f aca="false">INDEX(Segmentation!$Z$2:$Z$301,MATCH($A229,Segmentation!$A$2:$A$301,0))</f>
        <v>0</v>
      </c>
      <c r="AB229" s="10" t="b">
        <f aca="false">INDEX(Segmentation!$AH$2:$AH$301,MATCH($A229,Segmentation!$A$2:$A$301,0))</f>
        <v>0</v>
      </c>
      <c r="AC229" s="10" t="b">
        <f aca="false">INDEX(Segmentation!$AK$2:$AK$301,MATCH($A229,Segmentation!$A$2:$A$301,0))</f>
        <v>1</v>
      </c>
      <c r="AD229" s="10" t="b">
        <f aca="false">INDEX(Segmentation!$AQ$2:$AQ$301,MATCH($A229,Segmentation!$A$2:$A$301,0))</f>
        <v>0</v>
      </c>
      <c r="AE229" s="10" t="b">
        <f aca="false">INDEX(Segmentation!$AT$2:$AT$301,MATCH($A229,Segmentation!$A$2:$A$301,0))</f>
        <v>0</v>
      </c>
      <c r="AF229" s="10" t="b">
        <f aca="false">INDEX(Segmentation!$X$2:$X$301,MATCH($A229,Segmentation!$A$2:$A$301,0))</f>
        <v>1</v>
      </c>
      <c r="AG229" s="10" t="b">
        <f aca="false">AND(F229="Low",V229&gt;=Assumptions!$B$71,X229&lt;Assumptions!$B$72)</f>
        <v>0</v>
      </c>
      <c r="AH229" s="10" t="b">
        <f aca="false">AND(F229="Low",OR(G229="Growing",G229="Stable"),P229="Recently Active",V229&gt;=Assumptions!$B$58,K229&gt;=Assumptions!$B$73)</f>
        <v>0</v>
      </c>
      <c r="AI229" s="17" t="n">
        <f aca="false">IF(O229&gt;0,MAX(L229:N229)/O229,"")</f>
        <v>1</v>
      </c>
      <c r="AJ229" s="2" t="str">
        <f aca="false">IF(LEFT(D229,1)="1",IF(E229="Key","MIGRATION_KEY_SIGNOFF",IF(Z229="Ready","MIGRATION_PHASE1_READY",IF(Z229="Manual Review","MIGRATION_PHASE1_REVIEW","MIGRATION_PRE_ENTRY"))),IF(LEFT(D229,1)="2","DECLINING_KEY_CORE",IF(LEFT(D229,1)="3",IF(R229="Established Buyer Lapsed","LAPSED_ESTABLISHED","LAPSED_THIN_HISTORY"),IF(LEFT(D229,1)="4",IF(Q229="New Customer","NEW_CUSTOMER","RETURNED_CUSTOMER"),IF(LEFT(D229,1)="5",IF(P229="Recently Active","COST_TO_SERVE_ACTIVE","DORMANT_LOW_VALUE"),IF(LEFT(D229,1)="6",IF(P229="Recent Inactivity","RECENT_INACTIVITY",IF(AG229,"BROWSING_LOW_OFFERS","HEALTHY_STRONG_SELF_SERVE")),IF(LEFT(D229,1)="7",IF(P229="Recent Inactivity","RECENT_INACTIVITY",IF(Q229="New Customer","NEW_CUSTOMER","RETURNED_CUSTOMER")),IF(LEFT(D229,1)="8",IF(G229="Declining",IF(T229="Engaged but shrinking (Key/Core)","ENGAGED_BUT_SHRINKING","DECLINING_KEY_CORE"),IF(R229="Established Buyer Lapsed","LAPSED_ESTABLISHED","LAPSED_THIN_HISTORY")),IF(S229,IF(P229&lt;&gt;"Recently Active","DORMANT_LOW_VALUE",IF(AG229,"BROWSING_LOW_OFFERS",IF(AH229,"RISING_TAIL","RISING_TAIL_EARLY"))),IF(AND(AG229,P229="Recently Active",OR(G229="Growing",G229="Stable",G229="H2 Active / No H1 GMV"),I229&gt;=Assumptions!$B$74),"BROWSING_LOW_OFFERS","LONG_TAIL_STANDARD"))))))))))</f>
        <v>LONG_TAIL_STANDARD</v>
      </c>
      <c r="AK229" s="2" t="str">
        <f aca="false">INDEX('NBA Library'!$B$4:$B$21,MATCH(AJ229,'NBA Library'!$A$4:$A$21,0))</f>
        <v>Automated Nurture</v>
      </c>
      <c r="AL229" s="2" t="str">
        <f aca="false">INDEX('NBA Library'!$C$4:$C$21,MATCH(AJ229,'NBA Library'!$A$4:$A$21,0))</f>
        <v>Automated</v>
      </c>
      <c r="AM229" s="2" t="str">
        <f aca="false">IF(AA229,"HOLD — Critical Data Issue",IF(Y229,"Human Sign-Off Required",IF(Z229="Manual Review","Human Review Required",IF(AND(AL229="Automated",OR(AE229,AND(OR(AK229="Discovery-to-Offer Enablement",AK229="Reinforce Successful Behaviour"),OR(AC229,AB229)))),"Human Review Required",IF(AL229="Human","Ready — Human",IF(AL229="Hybrid","Ready — Hybrid","Ready — Automated"))))))</f>
        <v>Ready — Automated</v>
      </c>
      <c r="AN229" s="2" t="str">
        <f aca="false">IF(AA229,"P0",IF(AND(AJ229="BROWSING_LOW_OFFERS",E229="Tail"),"P3",IF(AND(AM229="Human Review Required",INDEX('NBA Library'!$D$4:$D$21,MATCH(AJ229,'NBA Library'!$A$4:$A$21,0))="P4"),"P3",INDEX('NBA Library'!$D$4:$D$21,MATCH(AJ229,'NBA Library'!$A$4:$A$21,0)))))</f>
        <v>P4</v>
      </c>
      <c r="AO229" s="2" t="str">
        <f aca="false">E229&amp;" "&amp;C229&amp;" account ("&amp;B229&amp;"); "&amp;G229&amp;" momentum; "&amp;P229&amp;"; £"&amp;TEXT(H229,"#,##0")&amp;" 6m GMV. "&amp;INDEX('NBA Library'!$G$4:$G$21,MATCH(AJ229,'NBA Library'!$A$4:$A$21,0))&amp;IF(LEFT(D229,1)="1"," Baseline: "&amp;V229&amp;" PDP views, "&amp;W229&amp;" app days, "&amp;X229&amp;" offers, "&amp;TEXT(J229/I229,"0%")&amp;" of orders self-serve.","")&amp;IF(AA229," Execution on HOLD until the Duplicate status is resolved.","")&amp;IF(Y229," Key account: explicit AM/leadership sign-off required before any migration activity.","")&amp;IF(AE229," Implied broker % from order counts would move this account to a different segment; review before automating.","")</f>
        <v>Tail Self-Serve account (Self Serve); H2 Active / No H1 GMV momentum; Recently Active; £457 6m GMV. Low-value, low-dependency account. Scalable automated engagement.</v>
      </c>
      <c r="AP229" s="2" t="str">
        <f aca="false">INDEX('NBA Library'!$E$4:$E$21,MATCH(AJ229,'NBA Library'!$A$4:$A$21,0))&amp;IF(AND(AJ229="NEW_CUSTOMER",AG229),"; introduce Make-an-Offer on items already browsed","")</f>
        <v>Scalable automated engagement matched to nurture sub-context</v>
      </c>
      <c r="AQ229" s="2" t="str">
        <f aca="false">INDEX('NBA Library'!$F$4:$F$21,MATCH(AJ229,'NBA Library'!$A$4:$A$21,0))</f>
        <v>Any repeat order within 90 days</v>
      </c>
      <c r="AR229" s="2" t="str">
        <f aca="false">IF(AND(F229="Low",OR(G229="Growing",G229="Stable"),P229="Recently Active",U229&lt;&gt;"Mixed",OR(AK229="Discovery-to-Offer Enablement",AK229="Reinforce Successful Behaviour"),AM229="Ready — Automated",OR(E229&lt;&gt;"Tail",S229)),"Range Expansion Test — trial "&amp;IF(U229="Bundle-only","handpick","bundles")&amp;" (experimental; not proven to lift GMV)","")</f>
        <v/>
      </c>
      <c r="AS229" s="2" t="str">
        <f aca="false">IF(AK229&lt;&gt;"Automated Nurture","",IF(AJ229="DORMANT_LOW_VALUE","Dormant",IF(AJ229="RISING_TAIL_EARLY","Rising tail – early pattern",IF(Q229="New Customer","New customer onboarding",IF(Q229="Returned Customer","Returned customer",IF(G229="Lapsed","Dormant",IF(T229="Engaged, not converting","Engaged, not converting",IF(T229="One-off low-touch buyer","One-off purchaser",IF(T229="Light-touch repeat buyer","Light-touch repeat buyer","Standard long tail")))))))))</f>
        <v>New customer onboarding</v>
      </c>
      <c r="AT229" s="2" t="str">
        <f aca="false">IF(AA229,"CRITICAL_DATA_BLOCKER; ","")&amp;IF(Y229,"KEY_SIGNOFF; ","")&amp;IF(Z229="Manual Review","PHASE1_MANUAL_REVIEW; ","")&amp;IF(AND(LEFT(D229,1)="1",AZ229="Lumpy"),"LUMPY_CADENCE; ","")&amp;IF(AB229,"BORDERLINE_MOMENTUM; ","")&amp;IF(AC229,"FEB_SENSITIVE; ","")&amp;IF(AD229,"MATERIAL_BROKER_INCONSISTENCY"&amp;IF(AE229," (segment would change)","")&amp;"; ","")&amp;IF(AND(I229&gt;=3,O229&gt;0),IF(AI229&gt;=Assumptions!$B$75,"H2_SINGLE_MONTH_SPIKE; ",""),"")&amp;IF(AND(M229&gt;0,N229=0),"NO_FEB_GMV (Feb unconfirmed); ","")&amp;IF(AF229,"LOW_CONFIDENCE; ","")</f>
        <v>FEB_SENSITIVE; LOW_CONFIDENCE; </v>
      </c>
      <c r="AU229" s="2" t="str">
        <f aca="false">IF(LEFT(D229,1)="1",V229,"")</f>
        <v/>
      </c>
      <c r="AV229" s="2" t="str">
        <f aca="false">IF(LEFT(D229,1)="1",V229&gt;=Assumptions!$B$58,"")</f>
        <v/>
      </c>
      <c r="AW229" s="2" t="str">
        <f aca="false">IF(LEFT(D229,1)="1",W229,"")</f>
        <v/>
      </c>
      <c r="AX229" s="2" t="str">
        <f aca="false">IF(LEFT(D229,1)="1",X229,"")</f>
        <v/>
      </c>
      <c r="AY229" s="17" t="str">
        <f aca="false">IF(LEFT(D229,1)="1",J229/I229,"")</f>
        <v/>
      </c>
      <c r="AZ229" s="2" t="str">
        <f aca="false">IF(LEFT(D229,1)="1",IF(AND(K229&gt;=Assumptions!$B$83,I229&gt;=Assumptions!$B$84),"Regular","Lumpy"),"")</f>
        <v/>
      </c>
      <c r="BA229" s="2" t="str">
        <f aca="false">IF(LEFT(D229,1)="1",ROUND(6/K229,0),"")</f>
        <v/>
      </c>
      <c r="BB229" s="2" t="str">
        <f aca="false">IF(LEFT(D229,1)="1",IF(AZ229="Regular","Regular buyer: expected ~£"&amp;TEXT(H229/2,"#,##0")&amp;" per 90 days. At Risk if GMV to date &lt; "&amp;TEXT(Assumptions!$B$81,"0%")&amp;" of pro-rated expectation, checked from day "&amp;Assumptions!$B$82&amp;". Human-reviewed.","Irregular buyer ("&amp;I229&amp;" orders across "&amp;K229&amp;" months): no numeric GMV threshold. At Risk if no order within ~"&amp;BA229&amp;" month(s); AM reviews at day "&amp;Assumptions!$B$82&amp;" and "&amp;Assumptions!$B$85&amp;"."),"")</f>
        <v/>
      </c>
      <c r="BC229" s="2"/>
      <c r="BD229" s="2"/>
      <c r="BE229" s="2"/>
      <c r="BF229" s="2"/>
      <c r="BG229" s="2"/>
      <c r="BH229" s="2"/>
      <c r="BI229" s="2"/>
      <c r="BJ229" s="2" t="str">
        <f aca="false">IF(OR(NOT(LEFT(D229,1)="1"),BC229=""),"",IF(AZ229="Regular",AND(BC229&gt;=Assumptions!$B$82,N(BI229)&lt;Assumptions!$B$81*H229/180*BC229),AND(BC229&gt;=BA229*30,N(BG229)=0)))</f>
        <v/>
      </c>
      <c r="BK229" s="2" t="str">
        <f aca="false">IF(NOT(LEFT(D229,1)="1"),"N/A",IF(BC229="","Baseline",IF(BJ229,"At Risk",IF(AND(N(BD229)&gt;=Assumptions!$B$78,N(BE229)&gt;=Assumptions!$B$79,N(BH229)&gt;=1,N(BH229)/MAX(N(BG229),1)&gt;AY229),"Self-Serve Capability Demonstrated",IF(OR(N(BD229)&gt;=Assumptions!$B$76,N(BE229)&gt;=Assumptions!$B$77),"Progressing",IF(BC229&gt;=Assumptions!$B$85,"At Risk","Baseline"))))))</f>
        <v>N/A</v>
      </c>
      <c r="BL229" s="2" t="n">
        <f aca="false">(AND(C229="Broker-Reliant",OR(AK229="Discovery-to-Offer Enablement",AK229="Reinforce Successful Behaviour")))*1+(AND(G229="Declining",E229&lt;&gt;"Tail",AL229="Automated"))*1+(AND(Y229,AM229&lt;&gt;"Human Sign-Off Required"))*1+(AND(AA229,AM229&lt;&gt;"HOLD — Critical Data Issue"))*1+(AND(P229="Recent Inactivity",OR(AK229="Discovery-to-Offer Enablement",AK229="Reinforce Successful Behaviour")))*1+(AND(OR(LEFT(D229,1)="2",LEFT(D229,1)="3",LEFT(D229,1)="8"),AL229="Automated"))*1+((LEFT(D229,1)="1")&lt;&gt;(AK229="Guided Self-Serve Migration"))*1+(AND(AR229&lt;&gt;"",OR(F229&lt;&gt;"Low",U229="Mixed",AND(G229&lt;&gt;"Growing",G229&lt;&gt;"Stable"))))*1+ISNUMBER(SEARCH("chat",AP229))*1+ISNUMBER(SEARCH("video",AP229))*1+(AND(AA229,AL229="Automated",AM229&lt;&gt;"HOLD — Critical Data Issue"))*1</f>
        <v>0</v>
      </c>
    </row>
    <row r="230" customFormat="false" ht="15" hidden="false" customHeight="false" outlineLevel="0" collapsed="false">
      <c r="A230" s="2" t="s">
        <v>711</v>
      </c>
      <c r="B230" s="2" t="str">
        <f aca="false">INDEX(Segmentation!$B$2:$B$301,MATCH($A230,Segmentation!$A$2:$A$301,0))</f>
        <v>Self Serve</v>
      </c>
      <c r="C230" s="2" t="str">
        <f aca="false">INDEX(Segmentation!$H$2:$H$301,MATCH($A230,Segmentation!$A$2:$A$301,0))</f>
        <v>Self-Serve</v>
      </c>
      <c r="D230" s="2" t="str">
        <f aca="false">INDEX(Segmentation!$T$2:$T$301,MATCH($A230,Segmentation!$A$2:$A$301,0))</f>
        <v>9. Long-Tail Automated Nurture</v>
      </c>
      <c r="E230" s="2" t="str">
        <f aca="false">INDEX(Segmentation!$J$2:$J$301,MATCH($A230,Segmentation!$A$2:$A$301,0))</f>
        <v>Tail</v>
      </c>
      <c r="F230" s="2" t="str">
        <f aca="false">INDEX(Segmentation!$G$2:$G$301,MATCH($A230,Segmentation!$A$2:$A$301,0))</f>
        <v>Low</v>
      </c>
      <c r="G230" s="2" t="str">
        <f aca="false">INDEX(Segmentation!$N$2:$N$301,MATCH($A230,Segmentation!$A$2:$A$301,0))</f>
        <v>H2 Active / No H1 GMV</v>
      </c>
      <c r="H230" s="9" t="n">
        <f aca="false">INDEX(Segmentation!$I$2:$I$301,MATCH($A230,Segmentation!$A$2:$A$301,0))</f>
        <v>442</v>
      </c>
      <c r="I230" s="2" t="n">
        <f aca="false">INDEX(Segmentation!$O$2:$O$301,MATCH($A230,Segmentation!$A$2:$A$301,0))</f>
        <v>1</v>
      </c>
      <c r="J230" s="2" t="n">
        <f aca="false">INDEX(Segmentation!$Q$2:$Q$301,MATCH($A230,Segmentation!$A$2:$A$301,0))</f>
        <v>1</v>
      </c>
      <c r="K230" s="2" t="n">
        <f aca="false">INDEX(Segmentation!$W$2:$W$301,MATCH($A230,Segmentation!$A$2:$A$301,0))</f>
        <v>1</v>
      </c>
      <c r="L230" s="9" t="n">
        <f aca="false">INDEX('Commercial View'!$L$2:$L$301,MATCH($A230,'Commercial View'!$A$2:$A$301,0))</f>
        <v>0</v>
      </c>
      <c r="M230" s="9" t="n">
        <f aca="false">INDEX('Commercial View'!$M$2:$M$301,MATCH($A230,'Commercial View'!$A$2:$A$301,0))</f>
        <v>442</v>
      </c>
      <c r="N230" s="9" t="n">
        <f aca="false">INDEX('Commercial View'!$N$2:$N$301,MATCH($A230,'Commercial View'!$A$2:$A$301,0))</f>
        <v>0</v>
      </c>
      <c r="O230" s="9" t="n">
        <f aca="false">INDEX(Segmentation!$L$2:$L$301,MATCH($A230,Segmentation!$A$2:$A$301,0))</f>
        <v>442</v>
      </c>
      <c r="P230" s="2" t="str">
        <f aca="false">IF(OR(M230&gt;0,N230&gt;0),"Recently Active",IF(OR(I230&lt;=Assumptions!$B$48,K230&lt;=Assumptions!$B$49),"No Meaningful History","Recent Inactivity"))</f>
        <v>Recently Active</v>
      </c>
      <c r="Q230" s="2" t="str">
        <f aca="false">INDEX(Segmentation!$AF$2:$AF$301,MATCH($A230,Segmentation!$A$2:$A$301,0))</f>
        <v>New Customer</v>
      </c>
      <c r="R230" s="2" t="str">
        <f aca="false">INDEX(Segmentation!$AL$2:$AL$301,MATCH($A230,Segmentation!$A$2:$A$301,0))</f>
        <v>N/A</v>
      </c>
      <c r="S230" s="10" t="b">
        <f aca="false">INDEX(Segmentation!$AW$2:$AW$301,MATCH($A230,Segmentation!$A$2:$A$301,0))</f>
        <v>0</v>
      </c>
      <c r="T230" s="2" t="str">
        <f aca="false">INDEX('Feature Data'!$AD$2:$AD$301,MATCH($A230,'Feature Data'!$A$2:$A$301,0))</f>
        <v>One-off low-touch buyer</v>
      </c>
      <c r="U230" s="2" t="str">
        <f aca="false">INDEX('Feature Data'!$W$2:$W$301,MATCH($A230,'Feature Data'!$A$2:$A$301,0))</f>
        <v>Bundle-only</v>
      </c>
      <c r="V230" s="2" t="n">
        <f aca="false">INDEX('Feature Data'!$P$2:$P$301,MATCH($A230,'Feature Data'!$A$2:$A$301,0))</f>
        <v>39</v>
      </c>
      <c r="W230" s="2" t="n">
        <f aca="false">INDEX(Segmentation!$R$2:$R$301,MATCH($A230,Segmentation!$A$2:$A$301,0))</f>
        <v>3</v>
      </c>
      <c r="X230" s="2" t="n">
        <f aca="false">INDEX(Segmentation!$S$2:$S$301,MATCH($A230,Segmentation!$A$2:$A$301,0))</f>
        <v>0</v>
      </c>
      <c r="Y230" s="10" t="b">
        <f aca="false">INDEX(Segmentation!$AG$2:$AG$301,MATCH($A230,Segmentation!$A$2:$A$301,0))</f>
        <v>0</v>
      </c>
      <c r="Z230" s="2" t="str">
        <f aca="false">INDEX(Segmentation!$AU$2:$AU$301,MATCH($A230,Segmentation!$A$2:$A$301,0))</f>
        <v>Not Eligible</v>
      </c>
      <c r="AA230" s="10" t="b">
        <f aca="false">INDEX(Segmentation!$Z$2:$Z$301,MATCH($A230,Segmentation!$A$2:$A$301,0))</f>
        <v>0</v>
      </c>
      <c r="AB230" s="10" t="b">
        <f aca="false">INDEX(Segmentation!$AH$2:$AH$301,MATCH($A230,Segmentation!$A$2:$A$301,0))</f>
        <v>0</v>
      </c>
      <c r="AC230" s="10" t="b">
        <f aca="false">INDEX(Segmentation!$AK$2:$AK$301,MATCH($A230,Segmentation!$A$2:$A$301,0))</f>
        <v>0</v>
      </c>
      <c r="AD230" s="10" t="b">
        <f aca="false">INDEX(Segmentation!$AQ$2:$AQ$301,MATCH($A230,Segmentation!$A$2:$A$301,0))</f>
        <v>0</v>
      </c>
      <c r="AE230" s="10" t="b">
        <f aca="false">INDEX(Segmentation!$AT$2:$AT$301,MATCH($A230,Segmentation!$A$2:$A$301,0))</f>
        <v>0</v>
      </c>
      <c r="AF230" s="10" t="b">
        <f aca="false">INDEX(Segmentation!$X$2:$X$301,MATCH($A230,Segmentation!$A$2:$A$301,0))</f>
        <v>1</v>
      </c>
      <c r="AG230" s="10" t="b">
        <f aca="false">AND(F230="Low",V230&gt;=Assumptions!$B$71,X230&lt;Assumptions!$B$72)</f>
        <v>0</v>
      </c>
      <c r="AH230" s="10" t="b">
        <f aca="false">AND(F230="Low",OR(G230="Growing",G230="Stable"),P230="Recently Active",V230&gt;=Assumptions!$B$58,K230&gt;=Assumptions!$B$73)</f>
        <v>0</v>
      </c>
      <c r="AI230" s="17" t="n">
        <f aca="false">IF(O230&gt;0,MAX(L230:N230)/O230,"")</f>
        <v>1</v>
      </c>
      <c r="AJ230" s="2" t="str">
        <f aca="false">IF(LEFT(D230,1)="1",IF(E230="Key","MIGRATION_KEY_SIGNOFF",IF(Z230="Ready","MIGRATION_PHASE1_READY",IF(Z230="Manual Review","MIGRATION_PHASE1_REVIEW","MIGRATION_PRE_ENTRY"))),IF(LEFT(D230,1)="2","DECLINING_KEY_CORE",IF(LEFT(D230,1)="3",IF(R230="Established Buyer Lapsed","LAPSED_ESTABLISHED","LAPSED_THIN_HISTORY"),IF(LEFT(D230,1)="4",IF(Q230="New Customer","NEW_CUSTOMER","RETURNED_CUSTOMER"),IF(LEFT(D230,1)="5",IF(P230="Recently Active","COST_TO_SERVE_ACTIVE","DORMANT_LOW_VALUE"),IF(LEFT(D230,1)="6",IF(P230="Recent Inactivity","RECENT_INACTIVITY",IF(AG230,"BROWSING_LOW_OFFERS","HEALTHY_STRONG_SELF_SERVE")),IF(LEFT(D230,1)="7",IF(P230="Recent Inactivity","RECENT_INACTIVITY",IF(Q230="New Customer","NEW_CUSTOMER","RETURNED_CUSTOMER")),IF(LEFT(D230,1)="8",IF(G230="Declining",IF(T230="Engaged but shrinking (Key/Core)","ENGAGED_BUT_SHRINKING","DECLINING_KEY_CORE"),IF(R230="Established Buyer Lapsed","LAPSED_ESTABLISHED","LAPSED_THIN_HISTORY")),IF(S230,IF(P230&lt;&gt;"Recently Active","DORMANT_LOW_VALUE",IF(AG230,"BROWSING_LOW_OFFERS",IF(AH230,"RISING_TAIL","RISING_TAIL_EARLY"))),IF(AND(AG230,P230="Recently Active",OR(G230="Growing",G230="Stable",G230="H2 Active / No H1 GMV"),I230&gt;=Assumptions!$B$74),"BROWSING_LOW_OFFERS","LONG_TAIL_STANDARD"))))))))))</f>
        <v>LONG_TAIL_STANDARD</v>
      </c>
      <c r="AK230" s="2" t="str">
        <f aca="false">INDEX('NBA Library'!$B$4:$B$21,MATCH(AJ230,'NBA Library'!$A$4:$A$21,0))</f>
        <v>Automated Nurture</v>
      </c>
      <c r="AL230" s="2" t="str">
        <f aca="false">INDEX('NBA Library'!$C$4:$C$21,MATCH(AJ230,'NBA Library'!$A$4:$A$21,0))</f>
        <v>Automated</v>
      </c>
      <c r="AM230" s="2" t="str">
        <f aca="false">IF(AA230,"HOLD — Critical Data Issue",IF(Y230,"Human Sign-Off Required",IF(Z230="Manual Review","Human Review Required",IF(AND(AL230="Automated",OR(AE230,AND(OR(AK230="Discovery-to-Offer Enablement",AK230="Reinforce Successful Behaviour"),OR(AC230,AB230)))),"Human Review Required",IF(AL230="Human","Ready — Human",IF(AL230="Hybrid","Ready — Hybrid","Ready — Automated"))))))</f>
        <v>Ready — Automated</v>
      </c>
      <c r="AN230" s="2" t="str">
        <f aca="false">IF(AA230,"P0",IF(AND(AJ230="BROWSING_LOW_OFFERS",E230="Tail"),"P3",IF(AND(AM230="Human Review Required",INDEX('NBA Library'!$D$4:$D$21,MATCH(AJ230,'NBA Library'!$A$4:$A$21,0))="P4"),"P3",INDEX('NBA Library'!$D$4:$D$21,MATCH(AJ230,'NBA Library'!$A$4:$A$21,0)))))</f>
        <v>P4</v>
      </c>
      <c r="AO230" s="2" t="str">
        <f aca="false">E230&amp;" "&amp;C230&amp;" account ("&amp;B230&amp;"); "&amp;G230&amp;" momentum; "&amp;P230&amp;"; £"&amp;TEXT(H230,"#,##0")&amp;" 6m GMV. "&amp;INDEX('NBA Library'!$G$4:$G$21,MATCH(AJ230,'NBA Library'!$A$4:$A$21,0))&amp;IF(LEFT(D230,1)="1"," Baseline: "&amp;V230&amp;" PDP views, "&amp;W230&amp;" app days, "&amp;X230&amp;" offers, "&amp;TEXT(J230/I230,"0%")&amp;" of orders self-serve.","")&amp;IF(AA230," Execution on HOLD until the Duplicate status is resolved.","")&amp;IF(Y230," Key account: explicit AM/leadership sign-off required before any migration activity.","")&amp;IF(AE230," Implied broker % from order counts would move this account to a different segment; review before automating.","")</f>
        <v>Tail Self-Serve account (Self Serve); H2 Active / No H1 GMV momentum; Recently Active; £442 6m GMV. Low-value, low-dependency account. Scalable automated engagement.</v>
      </c>
      <c r="AP230" s="2" t="str">
        <f aca="false">INDEX('NBA Library'!$E$4:$E$21,MATCH(AJ230,'NBA Library'!$A$4:$A$21,0))&amp;IF(AND(AJ230="NEW_CUSTOMER",AG230),"; introduce Make-an-Offer on items already browsed","")</f>
        <v>Scalable automated engagement matched to nurture sub-context</v>
      </c>
      <c r="AQ230" s="2" t="str">
        <f aca="false">INDEX('NBA Library'!$F$4:$F$21,MATCH(AJ230,'NBA Library'!$A$4:$A$21,0))</f>
        <v>Any repeat order within 90 days</v>
      </c>
      <c r="AR230" s="2" t="str">
        <f aca="false">IF(AND(F230="Low",OR(G230="Growing",G230="Stable"),P230="Recently Active",U230&lt;&gt;"Mixed",OR(AK230="Discovery-to-Offer Enablement",AK230="Reinforce Successful Behaviour"),AM230="Ready — Automated",OR(E230&lt;&gt;"Tail",S230)),"Range Expansion Test — trial "&amp;IF(U230="Bundle-only","handpick","bundles")&amp;" (experimental; not proven to lift GMV)","")</f>
        <v/>
      </c>
      <c r="AS230" s="2" t="str">
        <f aca="false">IF(AK230&lt;&gt;"Automated Nurture","",IF(AJ230="DORMANT_LOW_VALUE","Dormant",IF(AJ230="RISING_TAIL_EARLY","Rising tail – early pattern",IF(Q230="New Customer","New customer onboarding",IF(Q230="Returned Customer","Returned customer",IF(G230="Lapsed","Dormant",IF(T230="Engaged, not converting","Engaged, not converting",IF(T230="One-off low-touch buyer","One-off purchaser",IF(T230="Light-touch repeat buyer","Light-touch repeat buyer","Standard long tail")))))))))</f>
        <v>New customer onboarding</v>
      </c>
      <c r="AT230" s="2" t="str">
        <f aca="false">IF(AA230,"CRITICAL_DATA_BLOCKER; ","")&amp;IF(Y230,"KEY_SIGNOFF; ","")&amp;IF(Z230="Manual Review","PHASE1_MANUAL_REVIEW; ","")&amp;IF(AND(LEFT(D230,1)="1",AZ230="Lumpy"),"LUMPY_CADENCE; ","")&amp;IF(AB230,"BORDERLINE_MOMENTUM; ","")&amp;IF(AC230,"FEB_SENSITIVE; ","")&amp;IF(AD230,"MATERIAL_BROKER_INCONSISTENCY"&amp;IF(AE230," (segment would change)","")&amp;"; ","")&amp;IF(AND(I230&gt;=3,O230&gt;0),IF(AI230&gt;=Assumptions!$B$75,"H2_SINGLE_MONTH_SPIKE; ",""),"")&amp;IF(AND(M230&gt;0,N230=0),"NO_FEB_GMV (Feb unconfirmed); ","")&amp;IF(AF230,"LOW_CONFIDENCE; ","")</f>
        <v>NO_FEB_GMV (Feb unconfirmed); LOW_CONFIDENCE; </v>
      </c>
      <c r="AU230" s="2" t="str">
        <f aca="false">IF(LEFT(D230,1)="1",V230,"")</f>
        <v/>
      </c>
      <c r="AV230" s="2" t="str">
        <f aca="false">IF(LEFT(D230,1)="1",V230&gt;=Assumptions!$B$58,"")</f>
        <v/>
      </c>
      <c r="AW230" s="2" t="str">
        <f aca="false">IF(LEFT(D230,1)="1",W230,"")</f>
        <v/>
      </c>
      <c r="AX230" s="2" t="str">
        <f aca="false">IF(LEFT(D230,1)="1",X230,"")</f>
        <v/>
      </c>
      <c r="AY230" s="17" t="str">
        <f aca="false">IF(LEFT(D230,1)="1",J230/I230,"")</f>
        <v/>
      </c>
      <c r="AZ230" s="2" t="str">
        <f aca="false">IF(LEFT(D230,1)="1",IF(AND(K230&gt;=Assumptions!$B$83,I230&gt;=Assumptions!$B$84),"Regular","Lumpy"),"")</f>
        <v/>
      </c>
      <c r="BA230" s="2" t="str">
        <f aca="false">IF(LEFT(D230,1)="1",ROUND(6/K230,0),"")</f>
        <v/>
      </c>
      <c r="BB230" s="2" t="str">
        <f aca="false">IF(LEFT(D230,1)="1",IF(AZ230="Regular","Regular buyer: expected ~£"&amp;TEXT(H230/2,"#,##0")&amp;" per 90 days. At Risk if GMV to date &lt; "&amp;TEXT(Assumptions!$B$81,"0%")&amp;" of pro-rated expectation, checked from day "&amp;Assumptions!$B$82&amp;". Human-reviewed.","Irregular buyer ("&amp;I230&amp;" orders across "&amp;K230&amp;" months): no numeric GMV threshold. At Risk if no order within ~"&amp;BA230&amp;" month(s); AM reviews at day "&amp;Assumptions!$B$82&amp;" and "&amp;Assumptions!$B$85&amp;"."),"")</f>
        <v/>
      </c>
      <c r="BC230" s="2"/>
      <c r="BD230" s="2"/>
      <c r="BE230" s="2"/>
      <c r="BF230" s="2"/>
      <c r="BG230" s="2"/>
      <c r="BH230" s="2"/>
      <c r="BI230" s="2"/>
      <c r="BJ230" s="2" t="str">
        <f aca="false">IF(OR(NOT(LEFT(D230,1)="1"),BC230=""),"",IF(AZ230="Regular",AND(BC230&gt;=Assumptions!$B$82,N(BI230)&lt;Assumptions!$B$81*H230/180*BC230),AND(BC230&gt;=BA230*30,N(BG230)=0)))</f>
        <v/>
      </c>
      <c r="BK230" s="2" t="str">
        <f aca="false">IF(NOT(LEFT(D230,1)="1"),"N/A",IF(BC230="","Baseline",IF(BJ230,"At Risk",IF(AND(N(BD230)&gt;=Assumptions!$B$78,N(BE230)&gt;=Assumptions!$B$79,N(BH230)&gt;=1,N(BH230)/MAX(N(BG230),1)&gt;AY230),"Self-Serve Capability Demonstrated",IF(OR(N(BD230)&gt;=Assumptions!$B$76,N(BE230)&gt;=Assumptions!$B$77),"Progressing",IF(BC230&gt;=Assumptions!$B$85,"At Risk","Baseline"))))))</f>
        <v>N/A</v>
      </c>
      <c r="BL230" s="2" t="n">
        <f aca="false">(AND(C230="Broker-Reliant",OR(AK230="Discovery-to-Offer Enablement",AK230="Reinforce Successful Behaviour")))*1+(AND(G230="Declining",E230&lt;&gt;"Tail",AL230="Automated"))*1+(AND(Y230,AM230&lt;&gt;"Human Sign-Off Required"))*1+(AND(AA230,AM230&lt;&gt;"HOLD — Critical Data Issue"))*1+(AND(P230="Recent Inactivity",OR(AK230="Discovery-to-Offer Enablement",AK230="Reinforce Successful Behaviour")))*1+(AND(OR(LEFT(D230,1)="2",LEFT(D230,1)="3",LEFT(D230,1)="8"),AL230="Automated"))*1+((LEFT(D230,1)="1")&lt;&gt;(AK230="Guided Self-Serve Migration"))*1+(AND(AR230&lt;&gt;"",OR(F230&lt;&gt;"Low",U230="Mixed",AND(G230&lt;&gt;"Growing",G230&lt;&gt;"Stable"))))*1+ISNUMBER(SEARCH("chat",AP230))*1+ISNUMBER(SEARCH("video",AP230))*1+(AND(AA230,AL230="Automated",AM230&lt;&gt;"HOLD — Critical Data Issue"))*1</f>
        <v>0</v>
      </c>
    </row>
    <row r="231" customFormat="false" ht="15" hidden="false" customHeight="false" outlineLevel="0" collapsed="false">
      <c r="A231" s="2" t="s">
        <v>713</v>
      </c>
      <c r="B231" s="2" t="str">
        <f aca="false">INDEX(Segmentation!$B$2:$B$301,MATCH($A231,Segmentation!$A$2:$A$301,0))</f>
        <v>Self Serve</v>
      </c>
      <c r="C231" s="2" t="str">
        <f aca="false">INDEX(Segmentation!$H$2:$H$301,MATCH($A231,Segmentation!$A$2:$A$301,0))</f>
        <v>Self-Serve</v>
      </c>
      <c r="D231" s="2" t="str">
        <f aca="false">INDEX(Segmentation!$T$2:$T$301,MATCH($A231,Segmentation!$A$2:$A$301,0))</f>
        <v>9. Long-Tail Automated Nurture</v>
      </c>
      <c r="E231" s="2" t="str">
        <f aca="false">INDEX(Segmentation!$J$2:$J$301,MATCH($A231,Segmentation!$A$2:$A$301,0))</f>
        <v>Tail</v>
      </c>
      <c r="F231" s="2" t="str">
        <f aca="false">INDEX(Segmentation!$G$2:$G$301,MATCH($A231,Segmentation!$A$2:$A$301,0))</f>
        <v>Low</v>
      </c>
      <c r="G231" s="2" t="str">
        <f aca="false">INDEX(Segmentation!$N$2:$N$301,MATCH($A231,Segmentation!$A$2:$A$301,0))</f>
        <v>Growing</v>
      </c>
      <c r="H231" s="9" t="n">
        <f aca="false">INDEX(Segmentation!$I$2:$I$301,MATCH($A231,Segmentation!$A$2:$A$301,0))</f>
        <v>422</v>
      </c>
      <c r="I231" s="2" t="n">
        <f aca="false">INDEX(Segmentation!$O$2:$O$301,MATCH($A231,Segmentation!$A$2:$A$301,0))</f>
        <v>3</v>
      </c>
      <c r="J231" s="2" t="n">
        <f aca="false">INDEX(Segmentation!$Q$2:$Q$301,MATCH($A231,Segmentation!$A$2:$A$301,0))</f>
        <v>3</v>
      </c>
      <c r="K231" s="2" t="n">
        <f aca="false">INDEX(Segmentation!$W$2:$W$301,MATCH($A231,Segmentation!$A$2:$A$301,0))</f>
        <v>3</v>
      </c>
      <c r="L231" s="9" t="n">
        <f aca="false">INDEX('Commercial View'!$L$2:$L$301,MATCH($A231,'Commercial View'!$A$2:$A$301,0))</f>
        <v>0</v>
      </c>
      <c r="M231" s="9" t="n">
        <f aca="false">INDEX('Commercial View'!$M$2:$M$301,MATCH($A231,'Commercial View'!$A$2:$A$301,0))</f>
        <v>233</v>
      </c>
      <c r="N231" s="9" t="n">
        <f aca="false">INDEX('Commercial View'!$N$2:$N$301,MATCH($A231,'Commercial View'!$A$2:$A$301,0))</f>
        <v>0</v>
      </c>
      <c r="O231" s="9" t="n">
        <f aca="false">INDEX(Segmentation!$L$2:$L$301,MATCH($A231,Segmentation!$A$2:$A$301,0))</f>
        <v>233</v>
      </c>
      <c r="P231" s="2" t="str">
        <f aca="false">IF(OR(M231&gt;0,N231&gt;0),"Recently Active",IF(OR(I231&lt;=Assumptions!$B$48,K231&lt;=Assumptions!$B$49),"No Meaningful History","Recent Inactivity"))</f>
        <v>Recently Active</v>
      </c>
      <c r="Q231" s="2" t="str">
        <f aca="false">INDEX(Segmentation!$AF$2:$AF$301,MATCH($A231,Segmentation!$A$2:$A$301,0))</f>
        <v>Existing Customer</v>
      </c>
      <c r="R231" s="2" t="str">
        <f aca="false">INDEX(Segmentation!$AL$2:$AL$301,MATCH($A231,Segmentation!$A$2:$A$301,0))</f>
        <v>N/A</v>
      </c>
      <c r="S231" s="10" t="b">
        <f aca="false">INDEX(Segmentation!$AW$2:$AW$301,MATCH($A231,Segmentation!$A$2:$A$301,0))</f>
        <v>0</v>
      </c>
      <c r="T231" s="2" t="str">
        <f aca="false">INDEX('Feature Data'!$AD$2:$AD$301,MATCH($A231,'Feature Data'!$A$2:$A$301,0))</f>
        <v>Light-touch repeat buyer</v>
      </c>
      <c r="U231" s="2" t="str">
        <f aca="false">INDEX('Feature Data'!$W$2:$W$301,MATCH($A231,'Feature Data'!$A$2:$A$301,0))</f>
        <v>Bundle-only</v>
      </c>
      <c r="V231" s="2" t="n">
        <f aca="false">INDEX('Feature Data'!$P$2:$P$301,MATCH($A231,'Feature Data'!$A$2:$A$301,0))</f>
        <v>0</v>
      </c>
      <c r="W231" s="2" t="n">
        <f aca="false">INDEX(Segmentation!$R$2:$R$301,MATCH($A231,Segmentation!$A$2:$A$301,0))</f>
        <v>0</v>
      </c>
      <c r="X231" s="2" t="n">
        <f aca="false">INDEX(Segmentation!$S$2:$S$301,MATCH($A231,Segmentation!$A$2:$A$301,0))</f>
        <v>0</v>
      </c>
      <c r="Y231" s="10" t="b">
        <f aca="false">INDEX(Segmentation!$AG$2:$AG$301,MATCH($A231,Segmentation!$A$2:$A$301,0))</f>
        <v>0</v>
      </c>
      <c r="Z231" s="2" t="str">
        <f aca="false">INDEX(Segmentation!$AU$2:$AU$301,MATCH($A231,Segmentation!$A$2:$A$301,0))</f>
        <v>Not Eligible</v>
      </c>
      <c r="AA231" s="10" t="b">
        <f aca="false">INDEX(Segmentation!$Z$2:$Z$301,MATCH($A231,Segmentation!$A$2:$A$301,0))</f>
        <v>0</v>
      </c>
      <c r="AB231" s="10" t="b">
        <f aca="false">INDEX(Segmentation!$AH$2:$AH$301,MATCH($A231,Segmentation!$A$2:$A$301,0))</f>
        <v>1</v>
      </c>
      <c r="AC231" s="10" t="b">
        <f aca="false">INDEX(Segmentation!$AK$2:$AK$301,MATCH($A231,Segmentation!$A$2:$A$301,0))</f>
        <v>0</v>
      </c>
      <c r="AD231" s="10" t="b">
        <f aca="false">INDEX(Segmentation!$AQ$2:$AQ$301,MATCH($A231,Segmentation!$A$2:$A$301,0))</f>
        <v>0</v>
      </c>
      <c r="AE231" s="10" t="b">
        <f aca="false">INDEX(Segmentation!$AT$2:$AT$301,MATCH($A231,Segmentation!$A$2:$A$301,0))</f>
        <v>0</v>
      </c>
      <c r="AF231" s="10" t="b">
        <f aca="false">INDEX(Segmentation!$X$2:$X$301,MATCH($A231,Segmentation!$A$2:$A$301,0))</f>
        <v>0</v>
      </c>
      <c r="AG231" s="10" t="b">
        <f aca="false">AND(F231="Low",V231&gt;=Assumptions!$B$71,X231&lt;Assumptions!$B$72)</f>
        <v>0</v>
      </c>
      <c r="AH231" s="10" t="b">
        <f aca="false">AND(F231="Low",OR(G231="Growing",G231="Stable"),P231="Recently Active",V231&gt;=Assumptions!$B$58,K231&gt;=Assumptions!$B$73)</f>
        <v>0</v>
      </c>
      <c r="AI231" s="17" t="n">
        <f aca="false">IF(O231&gt;0,MAX(L231:N231)/O231,"")</f>
        <v>1</v>
      </c>
      <c r="AJ231" s="2" t="str">
        <f aca="false">IF(LEFT(D231,1)="1",IF(E231="Key","MIGRATION_KEY_SIGNOFF",IF(Z231="Ready","MIGRATION_PHASE1_READY",IF(Z231="Manual Review","MIGRATION_PHASE1_REVIEW","MIGRATION_PRE_ENTRY"))),IF(LEFT(D231,1)="2","DECLINING_KEY_CORE",IF(LEFT(D231,1)="3",IF(R231="Established Buyer Lapsed","LAPSED_ESTABLISHED","LAPSED_THIN_HISTORY"),IF(LEFT(D231,1)="4",IF(Q231="New Customer","NEW_CUSTOMER","RETURNED_CUSTOMER"),IF(LEFT(D231,1)="5",IF(P231="Recently Active","COST_TO_SERVE_ACTIVE","DORMANT_LOW_VALUE"),IF(LEFT(D231,1)="6",IF(P231="Recent Inactivity","RECENT_INACTIVITY",IF(AG231,"BROWSING_LOW_OFFERS","HEALTHY_STRONG_SELF_SERVE")),IF(LEFT(D231,1)="7",IF(P231="Recent Inactivity","RECENT_INACTIVITY",IF(Q231="New Customer","NEW_CUSTOMER","RETURNED_CUSTOMER")),IF(LEFT(D231,1)="8",IF(G231="Declining",IF(T231="Engaged but shrinking (Key/Core)","ENGAGED_BUT_SHRINKING","DECLINING_KEY_CORE"),IF(R231="Established Buyer Lapsed","LAPSED_ESTABLISHED","LAPSED_THIN_HISTORY")),IF(S231,IF(P231&lt;&gt;"Recently Active","DORMANT_LOW_VALUE",IF(AG231,"BROWSING_LOW_OFFERS",IF(AH231,"RISING_TAIL","RISING_TAIL_EARLY"))),IF(AND(AG231,P231="Recently Active",OR(G231="Growing",G231="Stable",G231="H2 Active / No H1 GMV"),I231&gt;=Assumptions!$B$74),"BROWSING_LOW_OFFERS","LONG_TAIL_STANDARD"))))))))))</f>
        <v>LONG_TAIL_STANDARD</v>
      </c>
      <c r="AK231" s="2" t="str">
        <f aca="false">INDEX('NBA Library'!$B$4:$B$21,MATCH(AJ231,'NBA Library'!$A$4:$A$21,0))</f>
        <v>Automated Nurture</v>
      </c>
      <c r="AL231" s="2" t="str">
        <f aca="false">INDEX('NBA Library'!$C$4:$C$21,MATCH(AJ231,'NBA Library'!$A$4:$A$21,0))</f>
        <v>Automated</v>
      </c>
      <c r="AM231" s="2" t="str">
        <f aca="false">IF(AA231,"HOLD — Critical Data Issue",IF(Y231,"Human Sign-Off Required",IF(Z231="Manual Review","Human Review Required",IF(AND(AL231="Automated",OR(AE231,AND(OR(AK231="Discovery-to-Offer Enablement",AK231="Reinforce Successful Behaviour"),OR(AC231,AB231)))),"Human Review Required",IF(AL231="Human","Ready — Human",IF(AL231="Hybrid","Ready — Hybrid","Ready — Automated"))))))</f>
        <v>Ready — Automated</v>
      </c>
      <c r="AN231" s="2" t="str">
        <f aca="false">IF(AA231,"P0",IF(AND(AJ231="BROWSING_LOW_OFFERS",E231="Tail"),"P3",IF(AND(AM231="Human Review Required",INDEX('NBA Library'!$D$4:$D$21,MATCH(AJ231,'NBA Library'!$A$4:$A$21,0))="P4"),"P3",INDEX('NBA Library'!$D$4:$D$21,MATCH(AJ231,'NBA Library'!$A$4:$A$21,0)))))</f>
        <v>P4</v>
      </c>
      <c r="AO231" s="2" t="str">
        <f aca="false">E231&amp;" "&amp;C231&amp;" account ("&amp;B231&amp;"); "&amp;G231&amp;" momentum; "&amp;P231&amp;"; £"&amp;TEXT(H231,"#,##0")&amp;" 6m GMV. "&amp;INDEX('NBA Library'!$G$4:$G$21,MATCH(AJ231,'NBA Library'!$A$4:$A$21,0))&amp;IF(LEFT(D231,1)="1"," Baseline: "&amp;V231&amp;" PDP views, "&amp;W231&amp;" app days, "&amp;X231&amp;" offers, "&amp;TEXT(J231/I231,"0%")&amp;" of orders self-serve.","")&amp;IF(AA231," Execution on HOLD until the Duplicate status is resolved.","")&amp;IF(Y231," Key account: explicit AM/leadership sign-off required before any migration activity.","")&amp;IF(AE231," Implied broker % from order counts would move this account to a different segment; review before automating.","")</f>
        <v>Tail Self-Serve account (Self Serve); Growing momentum; Recently Active; £422 6m GMV. Low-value, low-dependency account. Scalable automated engagement.</v>
      </c>
      <c r="AP231" s="2" t="str">
        <f aca="false">INDEX('NBA Library'!$E$4:$E$21,MATCH(AJ231,'NBA Library'!$A$4:$A$21,0))&amp;IF(AND(AJ231="NEW_CUSTOMER",AG231),"; introduce Make-an-Offer on items already browsed","")</f>
        <v>Scalable automated engagement matched to nurture sub-context</v>
      </c>
      <c r="AQ231" s="2" t="str">
        <f aca="false">INDEX('NBA Library'!$F$4:$F$21,MATCH(AJ231,'NBA Library'!$A$4:$A$21,0))</f>
        <v>Any repeat order within 90 days</v>
      </c>
      <c r="AR231" s="2" t="str">
        <f aca="false">IF(AND(F231="Low",OR(G231="Growing",G231="Stable"),P231="Recently Active",U231&lt;&gt;"Mixed",OR(AK231="Discovery-to-Offer Enablement",AK231="Reinforce Successful Behaviour"),AM231="Ready — Automated",OR(E231&lt;&gt;"Tail",S231)),"Range Expansion Test — trial "&amp;IF(U231="Bundle-only","handpick","bundles")&amp;" (experimental; not proven to lift GMV)","")</f>
        <v/>
      </c>
      <c r="AS231" s="2" t="str">
        <f aca="false">IF(AK231&lt;&gt;"Automated Nurture","",IF(AJ231="DORMANT_LOW_VALUE","Dormant",IF(AJ231="RISING_TAIL_EARLY","Rising tail – early pattern",IF(Q231="New Customer","New customer onboarding",IF(Q231="Returned Customer","Returned customer",IF(G231="Lapsed","Dormant",IF(T231="Engaged, not converting","Engaged, not converting",IF(T231="One-off low-touch buyer","One-off purchaser",IF(T231="Light-touch repeat buyer","Light-touch repeat buyer","Standard long tail")))))))))</f>
        <v>Light-touch repeat buyer</v>
      </c>
      <c r="AT231" s="2" t="str">
        <f aca="false">IF(AA231,"CRITICAL_DATA_BLOCKER; ","")&amp;IF(Y231,"KEY_SIGNOFF; ","")&amp;IF(Z231="Manual Review","PHASE1_MANUAL_REVIEW; ","")&amp;IF(AND(LEFT(D231,1)="1",AZ231="Lumpy"),"LUMPY_CADENCE; ","")&amp;IF(AB231,"BORDERLINE_MOMENTUM; ","")&amp;IF(AC231,"FEB_SENSITIVE; ","")&amp;IF(AD231,"MATERIAL_BROKER_INCONSISTENCY"&amp;IF(AE231," (segment would change)","")&amp;"; ","")&amp;IF(AND(I231&gt;=3,O231&gt;0),IF(AI231&gt;=Assumptions!$B$75,"H2_SINGLE_MONTH_SPIKE; ",""),"")&amp;IF(AND(M231&gt;0,N231=0),"NO_FEB_GMV (Feb unconfirmed); ","")&amp;IF(AF231,"LOW_CONFIDENCE; ","")</f>
        <v>BORDERLINE_MOMENTUM; H2_SINGLE_MONTH_SPIKE; NO_FEB_GMV (Feb unconfirmed); </v>
      </c>
      <c r="AU231" s="2" t="str">
        <f aca="false">IF(LEFT(D231,1)="1",V231,"")</f>
        <v/>
      </c>
      <c r="AV231" s="2" t="str">
        <f aca="false">IF(LEFT(D231,1)="1",V231&gt;=Assumptions!$B$58,"")</f>
        <v/>
      </c>
      <c r="AW231" s="2" t="str">
        <f aca="false">IF(LEFT(D231,1)="1",W231,"")</f>
        <v/>
      </c>
      <c r="AX231" s="2" t="str">
        <f aca="false">IF(LEFT(D231,1)="1",X231,"")</f>
        <v/>
      </c>
      <c r="AY231" s="17" t="str">
        <f aca="false">IF(LEFT(D231,1)="1",J231/I231,"")</f>
        <v/>
      </c>
      <c r="AZ231" s="2" t="str">
        <f aca="false">IF(LEFT(D231,1)="1",IF(AND(K231&gt;=Assumptions!$B$83,I231&gt;=Assumptions!$B$84),"Regular","Lumpy"),"")</f>
        <v/>
      </c>
      <c r="BA231" s="2" t="str">
        <f aca="false">IF(LEFT(D231,1)="1",ROUND(6/K231,0),"")</f>
        <v/>
      </c>
      <c r="BB231" s="2" t="str">
        <f aca="false">IF(LEFT(D231,1)="1",IF(AZ231="Regular","Regular buyer: expected ~£"&amp;TEXT(H231/2,"#,##0")&amp;" per 90 days. At Risk if GMV to date &lt; "&amp;TEXT(Assumptions!$B$81,"0%")&amp;" of pro-rated expectation, checked from day "&amp;Assumptions!$B$82&amp;". Human-reviewed.","Irregular buyer ("&amp;I231&amp;" orders across "&amp;K231&amp;" months): no numeric GMV threshold. At Risk if no order within ~"&amp;BA231&amp;" month(s); AM reviews at day "&amp;Assumptions!$B$82&amp;" and "&amp;Assumptions!$B$85&amp;"."),"")</f>
        <v/>
      </c>
      <c r="BC231" s="2"/>
      <c r="BD231" s="2"/>
      <c r="BE231" s="2"/>
      <c r="BF231" s="2"/>
      <c r="BG231" s="2"/>
      <c r="BH231" s="2"/>
      <c r="BI231" s="2"/>
      <c r="BJ231" s="2" t="str">
        <f aca="false">IF(OR(NOT(LEFT(D231,1)="1"),BC231=""),"",IF(AZ231="Regular",AND(BC231&gt;=Assumptions!$B$82,N(BI231)&lt;Assumptions!$B$81*H231/180*BC231),AND(BC231&gt;=BA231*30,N(BG231)=0)))</f>
        <v/>
      </c>
      <c r="BK231" s="2" t="str">
        <f aca="false">IF(NOT(LEFT(D231,1)="1"),"N/A",IF(BC231="","Baseline",IF(BJ231,"At Risk",IF(AND(N(BD231)&gt;=Assumptions!$B$78,N(BE231)&gt;=Assumptions!$B$79,N(BH231)&gt;=1,N(BH231)/MAX(N(BG231),1)&gt;AY231),"Self-Serve Capability Demonstrated",IF(OR(N(BD231)&gt;=Assumptions!$B$76,N(BE231)&gt;=Assumptions!$B$77),"Progressing",IF(BC231&gt;=Assumptions!$B$85,"At Risk","Baseline"))))))</f>
        <v>N/A</v>
      </c>
      <c r="BL231" s="2" t="n">
        <f aca="false">(AND(C231="Broker-Reliant",OR(AK231="Discovery-to-Offer Enablement",AK231="Reinforce Successful Behaviour")))*1+(AND(G231="Declining",E231&lt;&gt;"Tail",AL231="Automated"))*1+(AND(Y231,AM231&lt;&gt;"Human Sign-Off Required"))*1+(AND(AA231,AM231&lt;&gt;"HOLD — Critical Data Issue"))*1+(AND(P231="Recent Inactivity",OR(AK231="Discovery-to-Offer Enablement",AK231="Reinforce Successful Behaviour")))*1+(AND(OR(LEFT(D231,1)="2",LEFT(D231,1)="3",LEFT(D231,1)="8"),AL231="Automated"))*1+((LEFT(D231,1)="1")&lt;&gt;(AK231="Guided Self-Serve Migration"))*1+(AND(AR231&lt;&gt;"",OR(F231&lt;&gt;"Low",U231="Mixed",AND(G231&lt;&gt;"Growing",G231&lt;&gt;"Stable"))))*1+ISNUMBER(SEARCH("chat",AP231))*1+ISNUMBER(SEARCH("video",AP231))*1+(AND(AA231,AL231="Automated",AM231&lt;&gt;"HOLD — Critical Data Issue"))*1</f>
        <v>0</v>
      </c>
    </row>
    <row r="232" customFormat="false" ht="15" hidden="false" customHeight="false" outlineLevel="0" collapsed="false">
      <c r="A232" s="2" t="s">
        <v>716</v>
      </c>
      <c r="B232" s="2" t="str">
        <f aca="false">INDEX(Segmentation!$B$2:$B$301,MATCH($A232,Segmentation!$A$2:$A$301,0))</f>
        <v>Self Serve</v>
      </c>
      <c r="C232" s="2" t="str">
        <f aca="false">INDEX(Segmentation!$H$2:$H$301,MATCH($A232,Segmentation!$A$2:$A$301,0))</f>
        <v>Self-Serve</v>
      </c>
      <c r="D232" s="2" t="str">
        <f aca="false">INDEX(Segmentation!$T$2:$T$301,MATCH($A232,Segmentation!$A$2:$A$301,0))</f>
        <v>9. Long-Tail Automated Nurture</v>
      </c>
      <c r="E232" s="2" t="str">
        <f aca="false">INDEX(Segmentation!$J$2:$J$301,MATCH($A232,Segmentation!$A$2:$A$301,0))</f>
        <v>Tail</v>
      </c>
      <c r="F232" s="2" t="str">
        <f aca="false">INDEX(Segmentation!$G$2:$G$301,MATCH($A232,Segmentation!$A$2:$A$301,0))</f>
        <v>Low</v>
      </c>
      <c r="G232" s="2" t="str">
        <f aca="false">INDEX(Segmentation!$N$2:$N$301,MATCH($A232,Segmentation!$A$2:$A$301,0))</f>
        <v>Growing</v>
      </c>
      <c r="H232" s="9" t="n">
        <f aca="false">INDEX(Segmentation!$I$2:$I$301,MATCH($A232,Segmentation!$A$2:$A$301,0))</f>
        <v>416</v>
      </c>
      <c r="I232" s="2" t="n">
        <f aca="false">INDEX(Segmentation!$O$2:$O$301,MATCH($A232,Segmentation!$A$2:$A$301,0))</f>
        <v>2</v>
      </c>
      <c r="J232" s="2" t="n">
        <f aca="false">INDEX(Segmentation!$Q$2:$Q$301,MATCH($A232,Segmentation!$A$2:$A$301,0))</f>
        <v>2</v>
      </c>
      <c r="K232" s="2" t="n">
        <f aca="false">INDEX(Segmentation!$W$2:$W$301,MATCH($A232,Segmentation!$A$2:$A$301,0))</f>
        <v>2</v>
      </c>
      <c r="L232" s="9" t="n">
        <f aca="false">INDEX('Commercial View'!$L$2:$L$301,MATCH($A232,'Commercial View'!$A$2:$A$301,0))</f>
        <v>289</v>
      </c>
      <c r="M232" s="9" t="n">
        <f aca="false">INDEX('Commercial View'!$M$2:$M$301,MATCH($A232,'Commercial View'!$A$2:$A$301,0))</f>
        <v>0</v>
      </c>
      <c r="N232" s="9" t="n">
        <f aca="false">INDEX('Commercial View'!$N$2:$N$301,MATCH($A232,'Commercial View'!$A$2:$A$301,0))</f>
        <v>0</v>
      </c>
      <c r="O232" s="9" t="n">
        <f aca="false">INDEX(Segmentation!$L$2:$L$301,MATCH($A232,Segmentation!$A$2:$A$301,0))</f>
        <v>289</v>
      </c>
      <c r="P232" s="2" t="str">
        <f aca="false">IF(OR(M232&gt;0,N232&gt;0),"Recently Active",IF(OR(I232&lt;=Assumptions!$B$48,K232&lt;=Assumptions!$B$49),"No Meaningful History","Recent Inactivity"))</f>
        <v>No Meaningful History</v>
      </c>
      <c r="Q232" s="2" t="str">
        <f aca="false">INDEX(Segmentation!$AF$2:$AF$301,MATCH($A232,Segmentation!$A$2:$A$301,0))</f>
        <v>Existing Customer</v>
      </c>
      <c r="R232" s="2" t="str">
        <f aca="false">INDEX(Segmentation!$AL$2:$AL$301,MATCH($A232,Segmentation!$A$2:$A$301,0))</f>
        <v>N/A</v>
      </c>
      <c r="S232" s="10" t="b">
        <f aca="false">INDEX(Segmentation!$AW$2:$AW$301,MATCH($A232,Segmentation!$A$2:$A$301,0))</f>
        <v>0</v>
      </c>
      <c r="T232" s="2" t="str">
        <f aca="false">INDEX('Feature Data'!$AD$2:$AD$301,MATCH($A232,'Feature Data'!$A$2:$A$301,0))</f>
        <v>Light-touch repeat buyer</v>
      </c>
      <c r="U232" s="2" t="str">
        <f aca="false">INDEX('Feature Data'!$W$2:$W$301,MATCH($A232,'Feature Data'!$A$2:$A$301,0))</f>
        <v>Bundle-only</v>
      </c>
      <c r="V232" s="2" t="n">
        <f aca="false">INDEX('Feature Data'!$P$2:$P$301,MATCH($A232,'Feature Data'!$A$2:$A$301,0))</f>
        <v>124</v>
      </c>
      <c r="W232" s="2" t="n">
        <f aca="false">INDEX(Segmentation!$R$2:$R$301,MATCH($A232,Segmentation!$A$2:$A$301,0))</f>
        <v>15</v>
      </c>
      <c r="X232" s="2" t="n">
        <f aca="false">INDEX(Segmentation!$S$2:$S$301,MATCH($A232,Segmentation!$A$2:$A$301,0))</f>
        <v>2</v>
      </c>
      <c r="Y232" s="10" t="b">
        <f aca="false">INDEX(Segmentation!$AG$2:$AG$301,MATCH($A232,Segmentation!$A$2:$A$301,0))</f>
        <v>0</v>
      </c>
      <c r="Z232" s="2" t="str">
        <f aca="false">INDEX(Segmentation!$AU$2:$AU$301,MATCH($A232,Segmentation!$A$2:$A$301,0))</f>
        <v>Not Eligible</v>
      </c>
      <c r="AA232" s="10" t="b">
        <f aca="false">INDEX(Segmentation!$Z$2:$Z$301,MATCH($A232,Segmentation!$A$2:$A$301,0))</f>
        <v>0</v>
      </c>
      <c r="AB232" s="10" t="b">
        <f aca="false">INDEX(Segmentation!$AH$2:$AH$301,MATCH($A232,Segmentation!$A$2:$A$301,0))</f>
        <v>0</v>
      </c>
      <c r="AC232" s="10" t="b">
        <f aca="false">INDEX(Segmentation!$AK$2:$AK$301,MATCH($A232,Segmentation!$A$2:$A$301,0))</f>
        <v>0</v>
      </c>
      <c r="AD232" s="10" t="b">
        <f aca="false">INDEX(Segmentation!$AQ$2:$AQ$301,MATCH($A232,Segmentation!$A$2:$A$301,0))</f>
        <v>0</v>
      </c>
      <c r="AE232" s="10" t="b">
        <f aca="false">INDEX(Segmentation!$AT$2:$AT$301,MATCH($A232,Segmentation!$A$2:$A$301,0))</f>
        <v>0</v>
      </c>
      <c r="AF232" s="10" t="b">
        <f aca="false">INDEX(Segmentation!$X$2:$X$301,MATCH($A232,Segmentation!$A$2:$A$301,0))</f>
        <v>1</v>
      </c>
      <c r="AG232" s="10" t="b">
        <f aca="false">AND(F232="Low",V232&gt;=Assumptions!$B$71,X232&lt;Assumptions!$B$72)</f>
        <v>1</v>
      </c>
      <c r="AH232" s="10" t="b">
        <f aca="false">AND(F232="Low",OR(G232="Growing",G232="Stable"),P232="Recently Active",V232&gt;=Assumptions!$B$58,K232&gt;=Assumptions!$B$73)</f>
        <v>0</v>
      </c>
      <c r="AI232" s="17" t="n">
        <f aca="false">IF(O232&gt;0,MAX(L232:N232)/O232,"")</f>
        <v>1</v>
      </c>
      <c r="AJ232" s="2" t="str">
        <f aca="false">IF(LEFT(D232,1)="1",IF(E232="Key","MIGRATION_KEY_SIGNOFF",IF(Z232="Ready","MIGRATION_PHASE1_READY",IF(Z232="Manual Review","MIGRATION_PHASE1_REVIEW","MIGRATION_PRE_ENTRY"))),IF(LEFT(D232,1)="2","DECLINING_KEY_CORE",IF(LEFT(D232,1)="3",IF(R232="Established Buyer Lapsed","LAPSED_ESTABLISHED","LAPSED_THIN_HISTORY"),IF(LEFT(D232,1)="4",IF(Q232="New Customer","NEW_CUSTOMER","RETURNED_CUSTOMER"),IF(LEFT(D232,1)="5",IF(P232="Recently Active","COST_TO_SERVE_ACTIVE","DORMANT_LOW_VALUE"),IF(LEFT(D232,1)="6",IF(P232="Recent Inactivity","RECENT_INACTIVITY",IF(AG232,"BROWSING_LOW_OFFERS","HEALTHY_STRONG_SELF_SERVE")),IF(LEFT(D232,1)="7",IF(P232="Recent Inactivity","RECENT_INACTIVITY",IF(Q232="New Customer","NEW_CUSTOMER","RETURNED_CUSTOMER")),IF(LEFT(D232,1)="8",IF(G232="Declining",IF(T232="Engaged but shrinking (Key/Core)","ENGAGED_BUT_SHRINKING","DECLINING_KEY_CORE"),IF(R232="Established Buyer Lapsed","LAPSED_ESTABLISHED","LAPSED_THIN_HISTORY")),IF(S232,IF(P232&lt;&gt;"Recently Active","DORMANT_LOW_VALUE",IF(AG232,"BROWSING_LOW_OFFERS",IF(AH232,"RISING_TAIL","RISING_TAIL_EARLY"))),IF(AND(AG232,P232="Recently Active",OR(G232="Growing",G232="Stable",G232="H2 Active / No H1 GMV"),I232&gt;=Assumptions!$B$74),"BROWSING_LOW_OFFERS","LONG_TAIL_STANDARD"))))))))))</f>
        <v>LONG_TAIL_STANDARD</v>
      </c>
      <c r="AK232" s="2" t="str">
        <f aca="false">INDEX('NBA Library'!$B$4:$B$21,MATCH(AJ232,'NBA Library'!$A$4:$A$21,0))</f>
        <v>Automated Nurture</v>
      </c>
      <c r="AL232" s="2" t="str">
        <f aca="false">INDEX('NBA Library'!$C$4:$C$21,MATCH(AJ232,'NBA Library'!$A$4:$A$21,0))</f>
        <v>Automated</v>
      </c>
      <c r="AM232" s="2" t="str">
        <f aca="false">IF(AA232,"HOLD — Critical Data Issue",IF(Y232,"Human Sign-Off Required",IF(Z232="Manual Review","Human Review Required",IF(AND(AL232="Automated",OR(AE232,AND(OR(AK232="Discovery-to-Offer Enablement",AK232="Reinforce Successful Behaviour"),OR(AC232,AB232)))),"Human Review Required",IF(AL232="Human","Ready — Human",IF(AL232="Hybrid","Ready — Hybrid","Ready — Automated"))))))</f>
        <v>Ready — Automated</v>
      </c>
      <c r="AN232" s="2" t="str">
        <f aca="false">IF(AA232,"P0",IF(AND(AJ232="BROWSING_LOW_OFFERS",E232="Tail"),"P3",IF(AND(AM232="Human Review Required",INDEX('NBA Library'!$D$4:$D$21,MATCH(AJ232,'NBA Library'!$A$4:$A$21,0))="P4"),"P3",INDEX('NBA Library'!$D$4:$D$21,MATCH(AJ232,'NBA Library'!$A$4:$A$21,0)))))</f>
        <v>P4</v>
      </c>
      <c r="AO232" s="2" t="str">
        <f aca="false">E232&amp;" "&amp;C232&amp;" account ("&amp;B232&amp;"); "&amp;G232&amp;" momentum; "&amp;P232&amp;"; £"&amp;TEXT(H232,"#,##0")&amp;" 6m GMV. "&amp;INDEX('NBA Library'!$G$4:$G$21,MATCH(AJ232,'NBA Library'!$A$4:$A$21,0))&amp;IF(LEFT(D232,1)="1"," Baseline: "&amp;V232&amp;" PDP views, "&amp;W232&amp;" app days, "&amp;X232&amp;" offers, "&amp;TEXT(J232/I232,"0%")&amp;" of orders self-serve.","")&amp;IF(AA232," Execution on HOLD until the Duplicate status is resolved.","")&amp;IF(Y232," Key account: explicit AM/leadership sign-off required before any migration activity.","")&amp;IF(AE232," Implied broker % from order counts would move this account to a different segment; review before automating.","")</f>
        <v>Tail Self-Serve account (Self Serve); Growing momentum; No Meaningful History; £416 6m GMV. Low-value, low-dependency account. Scalable automated engagement.</v>
      </c>
      <c r="AP232" s="2" t="str">
        <f aca="false">INDEX('NBA Library'!$E$4:$E$21,MATCH(AJ232,'NBA Library'!$A$4:$A$21,0))&amp;IF(AND(AJ232="NEW_CUSTOMER",AG232),"; introduce Make-an-Offer on items already browsed","")</f>
        <v>Scalable automated engagement matched to nurture sub-context</v>
      </c>
      <c r="AQ232" s="2" t="str">
        <f aca="false">INDEX('NBA Library'!$F$4:$F$21,MATCH(AJ232,'NBA Library'!$A$4:$A$21,0))</f>
        <v>Any repeat order within 90 days</v>
      </c>
      <c r="AR232" s="2" t="str">
        <f aca="false">IF(AND(F232="Low",OR(G232="Growing",G232="Stable"),P232="Recently Active",U232&lt;&gt;"Mixed",OR(AK232="Discovery-to-Offer Enablement",AK232="Reinforce Successful Behaviour"),AM232="Ready — Automated",OR(E232&lt;&gt;"Tail",S232)),"Range Expansion Test — trial "&amp;IF(U232="Bundle-only","handpick","bundles")&amp;" (experimental; not proven to lift GMV)","")</f>
        <v/>
      </c>
      <c r="AS232" s="2" t="str">
        <f aca="false">IF(AK232&lt;&gt;"Automated Nurture","",IF(AJ232="DORMANT_LOW_VALUE","Dormant",IF(AJ232="RISING_TAIL_EARLY","Rising tail – early pattern",IF(Q232="New Customer","New customer onboarding",IF(Q232="Returned Customer","Returned customer",IF(G232="Lapsed","Dormant",IF(T232="Engaged, not converting","Engaged, not converting",IF(T232="One-off low-touch buyer","One-off purchaser",IF(T232="Light-touch repeat buyer","Light-touch repeat buyer","Standard long tail")))))))))</f>
        <v>Light-touch repeat buyer</v>
      </c>
      <c r="AT232" s="2" t="str">
        <f aca="false">IF(AA232,"CRITICAL_DATA_BLOCKER; ","")&amp;IF(Y232,"KEY_SIGNOFF; ","")&amp;IF(Z232="Manual Review","PHASE1_MANUAL_REVIEW; ","")&amp;IF(AND(LEFT(D232,1)="1",AZ232="Lumpy"),"LUMPY_CADENCE; ","")&amp;IF(AB232,"BORDERLINE_MOMENTUM; ","")&amp;IF(AC232,"FEB_SENSITIVE; ","")&amp;IF(AD232,"MATERIAL_BROKER_INCONSISTENCY"&amp;IF(AE232," (segment would change)","")&amp;"; ","")&amp;IF(AND(I232&gt;=3,O232&gt;0),IF(AI232&gt;=Assumptions!$B$75,"H2_SINGLE_MONTH_SPIKE; ",""),"")&amp;IF(AND(M232&gt;0,N232=0),"NO_FEB_GMV (Feb unconfirmed); ","")&amp;IF(AF232,"LOW_CONFIDENCE; ","")</f>
        <v>LOW_CONFIDENCE; </v>
      </c>
      <c r="AU232" s="2" t="str">
        <f aca="false">IF(LEFT(D232,1)="1",V232,"")</f>
        <v/>
      </c>
      <c r="AV232" s="2" t="str">
        <f aca="false">IF(LEFT(D232,1)="1",V232&gt;=Assumptions!$B$58,"")</f>
        <v/>
      </c>
      <c r="AW232" s="2" t="str">
        <f aca="false">IF(LEFT(D232,1)="1",W232,"")</f>
        <v/>
      </c>
      <c r="AX232" s="2" t="str">
        <f aca="false">IF(LEFT(D232,1)="1",X232,"")</f>
        <v/>
      </c>
      <c r="AY232" s="17" t="str">
        <f aca="false">IF(LEFT(D232,1)="1",J232/I232,"")</f>
        <v/>
      </c>
      <c r="AZ232" s="2" t="str">
        <f aca="false">IF(LEFT(D232,1)="1",IF(AND(K232&gt;=Assumptions!$B$83,I232&gt;=Assumptions!$B$84),"Regular","Lumpy"),"")</f>
        <v/>
      </c>
      <c r="BA232" s="2" t="str">
        <f aca="false">IF(LEFT(D232,1)="1",ROUND(6/K232,0),"")</f>
        <v/>
      </c>
      <c r="BB232" s="2" t="str">
        <f aca="false">IF(LEFT(D232,1)="1",IF(AZ232="Regular","Regular buyer: expected ~£"&amp;TEXT(H232/2,"#,##0")&amp;" per 90 days. At Risk if GMV to date &lt; "&amp;TEXT(Assumptions!$B$81,"0%")&amp;" of pro-rated expectation, checked from day "&amp;Assumptions!$B$82&amp;". Human-reviewed.","Irregular buyer ("&amp;I232&amp;" orders across "&amp;K232&amp;" months): no numeric GMV threshold. At Risk if no order within ~"&amp;BA232&amp;" month(s); AM reviews at day "&amp;Assumptions!$B$82&amp;" and "&amp;Assumptions!$B$85&amp;"."),"")</f>
        <v/>
      </c>
      <c r="BC232" s="2"/>
      <c r="BD232" s="2"/>
      <c r="BE232" s="2"/>
      <c r="BF232" s="2"/>
      <c r="BG232" s="2"/>
      <c r="BH232" s="2"/>
      <c r="BI232" s="2"/>
      <c r="BJ232" s="2" t="str">
        <f aca="false">IF(OR(NOT(LEFT(D232,1)="1"),BC232=""),"",IF(AZ232="Regular",AND(BC232&gt;=Assumptions!$B$82,N(BI232)&lt;Assumptions!$B$81*H232/180*BC232),AND(BC232&gt;=BA232*30,N(BG232)=0)))</f>
        <v/>
      </c>
      <c r="BK232" s="2" t="str">
        <f aca="false">IF(NOT(LEFT(D232,1)="1"),"N/A",IF(BC232="","Baseline",IF(BJ232,"At Risk",IF(AND(N(BD232)&gt;=Assumptions!$B$78,N(BE232)&gt;=Assumptions!$B$79,N(BH232)&gt;=1,N(BH232)/MAX(N(BG232),1)&gt;AY232),"Self-Serve Capability Demonstrated",IF(OR(N(BD232)&gt;=Assumptions!$B$76,N(BE232)&gt;=Assumptions!$B$77),"Progressing",IF(BC232&gt;=Assumptions!$B$85,"At Risk","Baseline"))))))</f>
        <v>N/A</v>
      </c>
      <c r="BL232" s="2" t="n">
        <f aca="false">(AND(C232="Broker-Reliant",OR(AK232="Discovery-to-Offer Enablement",AK232="Reinforce Successful Behaviour")))*1+(AND(G232="Declining",E232&lt;&gt;"Tail",AL232="Automated"))*1+(AND(Y232,AM232&lt;&gt;"Human Sign-Off Required"))*1+(AND(AA232,AM232&lt;&gt;"HOLD — Critical Data Issue"))*1+(AND(P232="Recent Inactivity",OR(AK232="Discovery-to-Offer Enablement",AK232="Reinforce Successful Behaviour")))*1+(AND(OR(LEFT(D232,1)="2",LEFT(D232,1)="3",LEFT(D232,1)="8"),AL232="Automated"))*1+((LEFT(D232,1)="1")&lt;&gt;(AK232="Guided Self-Serve Migration"))*1+(AND(AR232&lt;&gt;"",OR(F232&lt;&gt;"Low",U232="Mixed",AND(G232&lt;&gt;"Growing",G232&lt;&gt;"Stable"))))*1+ISNUMBER(SEARCH("chat",AP232))*1+ISNUMBER(SEARCH("video",AP232))*1+(AND(AA232,AL232="Automated",AM232&lt;&gt;"HOLD — Critical Data Issue"))*1</f>
        <v>0</v>
      </c>
    </row>
    <row r="233" customFormat="false" ht="15" hidden="false" customHeight="false" outlineLevel="0" collapsed="false">
      <c r="A233" s="2" t="s">
        <v>718</v>
      </c>
      <c r="B233" s="2" t="str">
        <f aca="false">INDEX(Segmentation!$B$2:$B$301,MATCH($A233,Segmentation!$A$2:$A$301,0))</f>
        <v>Self Serve</v>
      </c>
      <c r="C233" s="2" t="str">
        <f aca="false">INDEX(Segmentation!$H$2:$H$301,MATCH($A233,Segmentation!$A$2:$A$301,0))</f>
        <v>Self-Serve</v>
      </c>
      <c r="D233" s="2" t="str">
        <f aca="false">INDEX(Segmentation!$T$2:$T$301,MATCH($A233,Segmentation!$A$2:$A$301,0))</f>
        <v>9. Long-Tail Automated Nurture</v>
      </c>
      <c r="E233" s="2" t="str">
        <f aca="false">INDEX(Segmentation!$J$2:$J$301,MATCH($A233,Segmentation!$A$2:$A$301,0))</f>
        <v>Tail</v>
      </c>
      <c r="F233" s="2" t="str">
        <f aca="false">INDEX(Segmentation!$G$2:$G$301,MATCH($A233,Segmentation!$A$2:$A$301,0))</f>
        <v>Low</v>
      </c>
      <c r="G233" s="2" t="str">
        <f aca="false">INDEX(Segmentation!$N$2:$N$301,MATCH($A233,Segmentation!$A$2:$A$301,0))</f>
        <v>Lapsed</v>
      </c>
      <c r="H233" s="9" t="n">
        <f aca="false">INDEX(Segmentation!$I$2:$I$301,MATCH($A233,Segmentation!$A$2:$A$301,0))</f>
        <v>399</v>
      </c>
      <c r="I233" s="2" t="n">
        <f aca="false">INDEX(Segmentation!$O$2:$O$301,MATCH($A233,Segmentation!$A$2:$A$301,0))</f>
        <v>1</v>
      </c>
      <c r="J233" s="2" t="n">
        <f aca="false">INDEX(Segmentation!$Q$2:$Q$301,MATCH($A233,Segmentation!$A$2:$A$301,0))</f>
        <v>1</v>
      </c>
      <c r="K233" s="2" t="n">
        <f aca="false">INDEX(Segmentation!$W$2:$W$301,MATCH($A233,Segmentation!$A$2:$A$301,0))</f>
        <v>1</v>
      </c>
      <c r="L233" s="9" t="n">
        <f aca="false">INDEX('Commercial View'!$L$2:$L$301,MATCH($A233,'Commercial View'!$A$2:$A$301,0))</f>
        <v>0</v>
      </c>
      <c r="M233" s="9" t="n">
        <f aca="false">INDEX('Commercial View'!$M$2:$M$301,MATCH($A233,'Commercial View'!$A$2:$A$301,0))</f>
        <v>0</v>
      </c>
      <c r="N233" s="9" t="n">
        <f aca="false">INDEX('Commercial View'!$N$2:$N$301,MATCH($A233,'Commercial View'!$A$2:$A$301,0))</f>
        <v>0</v>
      </c>
      <c r="O233" s="9" t="n">
        <f aca="false">INDEX(Segmentation!$L$2:$L$301,MATCH($A233,Segmentation!$A$2:$A$301,0))</f>
        <v>0</v>
      </c>
      <c r="P233" s="2" t="str">
        <f aca="false">IF(OR(M233&gt;0,N233&gt;0),"Recently Active",IF(OR(I233&lt;=Assumptions!$B$48,K233&lt;=Assumptions!$B$49),"No Meaningful History","Recent Inactivity"))</f>
        <v>No Meaningful History</v>
      </c>
      <c r="Q233" s="2" t="str">
        <f aca="false">INDEX(Segmentation!$AF$2:$AF$301,MATCH($A233,Segmentation!$A$2:$A$301,0))</f>
        <v>Existing Customer</v>
      </c>
      <c r="R233" s="2" t="str">
        <f aca="false">INDEX(Segmentation!$AL$2:$AL$301,MATCH($A233,Segmentation!$A$2:$A$301,0))</f>
        <v>One-Off / Insufficient History — Verify</v>
      </c>
      <c r="S233" s="10" t="b">
        <f aca="false">INDEX(Segmentation!$AW$2:$AW$301,MATCH($A233,Segmentation!$A$2:$A$301,0))</f>
        <v>0</v>
      </c>
      <c r="T233" s="2" t="str">
        <f aca="false">INDEX('Feature Data'!$AD$2:$AD$301,MATCH($A233,'Feature Data'!$A$2:$A$301,0))</f>
        <v>One-off low-touch buyer</v>
      </c>
      <c r="U233" s="2" t="str">
        <f aca="false">INDEX('Feature Data'!$W$2:$W$301,MATCH($A233,'Feature Data'!$A$2:$A$301,0))</f>
        <v>Bundle-only</v>
      </c>
      <c r="V233" s="2" t="n">
        <f aca="false">INDEX('Feature Data'!$P$2:$P$301,MATCH($A233,'Feature Data'!$A$2:$A$301,0))</f>
        <v>25</v>
      </c>
      <c r="W233" s="2" t="n">
        <f aca="false">INDEX(Segmentation!$R$2:$R$301,MATCH($A233,Segmentation!$A$2:$A$301,0))</f>
        <v>8</v>
      </c>
      <c r="X233" s="2" t="n">
        <f aca="false">INDEX(Segmentation!$S$2:$S$301,MATCH($A233,Segmentation!$A$2:$A$301,0))</f>
        <v>0</v>
      </c>
      <c r="Y233" s="10" t="b">
        <f aca="false">INDEX(Segmentation!$AG$2:$AG$301,MATCH($A233,Segmentation!$A$2:$A$301,0))</f>
        <v>0</v>
      </c>
      <c r="Z233" s="2" t="str">
        <f aca="false">INDEX(Segmentation!$AU$2:$AU$301,MATCH($A233,Segmentation!$A$2:$A$301,0))</f>
        <v>Not Eligible</v>
      </c>
      <c r="AA233" s="10" t="b">
        <f aca="false">INDEX(Segmentation!$Z$2:$Z$301,MATCH($A233,Segmentation!$A$2:$A$301,0))</f>
        <v>0</v>
      </c>
      <c r="AB233" s="10" t="b">
        <f aca="false">INDEX(Segmentation!$AH$2:$AH$301,MATCH($A233,Segmentation!$A$2:$A$301,0))</f>
        <v>0</v>
      </c>
      <c r="AC233" s="10" t="b">
        <f aca="false">INDEX(Segmentation!$AK$2:$AK$301,MATCH($A233,Segmentation!$A$2:$A$301,0))</f>
        <v>0</v>
      </c>
      <c r="AD233" s="10" t="b">
        <f aca="false">INDEX(Segmentation!$AQ$2:$AQ$301,MATCH($A233,Segmentation!$A$2:$A$301,0))</f>
        <v>0</v>
      </c>
      <c r="AE233" s="10" t="b">
        <f aca="false">INDEX(Segmentation!$AT$2:$AT$301,MATCH($A233,Segmentation!$A$2:$A$301,0))</f>
        <v>0</v>
      </c>
      <c r="AF233" s="10" t="b">
        <f aca="false">INDEX(Segmentation!$X$2:$X$301,MATCH($A233,Segmentation!$A$2:$A$301,0))</f>
        <v>1</v>
      </c>
      <c r="AG233" s="10" t="b">
        <f aca="false">AND(F233="Low",V233&gt;=Assumptions!$B$71,X233&lt;Assumptions!$B$72)</f>
        <v>0</v>
      </c>
      <c r="AH233" s="10" t="b">
        <f aca="false">AND(F233="Low",OR(G233="Growing",G233="Stable"),P233="Recently Active",V233&gt;=Assumptions!$B$58,K233&gt;=Assumptions!$B$73)</f>
        <v>0</v>
      </c>
      <c r="AI233" s="17" t="str">
        <f aca="false">IF(O233&gt;0,MAX(L233:N233)/O233,"")</f>
        <v/>
      </c>
      <c r="AJ233" s="2" t="str">
        <f aca="false">IF(LEFT(D233,1)="1",IF(E233="Key","MIGRATION_KEY_SIGNOFF",IF(Z233="Ready","MIGRATION_PHASE1_READY",IF(Z233="Manual Review","MIGRATION_PHASE1_REVIEW","MIGRATION_PRE_ENTRY"))),IF(LEFT(D233,1)="2","DECLINING_KEY_CORE",IF(LEFT(D233,1)="3",IF(R233="Established Buyer Lapsed","LAPSED_ESTABLISHED","LAPSED_THIN_HISTORY"),IF(LEFT(D233,1)="4",IF(Q233="New Customer","NEW_CUSTOMER","RETURNED_CUSTOMER"),IF(LEFT(D233,1)="5",IF(P233="Recently Active","COST_TO_SERVE_ACTIVE","DORMANT_LOW_VALUE"),IF(LEFT(D233,1)="6",IF(P233="Recent Inactivity","RECENT_INACTIVITY",IF(AG233,"BROWSING_LOW_OFFERS","HEALTHY_STRONG_SELF_SERVE")),IF(LEFT(D233,1)="7",IF(P233="Recent Inactivity","RECENT_INACTIVITY",IF(Q233="New Customer","NEW_CUSTOMER","RETURNED_CUSTOMER")),IF(LEFT(D233,1)="8",IF(G233="Declining",IF(T233="Engaged but shrinking (Key/Core)","ENGAGED_BUT_SHRINKING","DECLINING_KEY_CORE"),IF(R233="Established Buyer Lapsed","LAPSED_ESTABLISHED","LAPSED_THIN_HISTORY")),IF(S233,IF(P233&lt;&gt;"Recently Active","DORMANT_LOW_VALUE",IF(AG233,"BROWSING_LOW_OFFERS",IF(AH233,"RISING_TAIL","RISING_TAIL_EARLY"))),IF(AND(AG233,P233="Recently Active",OR(G233="Growing",G233="Stable",G233="H2 Active / No H1 GMV"),I233&gt;=Assumptions!$B$74),"BROWSING_LOW_OFFERS","LONG_TAIL_STANDARD"))))))))))</f>
        <v>LONG_TAIL_STANDARD</v>
      </c>
      <c r="AK233" s="2" t="str">
        <f aca="false">INDEX('NBA Library'!$B$4:$B$21,MATCH(AJ233,'NBA Library'!$A$4:$A$21,0))</f>
        <v>Automated Nurture</v>
      </c>
      <c r="AL233" s="2" t="str">
        <f aca="false">INDEX('NBA Library'!$C$4:$C$21,MATCH(AJ233,'NBA Library'!$A$4:$A$21,0))</f>
        <v>Automated</v>
      </c>
      <c r="AM233" s="2" t="str">
        <f aca="false">IF(AA233,"HOLD — Critical Data Issue",IF(Y233,"Human Sign-Off Required",IF(Z233="Manual Review","Human Review Required",IF(AND(AL233="Automated",OR(AE233,AND(OR(AK233="Discovery-to-Offer Enablement",AK233="Reinforce Successful Behaviour"),OR(AC233,AB233)))),"Human Review Required",IF(AL233="Human","Ready — Human",IF(AL233="Hybrid","Ready — Hybrid","Ready — Automated"))))))</f>
        <v>Ready — Automated</v>
      </c>
      <c r="AN233" s="2" t="str">
        <f aca="false">IF(AA233,"P0",IF(AND(AJ233="BROWSING_LOW_OFFERS",E233="Tail"),"P3",IF(AND(AM233="Human Review Required",INDEX('NBA Library'!$D$4:$D$21,MATCH(AJ233,'NBA Library'!$A$4:$A$21,0))="P4"),"P3",INDEX('NBA Library'!$D$4:$D$21,MATCH(AJ233,'NBA Library'!$A$4:$A$21,0)))))</f>
        <v>P4</v>
      </c>
      <c r="AO233" s="2" t="str">
        <f aca="false">E233&amp;" "&amp;C233&amp;" account ("&amp;B233&amp;"); "&amp;G233&amp;" momentum; "&amp;P233&amp;"; £"&amp;TEXT(H233,"#,##0")&amp;" 6m GMV. "&amp;INDEX('NBA Library'!$G$4:$G$21,MATCH(AJ233,'NBA Library'!$A$4:$A$21,0))&amp;IF(LEFT(D233,1)="1"," Baseline: "&amp;V233&amp;" PDP views, "&amp;W233&amp;" app days, "&amp;X233&amp;" offers, "&amp;TEXT(J233/I233,"0%")&amp;" of orders self-serve.","")&amp;IF(AA233," Execution on HOLD until the Duplicate status is resolved.","")&amp;IF(Y233," Key account: explicit AM/leadership sign-off required before any migration activity.","")&amp;IF(AE233," Implied broker % from order counts would move this account to a different segment; review before automating.","")</f>
        <v>Tail Self-Serve account (Self Serve); Lapsed momentum; No Meaningful History; £399 6m GMV. Low-value, low-dependency account. Scalable automated engagement.</v>
      </c>
      <c r="AP233" s="2" t="str">
        <f aca="false">INDEX('NBA Library'!$E$4:$E$21,MATCH(AJ233,'NBA Library'!$A$4:$A$21,0))&amp;IF(AND(AJ233="NEW_CUSTOMER",AG233),"; introduce Make-an-Offer on items already browsed","")</f>
        <v>Scalable automated engagement matched to nurture sub-context</v>
      </c>
      <c r="AQ233" s="2" t="str">
        <f aca="false">INDEX('NBA Library'!$F$4:$F$21,MATCH(AJ233,'NBA Library'!$A$4:$A$21,0))</f>
        <v>Any repeat order within 90 days</v>
      </c>
      <c r="AR233" s="2" t="str">
        <f aca="false">IF(AND(F233="Low",OR(G233="Growing",G233="Stable"),P233="Recently Active",U233&lt;&gt;"Mixed",OR(AK233="Discovery-to-Offer Enablement",AK233="Reinforce Successful Behaviour"),AM233="Ready — Automated",OR(E233&lt;&gt;"Tail",S233)),"Range Expansion Test — trial "&amp;IF(U233="Bundle-only","handpick","bundles")&amp;" (experimental; not proven to lift GMV)","")</f>
        <v/>
      </c>
      <c r="AS233" s="2" t="str">
        <f aca="false">IF(AK233&lt;&gt;"Automated Nurture","",IF(AJ233="DORMANT_LOW_VALUE","Dormant",IF(AJ233="RISING_TAIL_EARLY","Rising tail – early pattern",IF(Q233="New Customer","New customer onboarding",IF(Q233="Returned Customer","Returned customer",IF(G233="Lapsed","Dormant",IF(T233="Engaged, not converting","Engaged, not converting",IF(T233="One-off low-touch buyer","One-off purchaser",IF(T233="Light-touch repeat buyer","Light-touch repeat buyer","Standard long tail")))))))))</f>
        <v>Dormant</v>
      </c>
      <c r="AT233" s="2" t="str">
        <f aca="false">IF(AA233,"CRITICAL_DATA_BLOCKER; ","")&amp;IF(Y233,"KEY_SIGNOFF; ","")&amp;IF(Z233="Manual Review","PHASE1_MANUAL_REVIEW; ","")&amp;IF(AND(LEFT(D233,1)="1",AZ233="Lumpy"),"LUMPY_CADENCE; ","")&amp;IF(AB233,"BORDERLINE_MOMENTUM; ","")&amp;IF(AC233,"FEB_SENSITIVE; ","")&amp;IF(AD233,"MATERIAL_BROKER_INCONSISTENCY"&amp;IF(AE233," (segment would change)","")&amp;"; ","")&amp;IF(AND(I233&gt;=3,O233&gt;0),IF(AI233&gt;=Assumptions!$B$75,"H2_SINGLE_MONTH_SPIKE; ",""),"")&amp;IF(AND(M233&gt;0,N233=0),"NO_FEB_GMV (Feb unconfirmed); ","")&amp;IF(AF233,"LOW_CONFIDENCE; ","")</f>
        <v>LOW_CONFIDENCE; </v>
      </c>
      <c r="AU233" s="2" t="str">
        <f aca="false">IF(LEFT(D233,1)="1",V233,"")</f>
        <v/>
      </c>
      <c r="AV233" s="2" t="str">
        <f aca="false">IF(LEFT(D233,1)="1",V233&gt;=Assumptions!$B$58,"")</f>
        <v/>
      </c>
      <c r="AW233" s="2" t="str">
        <f aca="false">IF(LEFT(D233,1)="1",W233,"")</f>
        <v/>
      </c>
      <c r="AX233" s="2" t="str">
        <f aca="false">IF(LEFT(D233,1)="1",X233,"")</f>
        <v/>
      </c>
      <c r="AY233" s="17" t="str">
        <f aca="false">IF(LEFT(D233,1)="1",J233/I233,"")</f>
        <v/>
      </c>
      <c r="AZ233" s="2" t="str">
        <f aca="false">IF(LEFT(D233,1)="1",IF(AND(K233&gt;=Assumptions!$B$83,I233&gt;=Assumptions!$B$84),"Regular","Lumpy"),"")</f>
        <v/>
      </c>
      <c r="BA233" s="2" t="str">
        <f aca="false">IF(LEFT(D233,1)="1",ROUND(6/K233,0),"")</f>
        <v/>
      </c>
      <c r="BB233" s="2" t="str">
        <f aca="false">IF(LEFT(D233,1)="1",IF(AZ233="Regular","Regular buyer: expected ~£"&amp;TEXT(H233/2,"#,##0")&amp;" per 90 days. At Risk if GMV to date &lt; "&amp;TEXT(Assumptions!$B$81,"0%")&amp;" of pro-rated expectation, checked from day "&amp;Assumptions!$B$82&amp;". Human-reviewed.","Irregular buyer ("&amp;I233&amp;" orders across "&amp;K233&amp;" months): no numeric GMV threshold. At Risk if no order within ~"&amp;BA233&amp;" month(s); AM reviews at day "&amp;Assumptions!$B$82&amp;" and "&amp;Assumptions!$B$85&amp;"."),"")</f>
        <v/>
      </c>
      <c r="BC233" s="2"/>
      <c r="BD233" s="2"/>
      <c r="BE233" s="2"/>
      <c r="BF233" s="2"/>
      <c r="BG233" s="2"/>
      <c r="BH233" s="2"/>
      <c r="BI233" s="2"/>
      <c r="BJ233" s="2" t="str">
        <f aca="false">IF(OR(NOT(LEFT(D233,1)="1"),BC233=""),"",IF(AZ233="Regular",AND(BC233&gt;=Assumptions!$B$82,N(BI233)&lt;Assumptions!$B$81*H233/180*BC233),AND(BC233&gt;=BA233*30,N(BG233)=0)))</f>
        <v/>
      </c>
      <c r="BK233" s="2" t="str">
        <f aca="false">IF(NOT(LEFT(D233,1)="1"),"N/A",IF(BC233="","Baseline",IF(BJ233,"At Risk",IF(AND(N(BD233)&gt;=Assumptions!$B$78,N(BE233)&gt;=Assumptions!$B$79,N(BH233)&gt;=1,N(BH233)/MAX(N(BG233),1)&gt;AY233),"Self-Serve Capability Demonstrated",IF(OR(N(BD233)&gt;=Assumptions!$B$76,N(BE233)&gt;=Assumptions!$B$77),"Progressing",IF(BC233&gt;=Assumptions!$B$85,"At Risk","Baseline"))))))</f>
        <v>N/A</v>
      </c>
      <c r="BL233" s="2" t="n">
        <f aca="false">(AND(C233="Broker-Reliant",OR(AK233="Discovery-to-Offer Enablement",AK233="Reinforce Successful Behaviour")))*1+(AND(G233="Declining",E233&lt;&gt;"Tail",AL233="Automated"))*1+(AND(Y233,AM233&lt;&gt;"Human Sign-Off Required"))*1+(AND(AA233,AM233&lt;&gt;"HOLD — Critical Data Issue"))*1+(AND(P233="Recent Inactivity",OR(AK233="Discovery-to-Offer Enablement",AK233="Reinforce Successful Behaviour")))*1+(AND(OR(LEFT(D233,1)="2",LEFT(D233,1)="3",LEFT(D233,1)="8"),AL233="Automated"))*1+((LEFT(D233,1)="1")&lt;&gt;(AK233="Guided Self-Serve Migration"))*1+(AND(AR233&lt;&gt;"",OR(F233&lt;&gt;"Low",U233="Mixed",AND(G233&lt;&gt;"Growing",G233&lt;&gt;"Stable"))))*1+ISNUMBER(SEARCH("chat",AP233))*1+ISNUMBER(SEARCH("video",AP233))*1+(AND(AA233,AL233="Automated",AM233&lt;&gt;"HOLD — Critical Data Issue"))*1</f>
        <v>0</v>
      </c>
    </row>
    <row r="234" customFormat="false" ht="15" hidden="false" customHeight="false" outlineLevel="0" collapsed="false">
      <c r="A234" s="2" t="s">
        <v>720</v>
      </c>
      <c r="B234" s="2" t="str">
        <f aca="false">INDEX(Segmentation!$B$2:$B$301,MATCH($A234,Segmentation!$A$2:$A$301,0))</f>
        <v>Self Serve</v>
      </c>
      <c r="C234" s="2" t="str">
        <f aca="false">INDEX(Segmentation!$H$2:$H$301,MATCH($A234,Segmentation!$A$2:$A$301,0))</f>
        <v>Self-Serve</v>
      </c>
      <c r="D234" s="2" t="str">
        <f aca="false">INDEX(Segmentation!$T$2:$T$301,MATCH($A234,Segmentation!$A$2:$A$301,0))</f>
        <v>9. Long-Tail Automated Nurture</v>
      </c>
      <c r="E234" s="2" t="str">
        <f aca="false">INDEX(Segmentation!$J$2:$J$301,MATCH($A234,Segmentation!$A$2:$A$301,0))</f>
        <v>Tail</v>
      </c>
      <c r="F234" s="2" t="str">
        <f aca="false">INDEX(Segmentation!$G$2:$G$301,MATCH($A234,Segmentation!$A$2:$A$301,0))</f>
        <v>Low</v>
      </c>
      <c r="G234" s="2" t="str">
        <f aca="false">INDEX(Segmentation!$N$2:$N$301,MATCH($A234,Segmentation!$A$2:$A$301,0))</f>
        <v>Declining</v>
      </c>
      <c r="H234" s="9" t="n">
        <f aca="false">INDEX(Segmentation!$I$2:$I$301,MATCH($A234,Segmentation!$A$2:$A$301,0))</f>
        <v>395</v>
      </c>
      <c r="I234" s="2" t="n">
        <f aca="false">INDEX(Segmentation!$O$2:$O$301,MATCH($A234,Segmentation!$A$2:$A$301,0))</f>
        <v>2</v>
      </c>
      <c r="J234" s="2" t="n">
        <f aca="false">INDEX(Segmentation!$Q$2:$Q$301,MATCH($A234,Segmentation!$A$2:$A$301,0))</f>
        <v>2</v>
      </c>
      <c r="K234" s="2" t="n">
        <f aca="false">INDEX(Segmentation!$W$2:$W$301,MATCH($A234,Segmentation!$A$2:$A$301,0))</f>
        <v>2</v>
      </c>
      <c r="L234" s="9" t="n">
        <f aca="false">INDEX('Commercial View'!$L$2:$L$301,MATCH($A234,'Commercial View'!$A$2:$A$301,0))</f>
        <v>3</v>
      </c>
      <c r="M234" s="9" t="n">
        <f aca="false">INDEX('Commercial View'!$M$2:$M$301,MATCH($A234,'Commercial View'!$A$2:$A$301,0))</f>
        <v>0</v>
      </c>
      <c r="N234" s="9" t="n">
        <f aca="false">INDEX('Commercial View'!$N$2:$N$301,MATCH($A234,'Commercial View'!$A$2:$A$301,0))</f>
        <v>0</v>
      </c>
      <c r="O234" s="9" t="n">
        <f aca="false">INDEX(Segmentation!$L$2:$L$301,MATCH($A234,Segmentation!$A$2:$A$301,0))</f>
        <v>3</v>
      </c>
      <c r="P234" s="2" t="str">
        <f aca="false">IF(OR(M234&gt;0,N234&gt;0),"Recently Active",IF(OR(I234&lt;=Assumptions!$B$48,K234&lt;=Assumptions!$B$49),"No Meaningful History","Recent Inactivity"))</f>
        <v>No Meaningful History</v>
      </c>
      <c r="Q234" s="2" t="str">
        <f aca="false">INDEX(Segmentation!$AF$2:$AF$301,MATCH($A234,Segmentation!$A$2:$A$301,0))</f>
        <v>Existing Customer</v>
      </c>
      <c r="R234" s="2" t="str">
        <f aca="false">INDEX(Segmentation!$AL$2:$AL$301,MATCH($A234,Segmentation!$A$2:$A$301,0))</f>
        <v>N/A</v>
      </c>
      <c r="S234" s="10" t="b">
        <f aca="false">INDEX(Segmentation!$AW$2:$AW$301,MATCH($A234,Segmentation!$A$2:$A$301,0))</f>
        <v>0</v>
      </c>
      <c r="T234" s="2" t="str">
        <f aca="false">INDEX('Feature Data'!$AD$2:$AD$301,MATCH($A234,'Feature Data'!$A$2:$A$301,0))</f>
        <v>Engaged, not converting</v>
      </c>
      <c r="U234" s="2" t="str">
        <f aca="false">INDEX('Feature Data'!$W$2:$W$301,MATCH($A234,'Feature Data'!$A$2:$A$301,0))</f>
        <v>Handpick-only</v>
      </c>
      <c r="V234" s="2" t="n">
        <f aca="false">INDEX('Feature Data'!$P$2:$P$301,MATCH($A234,'Feature Data'!$A$2:$A$301,0))</f>
        <v>475</v>
      </c>
      <c r="W234" s="2" t="n">
        <f aca="false">INDEX(Segmentation!$R$2:$R$301,MATCH($A234,Segmentation!$A$2:$A$301,0))</f>
        <v>54</v>
      </c>
      <c r="X234" s="2" t="n">
        <f aca="false">INDEX(Segmentation!$S$2:$S$301,MATCH($A234,Segmentation!$A$2:$A$301,0))</f>
        <v>5</v>
      </c>
      <c r="Y234" s="10" t="b">
        <f aca="false">INDEX(Segmentation!$AG$2:$AG$301,MATCH($A234,Segmentation!$A$2:$A$301,0))</f>
        <v>0</v>
      </c>
      <c r="Z234" s="2" t="str">
        <f aca="false">INDEX(Segmentation!$AU$2:$AU$301,MATCH($A234,Segmentation!$A$2:$A$301,0))</f>
        <v>Not Eligible</v>
      </c>
      <c r="AA234" s="10" t="b">
        <f aca="false">INDEX(Segmentation!$Z$2:$Z$301,MATCH($A234,Segmentation!$A$2:$A$301,0))</f>
        <v>0</v>
      </c>
      <c r="AB234" s="10" t="b">
        <f aca="false">INDEX(Segmentation!$AH$2:$AH$301,MATCH($A234,Segmentation!$A$2:$A$301,0))</f>
        <v>0</v>
      </c>
      <c r="AC234" s="10" t="b">
        <f aca="false">INDEX(Segmentation!$AK$2:$AK$301,MATCH($A234,Segmentation!$A$2:$A$301,0))</f>
        <v>0</v>
      </c>
      <c r="AD234" s="10" t="b">
        <f aca="false">INDEX(Segmentation!$AQ$2:$AQ$301,MATCH($A234,Segmentation!$A$2:$A$301,0))</f>
        <v>0</v>
      </c>
      <c r="AE234" s="10" t="b">
        <f aca="false">INDEX(Segmentation!$AT$2:$AT$301,MATCH($A234,Segmentation!$A$2:$A$301,0))</f>
        <v>0</v>
      </c>
      <c r="AF234" s="10" t="b">
        <f aca="false">INDEX(Segmentation!$X$2:$X$301,MATCH($A234,Segmentation!$A$2:$A$301,0))</f>
        <v>1</v>
      </c>
      <c r="AG234" s="10" t="b">
        <f aca="false">AND(F234="Low",V234&gt;=Assumptions!$B$71,X234&lt;Assumptions!$B$72)</f>
        <v>0</v>
      </c>
      <c r="AH234" s="10" t="b">
        <f aca="false">AND(F234="Low",OR(G234="Growing",G234="Stable"),P234="Recently Active",V234&gt;=Assumptions!$B$58,K234&gt;=Assumptions!$B$73)</f>
        <v>0</v>
      </c>
      <c r="AI234" s="17" t="n">
        <f aca="false">IF(O234&gt;0,MAX(L234:N234)/O234,"")</f>
        <v>1</v>
      </c>
      <c r="AJ234" s="2" t="str">
        <f aca="false">IF(LEFT(D234,1)="1",IF(E234="Key","MIGRATION_KEY_SIGNOFF",IF(Z234="Ready","MIGRATION_PHASE1_READY",IF(Z234="Manual Review","MIGRATION_PHASE1_REVIEW","MIGRATION_PRE_ENTRY"))),IF(LEFT(D234,1)="2","DECLINING_KEY_CORE",IF(LEFT(D234,1)="3",IF(R234="Established Buyer Lapsed","LAPSED_ESTABLISHED","LAPSED_THIN_HISTORY"),IF(LEFT(D234,1)="4",IF(Q234="New Customer","NEW_CUSTOMER","RETURNED_CUSTOMER"),IF(LEFT(D234,1)="5",IF(P234="Recently Active","COST_TO_SERVE_ACTIVE","DORMANT_LOW_VALUE"),IF(LEFT(D234,1)="6",IF(P234="Recent Inactivity","RECENT_INACTIVITY",IF(AG234,"BROWSING_LOW_OFFERS","HEALTHY_STRONG_SELF_SERVE")),IF(LEFT(D234,1)="7",IF(P234="Recent Inactivity","RECENT_INACTIVITY",IF(Q234="New Customer","NEW_CUSTOMER","RETURNED_CUSTOMER")),IF(LEFT(D234,1)="8",IF(G234="Declining",IF(T234="Engaged but shrinking (Key/Core)","ENGAGED_BUT_SHRINKING","DECLINING_KEY_CORE"),IF(R234="Established Buyer Lapsed","LAPSED_ESTABLISHED","LAPSED_THIN_HISTORY")),IF(S234,IF(P234&lt;&gt;"Recently Active","DORMANT_LOW_VALUE",IF(AG234,"BROWSING_LOW_OFFERS",IF(AH234,"RISING_TAIL","RISING_TAIL_EARLY"))),IF(AND(AG234,P234="Recently Active",OR(G234="Growing",G234="Stable",G234="H2 Active / No H1 GMV"),I234&gt;=Assumptions!$B$74),"BROWSING_LOW_OFFERS","LONG_TAIL_STANDARD"))))))))))</f>
        <v>LONG_TAIL_STANDARD</v>
      </c>
      <c r="AK234" s="2" t="str">
        <f aca="false">INDEX('NBA Library'!$B$4:$B$21,MATCH(AJ234,'NBA Library'!$A$4:$A$21,0))</f>
        <v>Automated Nurture</v>
      </c>
      <c r="AL234" s="2" t="str">
        <f aca="false">INDEX('NBA Library'!$C$4:$C$21,MATCH(AJ234,'NBA Library'!$A$4:$A$21,0))</f>
        <v>Automated</v>
      </c>
      <c r="AM234" s="2" t="str">
        <f aca="false">IF(AA234,"HOLD — Critical Data Issue",IF(Y234,"Human Sign-Off Required",IF(Z234="Manual Review","Human Review Required",IF(AND(AL234="Automated",OR(AE234,AND(OR(AK234="Discovery-to-Offer Enablement",AK234="Reinforce Successful Behaviour"),OR(AC234,AB234)))),"Human Review Required",IF(AL234="Human","Ready — Human",IF(AL234="Hybrid","Ready — Hybrid","Ready — Automated"))))))</f>
        <v>Ready — Automated</v>
      </c>
      <c r="AN234" s="2" t="str">
        <f aca="false">IF(AA234,"P0",IF(AND(AJ234="BROWSING_LOW_OFFERS",E234="Tail"),"P3",IF(AND(AM234="Human Review Required",INDEX('NBA Library'!$D$4:$D$21,MATCH(AJ234,'NBA Library'!$A$4:$A$21,0))="P4"),"P3",INDEX('NBA Library'!$D$4:$D$21,MATCH(AJ234,'NBA Library'!$A$4:$A$21,0)))))</f>
        <v>P4</v>
      </c>
      <c r="AO234" s="2" t="str">
        <f aca="false">E234&amp;" "&amp;C234&amp;" account ("&amp;B234&amp;"); "&amp;G234&amp;" momentum; "&amp;P234&amp;"; £"&amp;TEXT(H234,"#,##0")&amp;" 6m GMV. "&amp;INDEX('NBA Library'!$G$4:$G$21,MATCH(AJ234,'NBA Library'!$A$4:$A$21,0))&amp;IF(LEFT(D234,1)="1"," Baseline: "&amp;V234&amp;" PDP views, "&amp;W234&amp;" app days, "&amp;X234&amp;" offers, "&amp;TEXT(J234/I234,"0%")&amp;" of orders self-serve.","")&amp;IF(AA234," Execution on HOLD until the Duplicate status is resolved.","")&amp;IF(Y234," Key account: explicit AM/leadership sign-off required before any migration activity.","")&amp;IF(AE234," Implied broker % from order counts would move this account to a different segment; review before automating.","")</f>
        <v>Tail Self-Serve account (Self Serve); Declining momentum; No Meaningful History; £395 6m GMV. Low-value, low-dependency account. Scalable automated engagement.</v>
      </c>
      <c r="AP234" s="2" t="str">
        <f aca="false">INDEX('NBA Library'!$E$4:$E$21,MATCH(AJ234,'NBA Library'!$A$4:$A$21,0))&amp;IF(AND(AJ234="NEW_CUSTOMER",AG234),"; introduce Make-an-Offer on items already browsed","")</f>
        <v>Scalable automated engagement matched to nurture sub-context</v>
      </c>
      <c r="AQ234" s="2" t="str">
        <f aca="false">INDEX('NBA Library'!$F$4:$F$21,MATCH(AJ234,'NBA Library'!$A$4:$A$21,0))</f>
        <v>Any repeat order within 90 days</v>
      </c>
      <c r="AR234" s="2" t="str">
        <f aca="false">IF(AND(F234="Low",OR(G234="Growing",G234="Stable"),P234="Recently Active",U234&lt;&gt;"Mixed",OR(AK234="Discovery-to-Offer Enablement",AK234="Reinforce Successful Behaviour"),AM234="Ready — Automated",OR(E234&lt;&gt;"Tail",S234)),"Range Expansion Test — trial "&amp;IF(U234="Bundle-only","handpick","bundles")&amp;" (experimental; not proven to lift GMV)","")</f>
        <v/>
      </c>
      <c r="AS234" s="2" t="str">
        <f aca="false">IF(AK234&lt;&gt;"Automated Nurture","",IF(AJ234="DORMANT_LOW_VALUE","Dormant",IF(AJ234="RISING_TAIL_EARLY","Rising tail – early pattern",IF(Q234="New Customer","New customer onboarding",IF(Q234="Returned Customer","Returned customer",IF(G234="Lapsed","Dormant",IF(T234="Engaged, not converting","Engaged, not converting",IF(T234="One-off low-touch buyer","One-off purchaser",IF(T234="Light-touch repeat buyer","Light-touch repeat buyer","Standard long tail")))))))))</f>
        <v>Engaged, not converting</v>
      </c>
      <c r="AT234" s="2" t="str">
        <f aca="false">IF(AA234,"CRITICAL_DATA_BLOCKER; ","")&amp;IF(Y234,"KEY_SIGNOFF; ","")&amp;IF(Z234="Manual Review","PHASE1_MANUAL_REVIEW; ","")&amp;IF(AND(LEFT(D234,1)="1",AZ234="Lumpy"),"LUMPY_CADENCE; ","")&amp;IF(AB234,"BORDERLINE_MOMENTUM; ","")&amp;IF(AC234,"FEB_SENSITIVE; ","")&amp;IF(AD234,"MATERIAL_BROKER_INCONSISTENCY"&amp;IF(AE234," (segment would change)","")&amp;"; ","")&amp;IF(AND(I234&gt;=3,O234&gt;0),IF(AI234&gt;=Assumptions!$B$75,"H2_SINGLE_MONTH_SPIKE; ",""),"")&amp;IF(AND(M234&gt;0,N234=0),"NO_FEB_GMV (Feb unconfirmed); ","")&amp;IF(AF234,"LOW_CONFIDENCE; ","")</f>
        <v>LOW_CONFIDENCE; </v>
      </c>
      <c r="AU234" s="2" t="str">
        <f aca="false">IF(LEFT(D234,1)="1",V234,"")</f>
        <v/>
      </c>
      <c r="AV234" s="2" t="str">
        <f aca="false">IF(LEFT(D234,1)="1",V234&gt;=Assumptions!$B$58,"")</f>
        <v/>
      </c>
      <c r="AW234" s="2" t="str">
        <f aca="false">IF(LEFT(D234,1)="1",W234,"")</f>
        <v/>
      </c>
      <c r="AX234" s="2" t="str">
        <f aca="false">IF(LEFT(D234,1)="1",X234,"")</f>
        <v/>
      </c>
      <c r="AY234" s="17" t="str">
        <f aca="false">IF(LEFT(D234,1)="1",J234/I234,"")</f>
        <v/>
      </c>
      <c r="AZ234" s="2" t="str">
        <f aca="false">IF(LEFT(D234,1)="1",IF(AND(K234&gt;=Assumptions!$B$83,I234&gt;=Assumptions!$B$84),"Regular","Lumpy"),"")</f>
        <v/>
      </c>
      <c r="BA234" s="2" t="str">
        <f aca="false">IF(LEFT(D234,1)="1",ROUND(6/K234,0),"")</f>
        <v/>
      </c>
      <c r="BB234" s="2" t="str">
        <f aca="false">IF(LEFT(D234,1)="1",IF(AZ234="Regular","Regular buyer: expected ~£"&amp;TEXT(H234/2,"#,##0")&amp;" per 90 days. At Risk if GMV to date &lt; "&amp;TEXT(Assumptions!$B$81,"0%")&amp;" of pro-rated expectation, checked from day "&amp;Assumptions!$B$82&amp;". Human-reviewed.","Irregular buyer ("&amp;I234&amp;" orders across "&amp;K234&amp;" months): no numeric GMV threshold. At Risk if no order within ~"&amp;BA234&amp;" month(s); AM reviews at day "&amp;Assumptions!$B$82&amp;" and "&amp;Assumptions!$B$85&amp;"."),"")</f>
        <v/>
      </c>
      <c r="BC234" s="2"/>
      <c r="BD234" s="2"/>
      <c r="BE234" s="2"/>
      <c r="BF234" s="2"/>
      <c r="BG234" s="2"/>
      <c r="BH234" s="2"/>
      <c r="BI234" s="2"/>
      <c r="BJ234" s="2" t="str">
        <f aca="false">IF(OR(NOT(LEFT(D234,1)="1"),BC234=""),"",IF(AZ234="Regular",AND(BC234&gt;=Assumptions!$B$82,N(BI234)&lt;Assumptions!$B$81*H234/180*BC234),AND(BC234&gt;=BA234*30,N(BG234)=0)))</f>
        <v/>
      </c>
      <c r="BK234" s="2" t="str">
        <f aca="false">IF(NOT(LEFT(D234,1)="1"),"N/A",IF(BC234="","Baseline",IF(BJ234,"At Risk",IF(AND(N(BD234)&gt;=Assumptions!$B$78,N(BE234)&gt;=Assumptions!$B$79,N(BH234)&gt;=1,N(BH234)/MAX(N(BG234),1)&gt;AY234),"Self-Serve Capability Demonstrated",IF(OR(N(BD234)&gt;=Assumptions!$B$76,N(BE234)&gt;=Assumptions!$B$77),"Progressing",IF(BC234&gt;=Assumptions!$B$85,"At Risk","Baseline"))))))</f>
        <v>N/A</v>
      </c>
      <c r="BL234" s="2" t="n">
        <f aca="false">(AND(C234="Broker-Reliant",OR(AK234="Discovery-to-Offer Enablement",AK234="Reinforce Successful Behaviour")))*1+(AND(G234="Declining",E234&lt;&gt;"Tail",AL234="Automated"))*1+(AND(Y234,AM234&lt;&gt;"Human Sign-Off Required"))*1+(AND(AA234,AM234&lt;&gt;"HOLD — Critical Data Issue"))*1+(AND(P234="Recent Inactivity",OR(AK234="Discovery-to-Offer Enablement",AK234="Reinforce Successful Behaviour")))*1+(AND(OR(LEFT(D234,1)="2",LEFT(D234,1)="3",LEFT(D234,1)="8"),AL234="Automated"))*1+((LEFT(D234,1)="1")&lt;&gt;(AK234="Guided Self-Serve Migration"))*1+(AND(AR234&lt;&gt;"",OR(F234&lt;&gt;"Low",U234="Mixed",AND(G234&lt;&gt;"Growing",G234&lt;&gt;"Stable"))))*1+ISNUMBER(SEARCH("chat",AP234))*1+ISNUMBER(SEARCH("video",AP234))*1+(AND(AA234,AL234="Automated",AM234&lt;&gt;"HOLD — Critical Data Issue"))*1</f>
        <v>0</v>
      </c>
    </row>
    <row r="235" customFormat="false" ht="15" hidden="false" customHeight="false" outlineLevel="0" collapsed="false">
      <c r="A235" s="2" t="s">
        <v>722</v>
      </c>
      <c r="B235" s="2" t="str">
        <f aca="false">INDEX(Segmentation!$B$2:$B$301,MATCH($A235,Segmentation!$A$2:$A$301,0))</f>
        <v>Self Serve</v>
      </c>
      <c r="C235" s="2" t="str">
        <f aca="false">INDEX(Segmentation!$H$2:$H$301,MATCH($A235,Segmentation!$A$2:$A$301,0))</f>
        <v>Self-Serve</v>
      </c>
      <c r="D235" s="2" t="str">
        <f aca="false">INDEX(Segmentation!$T$2:$T$301,MATCH($A235,Segmentation!$A$2:$A$301,0))</f>
        <v>9. Long-Tail Automated Nurture</v>
      </c>
      <c r="E235" s="2" t="str">
        <f aca="false">INDEX(Segmentation!$J$2:$J$301,MATCH($A235,Segmentation!$A$2:$A$301,0))</f>
        <v>Tail</v>
      </c>
      <c r="F235" s="2" t="str">
        <f aca="false">INDEX(Segmentation!$G$2:$G$301,MATCH($A235,Segmentation!$A$2:$A$301,0))</f>
        <v>Low</v>
      </c>
      <c r="G235" s="2" t="str">
        <f aca="false">INDEX(Segmentation!$N$2:$N$301,MATCH($A235,Segmentation!$A$2:$A$301,0))</f>
        <v>H2 Active / No H1 GMV</v>
      </c>
      <c r="H235" s="9" t="n">
        <f aca="false">INDEX(Segmentation!$I$2:$I$301,MATCH($A235,Segmentation!$A$2:$A$301,0))</f>
        <v>393</v>
      </c>
      <c r="I235" s="2" t="n">
        <f aca="false">INDEX(Segmentation!$O$2:$O$301,MATCH($A235,Segmentation!$A$2:$A$301,0))</f>
        <v>1</v>
      </c>
      <c r="J235" s="2" t="n">
        <f aca="false">INDEX(Segmentation!$Q$2:$Q$301,MATCH($A235,Segmentation!$A$2:$A$301,0))</f>
        <v>1</v>
      </c>
      <c r="K235" s="2" t="n">
        <f aca="false">INDEX(Segmentation!$W$2:$W$301,MATCH($A235,Segmentation!$A$2:$A$301,0))</f>
        <v>1</v>
      </c>
      <c r="L235" s="9" t="n">
        <f aca="false">INDEX('Commercial View'!$L$2:$L$301,MATCH($A235,'Commercial View'!$A$2:$A$301,0))</f>
        <v>0</v>
      </c>
      <c r="M235" s="9" t="n">
        <f aca="false">INDEX('Commercial View'!$M$2:$M$301,MATCH($A235,'Commercial View'!$A$2:$A$301,0))</f>
        <v>0</v>
      </c>
      <c r="N235" s="9" t="n">
        <f aca="false">INDEX('Commercial View'!$N$2:$N$301,MATCH($A235,'Commercial View'!$A$2:$A$301,0))</f>
        <v>393</v>
      </c>
      <c r="O235" s="9" t="n">
        <f aca="false">INDEX(Segmentation!$L$2:$L$301,MATCH($A235,Segmentation!$A$2:$A$301,0))</f>
        <v>393</v>
      </c>
      <c r="P235" s="2" t="str">
        <f aca="false">IF(OR(M235&gt;0,N235&gt;0),"Recently Active",IF(OR(I235&lt;=Assumptions!$B$48,K235&lt;=Assumptions!$B$49),"No Meaningful History","Recent Inactivity"))</f>
        <v>Recently Active</v>
      </c>
      <c r="Q235" s="2" t="str">
        <f aca="false">INDEX(Segmentation!$AF$2:$AF$301,MATCH($A235,Segmentation!$A$2:$A$301,0))</f>
        <v>New Customer</v>
      </c>
      <c r="R235" s="2" t="str">
        <f aca="false">INDEX(Segmentation!$AL$2:$AL$301,MATCH($A235,Segmentation!$A$2:$A$301,0))</f>
        <v>N/A</v>
      </c>
      <c r="S235" s="10" t="b">
        <f aca="false">INDEX(Segmentation!$AW$2:$AW$301,MATCH($A235,Segmentation!$A$2:$A$301,0))</f>
        <v>0</v>
      </c>
      <c r="T235" s="2" t="str">
        <f aca="false">INDEX('Feature Data'!$AD$2:$AD$301,MATCH($A235,'Feature Data'!$A$2:$A$301,0))</f>
        <v>One-off low-touch buyer</v>
      </c>
      <c r="U235" s="2" t="str">
        <f aca="false">INDEX('Feature Data'!$W$2:$W$301,MATCH($A235,'Feature Data'!$A$2:$A$301,0))</f>
        <v>Bundle-only</v>
      </c>
      <c r="V235" s="2" t="n">
        <f aca="false">INDEX('Feature Data'!$P$2:$P$301,MATCH($A235,'Feature Data'!$A$2:$A$301,0))</f>
        <v>0</v>
      </c>
      <c r="W235" s="2" t="n">
        <f aca="false">INDEX(Segmentation!$R$2:$R$301,MATCH($A235,Segmentation!$A$2:$A$301,0))</f>
        <v>1</v>
      </c>
      <c r="X235" s="2" t="n">
        <f aca="false">INDEX(Segmentation!$S$2:$S$301,MATCH($A235,Segmentation!$A$2:$A$301,0))</f>
        <v>1</v>
      </c>
      <c r="Y235" s="10" t="b">
        <f aca="false">INDEX(Segmentation!$AG$2:$AG$301,MATCH($A235,Segmentation!$A$2:$A$301,0))</f>
        <v>0</v>
      </c>
      <c r="Z235" s="2" t="str">
        <f aca="false">INDEX(Segmentation!$AU$2:$AU$301,MATCH($A235,Segmentation!$A$2:$A$301,0))</f>
        <v>Not Eligible</v>
      </c>
      <c r="AA235" s="10" t="b">
        <f aca="false">INDEX(Segmentation!$Z$2:$Z$301,MATCH($A235,Segmentation!$A$2:$A$301,0))</f>
        <v>0</v>
      </c>
      <c r="AB235" s="10" t="b">
        <f aca="false">INDEX(Segmentation!$AH$2:$AH$301,MATCH($A235,Segmentation!$A$2:$A$301,0))</f>
        <v>0</v>
      </c>
      <c r="AC235" s="10" t="b">
        <f aca="false">INDEX(Segmentation!$AK$2:$AK$301,MATCH($A235,Segmentation!$A$2:$A$301,0))</f>
        <v>1</v>
      </c>
      <c r="AD235" s="10" t="b">
        <f aca="false">INDEX(Segmentation!$AQ$2:$AQ$301,MATCH($A235,Segmentation!$A$2:$A$301,0))</f>
        <v>0</v>
      </c>
      <c r="AE235" s="10" t="b">
        <f aca="false">INDEX(Segmentation!$AT$2:$AT$301,MATCH($A235,Segmentation!$A$2:$A$301,0))</f>
        <v>0</v>
      </c>
      <c r="AF235" s="10" t="b">
        <f aca="false">INDEX(Segmentation!$X$2:$X$301,MATCH($A235,Segmentation!$A$2:$A$301,0))</f>
        <v>1</v>
      </c>
      <c r="AG235" s="10" t="b">
        <f aca="false">AND(F235="Low",V235&gt;=Assumptions!$B$71,X235&lt;Assumptions!$B$72)</f>
        <v>0</v>
      </c>
      <c r="AH235" s="10" t="b">
        <f aca="false">AND(F235="Low",OR(G235="Growing",G235="Stable"),P235="Recently Active",V235&gt;=Assumptions!$B$58,K235&gt;=Assumptions!$B$73)</f>
        <v>0</v>
      </c>
      <c r="AI235" s="17" t="n">
        <f aca="false">IF(O235&gt;0,MAX(L235:N235)/O235,"")</f>
        <v>1</v>
      </c>
      <c r="AJ235" s="2" t="str">
        <f aca="false">IF(LEFT(D235,1)="1",IF(E235="Key","MIGRATION_KEY_SIGNOFF",IF(Z235="Ready","MIGRATION_PHASE1_READY",IF(Z235="Manual Review","MIGRATION_PHASE1_REVIEW","MIGRATION_PRE_ENTRY"))),IF(LEFT(D235,1)="2","DECLINING_KEY_CORE",IF(LEFT(D235,1)="3",IF(R235="Established Buyer Lapsed","LAPSED_ESTABLISHED","LAPSED_THIN_HISTORY"),IF(LEFT(D235,1)="4",IF(Q235="New Customer","NEW_CUSTOMER","RETURNED_CUSTOMER"),IF(LEFT(D235,1)="5",IF(P235="Recently Active","COST_TO_SERVE_ACTIVE","DORMANT_LOW_VALUE"),IF(LEFT(D235,1)="6",IF(P235="Recent Inactivity","RECENT_INACTIVITY",IF(AG235,"BROWSING_LOW_OFFERS","HEALTHY_STRONG_SELF_SERVE")),IF(LEFT(D235,1)="7",IF(P235="Recent Inactivity","RECENT_INACTIVITY",IF(Q235="New Customer","NEW_CUSTOMER","RETURNED_CUSTOMER")),IF(LEFT(D235,1)="8",IF(G235="Declining",IF(T235="Engaged but shrinking (Key/Core)","ENGAGED_BUT_SHRINKING","DECLINING_KEY_CORE"),IF(R235="Established Buyer Lapsed","LAPSED_ESTABLISHED","LAPSED_THIN_HISTORY")),IF(S235,IF(P235&lt;&gt;"Recently Active","DORMANT_LOW_VALUE",IF(AG235,"BROWSING_LOW_OFFERS",IF(AH235,"RISING_TAIL","RISING_TAIL_EARLY"))),IF(AND(AG235,P235="Recently Active",OR(G235="Growing",G235="Stable",G235="H2 Active / No H1 GMV"),I235&gt;=Assumptions!$B$74),"BROWSING_LOW_OFFERS","LONG_TAIL_STANDARD"))))))))))</f>
        <v>LONG_TAIL_STANDARD</v>
      </c>
      <c r="AK235" s="2" t="str">
        <f aca="false">INDEX('NBA Library'!$B$4:$B$21,MATCH(AJ235,'NBA Library'!$A$4:$A$21,0))</f>
        <v>Automated Nurture</v>
      </c>
      <c r="AL235" s="2" t="str">
        <f aca="false">INDEX('NBA Library'!$C$4:$C$21,MATCH(AJ235,'NBA Library'!$A$4:$A$21,0))</f>
        <v>Automated</v>
      </c>
      <c r="AM235" s="2" t="str">
        <f aca="false">IF(AA235,"HOLD — Critical Data Issue",IF(Y235,"Human Sign-Off Required",IF(Z235="Manual Review","Human Review Required",IF(AND(AL235="Automated",OR(AE235,AND(OR(AK235="Discovery-to-Offer Enablement",AK235="Reinforce Successful Behaviour"),OR(AC235,AB235)))),"Human Review Required",IF(AL235="Human","Ready — Human",IF(AL235="Hybrid","Ready — Hybrid","Ready — Automated"))))))</f>
        <v>Ready — Automated</v>
      </c>
      <c r="AN235" s="2" t="str">
        <f aca="false">IF(AA235,"P0",IF(AND(AJ235="BROWSING_LOW_OFFERS",E235="Tail"),"P3",IF(AND(AM235="Human Review Required",INDEX('NBA Library'!$D$4:$D$21,MATCH(AJ235,'NBA Library'!$A$4:$A$21,0))="P4"),"P3",INDEX('NBA Library'!$D$4:$D$21,MATCH(AJ235,'NBA Library'!$A$4:$A$21,0)))))</f>
        <v>P4</v>
      </c>
      <c r="AO235" s="2" t="str">
        <f aca="false">E235&amp;" "&amp;C235&amp;" account ("&amp;B235&amp;"); "&amp;G235&amp;" momentum; "&amp;P235&amp;"; £"&amp;TEXT(H235,"#,##0")&amp;" 6m GMV. "&amp;INDEX('NBA Library'!$G$4:$G$21,MATCH(AJ235,'NBA Library'!$A$4:$A$21,0))&amp;IF(LEFT(D235,1)="1"," Baseline: "&amp;V235&amp;" PDP views, "&amp;W235&amp;" app days, "&amp;X235&amp;" offers, "&amp;TEXT(J235/I235,"0%")&amp;" of orders self-serve.","")&amp;IF(AA235," Execution on HOLD until the Duplicate status is resolved.","")&amp;IF(Y235," Key account: explicit AM/leadership sign-off required before any migration activity.","")&amp;IF(AE235," Implied broker % from order counts would move this account to a different segment; review before automating.","")</f>
        <v>Tail Self-Serve account (Self Serve); H2 Active / No H1 GMV momentum; Recently Active; £393 6m GMV. Low-value, low-dependency account. Scalable automated engagement.</v>
      </c>
      <c r="AP235" s="2" t="str">
        <f aca="false">INDEX('NBA Library'!$E$4:$E$21,MATCH(AJ235,'NBA Library'!$A$4:$A$21,0))&amp;IF(AND(AJ235="NEW_CUSTOMER",AG235),"; introduce Make-an-Offer on items already browsed","")</f>
        <v>Scalable automated engagement matched to nurture sub-context</v>
      </c>
      <c r="AQ235" s="2" t="str">
        <f aca="false">INDEX('NBA Library'!$F$4:$F$21,MATCH(AJ235,'NBA Library'!$A$4:$A$21,0))</f>
        <v>Any repeat order within 90 days</v>
      </c>
      <c r="AR235" s="2" t="str">
        <f aca="false">IF(AND(F235="Low",OR(G235="Growing",G235="Stable"),P235="Recently Active",U235&lt;&gt;"Mixed",OR(AK235="Discovery-to-Offer Enablement",AK235="Reinforce Successful Behaviour"),AM235="Ready — Automated",OR(E235&lt;&gt;"Tail",S235)),"Range Expansion Test — trial "&amp;IF(U235="Bundle-only","handpick","bundles")&amp;" (experimental; not proven to lift GMV)","")</f>
        <v/>
      </c>
      <c r="AS235" s="2" t="str">
        <f aca="false">IF(AK235&lt;&gt;"Automated Nurture","",IF(AJ235="DORMANT_LOW_VALUE","Dormant",IF(AJ235="RISING_TAIL_EARLY","Rising tail – early pattern",IF(Q235="New Customer","New customer onboarding",IF(Q235="Returned Customer","Returned customer",IF(G235="Lapsed","Dormant",IF(T235="Engaged, not converting","Engaged, not converting",IF(T235="One-off low-touch buyer","One-off purchaser",IF(T235="Light-touch repeat buyer","Light-touch repeat buyer","Standard long tail")))))))))</f>
        <v>New customer onboarding</v>
      </c>
      <c r="AT235" s="2" t="str">
        <f aca="false">IF(AA235,"CRITICAL_DATA_BLOCKER; ","")&amp;IF(Y235,"KEY_SIGNOFF; ","")&amp;IF(Z235="Manual Review","PHASE1_MANUAL_REVIEW; ","")&amp;IF(AND(LEFT(D235,1)="1",AZ235="Lumpy"),"LUMPY_CADENCE; ","")&amp;IF(AB235,"BORDERLINE_MOMENTUM; ","")&amp;IF(AC235,"FEB_SENSITIVE; ","")&amp;IF(AD235,"MATERIAL_BROKER_INCONSISTENCY"&amp;IF(AE235," (segment would change)","")&amp;"; ","")&amp;IF(AND(I235&gt;=3,O235&gt;0),IF(AI235&gt;=Assumptions!$B$75,"H2_SINGLE_MONTH_SPIKE; ",""),"")&amp;IF(AND(M235&gt;0,N235=0),"NO_FEB_GMV (Feb unconfirmed); ","")&amp;IF(AF235,"LOW_CONFIDENCE; ","")</f>
        <v>FEB_SENSITIVE; LOW_CONFIDENCE; </v>
      </c>
      <c r="AU235" s="2" t="str">
        <f aca="false">IF(LEFT(D235,1)="1",V235,"")</f>
        <v/>
      </c>
      <c r="AV235" s="2" t="str">
        <f aca="false">IF(LEFT(D235,1)="1",V235&gt;=Assumptions!$B$58,"")</f>
        <v/>
      </c>
      <c r="AW235" s="2" t="str">
        <f aca="false">IF(LEFT(D235,1)="1",W235,"")</f>
        <v/>
      </c>
      <c r="AX235" s="2" t="str">
        <f aca="false">IF(LEFT(D235,1)="1",X235,"")</f>
        <v/>
      </c>
      <c r="AY235" s="17" t="str">
        <f aca="false">IF(LEFT(D235,1)="1",J235/I235,"")</f>
        <v/>
      </c>
      <c r="AZ235" s="2" t="str">
        <f aca="false">IF(LEFT(D235,1)="1",IF(AND(K235&gt;=Assumptions!$B$83,I235&gt;=Assumptions!$B$84),"Regular","Lumpy"),"")</f>
        <v/>
      </c>
      <c r="BA235" s="2" t="str">
        <f aca="false">IF(LEFT(D235,1)="1",ROUND(6/K235,0),"")</f>
        <v/>
      </c>
      <c r="BB235" s="2" t="str">
        <f aca="false">IF(LEFT(D235,1)="1",IF(AZ235="Regular","Regular buyer: expected ~£"&amp;TEXT(H235/2,"#,##0")&amp;" per 90 days. At Risk if GMV to date &lt; "&amp;TEXT(Assumptions!$B$81,"0%")&amp;" of pro-rated expectation, checked from day "&amp;Assumptions!$B$82&amp;". Human-reviewed.","Irregular buyer ("&amp;I235&amp;" orders across "&amp;K235&amp;" months): no numeric GMV threshold. At Risk if no order within ~"&amp;BA235&amp;" month(s); AM reviews at day "&amp;Assumptions!$B$82&amp;" and "&amp;Assumptions!$B$85&amp;"."),"")</f>
        <v/>
      </c>
      <c r="BC235" s="2"/>
      <c r="BD235" s="2"/>
      <c r="BE235" s="2"/>
      <c r="BF235" s="2"/>
      <c r="BG235" s="2"/>
      <c r="BH235" s="2"/>
      <c r="BI235" s="2"/>
      <c r="BJ235" s="2" t="str">
        <f aca="false">IF(OR(NOT(LEFT(D235,1)="1"),BC235=""),"",IF(AZ235="Regular",AND(BC235&gt;=Assumptions!$B$82,N(BI235)&lt;Assumptions!$B$81*H235/180*BC235),AND(BC235&gt;=BA235*30,N(BG235)=0)))</f>
        <v/>
      </c>
      <c r="BK235" s="2" t="str">
        <f aca="false">IF(NOT(LEFT(D235,1)="1"),"N/A",IF(BC235="","Baseline",IF(BJ235,"At Risk",IF(AND(N(BD235)&gt;=Assumptions!$B$78,N(BE235)&gt;=Assumptions!$B$79,N(BH235)&gt;=1,N(BH235)/MAX(N(BG235),1)&gt;AY235),"Self-Serve Capability Demonstrated",IF(OR(N(BD235)&gt;=Assumptions!$B$76,N(BE235)&gt;=Assumptions!$B$77),"Progressing",IF(BC235&gt;=Assumptions!$B$85,"At Risk","Baseline"))))))</f>
        <v>N/A</v>
      </c>
      <c r="BL235" s="2" t="n">
        <f aca="false">(AND(C235="Broker-Reliant",OR(AK235="Discovery-to-Offer Enablement",AK235="Reinforce Successful Behaviour")))*1+(AND(G235="Declining",E235&lt;&gt;"Tail",AL235="Automated"))*1+(AND(Y235,AM235&lt;&gt;"Human Sign-Off Required"))*1+(AND(AA235,AM235&lt;&gt;"HOLD — Critical Data Issue"))*1+(AND(P235="Recent Inactivity",OR(AK235="Discovery-to-Offer Enablement",AK235="Reinforce Successful Behaviour")))*1+(AND(OR(LEFT(D235,1)="2",LEFT(D235,1)="3",LEFT(D235,1)="8"),AL235="Automated"))*1+((LEFT(D235,1)="1")&lt;&gt;(AK235="Guided Self-Serve Migration"))*1+(AND(AR235&lt;&gt;"",OR(F235&lt;&gt;"Low",U235="Mixed",AND(G235&lt;&gt;"Growing",G235&lt;&gt;"Stable"))))*1+ISNUMBER(SEARCH("chat",AP235))*1+ISNUMBER(SEARCH("video",AP235))*1+(AND(AA235,AL235="Automated",AM235&lt;&gt;"HOLD — Critical Data Issue"))*1</f>
        <v>0</v>
      </c>
    </row>
    <row r="236" customFormat="false" ht="15" hidden="false" customHeight="false" outlineLevel="0" collapsed="false">
      <c r="A236" s="2" t="s">
        <v>728</v>
      </c>
      <c r="B236" s="2" t="str">
        <f aca="false">INDEX(Segmentation!$B$2:$B$301,MATCH($A236,Segmentation!$A$2:$A$301,0))</f>
        <v>Self Serve</v>
      </c>
      <c r="C236" s="2" t="str">
        <f aca="false">INDEX(Segmentation!$H$2:$H$301,MATCH($A236,Segmentation!$A$2:$A$301,0))</f>
        <v>Self-Serve</v>
      </c>
      <c r="D236" s="2" t="str">
        <f aca="false">INDEX(Segmentation!$T$2:$T$301,MATCH($A236,Segmentation!$A$2:$A$301,0))</f>
        <v>9. Long-Tail Automated Nurture</v>
      </c>
      <c r="E236" s="2" t="str">
        <f aca="false">INDEX(Segmentation!$J$2:$J$301,MATCH($A236,Segmentation!$A$2:$A$301,0))</f>
        <v>Tail</v>
      </c>
      <c r="F236" s="2" t="str">
        <f aca="false">INDEX(Segmentation!$G$2:$G$301,MATCH($A236,Segmentation!$A$2:$A$301,0))</f>
        <v>Low</v>
      </c>
      <c r="G236" s="2" t="str">
        <f aca="false">INDEX(Segmentation!$N$2:$N$301,MATCH($A236,Segmentation!$A$2:$A$301,0))</f>
        <v>H2 Active / No H1 GMV</v>
      </c>
      <c r="H236" s="9" t="n">
        <f aca="false">INDEX(Segmentation!$I$2:$I$301,MATCH($A236,Segmentation!$A$2:$A$301,0))</f>
        <v>384</v>
      </c>
      <c r="I236" s="2" t="n">
        <f aca="false">INDEX(Segmentation!$O$2:$O$301,MATCH($A236,Segmentation!$A$2:$A$301,0))</f>
        <v>1</v>
      </c>
      <c r="J236" s="2" t="n">
        <f aca="false">INDEX(Segmentation!$Q$2:$Q$301,MATCH($A236,Segmentation!$A$2:$A$301,0))</f>
        <v>1</v>
      </c>
      <c r="K236" s="2" t="n">
        <f aca="false">INDEX(Segmentation!$W$2:$W$301,MATCH($A236,Segmentation!$A$2:$A$301,0))</f>
        <v>1</v>
      </c>
      <c r="L236" s="9" t="n">
        <f aca="false">INDEX('Commercial View'!$L$2:$L$301,MATCH($A236,'Commercial View'!$A$2:$A$301,0))</f>
        <v>0</v>
      </c>
      <c r="M236" s="9" t="n">
        <f aca="false">INDEX('Commercial View'!$M$2:$M$301,MATCH($A236,'Commercial View'!$A$2:$A$301,0))</f>
        <v>384</v>
      </c>
      <c r="N236" s="9" t="n">
        <f aca="false">INDEX('Commercial View'!$N$2:$N$301,MATCH($A236,'Commercial View'!$A$2:$A$301,0))</f>
        <v>0</v>
      </c>
      <c r="O236" s="9" t="n">
        <f aca="false">INDEX(Segmentation!$L$2:$L$301,MATCH($A236,Segmentation!$A$2:$A$301,0))</f>
        <v>384</v>
      </c>
      <c r="P236" s="2" t="str">
        <f aca="false">IF(OR(M236&gt;0,N236&gt;0),"Recently Active",IF(OR(I236&lt;=Assumptions!$B$48,K236&lt;=Assumptions!$B$49),"No Meaningful History","Recent Inactivity"))</f>
        <v>Recently Active</v>
      </c>
      <c r="Q236" s="2" t="str">
        <f aca="false">INDEX(Segmentation!$AF$2:$AF$301,MATCH($A236,Segmentation!$A$2:$A$301,0))</f>
        <v>New Customer</v>
      </c>
      <c r="R236" s="2" t="str">
        <f aca="false">INDEX(Segmentation!$AL$2:$AL$301,MATCH($A236,Segmentation!$A$2:$A$301,0))</f>
        <v>N/A</v>
      </c>
      <c r="S236" s="10" t="b">
        <f aca="false">INDEX(Segmentation!$AW$2:$AW$301,MATCH($A236,Segmentation!$A$2:$A$301,0))</f>
        <v>0</v>
      </c>
      <c r="T236" s="2" t="str">
        <f aca="false">INDEX('Feature Data'!$AD$2:$AD$301,MATCH($A236,'Feature Data'!$A$2:$A$301,0))</f>
        <v>Engaged, not converting</v>
      </c>
      <c r="U236" s="2" t="str">
        <f aca="false">INDEX('Feature Data'!$W$2:$W$301,MATCH($A236,'Feature Data'!$A$2:$A$301,0))</f>
        <v>Bundle-only</v>
      </c>
      <c r="V236" s="2" t="n">
        <f aca="false">INDEX('Feature Data'!$P$2:$P$301,MATCH($A236,'Feature Data'!$A$2:$A$301,0))</f>
        <v>308</v>
      </c>
      <c r="W236" s="2" t="n">
        <f aca="false">INDEX(Segmentation!$R$2:$R$301,MATCH($A236,Segmentation!$A$2:$A$301,0))</f>
        <v>41</v>
      </c>
      <c r="X236" s="2" t="n">
        <f aca="false">INDEX(Segmentation!$S$2:$S$301,MATCH($A236,Segmentation!$A$2:$A$301,0))</f>
        <v>1</v>
      </c>
      <c r="Y236" s="10" t="b">
        <f aca="false">INDEX(Segmentation!$AG$2:$AG$301,MATCH($A236,Segmentation!$A$2:$A$301,0))</f>
        <v>0</v>
      </c>
      <c r="Z236" s="2" t="str">
        <f aca="false">INDEX(Segmentation!$AU$2:$AU$301,MATCH($A236,Segmentation!$A$2:$A$301,0))</f>
        <v>Not Eligible</v>
      </c>
      <c r="AA236" s="10" t="b">
        <f aca="false">INDEX(Segmentation!$Z$2:$Z$301,MATCH($A236,Segmentation!$A$2:$A$301,0))</f>
        <v>0</v>
      </c>
      <c r="AB236" s="10" t="b">
        <f aca="false">INDEX(Segmentation!$AH$2:$AH$301,MATCH($A236,Segmentation!$A$2:$A$301,0))</f>
        <v>0</v>
      </c>
      <c r="AC236" s="10" t="b">
        <f aca="false">INDEX(Segmentation!$AK$2:$AK$301,MATCH($A236,Segmentation!$A$2:$A$301,0))</f>
        <v>0</v>
      </c>
      <c r="AD236" s="10" t="b">
        <f aca="false">INDEX(Segmentation!$AQ$2:$AQ$301,MATCH($A236,Segmentation!$A$2:$A$301,0))</f>
        <v>0</v>
      </c>
      <c r="AE236" s="10" t="b">
        <f aca="false">INDEX(Segmentation!$AT$2:$AT$301,MATCH($A236,Segmentation!$A$2:$A$301,0))</f>
        <v>0</v>
      </c>
      <c r="AF236" s="10" t="b">
        <f aca="false">INDEX(Segmentation!$X$2:$X$301,MATCH($A236,Segmentation!$A$2:$A$301,0))</f>
        <v>1</v>
      </c>
      <c r="AG236" s="10" t="b">
        <f aca="false">AND(F236="Low",V236&gt;=Assumptions!$B$71,X236&lt;Assumptions!$B$72)</f>
        <v>1</v>
      </c>
      <c r="AH236" s="10" t="b">
        <f aca="false">AND(F236="Low",OR(G236="Growing",G236="Stable"),P236="Recently Active",V236&gt;=Assumptions!$B$58,K236&gt;=Assumptions!$B$73)</f>
        <v>0</v>
      </c>
      <c r="AI236" s="17" t="n">
        <f aca="false">IF(O236&gt;0,MAX(L236:N236)/O236,"")</f>
        <v>1</v>
      </c>
      <c r="AJ236" s="2" t="str">
        <f aca="false">IF(LEFT(D236,1)="1",IF(E236="Key","MIGRATION_KEY_SIGNOFF",IF(Z236="Ready","MIGRATION_PHASE1_READY",IF(Z236="Manual Review","MIGRATION_PHASE1_REVIEW","MIGRATION_PRE_ENTRY"))),IF(LEFT(D236,1)="2","DECLINING_KEY_CORE",IF(LEFT(D236,1)="3",IF(R236="Established Buyer Lapsed","LAPSED_ESTABLISHED","LAPSED_THIN_HISTORY"),IF(LEFT(D236,1)="4",IF(Q236="New Customer","NEW_CUSTOMER","RETURNED_CUSTOMER"),IF(LEFT(D236,1)="5",IF(P236="Recently Active","COST_TO_SERVE_ACTIVE","DORMANT_LOW_VALUE"),IF(LEFT(D236,1)="6",IF(P236="Recent Inactivity","RECENT_INACTIVITY",IF(AG236,"BROWSING_LOW_OFFERS","HEALTHY_STRONG_SELF_SERVE")),IF(LEFT(D236,1)="7",IF(P236="Recent Inactivity","RECENT_INACTIVITY",IF(Q236="New Customer","NEW_CUSTOMER","RETURNED_CUSTOMER")),IF(LEFT(D236,1)="8",IF(G236="Declining",IF(T236="Engaged but shrinking (Key/Core)","ENGAGED_BUT_SHRINKING","DECLINING_KEY_CORE"),IF(R236="Established Buyer Lapsed","LAPSED_ESTABLISHED","LAPSED_THIN_HISTORY")),IF(S236,IF(P236&lt;&gt;"Recently Active","DORMANT_LOW_VALUE",IF(AG236,"BROWSING_LOW_OFFERS",IF(AH236,"RISING_TAIL","RISING_TAIL_EARLY"))),IF(AND(AG236,P236="Recently Active",OR(G236="Growing",G236="Stable",G236="H2 Active / No H1 GMV"),I236&gt;=Assumptions!$B$74),"BROWSING_LOW_OFFERS","LONG_TAIL_STANDARD"))))))))))</f>
        <v>LONG_TAIL_STANDARD</v>
      </c>
      <c r="AK236" s="2" t="str">
        <f aca="false">INDEX('NBA Library'!$B$4:$B$21,MATCH(AJ236,'NBA Library'!$A$4:$A$21,0))</f>
        <v>Automated Nurture</v>
      </c>
      <c r="AL236" s="2" t="str">
        <f aca="false">INDEX('NBA Library'!$C$4:$C$21,MATCH(AJ236,'NBA Library'!$A$4:$A$21,0))</f>
        <v>Automated</v>
      </c>
      <c r="AM236" s="2" t="str">
        <f aca="false">IF(AA236,"HOLD — Critical Data Issue",IF(Y236,"Human Sign-Off Required",IF(Z236="Manual Review","Human Review Required",IF(AND(AL236="Automated",OR(AE236,AND(OR(AK236="Discovery-to-Offer Enablement",AK236="Reinforce Successful Behaviour"),OR(AC236,AB236)))),"Human Review Required",IF(AL236="Human","Ready — Human",IF(AL236="Hybrid","Ready — Hybrid","Ready — Automated"))))))</f>
        <v>Ready — Automated</v>
      </c>
      <c r="AN236" s="2" t="str">
        <f aca="false">IF(AA236,"P0",IF(AND(AJ236="BROWSING_LOW_OFFERS",E236="Tail"),"P3",IF(AND(AM236="Human Review Required",INDEX('NBA Library'!$D$4:$D$21,MATCH(AJ236,'NBA Library'!$A$4:$A$21,0))="P4"),"P3",INDEX('NBA Library'!$D$4:$D$21,MATCH(AJ236,'NBA Library'!$A$4:$A$21,0)))))</f>
        <v>P4</v>
      </c>
      <c r="AO236" s="2" t="str">
        <f aca="false">E236&amp;" "&amp;C236&amp;" account ("&amp;B236&amp;"); "&amp;G236&amp;" momentum; "&amp;P236&amp;"; £"&amp;TEXT(H236,"#,##0")&amp;" 6m GMV. "&amp;INDEX('NBA Library'!$G$4:$G$21,MATCH(AJ236,'NBA Library'!$A$4:$A$21,0))&amp;IF(LEFT(D236,1)="1"," Baseline: "&amp;V236&amp;" PDP views, "&amp;W236&amp;" app days, "&amp;X236&amp;" offers, "&amp;TEXT(J236/I236,"0%")&amp;" of orders self-serve.","")&amp;IF(AA236," Execution on HOLD until the Duplicate status is resolved.","")&amp;IF(Y236," Key account: explicit AM/leadership sign-off required before any migration activity.","")&amp;IF(AE236," Implied broker % from order counts would move this account to a different segment; review before automating.","")</f>
        <v>Tail Self-Serve account (Self Serve); H2 Active / No H1 GMV momentum; Recently Active; £384 6m GMV. Low-value, low-dependency account. Scalable automated engagement.</v>
      </c>
      <c r="AP236" s="2" t="str">
        <f aca="false">INDEX('NBA Library'!$E$4:$E$21,MATCH(AJ236,'NBA Library'!$A$4:$A$21,0))&amp;IF(AND(AJ236="NEW_CUSTOMER",AG236),"; introduce Make-an-Offer on items already browsed","")</f>
        <v>Scalable automated engagement matched to nurture sub-context</v>
      </c>
      <c r="AQ236" s="2" t="str">
        <f aca="false">INDEX('NBA Library'!$F$4:$F$21,MATCH(AJ236,'NBA Library'!$A$4:$A$21,0))</f>
        <v>Any repeat order within 90 days</v>
      </c>
      <c r="AR236" s="2" t="str">
        <f aca="false">IF(AND(F236="Low",OR(G236="Growing",G236="Stable"),P236="Recently Active",U236&lt;&gt;"Mixed",OR(AK236="Discovery-to-Offer Enablement",AK236="Reinforce Successful Behaviour"),AM236="Ready — Automated",OR(E236&lt;&gt;"Tail",S236)),"Range Expansion Test — trial "&amp;IF(U236="Bundle-only","handpick","bundles")&amp;" (experimental; not proven to lift GMV)","")</f>
        <v/>
      </c>
      <c r="AS236" s="2" t="str">
        <f aca="false">IF(AK236&lt;&gt;"Automated Nurture","",IF(AJ236="DORMANT_LOW_VALUE","Dormant",IF(AJ236="RISING_TAIL_EARLY","Rising tail – early pattern",IF(Q236="New Customer","New customer onboarding",IF(Q236="Returned Customer","Returned customer",IF(G236="Lapsed","Dormant",IF(T236="Engaged, not converting","Engaged, not converting",IF(T236="One-off low-touch buyer","One-off purchaser",IF(T236="Light-touch repeat buyer","Light-touch repeat buyer","Standard long tail")))))))))</f>
        <v>New customer onboarding</v>
      </c>
      <c r="AT236" s="2" t="str">
        <f aca="false">IF(AA236,"CRITICAL_DATA_BLOCKER; ","")&amp;IF(Y236,"KEY_SIGNOFF; ","")&amp;IF(Z236="Manual Review","PHASE1_MANUAL_REVIEW; ","")&amp;IF(AND(LEFT(D236,1)="1",AZ236="Lumpy"),"LUMPY_CADENCE; ","")&amp;IF(AB236,"BORDERLINE_MOMENTUM; ","")&amp;IF(AC236,"FEB_SENSITIVE; ","")&amp;IF(AD236,"MATERIAL_BROKER_INCONSISTENCY"&amp;IF(AE236," (segment would change)","")&amp;"; ","")&amp;IF(AND(I236&gt;=3,O236&gt;0),IF(AI236&gt;=Assumptions!$B$75,"H2_SINGLE_MONTH_SPIKE; ",""),"")&amp;IF(AND(M236&gt;0,N236=0),"NO_FEB_GMV (Feb unconfirmed); ","")&amp;IF(AF236,"LOW_CONFIDENCE; ","")</f>
        <v>NO_FEB_GMV (Feb unconfirmed); LOW_CONFIDENCE; </v>
      </c>
      <c r="AU236" s="2" t="str">
        <f aca="false">IF(LEFT(D236,1)="1",V236,"")</f>
        <v/>
      </c>
      <c r="AV236" s="2" t="str">
        <f aca="false">IF(LEFT(D236,1)="1",V236&gt;=Assumptions!$B$58,"")</f>
        <v/>
      </c>
      <c r="AW236" s="2" t="str">
        <f aca="false">IF(LEFT(D236,1)="1",W236,"")</f>
        <v/>
      </c>
      <c r="AX236" s="2" t="str">
        <f aca="false">IF(LEFT(D236,1)="1",X236,"")</f>
        <v/>
      </c>
      <c r="AY236" s="17" t="str">
        <f aca="false">IF(LEFT(D236,1)="1",J236/I236,"")</f>
        <v/>
      </c>
      <c r="AZ236" s="2" t="str">
        <f aca="false">IF(LEFT(D236,1)="1",IF(AND(K236&gt;=Assumptions!$B$83,I236&gt;=Assumptions!$B$84),"Regular","Lumpy"),"")</f>
        <v/>
      </c>
      <c r="BA236" s="2" t="str">
        <f aca="false">IF(LEFT(D236,1)="1",ROUND(6/K236,0),"")</f>
        <v/>
      </c>
      <c r="BB236" s="2" t="str">
        <f aca="false">IF(LEFT(D236,1)="1",IF(AZ236="Regular","Regular buyer: expected ~£"&amp;TEXT(H236/2,"#,##0")&amp;" per 90 days. At Risk if GMV to date &lt; "&amp;TEXT(Assumptions!$B$81,"0%")&amp;" of pro-rated expectation, checked from day "&amp;Assumptions!$B$82&amp;". Human-reviewed.","Irregular buyer ("&amp;I236&amp;" orders across "&amp;K236&amp;" months): no numeric GMV threshold. At Risk if no order within ~"&amp;BA236&amp;" month(s); AM reviews at day "&amp;Assumptions!$B$82&amp;" and "&amp;Assumptions!$B$85&amp;"."),"")</f>
        <v/>
      </c>
      <c r="BC236" s="2"/>
      <c r="BD236" s="2"/>
      <c r="BE236" s="2"/>
      <c r="BF236" s="2"/>
      <c r="BG236" s="2"/>
      <c r="BH236" s="2"/>
      <c r="BI236" s="2"/>
      <c r="BJ236" s="2" t="str">
        <f aca="false">IF(OR(NOT(LEFT(D236,1)="1"),BC236=""),"",IF(AZ236="Regular",AND(BC236&gt;=Assumptions!$B$82,N(BI236)&lt;Assumptions!$B$81*H236/180*BC236),AND(BC236&gt;=BA236*30,N(BG236)=0)))</f>
        <v/>
      </c>
      <c r="BK236" s="2" t="str">
        <f aca="false">IF(NOT(LEFT(D236,1)="1"),"N/A",IF(BC236="","Baseline",IF(BJ236,"At Risk",IF(AND(N(BD236)&gt;=Assumptions!$B$78,N(BE236)&gt;=Assumptions!$B$79,N(BH236)&gt;=1,N(BH236)/MAX(N(BG236),1)&gt;AY236),"Self-Serve Capability Demonstrated",IF(OR(N(BD236)&gt;=Assumptions!$B$76,N(BE236)&gt;=Assumptions!$B$77),"Progressing",IF(BC236&gt;=Assumptions!$B$85,"At Risk","Baseline"))))))</f>
        <v>N/A</v>
      </c>
      <c r="BL236" s="2" t="n">
        <f aca="false">(AND(C236="Broker-Reliant",OR(AK236="Discovery-to-Offer Enablement",AK236="Reinforce Successful Behaviour")))*1+(AND(G236="Declining",E236&lt;&gt;"Tail",AL236="Automated"))*1+(AND(Y236,AM236&lt;&gt;"Human Sign-Off Required"))*1+(AND(AA236,AM236&lt;&gt;"HOLD — Critical Data Issue"))*1+(AND(P236="Recent Inactivity",OR(AK236="Discovery-to-Offer Enablement",AK236="Reinforce Successful Behaviour")))*1+(AND(OR(LEFT(D236,1)="2",LEFT(D236,1)="3",LEFT(D236,1)="8"),AL236="Automated"))*1+((LEFT(D236,1)="1")&lt;&gt;(AK236="Guided Self-Serve Migration"))*1+(AND(AR236&lt;&gt;"",OR(F236&lt;&gt;"Low",U236="Mixed",AND(G236&lt;&gt;"Growing",G236&lt;&gt;"Stable"))))*1+ISNUMBER(SEARCH("chat",AP236))*1+ISNUMBER(SEARCH("video",AP236))*1+(AND(AA236,AL236="Automated",AM236&lt;&gt;"HOLD — Critical Data Issue"))*1</f>
        <v>0</v>
      </c>
    </row>
    <row r="237" customFormat="false" ht="15" hidden="false" customHeight="false" outlineLevel="0" collapsed="false">
      <c r="A237" s="2" t="s">
        <v>734</v>
      </c>
      <c r="B237" s="2" t="str">
        <f aca="false">INDEX(Segmentation!$B$2:$B$301,MATCH($A237,Segmentation!$A$2:$A$301,0))</f>
        <v>Self Serve</v>
      </c>
      <c r="C237" s="2" t="str">
        <f aca="false">INDEX(Segmentation!$H$2:$H$301,MATCH($A237,Segmentation!$A$2:$A$301,0))</f>
        <v>Self-Serve</v>
      </c>
      <c r="D237" s="2" t="str">
        <f aca="false">INDEX(Segmentation!$T$2:$T$301,MATCH($A237,Segmentation!$A$2:$A$301,0))</f>
        <v>9. Long-Tail Automated Nurture</v>
      </c>
      <c r="E237" s="2" t="str">
        <f aca="false">INDEX(Segmentation!$J$2:$J$301,MATCH($A237,Segmentation!$A$2:$A$301,0))</f>
        <v>Tail</v>
      </c>
      <c r="F237" s="2" t="str">
        <f aca="false">INDEX(Segmentation!$G$2:$G$301,MATCH($A237,Segmentation!$A$2:$A$301,0))</f>
        <v>Low</v>
      </c>
      <c r="G237" s="2" t="str">
        <f aca="false">INDEX(Segmentation!$N$2:$N$301,MATCH($A237,Segmentation!$A$2:$A$301,0))</f>
        <v>H2 Active / No H1 GMV</v>
      </c>
      <c r="H237" s="9" t="n">
        <f aca="false">INDEX(Segmentation!$I$2:$I$301,MATCH($A237,Segmentation!$A$2:$A$301,0))</f>
        <v>371</v>
      </c>
      <c r="I237" s="2" t="n">
        <f aca="false">INDEX(Segmentation!$O$2:$O$301,MATCH($A237,Segmentation!$A$2:$A$301,0))</f>
        <v>1</v>
      </c>
      <c r="J237" s="2" t="n">
        <f aca="false">INDEX(Segmentation!$Q$2:$Q$301,MATCH($A237,Segmentation!$A$2:$A$301,0))</f>
        <v>1</v>
      </c>
      <c r="K237" s="2" t="n">
        <f aca="false">INDEX(Segmentation!$W$2:$W$301,MATCH($A237,Segmentation!$A$2:$A$301,0))</f>
        <v>1</v>
      </c>
      <c r="L237" s="9" t="n">
        <f aca="false">INDEX('Commercial View'!$L$2:$L$301,MATCH($A237,'Commercial View'!$A$2:$A$301,0))</f>
        <v>0</v>
      </c>
      <c r="M237" s="9" t="n">
        <f aca="false">INDEX('Commercial View'!$M$2:$M$301,MATCH($A237,'Commercial View'!$A$2:$A$301,0))</f>
        <v>371</v>
      </c>
      <c r="N237" s="9" t="n">
        <f aca="false">INDEX('Commercial View'!$N$2:$N$301,MATCH($A237,'Commercial View'!$A$2:$A$301,0))</f>
        <v>0</v>
      </c>
      <c r="O237" s="9" t="n">
        <f aca="false">INDEX(Segmentation!$L$2:$L$301,MATCH($A237,Segmentation!$A$2:$A$301,0))</f>
        <v>371</v>
      </c>
      <c r="P237" s="2" t="str">
        <f aca="false">IF(OR(M237&gt;0,N237&gt;0),"Recently Active",IF(OR(I237&lt;=Assumptions!$B$48,K237&lt;=Assumptions!$B$49),"No Meaningful History","Recent Inactivity"))</f>
        <v>Recently Active</v>
      </c>
      <c r="Q237" s="2" t="str">
        <f aca="false">INDEX(Segmentation!$AF$2:$AF$301,MATCH($A237,Segmentation!$A$2:$A$301,0))</f>
        <v>New Customer</v>
      </c>
      <c r="R237" s="2" t="str">
        <f aca="false">INDEX(Segmentation!$AL$2:$AL$301,MATCH($A237,Segmentation!$A$2:$A$301,0))</f>
        <v>N/A</v>
      </c>
      <c r="S237" s="10" t="b">
        <f aca="false">INDEX(Segmentation!$AW$2:$AW$301,MATCH($A237,Segmentation!$A$2:$A$301,0))</f>
        <v>0</v>
      </c>
      <c r="T237" s="2" t="str">
        <f aca="false">INDEX('Feature Data'!$AD$2:$AD$301,MATCH($A237,'Feature Data'!$A$2:$A$301,0))</f>
        <v>Engaged, not converting</v>
      </c>
      <c r="U237" s="2" t="str">
        <f aca="false">INDEX('Feature Data'!$W$2:$W$301,MATCH($A237,'Feature Data'!$A$2:$A$301,0))</f>
        <v>Bundle-only</v>
      </c>
      <c r="V237" s="2" t="n">
        <f aca="false">INDEX('Feature Data'!$P$2:$P$301,MATCH($A237,'Feature Data'!$A$2:$A$301,0))</f>
        <v>570</v>
      </c>
      <c r="W237" s="2" t="n">
        <f aca="false">INDEX(Segmentation!$R$2:$R$301,MATCH($A237,Segmentation!$A$2:$A$301,0))</f>
        <v>21</v>
      </c>
      <c r="X237" s="2" t="n">
        <f aca="false">INDEX(Segmentation!$S$2:$S$301,MATCH($A237,Segmentation!$A$2:$A$301,0))</f>
        <v>9</v>
      </c>
      <c r="Y237" s="10" t="b">
        <f aca="false">INDEX(Segmentation!$AG$2:$AG$301,MATCH($A237,Segmentation!$A$2:$A$301,0))</f>
        <v>0</v>
      </c>
      <c r="Z237" s="2" t="str">
        <f aca="false">INDEX(Segmentation!$AU$2:$AU$301,MATCH($A237,Segmentation!$A$2:$A$301,0))</f>
        <v>Not Eligible</v>
      </c>
      <c r="AA237" s="10" t="b">
        <f aca="false">INDEX(Segmentation!$Z$2:$Z$301,MATCH($A237,Segmentation!$A$2:$A$301,0))</f>
        <v>0</v>
      </c>
      <c r="AB237" s="10" t="b">
        <f aca="false">INDEX(Segmentation!$AH$2:$AH$301,MATCH($A237,Segmentation!$A$2:$A$301,0))</f>
        <v>0</v>
      </c>
      <c r="AC237" s="10" t="b">
        <f aca="false">INDEX(Segmentation!$AK$2:$AK$301,MATCH($A237,Segmentation!$A$2:$A$301,0))</f>
        <v>0</v>
      </c>
      <c r="AD237" s="10" t="b">
        <f aca="false">INDEX(Segmentation!$AQ$2:$AQ$301,MATCH($A237,Segmentation!$A$2:$A$301,0))</f>
        <v>0</v>
      </c>
      <c r="AE237" s="10" t="b">
        <f aca="false">INDEX(Segmentation!$AT$2:$AT$301,MATCH($A237,Segmentation!$A$2:$A$301,0))</f>
        <v>0</v>
      </c>
      <c r="AF237" s="10" t="b">
        <f aca="false">INDEX(Segmentation!$X$2:$X$301,MATCH($A237,Segmentation!$A$2:$A$301,0))</f>
        <v>1</v>
      </c>
      <c r="AG237" s="10" t="b">
        <f aca="false">AND(F237="Low",V237&gt;=Assumptions!$B$71,X237&lt;Assumptions!$B$72)</f>
        <v>0</v>
      </c>
      <c r="AH237" s="10" t="b">
        <f aca="false">AND(F237="Low",OR(G237="Growing",G237="Stable"),P237="Recently Active",V237&gt;=Assumptions!$B$58,K237&gt;=Assumptions!$B$73)</f>
        <v>0</v>
      </c>
      <c r="AI237" s="17" t="n">
        <f aca="false">IF(O237&gt;0,MAX(L237:N237)/O237,"")</f>
        <v>1</v>
      </c>
      <c r="AJ237" s="2" t="str">
        <f aca="false">IF(LEFT(D237,1)="1",IF(E237="Key","MIGRATION_KEY_SIGNOFF",IF(Z237="Ready","MIGRATION_PHASE1_READY",IF(Z237="Manual Review","MIGRATION_PHASE1_REVIEW","MIGRATION_PRE_ENTRY"))),IF(LEFT(D237,1)="2","DECLINING_KEY_CORE",IF(LEFT(D237,1)="3",IF(R237="Established Buyer Lapsed","LAPSED_ESTABLISHED","LAPSED_THIN_HISTORY"),IF(LEFT(D237,1)="4",IF(Q237="New Customer","NEW_CUSTOMER","RETURNED_CUSTOMER"),IF(LEFT(D237,1)="5",IF(P237="Recently Active","COST_TO_SERVE_ACTIVE","DORMANT_LOW_VALUE"),IF(LEFT(D237,1)="6",IF(P237="Recent Inactivity","RECENT_INACTIVITY",IF(AG237,"BROWSING_LOW_OFFERS","HEALTHY_STRONG_SELF_SERVE")),IF(LEFT(D237,1)="7",IF(P237="Recent Inactivity","RECENT_INACTIVITY",IF(Q237="New Customer","NEW_CUSTOMER","RETURNED_CUSTOMER")),IF(LEFT(D237,1)="8",IF(G237="Declining",IF(T237="Engaged but shrinking (Key/Core)","ENGAGED_BUT_SHRINKING","DECLINING_KEY_CORE"),IF(R237="Established Buyer Lapsed","LAPSED_ESTABLISHED","LAPSED_THIN_HISTORY")),IF(S237,IF(P237&lt;&gt;"Recently Active","DORMANT_LOW_VALUE",IF(AG237,"BROWSING_LOW_OFFERS",IF(AH237,"RISING_TAIL","RISING_TAIL_EARLY"))),IF(AND(AG237,P237="Recently Active",OR(G237="Growing",G237="Stable",G237="H2 Active / No H1 GMV"),I237&gt;=Assumptions!$B$74),"BROWSING_LOW_OFFERS","LONG_TAIL_STANDARD"))))))))))</f>
        <v>LONG_TAIL_STANDARD</v>
      </c>
      <c r="AK237" s="2" t="str">
        <f aca="false">INDEX('NBA Library'!$B$4:$B$21,MATCH(AJ237,'NBA Library'!$A$4:$A$21,0))</f>
        <v>Automated Nurture</v>
      </c>
      <c r="AL237" s="2" t="str">
        <f aca="false">INDEX('NBA Library'!$C$4:$C$21,MATCH(AJ237,'NBA Library'!$A$4:$A$21,0))</f>
        <v>Automated</v>
      </c>
      <c r="AM237" s="2" t="str">
        <f aca="false">IF(AA237,"HOLD — Critical Data Issue",IF(Y237,"Human Sign-Off Required",IF(Z237="Manual Review","Human Review Required",IF(AND(AL237="Automated",OR(AE237,AND(OR(AK237="Discovery-to-Offer Enablement",AK237="Reinforce Successful Behaviour"),OR(AC237,AB237)))),"Human Review Required",IF(AL237="Human","Ready — Human",IF(AL237="Hybrid","Ready — Hybrid","Ready — Automated"))))))</f>
        <v>Ready — Automated</v>
      </c>
      <c r="AN237" s="2" t="str">
        <f aca="false">IF(AA237,"P0",IF(AND(AJ237="BROWSING_LOW_OFFERS",E237="Tail"),"P3",IF(AND(AM237="Human Review Required",INDEX('NBA Library'!$D$4:$D$21,MATCH(AJ237,'NBA Library'!$A$4:$A$21,0))="P4"),"P3",INDEX('NBA Library'!$D$4:$D$21,MATCH(AJ237,'NBA Library'!$A$4:$A$21,0)))))</f>
        <v>P4</v>
      </c>
      <c r="AO237" s="2" t="str">
        <f aca="false">E237&amp;" "&amp;C237&amp;" account ("&amp;B237&amp;"); "&amp;G237&amp;" momentum; "&amp;P237&amp;"; £"&amp;TEXT(H237,"#,##0")&amp;" 6m GMV. "&amp;INDEX('NBA Library'!$G$4:$G$21,MATCH(AJ237,'NBA Library'!$A$4:$A$21,0))&amp;IF(LEFT(D237,1)="1"," Baseline: "&amp;V237&amp;" PDP views, "&amp;W237&amp;" app days, "&amp;X237&amp;" offers, "&amp;TEXT(J237/I237,"0%")&amp;" of orders self-serve.","")&amp;IF(AA237," Execution on HOLD until the Duplicate status is resolved.","")&amp;IF(Y237," Key account: explicit AM/leadership sign-off required before any migration activity.","")&amp;IF(AE237," Implied broker % from order counts would move this account to a different segment; review before automating.","")</f>
        <v>Tail Self-Serve account (Self Serve); H2 Active / No H1 GMV momentum; Recently Active; £371 6m GMV. Low-value, low-dependency account. Scalable automated engagement.</v>
      </c>
      <c r="AP237" s="2" t="str">
        <f aca="false">INDEX('NBA Library'!$E$4:$E$21,MATCH(AJ237,'NBA Library'!$A$4:$A$21,0))&amp;IF(AND(AJ237="NEW_CUSTOMER",AG237),"; introduce Make-an-Offer on items already browsed","")</f>
        <v>Scalable automated engagement matched to nurture sub-context</v>
      </c>
      <c r="AQ237" s="2" t="str">
        <f aca="false">INDEX('NBA Library'!$F$4:$F$21,MATCH(AJ237,'NBA Library'!$A$4:$A$21,0))</f>
        <v>Any repeat order within 90 days</v>
      </c>
      <c r="AR237" s="2" t="str">
        <f aca="false">IF(AND(F237="Low",OR(G237="Growing",G237="Stable"),P237="Recently Active",U237&lt;&gt;"Mixed",OR(AK237="Discovery-to-Offer Enablement",AK237="Reinforce Successful Behaviour"),AM237="Ready — Automated",OR(E237&lt;&gt;"Tail",S237)),"Range Expansion Test — trial "&amp;IF(U237="Bundle-only","handpick","bundles")&amp;" (experimental; not proven to lift GMV)","")</f>
        <v/>
      </c>
      <c r="AS237" s="2" t="str">
        <f aca="false">IF(AK237&lt;&gt;"Automated Nurture","",IF(AJ237="DORMANT_LOW_VALUE","Dormant",IF(AJ237="RISING_TAIL_EARLY","Rising tail – early pattern",IF(Q237="New Customer","New customer onboarding",IF(Q237="Returned Customer","Returned customer",IF(G237="Lapsed","Dormant",IF(T237="Engaged, not converting","Engaged, not converting",IF(T237="One-off low-touch buyer","One-off purchaser",IF(T237="Light-touch repeat buyer","Light-touch repeat buyer","Standard long tail")))))))))</f>
        <v>New customer onboarding</v>
      </c>
      <c r="AT237" s="2" t="str">
        <f aca="false">IF(AA237,"CRITICAL_DATA_BLOCKER; ","")&amp;IF(Y237,"KEY_SIGNOFF; ","")&amp;IF(Z237="Manual Review","PHASE1_MANUAL_REVIEW; ","")&amp;IF(AND(LEFT(D237,1)="1",AZ237="Lumpy"),"LUMPY_CADENCE; ","")&amp;IF(AB237,"BORDERLINE_MOMENTUM; ","")&amp;IF(AC237,"FEB_SENSITIVE; ","")&amp;IF(AD237,"MATERIAL_BROKER_INCONSISTENCY"&amp;IF(AE237," (segment would change)","")&amp;"; ","")&amp;IF(AND(I237&gt;=3,O237&gt;0),IF(AI237&gt;=Assumptions!$B$75,"H2_SINGLE_MONTH_SPIKE; ",""),"")&amp;IF(AND(M237&gt;0,N237=0),"NO_FEB_GMV (Feb unconfirmed); ","")&amp;IF(AF237,"LOW_CONFIDENCE; ","")</f>
        <v>NO_FEB_GMV (Feb unconfirmed); LOW_CONFIDENCE; </v>
      </c>
      <c r="AU237" s="2" t="str">
        <f aca="false">IF(LEFT(D237,1)="1",V237,"")</f>
        <v/>
      </c>
      <c r="AV237" s="2" t="str">
        <f aca="false">IF(LEFT(D237,1)="1",V237&gt;=Assumptions!$B$58,"")</f>
        <v/>
      </c>
      <c r="AW237" s="2" t="str">
        <f aca="false">IF(LEFT(D237,1)="1",W237,"")</f>
        <v/>
      </c>
      <c r="AX237" s="2" t="str">
        <f aca="false">IF(LEFT(D237,1)="1",X237,"")</f>
        <v/>
      </c>
      <c r="AY237" s="17" t="str">
        <f aca="false">IF(LEFT(D237,1)="1",J237/I237,"")</f>
        <v/>
      </c>
      <c r="AZ237" s="2" t="str">
        <f aca="false">IF(LEFT(D237,1)="1",IF(AND(K237&gt;=Assumptions!$B$83,I237&gt;=Assumptions!$B$84),"Regular","Lumpy"),"")</f>
        <v/>
      </c>
      <c r="BA237" s="2" t="str">
        <f aca="false">IF(LEFT(D237,1)="1",ROUND(6/K237,0),"")</f>
        <v/>
      </c>
      <c r="BB237" s="2" t="str">
        <f aca="false">IF(LEFT(D237,1)="1",IF(AZ237="Regular","Regular buyer: expected ~£"&amp;TEXT(H237/2,"#,##0")&amp;" per 90 days. At Risk if GMV to date &lt; "&amp;TEXT(Assumptions!$B$81,"0%")&amp;" of pro-rated expectation, checked from day "&amp;Assumptions!$B$82&amp;". Human-reviewed.","Irregular buyer ("&amp;I237&amp;" orders across "&amp;K237&amp;" months): no numeric GMV threshold. At Risk if no order within ~"&amp;BA237&amp;" month(s); AM reviews at day "&amp;Assumptions!$B$82&amp;" and "&amp;Assumptions!$B$85&amp;"."),"")</f>
        <v/>
      </c>
      <c r="BC237" s="2"/>
      <c r="BD237" s="2"/>
      <c r="BE237" s="2"/>
      <c r="BF237" s="2"/>
      <c r="BG237" s="2"/>
      <c r="BH237" s="2"/>
      <c r="BI237" s="2"/>
      <c r="BJ237" s="2" t="str">
        <f aca="false">IF(OR(NOT(LEFT(D237,1)="1"),BC237=""),"",IF(AZ237="Regular",AND(BC237&gt;=Assumptions!$B$82,N(BI237)&lt;Assumptions!$B$81*H237/180*BC237),AND(BC237&gt;=BA237*30,N(BG237)=0)))</f>
        <v/>
      </c>
      <c r="BK237" s="2" t="str">
        <f aca="false">IF(NOT(LEFT(D237,1)="1"),"N/A",IF(BC237="","Baseline",IF(BJ237,"At Risk",IF(AND(N(BD237)&gt;=Assumptions!$B$78,N(BE237)&gt;=Assumptions!$B$79,N(BH237)&gt;=1,N(BH237)/MAX(N(BG237),1)&gt;AY237),"Self-Serve Capability Demonstrated",IF(OR(N(BD237)&gt;=Assumptions!$B$76,N(BE237)&gt;=Assumptions!$B$77),"Progressing",IF(BC237&gt;=Assumptions!$B$85,"At Risk","Baseline"))))))</f>
        <v>N/A</v>
      </c>
      <c r="BL237" s="2" t="n">
        <f aca="false">(AND(C237="Broker-Reliant",OR(AK237="Discovery-to-Offer Enablement",AK237="Reinforce Successful Behaviour")))*1+(AND(G237="Declining",E237&lt;&gt;"Tail",AL237="Automated"))*1+(AND(Y237,AM237&lt;&gt;"Human Sign-Off Required"))*1+(AND(AA237,AM237&lt;&gt;"HOLD — Critical Data Issue"))*1+(AND(P237="Recent Inactivity",OR(AK237="Discovery-to-Offer Enablement",AK237="Reinforce Successful Behaviour")))*1+(AND(OR(LEFT(D237,1)="2",LEFT(D237,1)="3",LEFT(D237,1)="8"),AL237="Automated"))*1+((LEFT(D237,1)="1")&lt;&gt;(AK237="Guided Self-Serve Migration"))*1+(AND(AR237&lt;&gt;"",OR(F237&lt;&gt;"Low",U237="Mixed",AND(G237&lt;&gt;"Growing",G237&lt;&gt;"Stable"))))*1+ISNUMBER(SEARCH("chat",AP237))*1+ISNUMBER(SEARCH("video",AP237))*1+(AND(AA237,AL237="Automated",AM237&lt;&gt;"HOLD — Critical Data Issue"))*1</f>
        <v>0</v>
      </c>
    </row>
    <row r="238" customFormat="false" ht="15" hidden="false" customHeight="false" outlineLevel="0" collapsed="false">
      <c r="A238" s="2" t="s">
        <v>736</v>
      </c>
      <c r="B238" s="2" t="str">
        <f aca="false">INDEX(Segmentation!$B$2:$B$301,MATCH($A238,Segmentation!$A$2:$A$301,0))</f>
        <v>Self Serve</v>
      </c>
      <c r="C238" s="2" t="str">
        <f aca="false">INDEX(Segmentation!$H$2:$H$301,MATCH($A238,Segmentation!$A$2:$A$301,0))</f>
        <v>Self-Serve</v>
      </c>
      <c r="D238" s="2" t="str">
        <f aca="false">INDEX(Segmentation!$T$2:$T$301,MATCH($A238,Segmentation!$A$2:$A$301,0))</f>
        <v>9. Long-Tail Automated Nurture</v>
      </c>
      <c r="E238" s="2" t="str">
        <f aca="false">INDEX(Segmentation!$J$2:$J$301,MATCH($A238,Segmentation!$A$2:$A$301,0))</f>
        <v>Tail</v>
      </c>
      <c r="F238" s="2" t="str">
        <f aca="false">INDEX(Segmentation!$G$2:$G$301,MATCH($A238,Segmentation!$A$2:$A$301,0))</f>
        <v>Low</v>
      </c>
      <c r="G238" s="2" t="str">
        <f aca="false">INDEX(Segmentation!$N$2:$N$301,MATCH($A238,Segmentation!$A$2:$A$301,0))</f>
        <v>H2 Active / No H1 GMV</v>
      </c>
      <c r="H238" s="9" t="n">
        <f aca="false">INDEX(Segmentation!$I$2:$I$301,MATCH($A238,Segmentation!$A$2:$A$301,0))</f>
        <v>371</v>
      </c>
      <c r="I238" s="2" t="n">
        <f aca="false">INDEX(Segmentation!$O$2:$O$301,MATCH($A238,Segmentation!$A$2:$A$301,0))</f>
        <v>1</v>
      </c>
      <c r="J238" s="2" t="n">
        <f aca="false">INDEX(Segmentation!$Q$2:$Q$301,MATCH($A238,Segmentation!$A$2:$A$301,0))</f>
        <v>1</v>
      </c>
      <c r="K238" s="2" t="n">
        <f aca="false">INDEX(Segmentation!$W$2:$W$301,MATCH($A238,Segmentation!$A$2:$A$301,0))</f>
        <v>1</v>
      </c>
      <c r="L238" s="9" t="n">
        <f aca="false">INDEX('Commercial View'!$L$2:$L$301,MATCH($A238,'Commercial View'!$A$2:$A$301,0))</f>
        <v>0</v>
      </c>
      <c r="M238" s="9" t="n">
        <f aca="false">INDEX('Commercial View'!$M$2:$M$301,MATCH($A238,'Commercial View'!$A$2:$A$301,0))</f>
        <v>371</v>
      </c>
      <c r="N238" s="9" t="n">
        <f aca="false">INDEX('Commercial View'!$N$2:$N$301,MATCH($A238,'Commercial View'!$A$2:$A$301,0))</f>
        <v>0</v>
      </c>
      <c r="O238" s="9" t="n">
        <f aca="false">INDEX(Segmentation!$L$2:$L$301,MATCH($A238,Segmentation!$A$2:$A$301,0))</f>
        <v>371</v>
      </c>
      <c r="P238" s="2" t="str">
        <f aca="false">IF(OR(M238&gt;0,N238&gt;0),"Recently Active",IF(OR(I238&lt;=Assumptions!$B$48,K238&lt;=Assumptions!$B$49),"No Meaningful History","Recent Inactivity"))</f>
        <v>Recently Active</v>
      </c>
      <c r="Q238" s="2" t="str">
        <f aca="false">INDEX(Segmentation!$AF$2:$AF$301,MATCH($A238,Segmentation!$A$2:$A$301,0))</f>
        <v>New Customer</v>
      </c>
      <c r="R238" s="2" t="str">
        <f aca="false">INDEX(Segmentation!$AL$2:$AL$301,MATCH($A238,Segmentation!$A$2:$A$301,0))</f>
        <v>N/A</v>
      </c>
      <c r="S238" s="10" t="b">
        <f aca="false">INDEX(Segmentation!$AW$2:$AW$301,MATCH($A238,Segmentation!$A$2:$A$301,0))</f>
        <v>0</v>
      </c>
      <c r="T238" s="2" t="str">
        <f aca="false">INDEX('Feature Data'!$AD$2:$AD$301,MATCH($A238,'Feature Data'!$A$2:$A$301,0))</f>
        <v>One-off low-touch buyer</v>
      </c>
      <c r="U238" s="2" t="str">
        <f aca="false">INDEX('Feature Data'!$W$2:$W$301,MATCH($A238,'Feature Data'!$A$2:$A$301,0))</f>
        <v>Bundle-only</v>
      </c>
      <c r="V238" s="2" t="n">
        <f aca="false">INDEX('Feature Data'!$P$2:$P$301,MATCH($A238,'Feature Data'!$A$2:$A$301,0))</f>
        <v>20</v>
      </c>
      <c r="W238" s="2" t="n">
        <f aca="false">INDEX(Segmentation!$R$2:$R$301,MATCH($A238,Segmentation!$A$2:$A$301,0))</f>
        <v>4</v>
      </c>
      <c r="X238" s="2" t="n">
        <f aca="false">INDEX(Segmentation!$S$2:$S$301,MATCH($A238,Segmentation!$A$2:$A$301,0))</f>
        <v>0</v>
      </c>
      <c r="Y238" s="10" t="b">
        <f aca="false">INDEX(Segmentation!$AG$2:$AG$301,MATCH($A238,Segmentation!$A$2:$A$301,0))</f>
        <v>0</v>
      </c>
      <c r="Z238" s="2" t="str">
        <f aca="false">INDEX(Segmentation!$AU$2:$AU$301,MATCH($A238,Segmentation!$A$2:$A$301,0))</f>
        <v>Not Eligible</v>
      </c>
      <c r="AA238" s="10" t="b">
        <f aca="false">INDEX(Segmentation!$Z$2:$Z$301,MATCH($A238,Segmentation!$A$2:$A$301,0))</f>
        <v>0</v>
      </c>
      <c r="AB238" s="10" t="b">
        <f aca="false">INDEX(Segmentation!$AH$2:$AH$301,MATCH($A238,Segmentation!$A$2:$A$301,0))</f>
        <v>0</v>
      </c>
      <c r="AC238" s="10" t="b">
        <f aca="false">INDEX(Segmentation!$AK$2:$AK$301,MATCH($A238,Segmentation!$A$2:$A$301,0))</f>
        <v>0</v>
      </c>
      <c r="AD238" s="10" t="b">
        <f aca="false">INDEX(Segmentation!$AQ$2:$AQ$301,MATCH($A238,Segmentation!$A$2:$A$301,0))</f>
        <v>0</v>
      </c>
      <c r="AE238" s="10" t="b">
        <f aca="false">INDEX(Segmentation!$AT$2:$AT$301,MATCH($A238,Segmentation!$A$2:$A$301,0))</f>
        <v>0</v>
      </c>
      <c r="AF238" s="10" t="b">
        <f aca="false">INDEX(Segmentation!$X$2:$X$301,MATCH($A238,Segmentation!$A$2:$A$301,0))</f>
        <v>1</v>
      </c>
      <c r="AG238" s="10" t="b">
        <f aca="false">AND(F238="Low",V238&gt;=Assumptions!$B$71,X238&lt;Assumptions!$B$72)</f>
        <v>0</v>
      </c>
      <c r="AH238" s="10" t="b">
        <f aca="false">AND(F238="Low",OR(G238="Growing",G238="Stable"),P238="Recently Active",V238&gt;=Assumptions!$B$58,K238&gt;=Assumptions!$B$73)</f>
        <v>0</v>
      </c>
      <c r="AI238" s="17" t="n">
        <f aca="false">IF(O238&gt;0,MAX(L238:N238)/O238,"")</f>
        <v>1</v>
      </c>
      <c r="AJ238" s="2" t="str">
        <f aca="false">IF(LEFT(D238,1)="1",IF(E238="Key","MIGRATION_KEY_SIGNOFF",IF(Z238="Ready","MIGRATION_PHASE1_READY",IF(Z238="Manual Review","MIGRATION_PHASE1_REVIEW","MIGRATION_PRE_ENTRY"))),IF(LEFT(D238,1)="2","DECLINING_KEY_CORE",IF(LEFT(D238,1)="3",IF(R238="Established Buyer Lapsed","LAPSED_ESTABLISHED","LAPSED_THIN_HISTORY"),IF(LEFT(D238,1)="4",IF(Q238="New Customer","NEW_CUSTOMER","RETURNED_CUSTOMER"),IF(LEFT(D238,1)="5",IF(P238="Recently Active","COST_TO_SERVE_ACTIVE","DORMANT_LOW_VALUE"),IF(LEFT(D238,1)="6",IF(P238="Recent Inactivity","RECENT_INACTIVITY",IF(AG238,"BROWSING_LOW_OFFERS","HEALTHY_STRONG_SELF_SERVE")),IF(LEFT(D238,1)="7",IF(P238="Recent Inactivity","RECENT_INACTIVITY",IF(Q238="New Customer","NEW_CUSTOMER","RETURNED_CUSTOMER")),IF(LEFT(D238,1)="8",IF(G238="Declining",IF(T238="Engaged but shrinking (Key/Core)","ENGAGED_BUT_SHRINKING","DECLINING_KEY_CORE"),IF(R238="Established Buyer Lapsed","LAPSED_ESTABLISHED","LAPSED_THIN_HISTORY")),IF(S238,IF(P238&lt;&gt;"Recently Active","DORMANT_LOW_VALUE",IF(AG238,"BROWSING_LOW_OFFERS",IF(AH238,"RISING_TAIL","RISING_TAIL_EARLY"))),IF(AND(AG238,P238="Recently Active",OR(G238="Growing",G238="Stable",G238="H2 Active / No H1 GMV"),I238&gt;=Assumptions!$B$74),"BROWSING_LOW_OFFERS","LONG_TAIL_STANDARD"))))))))))</f>
        <v>LONG_TAIL_STANDARD</v>
      </c>
      <c r="AK238" s="2" t="str">
        <f aca="false">INDEX('NBA Library'!$B$4:$B$21,MATCH(AJ238,'NBA Library'!$A$4:$A$21,0))</f>
        <v>Automated Nurture</v>
      </c>
      <c r="AL238" s="2" t="str">
        <f aca="false">INDEX('NBA Library'!$C$4:$C$21,MATCH(AJ238,'NBA Library'!$A$4:$A$21,0))</f>
        <v>Automated</v>
      </c>
      <c r="AM238" s="2" t="str">
        <f aca="false">IF(AA238,"HOLD — Critical Data Issue",IF(Y238,"Human Sign-Off Required",IF(Z238="Manual Review","Human Review Required",IF(AND(AL238="Automated",OR(AE238,AND(OR(AK238="Discovery-to-Offer Enablement",AK238="Reinforce Successful Behaviour"),OR(AC238,AB238)))),"Human Review Required",IF(AL238="Human","Ready — Human",IF(AL238="Hybrid","Ready — Hybrid","Ready — Automated"))))))</f>
        <v>Ready — Automated</v>
      </c>
      <c r="AN238" s="2" t="str">
        <f aca="false">IF(AA238,"P0",IF(AND(AJ238="BROWSING_LOW_OFFERS",E238="Tail"),"P3",IF(AND(AM238="Human Review Required",INDEX('NBA Library'!$D$4:$D$21,MATCH(AJ238,'NBA Library'!$A$4:$A$21,0))="P4"),"P3",INDEX('NBA Library'!$D$4:$D$21,MATCH(AJ238,'NBA Library'!$A$4:$A$21,0)))))</f>
        <v>P4</v>
      </c>
      <c r="AO238" s="2" t="str">
        <f aca="false">E238&amp;" "&amp;C238&amp;" account ("&amp;B238&amp;"); "&amp;G238&amp;" momentum; "&amp;P238&amp;"; £"&amp;TEXT(H238,"#,##0")&amp;" 6m GMV. "&amp;INDEX('NBA Library'!$G$4:$G$21,MATCH(AJ238,'NBA Library'!$A$4:$A$21,0))&amp;IF(LEFT(D238,1)="1"," Baseline: "&amp;V238&amp;" PDP views, "&amp;W238&amp;" app days, "&amp;X238&amp;" offers, "&amp;TEXT(J238/I238,"0%")&amp;" of orders self-serve.","")&amp;IF(AA238," Execution on HOLD until the Duplicate status is resolved.","")&amp;IF(Y238," Key account: explicit AM/leadership sign-off required before any migration activity.","")&amp;IF(AE238," Implied broker % from order counts would move this account to a different segment; review before automating.","")</f>
        <v>Tail Self-Serve account (Self Serve); H2 Active / No H1 GMV momentum; Recently Active; £371 6m GMV. Low-value, low-dependency account. Scalable automated engagement.</v>
      </c>
      <c r="AP238" s="2" t="str">
        <f aca="false">INDEX('NBA Library'!$E$4:$E$21,MATCH(AJ238,'NBA Library'!$A$4:$A$21,0))&amp;IF(AND(AJ238="NEW_CUSTOMER",AG238),"; introduce Make-an-Offer on items already browsed","")</f>
        <v>Scalable automated engagement matched to nurture sub-context</v>
      </c>
      <c r="AQ238" s="2" t="str">
        <f aca="false">INDEX('NBA Library'!$F$4:$F$21,MATCH(AJ238,'NBA Library'!$A$4:$A$21,0))</f>
        <v>Any repeat order within 90 days</v>
      </c>
      <c r="AR238" s="2" t="str">
        <f aca="false">IF(AND(F238="Low",OR(G238="Growing",G238="Stable"),P238="Recently Active",U238&lt;&gt;"Mixed",OR(AK238="Discovery-to-Offer Enablement",AK238="Reinforce Successful Behaviour"),AM238="Ready — Automated",OR(E238&lt;&gt;"Tail",S238)),"Range Expansion Test — trial "&amp;IF(U238="Bundle-only","handpick","bundles")&amp;" (experimental; not proven to lift GMV)","")</f>
        <v/>
      </c>
      <c r="AS238" s="2" t="str">
        <f aca="false">IF(AK238&lt;&gt;"Automated Nurture","",IF(AJ238="DORMANT_LOW_VALUE","Dormant",IF(AJ238="RISING_TAIL_EARLY","Rising tail – early pattern",IF(Q238="New Customer","New customer onboarding",IF(Q238="Returned Customer","Returned customer",IF(G238="Lapsed","Dormant",IF(T238="Engaged, not converting","Engaged, not converting",IF(T238="One-off low-touch buyer","One-off purchaser",IF(T238="Light-touch repeat buyer","Light-touch repeat buyer","Standard long tail")))))))))</f>
        <v>New customer onboarding</v>
      </c>
      <c r="AT238" s="2" t="str">
        <f aca="false">IF(AA238,"CRITICAL_DATA_BLOCKER; ","")&amp;IF(Y238,"KEY_SIGNOFF; ","")&amp;IF(Z238="Manual Review","PHASE1_MANUAL_REVIEW; ","")&amp;IF(AND(LEFT(D238,1)="1",AZ238="Lumpy"),"LUMPY_CADENCE; ","")&amp;IF(AB238,"BORDERLINE_MOMENTUM; ","")&amp;IF(AC238,"FEB_SENSITIVE; ","")&amp;IF(AD238,"MATERIAL_BROKER_INCONSISTENCY"&amp;IF(AE238," (segment would change)","")&amp;"; ","")&amp;IF(AND(I238&gt;=3,O238&gt;0),IF(AI238&gt;=Assumptions!$B$75,"H2_SINGLE_MONTH_SPIKE; ",""),"")&amp;IF(AND(M238&gt;0,N238=0),"NO_FEB_GMV (Feb unconfirmed); ","")&amp;IF(AF238,"LOW_CONFIDENCE; ","")</f>
        <v>NO_FEB_GMV (Feb unconfirmed); LOW_CONFIDENCE; </v>
      </c>
      <c r="AU238" s="2" t="str">
        <f aca="false">IF(LEFT(D238,1)="1",V238,"")</f>
        <v/>
      </c>
      <c r="AV238" s="2" t="str">
        <f aca="false">IF(LEFT(D238,1)="1",V238&gt;=Assumptions!$B$58,"")</f>
        <v/>
      </c>
      <c r="AW238" s="2" t="str">
        <f aca="false">IF(LEFT(D238,1)="1",W238,"")</f>
        <v/>
      </c>
      <c r="AX238" s="2" t="str">
        <f aca="false">IF(LEFT(D238,1)="1",X238,"")</f>
        <v/>
      </c>
      <c r="AY238" s="17" t="str">
        <f aca="false">IF(LEFT(D238,1)="1",J238/I238,"")</f>
        <v/>
      </c>
      <c r="AZ238" s="2" t="str">
        <f aca="false">IF(LEFT(D238,1)="1",IF(AND(K238&gt;=Assumptions!$B$83,I238&gt;=Assumptions!$B$84),"Regular","Lumpy"),"")</f>
        <v/>
      </c>
      <c r="BA238" s="2" t="str">
        <f aca="false">IF(LEFT(D238,1)="1",ROUND(6/K238,0),"")</f>
        <v/>
      </c>
      <c r="BB238" s="2" t="str">
        <f aca="false">IF(LEFT(D238,1)="1",IF(AZ238="Regular","Regular buyer: expected ~£"&amp;TEXT(H238/2,"#,##0")&amp;" per 90 days. At Risk if GMV to date &lt; "&amp;TEXT(Assumptions!$B$81,"0%")&amp;" of pro-rated expectation, checked from day "&amp;Assumptions!$B$82&amp;". Human-reviewed.","Irregular buyer ("&amp;I238&amp;" orders across "&amp;K238&amp;" months): no numeric GMV threshold. At Risk if no order within ~"&amp;BA238&amp;" month(s); AM reviews at day "&amp;Assumptions!$B$82&amp;" and "&amp;Assumptions!$B$85&amp;"."),"")</f>
        <v/>
      </c>
      <c r="BC238" s="2"/>
      <c r="BD238" s="2"/>
      <c r="BE238" s="2"/>
      <c r="BF238" s="2"/>
      <c r="BG238" s="2"/>
      <c r="BH238" s="2"/>
      <c r="BI238" s="2"/>
      <c r="BJ238" s="2" t="str">
        <f aca="false">IF(OR(NOT(LEFT(D238,1)="1"),BC238=""),"",IF(AZ238="Regular",AND(BC238&gt;=Assumptions!$B$82,N(BI238)&lt;Assumptions!$B$81*H238/180*BC238),AND(BC238&gt;=BA238*30,N(BG238)=0)))</f>
        <v/>
      </c>
      <c r="BK238" s="2" t="str">
        <f aca="false">IF(NOT(LEFT(D238,1)="1"),"N/A",IF(BC238="","Baseline",IF(BJ238,"At Risk",IF(AND(N(BD238)&gt;=Assumptions!$B$78,N(BE238)&gt;=Assumptions!$B$79,N(BH238)&gt;=1,N(BH238)/MAX(N(BG238),1)&gt;AY238),"Self-Serve Capability Demonstrated",IF(OR(N(BD238)&gt;=Assumptions!$B$76,N(BE238)&gt;=Assumptions!$B$77),"Progressing",IF(BC238&gt;=Assumptions!$B$85,"At Risk","Baseline"))))))</f>
        <v>N/A</v>
      </c>
      <c r="BL238" s="2" t="n">
        <f aca="false">(AND(C238="Broker-Reliant",OR(AK238="Discovery-to-Offer Enablement",AK238="Reinforce Successful Behaviour")))*1+(AND(G238="Declining",E238&lt;&gt;"Tail",AL238="Automated"))*1+(AND(Y238,AM238&lt;&gt;"Human Sign-Off Required"))*1+(AND(AA238,AM238&lt;&gt;"HOLD — Critical Data Issue"))*1+(AND(P238="Recent Inactivity",OR(AK238="Discovery-to-Offer Enablement",AK238="Reinforce Successful Behaviour")))*1+(AND(OR(LEFT(D238,1)="2",LEFT(D238,1)="3",LEFT(D238,1)="8"),AL238="Automated"))*1+((LEFT(D238,1)="1")&lt;&gt;(AK238="Guided Self-Serve Migration"))*1+(AND(AR238&lt;&gt;"",OR(F238&lt;&gt;"Low",U238="Mixed",AND(G238&lt;&gt;"Growing",G238&lt;&gt;"Stable"))))*1+ISNUMBER(SEARCH("chat",AP238))*1+ISNUMBER(SEARCH("video",AP238))*1+(AND(AA238,AL238="Automated",AM238&lt;&gt;"HOLD — Critical Data Issue"))*1</f>
        <v>0</v>
      </c>
    </row>
    <row r="239" customFormat="false" ht="15" hidden="false" customHeight="false" outlineLevel="0" collapsed="false">
      <c r="A239" s="2" t="s">
        <v>748</v>
      </c>
      <c r="B239" s="2" t="str">
        <f aca="false">INDEX(Segmentation!$B$2:$B$301,MATCH($A239,Segmentation!$A$2:$A$301,0))</f>
        <v>Self Serve</v>
      </c>
      <c r="C239" s="2" t="str">
        <f aca="false">INDEX(Segmentation!$H$2:$H$301,MATCH($A239,Segmentation!$A$2:$A$301,0))</f>
        <v>Self-Serve</v>
      </c>
      <c r="D239" s="2" t="str">
        <f aca="false">INDEX(Segmentation!$T$2:$T$301,MATCH($A239,Segmentation!$A$2:$A$301,0))</f>
        <v>9. Long-Tail Automated Nurture</v>
      </c>
      <c r="E239" s="2" t="str">
        <f aca="false">INDEX(Segmentation!$J$2:$J$301,MATCH($A239,Segmentation!$A$2:$A$301,0))</f>
        <v>Tail</v>
      </c>
      <c r="F239" s="2" t="str">
        <f aca="false">INDEX(Segmentation!$G$2:$G$301,MATCH($A239,Segmentation!$A$2:$A$301,0))</f>
        <v>Low</v>
      </c>
      <c r="G239" s="2" t="str">
        <f aca="false">INDEX(Segmentation!$N$2:$N$301,MATCH($A239,Segmentation!$A$2:$A$301,0))</f>
        <v>H2 Active / No H1 GMV</v>
      </c>
      <c r="H239" s="9" t="n">
        <f aca="false">INDEX(Segmentation!$I$2:$I$301,MATCH($A239,Segmentation!$A$2:$A$301,0))</f>
        <v>353</v>
      </c>
      <c r="I239" s="2" t="n">
        <f aca="false">INDEX(Segmentation!$O$2:$O$301,MATCH($A239,Segmentation!$A$2:$A$301,0))</f>
        <v>1</v>
      </c>
      <c r="J239" s="2" t="n">
        <f aca="false">INDEX(Segmentation!$Q$2:$Q$301,MATCH($A239,Segmentation!$A$2:$A$301,0))</f>
        <v>1</v>
      </c>
      <c r="K239" s="2" t="n">
        <f aca="false">INDEX(Segmentation!$W$2:$W$301,MATCH($A239,Segmentation!$A$2:$A$301,0))</f>
        <v>1</v>
      </c>
      <c r="L239" s="9" t="n">
        <f aca="false">INDEX('Commercial View'!$L$2:$L$301,MATCH($A239,'Commercial View'!$A$2:$A$301,0))</f>
        <v>0</v>
      </c>
      <c r="M239" s="9" t="n">
        <f aca="false">INDEX('Commercial View'!$M$2:$M$301,MATCH($A239,'Commercial View'!$A$2:$A$301,0))</f>
        <v>353</v>
      </c>
      <c r="N239" s="9" t="n">
        <f aca="false">INDEX('Commercial View'!$N$2:$N$301,MATCH($A239,'Commercial View'!$A$2:$A$301,0))</f>
        <v>0</v>
      </c>
      <c r="O239" s="9" t="n">
        <f aca="false">INDEX(Segmentation!$L$2:$L$301,MATCH($A239,Segmentation!$A$2:$A$301,0))</f>
        <v>353</v>
      </c>
      <c r="P239" s="2" t="str">
        <f aca="false">IF(OR(M239&gt;0,N239&gt;0),"Recently Active",IF(OR(I239&lt;=Assumptions!$B$48,K239&lt;=Assumptions!$B$49),"No Meaningful History","Recent Inactivity"))</f>
        <v>Recently Active</v>
      </c>
      <c r="Q239" s="2" t="str">
        <f aca="false">INDEX(Segmentation!$AF$2:$AF$301,MATCH($A239,Segmentation!$A$2:$A$301,0))</f>
        <v>New Customer</v>
      </c>
      <c r="R239" s="2" t="str">
        <f aca="false">INDEX(Segmentation!$AL$2:$AL$301,MATCH($A239,Segmentation!$A$2:$A$301,0))</f>
        <v>N/A</v>
      </c>
      <c r="S239" s="10" t="b">
        <f aca="false">INDEX(Segmentation!$AW$2:$AW$301,MATCH($A239,Segmentation!$A$2:$A$301,0))</f>
        <v>0</v>
      </c>
      <c r="T239" s="2" t="str">
        <f aca="false">INDEX('Feature Data'!$AD$2:$AD$301,MATCH($A239,'Feature Data'!$A$2:$A$301,0))</f>
        <v>One-off low-touch buyer</v>
      </c>
      <c r="U239" s="2" t="str">
        <f aca="false">INDEX('Feature Data'!$W$2:$W$301,MATCH($A239,'Feature Data'!$A$2:$A$301,0))</f>
        <v>Bundle-only</v>
      </c>
      <c r="V239" s="2" t="n">
        <f aca="false">INDEX('Feature Data'!$P$2:$P$301,MATCH($A239,'Feature Data'!$A$2:$A$301,0))</f>
        <v>69</v>
      </c>
      <c r="W239" s="2" t="n">
        <f aca="false">INDEX(Segmentation!$R$2:$R$301,MATCH($A239,Segmentation!$A$2:$A$301,0))</f>
        <v>10</v>
      </c>
      <c r="X239" s="2" t="n">
        <f aca="false">INDEX(Segmentation!$S$2:$S$301,MATCH($A239,Segmentation!$A$2:$A$301,0))</f>
        <v>0</v>
      </c>
      <c r="Y239" s="10" t="b">
        <f aca="false">INDEX(Segmentation!$AG$2:$AG$301,MATCH($A239,Segmentation!$A$2:$A$301,0))</f>
        <v>0</v>
      </c>
      <c r="Z239" s="2" t="str">
        <f aca="false">INDEX(Segmentation!$AU$2:$AU$301,MATCH($A239,Segmentation!$A$2:$A$301,0))</f>
        <v>Not Eligible</v>
      </c>
      <c r="AA239" s="10" t="b">
        <f aca="false">INDEX(Segmentation!$Z$2:$Z$301,MATCH($A239,Segmentation!$A$2:$A$301,0))</f>
        <v>0</v>
      </c>
      <c r="AB239" s="10" t="b">
        <f aca="false">INDEX(Segmentation!$AH$2:$AH$301,MATCH($A239,Segmentation!$A$2:$A$301,0))</f>
        <v>0</v>
      </c>
      <c r="AC239" s="10" t="b">
        <f aca="false">INDEX(Segmentation!$AK$2:$AK$301,MATCH($A239,Segmentation!$A$2:$A$301,0))</f>
        <v>0</v>
      </c>
      <c r="AD239" s="10" t="b">
        <f aca="false">INDEX(Segmentation!$AQ$2:$AQ$301,MATCH($A239,Segmentation!$A$2:$A$301,0))</f>
        <v>0</v>
      </c>
      <c r="AE239" s="10" t="b">
        <f aca="false">INDEX(Segmentation!$AT$2:$AT$301,MATCH($A239,Segmentation!$A$2:$A$301,0))</f>
        <v>0</v>
      </c>
      <c r="AF239" s="10" t="b">
        <f aca="false">INDEX(Segmentation!$X$2:$X$301,MATCH($A239,Segmentation!$A$2:$A$301,0))</f>
        <v>1</v>
      </c>
      <c r="AG239" s="10" t="b">
        <f aca="false">AND(F239="Low",V239&gt;=Assumptions!$B$71,X239&lt;Assumptions!$B$72)</f>
        <v>1</v>
      </c>
      <c r="AH239" s="10" t="b">
        <f aca="false">AND(F239="Low",OR(G239="Growing",G239="Stable"),P239="Recently Active",V239&gt;=Assumptions!$B$58,K239&gt;=Assumptions!$B$73)</f>
        <v>0</v>
      </c>
      <c r="AI239" s="17" t="n">
        <f aca="false">IF(O239&gt;0,MAX(L239:N239)/O239,"")</f>
        <v>1</v>
      </c>
      <c r="AJ239" s="2" t="str">
        <f aca="false">IF(LEFT(D239,1)="1",IF(E239="Key","MIGRATION_KEY_SIGNOFF",IF(Z239="Ready","MIGRATION_PHASE1_READY",IF(Z239="Manual Review","MIGRATION_PHASE1_REVIEW","MIGRATION_PRE_ENTRY"))),IF(LEFT(D239,1)="2","DECLINING_KEY_CORE",IF(LEFT(D239,1)="3",IF(R239="Established Buyer Lapsed","LAPSED_ESTABLISHED","LAPSED_THIN_HISTORY"),IF(LEFT(D239,1)="4",IF(Q239="New Customer","NEW_CUSTOMER","RETURNED_CUSTOMER"),IF(LEFT(D239,1)="5",IF(P239="Recently Active","COST_TO_SERVE_ACTIVE","DORMANT_LOW_VALUE"),IF(LEFT(D239,1)="6",IF(P239="Recent Inactivity","RECENT_INACTIVITY",IF(AG239,"BROWSING_LOW_OFFERS","HEALTHY_STRONG_SELF_SERVE")),IF(LEFT(D239,1)="7",IF(P239="Recent Inactivity","RECENT_INACTIVITY",IF(Q239="New Customer","NEW_CUSTOMER","RETURNED_CUSTOMER")),IF(LEFT(D239,1)="8",IF(G239="Declining",IF(T239="Engaged but shrinking (Key/Core)","ENGAGED_BUT_SHRINKING","DECLINING_KEY_CORE"),IF(R239="Established Buyer Lapsed","LAPSED_ESTABLISHED","LAPSED_THIN_HISTORY")),IF(S239,IF(P239&lt;&gt;"Recently Active","DORMANT_LOW_VALUE",IF(AG239,"BROWSING_LOW_OFFERS",IF(AH239,"RISING_TAIL","RISING_TAIL_EARLY"))),IF(AND(AG239,P239="Recently Active",OR(G239="Growing",G239="Stable",G239="H2 Active / No H1 GMV"),I239&gt;=Assumptions!$B$74),"BROWSING_LOW_OFFERS","LONG_TAIL_STANDARD"))))))))))</f>
        <v>LONG_TAIL_STANDARD</v>
      </c>
      <c r="AK239" s="2" t="str">
        <f aca="false">INDEX('NBA Library'!$B$4:$B$21,MATCH(AJ239,'NBA Library'!$A$4:$A$21,0))</f>
        <v>Automated Nurture</v>
      </c>
      <c r="AL239" s="2" t="str">
        <f aca="false">INDEX('NBA Library'!$C$4:$C$21,MATCH(AJ239,'NBA Library'!$A$4:$A$21,0))</f>
        <v>Automated</v>
      </c>
      <c r="AM239" s="2" t="str">
        <f aca="false">IF(AA239,"HOLD — Critical Data Issue",IF(Y239,"Human Sign-Off Required",IF(Z239="Manual Review","Human Review Required",IF(AND(AL239="Automated",OR(AE239,AND(OR(AK239="Discovery-to-Offer Enablement",AK239="Reinforce Successful Behaviour"),OR(AC239,AB239)))),"Human Review Required",IF(AL239="Human","Ready — Human",IF(AL239="Hybrid","Ready — Hybrid","Ready — Automated"))))))</f>
        <v>Ready — Automated</v>
      </c>
      <c r="AN239" s="2" t="str">
        <f aca="false">IF(AA239,"P0",IF(AND(AJ239="BROWSING_LOW_OFFERS",E239="Tail"),"P3",IF(AND(AM239="Human Review Required",INDEX('NBA Library'!$D$4:$D$21,MATCH(AJ239,'NBA Library'!$A$4:$A$21,0))="P4"),"P3",INDEX('NBA Library'!$D$4:$D$21,MATCH(AJ239,'NBA Library'!$A$4:$A$21,0)))))</f>
        <v>P4</v>
      </c>
      <c r="AO239" s="2" t="str">
        <f aca="false">E239&amp;" "&amp;C239&amp;" account ("&amp;B239&amp;"); "&amp;G239&amp;" momentum; "&amp;P239&amp;"; £"&amp;TEXT(H239,"#,##0")&amp;" 6m GMV. "&amp;INDEX('NBA Library'!$G$4:$G$21,MATCH(AJ239,'NBA Library'!$A$4:$A$21,0))&amp;IF(LEFT(D239,1)="1"," Baseline: "&amp;V239&amp;" PDP views, "&amp;W239&amp;" app days, "&amp;X239&amp;" offers, "&amp;TEXT(J239/I239,"0%")&amp;" of orders self-serve.","")&amp;IF(AA239," Execution on HOLD until the Duplicate status is resolved.","")&amp;IF(Y239," Key account: explicit AM/leadership sign-off required before any migration activity.","")&amp;IF(AE239," Implied broker % from order counts would move this account to a different segment; review before automating.","")</f>
        <v>Tail Self-Serve account (Self Serve); H2 Active / No H1 GMV momentum; Recently Active; £353 6m GMV. Low-value, low-dependency account. Scalable automated engagement.</v>
      </c>
      <c r="AP239" s="2" t="str">
        <f aca="false">INDEX('NBA Library'!$E$4:$E$21,MATCH(AJ239,'NBA Library'!$A$4:$A$21,0))&amp;IF(AND(AJ239="NEW_CUSTOMER",AG239),"; introduce Make-an-Offer on items already browsed","")</f>
        <v>Scalable automated engagement matched to nurture sub-context</v>
      </c>
      <c r="AQ239" s="2" t="str">
        <f aca="false">INDEX('NBA Library'!$F$4:$F$21,MATCH(AJ239,'NBA Library'!$A$4:$A$21,0))</f>
        <v>Any repeat order within 90 days</v>
      </c>
      <c r="AR239" s="2" t="str">
        <f aca="false">IF(AND(F239="Low",OR(G239="Growing",G239="Stable"),P239="Recently Active",U239&lt;&gt;"Mixed",OR(AK239="Discovery-to-Offer Enablement",AK239="Reinforce Successful Behaviour"),AM239="Ready — Automated",OR(E239&lt;&gt;"Tail",S239)),"Range Expansion Test — trial "&amp;IF(U239="Bundle-only","handpick","bundles")&amp;" (experimental; not proven to lift GMV)","")</f>
        <v/>
      </c>
      <c r="AS239" s="2" t="str">
        <f aca="false">IF(AK239&lt;&gt;"Automated Nurture","",IF(AJ239="DORMANT_LOW_VALUE","Dormant",IF(AJ239="RISING_TAIL_EARLY","Rising tail – early pattern",IF(Q239="New Customer","New customer onboarding",IF(Q239="Returned Customer","Returned customer",IF(G239="Lapsed","Dormant",IF(T239="Engaged, not converting","Engaged, not converting",IF(T239="One-off low-touch buyer","One-off purchaser",IF(T239="Light-touch repeat buyer","Light-touch repeat buyer","Standard long tail")))))))))</f>
        <v>New customer onboarding</v>
      </c>
      <c r="AT239" s="2" t="str">
        <f aca="false">IF(AA239,"CRITICAL_DATA_BLOCKER; ","")&amp;IF(Y239,"KEY_SIGNOFF; ","")&amp;IF(Z239="Manual Review","PHASE1_MANUAL_REVIEW; ","")&amp;IF(AND(LEFT(D239,1)="1",AZ239="Lumpy"),"LUMPY_CADENCE; ","")&amp;IF(AB239,"BORDERLINE_MOMENTUM; ","")&amp;IF(AC239,"FEB_SENSITIVE; ","")&amp;IF(AD239,"MATERIAL_BROKER_INCONSISTENCY"&amp;IF(AE239," (segment would change)","")&amp;"; ","")&amp;IF(AND(I239&gt;=3,O239&gt;0),IF(AI239&gt;=Assumptions!$B$75,"H2_SINGLE_MONTH_SPIKE; ",""),"")&amp;IF(AND(M239&gt;0,N239=0),"NO_FEB_GMV (Feb unconfirmed); ","")&amp;IF(AF239,"LOW_CONFIDENCE; ","")</f>
        <v>NO_FEB_GMV (Feb unconfirmed); LOW_CONFIDENCE; </v>
      </c>
      <c r="AU239" s="2" t="str">
        <f aca="false">IF(LEFT(D239,1)="1",V239,"")</f>
        <v/>
      </c>
      <c r="AV239" s="2" t="str">
        <f aca="false">IF(LEFT(D239,1)="1",V239&gt;=Assumptions!$B$58,"")</f>
        <v/>
      </c>
      <c r="AW239" s="2" t="str">
        <f aca="false">IF(LEFT(D239,1)="1",W239,"")</f>
        <v/>
      </c>
      <c r="AX239" s="2" t="str">
        <f aca="false">IF(LEFT(D239,1)="1",X239,"")</f>
        <v/>
      </c>
      <c r="AY239" s="17" t="str">
        <f aca="false">IF(LEFT(D239,1)="1",J239/I239,"")</f>
        <v/>
      </c>
      <c r="AZ239" s="2" t="str">
        <f aca="false">IF(LEFT(D239,1)="1",IF(AND(K239&gt;=Assumptions!$B$83,I239&gt;=Assumptions!$B$84),"Regular","Lumpy"),"")</f>
        <v/>
      </c>
      <c r="BA239" s="2" t="str">
        <f aca="false">IF(LEFT(D239,1)="1",ROUND(6/K239,0),"")</f>
        <v/>
      </c>
      <c r="BB239" s="2" t="str">
        <f aca="false">IF(LEFT(D239,1)="1",IF(AZ239="Regular","Regular buyer: expected ~£"&amp;TEXT(H239/2,"#,##0")&amp;" per 90 days. At Risk if GMV to date &lt; "&amp;TEXT(Assumptions!$B$81,"0%")&amp;" of pro-rated expectation, checked from day "&amp;Assumptions!$B$82&amp;". Human-reviewed.","Irregular buyer ("&amp;I239&amp;" orders across "&amp;K239&amp;" months): no numeric GMV threshold. At Risk if no order within ~"&amp;BA239&amp;" month(s); AM reviews at day "&amp;Assumptions!$B$82&amp;" and "&amp;Assumptions!$B$85&amp;"."),"")</f>
        <v/>
      </c>
      <c r="BC239" s="2"/>
      <c r="BD239" s="2"/>
      <c r="BE239" s="2"/>
      <c r="BF239" s="2"/>
      <c r="BG239" s="2"/>
      <c r="BH239" s="2"/>
      <c r="BI239" s="2"/>
      <c r="BJ239" s="2" t="str">
        <f aca="false">IF(OR(NOT(LEFT(D239,1)="1"),BC239=""),"",IF(AZ239="Regular",AND(BC239&gt;=Assumptions!$B$82,N(BI239)&lt;Assumptions!$B$81*H239/180*BC239),AND(BC239&gt;=BA239*30,N(BG239)=0)))</f>
        <v/>
      </c>
      <c r="BK239" s="2" t="str">
        <f aca="false">IF(NOT(LEFT(D239,1)="1"),"N/A",IF(BC239="","Baseline",IF(BJ239,"At Risk",IF(AND(N(BD239)&gt;=Assumptions!$B$78,N(BE239)&gt;=Assumptions!$B$79,N(BH239)&gt;=1,N(BH239)/MAX(N(BG239),1)&gt;AY239),"Self-Serve Capability Demonstrated",IF(OR(N(BD239)&gt;=Assumptions!$B$76,N(BE239)&gt;=Assumptions!$B$77),"Progressing",IF(BC239&gt;=Assumptions!$B$85,"At Risk","Baseline"))))))</f>
        <v>N/A</v>
      </c>
      <c r="BL239" s="2" t="n">
        <f aca="false">(AND(C239="Broker-Reliant",OR(AK239="Discovery-to-Offer Enablement",AK239="Reinforce Successful Behaviour")))*1+(AND(G239="Declining",E239&lt;&gt;"Tail",AL239="Automated"))*1+(AND(Y239,AM239&lt;&gt;"Human Sign-Off Required"))*1+(AND(AA239,AM239&lt;&gt;"HOLD — Critical Data Issue"))*1+(AND(P239="Recent Inactivity",OR(AK239="Discovery-to-Offer Enablement",AK239="Reinforce Successful Behaviour")))*1+(AND(OR(LEFT(D239,1)="2",LEFT(D239,1)="3",LEFT(D239,1)="8"),AL239="Automated"))*1+((LEFT(D239,1)="1")&lt;&gt;(AK239="Guided Self-Serve Migration"))*1+(AND(AR239&lt;&gt;"",OR(F239&lt;&gt;"Low",U239="Mixed",AND(G239&lt;&gt;"Growing",G239&lt;&gt;"Stable"))))*1+ISNUMBER(SEARCH("chat",AP239))*1+ISNUMBER(SEARCH("video",AP239))*1+(AND(AA239,AL239="Automated",AM239&lt;&gt;"HOLD — Critical Data Issue"))*1</f>
        <v>0</v>
      </c>
    </row>
    <row r="240" customFormat="false" ht="15" hidden="false" customHeight="false" outlineLevel="0" collapsed="false">
      <c r="A240" s="2" t="s">
        <v>752</v>
      </c>
      <c r="B240" s="2" t="str">
        <f aca="false">INDEX(Segmentation!$B$2:$B$301,MATCH($A240,Segmentation!$A$2:$A$301,0))</f>
        <v>Self Serve</v>
      </c>
      <c r="C240" s="2" t="str">
        <f aca="false">INDEX(Segmentation!$H$2:$H$301,MATCH($A240,Segmentation!$A$2:$A$301,0))</f>
        <v>Self-Serve</v>
      </c>
      <c r="D240" s="2" t="str">
        <f aca="false">INDEX(Segmentation!$T$2:$T$301,MATCH($A240,Segmentation!$A$2:$A$301,0))</f>
        <v>9. Long-Tail Automated Nurture</v>
      </c>
      <c r="E240" s="2" t="str">
        <f aca="false">INDEX(Segmentation!$J$2:$J$301,MATCH($A240,Segmentation!$A$2:$A$301,0))</f>
        <v>Tail</v>
      </c>
      <c r="F240" s="2" t="str">
        <f aca="false">INDEX(Segmentation!$G$2:$G$301,MATCH($A240,Segmentation!$A$2:$A$301,0))</f>
        <v>Low</v>
      </c>
      <c r="G240" s="2" t="str">
        <f aca="false">INDEX(Segmentation!$N$2:$N$301,MATCH($A240,Segmentation!$A$2:$A$301,0))</f>
        <v>Lapsed</v>
      </c>
      <c r="H240" s="9" t="n">
        <f aca="false">INDEX(Segmentation!$I$2:$I$301,MATCH($A240,Segmentation!$A$2:$A$301,0))</f>
        <v>345</v>
      </c>
      <c r="I240" s="2" t="n">
        <f aca="false">INDEX(Segmentation!$O$2:$O$301,MATCH($A240,Segmentation!$A$2:$A$301,0))</f>
        <v>1</v>
      </c>
      <c r="J240" s="2" t="n">
        <f aca="false">INDEX(Segmentation!$Q$2:$Q$301,MATCH($A240,Segmentation!$A$2:$A$301,0))</f>
        <v>1</v>
      </c>
      <c r="K240" s="2" t="n">
        <f aca="false">INDEX(Segmentation!$W$2:$W$301,MATCH($A240,Segmentation!$A$2:$A$301,0))</f>
        <v>1</v>
      </c>
      <c r="L240" s="9" t="n">
        <f aca="false">INDEX('Commercial View'!$L$2:$L$301,MATCH($A240,'Commercial View'!$A$2:$A$301,0))</f>
        <v>0</v>
      </c>
      <c r="M240" s="9" t="n">
        <f aca="false">INDEX('Commercial View'!$M$2:$M$301,MATCH($A240,'Commercial View'!$A$2:$A$301,0))</f>
        <v>0</v>
      </c>
      <c r="N240" s="9" t="n">
        <f aca="false">INDEX('Commercial View'!$N$2:$N$301,MATCH($A240,'Commercial View'!$A$2:$A$301,0))</f>
        <v>0</v>
      </c>
      <c r="O240" s="9" t="n">
        <f aca="false">INDEX(Segmentation!$L$2:$L$301,MATCH($A240,Segmentation!$A$2:$A$301,0))</f>
        <v>0</v>
      </c>
      <c r="P240" s="2" t="str">
        <f aca="false">IF(OR(M240&gt;0,N240&gt;0),"Recently Active",IF(OR(I240&lt;=Assumptions!$B$48,K240&lt;=Assumptions!$B$49),"No Meaningful History","Recent Inactivity"))</f>
        <v>No Meaningful History</v>
      </c>
      <c r="Q240" s="2" t="str">
        <f aca="false">INDEX(Segmentation!$AF$2:$AF$301,MATCH($A240,Segmentation!$A$2:$A$301,0))</f>
        <v>Existing Customer</v>
      </c>
      <c r="R240" s="2" t="str">
        <f aca="false">INDEX(Segmentation!$AL$2:$AL$301,MATCH($A240,Segmentation!$A$2:$A$301,0))</f>
        <v>One-Off / Insufficient History — Verify</v>
      </c>
      <c r="S240" s="10" t="b">
        <f aca="false">INDEX(Segmentation!$AW$2:$AW$301,MATCH($A240,Segmentation!$A$2:$A$301,0))</f>
        <v>0</v>
      </c>
      <c r="T240" s="2" t="str">
        <f aca="false">INDEX('Feature Data'!$AD$2:$AD$301,MATCH($A240,'Feature Data'!$A$2:$A$301,0))</f>
        <v>One-off low-touch buyer</v>
      </c>
      <c r="U240" s="2" t="str">
        <f aca="false">INDEX('Feature Data'!$W$2:$W$301,MATCH($A240,'Feature Data'!$A$2:$A$301,0))</f>
        <v>Bundle-only</v>
      </c>
      <c r="V240" s="2" t="n">
        <f aca="false">INDEX('Feature Data'!$P$2:$P$301,MATCH($A240,'Feature Data'!$A$2:$A$301,0))</f>
        <v>34</v>
      </c>
      <c r="W240" s="2" t="n">
        <f aca="false">INDEX(Segmentation!$R$2:$R$301,MATCH($A240,Segmentation!$A$2:$A$301,0))</f>
        <v>1</v>
      </c>
      <c r="X240" s="2" t="n">
        <f aca="false">INDEX(Segmentation!$S$2:$S$301,MATCH($A240,Segmentation!$A$2:$A$301,0))</f>
        <v>2</v>
      </c>
      <c r="Y240" s="10" t="b">
        <f aca="false">INDEX(Segmentation!$AG$2:$AG$301,MATCH($A240,Segmentation!$A$2:$A$301,0))</f>
        <v>0</v>
      </c>
      <c r="Z240" s="2" t="str">
        <f aca="false">INDEX(Segmentation!$AU$2:$AU$301,MATCH($A240,Segmentation!$A$2:$A$301,0))</f>
        <v>Not Eligible</v>
      </c>
      <c r="AA240" s="10" t="b">
        <f aca="false">INDEX(Segmentation!$Z$2:$Z$301,MATCH($A240,Segmentation!$A$2:$A$301,0))</f>
        <v>0</v>
      </c>
      <c r="AB240" s="10" t="b">
        <f aca="false">INDEX(Segmentation!$AH$2:$AH$301,MATCH($A240,Segmentation!$A$2:$A$301,0))</f>
        <v>0</v>
      </c>
      <c r="AC240" s="10" t="b">
        <f aca="false">INDEX(Segmentation!$AK$2:$AK$301,MATCH($A240,Segmentation!$A$2:$A$301,0))</f>
        <v>0</v>
      </c>
      <c r="AD240" s="10" t="b">
        <f aca="false">INDEX(Segmentation!$AQ$2:$AQ$301,MATCH($A240,Segmentation!$A$2:$A$301,0))</f>
        <v>0</v>
      </c>
      <c r="AE240" s="10" t="b">
        <f aca="false">INDEX(Segmentation!$AT$2:$AT$301,MATCH($A240,Segmentation!$A$2:$A$301,0))</f>
        <v>0</v>
      </c>
      <c r="AF240" s="10" t="b">
        <f aca="false">INDEX(Segmentation!$X$2:$X$301,MATCH($A240,Segmentation!$A$2:$A$301,0))</f>
        <v>1</v>
      </c>
      <c r="AG240" s="10" t="b">
        <f aca="false">AND(F240="Low",V240&gt;=Assumptions!$B$71,X240&lt;Assumptions!$B$72)</f>
        <v>0</v>
      </c>
      <c r="AH240" s="10" t="b">
        <f aca="false">AND(F240="Low",OR(G240="Growing",G240="Stable"),P240="Recently Active",V240&gt;=Assumptions!$B$58,K240&gt;=Assumptions!$B$73)</f>
        <v>0</v>
      </c>
      <c r="AI240" s="17" t="str">
        <f aca="false">IF(O240&gt;0,MAX(L240:N240)/O240,"")</f>
        <v/>
      </c>
      <c r="AJ240" s="2" t="str">
        <f aca="false">IF(LEFT(D240,1)="1",IF(E240="Key","MIGRATION_KEY_SIGNOFF",IF(Z240="Ready","MIGRATION_PHASE1_READY",IF(Z240="Manual Review","MIGRATION_PHASE1_REVIEW","MIGRATION_PRE_ENTRY"))),IF(LEFT(D240,1)="2","DECLINING_KEY_CORE",IF(LEFT(D240,1)="3",IF(R240="Established Buyer Lapsed","LAPSED_ESTABLISHED","LAPSED_THIN_HISTORY"),IF(LEFT(D240,1)="4",IF(Q240="New Customer","NEW_CUSTOMER","RETURNED_CUSTOMER"),IF(LEFT(D240,1)="5",IF(P240="Recently Active","COST_TO_SERVE_ACTIVE","DORMANT_LOW_VALUE"),IF(LEFT(D240,1)="6",IF(P240="Recent Inactivity","RECENT_INACTIVITY",IF(AG240,"BROWSING_LOW_OFFERS","HEALTHY_STRONG_SELF_SERVE")),IF(LEFT(D240,1)="7",IF(P240="Recent Inactivity","RECENT_INACTIVITY",IF(Q240="New Customer","NEW_CUSTOMER","RETURNED_CUSTOMER")),IF(LEFT(D240,1)="8",IF(G240="Declining",IF(T240="Engaged but shrinking (Key/Core)","ENGAGED_BUT_SHRINKING","DECLINING_KEY_CORE"),IF(R240="Established Buyer Lapsed","LAPSED_ESTABLISHED","LAPSED_THIN_HISTORY")),IF(S240,IF(P240&lt;&gt;"Recently Active","DORMANT_LOW_VALUE",IF(AG240,"BROWSING_LOW_OFFERS",IF(AH240,"RISING_TAIL","RISING_TAIL_EARLY"))),IF(AND(AG240,P240="Recently Active",OR(G240="Growing",G240="Stable",G240="H2 Active / No H1 GMV"),I240&gt;=Assumptions!$B$74),"BROWSING_LOW_OFFERS","LONG_TAIL_STANDARD"))))))))))</f>
        <v>LONG_TAIL_STANDARD</v>
      </c>
      <c r="AK240" s="2" t="str">
        <f aca="false">INDEX('NBA Library'!$B$4:$B$21,MATCH(AJ240,'NBA Library'!$A$4:$A$21,0))</f>
        <v>Automated Nurture</v>
      </c>
      <c r="AL240" s="2" t="str">
        <f aca="false">INDEX('NBA Library'!$C$4:$C$21,MATCH(AJ240,'NBA Library'!$A$4:$A$21,0))</f>
        <v>Automated</v>
      </c>
      <c r="AM240" s="2" t="str">
        <f aca="false">IF(AA240,"HOLD — Critical Data Issue",IF(Y240,"Human Sign-Off Required",IF(Z240="Manual Review","Human Review Required",IF(AND(AL240="Automated",OR(AE240,AND(OR(AK240="Discovery-to-Offer Enablement",AK240="Reinforce Successful Behaviour"),OR(AC240,AB240)))),"Human Review Required",IF(AL240="Human","Ready — Human",IF(AL240="Hybrid","Ready — Hybrid","Ready — Automated"))))))</f>
        <v>Ready — Automated</v>
      </c>
      <c r="AN240" s="2" t="str">
        <f aca="false">IF(AA240,"P0",IF(AND(AJ240="BROWSING_LOW_OFFERS",E240="Tail"),"P3",IF(AND(AM240="Human Review Required",INDEX('NBA Library'!$D$4:$D$21,MATCH(AJ240,'NBA Library'!$A$4:$A$21,0))="P4"),"P3",INDEX('NBA Library'!$D$4:$D$21,MATCH(AJ240,'NBA Library'!$A$4:$A$21,0)))))</f>
        <v>P4</v>
      </c>
      <c r="AO240" s="2" t="str">
        <f aca="false">E240&amp;" "&amp;C240&amp;" account ("&amp;B240&amp;"); "&amp;G240&amp;" momentum; "&amp;P240&amp;"; £"&amp;TEXT(H240,"#,##0")&amp;" 6m GMV. "&amp;INDEX('NBA Library'!$G$4:$G$21,MATCH(AJ240,'NBA Library'!$A$4:$A$21,0))&amp;IF(LEFT(D240,1)="1"," Baseline: "&amp;V240&amp;" PDP views, "&amp;W240&amp;" app days, "&amp;X240&amp;" offers, "&amp;TEXT(J240/I240,"0%")&amp;" of orders self-serve.","")&amp;IF(AA240," Execution on HOLD until the Duplicate status is resolved.","")&amp;IF(Y240," Key account: explicit AM/leadership sign-off required before any migration activity.","")&amp;IF(AE240," Implied broker % from order counts would move this account to a different segment; review before automating.","")</f>
        <v>Tail Self-Serve account (Self Serve); Lapsed momentum; No Meaningful History; £345 6m GMV. Low-value, low-dependency account. Scalable automated engagement.</v>
      </c>
      <c r="AP240" s="2" t="str">
        <f aca="false">INDEX('NBA Library'!$E$4:$E$21,MATCH(AJ240,'NBA Library'!$A$4:$A$21,0))&amp;IF(AND(AJ240="NEW_CUSTOMER",AG240),"; introduce Make-an-Offer on items already browsed","")</f>
        <v>Scalable automated engagement matched to nurture sub-context</v>
      </c>
      <c r="AQ240" s="2" t="str">
        <f aca="false">INDEX('NBA Library'!$F$4:$F$21,MATCH(AJ240,'NBA Library'!$A$4:$A$21,0))</f>
        <v>Any repeat order within 90 days</v>
      </c>
      <c r="AR240" s="2" t="str">
        <f aca="false">IF(AND(F240="Low",OR(G240="Growing",G240="Stable"),P240="Recently Active",U240&lt;&gt;"Mixed",OR(AK240="Discovery-to-Offer Enablement",AK240="Reinforce Successful Behaviour"),AM240="Ready — Automated",OR(E240&lt;&gt;"Tail",S240)),"Range Expansion Test — trial "&amp;IF(U240="Bundle-only","handpick","bundles")&amp;" (experimental; not proven to lift GMV)","")</f>
        <v/>
      </c>
      <c r="AS240" s="2" t="str">
        <f aca="false">IF(AK240&lt;&gt;"Automated Nurture","",IF(AJ240="DORMANT_LOW_VALUE","Dormant",IF(AJ240="RISING_TAIL_EARLY","Rising tail – early pattern",IF(Q240="New Customer","New customer onboarding",IF(Q240="Returned Customer","Returned customer",IF(G240="Lapsed","Dormant",IF(T240="Engaged, not converting","Engaged, not converting",IF(T240="One-off low-touch buyer","One-off purchaser",IF(T240="Light-touch repeat buyer","Light-touch repeat buyer","Standard long tail")))))))))</f>
        <v>Dormant</v>
      </c>
      <c r="AT240" s="2" t="str">
        <f aca="false">IF(AA240,"CRITICAL_DATA_BLOCKER; ","")&amp;IF(Y240,"KEY_SIGNOFF; ","")&amp;IF(Z240="Manual Review","PHASE1_MANUAL_REVIEW; ","")&amp;IF(AND(LEFT(D240,1)="1",AZ240="Lumpy"),"LUMPY_CADENCE; ","")&amp;IF(AB240,"BORDERLINE_MOMENTUM; ","")&amp;IF(AC240,"FEB_SENSITIVE; ","")&amp;IF(AD240,"MATERIAL_BROKER_INCONSISTENCY"&amp;IF(AE240," (segment would change)","")&amp;"; ","")&amp;IF(AND(I240&gt;=3,O240&gt;0),IF(AI240&gt;=Assumptions!$B$75,"H2_SINGLE_MONTH_SPIKE; ",""),"")&amp;IF(AND(M240&gt;0,N240=0),"NO_FEB_GMV (Feb unconfirmed); ","")&amp;IF(AF240,"LOW_CONFIDENCE; ","")</f>
        <v>LOW_CONFIDENCE; </v>
      </c>
      <c r="AU240" s="2" t="str">
        <f aca="false">IF(LEFT(D240,1)="1",V240,"")</f>
        <v/>
      </c>
      <c r="AV240" s="2" t="str">
        <f aca="false">IF(LEFT(D240,1)="1",V240&gt;=Assumptions!$B$58,"")</f>
        <v/>
      </c>
      <c r="AW240" s="2" t="str">
        <f aca="false">IF(LEFT(D240,1)="1",W240,"")</f>
        <v/>
      </c>
      <c r="AX240" s="2" t="str">
        <f aca="false">IF(LEFT(D240,1)="1",X240,"")</f>
        <v/>
      </c>
      <c r="AY240" s="17" t="str">
        <f aca="false">IF(LEFT(D240,1)="1",J240/I240,"")</f>
        <v/>
      </c>
      <c r="AZ240" s="2" t="str">
        <f aca="false">IF(LEFT(D240,1)="1",IF(AND(K240&gt;=Assumptions!$B$83,I240&gt;=Assumptions!$B$84),"Regular","Lumpy"),"")</f>
        <v/>
      </c>
      <c r="BA240" s="2" t="str">
        <f aca="false">IF(LEFT(D240,1)="1",ROUND(6/K240,0),"")</f>
        <v/>
      </c>
      <c r="BB240" s="2" t="str">
        <f aca="false">IF(LEFT(D240,1)="1",IF(AZ240="Regular","Regular buyer: expected ~£"&amp;TEXT(H240/2,"#,##0")&amp;" per 90 days. At Risk if GMV to date &lt; "&amp;TEXT(Assumptions!$B$81,"0%")&amp;" of pro-rated expectation, checked from day "&amp;Assumptions!$B$82&amp;". Human-reviewed.","Irregular buyer ("&amp;I240&amp;" orders across "&amp;K240&amp;" months): no numeric GMV threshold. At Risk if no order within ~"&amp;BA240&amp;" month(s); AM reviews at day "&amp;Assumptions!$B$82&amp;" and "&amp;Assumptions!$B$85&amp;"."),"")</f>
        <v/>
      </c>
      <c r="BC240" s="2"/>
      <c r="BD240" s="2"/>
      <c r="BE240" s="2"/>
      <c r="BF240" s="2"/>
      <c r="BG240" s="2"/>
      <c r="BH240" s="2"/>
      <c r="BI240" s="2"/>
      <c r="BJ240" s="2" t="str">
        <f aca="false">IF(OR(NOT(LEFT(D240,1)="1"),BC240=""),"",IF(AZ240="Regular",AND(BC240&gt;=Assumptions!$B$82,N(BI240)&lt;Assumptions!$B$81*H240/180*BC240),AND(BC240&gt;=BA240*30,N(BG240)=0)))</f>
        <v/>
      </c>
      <c r="BK240" s="2" t="str">
        <f aca="false">IF(NOT(LEFT(D240,1)="1"),"N/A",IF(BC240="","Baseline",IF(BJ240,"At Risk",IF(AND(N(BD240)&gt;=Assumptions!$B$78,N(BE240)&gt;=Assumptions!$B$79,N(BH240)&gt;=1,N(BH240)/MAX(N(BG240),1)&gt;AY240),"Self-Serve Capability Demonstrated",IF(OR(N(BD240)&gt;=Assumptions!$B$76,N(BE240)&gt;=Assumptions!$B$77),"Progressing",IF(BC240&gt;=Assumptions!$B$85,"At Risk","Baseline"))))))</f>
        <v>N/A</v>
      </c>
      <c r="BL240" s="2" t="n">
        <f aca="false">(AND(C240="Broker-Reliant",OR(AK240="Discovery-to-Offer Enablement",AK240="Reinforce Successful Behaviour")))*1+(AND(G240="Declining",E240&lt;&gt;"Tail",AL240="Automated"))*1+(AND(Y240,AM240&lt;&gt;"Human Sign-Off Required"))*1+(AND(AA240,AM240&lt;&gt;"HOLD — Critical Data Issue"))*1+(AND(P240="Recent Inactivity",OR(AK240="Discovery-to-Offer Enablement",AK240="Reinforce Successful Behaviour")))*1+(AND(OR(LEFT(D240,1)="2",LEFT(D240,1)="3",LEFT(D240,1)="8"),AL240="Automated"))*1+((LEFT(D240,1)="1")&lt;&gt;(AK240="Guided Self-Serve Migration"))*1+(AND(AR240&lt;&gt;"",OR(F240&lt;&gt;"Low",U240="Mixed",AND(G240&lt;&gt;"Growing",G240&lt;&gt;"Stable"))))*1+ISNUMBER(SEARCH("chat",AP240))*1+ISNUMBER(SEARCH("video",AP240))*1+(AND(AA240,AL240="Automated",AM240&lt;&gt;"HOLD — Critical Data Issue"))*1</f>
        <v>0</v>
      </c>
    </row>
    <row r="241" customFormat="false" ht="15" hidden="false" customHeight="false" outlineLevel="0" collapsed="false">
      <c r="A241" s="2" t="s">
        <v>756</v>
      </c>
      <c r="B241" s="2" t="str">
        <f aca="false">INDEX(Segmentation!$B$2:$B$301,MATCH($A241,Segmentation!$A$2:$A$301,0))</f>
        <v>Self Serve</v>
      </c>
      <c r="C241" s="2" t="str">
        <f aca="false">INDEX(Segmentation!$H$2:$H$301,MATCH($A241,Segmentation!$A$2:$A$301,0))</f>
        <v>Self-Serve</v>
      </c>
      <c r="D241" s="2" t="str">
        <f aca="false">INDEX(Segmentation!$T$2:$T$301,MATCH($A241,Segmentation!$A$2:$A$301,0))</f>
        <v>9. Long-Tail Automated Nurture</v>
      </c>
      <c r="E241" s="2" t="str">
        <f aca="false">INDEX(Segmentation!$J$2:$J$301,MATCH($A241,Segmentation!$A$2:$A$301,0))</f>
        <v>Tail</v>
      </c>
      <c r="F241" s="2" t="str">
        <f aca="false">INDEX(Segmentation!$G$2:$G$301,MATCH($A241,Segmentation!$A$2:$A$301,0))</f>
        <v>Low</v>
      </c>
      <c r="G241" s="2" t="str">
        <f aca="false">INDEX(Segmentation!$N$2:$N$301,MATCH($A241,Segmentation!$A$2:$A$301,0))</f>
        <v>H2 Active / No H1 GMV</v>
      </c>
      <c r="H241" s="9" t="n">
        <f aca="false">INDEX(Segmentation!$I$2:$I$301,MATCH($A241,Segmentation!$A$2:$A$301,0))</f>
        <v>337</v>
      </c>
      <c r="I241" s="2" t="n">
        <f aca="false">INDEX(Segmentation!$O$2:$O$301,MATCH($A241,Segmentation!$A$2:$A$301,0))</f>
        <v>1</v>
      </c>
      <c r="J241" s="2" t="n">
        <f aca="false">INDEX(Segmentation!$Q$2:$Q$301,MATCH($A241,Segmentation!$A$2:$A$301,0))</f>
        <v>1</v>
      </c>
      <c r="K241" s="2" t="n">
        <f aca="false">INDEX(Segmentation!$W$2:$W$301,MATCH($A241,Segmentation!$A$2:$A$301,0))</f>
        <v>1</v>
      </c>
      <c r="L241" s="9" t="n">
        <f aca="false">INDEX('Commercial View'!$L$2:$L$301,MATCH($A241,'Commercial View'!$A$2:$A$301,0))</f>
        <v>0</v>
      </c>
      <c r="M241" s="9" t="n">
        <f aca="false">INDEX('Commercial View'!$M$2:$M$301,MATCH($A241,'Commercial View'!$A$2:$A$301,0))</f>
        <v>337</v>
      </c>
      <c r="N241" s="9" t="n">
        <f aca="false">INDEX('Commercial View'!$N$2:$N$301,MATCH($A241,'Commercial View'!$A$2:$A$301,0))</f>
        <v>0</v>
      </c>
      <c r="O241" s="9" t="n">
        <f aca="false">INDEX(Segmentation!$L$2:$L$301,MATCH($A241,Segmentation!$A$2:$A$301,0))</f>
        <v>337</v>
      </c>
      <c r="P241" s="2" t="str">
        <f aca="false">IF(OR(M241&gt;0,N241&gt;0),"Recently Active",IF(OR(I241&lt;=Assumptions!$B$48,K241&lt;=Assumptions!$B$49),"No Meaningful History","Recent Inactivity"))</f>
        <v>Recently Active</v>
      </c>
      <c r="Q241" s="2" t="str">
        <f aca="false">INDEX(Segmentation!$AF$2:$AF$301,MATCH($A241,Segmentation!$A$2:$A$301,0))</f>
        <v>New Customer</v>
      </c>
      <c r="R241" s="2" t="str">
        <f aca="false">INDEX(Segmentation!$AL$2:$AL$301,MATCH($A241,Segmentation!$A$2:$A$301,0))</f>
        <v>N/A</v>
      </c>
      <c r="S241" s="10" t="b">
        <f aca="false">INDEX(Segmentation!$AW$2:$AW$301,MATCH($A241,Segmentation!$A$2:$A$301,0))</f>
        <v>0</v>
      </c>
      <c r="T241" s="2" t="str">
        <f aca="false">INDEX('Feature Data'!$AD$2:$AD$301,MATCH($A241,'Feature Data'!$A$2:$A$301,0))</f>
        <v>One-off low-touch buyer</v>
      </c>
      <c r="U241" s="2" t="str">
        <f aca="false">INDEX('Feature Data'!$W$2:$W$301,MATCH($A241,'Feature Data'!$A$2:$A$301,0))</f>
        <v>Bundle-only</v>
      </c>
      <c r="V241" s="2" t="n">
        <f aca="false">INDEX('Feature Data'!$P$2:$P$301,MATCH($A241,'Feature Data'!$A$2:$A$301,0))</f>
        <v>35</v>
      </c>
      <c r="W241" s="2" t="n">
        <f aca="false">INDEX(Segmentation!$R$2:$R$301,MATCH($A241,Segmentation!$A$2:$A$301,0))</f>
        <v>8</v>
      </c>
      <c r="X241" s="2" t="n">
        <f aca="false">INDEX(Segmentation!$S$2:$S$301,MATCH($A241,Segmentation!$A$2:$A$301,0))</f>
        <v>0</v>
      </c>
      <c r="Y241" s="10" t="b">
        <f aca="false">INDEX(Segmentation!$AG$2:$AG$301,MATCH($A241,Segmentation!$A$2:$A$301,0))</f>
        <v>0</v>
      </c>
      <c r="Z241" s="2" t="str">
        <f aca="false">INDEX(Segmentation!$AU$2:$AU$301,MATCH($A241,Segmentation!$A$2:$A$301,0))</f>
        <v>Not Eligible</v>
      </c>
      <c r="AA241" s="10" t="b">
        <f aca="false">INDEX(Segmentation!$Z$2:$Z$301,MATCH($A241,Segmentation!$A$2:$A$301,0))</f>
        <v>0</v>
      </c>
      <c r="AB241" s="10" t="b">
        <f aca="false">INDEX(Segmentation!$AH$2:$AH$301,MATCH($A241,Segmentation!$A$2:$A$301,0))</f>
        <v>0</v>
      </c>
      <c r="AC241" s="10" t="b">
        <f aca="false">INDEX(Segmentation!$AK$2:$AK$301,MATCH($A241,Segmentation!$A$2:$A$301,0))</f>
        <v>0</v>
      </c>
      <c r="AD241" s="10" t="b">
        <f aca="false">INDEX(Segmentation!$AQ$2:$AQ$301,MATCH($A241,Segmentation!$A$2:$A$301,0))</f>
        <v>0</v>
      </c>
      <c r="AE241" s="10" t="b">
        <f aca="false">INDEX(Segmentation!$AT$2:$AT$301,MATCH($A241,Segmentation!$A$2:$A$301,0))</f>
        <v>0</v>
      </c>
      <c r="AF241" s="10" t="b">
        <f aca="false">INDEX(Segmentation!$X$2:$X$301,MATCH($A241,Segmentation!$A$2:$A$301,0))</f>
        <v>1</v>
      </c>
      <c r="AG241" s="10" t="b">
        <f aca="false">AND(F241="Low",V241&gt;=Assumptions!$B$71,X241&lt;Assumptions!$B$72)</f>
        <v>0</v>
      </c>
      <c r="AH241" s="10" t="b">
        <f aca="false">AND(F241="Low",OR(G241="Growing",G241="Stable"),P241="Recently Active",V241&gt;=Assumptions!$B$58,K241&gt;=Assumptions!$B$73)</f>
        <v>0</v>
      </c>
      <c r="AI241" s="17" t="n">
        <f aca="false">IF(O241&gt;0,MAX(L241:N241)/O241,"")</f>
        <v>1</v>
      </c>
      <c r="AJ241" s="2" t="str">
        <f aca="false">IF(LEFT(D241,1)="1",IF(E241="Key","MIGRATION_KEY_SIGNOFF",IF(Z241="Ready","MIGRATION_PHASE1_READY",IF(Z241="Manual Review","MIGRATION_PHASE1_REVIEW","MIGRATION_PRE_ENTRY"))),IF(LEFT(D241,1)="2","DECLINING_KEY_CORE",IF(LEFT(D241,1)="3",IF(R241="Established Buyer Lapsed","LAPSED_ESTABLISHED","LAPSED_THIN_HISTORY"),IF(LEFT(D241,1)="4",IF(Q241="New Customer","NEW_CUSTOMER","RETURNED_CUSTOMER"),IF(LEFT(D241,1)="5",IF(P241="Recently Active","COST_TO_SERVE_ACTIVE","DORMANT_LOW_VALUE"),IF(LEFT(D241,1)="6",IF(P241="Recent Inactivity","RECENT_INACTIVITY",IF(AG241,"BROWSING_LOW_OFFERS","HEALTHY_STRONG_SELF_SERVE")),IF(LEFT(D241,1)="7",IF(P241="Recent Inactivity","RECENT_INACTIVITY",IF(Q241="New Customer","NEW_CUSTOMER","RETURNED_CUSTOMER")),IF(LEFT(D241,1)="8",IF(G241="Declining",IF(T241="Engaged but shrinking (Key/Core)","ENGAGED_BUT_SHRINKING","DECLINING_KEY_CORE"),IF(R241="Established Buyer Lapsed","LAPSED_ESTABLISHED","LAPSED_THIN_HISTORY")),IF(S241,IF(P241&lt;&gt;"Recently Active","DORMANT_LOW_VALUE",IF(AG241,"BROWSING_LOW_OFFERS",IF(AH241,"RISING_TAIL","RISING_TAIL_EARLY"))),IF(AND(AG241,P241="Recently Active",OR(G241="Growing",G241="Stable",G241="H2 Active / No H1 GMV"),I241&gt;=Assumptions!$B$74),"BROWSING_LOW_OFFERS","LONG_TAIL_STANDARD"))))))))))</f>
        <v>LONG_TAIL_STANDARD</v>
      </c>
      <c r="AK241" s="2" t="str">
        <f aca="false">INDEX('NBA Library'!$B$4:$B$21,MATCH(AJ241,'NBA Library'!$A$4:$A$21,0))</f>
        <v>Automated Nurture</v>
      </c>
      <c r="AL241" s="2" t="str">
        <f aca="false">INDEX('NBA Library'!$C$4:$C$21,MATCH(AJ241,'NBA Library'!$A$4:$A$21,0))</f>
        <v>Automated</v>
      </c>
      <c r="AM241" s="2" t="str">
        <f aca="false">IF(AA241,"HOLD — Critical Data Issue",IF(Y241,"Human Sign-Off Required",IF(Z241="Manual Review","Human Review Required",IF(AND(AL241="Automated",OR(AE241,AND(OR(AK241="Discovery-to-Offer Enablement",AK241="Reinforce Successful Behaviour"),OR(AC241,AB241)))),"Human Review Required",IF(AL241="Human","Ready — Human",IF(AL241="Hybrid","Ready — Hybrid","Ready — Automated"))))))</f>
        <v>Ready — Automated</v>
      </c>
      <c r="AN241" s="2" t="str">
        <f aca="false">IF(AA241,"P0",IF(AND(AJ241="BROWSING_LOW_OFFERS",E241="Tail"),"P3",IF(AND(AM241="Human Review Required",INDEX('NBA Library'!$D$4:$D$21,MATCH(AJ241,'NBA Library'!$A$4:$A$21,0))="P4"),"P3",INDEX('NBA Library'!$D$4:$D$21,MATCH(AJ241,'NBA Library'!$A$4:$A$21,0)))))</f>
        <v>P4</v>
      </c>
      <c r="AO241" s="2" t="str">
        <f aca="false">E241&amp;" "&amp;C241&amp;" account ("&amp;B241&amp;"); "&amp;G241&amp;" momentum; "&amp;P241&amp;"; £"&amp;TEXT(H241,"#,##0")&amp;" 6m GMV. "&amp;INDEX('NBA Library'!$G$4:$G$21,MATCH(AJ241,'NBA Library'!$A$4:$A$21,0))&amp;IF(LEFT(D241,1)="1"," Baseline: "&amp;V241&amp;" PDP views, "&amp;W241&amp;" app days, "&amp;X241&amp;" offers, "&amp;TEXT(J241/I241,"0%")&amp;" of orders self-serve.","")&amp;IF(AA241," Execution on HOLD until the Duplicate status is resolved.","")&amp;IF(Y241," Key account: explicit AM/leadership sign-off required before any migration activity.","")&amp;IF(AE241," Implied broker % from order counts would move this account to a different segment; review before automating.","")</f>
        <v>Tail Self-Serve account (Self Serve); H2 Active / No H1 GMV momentum; Recently Active; £337 6m GMV. Low-value, low-dependency account. Scalable automated engagement.</v>
      </c>
      <c r="AP241" s="2" t="str">
        <f aca="false">INDEX('NBA Library'!$E$4:$E$21,MATCH(AJ241,'NBA Library'!$A$4:$A$21,0))&amp;IF(AND(AJ241="NEW_CUSTOMER",AG241),"; introduce Make-an-Offer on items already browsed","")</f>
        <v>Scalable automated engagement matched to nurture sub-context</v>
      </c>
      <c r="AQ241" s="2" t="str">
        <f aca="false">INDEX('NBA Library'!$F$4:$F$21,MATCH(AJ241,'NBA Library'!$A$4:$A$21,0))</f>
        <v>Any repeat order within 90 days</v>
      </c>
      <c r="AR241" s="2" t="str">
        <f aca="false">IF(AND(F241="Low",OR(G241="Growing",G241="Stable"),P241="Recently Active",U241&lt;&gt;"Mixed",OR(AK241="Discovery-to-Offer Enablement",AK241="Reinforce Successful Behaviour"),AM241="Ready — Automated",OR(E241&lt;&gt;"Tail",S241)),"Range Expansion Test — trial "&amp;IF(U241="Bundle-only","handpick","bundles")&amp;" (experimental; not proven to lift GMV)","")</f>
        <v/>
      </c>
      <c r="AS241" s="2" t="str">
        <f aca="false">IF(AK241&lt;&gt;"Automated Nurture","",IF(AJ241="DORMANT_LOW_VALUE","Dormant",IF(AJ241="RISING_TAIL_EARLY","Rising tail – early pattern",IF(Q241="New Customer","New customer onboarding",IF(Q241="Returned Customer","Returned customer",IF(G241="Lapsed","Dormant",IF(T241="Engaged, not converting","Engaged, not converting",IF(T241="One-off low-touch buyer","One-off purchaser",IF(T241="Light-touch repeat buyer","Light-touch repeat buyer","Standard long tail")))))))))</f>
        <v>New customer onboarding</v>
      </c>
      <c r="AT241" s="2" t="str">
        <f aca="false">IF(AA241,"CRITICAL_DATA_BLOCKER; ","")&amp;IF(Y241,"KEY_SIGNOFF; ","")&amp;IF(Z241="Manual Review","PHASE1_MANUAL_REVIEW; ","")&amp;IF(AND(LEFT(D241,1)="1",AZ241="Lumpy"),"LUMPY_CADENCE; ","")&amp;IF(AB241,"BORDERLINE_MOMENTUM; ","")&amp;IF(AC241,"FEB_SENSITIVE; ","")&amp;IF(AD241,"MATERIAL_BROKER_INCONSISTENCY"&amp;IF(AE241," (segment would change)","")&amp;"; ","")&amp;IF(AND(I241&gt;=3,O241&gt;0),IF(AI241&gt;=Assumptions!$B$75,"H2_SINGLE_MONTH_SPIKE; ",""),"")&amp;IF(AND(M241&gt;0,N241=0),"NO_FEB_GMV (Feb unconfirmed); ","")&amp;IF(AF241,"LOW_CONFIDENCE; ","")</f>
        <v>NO_FEB_GMV (Feb unconfirmed); LOW_CONFIDENCE; </v>
      </c>
      <c r="AU241" s="2" t="str">
        <f aca="false">IF(LEFT(D241,1)="1",V241,"")</f>
        <v/>
      </c>
      <c r="AV241" s="2" t="str">
        <f aca="false">IF(LEFT(D241,1)="1",V241&gt;=Assumptions!$B$58,"")</f>
        <v/>
      </c>
      <c r="AW241" s="2" t="str">
        <f aca="false">IF(LEFT(D241,1)="1",W241,"")</f>
        <v/>
      </c>
      <c r="AX241" s="2" t="str">
        <f aca="false">IF(LEFT(D241,1)="1",X241,"")</f>
        <v/>
      </c>
      <c r="AY241" s="17" t="str">
        <f aca="false">IF(LEFT(D241,1)="1",J241/I241,"")</f>
        <v/>
      </c>
      <c r="AZ241" s="2" t="str">
        <f aca="false">IF(LEFT(D241,1)="1",IF(AND(K241&gt;=Assumptions!$B$83,I241&gt;=Assumptions!$B$84),"Regular","Lumpy"),"")</f>
        <v/>
      </c>
      <c r="BA241" s="2" t="str">
        <f aca="false">IF(LEFT(D241,1)="1",ROUND(6/K241,0),"")</f>
        <v/>
      </c>
      <c r="BB241" s="2" t="str">
        <f aca="false">IF(LEFT(D241,1)="1",IF(AZ241="Regular","Regular buyer: expected ~£"&amp;TEXT(H241/2,"#,##0")&amp;" per 90 days. At Risk if GMV to date &lt; "&amp;TEXT(Assumptions!$B$81,"0%")&amp;" of pro-rated expectation, checked from day "&amp;Assumptions!$B$82&amp;". Human-reviewed.","Irregular buyer ("&amp;I241&amp;" orders across "&amp;K241&amp;" months): no numeric GMV threshold. At Risk if no order within ~"&amp;BA241&amp;" month(s); AM reviews at day "&amp;Assumptions!$B$82&amp;" and "&amp;Assumptions!$B$85&amp;"."),"")</f>
        <v/>
      </c>
      <c r="BC241" s="2"/>
      <c r="BD241" s="2"/>
      <c r="BE241" s="2"/>
      <c r="BF241" s="2"/>
      <c r="BG241" s="2"/>
      <c r="BH241" s="2"/>
      <c r="BI241" s="2"/>
      <c r="BJ241" s="2" t="str">
        <f aca="false">IF(OR(NOT(LEFT(D241,1)="1"),BC241=""),"",IF(AZ241="Regular",AND(BC241&gt;=Assumptions!$B$82,N(BI241)&lt;Assumptions!$B$81*H241/180*BC241),AND(BC241&gt;=BA241*30,N(BG241)=0)))</f>
        <v/>
      </c>
      <c r="BK241" s="2" t="str">
        <f aca="false">IF(NOT(LEFT(D241,1)="1"),"N/A",IF(BC241="","Baseline",IF(BJ241,"At Risk",IF(AND(N(BD241)&gt;=Assumptions!$B$78,N(BE241)&gt;=Assumptions!$B$79,N(BH241)&gt;=1,N(BH241)/MAX(N(BG241),1)&gt;AY241),"Self-Serve Capability Demonstrated",IF(OR(N(BD241)&gt;=Assumptions!$B$76,N(BE241)&gt;=Assumptions!$B$77),"Progressing",IF(BC241&gt;=Assumptions!$B$85,"At Risk","Baseline"))))))</f>
        <v>N/A</v>
      </c>
      <c r="BL241" s="2" t="n">
        <f aca="false">(AND(C241="Broker-Reliant",OR(AK241="Discovery-to-Offer Enablement",AK241="Reinforce Successful Behaviour")))*1+(AND(G241="Declining",E241&lt;&gt;"Tail",AL241="Automated"))*1+(AND(Y241,AM241&lt;&gt;"Human Sign-Off Required"))*1+(AND(AA241,AM241&lt;&gt;"HOLD — Critical Data Issue"))*1+(AND(P241="Recent Inactivity",OR(AK241="Discovery-to-Offer Enablement",AK241="Reinforce Successful Behaviour")))*1+(AND(OR(LEFT(D241,1)="2",LEFT(D241,1)="3",LEFT(D241,1)="8"),AL241="Automated"))*1+((LEFT(D241,1)="1")&lt;&gt;(AK241="Guided Self-Serve Migration"))*1+(AND(AR241&lt;&gt;"",OR(F241&lt;&gt;"Low",U241="Mixed",AND(G241&lt;&gt;"Growing",G241&lt;&gt;"Stable"))))*1+ISNUMBER(SEARCH("chat",AP241))*1+ISNUMBER(SEARCH("video",AP241))*1+(AND(AA241,AL241="Automated",AM241&lt;&gt;"HOLD — Critical Data Issue"))*1</f>
        <v>0</v>
      </c>
    </row>
    <row r="242" customFormat="false" ht="15" hidden="false" customHeight="false" outlineLevel="0" collapsed="false">
      <c r="A242" s="2" t="s">
        <v>758</v>
      </c>
      <c r="B242" s="2" t="str">
        <f aca="false">INDEX(Segmentation!$B$2:$B$301,MATCH($A242,Segmentation!$A$2:$A$301,0))</f>
        <v>Self Serve</v>
      </c>
      <c r="C242" s="2" t="str">
        <f aca="false">INDEX(Segmentation!$H$2:$H$301,MATCH($A242,Segmentation!$A$2:$A$301,0))</f>
        <v>Self-Serve</v>
      </c>
      <c r="D242" s="2" t="str">
        <f aca="false">INDEX(Segmentation!$T$2:$T$301,MATCH($A242,Segmentation!$A$2:$A$301,0))</f>
        <v>9. Long-Tail Automated Nurture</v>
      </c>
      <c r="E242" s="2" t="str">
        <f aca="false">INDEX(Segmentation!$J$2:$J$301,MATCH($A242,Segmentation!$A$2:$A$301,0))</f>
        <v>Tail</v>
      </c>
      <c r="F242" s="2" t="str">
        <f aca="false">INDEX(Segmentation!$G$2:$G$301,MATCH($A242,Segmentation!$A$2:$A$301,0))</f>
        <v>Low</v>
      </c>
      <c r="G242" s="2" t="str">
        <f aca="false">INDEX(Segmentation!$N$2:$N$301,MATCH($A242,Segmentation!$A$2:$A$301,0))</f>
        <v>Lapsed</v>
      </c>
      <c r="H242" s="9" t="n">
        <f aca="false">INDEX(Segmentation!$I$2:$I$301,MATCH($A242,Segmentation!$A$2:$A$301,0))</f>
        <v>336</v>
      </c>
      <c r="I242" s="2" t="n">
        <f aca="false">INDEX(Segmentation!$O$2:$O$301,MATCH($A242,Segmentation!$A$2:$A$301,0))</f>
        <v>1</v>
      </c>
      <c r="J242" s="2" t="n">
        <f aca="false">INDEX(Segmentation!$Q$2:$Q$301,MATCH($A242,Segmentation!$A$2:$A$301,0))</f>
        <v>1</v>
      </c>
      <c r="K242" s="2" t="n">
        <f aca="false">INDEX(Segmentation!$W$2:$W$301,MATCH($A242,Segmentation!$A$2:$A$301,0))</f>
        <v>1</v>
      </c>
      <c r="L242" s="9" t="n">
        <f aca="false">INDEX('Commercial View'!$L$2:$L$301,MATCH($A242,'Commercial View'!$A$2:$A$301,0))</f>
        <v>0</v>
      </c>
      <c r="M242" s="9" t="n">
        <f aca="false">INDEX('Commercial View'!$M$2:$M$301,MATCH($A242,'Commercial View'!$A$2:$A$301,0))</f>
        <v>0</v>
      </c>
      <c r="N242" s="9" t="n">
        <f aca="false">INDEX('Commercial View'!$N$2:$N$301,MATCH($A242,'Commercial View'!$A$2:$A$301,0))</f>
        <v>0</v>
      </c>
      <c r="O242" s="9" t="n">
        <f aca="false">INDEX(Segmentation!$L$2:$L$301,MATCH($A242,Segmentation!$A$2:$A$301,0))</f>
        <v>0</v>
      </c>
      <c r="P242" s="2" t="str">
        <f aca="false">IF(OR(M242&gt;0,N242&gt;0),"Recently Active",IF(OR(I242&lt;=Assumptions!$B$48,K242&lt;=Assumptions!$B$49),"No Meaningful History","Recent Inactivity"))</f>
        <v>No Meaningful History</v>
      </c>
      <c r="Q242" s="2" t="str">
        <f aca="false">INDEX(Segmentation!$AF$2:$AF$301,MATCH($A242,Segmentation!$A$2:$A$301,0))</f>
        <v>Existing Customer</v>
      </c>
      <c r="R242" s="2" t="str">
        <f aca="false">INDEX(Segmentation!$AL$2:$AL$301,MATCH($A242,Segmentation!$A$2:$A$301,0))</f>
        <v>One-Off / Insufficient History — Verify</v>
      </c>
      <c r="S242" s="10" t="b">
        <f aca="false">INDEX(Segmentation!$AW$2:$AW$301,MATCH($A242,Segmentation!$A$2:$A$301,0))</f>
        <v>0</v>
      </c>
      <c r="T242" s="2" t="str">
        <f aca="false">INDEX('Feature Data'!$AD$2:$AD$301,MATCH($A242,'Feature Data'!$A$2:$A$301,0))</f>
        <v>One-off low-touch buyer</v>
      </c>
      <c r="U242" s="2" t="str">
        <f aca="false">INDEX('Feature Data'!$W$2:$W$301,MATCH($A242,'Feature Data'!$A$2:$A$301,0))</f>
        <v>Bundle-only</v>
      </c>
      <c r="V242" s="2" t="n">
        <f aca="false">INDEX('Feature Data'!$P$2:$P$301,MATCH($A242,'Feature Data'!$A$2:$A$301,0))</f>
        <v>73</v>
      </c>
      <c r="W242" s="2" t="n">
        <f aca="false">INDEX(Segmentation!$R$2:$R$301,MATCH($A242,Segmentation!$A$2:$A$301,0))</f>
        <v>7</v>
      </c>
      <c r="X242" s="2" t="n">
        <f aca="false">INDEX(Segmentation!$S$2:$S$301,MATCH($A242,Segmentation!$A$2:$A$301,0))</f>
        <v>0</v>
      </c>
      <c r="Y242" s="10" t="b">
        <f aca="false">INDEX(Segmentation!$AG$2:$AG$301,MATCH($A242,Segmentation!$A$2:$A$301,0))</f>
        <v>0</v>
      </c>
      <c r="Z242" s="2" t="str">
        <f aca="false">INDEX(Segmentation!$AU$2:$AU$301,MATCH($A242,Segmentation!$A$2:$A$301,0))</f>
        <v>Not Eligible</v>
      </c>
      <c r="AA242" s="10" t="b">
        <f aca="false">INDEX(Segmentation!$Z$2:$Z$301,MATCH($A242,Segmentation!$A$2:$A$301,0))</f>
        <v>0</v>
      </c>
      <c r="AB242" s="10" t="b">
        <f aca="false">INDEX(Segmentation!$AH$2:$AH$301,MATCH($A242,Segmentation!$A$2:$A$301,0))</f>
        <v>0</v>
      </c>
      <c r="AC242" s="10" t="b">
        <f aca="false">INDEX(Segmentation!$AK$2:$AK$301,MATCH($A242,Segmentation!$A$2:$A$301,0))</f>
        <v>0</v>
      </c>
      <c r="AD242" s="10" t="b">
        <f aca="false">INDEX(Segmentation!$AQ$2:$AQ$301,MATCH($A242,Segmentation!$A$2:$A$301,0))</f>
        <v>0</v>
      </c>
      <c r="AE242" s="10" t="b">
        <f aca="false">INDEX(Segmentation!$AT$2:$AT$301,MATCH($A242,Segmentation!$A$2:$A$301,0))</f>
        <v>0</v>
      </c>
      <c r="AF242" s="10" t="b">
        <f aca="false">INDEX(Segmentation!$X$2:$X$301,MATCH($A242,Segmentation!$A$2:$A$301,0))</f>
        <v>1</v>
      </c>
      <c r="AG242" s="10" t="b">
        <f aca="false">AND(F242="Low",V242&gt;=Assumptions!$B$71,X242&lt;Assumptions!$B$72)</f>
        <v>1</v>
      </c>
      <c r="AH242" s="10" t="b">
        <f aca="false">AND(F242="Low",OR(G242="Growing",G242="Stable"),P242="Recently Active",V242&gt;=Assumptions!$B$58,K242&gt;=Assumptions!$B$73)</f>
        <v>0</v>
      </c>
      <c r="AI242" s="17" t="str">
        <f aca="false">IF(O242&gt;0,MAX(L242:N242)/O242,"")</f>
        <v/>
      </c>
      <c r="AJ242" s="2" t="str">
        <f aca="false">IF(LEFT(D242,1)="1",IF(E242="Key","MIGRATION_KEY_SIGNOFF",IF(Z242="Ready","MIGRATION_PHASE1_READY",IF(Z242="Manual Review","MIGRATION_PHASE1_REVIEW","MIGRATION_PRE_ENTRY"))),IF(LEFT(D242,1)="2","DECLINING_KEY_CORE",IF(LEFT(D242,1)="3",IF(R242="Established Buyer Lapsed","LAPSED_ESTABLISHED","LAPSED_THIN_HISTORY"),IF(LEFT(D242,1)="4",IF(Q242="New Customer","NEW_CUSTOMER","RETURNED_CUSTOMER"),IF(LEFT(D242,1)="5",IF(P242="Recently Active","COST_TO_SERVE_ACTIVE","DORMANT_LOW_VALUE"),IF(LEFT(D242,1)="6",IF(P242="Recent Inactivity","RECENT_INACTIVITY",IF(AG242,"BROWSING_LOW_OFFERS","HEALTHY_STRONG_SELF_SERVE")),IF(LEFT(D242,1)="7",IF(P242="Recent Inactivity","RECENT_INACTIVITY",IF(Q242="New Customer","NEW_CUSTOMER","RETURNED_CUSTOMER")),IF(LEFT(D242,1)="8",IF(G242="Declining",IF(T242="Engaged but shrinking (Key/Core)","ENGAGED_BUT_SHRINKING","DECLINING_KEY_CORE"),IF(R242="Established Buyer Lapsed","LAPSED_ESTABLISHED","LAPSED_THIN_HISTORY")),IF(S242,IF(P242&lt;&gt;"Recently Active","DORMANT_LOW_VALUE",IF(AG242,"BROWSING_LOW_OFFERS",IF(AH242,"RISING_TAIL","RISING_TAIL_EARLY"))),IF(AND(AG242,P242="Recently Active",OR(G242="Growing",G242="Stable",G242="H2 Active / No H1 GMV"),I242&gt;=Assumptions!$B$74),"BROWSING_LOW_OFFERS","LONG_TAIL_STANDARD"))))))))))</f>
        <v>LONG_TAIL_STANDARD</v>
      </c>
      <c r="AK242" s="2" t="str">
        <f aca="false">INDEX('NBA Library'!$B$4:$B$21,MATCH(AJ242,'NBA Library'!$A$4:$A$21,0))</f>
        <v>Automated Nurture</v>
      </c>
      <c r="AL242" s="2" t="str">
        <f aca="false">INDEX('NBA Library'!$C$4:$C$21,MATCH(AJ242,'NBA Library'!$A$4:$A$21,0))</f>
        <v>Automated</v>
      </c>
      <c r="AM242" s="2" t="str">
        <f aca="false">IF(AA242,"HOLD — Critical Data Issue",IF(Y242,"Human Sign-Off Required",IF(Z242="Manual Review","Human Review Required",IF(AND(AL242="Automated",OR(AE242,AND(OR(AK242="Discovery-to-Offer Enablement",AK242="Reinforce Successful Behaviour"),OR(AC242,AB242)))),"Human Review Required",IF(AL242="Human","Ready — Human",IF(AL242="Hybrid","Ready — Hybrid","Ready — Automated"))))))</f>
        <v>Ready — Automated</v>
      </c>
      <c r="AN242" s="2" t="str">
        <f aca="false">IF(AA242,"P0",IF(AND(AJ242="BROWSING_LOW_OFFERS",E242="Tail"),"P3",IF(AND(AM242="Human Review Required",INDEX('NBA Library'!$D$4:$D$21,MATCH(AJ242,'NBA Library'!$A$4:$A$21,0))="P4"),"P3",INDEX('NBA Library'!$D$4:$D$21,MATCH(AJ242,'NBA Library'!$A$4:$A$21,0)))))</f>
        <v>P4</v>
      </c>
      <c r="AO242" s="2" t="str">
        <f aca="false">E242&amp;" "&amp;C242&amp;" account ("&amp;B242&amp;"); "&amp;G242&amp;" momentum; "&amp;P242&amp;"; £"&amp;TEXT(H242,"#,##0")&amp;" 6m GMV. "&amp;INDEX('NBA Library'!$G$4:$G$21,MATCH(AJ242,'NBA Library'!$A$4:$A$21,0))&amp;IF(LEFT(D242,1)="1"," Baseline: "&amp;V242&amp;" PDP views, "&amp;W242&amp;" app days, "&amp;X242&amp;" offers, "&amp;TEXT(J242/I242,"0%")&amp;" of orders self-serve.","")&amp;IF(AA242," Execution on HOLD until the Duplicate status is resolved.","")&amp;IF(Y242," Key account: explicit AM/leadership sign-off required before any migration activity.","")&amp;IF(AE242," Implied broker % from order counts would move this account to a different segment; review before automating.","")</f>
        <v>Tail Self-Serve account (Self Serve); Lapsed momentum; No Meaningful History; £336 6m GMV. Low-value, low-dependency account. Scalable automated engagement.</v>
      </c>
      <c r="AP242" s="2" t="str">
        <f aca="false">INDEX('NBA Library'!$E$4:$E$21,MATCH(AJ242,'NBA Library'!$A$4:$A$21,0))&amp;IF(AND(AJ242="NEW_CUSTOMER",AG242),"; introduce Make-an-Offer on items already browsed","")</f>
        <v>Scalable automated engagement matched to nurture sub-context</v>
      </c>
      <c r="AQ242" s="2" t="str">
        <f aca="false">INDEX('NBA Library'!$F$4:$F$21,MATCH(AJ242,'NBA Library'!$A$4:$A$21,0))</f>
        <v>Any repeat order within 90 days</v>
      </c>
      <c r="AR242" s="2" t="str">
        <f aca="false">IF(AND(F242="Low",OR(G242="Growing",G242="Stable"),P242="Recently Active",U242&lt;&gt;"Mixed",OR(AK242="Discovery-to-Offer Enablement",AK242="Reinforce Successful Behaviour"),AM242="Ready — Automated",OR(E242&lt;&gt;"Tail",S242)),"Range Expansion Test — trial "&amp;IF(U242="Bundle-only","handpick","bundles")&amp;" (experimental; not proven to lift GMV)","")</f>
        <v/>
      </c>
      <c r="AS242" s="2" t="str">
        <f aca="false">IF(AK242&lt;&gt;"Automated Nurture","",IF(AJ242="DORMANT_LOW_VALUE","Dormant",IF(AJ242="RISING_TAIL_EARLY","Rising tail – early pattern",IF(Q242="New Customer","New customer onboarding",IF(Q242="Returned Customer","Returned customer",IF(G242="Lapsed","Dormant",IF(T242="Engaged, not converting","Engaged, not converting",IF(T242="One-off low-touch buyer","One-off purchaser",IF(T242="Light-touch repeat buyer","Light-touch repeat buyer","Standard long tail")))))))))</f>
        <v>Dormant</v>
      </c>
      <c r="AT242" s="2" t="str">
        <f aca="false">IF(AA242,"CRITICAL_DATA_BLOCKER; ","")&amp;IF(Y242,"KEY_SIGNOFF; ","")&amp;IF(Z242="Manual Review","PHASE1_MANUAL_REVIEW; ","")&amp;IF(AND(LEFT(D242,1)="1",AZ242="Lumpy"),"LUMPY_CADENCE; ","")&amp;IF(AB242,"BORDERLINE_MOMENTUM; ","")&amp;IF(AC242,"FEB_SENSITIVE; ","")&amp;IF(AD242,"MATERIAL_BROKER_INCONSISTENCY"&amp;IF(AE242," (segment would change)","")&amp;"; ","")&amp;IF(AND(I242&gt;=3,O242&gt;0),IF(AI242&gt;=Assumptions!$B$75,"H2_SINGLE_MONTH_SPIKE; ",""),"")&amp;IF(AND(M242&gt;0,N242=0),"NO_FEB_GMV (Feb unconfirmed); ","")&amp;IF(AF242,"LOW_CONFIDENCE; ","")</f>
        <v>LOW_CONFIDENCE; </v>
      </c>
      <c r="AU242" s="2" t="str">
        <f aca="false">IF(LEFT(D242,1)="1",V242,"")</f>
        <v/>
      </c>
      <c r="AV242" s="2" t="str">
        <f aca="false">IF(LEFT(D242,1)="1",V242&gt;=Assumptions!$B$58,"")</f>
        <v/>
      </c>
      <c r="AW242" s="2" t="str">
        <f aca="false">IF(LEFT(D242,1)="1",W242,"")</f>
        <v/>
      </c>
      <c r="AX242" s="2" t="str">
        <f aca="false">IF(LEFT(D242,1)="1",X242,"")</f>
        <v/>
      </c>
      <c r="AY242" s="17" t="str">
        <f aca="false">IF(LEFT(D242,1)="1",J242/I242,"")</f>
        <v/>
      </c>
      <c r="AZ242" s="2" t="str">
        <f aca="false">IF(LEFT(D242,1)="1",IF(AND(K242&gt;=Assumptions!$B$83,I242&gt;=Assumptions!$B$84),"Regular","Lumpy"),"")</f>
        <v/>
      </c>
      <c r="BA242" s="2" t="str">
        <f aca="false">IF(LEFT(D242,1)="1",ROUND(6/K242,0),"")</f>
        <v/>
      </c>
      <c r="BB242" s="2" t="str">
        <f aca="false">IF(LEFT(D242,1)="1",IF(AZ242="Regular","Regular buyer: expected ~£"&amp;TEXT(H242/2,"#,##0")&amp;" per 90 days. At Risk if GMV to date &lt; "&amp;TEXT(Assumptions!$B$81,"0%")&amp;" of pro-rated expectation, checked from day "&amp;Assumptions!$B$82&amp;". Human-reviewed.","Irregular buyer ("&amp;I242&amp;" orders across "&amp;K242&amp;" months): no numeric GMV threshold. At Risk if no order within ~"&amp;BA242&amp;" month(s); AM reviews at day "&amp;Assumptions!$B$82&amp;" and "&amp;Assumptions!$B$85&amp;"."),"")</f>
        <v/>
      </c>
      <c r="BC242" s="2"/>
      <c r="BD242" s="2"/>
      <c r="BE242" s="2"/>
      <c r="BF242" s="2"/>
      <c r="BG242" s="2"/>
      <c r="BH242" s="2"/>
      <c r="BI242" s="2"/>
      <c r="BJ242" s="2" t="str">
        <f aca="false">IF(OR(NOT(LEFT(D242,1)="1"),BC242=""),"",IF(AZ242="Regular",AND(BC242&gt;=Assumptions!$B$82,N(BI242)&lt;Assumptions!$B$81*H242/180*BC242),AND(BC242&gt;=BA242*30,N(BG242)=0)))</f>
        <v/>
      </c>
      <c r="BK242" s="2" t="str">
        <f aca="false">IF(NOT(LEFT(D242,1)="1"),"N/A",IF(BC242="","Baseline",IF(BJ242,"At Risk",IF(AND(N(BD242)&gt;=Assumptions!$B$78,N(BE242)&gt;=Assumptions!$B$79,N(BH242)&gt;=1,N(BH242)/MAX(N(BG242),1)&gt;AY242),"Self-Serve Capability Demonstrated",IF(OR(N(BD242)&gt;=Assumptions!$B$76,N(BE242)&gt;=Assumptions!$B$77),"Progressing",IF(BC242&gt;=Assumptions!$B$85,"At Risk","Baseline"))))))</f>
        <v>N/A</v>
      </c>
      <c r="BL242" s="2" t="n">
        <f aca="false">(AND(C242="Broker-Reliant",OR(AK242="Discovery-to-Offer Enablement",AK242="Reinforce Successful Behaviour")))*1+(AND(G242="Declining",E242&lt;&gt;"Tail",AL242="Automated"))*1+(AND(Y242,AM242&lt;&gt;"Human Sign-Off Required"))*1+(AND(AA242,AM242&lt;&gt;"HOLD — Critical Data Issue"))*1+(AND(P242="Recent Inactivity",OR(AK242="Discovery-to-Offer Enablement",AK242="Reinforce Successful Behaviour")))*1+(AND(OR(LEFT(D242,1)="2",LEFT(D242,1)="3",LEFT(D242,1)="8"),AL242="Automated"))*1+((LEFT(D242,1)="1")&lt;&gt;(AK242="Guided Self-Serve Migration"))*1+(AND(AR242&lt;&gt;"",OR(F242&lt;&gt;"Low",U242="Mixed",AND(G242&lt;&gt;"Growing",G242&lt;&gt;"Stable"))))*1+ISNUMBER(SEARCH("chat",AP242))*1+ISNUMBER(SEARCH("video",AP242))*1+(AND(AA242,AL242="Automated",AM242&lt;&gt;"HOLD — Critical Data Issue"))*1</f>
        <v>0</v>
      </c>
    </row>
    <row r="243" customFormat="false" ht="15" hidden="false" customHeight="false" outlineLevel="0" collapsed="false">
      <c r="A243" s="2" t="s">
        <v>760</v>
      </c>
      <c r="B243" s="2" t="str">
        <f aca="false">INDEX(Segmentation!$B$2:$B$301,MATCH($A243,Segmentation!$A$2:$A$301,0))</f>
        <v>Self Serve</v>
      </c>
      <c r="C243" s="2" t="str">
        <f aca="false">INDEX(Segmentation!$H$2:$H$301,MATCH($A243,Segmentation!$A$2:$A$301,0))</f>
        <v>Self-Serve</v>
      </c>
      <c r="D243" s="2" t="str">
        <f aca="false">INDEX(Segmentation!$T$2:$T$301,MATCH($A243,Segmentation!$A$2:$A$301,0))</f>
        <v>9. Long-Tail Automated Nurture</v>
      </c>
      <c r="E243" s="2" t="str">
        <f aca="false">INDEX(Segmentation!$J$2:$J$301,MATCH($A243,Segmentation!$A$2:$A$301,0))</f>
        <v>Tail</v>
      </c>
      <c r="F243" s="2" t="str">
        <f aca="false">INDEX(Segmentation!$G$2:$G$301,MATCH($A243,Segmentation!$A$2:$A$301,0))</f>
        <v>Low</v>
      </c>
      <c r="G243" s="2" t="str">
        <f aca="false">INDEX(Segmentation!$N$2:$N$301,MATCH($A243,Segmentation!$A$2:$A$301,0))</f>
        <v>H2 Active / No H1 GMV</v>
      </c>
      <c r="H243" s="9" t="n">
        <f aca="false">INDEX(Segmentation!$I$2:$I$301,MATCH($A243,Segmentation!$A$2:$A$301,0))</f>
        <v>332</v>
      </c>
      <c r="I243" s="2" t="n">
        <f aca="false">INDEX(Segmentation!$O$2:$O$301,MATCH($A243,Segmentation!$A$2:$A$301,0))</f>
        <v>1</v>
      </c>
      <c r="J243" s="2" t="n">
        <f aca="false">INDEX(Segmentation!$Q$2:$Q$301,MATCH($A243,Segmentation!$A$2:$A$301,0))</f>
        <v>1</v>
      </c>
      <c r="K243" s="2" t="n">
        <f aca="false">INDEX(Segmentation!$W$2:$W$301,MATCH($A243,Segmentation!$A$2:$A$301,0))</f>
        <v>1</v>
      </c>
      <c r="L243" s="9" t="n">
        <f aca="false">INDEX('Commercial View'!$L$2:$L$301,MATCH($A243,'Commercial View'!$A$2:$A$301,0))</f>
        <v>0</v>
      </c>
      <c r="M243" s="9" t="n">
        <f aca="false">INDEX('Commercial View'!$M$2:$M$301,MATCH($A243,'Commercial View'!$A$2:$A$301,0))</f>
        <v>332</v>
      </c>
      <c r="N243" s="9" t="n">
        <f aca="false">INDEX('Commercial View'!$N$2:$N$301,MATCH($A243,'Commercial View'!$A$2:$A$301,0))</f>
        <v>0</v>
      </c>
      <c r="O243" s="9" t="n">
        <f aca="false">INDEX(Segmentation!$L$2:$L$301,MATCH($A243,Segmentation!$A$2:$A$301,0))</f>
        <v>332</v>
      </c>
      <c r="P243" s="2" t="str">
        <f aca="false">IF(OR(M243&gt;0,N243&gt;0),"Recently Active",IF(OR(I243&lt;=Assumptions!$B$48,K243&lt;=Assumptions!$B$49),"No Meaningful History","Recent Inactivity"))</f>
        <v>Recently Active</v>
      </c>
      <c r="Q243" s="2" t="str">
        <f aca="false">INDEX(Segmentation!$AF$2:$AF$301,MATCH($A243,Segmentation!$A$2:$A$301,0))</f>
        <v>New Customer</v>
      </c>
      <c r="R243" s="2" t="str">
        <f aca="false">INDEX(Segmentation!$AL$2:$AL$301,MATCH($A243,Segmentation!$A$2:$A$301,0))</f>
        <v>N/A</v>
      </c>
      <c r="S243" s="10" t="b">
        <f aca="false">INDEX(Segmentation!$AW$2:$AW$301,MATCH($A243,Segmentation!$A$2:$A$301,0))</f>
        <v>0</v>
      </c>
      <c r="T243" s="2" t="str">
        <f aca="false">INDEX('Feature Data'!$AD$2:$AD$301,MATCH($A243,'Feature Data'!$A$2:$A$301,0))</f>
        <v>One-off low-touch buyer</v>
      </c>
      <c r="U243" s="2" t="str">
        <f aca="false">INDEX('Feature Data'!$W$2:$W$301,MATCH($A243,'Feature Data'!$A$2:$A$301,0))</f>
        <v>Bundle-only</v>
      </c>
      <c r="V243" s="2" t="n">
        <f aca="false">INDEX('Feature Data'!$P$2:$P$301,MATCH($A243,'Feature Data'!$A$2:$A$301,0))</f>
        <v>21</v>
      </c>
      <c r="W243" s="2" t="n">
        <f aca="false">INDEX(Segmentation!$R$2:$R$301,MATCH($A243,Segmentation!$A$2:$A$301,0))</f>
        <v>2</v>
      </c>
      <c r="X243" s="2" t="n">
        <f aca="false">INDEX(Segmentation!$S$2:$S$301,MATCH($A243,Segmentation!$A$2:$A$301,0))</f>
        <v>1</v>
      </c>
      <c r="Y243" s="10" t="b">
        <f aca="false">INDEX(Segmentation!$AG$2:$AG$301,MATCH($A243,Segmentation!$A$2:$A$301,0))</f>
        <v>0</v>
      </c>
      <c r="Z243" s="2" t="str">
        <f aca="false">INDEX(Segmentation!$AU$2:$AU$301,MATCH($A243,Segmentation!$A$2:$A$301,0))</f>
        <v>Not Eligible</v>
      </c>
      <c r="AA243" s="10" t="b">
        <f aca="false">INDEX(Segmentation!$Z$2:$Z$301,MATCH($A243,Segmentation!$A$2:$A$301,0))</f>
        <v>0</v>
      </c>
      <c r="AB243" s="10" t="b">
        <f aca="false">INDEX(Segmentation!$AH$2:$AH$301,MATCH($A243,Segmentation!$A$2:$A$301,0))</f>
        <v>0</v>
      </c>
      <c r="AC243" s="10" t="b">
        <f aca="false">INDEX(Segmentation!$AK$2:$AK$301,MATCH($A243,Segmentation!$A$2:$A$301,0))</f>
        <v>0</v>
      </c>
      <c r="AD243" s="10" t="b">
        <f aca="false">INDEX(Segmentation!$AQ$2:$AQ$301,MATCH($A243,Segmentation!$A$2:$A$301,0))</f>
        <v>0</v>
      </c>
      <c r="AE243" s="10" t="b">
        <f aca="false">INDEX(Segmentation!$AT$2:$AT$301,MATCH($A243,Segmentation!$A$2:$A$301,0))</f>
        <v>0</v>
      </c>
      <c r="AF243" s="10" t="b">
        <f aca="false">INDEX(Segmentation!$X$2:$X$301,MATCH($A243,Segmentation!$A$2:$A$301,0))</f>
        <v>1</v>
      </c>
      <c r="AG243" s="10" t="b">
        <f aca="false">AND(F243="Low",V243&gt;=Assumptions!$B$71,X243&lt;Assumptions!$B$72)</f>
        <v>0</v>
      </c>
      <c r="AH243" s="10" t="b">
        <f aca="false">AND(F243="Low",OR(G243="Growing",G243="Stable"),P243="Recently Active",V243&gt;=Assumptions!$B$58,K243&gt;=Assumptions!$B$73)</f>
        <v>0</v>
      </c>
      <c r="AI243" s="17" t="n">
        <f aca="false">IF(O243&gt;0,MAX(L243:N243)/O243,"")</f>
        <v>1</v>
      </c>
      <c r="AJ243" s="2" t="str">
        <f aca="false">IF(LEFT(D243,1)="1",IF(E243="Key","MIGRATION_KEY_SIGNOFF",IF(Z243="Ready","MIGRATION_PHASE1_READY",IF(Z243="Manual Review","MIGRATION_PHASE1_REVIEW","MIGRATION_PRE_ENTRY"))),IF(LEFT(D243,1)="2","DECLINING_KEY_CORE",IF(LEFT(D243,1)="3",IF(R243="Established Buyer Lapsed","LAPSED_ESTABLISHED","LAPSED_THIN_HISTORY"),IF(LEFT(D243,1)="4",IF(Q243="New Customer","NEW_CUSTOMER","RETURNED_CUSTOMER"),IF(LEFT(D243,1)="5",IF(P243="Recently Active","COST_TO_SERVE_ACTIVE","DORMANT_LOW_VALUE"),IF(LEFT(D243,1)="6",IF(P243="Recent Inactivity","RECENT_INACTIVITY",IF(AG243,"BROWSING_LOW_OFFERS","HEALTHY_STRONG_SELF_SERVE")),IF(LEFT(D243,1)="7",IF(P243="Recent Inactivity","RECENT_INACTIVITY",IF(Q243="New Customer","NEW_CUSTOMER","RETURNED_CUSTOMER")),IF(LEFT(D243,1)="8",IF(G243="Declining",IF(T243="Engaged but shrinking (Key/Core)","ENGAGED_BUT_SHRINKING","DECLINING_KEY_CORE"),IF(R243="Established Buyer Lapsed","LAPSED_ESTABLISHED","LAPSED_THIN_HISTORY")),IF(S243,IF(P243&lt;&gt;"Recently Active","DORMANT_LOW_VALUE",IF(AG243,"BROWSING_LOW_OFFERS",IF(AH243,"RISING_TAIL","RISING_TAIL_EARLY"))),IF(AND(AG243,P243="Recently Active",OR(G243="Growing",G243="Stable",G243="H2 Active / No H1 GMV"),I243&gt;=Assumptions!$B$74),"BROWSING_LOW_OFFERS","LONG_TAIL_STANDARD"))))))))))</f>
        <v>LONG_TAIL_STANDARD</v>
      </c>
      <c r="AK243" s="2" t="str">
        <f aca="false">INDEX('NBA Library'!$B$4:$B$21,MATCH(AJ243,'NBA Library'!$A$4:$A$21,0))</f>
        <v>Automated Nurture</v>
      </c>
      <c r="AL243" s="2" t="str">
        <f aca="false">INDEX('NBA Library'!$C$4:$C$21,MATCH(AJ243,'NBA Library'!$A$4:$A$21,0))</f>
        <v>Automated</v>
      </c>
      <c r="AM243" s="2" t="str">
        <f aca="false">IF(AA243,"HOLD — Critical Data Issue",IF(Y243,"Human Sign-Off Required",IF(Z243="Manual Review","Human Review Required",IF(AND(AL243="Automated",OR(AE243,AND(OR(AK243="Discovery-to-Offer Enablement",AK243="Reinforce Successful Behaviour"),OR(AC243,AB243)))),"Human Review Required",IF(AL243="Human","Ready — Human",IF(AL243="Hybrid","Ready — Hybrid","Ready — Automated"))))))</f>
        <v>Ready — Automated</v>
      </c>
      <c r="AN243" s="2" t="str">
        <f aca="false">IF(AA243,"P0",IF(AND(AJ243="BROWSING_LOW_OFFERS",E243="Tail"),"P3",IF(AND(AM243="Human Review Required",INDEX('NBA Library'!$D$4:$D$21,MATCH(AJ243,'NBA Library'!$A$4:$A$21,0))="P4"),"P3",INDEX('NBA Library'!$D$4:$D$21,MATCH(AJ243,'NBA Library'!$A$4:$A$21,0)))))</f>
        <v>P4</v>
      </c>
      <c r="AO243" s="2" t="str">
        <f aca="false">E243&amp;" "&amp;C243&amp;" account ("&amp;B243&amp;"); "&amp;G243&amp;" momentum; "&amp;P243&amp;"; £"&amp;TEXT(H243,"#,##0")&amp;" 6m GMV. "&amp;INDEX('NBA Library'!$G$4:$G$21,MATCH(AJ243,'NBA Library'!$A$4:$A$21,0))&amp;IF(LEFT(D243,1)="1"," Baseline: "&amp;V243&amp;" PDP views, "&amp;W243&amp;" app days, "&amp;X243&amp;" offers, "&amp;TEXT(J243/I243,"0%")&amp;" of orders self-serve.","")&amp;IF(AA243," Execution on HOLD until the Duplicate status is resolved.","")&amp;IF(Y243," Key account: explicit AM/leadership sign-off required before any migration activity.","")&amp;IF(AE243," Implied broker % from order counts would move this account to a different segment; review before automating.","")</f>
        <v>Tail Self-Serve account (Self Serve); H2 Active / No H1 GMV momentum; Recently Active; £332 6m GMV. Low-value, low-dependency account. Scalable automated engagement.</v>
      </c>
      <c r="AP243" s="2" t="str">
        <f aca="false">INDEX('NBA Library'!$E$4:$E$21,MATCH(AJ243,'NBA Library'!$A$4:$A$21,0))&amp;IF(AND(AJ243="NEW_CUSTOMER",AG243),"; introduce Make-an-Offer on items already browsed","")</f>
        <v>Scalable automated engagement matched to nurture sub-context</v>
      </c>
      <c r="AQ243" s="2" t="str">
        <f aca="false">INDEX('NBA Library'!$F$4:$F$21,MATCH(AJ243,'NBA Library'!$A$4:$A$21,0))</f>
        <v>Any repeat order within 90 days</v>
      </c>
      <c r="AR243" s="2" t="str">
        <f aca="false">IF(AND(F243="Low",OR(G243="Growing",G243="Stable"),P243="Recently Active",U243&lt;&gt;"Mixed",OR(AK243="Discovery-to-Offer Enablement",AK243="Reinforce Successful Behaviour"),AM243="Ready — Automated",OR(E243&lt;&gt;"Tail",S243)),"Range Expansion Test — trial "&amp;IF(U243="Bundle-only","handpick","bundles")&amp;" (experimental; not proven to lift GMV)","")</f>
        <v/>
      </c>
      <c r="AS243" s="2" t="str">
        <f aca="false">IF(AK243&lt;&gt;"Automated Nurture","",IF(AJ243="DORMANT_LOW_VALUE","Dormant",IF(AJ243="RISING_TAIL_EARLY","Rising tail – early pattern",IF(Q243="New Customer","New customer onboarding",IF(Q243="Returned Customer","Returned customer",IF(G243="Lapsed","Dormant",IF(T243="Engaged, not converting","Engaged, not converting",IF(T243="One-off low-touch buyer","One-off purchaser",IF(T243="Light-touch repeat buyer","Light-touch repeat buyer","Standard long tail")))))))))</f>
        <v>New customer onboarding</v>
      </c>
      <c r="AT243" s="2" t="str">
        <f aca="false">IF(AA243,"CRITICAL_DATA_BLOCKER; ","")&amp;IF(Y243,"KEY_SIGNOFF; ","")&amp;IF(Z243="Manual Review","PHASE1_MANUAL_REVIEW; ","")&amp;IF(AND(LEFT(D243,1)="1",AZ243="Lumpy"),"LUMPY_CADENCE; ","")&amp;IF(AB243,"BORDERLINE_MOMENTUM; ","")&amp;IF(AC243,"FEB_SENSITIVE; ","")&amp;IF(AD243,"MATERIAL_BROKER_INCONSISTENCY"&amp;IF(AE243," (segment would change)","")&amp;"; ","")&amp;IF(AND(I243&gt;=3,O243&gt;0),IF(AI243&gt;=Assumptions!$B$75,"H2_SINGLE_MONTH_SPIKE; ",""),"")&amp;IF(AND(M243&gt;0,N243=0),"NO_FEB_GMV (Feb unconfirmed); ","")&amp;IF(AF243,"LOW_CONFIDENCE; ","")</f>
        <v>NO_FEB_GMV (Feb unconfirmed); LOW_CONFIDENCE; </v>
      </c>
      <c r="AU243" s="2" t="str">
        <f aca="false">IF(LEFT(D243,1)="1",V243,"")</f>
        <v/>
      </c>
      <c r="AV243" s="2" t="str">
        <f aca="false">IF(LEFT(D243,1)="1",V243&gt;=Assumptions!$B$58,"")</f>
        <v/>
      </c>
      <c r="AW243" s="2" t="str">
        <f aca="false">IF(LEFT(D243,1)="1",W243,"")</f>
        <v/>
      </c>
      <c r="AX243" s="2" t="str">
        <f aca="false">IF(LEFT(D243,1)="1",X243,"")</f>
        <v/>
      </c>
      <c r="AY243" s="17" t="str">
        <f aca="false">IF(LEFT(D243,1)="1",J243/I243,"")</f>
        <v/>
      </c>
      <c r="AZ243" s="2" t="str">
        <f aca="false">IF(LEFT(D243,1)="1",IF(AND(K243&gt;=Assumptions!$B$83,I243&gt;=Assumptions!$B$84),"Regular","Lumpy"),"")</f>
        <v/>
      </c>
      <c r="BA243" s="2" t="str">
        <f aca="false">IF(LEFT(D243,1)="1",ROUND(6/K243,0),"")</f>
        <v/>
      </c>
      <c r="BB243" s="2" t="str">
        <f aca="false">IF(LEFT(D243,1)="1",IF(AZ243="Regular","Regular buyer: expected ~£"&amp;TEXT(H243/2,"#,##0")&amp;" per 90 days. At Risk if GMV to date &lt; "&amp;TEXT(Assumptions!$B$81,"0%")&amp;" of pro-rated expectation, checked from day "&amp;Assumptions!$B$82&amp;". Human-reviewed.","Irregular buyer ("&amp;I243&amp;" orders across "&amp;K243&amp;" months): no numeric GMV threshold. At Risk if no order within ~"&amp;BA243&amp;" month(s); AM reviews at day "&amp;Assumptions!$B$82&amp;" and "&amp;Assumptions!$B$85&amp;"."),"")</f>
        <v/>
      </c>
      <c r="BC243" s="2"/>
      <c r="BD243" s="2"/>
      <c r="BE243" s="2"/>
      <c r="BF243" s="2"/>
      <c r="BG243" s="2"/>
      <c r="BH243" s="2"/>
      <c r="BI243" s="2"/>
      <c r="BJ243" s="2" t="str">
        <f aca="false">IF(OR(NOT(LEFT(D243,1)="1"),BC243=""),"",IF(AZ243="Regular",AND(BC243&gt;=Assumptions!$B$82,N(BI243)&lt;Assumptions!$B$81*H243/180*BC243),AND(BC243&gt;=BA243*30,N(BG243)=0)))</f>
        <v/>
      </c>
      <c r="BK243" s="2" t="str">
        <f aca="false">IF(NOT(LEFT(D243,1)="1"),"N/A",IF(BC243="","Baseline",IF(BJ243,"At Risk",IF(AND(N(BD243)&gt;=Assumptions!$B$78,N(BE243)&gt;=Assumptions!$B$79,N(BH243)&gt;=1,N(BH243)/MAX(N(BG243),1)&gt;AY243),"Self-Serve Capability Demonstrated",IF(OR(N(BD243)&gt;=Assumptions!$B$76,N(BE243)&gt;=Assumptions!$B$77),"Progressing",IF(BC243&gt;=Assumptions!$B$85,"At Risk","Baseline"))))))</f>
        <v>N/A</v>
      </c>
      <c r="BL243" s="2" t="n">
        <f aca="false">(AND(C243="Broker-Reliant",OR(AK243="Discovery-to-Offer Enablement",AK243="Reinforce Successful Behaviour")))*1+(AND(G243="Declining",E243&lt;&gt;"Tail",AL243="Automated"))*1+(AND(Y243,AM243&lt;&gt;"Human Sign-Off Required"))*1+(AND(AA243,AM243&lt;&gt;"HOLD — Critical Data Issue"))*1+(AND(P243="Recent Inactivity",OR(AK243="Discovery-to-Offer Enablement",AK243="Reinforce Successful Behaviour")))*1+(AND(OR(LEFT(D243,1)="2",LEFT(D243,1)="3",LEFT(D243,1)="8"),AL243="Automated"))*1+((LEFT(D243,1)="1")&lt;&gt;(AK243="Guided Self-Serve Migration"))*1+(AND(AR243&lt;&gt;"",OR(F243&lt;&gt;"Low",U243="Mixed",AND(G243&lt;&gt;"Growing",G243&lt;&gt;"Stable"))))*1+ISNUMBER(SEARCH("chat",AP243))*1+ISNUMBER(SEARCH("video",AP243))*1+(AND(AA243,AL243="Automated",AM243&lt;&gt;"HOLD — Critical Data Issue"))*1</f>
        <v>0</v>
      </c>
    </row>
    <row r="244" customFormat="false" ht="15" hidden="false" customHeight="false" outlineLevel="0" collapsed="false">
      <c r="A244" s="2" t="s">
        <v>766</v>
      </c>
      <c r="B244" s="2" t="str">
        <f aca="false">INDEX(Segmentation!$B$2:$B$301,MATCH($A244,Segmentation!$A$2:$A$301,0))</f>
        <v>Self Serve</v>
      </c>
      <c r="C244" s="2" t="str">
        <f aca="false">INDEX(Segmentation!$H$2:$H$301,MATCH($A244,Segmentation!$A$2:$A$301,0))</f>
        <v>Self-Serve</v>
      </c>
      <c r="D244" s="2" t="str">
        <f aca="false">INDEX(Segmentation!$T$2:$T$301,MATCH($A244,Segmentation!$A$2:$A$301,0))</f>
        <v>9. Long-Tail Automated Nurture</v>
      </c>
      <c r="E244" s="2" t="str">
        <f aca="false">INDEX(Segmentation!$J$2:$J$301,MATCH($A244,Segmentation!$A$2:$A$301,0))</f>
        <v>Tail</v>
      </c>
      <c r="F244" s="2" t="str">
        <f aca="false">INDEX(Segmentation!$G$2:$G$301,MATCH($A244,Segmentation!$A$2:$A$301,0))</f>
        <v>Low</v>
      </c>
      <c r="G244" s="2" t="str">
        <f aca="false">INDEX(Segmentation!$N$2:$N$301,MATCH($A244,Segmentation!$A$2:$A$301,0))</f>
        <v>H2 Active / No H1 GMV</v>
      </c>
      <c r="H244" s="9" t="n">
        <f aca="false">INDEX(Segmentation!$I$2:$I$301,MATCH($A244,Segmentation!$A$2:$A$301,0))</f>
        <v>322</v>
      </c>
      <c r="I244" s="2" t="n">
        <f aca="false">INDEX(Segmentation!$O$2:$O$301,MATCH($A244,Segmentation!$A$2:$A$301,0))</f>
        <v>1</v>
      </c>
      <c r="J244" s="2" t="n">
        <f aca="false">INDEX(Segmentation!$Q$2:$Q$301,MATCH($A244,Segmentation!$A$2:$A$301,0))</f>
        <v>1</v>
      </c>
      <c r="K244" s="2" t="n">
        <f aca="false">INDEX(Segmentation!$W$2:$W$301,MATCH($A244,Segmentation!$A$2:$A$301,0))</f>
        <v>1</v>
      </c>
      <c r="L244" s="9" t="n">
        <f aca="false">INDEX('Commercial View'!$L$2:$L$301,MATCH($A244,'Commercial View'!$A$2:$A$301,0))</f>
        <v>0</v>
      </c>
      <c r="M244" s="9" t="n">
        <f aca="false">INDEX('Commercial View'!$M$2:$M$301,MATCH($A244,'Commercial View'!$A$2:$A$301,0))</f>
        <v>322</v>
      </c>
      <c r="N244" s="9" t="n">
        <f aca="false">INDEX('Commercial View'!$N$2:$N$301,MATCH($A244,'Commercial View'!$A$2:$A$301,0))</f>
        <v>0</v>
      </c>
      <c r="O244" s="9" t="n">
        <f aca="false">INDEX(Segmentation!$L$2:$L$301,MATCH($A244,Segmentation!$A$2:$A$301,0))</f>
        <v>322</v>
      </c>
      <c r="P244" s="2" t="str">
        <f aca="false">IF(OR(M244&gt;0,N244&gt;0),"Recently Active",IF(OR(I244&lt;=Assumptions!$B$48,K244&lt;=Assumptions!$B$49),"No Meaningful History","Recent Inactivity"))</f>
        <v>Recently Active</v>
      </c>
      <c r="Q244" s="2" t="str">
        <f aca="false">INDEX(Segmentation!$AF$2:$AF$301,MATCH($A244,Segmentation!$A$2:$A$301,0))</f>
        <v>New Customer</v>
      </c>
      <c r="R244" s="2" t="str">
        <f aca="false">INDEX(Segmentation!$AL$2:$AL$301,MATCH($A244,Segmentation!$A$2:$A$301,0))</f>
        <v>N/A</v>
      </c>
      <c r="S244" s="10" t="b">
        <f aca="false">INDEX(Segmentation!$AW$2:$AW$301,MATCH($A244,Segmentation!$A$2:$A$301,0))</f>
        <v>0</v>
      </c>
      <c r="T244" s="2" t="str">
        <f aca="false">INDEX('Feature Data'!$AD$2:$AD$301,MATCH($A244,'Feature Data'!$A$2:$A$301,0))</f>
        <v>One-off low-touch buyer</v>
      </c>
      <c r="U244" s="2" t="str">
        <f aca="false">INDEX('Feature Data'!$W$2:$W$301,MATCH($A244,'Feature Data'!$A$2:$A$301,0))</f>
        <v>Bundle-only</v>
      </c>
      <c r="V244" s="2" t="n">
        <f aca="false">INDEX('Feature Data'!$P$2:$P$301,MATCH($A244,'Feature Data'!$A$2:$A$301,0))</f>
        <v>15</v>
      </c>
      <c r="W244" s="2" t="n">
        <f aca="false">INDEX(Segmentation!$R$2:$R$301,MATCH($A244,Segmentation!$A$2:$A$301,0))</f>
        <v>4</v>
      </c>
      <c r="X244" s="2" t="n">
        <f aca="false">INDEX(Segmentation!$S$2:$S$301,MATCH($A244,Segmentation!$A$2:$A$301,0))</f>
        <v>0</v>
      </c>
      <c r="Y244" s="10" t="b">
        <f aca="false">INDEX(Segmentation!$AG$2:$AG$301,MATCH($A244,Segmentation!$A$2:$A$301,0))</f>
        <v>0</v>
      </c>
      <c r="Z244" s="2" t="str">
        <f aca="false">INDEX(Segmentation!$AU$2:$AU$301,MATCH($A244,Segmentation!$A$2:$A$301,0))</f>
        <v>Not Eligible</v>
      </c>
      <c r="AA244" s="10" t="b">
        <f aca="false">INDEX(Segmentation!$Z$2:$Z$301,MATCH($A244,Segmentation!$A$2:$A$301,0))</f>
        <v>0</v>
      </c>
      <c r="AB244" s="10" t="b">
        <f aca="false">INDEX(Segmentation!$AH$2:$AH$301,MATCH($A244,Segmentation!$A$2:$A$301,0))</f>
        <v>0</v>
      </c>
      <c r="AC244" s="10" t="b">
        <f aca="false">INDEX(Segmentation!$AK$2:$AK$301,MATCH($A244,Segmentation!$A$2:$A$301,0))</f>
        <v>0</v>
      </c>
      <c r="AD244" s="10" t="b">
        <f aca="false">INDEX(Segmentation!$AQ$2:$AQ$301,MATCH($A244,Segmentation!$A$2:$A$301,0))</f>
        <v>0</v>
      </c>
      <c r="AE244" s="10" t="b">
        <f aca="false">INDEX(Segmentation!$AT$2:$AT$301,MATCH($A244,Segmentation!$A$2:$A$301,0))</f>
        <v>0</v>
      </c>
      <c r="AF244" s="10" t="b">
        <f aca="false">INDEX(Segmentation!$X$2:$X$301,MATCH($A244,Segmentation!$A$2:$A$301,0))</f>
        <v>1</v>
      </c>
      <c r="AG244" s="10" t="b">
        <f aca="false">AND(F244="Low",V244&gt;=Assumptions!$B$71,X244&lt;Assumptions!$B$72)</f>
        <v>0</v>
      </c>
      <c r="AH244" s="10" t="b">
        <f aca="false">AND(F244="Low",OR(G244="Growing",G244="Stable"),P244="Recently Active",V244&gt;=Assumptions!$B$58,K244&gt;=Assumptions!$B$73)</f>
        <v>0</v>
      </c>
      <c r="AI244" s="17" t="n">
        <f aca="false">IF(O244&gt;0,MAX(L244:N244)/O244,"")</f>
        <v>1</v>
      </c>
      <c r="AJ244" s="2" t="str">
        <f aca="false">IF(LEFT(D244,1)="1",IF(E244="Key","MIGRATION_KEY_SIGNOFF",IF(Z244="Ready","MIGRATION_PHASE1_READY",IF(Z244="Manual Review","MIGRATION_PHASE1_REVIEW","MIGRATION_PRE_ENTRY"))),IF(LEFT(D244,1)="2","DECLINING_KEY_CORE",IF(LEFT(D244,1)="3",IF(R244="Established Buyer Lapsed","LAPSED_ESTABLISHED","LAPSED_THIN_HISTORY"),IF(LEFT(D244,1)="4",IF(Q244="New Customer","NEW_CUSTOMER","RETURNED_CUSTOMER"),IF(LEFT(D244,1)="5",IF(P244="Recently Active","COST_TO_SERVE_ACTIVE","DORMANT_LOW_VALUE"),IF(LEFT(D244,1)="6",IF(P244="Recent Inactivity","RECENT_INACTIVITY",IF(AG244,"BROWSING_LOW_OFFERS","HEALTHY_STRONG_SELF_SERVE")),IF(LEFT(D244,1)="7",IF(P244="Recent Inactivity","RECENT_INACTIVITY",IF(Q244="New Customer","NEW_CUSTOMER","RETURNED_CUSTOMER")),IF(LEFT(D244,1)="8",IF(G244="Declining",IF(T244="Engaged but shrinking (Key/Core)","ENGAGED_BUT_SHRINKING","DECLINING_KEY_CORE"),IF(R244="Established Buyer Lapsed","LAPSED_ESTABLISHED","LAPSED_THIN_HISTORY")),IF(S244,IF(P244&lt;&gt;"Recently Active","DORMANT_LOW_VALUE",IF(AG244,"BROWSING_LOW_OFFERS",IF(AH244,"RISING_TAIL","RISING_TAIL_EARLY"))),IF(AND(AG244,P244="Recently Active",OR(G244="Growing",G244="Stable",G244="H2 Active / No H1 GMV"),I244&gt;=Assumptions!$B$74),"BROWSING_LOW_OFFERS","LONG_TAIL_STANDARD"))))))))))</f>
        <v>LONG_TAIL_STANDARD</v>
      </c>
      <c r="AK244" s="2" t="str">
        <f aca="false">INDEX('NBA Library'!$B$4:$B$21,MATCH(AJ244,'NBA Library'!$A$4:$A$21,0))</f>
        <v>Automated Nurture</v>
      </c>
      <c r="AL244" s="2" t="str">
        <f aca="false">INDEX('NBA Library'!$C$4:$C$21,MATCH(AJ244,'NBA Library'!$A$4:$A$21,0))</f>
        <v>Automated</v>
      </c>
      <c r="AM244" s="2" t="str">
        <f aca="false">IF(AA244,"HOLD — Critical Data Issue",IF(Y244,"Human Sign-Off Required",IF(Z244="Manual Review","Human Review Required",IF(AND(AL244="Automated",OR(AE244,AND(OR(AK244="Discovery-to-Offer Enablement",AK244="Reinforce Successful Behaviour"),OR(AC244,AB244)))),"Human Review Required",IF(AL244="Human","Ready — Human",IF(AL244="Hybrid","Ready — Hybrid","Ready — Automated"))))))</f>
        <v>Ready — Automated</v>
      </c>
      <c r="AN244" s="2" t="str">
        <f aca="false">IF(AA244,"P0",IF(AND(AJ244="BROWSING_LOW_OFFERS",E244="Tail"),"P3",IF(AND(AM244="Human Review Required",INDEX('NBA Library'!$D$4:$D$21,MATCH(AJ244,'NBA Library'!$A$4:$A$21,0))="P4"),"P3",INDEX('NBA Library'!$D$4:$D$21,MATCH(AJ244,'NBA Library'!$A$4:$A$21,0)))))</f>
        <v>P4</v>
      </c>
      <c r="AO244" s="2" t="str">
        <f aca="false">E244&amp;" "&amp;C244&amp;" account ("&amp;B244&amp;"); "&amp;G244&amp;" momentum; "&amp;P244&amp;"; £"&amp;TEXT(H244,"#,##0")&amp;" 6m GMV. "&amp;INDEX('NBA Library'!$G$4:$G$21,MATCH(AJ244,'NBA Library'!$A$4:$A$21,0))&amp;IF(LEFT(D244,1)="1"," Baseline: "&amp;V244&amp;" PDP views, "&amp;W244&amp;" app days, "&amp;X244&amp;" offers, "&amp;TEXT(J244/I244,"0%")&amp;" of orders self-serve.","")&amp;IF(AA244," Execution on HOLD until the Duplicate status is resolved.","")&amp;IF(Y244," Key account: explicit AM/leadership sign-off required before any migration activity.","")&amp;IF(AE244," Implied broker % from order counts would move this account to a different segment; review before automating.","")</f>
        <v>Tail Self-Serve account (Self Serve); H2 Active / No H1 GMV momentum; Recently Active; £322 6m GMV. Low-value, low-dependency account. Scalable automated engagement.</v>
      </c>
      <c r="AP244" s="2" t="str">
        <f aca="false">INDEX('NBA Library'!$E$4:$E$21,MATCH(AJ244,'NBA Library'!$A$4:$A$21,0))&amp;IF(AND(AJ244="NEW_CUSTOMER",AG244),"; introduce Make-an-Offer on items already browsed","")</f>
        <v>Scalable automated engagement matched to nurture sub-context</v>
      </c>
      <c r="AQ244" s="2" t="str">
        <f aca="false">INDEX('NBA Library'!$F$4:$F$21,MATCH(AJ244,'NBA Library'!$A$4:$A$21,0))</f>
        <v>Any repeat order within 90 days</v>
      </c>
      <c r="AR244" s="2" t="str">
        <f aca="false">IF(AND(F244="Low",OR(G244="Growing",G244="Stable"),P244="Recently Active",U244&lt;&gt;"Mixed",OR(AK244="Discovery-to-Offer Enablement",AK244="Reinforce Successful Behaviour"),AM244="Ready — Automated",OR(E244&lt;&gt;"Tail",S244)),"Range Expansion Test — trial "&amp;IF(U244="Bundle-only","handpick","bundles")&amp;" (experimental; not proven to lift GMV)","")</f>
        <v/>
      </c>
      <c r="AS244" s="2" t="str">
        <f aca="false">IF(AK244&lt;&gt;"Automated Nurture","",IF(AJ244="DORMANT_LOW_VALUE","Dormant",IF(AJ244="RISING_TAIL_EARLY","Rising tail – early pattern",IF(Q244="New Customer","New customer onboarding",IF(Q244="Returned Customer","Returned customer",IF(G244="Lapsed","Dormant",IF(T244="Engaged, not converting","Engaged, not converting",IF(T244="One-off low-touch buyer","One-off purchaser",IF(T244="Light-touch repeat buyer","Light-touch repeat buyer","Standard long tail")))))))))</f>
        <v>New customer onboarding</v>
      </c>
      <c r="AT244" s="2" t="str">
        <f aca="false">IF(AA244,"CRITICAL_DATA_BLOCKER; ","")&amp;IF(Y244,"KEY_SIGNOFF; ","")&amp;IF(Z244="Manual Review","PHASE1_MANUAL_REVIEW; ","")&amp;IF(AND(LEFT(D244,1)="1",AZ244="Lumpy"),"LUMPY_CADENCE; ","")&amp;IF(AB244,"BORDERLINE_MOMENTUM; ","")&amp;IF(AC244,"FEB_SENSITIVE; ","")&amp;IF(AD244,"MATERIAL_BROKER_INCONSISTENCY"&amp;IF(AE244," (segment would change)","")&amp;"; ","")&amp;IF(AND(I244&gt;=3,O244&gt;0),IF(AI244&gt;=Assumptions!$B$75,"H2_SINGLE_MONTH_SPIKE; ",""),"")&amp;IF(AND(M244&gt;0,N244=0),"NO_FEB_GMV (Feb unconfirmed); ","")&amp;IF(AF244,"LOW_CONFIDENCE; ","")</f>
        <v>NO_FEB_GMV (Feb unconfirmed); LOW_CONFIDENCE; </v>
      </c>
      <c r="AU244" s="2" t="str">
        <f aca="false">IF(LEFT(D244,1)="1",V244,"")</f>
        <v/>
      </c>
      <c r="AV244" s="2" t="str">
        <f aca="false">IF(LEFT(D244,1)="1",V244&gt;=Assumptions!$B$58,"")</f>
        <v/>
      </c>
      <c r="AW244" s="2" t="str">
        <f aca="false">IF(LEFT(D244,1)="1",W244,"")</f>
        <v/>
      </c>
      <c r="AX244" s="2" t="str">
        <f aca="false">IF(LEFT(D244,1)="1",X244,"")</f>
        <v/>
      </c>
      <c r="AY244" s="17" t="str">
        <f aca="false">IF(LEFT(D244,1)="1",J244/I244,"")</f>
        <v/>
      </c>
      <c r="AZ244" s="2" t="str">
        <f aca="false">IF(LEFT(D244,1)="1",IF(AND(K244&gt;=Assumptions!$B$83,I244&gt;=Assumptions!$B$84),"Regular","Lumpy"),"")</f>
        <v/>
      </c>
      <c r="BA244" s="2" t="str">
        <f aca="false">IF(LEFT(D244,1)="1",ROUND(6/K244,0),"")</f>
        <v/>
      </c>
      <c r="BB244" s="2" t="str">
        <f aca="false">IF(LEFT(D244,1)="1",IF(AZ244="Regular","Regular buyer: expected ~£"&amp;TEXT(H244/2,"#,##0")&amp;" per 90 days. At Risk if GMV to date &lt; "&amp;TEXT(Assumptions!$B$81,"0%")&amp;" of pro-rated expectation, checked from day "&amp;Assumptions!$B$82&amp;". Human-reviewed.","Irregular buyer ("&amp;I244&amp;" orders across "&amp;K244&amp;" months): no numeric GMV threshold. At Risk if no order within ~"&amp;BA244&amp;" month(s); AM reviews at day "&amp;Assumptions!$B$82&amp;" and "&amp;Assumptions!$B$85&amp;"."),"")</f>
        <v/>
      </c>
      <c r="BC244" s="2"/>
      <c r="BD244" s="2"/>
      <c r="BE244" s="2"/>
      <c r="BF244" s="2"/>
      <c r="BG244" s="2"/>
      <c r="BH244" s="2"/>
      <c r="BI244" s="2"/>
      <c r="BJ244" s="2" t="str">
        <f aca="false">IF(OR(NOT(LEFT(D244,1)="1"),BC244=""),"",IF(AZ244="Regular",AND(BC244&gt;=Assumptions!$B$82,N(BI244)&lt;Assumptions!$B$81*H244/180*BC244),AND(BC244&gt;=BA244*30,N(BG244)=0)))</f>
        <v/>
      </c>
      <c r="BK244" s="2" t="str">
        <f aca="false">IF(NOT(LEFT(D244,1)="1"),"N/A",IF(BC244="","Baseline",IF(BJ244,"At Risk",IF(AND(N(BD244)&gt;=Assumptions!$B$78,N(BE244)&gt;=Assumptions!$B$79,N(BH244)&gt;=1,N(BH244)/MAX(N(BG244),1)&gt;AY244),"Self-Serve Capability Demonstrated",IF(OR(N(BD244)&gt;=Assumptions!$B$76,N(BE244)&gt;=Assumptions!$B$77),"Progressing",IF(BC244&gt;=Assumptions!$B$85,"At Risk","Baseline"))))))</f>
        <v>N/A</v>
      </c>
      <c r="BL244" s="2" t="n">
        <f aca="false">(AND(C244="Broker-Reliant",OR(AK244="Discovery-to-Offer Enablement",AK244="Reinforce Successful Behaviour")))*1+(AND(G244="Declining",E244&lt;&gt;"Tail",AL244="Automated"))*1+(AND(Y244,AM244&lt;&gt;"Human Sign-Off Required"))*1+(AND(AA244,AM244&lt;&gt;"HOLD — Critical Data Issue"))*1+(AND(P244="Recent Inactivity",OR(AK244="Discovery-to-Offer Enablement",AK244="Reinforce Successful Behaviour")))*1+(AND(OR(LEFT(D244,1)="2",LEFT(D244,1)="3",LEFT(D244,1)="8"),AL244="Automated"))*1+((LEFT(D244,1)="1")&lt;&gt;(AK244="Guided Self-Serve Migration"))*1+(AND(AR244&lt;&gt;"",OR(F244&lt;&gt;"Low",U244="Mixed",AND(G244&lt;&gt;"Growing",G244&lt;&gt;"Stable"))))*1+ISNUMBER(SEARCH("chat",AP244))*1+ISNUMBER(SEARCH("video",AP244))*1+(AND(AA244,AL244="Automated",AM244&lt;&gt;"HOLD — Critical Data Issue"))*1</f>
        <v>0</v>
      </c>
    </row>
    <row r="245" customFormat="false" ht="15" hidden="false" customHeight="false" outlineLevel="0" collapsed="false">
      <c r="A245" s="2" t="s">
        <v>770</v>
      </c>
      <c r="B245" s="2" t="str">
        <f aca="false">INDEX(Segmentation!$B$2:$B$301,MATCH($A245,Segmentation!$A$2:$A$301,0))</f>
        <v>Self Serve</v>
      </c>
      <c r="C245" s="2" t="str">
        <f aca="false">INDEX(Segmentation!$H$2:$H$301,MATCH($A245,Segmentation!$A$2:$A$301,0))</f>
        <v>Self-Serve</v>
      </c>
      <c r="D245" s="2" t="str">
        <f aca="false">INDEX(Segmentation!$T$2:$T$301,MATCH($A245,Segmentation!$A$2:$A$301,0))</f>
        <v>9. Long-Tail Automated Nurture</v>
      </c>
      <c r="E245" s="2" t="str">
        <f aca="false">INDEX(Segmentation!$J$2:$J$301,MATCH($A245,Segmentation!$A$2:$A$301,0))</f>
        <v>Tail</v>
      </c>
      <c r="F245" s="2" t="str">
        <f aca="false">INDEX(Segmentation!$G$2:$G$301,MATCH($A245,Segmentation!$A$2:$A$301,0))</f>
        <v>Low</v>
      </c>
      <c r="G245" s="2" t="str">
        <f aca="false">INDEX(Segmentation!$N$2:$N$301,MATCH($A245,Segmentation!$A$2:$A$301,0))</f>
        <v>Lapsed</v>
      </c>
      <c r="H245" s="9" t="n">
        <f aca="false">INDEX(Segmentation!$I$2:$I$301,MATCH($A245,Segmentation!$A$2:$A$301,0))</f>
        <v>316</v>
      </c>
      <c r="I245" s="2" t="n">
        <f aca="false">INDEX(Segmentation!$O$2:$O$301,MATCH($A245,Segmentation!$A$2:$A$301,0))</f>
        <v>1</v>
      </c>
      <c r="J245" s="2" t="n">
        <f aca="false">INDEX(Segmentation!$Q$2:$Q$301,MATCH($A245,Segmentation!$A$2:$A$301,0))</f>
        <v>1</v>
      </c>
      <c r="K245" s="2" t="n">
        <f aca="false">INDEX(Segmentation!$W$2:$W$301,MATCH($A245,Segmentation!$A$2:$A$301,0))</f>
        <v>1</v>
      </c>
      <c r="L245" s="9" t="n">
        <f aca="false">INDEX('Commercial View'!$L$2:$L$301,MATCH($A245,'Commercial View'!$A$2:$A$301,0))</f>
        <v>0</v>
      </c>
      <c r="M245" s="9" t="n">
        <f aca="false">INDEX('Commercial View'!$M$2:$M$301,MATCH($A245,'Commercial View'!$A$2:$A$301,0))</f>
        <v>0</v>
      </c>
      <c r="N245" s="9" t="n">
        <f aca="false">INDEX('Commercial View'!$N$2:$N$301,MATCH($A245,'Commercial View'!$A$2:$A$301,0))</f>
        <v>0</v>
      </c>
      <c r="O245" s="9" t="n">
        <f aca="false">INDEX(Segmentation!$L$2:$L$301,MATCH($A245,Segmentation!$A$2:$A$301,0))</f>
        <v>0</v>
      </c>
      <c r="P245" s="2" t="str">
        <f aca="false">IF(OR(M245&gt;0,N245&gt;0),"Recently Active",IF(OR(I245&lt;=Assumptions!$B$48,K245&lt;=Assumptions!$B$49),"No Meaningful History","Recent Inactivity"))</f>
        <v>No Meaningful History</v>
      </c>
      <c r="Q245" s="2" t="str">
        <f aca="false">INDEX(Segmentation!$AF$2:$AF$301,MATCH($A245,Segmentation!$A$2:$A$301,0))</f>
        <v>Existing Customer</v>
      </c>
      <c r="R245" s="2" t="str">
        <f aca="false">INDEX(Segmentation!$AL$2:$AL$301,MATCH($A245,Segmentation!$A$2:$A$301,0))</f>
        <v>One-Off / Insufficient History — Verify</v>
      </c>
      <c r="S245" s="10" t="b">
        <f aca="false">INDEX(Segmentation!$AW$2:$AW$301,MATCH($A245,Segmentation!$A$2:$A$301,0))</f>
        <v>0</v>
      </c>
      <c r="T245" s="2" t="str">
        <f aca="false">INDEX('Feature Data'!$AD$2:$AD$301,MATCH($A245,'Feature Data'!$A$2:$A$301,0))</f>
        <v>One-off low-touch buyer</v>
      </c>
      <c r="U245" s="2" t="str">
        <f aca="false">INDEX('Feature Data'!$W$2:$W$301,MATCH($A245,'Feature Data'!$A$2:$A$301,0))</f>
        <v>Bundle-only</v>
      </c>
      <c r="V245" s="2" t="n">
        <f aca="false">INDEX('Feature Data'!$P$2:$P$301,MATCH($A245,'Feature Data'!$A$2:$A$301,0))</f>
        <v>87</v>
      </c>
      <c r="W245" s="2" t="n">
        <f aca="false">INDEX(Segmentation!$R$2:$R$301,MATCH($A245,Segmentation!$A$2:$A$301,0))</f>
        <v>10</v>
      </c>
      <c r="X245" s="2" t="n">
        <f aca="false">INDEX(Segmentation!$S$2:$S$301,MATCH($A245,Segmentation!$A$2:$A$301,0))</f>
        <v>0</v>
      </c>
      <c r="Y245" s="10" t="b">
        <f aca="false">INDEX(Segmentation!$AG$2:$AG$301,MATCH($A245,Segmentation!$A$2:$A$301,0))</f>
        <v>0</v>
      </c>
      <c r="Z245" s="2" t="str">
        <f aca="false">INDEX(Segmentation!$AU$2:$AU$301,MATCH($A245,Segmentation!$A$2:$A$301,0))</f>
        <v>Not Eligible</v>
      </c>
      <c r="AA245" s="10" t="b">
        <f aca="false">INDEX(Segmentation!$Z$2:$Z$301,MATCH($A245,Segmentation!$A$2:$A$301,0))</f>
        <v>0</v>
      </c>
      <c r="AB245" s="10" t="b">
        <f aca="false">INDEX(Segmentation!$AH$2:$AH$301,MATCH($A245,Segmentation!$A$2:$A$301,0))</f>
        <v>0</v>
      </c>
      <c r="AC245" s="10" t="b">
        <f aca="false">INDEX(Segmentation!$AK$2:$AK$301,MATCH($A245,Segmentation!$A$2:$A$301,0))</f>
        <v>0</v>
      </c>
      <c r="AD245" s="10" t="b">
        <f aca="false">INDEX(Segmentation!$AQ$2:$AQ$301,MATCH($A245,Segmentation!$A$2:$A$301,0))</f>
        <v>0</v>
      </c>
      <c r="AE245" s="10" t="b">
        <f aca="false">INDEX(Segmentation!$AT$2:$AT$301,MATCH($A245,Segmentation!$A$2:$A$301,0))</f>
        <v>0</v>
      </c>
      <c r="AF245" s="10" t="b">
        <f aca="false">INDEX(Segmentation!$X$2:$X$301,MATCH($A245,Segmentation!$A$2:$A$301,0))</f>
        <v>1</v>
      </c>
      <c r="AG245" s="10" t="b">
        <f aca="false">AND(F245="Low",V245&gt;=Assumptions!$B$71,X245&lt;Assumptions!$B$72)</f>
        <v>1</v>
      </c>
      <c r="AH245" s="10" t="b">
        <f aca="false">AND(F245="Low",OR(G245="Growing",G245="Stable"),P245="Recently Active",V245&gt;=Assumptions!$B$58,K245&gt;=Assumptions!$B$73)</f>
        <v>0</v>
      </c>
      <c r="AI245" s="17" t="str">
        <f aca="false">IF(O245&gt;0,MAX(L245:N245)/O245,"")</f>
        <v/>
      </c>
      <c r="AJ245" s="2" t="str">
        <f aca="false">IF(LEFT(D245,1)="1",IF(E245="Key","MIGRATION_KEY_SIGNOFF",IF(Z245="Ready","MIGRATION_PHASE1_READY",IF(Z245="Manual Review","MIGRATION_PHASE1_REVIEW","MIGRATION_PRE_ENTRY"))),IF(LEFT(D245,1)="2","DECLINING_KEY_CORE",IF(LEFT(D245,1)="3",IF(R245="Established Buyer Lapsed","LAPSED_ESTABLISHED","LAPSED_THIN_HISTORY"),IF(LEFT(D245,1)="4",IF(Q245="New Customer","NEW_CUSTOMER","RETURNED_CUSTOMER"),IF(LEFT(D245,1)="5",IF(P245="Recently Active","COST_TO_SERVE_ACTIVE","DORMANT_LOW_VALUE"),IF(LEFT(D245,1)="6",IF(P245="Recent Inactivity","RECENT_INACTIVITY",IF(AG245,"BROWSING_LOW_OFFERS","HEALTHY_STRONG_SELF_SERVE")),IF(LEFT(D245,1)="7",IF(P245="Recent Inactivity","RECENT_INACTIVITY",IF(Q245="New Customer","NEW_CUSTOMER","RETURNED_CUSTOMER")),IF(LEFT(D245,1)="8",IF(G245="Declining",IF(T245="Engaged but shrinking (Key/Core)","ENGAGED_BUT_SHRINKING","DECLINING_KEY_CORE"),IF(R245="Established Buyer Lapsed","LAPSED_ESTABLISHED","LAPSED_THIN_HISTORY")),IF(S245,IF(P245&lt;&gt;"Recently Active","DORMANT_LOW_VALUE",IF(AG245,"BROWSING_LOW_OFFERS",IF(AH245,"RISING_TAIL","RISING_TAIL_EARLY"))),IF(AND(AG245,P245="Recently Active",OR(G245="Growing",G245="Stable",G245="H2 Active / No H1 GMV"),I245&gt;=Assumptions!$B$74),"BROWSING_LOW_OFFERS","LONG_TAIL_STANDARD"))))))))))</f>
        <v>LONG_TAIL_STANDARD</v>
      </c>
      <c r="AK245" s="2" t="str">
        <f aca="false">INDEX('NBA Library'!$B$4:$B$21,MATCH(AJ245,'NBA Library'!$A$4:$A$21,0))</f>
        <v>Automated Nurture</v>
      </c>
      <c r="AL245" s="2" t="str">
        <f aca="false">INDEX('NBA Library'!$C$4:$C$21,MATCH(AJ245,'NBA Library'!$A$4:$A$21,0))</f>
        <v>Automated</v>
      </c>
      <c r="AM245" s="2" t="str">
        <f aca="false">IF(AA245,"HOLD — Critical Data Issue",IF(Y245,"Human Sign-Off Required",IF(Z245="Manual Review","Human Review Required",IF(AND(AL245="Automated",OR(AE245,AND(OR(AK245="Discovery-to-Offer Enablement",AK245="Reinforce Successful Behaviour"),OR(AC245,AB245)))),"Human Review Required",IF(AL245="Human","Ready — Human",IF(AL245="Hybrid","Ready — Hybrid","Ready — Automated"))))))</f>
        <v>Ready — Automated</v>
      </c>
      <c r="AN245" s="2" t="str">
        <f aca="false">IF(AA245,"P0",IF(AND(AJ245="BROWSING_LOW_OFFERS",E245="Tail"),"P3",IF(AND(AM245="Human Review Required",INDEX('NBA Library'!$D$4:$D$21,MATCH(AJ245,'NBA Library'!$A$4:$A$21,0))="P4"),"P3",INDEX('NBA Library'!$D$4:$D$21,MATCH(AJ245,'NBA Library'!$A$4:$A$21,0)))))</f>
        <v>P4</v>
      </c>
      <c r="AO245" s="2" t="str">
        <f aca="false">E245&amp;" "&amp;C245&amp;" account ("&amp;B245&amp;"); "&amp;G245&amp;" momentum; "&amp;P245&amp;"; £"&amp;TEXT(H245,"#,##0")&amp;" 6m GMV. "&amp;INDEX('NBA Library'!$G$4:$G$21,MATCH(AJ245,'NBA Library'!$A$4:$A$21,0))&amp;IF(LEFT(D245,1)="1"," Baseline: "&amp;V245&amp;" PDP views, "&amp;W245&amp;" app days, "&amp;X245&amp;" offers, "&amp;TEXT(J245/I245,"0%")&amp;" of orders self-serve.","")&amp;IF(AA245," Execution on HOLD until the Duplicate status is resolved.","")&amp;IF(Y245," Key account: explicit AM/leadership sign-off required before any migration activity.","")&amp;IF(AE245," Implied broker % from order counts would move this account to a different segment; review before automating.","")</f>
        <v>Tail Self-Serve account (Self Serve); Lapsed momentum; No Meaningful History; £316 6m GMV. Low-value, low-dependency account. Scalable automated engagement.</v>
      </c>
      <c r="AP245" s="2" t="str">
        <f aca="false">INDEX('NBA Library'!$E$4:$E$21,MATCH(AJ245,'NBA Library'!$A$4:$A$21,0))&amp;IF(AND(AJ245="NEW_CUSTOMER",AG245),"; introduce Make-an-Offer on items already browsed","")</f>
        <v>Scalable automated engagement matched to nurture sub-context</v>
      </c>
      <c r="AQ245" s="2" t="str">
        <f aca="false">INDEX('NBA Library'!$F$4:$F$21,MATCH(AJ245,'NBA Library'!$A$4:$A$21,0))</f>
        <v>Any repeat order within 90 days</v>
      </c>
      <c r="AR245" s="2" t="str">
        <f aca="false">IF(AND(F245="Low",OR(G245="Growing",G245="Stable"),P245="Recently Active",U245&lt;&gt;"Mixed",OR(AK245="Discovery-to-Offer Enablement",AK245="Reinforce Successful Behaviour"),AM245="Ready — Automated",OR(E245&lt;&gt;"Tail",S245)),"Range Expansion Test — trial "&amp;IF(U245="Bundle-only","handpick","bundles")&amp;" (experimental; not proven to lift GMV)","")</f>
        <v/>
      </c>
      <c r="AS245" s="2" t="str">
        <f aca="false">IF(AK245&lt;&gt;"Automated Nurture","",IF(AJ245="DORMANT_LOW_VALUE","Dormant",IF(AJ245="RISING_TAIL_EARLY","Rising tail – early pattern",IF(Q245="New Customer","New customer onboarding",IF(Q245="Returned Customer","Returned customer",IF(G245="Lapsed","Dormant",IF(T245="Engaged, not converting","Engaged, not converting",IF(T245="One-off low-touch buyer","One-off purchaser",IF(T245="Light-touch repeat buyer","Light-touch repeat buyer","Standard long tail")))))))))</f>
        <v>Dormant</v>
      </c>
      <c r="AT245" s="2" t="str">
        <f aca="false">IF(AA245,"CRITICAL_DATA_BLOCKER; ","")&amp;IF(Y245,"KEY_SIGNOFF; ","")&amp;IF(Z245="Manual Review","PHASE1_MANUAL_REVIEW; ","")&amp;IF(AND(LEFT(D245,1)="1",AZ245="Lumpy"),"LUMPY_CADENCE; ","")&amp;IF(AB245,"BORDERLINE_MOMENTUM; ","")&amp;IF(AC245,"FEB_SENSITIVE; ","")&amp;IF(AD245,"MATERIAL_BROKER_INCONSISTENCY"&amp;IF(AE245," (segment would change)","")&amp;"; ","")&amp;IF(AND(I245&gt;=3,O245&gt;0),IF(AI245&gt;=Assumptions!$B$75,"H2_SINGLE_MONTH_SPIKE; ",""),"")&amp;IF(AND(M245&gt;0,N245=0),"NO_FEB_GMV (Feb unconfirmed); ","")&amp;IF(AF245,"LOW_CONFIDENCE; ","")</f>
        <v>LOW_CONFIDENCE; </v>
      </c>
      <c r="AU245" s="2" t="str">
        <f aca="false">IF(LEFT(D245,1)="1",V245,"")</f>
        <v/>
      </c>
      <c r="AV245" s="2" t="str">
        <f aca="false">IF(LEFT(D245,1)="1",V245&gt;=Assumptions!$B$58,"")</f>
        <v/>
      </c>
      <c r="AW245" s="2" t="str">
        <f aca="false">IF(LEFT(D245,1)="1",W245,"")</f>
        <v/>
      </c>
      <c r="AX245" s="2" t="str">
        <f aca="false">IF(LEFT(D245,1)="1",X245,"")</f>
        <v/>
      </c>
      <c r="AY245" s="17" t="str">
        <f aca="false">IF(LEFT(D245,1)="1",J245/I245,"")</f>
        <v/>
      </c>
      <c r="AZ245" s="2" t="str">
        <f aca="false">IF(LEFT(D245,1)="1",IF(AND(K245&gt;=Assumptions!$B$83,I245&gt;=Assumptions!$B$84),"Regular","Lumpy"),"")</f>
        <v/>
      </c>
      <c r="BA245" s="2" t="str">
        <f aca="false">IF(LEFT(D245,1)="1",ROUND(6/K245,0),"")</f>
        <v/>
      </c>
      <c r="BB245" s="2" t="str">
        <f aca="false">IF(LEFT(D245,1)="1",IF(AZ245="Regular","Regular buyer: expected ~£"&amp;TEXT(H245/2,"#,##0")&amp;" per 90 days. At Risk if GMV to date &lt; "&amp;TEXT(Assumptions!$B$81,"0%")&amp;" of pro-rated expectation, checked from day "&amp;Assumptions!$B$82&amp;". Human-reviewed.","Irregular buyer ("&amp;I245&amp;" orders across "&amp;K245&amp;" months): no numeric GMV threshold. At Risk if no order within ~"&amp;BA245&amp;" month(s); AM reviews at day "&amp;Assumptions!$B$82&amp;" and "&amp;Assumptions!$B$85&amp;"."),"")</f>
        <v/>
      </c>
      <c r="BC245" s="2"/>
      <c r="BD245" s="2"/>
      <c r="BE245" s="2"/>
      <c r="BF245" s="2"/>
      <c r="BG245" s="2"/>
      <c r="BH245" s="2"/>
      <c r="BI245" s="2"/>
      <c r="BJ245" s="2" t="str">
        <f aca="false">IF(OR(NOT(LEFT(D245,1)="1"),BC245=""),"",IF(AZ245="Regular",AND(BC245&gt;=Assumptions!$B$82,N(BI245)&lt;Assumptions!$B$81*H245/180*BC245),AND(BC245&gt;=BA245*30,N(BG245)=0)))</f>
        <v/>
      </c>
      <c r="BK245" s="2" t="str">
        <f aca="false">IF(NOT(LEFT(D245,1)="1"),"N/A",IF(BC245="","Baseline",IF(BJ245,"At Risk",IF(AND(N(BD245)&gt;=Assumptions!$B$78,N(BE245)&gt;=Assumptions!$B$79,N(BH245)&gt;=1,N(BH245)/MAX(N(BG245),1)&gt;AY245),"Self-Serve Capability Demonstrated",IF(OR(N(BD245)&gt;=Assumptions!$B$76,N(BE245)&gt;=Assumptions!$B$77),"Progressing",IF(BC245&gt;=Assumptions!$B$85,"At Risk","Baseline"))))))</f>
        <v>N/A</v>
      </c>
      <c r="BL245" s="2" t="n">
        <f aca="false">(AND(C245="Broker-Reliant",OR(AK245="Discovery-to-Offer Enablement",AK245="Reinforce Successful Behaviour")))*1+(AND(G245="Declining",E245&lt;&gt;"Tail",AL245="Automated"))*1+(AND(Y245,AM245&lt;&gt;"Human Sign-Off Required"))*1+(AND(AA245,AM245&lt;&gt;"HOLD — Critical Data Issue"))*1+(AND(P245="Recent Inactivity",OR(AK245="Discovery-to-Offer Enablement",AK245="Reinforce Successful Behaviour")))*1+(AND(OR(LEFT(D245,1)="2",LEFT(D245,1)="3",LEFT(D245,1)="8"),AL245="Automated"))*1+((LEFT(D245,1)="1")&lt;&gt;(AK245="Guided Self-Serve Migration"))*1+(AND(AR245&lt;&gt;"",OR(F245&lt;&gt;"Low",U245="Mixed",AND(G245&lt;&gt;"Growing",G245&lt;&gt;"Stable"))))*1+ISNUMBER(SEARCH("chat",AP245))*1+ISNUMBER(SEARCH("video",AP245))*1+(AND(AA245,AL245="Automated",AM245&lt;&gt;"HOLD — Critical Data Issue"))*1</f>
        <v>0</v>
      </c>
    </row>
    <row r="246" customFormat="false" ht="15" hidden="false" customHeight="false" outlineLevel="0" collapsed="false">
      <c r="A246" s="2" t="s">
        <v>776</v>
      </c>
      <c r="B246" s="2" t="str">
        <f aca="false">INDEX(Segmentation!$B$2:$B$301,MATCH($A246,Segmentation!$A$2:$A$301,0))</f>
        <v>Self Serve</v>
      </c>
      <c r="C246" s="2" t="str">
        <f aca="false">INDEX(Segmentation!$H$2:$H$301,MATCH($A246,Segmentation!$A$2:$A$301,0))</f>
        <v>Self-Serve</v>
      </c>
      <c r="D246" s="2" t="str">
        <f aca="false">INDEX(Segmentation!$T$2:$T$301,MATCH($A246,Segmentation!$A$2:$A$301,0))</f>
        <v>9. Long-Tail Automated Nurture</v>
      </c>
      <c r="E246" s="2" t="str">
        <f aca="false">INDEX(Segmentation!$J$2:$J$301,MATCH($A246,Segmentation!$A$2:$A$301,0))</f>
        <v>Tail</v>
      </c>
      <c r="F246" s="2" t="str">
        <f aca="false">INDEX(Segmentation!$G$2:$G$301,MATCH($A246,Segmentation!$A$2:$A$301,0))</f>
        <v>Low</v>
      </c>
      <c r="G246" s="2" t="str">
        <f aca="false">INDEX(Segmentation!$N$2:$N$301,MATCH($A246,Segmentation!$A$2:$A$301,0))</f>
        <v>Lapsed</v>
      </c>
      <c r="H246" s="9" t="n">
        <f aca="false">INDEX(Segmentation!$I$2:$I$301,MATCH($A246,Segmentation!$A$2:$A$301,0))</f>
        <v>312</v>
      </c>
      <c r="I246" s="2" t="n">
        <f aca="false">INDEX(Segmentation!$O$2:$O$301,MATCH($A246,Segmentation!$A$2:$A$301,0))</f>
        <v>2</v>
      </c>
      <c r="J246" s="2" t="n">
        <f aca="false">INDEX(Segmentation!$Q$2:$Q$301,MATCH($A246,Segmentation!$A$2:$A$301,0))</f>
        <v>2</v>
      </c>
      <c r="K246" s="2" t="n">
        <f aca="false">INDEX(Segmentation!$W$2:$W$301,MATCH($A246,Segmentation!$A$2:$A$301,0))</f>
        <v>1</v>
      </c>
      <c r="L246" s="9" t="n">
        <f aca="false">INDEX('Commercial View'!$L$2:$L$301,MATCH($A246,'Commercial View'!$A$2:$A$301,0))</f>
        <v>0</v>
      </c>
      <c r="M246" s="9" t="n">
        <f aca="false">INDEX('Commercial View'!$M$2:$M$301,MATCH($A246,'Commercial View'!$A$2:$A$301,0))</f>
        <v>0</v>
      </c>
      <c r="N246" s="9" t="n">
        <f aca="false">INDEX('Commercial View'!$N$2:$N$301,MATCH($A246,'Commercial View'!$A$2:$A$301,0))</f>
        <v>0</v>
      </c>
      <c r="O246" s="9" t="n">
        <f aca="false">INDEX(Segmentation!$L$2:$L$301,MATCH($A246,Segmentation!$A$2:$A$301,0))</f>
        <v>0</v>
      </c>
      <c r="P246" s="2" t="str">
        <f aca="false">IF(OR(M246&gt;0,N246&gt;0),"Recently Active",IF(OR(I246&lt;=Assumptions!$B$48,K246&lt;=Assumptions!$B$49),"No Meaningful History","Recent Inactivity"))</f>
        <v>No Meaningful History</v>
      </c>
      <c r="Q246" s="2" t="str">
        <f aca="false">INDEX(Segmentation!$AF$2:$AF$301,MATCH($A246,Segmentation!$A$2:$A$301,0))</f>
        <v>Existing Customer</v>
      </c>
      <c r="R246" s="2" t="str">
        <f aca="false">INDEX(Segmentation!$AL$2:$AL$301,MATCH($A246,Segmentation!$A$2:$A$301,0))</f>
        <v>One-Off / Insufficient History — Verify</v>
      </c>
      <c r="S246" s="10" t="b">
        <f aca="false">INDEX(Segmentation!$AW$2:$AW$301,MATCH($A246,Segmentation!$A$2:$A$301,0))</f>
        <v>0</v>
      </c>
      <c r="T246" s="2" t="str">
        <f aca="false">INDEX('Feature Data'!$AD$2:$AD$301,MATCH($A246,'Feature Data'!$A$2:$A$301,0))</f>
        <v>Engaged, not converting</v>
      </c>
      <c r="U246" s="2" t="str">
        <f aca="false">INDEX('Feature Data'!$W$2:$W$301,MATCH($A246,'Feature Data'!$A$2:$A$301,0))</f>
        <v>Bundle-only</v>
      </c>
      <c r="V246" s="2" t="n">
        <f aca="false">INDEX('Feature Data'!$P$2:$P$301,MATCH($A246,'Feature Data'!$A$2:$A$301,0))</f>
        <v>211</v>
      </c>
      <c r="W246" s="2" t="n">
        <f aca="false">INDEX(Segmentation!$R$2:$R$301,MATCH($A246,Segmentation!$A$2:$A$301,0))</f>
        <v>22</v>
      </c>
      <c r="X246" s="2" t="n">
        <f aca="false">INDEX(Segmentation!$S$2:$S$301,MATCH($A246,Segmentation!$A$2:$A$301,0))</f>
        <v>4</v>
      </c>
      <c r="Y246" s="10" t="b">
        <f aca="false">INDEX(Segmentation!$AG$2:$AG$301,MATCH($A246,Segmentation!$A$2:$A$301,0))</f>
        <v>0</v>
      </c>
      <c r="Z246" s="2" t="str">
        <f aca="false">INDEX(Segmentation!$AU$2:$AU$301,MATCH($A246,Segmentation!$A$2:$A$301,0))</f>
        <v>Not Eligible</v>
      </c>
      <c r="AA246" s="10" t="b">
        <f aca="false">INDEX(Segmentation!$Z$2:$Z$301,MATCH($A246,Segmentation!$A$2:$A$301,0))</f>
        <v>0</v>
      </c>
      <c r="AB246" s="10" t="b">
        <f aca="false">INDEX(Segmentation!$AH$2:$AH$301,MATCH($A246,Segmentation!$A$2:$A$301,0))</f>
        <v>0</v>
      </c>
      <c r="AC246" s="10" t="b">
        <f aca="false">INDEX(Segmentation!$AK$2:$AK$301,MATCH($A246,Segmentation!$A$2:$A$301,0))</f>
        <v>0</v>
      </c>
      <c r="AD246" s="10" t="b">
        <f aca="false">INDEX(Segmentation!$AQ$2:$AQ$301,MATCH($A246,Segmentation!$A$2:$A$301,0))</f>
        <v>0</v>
      </c>
      <c r="AE246" s="10" t="b">
        <f aca="false">INDEX(Segmentation!$AT$2:$AT$301,MATCH($A246,Segmentation!$A$2:$A$301,0))</f>
        <v>0</v>
      </c>
      <c r="AF246" s="10" t="b">
        <f aca="false">INDEX(Segmentation!$X$2:$X$301,MATCH($A246,Segmentation!$A$2:$A$301,0))</f>
        <v>1</v>
      </c>
      <c r="AG246" s="10" t="b">
        <f aca="false">AND(F246="Low",V246&gt;=Assumptions!$B$71,X246&lt;Assumptions!$B$72)</f>
        <v>0</v>
      </c>
      <c r="AH246" s="10" t="b">
        <f aca="false">AND(F246="Low",OR(G246="Growing",G246="Stable"),P246="Recently Active",V246&gt;=Assumptions!$B$58,K246&gt;=Assumptions!$B$73)</f>
        <v>0</v>
      </c>
      <c r="AI246" s="17" t="str">
        <f aca="false">IF(O246&gt;0,MAX(L246:N246)/O246,"")</f>
        <v/>
      </c>
      <c r="AJ246" s="2" t="str">
        <f aca="false">IF(LEFT(D246,1)="1",IF(E246="Key","MIGRATION_KEY_SIGNOFF",IF(Z246="Ready","MIGRATION_PHASE1_READY",IF(Z246="Manual Review","MIGRATION_PHASE1_REVIEW","MIGRATION_PRE_ENTRY"))),IF(LEFT(D246,1)="2","DECLINING_KEY_CORE",IF(LEFT(D246,1)="3",IF(R246="Established Buyer Lapsed","LAPSED_ESTABLISHED","LAPSED_THIN_HISTORY"),IF(LEFT(D246,1)="4",IF(Q246="New Customer","NEW_CUSTOMER","RETURNED_CUSTOMER"),IF(LEFT(D246,1)="5",IF(P246="Recently Active","COST_TO_SERVE_ACTIVE","DORMANT_LOW_VALUE"),IF(LEFT(D246,1)="6",IF(P246="Recent Inactivity","RECENT_INACTIVITY",IF(AG246,"BROWSING_LOW_OFFERS","HEALTHY_STRONG_SELF_SERVE")),IF(LEFT(D246,1)="7",IF(P246="Recent Inactivity","RECENT_INACTIVITY",IF(Q246="New Customer","NEW_CUSTOMER","RETURNED_CUSTOMER")),IF(LEFT(D246,1)="8",IF(G246="Declining",IF(T246="Engaged but shrinking (Key/Core)","ENGAGED_BUT_SHRINKING","DECLINING_KEY_CORE"),IF(R246="Established Buyer Lapsed","LAPSED_ESTABLISHED","LAPSED_THIN_HISTORY")),IF(S246,IF(P246&lt;&gt;"Recently Active","DORMANT_LOW_VALUE",IF(AG246,"BROWSING_LOW_OFFERS",IF(AH246,"RISING_TAIL","RISING_TAIL_EARLY"))),IF(AND(AG246,P246="Recently Active",OR(G246="Growing",G246="Stable",G246="H2 Active / No H1 GMV"),I246&gt;=Assumptions!$B$74),"BROWSING_LOW_OFFERS","LONG_TAIL_STANDARD"))))))))))</f>
        <v>LONG_TAIL_STANDARD</v>
      </c>
      <c r="AK246" s="2" t="str">
        <f aca="false">INDEX('NBA Library'!$B$4:$B$21,MATCH(AJ246,'NBA Library'!$A$4:$A$21,0))</f>
        <v>Automated Nurture</v>
      </c>
      <c r="AL246" s="2" t="str">
        <f aca="false">INDEX('NBA Library'!$C$4:$C$21,MATCH(AJ246,'NBA Library'!$A$4:$A$21,0))</f>
        <v>Automated</v>
      </c>
      <c r="AM246" s="2" t="str">
        <f aca="false">IF(AA246,"HOLD — Critical Data Issue",IF(Y246,"Human Sign-Off Required",IF(Z246="Manual Review","Human Review Required",IF(AND(AL246="Automated",OR(AE246,AND(OR(AK246="Discovery-to-Offer Enablement",AK246="Reinforce Successful Behaviour"),OR(AC246,AB246)))),"Human Review Required",IF(AL246="Human","Ready — Human",IF(AL246="Hybrid","Ready — Hybrid","Ready — Automated"))))))</f>
        <v>Ready — Automated</v>
      </c>
      <c r="AN246" s="2" t="str">
        <f aca="false">IF(AA246,"P0",IF(AND(AJ246="BROWSING_LOW_OFFERS",E246="Tail"),"P3",IF(AND(AM246="Human Review Required",INDEX('NBA Library'!$D$4:$D$21,MATCH(AJ246,'NBA Library'!$A$4:$A$21,0))="P4"),"P3",INDEX('NBA Library'!$D$4:$D$21,MATCH(AJ246,'NBA Library'!$A$4:$A$21,0)))))</f>
        <v>P4</v>
      </c>
      <c r="AO246" s="2" t="str">
        <f aca="false">E246&amp;" "&amp;C246&amp;" account ("&amp;B246&amp;"); "&amp;G246&amp;" momentum; "&amp;P246&amp;"; £"&amp;TEXT(H246,"#,##0")&amp;" 6m GMV. "&amp;INDEX('NBA Library'!$G$4:$G$21,MATCH(AJ246,'NBA Library'!$A$4:$A$21,0))&amp;IF(LEFT(D246,1)="1"," Baseline: "&amp;V246&amp;" PDP views, "&amp;W246&amp;" app days, "&amp;X246&amp;" offers, "&amp;TEXT(J246/I246,"0%")&amp;" of orders self-serve.","")&amp;IF(AA246," Execution on HOLD until the Duplicate status is resolved.","")&amp;IF(Y246," Key account: explicit AM/leadership sign-off required before any migration activity.","")&amp;IF(AE246," Implied broker % from order counts would move this account to a different segment; review before automating.","")</f>
        <v>Tail Self-Serve account (Self Serve); Lapsed momentum; No Meaningful History; £312 6m GMV. Low-value, low-dependency account. Scalable automated engagement.</v>
      </c>
      <c r="AP246" s="2" t="str">
        <f aca="false">INDEX('NBA Library'!$E$4:$E$21,MATCH(AJ246,'NBA Library'!$A$4:$A$21,0))&amp;IF(AND(AJ246="NEW_CUSTOMER",AG246),"; introduce Make-an-Offer on items already browsed","")</f>
        <v>Scalable automated engagement matched to nurture sub-context</v>
      </c>
      <c r="AQ246" s="2" t="str">
        <f aca="false">INDEX('NBA Library'!$F$4:$F$21,MATCH(AJ246,'NBA Library'!$A$4:$A$21,0))</f>
        <v>Any repeat order within 90 days</v>
      </c>
      <c r="AR246" s="2" t="str">
        <f aca="false">IF(AND(F246="Low",OR(G246="Growing",G246="Stable"),P246="Recently Active",U246&lt;&gt;"Mixed",OR(AK246="Discovery-to-Offer Enablement",AK246="Reinforce Successful Behaviour"),AM246="Ready — Automated",OR(E246&lt;&gt;"Tail",S246)),"Range Expansion Test — trial "&amp;IF(U246="Bundle-only","handpick","bundles")&amp;" (experimental; not proven to lift GMV)","")</f>
        <v/>
      </c>
      <c r="AS246" s="2" t="str">
        <f aca="false">IF(AK246&lt;&gt;"Automated Nurture","",IF(AJ246="DORMANT_LOW_VALUE","Dormant",IF(AJ246="RISING_TAIL_EARLY","Rising tail – early pattern",IF(Q246="New Customer","New customer onboarding",IF(Q246="Returned Customer","Returned customer",IF(G246="Lapsed","Dormant",IF(T246="Engaged, not converting","Engaged, not converting",IF(T246="One-off low-touch buyer","One-off purchaser",IF(T246="Light-touch repeat buyer","Light-touch repeat buyer","Standard long tail")))))))))</f>
        <v>Dormant</v>
      </c>
      <c r="AT246" s="2" t="str">
        <f aca="false">IF(AA246,"CRITICAL_DATA_BLOCKER; ","")&amp;IF(Y246,"KEY_SIGNOFF; ","")&amp;IF(Z246="Manual Review","PHASE1_MANUAL_REVIEW; ","")&amp;IF(AND(LEFT(D246,1)="1",AZ246="Lumpy"),"LUMPY_CADENCE; ","")&amp;IF(AB246,"BORDERLINE_MOMENTUM; ","")&amp;IF(AC246,"FEB_SENSITIVE; ","")&amp;IF(AD246,"MATERIAL_BROKER_INCONSISTENCY"&amp;IF(AE246," (segment would change)","")&amp;"; ","")&amp;IF(AND(I246&gt;=3,O246&gt;0),IF(AI246&gt;=Assumptions!$B$75,"H2_SINGLE_MONTH_SPIKE; ",""),"")&amp;IF(AND(M246&gt;0,N246=0),"NO_FEB_GMV (Feb unconfirmed); ","")&amp;IF(AF246,"LOW_CONFIDENCE; ","")</f>
        <v>LOW_CONFIDENCE; </v>
      </c>
      <c r="AU246" s="2" t="str">
        <f aca="false">IF(LEFT(D246,1)="1",V246,"")</f>
        <v/>
      </c>
      <c r="AV246" s="2" t="str">
        <f aca="false">IF(LEFT(D246,1)="1",V246&gt;=Assumptions!$B$58,"")</f>
        <v/>
      </c>
      <c r="AW246" s="2" t="str">
        <f aca="false">IF(LEFT(D246,1)="1",W246,"")</f>
        <v/>
      </c>
      <c r="AX246" s="2" t="str">
        <f aca="false">IF(LEFT(D246,1)="1",X246,"")</f>
        <v/>
      </c>
      <c r="AY246" s="17" t="str">
        <f aca="false">IF(LEFT(D246,1)="1",J246/I246,"")</f>
        <v/>
      </c>
      <c r="AZ246" s="2" t="str">
        <f aca="false">IF(LEFT(D246,1)="1",IF(AND(K246&gt;=Assumptions!$B$83,I246&gt;=Assumptions!$B$84),"Regular","Lumpy"),"")</f>
        <v/>
      </c>
      <c r="BA246" s="2" t="str">
        <f aca="false">IF(LEFT(D246,1)="1",ROUND(6/K246,0),"")</f>
        <v/>
      </c>
      <c r="BB246" s="2" t="str">
        <f aca="false">IF(LEFT(D246,1)="1",IF(AZ246="Regular","Regular buyer: expected ~£"&amp;TEXT(H246/2,"#,##0")&amp;" per 90 days. At Risk if GMV to date &lt; "&amp;TEXT(Assumptions!$B$81,"0%")&amp;" of pro-rated expectation, checked from day "&amp;Assumptions!$B$82&amp;". Human-reviewed.","Irregular buyer ("&amp;I246&amp;" orders across "&amp;K246&amp;" months): no numeric GMV threshold. At Risk if no order within ~"&amp;BA246&amp;" month(s); AM reviews at day "&amp;Assumptions!$B$82&amp;" and "&amp;Assumptions!$B$85&amp;"."),"")</f>
        <v/>
      </c>
      <c r="BC246" s="2"/>
      <c r="BD246" s="2"/>
      <c r="BE246" s="2"/>
      <c r="BF246" s="2"/>
      <c r="BG246" s="2"/>
      <c r="BH246" s="2"/>
      <c r="BI246" s="2"/>
      <c r="BJ246" s="2" t="str">
        <f aca="false">IF(OR(NOT(LEFT(D246,1)="1"),BC246=""),"",IF(AZ246="Regular",AND(BC246&gt;=Assumptions!$B$82,N(BI246)&lt;Assumptions!$B$81*H246/180*BC246),AND(BC246&gt;=BA246*30,N(BG246)=0)))</f>
        <v/>
      </c>
      <c r="BK246" s="2" t="str">
        <f aca="false">IF(NOT(LEFT(D246,1)="1"),"N/A",IF(BC246="","Baseline",IF(BJ246,"At Risk",IF(AND(N(BD246)&gt;=Assumptions!$B$78,N(BE246)&gt;=Assumptions!$B$79,N(BH246)&gt;=1,N(BH246)/MAX(N(BG246),1)&gt;AY246),"Self-Serve Capability Demonstrated",IF(OR(N(BD246)&gt;=Assumptions!$B$76,N(BE246)&gt;=Assumptions!$B$77),"Progressing",IF(BC246&gt;=Assumptions!$B$85,"At Risk","Baseline"))))))</f>
        <v>N/A</v>
      </c>
      <c r="BL246" s="2" t="n">
        <f aca="false">(AND(C246="Broker-Reliant",OR(AK246="Discovery-to-Offer Enablement",AK246="Reinforce Successful Behaviour")))*1+(AND(G246="Declining",E246&lt;&gt;"Tail",AL246="Automated"))*1+(AND(Y246,AM246&lt;&gt;"Human Sign-Off Required"))*1+(AND(AA246,AM246&lt;&gt;"HOLD — Critical Data Issue"))*1+(AND(P246="Recent Inactivity",OR(AK246="Discovery-to-Offer Enablement",AK246="Reinforce Successful Behaviour")))*1+(AND(OR(LEFT(D246,1)="2",LEFT(D246,1)="3",LEFT(D246,1)="8"),AL246="Automated"))*1+((LEFT(D246,1)="1")&lt;&gt;(AK246="Guided Self-Serve Migration"))*1+(AND(AR246&lt;&gt;"",OR(F246&lt;&gt;"Low",U246="Mixed",AND(G246&lt;&gt;"Growing",G246&lt;&gt;"Stable"))))*1+ISNUMBER(SEARCH("chat",AP246))*1+ISNUMBER(SEARCH("video",AP246))*1+(AND(AA246,AL246="Automated",AM246&lt;&gt;"HOLD — Critical Data Issue"))*1</f>
        <v>0</v>
      </c>
    </row>
    <row r="247" customFormat="false" ht="15" hidden="false" customHeight="false" outlineLevel="0" collapsed="false">
      <c r="A247" s="2" t="s">
        <v>780</v>
      </c>
      <c r="B247" s="2" t="str">
        <f aca="false">INDEX(Segmentation!$B$2:$B$301,MATCH($A247,Segmentation!$A$2:$A$301,0))</f>
        <v>Self Serve</v>
      </c>
      <c r="C247" s="2" t="str">
        <f aca="false">INDEX(Segmentation!$H$2:$H$301,MATCH($A247,Segmentation!$A$2:$A$301,0))</f>
        <v>Self-Serve</v>
      </c>
      <c r="D247" s="2" t="str">
        <f aca="false">INDEX(Segmentation!$T$2:$T$301,MATCH($A247,Segmentation!$A$2:$A$301,0))</f>
        <v>9. Long-Tail Automated Nurture</v>
      </c>
      <c r="E247" s="2" t="str">
        <f aca="false">INDEX(Segmentation!$J$2:$J$301,MATCH($A247,Segmentation!$A$2:$A$301,0))</f>
        <v>Tail</v>
      </c>
      <c r="F247" s="2" t="str">
        <f aca="false">INDEX(Segmentation!$G$2:$G$301,MATCH($A247,Segmentation!$A$2:$A$301,0))</f>
        <v>Low</v>
      </c>
      <c r="G247" s="2" t="str">
        <f aca="false">INDEX(Segmentation!$N$2:$N$301,MATCH($A247,Segmentation!$A$2:$A$301,0))</f>
        <v>H2 Active / No H1 GMV</v>
      </c>
      <c r="H247" s="9" t="n">
        <f aca="false">INDEX(Segmentation!$I$2:$I$301,MATCH($A247,Segmentation!$A$2:$A$301,0))</f>
        <v>308</v>
      </c>
      <c r="I247" s="2" t="n">
        <f aca="false">INDEX(Segmentation!$O$2:$O$301,MATCH($A247,Segmentation!$A$2:$A$301,0))</f>
        <v>1</v>
      </c>
      <c r="J247" s="2" t="n">
        <f aca="false">INDEX(Segmentation!$Q$2:$Q$301,MATCH($A247,Segmentation!$A$2:$A$301,0))</f>
        <v>1</v>
      </c>
      <c r="K247" s="2" t="n">
        <f aca="false">INDEX(Segmentation!$W$2:$W$301,MATCH($A247,Segmentation!$A$2:$A$301,0))</f>
        <v>1</v>
      </c>
      <c r="L247" s="9" t="n">
        <f aca="false">INDEX('Commercial View'!$L$2:$L$301,MATCH($A247,'Commercial View'!$A$2:$A$301,0))</f>
        <v>0</v>
      </c>
      <c r="M247" s="9" t="n">
        <f aca="false">INDEX('Commercial View'!$M$2:$M$301,MATCH($A247,'Commercial View'!$A$2:$A$301,0))</f>
        <v>0</v>
      </c>
      <c r="N247" s="9" t="n">
        <f aca="false">INDEX('Commercial View'!$N$2:$N$301,MATCH($A247,'Commercial View'!$A$2:$A$301,0))</f>
        <v>308</v>
      </c>
      <c r="O247" s="9" t="n">
        <f aca="false">INDEX(Segmentation!$L$2:$L$301,MATCH($A247,Segmentation!$A$2:$A$301,0))</f>
        <v>308</v>
      </c>
      <c r="P247" s="2" t="str">
        <f aca="false">IF(OR(M247&gt;0,N247&gt;0),"Recently Active",IF(OR(I247&lt;=Assumptions!$B$48,K247&lt;=Assumptions!$B$49),"No Meaningful History","Recent Inactivity"))</f>
        <v>Recently Active</v>
      </c>
      <c r="Q247" s="2" t="str">
        <f aca="false">INDEX(Segmentation!$AF$2:$AF$301,MATCH($A247,Segmentation!$A$2:$A$301,0))</f>
        <v>New Customer</v>
      </c>
      <c r="R247" s="2" t="str">
        <f aca="false">INDEX(Segmentation!$AL$2:$AL$301,MATCH($A247,Segmentation!$A$2:$A$301,0))</f>
        <v>N/A</v>
      </c>
      <c r="S247" s="10" t="b">
        <f aca="false">INDEX(Segmentation!$AW$2:$AW$301,MATCH($A247,Segmentation!$A$2:$A$301,0))</f>
        <v>0</v>
      </c>
      <c r="T247" s="2" t="str">
        <f aca="false">INDEX('Feature Data'!$AD$2:$AD$301,MATCH($A247,'Feature Data'!$A$2:$A$301,0))</f>
        <v>One-off low-touch buyer</v>
      </c>
      <c r="U247" s="2" t="str">
        <f aca="false">INDEX('Feature Data'!$W$2:$W$301,MATCH($A247,'Feature Data'!$A$2:$A$301,0))</f>
        <v>Bundle-only</v>
      </c>
      <c r="V247" s="2" t="n">
        <f aca="false">INDEX('Feature Data'!$P$2:$P$301,MATCH($A247,'Feature Data'!$A$2:$A$301,0))</f>
        <v>0</v>
      </c>
      <c r="W247" s="2" t="n">
        <f aca="false">INDEX(Segmentation!$R$2:$R$301,MATCH($A247,Segmentation!$A$2:$A$301,0))</f>
        <v>1</v>
      </c>
      <c r="X247" s="2" t="n">
        <f aca="false">INDEX(Segmentation!$S$2:$S$301,MATCH($A247,Segmentation!$A$2:$A$301,0))</f>
        <v>4</v>
      </c>
      <c r="Y247" s="10" t="b">
        <f aca="false">INDEX(Segmentation!$AG$2:$AG$301,MATCH($A247,Segmentation!$A$2:$A$301,0))</f>
        <v>0</v>
      </c>
      <c r="Z247" s="2" t="str">
        <f aca="false">INDEX(Segmentation!$AU$2:$AU$301,MATCH($A247,Segmentation!$A$2:$A$301,0))</f>
        <v>Not Eligible</v>
      </c>
      <c r="AA247" s="10" t="b">
        <f aca="false">INDEX(Segmentation!$Z$2:$Z$301,MATCH($A247,Segmentation!$A$2:$A$301,0))</f>
        <v>0</v>
      </c>
      <c r="AB247" s="10" t="b">
        <f aca="false">INDEX(Segmentation!$AH$2:$AH$301,MATCH($A247,Segmentation!$A$2:$A$301,0))</f>
        <v>0</v>
      </c>
      <c r="AC247" s="10" t="b">
        <f aca="false">INDEX(Segmentation!$AK$2:$AK$301,MATCH($A247,Segmentation!$A$2:$A$301,0))</f>
        <v>1</v>
      </c>
      <c r="AD247" s="10" t="b">
        <f aca="false">INDEX(Segmentation!$AQ$2:$AQ$301,MATCH($A247,Segmentation!$A$2:$A$301,0))</f>
        <v>0</v>
      </c>
      <c r="AE247" s="10" t="b">
        <f aca="false">INDEX(Segmentation!$AT$2:$AT$301,MATCH($A247,Segmentation!$A$2:$A$301,0))</f>
        <v>0</v>
      </c>
      <c r="AF247" s="10" t="b">
        <f aca="false">INDEX(Segmentation!$X$2:$X$301,MATCH($A247,Segmentation!$A$2:$A$301,0))</f>
        <v>1</v>
      </c>
      <c r="AG247" s="10" t="b">
        <f aca="false">AND(F247="Low",V247&gt;=Assumptions!$B$71,X247&lt;Assumptions!$B$72)</f>
        <v>0</v>
      </c>
      <c r="AH247" s="10" t="b">
        <f aca="false">AND(F247="Low",OR(G247="Growing",G247="Stable"),P247="Recently Active",V247&gt;=Assumptions!$B$58,K247&gt;=Assumptions!$B$73)</f>
        <v>0</v>
      </c>
      <c r="AI247" s="17" t="n">
        <f aca="false">IF(O247&gt;0,MAX(L247:N247)/O247,"")</f>
        <v>1</v>
      </c>
      <c r="AJ247" s="2" t="str">
        <f aca="false">IF(LEFT(D247,1)="1",IF(E247="Key","MIGRATION_KEY_SIGNOFF",IF(Z247="Ready","MIGRATION_PHASE1_READY",IF(Z247="Manual Review","MIGRATION_PHASE1_REVIEW","MIGRATION_PRE_ENTRY"))),IF(LEFT(D247,1)="2","DECLINING_KEY_CORE",IF(LEFT(D247,1)="3",IF(R247="Established Buyer Lapsed","LAPSED_ESTABLISHED","LAPSED_THIN_HISTORY"),IF(LEFT(D247,1)="4",IF(Q247="New Customer","NEW_CUSTOMER","RETURNED_CUSTOMER"),IF(LEFT(D247,1)="5",IF(P247="Recently Active","COST_TO_SERVE_ACTIVE","DORMANT_LOW_VALUE"),IF(LEFT(D247,1)="6",IF(P247="Recent Inactivity","RECENT_INACTIVITY",IF(AG247,"BROWSING_LOW_OFFERS","HEALTHY_STRONG_SELF_SERVE")),IF(LEFT(D247,1)="7",IF(P247="Recent Inactivity","RECENT_INACTIVITY",IF(Q247="New Customer","NEW_CUSTOMER","RETURNED_CUSTOMER")),IF(LEFT(D247,1)="8",IF(G247="Declining",IF(T247="Engaged but shrinking (Key/Core)","ENGAGED_BUT_SHRINKING","DECLINING_KEY_CORE"),IF(R247="Established Buyer Lapsed","LAPSED_ESTABLISHED","LAPSED_THIN_HISTORY")),IF(S247,IF(P247&lt;&gt;"Recently Active","DORMANT_LOW_VALUE",IF(AG247,"BROWSING_LOW_OFFERS",IF(AH247,"RISING_TAIL","RISING_TAIL_EARLY"))),IF(AND(AG247,P247="Recently Active",OR(G247="Growing",G247="Stable",G247="H2 Active / No H1 GMV"),I247&gt;=Assumptions!$B$74),"BROWSING_LOW_OFFERS","LONG_TAIL_STANDARD"))))))))))</f>
        <v>LONG_TAIL_STANDARD</v>
      </c>
      <c r="AK247" s="2" t="str">
        <f aca="false">INDEX('NBA Library'!$B$4:$B$21,MATCH(AJ247,'NBA Library'!$A$4:$A$21,0))</f>
        <v>Automated Nurture</v>
      </c>
      <c r="AL247" s="2" t="str">
        <f aca="false">INDEX('NBA Library'!$C$4:$C$21,MATCH(AJ247,'NBA Library'!$A$4:$A$21,0))</f>
        <v>Automated</v>
      </c>
      <c r="AM247" s="2" t="str">
        <f aca="false">IF(AA247,"HOLD — Critical Data Issue",IF(Y247,"Human Sign-Off Required",IF(Z247="Manual Review","Human Review Required",IF(AND(AL247="Automated",OR(AE247,AND(OR(AK247="Discovery-to-Offer Enablement",AK247="Reinforce Successful Behaviour"),OR(AC247,AB247)))),"Human Review Required",IF(AL247="Human","Ready — Human",IF(AL247="Hybrid","Ready — Hybrid","Ready — Automated"))))))</f>
        <v>Ready — Automated</v>
      </c>
      <c r="AN247" s="2" t="str">
        <f aca="false">IF(AA247,"P0",IF(AND(AJ247="BROWSING_LOW_OFFERS",E247="Tail"),"P3",IF(AND(AM247="Human Review Required",INDEX('NBA Library'!$D$4:$D$21,MATCH(AJ247,'NBA Library'!$A$4:$A$21,0))="P4"),"P3",INDEX('NBA Library'!$D$4:$D$21,MATCH(AJ247,'NBA Library'!$A$4:$A$21,0)))))</f>
        <v>P4</v>
      </c>
      <c r="AO247" s="2" t="str">
        <f aca="false">E247&amp;" "&amp;C247&amp;" account ("&amp;B247&amp;"); "&amp;G247&amp;" momentum; "&amp;P247&amp;"; £"&amp;TEXT(H247,"#,##0")&amp;" 6m GMV. "&amp;INDEX('NBA Library'!$G$4:$G$21,MATCH(AJ247,'NBA Library'!$A$4:$A$21,0))&amp;IF(LEFT(D247,1)="1"," Baseline: "&amp;V247&amp;" PDP views, "&amp;W247&amp;" app days, "&amp;X247&amp;" offers, "&amp;TEXT(J247/I247,"0%")&amp;" of orders self-serve.","")&amp;IF(AA247," Execution on HOLD until the Duplicate status is resolved.","")&amp;IF(Y247," Key account: explicit AM/leadership sign-off required before any migration activity.","")&amp;IF(AE247," Implied broker % from order counts would move this account to a different segment; review before automating.","")</f>
        <v>Tail Self-Serve account (Self Serve); H2 Active / No H1 GMV momentum; Recently Active; £308 6m GMV. Low-value, low-dependency account. Scalable automated engagement.</v>
      </c>
      <c r="AP247" s="2" t="str">
        <f aca="false">INDEX('NBA Library'!$E$4:$E$21,MATCH(AJ247,'NBA Library'!$A$4:$A$21,0))&amp;IF(AND(AJ247="NEW_CUSTOMER",AG247),"; introduce Make-an-Offer on items already browsed","")</f>
        <v>Scalable automated engagement matched to nurture sub-context</v>
      </c>
      <c r="AQ247" s="2" t="str">
        <f aca="false">INDEX('NBA Library'!$F$4:$F$21,MATCH(AJ247,'NBA Library'!$A$4:$A$21,0))</f>
        <v>Any repeat order within 90 days</v>
      </c>
      <c r="AR247" s="2" t="str">
        <f aca="false">IF(AND(F247="Low",OR(G247="Growing",G247="Stable"),P247="Recently Active",U247&lt;&gt;"Mixed",OR(AK247="Discovery-to-Offer Enablement",AK247="Reinforce Successful Behaviour"),AM247="Ready — Automated",OR(E247&lt;&gt;"Tail",S247)),"Range Expansion Test — trial "&amp;IF(U247="Bundle-only","handpick","bundles")&amp;" (experimental; not proven to lift GMV)","")</f>
        <v/>
      </c>
      <c r="AS247" s="2" t="str">
        <f aca="false">IF(AK247&lt;&gt;"Automated Nurture","",IF(AJ247="DORMANT_LOW_VALUE","Dormant",IF(AJ247="RISING_TAIL_EARLY","Rising tail – early pattern",IF(Q247="New Customer","New customer onboarding",IF(Q247="Returned Customer","Returned customer",IF(G247="Lapsed","Dormant",IF(T247="Engaged, not converting","Engaged, not converting",IF(T247="One-off low-touch buyer","One-off purchaser",IF(T247="Light-touch repeat buyer","Light-touch repeat buyer","Standard long tail")))))))))</f>
        <v>New customer onboarding</v>
      </c>
      <c r="AT247" s="2" t="str">
        <f aca="false">IF(AA247,"CRITICAL_DATA_BLOCKER; ","")&amp;IF(Y247,"KEY_SIGNOFF; ","")&amp;IF(Z247="Manual Review","PHASE1_MANUAL_REVIEW; ","")&amp;IF(AND(LEFT(D247,1)="1",AZ247="Lumpy"),"LUMPY_CADENCE; ","")&amp;IF(AB247,"BORDERLINE_MOMENTUM; ","")&amp;IF(AC247,"FEB_SENSITIVE; ","")&amp;IF(AD247,"MATERIAL_BROKER_INCONSISTENCY"&amp;IF(AE247," (segment would change)","")&amp;"; ","")&amp;IF(AND(I247&gt;=3,O247&gt;0),IF(AI247&gt;=Assumptions!$B$75,"H2_SINGLE_MONTH_SPIKE; ",""),"")&amp;IF(AND(M247&gt;0,N247=0),"NO_FEB_GMV (Feb unconfirmed); ","")&amp;IF(AF247,"LOW_CONFIDENCE; ","")</f>
        <v>FEB_SENSITIVE; LOW_CONFIDENCE; </v>
      </c>
      <c r="AU247" s="2" t="str">
        <f aca="false">IF(LEFT(D247,1)="1",V247,"")</f>
        <v/>
      </c>
      <c r="AV247" s="2" t="str">
        <f aca="false">IF(LEFT(D247,1)="1",V247&gt;=Assumptions!$B$58,"")</f>
        <v/>
      </c>
      <c r="AW247" s="2" t="str">
        <f aca="false">IF(LEFT(D247,1)="1",W247,"")</f>
        <v/>
      </c>
      <c r="AX247" s="2" t="str">
        <f aca="false">IF(LEFT(D247,1)="1",X247,"")</f>
        <v/>
      </c>
      <c r="AY247" s="17" t="str">
        <f aca="false">IF(LEFT(D247,1)="1",J247/I247,"")</f>
        <v/>
      </c>
      <c r="AZ247" s="2" t="str">
        <f aca="false">IF(LEFT(D247,1)="1",IF(AND(K247&gt;=Assumptions!$B$83,I247&gt;=Assumptions!$B$84),"Regular","Lumpy"),"")</f>
        <v/>
      </c>
      <c r="BA247" s="2" t="str">
        <f aca="false">IF(LEFT(D247,1)="1",ROUND(6/K247,0),"")</f>
        <v/>
      </c>
      <c r="BB247" s="2" t="str">
        <f aca="false">IF(LEFT(D247,1)="1",IF(AZ247="Regular","Regular buyer: expected ~£"&amp;TEXT(H247/2,"#,##0")&amp;" per 90 days. At Risk if GMV to date &lt; "&amp;TEXT(Assumptions!$B$81,"0%")&amp;" of pro-rated expectation, checked from day "&amp;Assumptions!$B$82&amp;". Human-reviewed.","Irregular buyer ("&amp;I247&amp;" orders across "&amp;K247&amp;" months): no numeric GMV threshold. At Risk if no order within ~"&amp;BA247&amp;" month(s); AM reviews at day "&amp;Assumptions!$B$82&amp;" and "&amp;Assumptions!$B$85&amp;"."),"")</f>
        <v/>
      </c>
      <c r="BC247" s="2"/>
      <c r="BD247" s="2"/>
      <c r="BE247" s="2"/>
      <c r="BF247" s="2"/>
      <c r="BG247" s="2"/>
      <c r="BH247" s="2"/>
      <c r="BI247" s="2"/>
      <c r="BJ247" s="2" t="str">
        <f aca="false">IF(OR(NOT(LEFT(D247,1)="1"),BC247=""),"",IF(AZ247="Regular",AND(BC247&gt;=Assumptions!$B$82,N(BI247)&lt;Assumptions!$B$81*H247/180*BC247),AND(BC247&gt;=BA247*30,N(BG247)=0)))</f>
        <v/>
      </c>
      <c r="BK247" s="2" t="str">
        <f aca="false">IF(NOT(LEFT(D247,1)="1"),"N/A",IF(BC247="","Baseline",IF(BJ247,"At Risk",IF(AND(N(BD247)&gt;=Assumptions!$B$78,N(BE247)&gt;=Assumptions!$B$79,N(BH247)&gt;=1,N(BH247)/MAX(N(BG247),1)&gt;AY247),"Self-Serve Capability Demonstrated",IF(OR(N(BD247)&gt;=Assumptions!$B$76,N(BE247)&gt;=Assumptions!$B$77),"Progressing",IF(BC247&gt;=Assumptions!$B$85,"At Risk","Baseline"))))))</f>
        <v>N/A</v>
      </c>
      <c r="BL247" s="2" t="n">
        <f aca="false">(AND(C247="Broker-Reliant",OR(AK247="Discovery-to-Offer Enablement",AK247="Reinforce Successful Behaviour")))*1+(AND(G247="Declining",E247&lt;&gt;"Tail",AL247="Automated"))*1+(AND(Y247,AM247&lt;&gt;"Human Sign-Off Required"))*1+(AND(AA247,AM247&lt;&gt;"HOLD — Critical Data Issue"))*1+(AND(P247="Recent Inactivity",OR(AK247="Discovery-to-Offer Enablement",AK247="Reinforce Successful Behaviour")))*1+(AND(OR(LEFT(D247,1)="2",LEFT(D247,1)="3",LEFT(D247,1)="8"),AL247="Automated"))*1+((LEFT(D247,1)="1")&lt;&gt;(AK247="Guided Self-Serve Migration"))*1+(AND(AR247&lt;&gt;"",OR(F247&lt;&gt;"Low",U247="Mixed",AND(G247&lt;&gt;"Growing",G247&lt;&gt;"Stable"))))*1+ISNUMBER(SEARCH("chat",AP247))*1+ISNUMBER(SEARCH("video",AP247))*1+(AND(AA247,AL247="Automated",AM247&lt;&gt;"HOLD — Critical Data Issue"))*1</f>
        <v>0</v>
      </c>
    </row>
    <row r="248" customFormat="false" ht="15" hidden="false" customHeight="false" outlineLevel="0" collapsed="false">
      <c r="A248" s="2" t="s">
        <v>786</v>
      </c>
      <c r="B248" s="2" t="str">
        <f aca="false">INDEX(Segmentation!$B$2:$B$301,MATCH($A248,Segmentation!$A$2:$A$301,0))</f>
        <v>Self Serve</v>
      </c>
      <c r="C248" s="2" t="str">
        <f aca="false">INDEX(Segmentation!$H$2:$H$301,MATCH($A248,Segmentation!$A$2:$A$301,0))</f>
        <v>Self-Serve</v>
      </c>
      <c r="D248" s="2" t="str">
        <f aca="false">INDEX(Segmentation!$T$2:$T$301,MATCH($A248,Segmentation!$A$2:$A$301,0))</f>
        <v>9. Long-Tail Automated Nurture</v>
      </c>
      <c r="E248" s="2" t="str">
        <f aca="false">INDEX(Segmentation!$J$2:$J$301,MATCH($A248,Segmentation!$A$2:$A$301,0))</f>
        <v>Tail</v>
      </c>
      <c r="F248" s="2" t="str">
        <f aca="false">INDEX(Segmentation!$G$2:$G$301,MATCH($A248,Segmentation!$A$2:$A$301,0))</f>
        <v>Low</v>
      </c>
      <c r="G248" s="2" t="str">
        <f aca="false">INDEX(Segmentation!$N$2:$N$301,MATCH($A248,Segmentation!$A$2:$A$301,0))</f>
        <v>H2 Active / No H1 GMV</v>
      </c>
      <c r="H248" s="9" t="n">
        <f aca="false">INDEX(Segmentation!$I$2:$I$301,MATCH($A248,Segmentation!$A$2:$A$301,0))</f>
        <v>304</v>
      </c>
      <c r="I248" s="2" t="n">
        <f aca="false">INDEX(Segmentation!$O$2:$O$301,MATCH($A248,Segmentation!$A$2:$A$301,0))</f>
        <v>1</v>
      </c>
      <c r="J248" s="2" t="n">
        <f aca="false">INDEX(Segmentation!$Q$2:$Q$301,MATCH($A248,Segmentation!$A$2:$A$301,0))</f>
        <v>1</v>
      </c>
      <c r="K248" s="2" t="n">
        <f aca="false">INDEX(Segmentation!$W$2:$W$301,MATCH($A248,Segmentation!$A$2:$A$301,0))</f>
        <v>1</v>
      </c>
      <c r="L248" s="9" t="n">
        <f aca="false">INDEX('Commercial View'!$L$2:$L$301,MATCH($A248,'Commercial View'!$A$2:$A$301,0))</f>
        <v>0</v>
      </c>
      <c r="M248" s="9" t="n">
        <f aca="false">INDEX('Commercial View'!$M$2:$M$301,MATCH($A248,'Commercial View'!$A$2:$A$301,0))</f>
        <v>304</v>
      </c>
      <c r="N248" s="9" t="n">
        <f aca="false">INDEX('Commercial View'!$N$2:$N$301,MATCH($A248,'Commercial View'!$A$2:$A$301,0))</f>
        <v>0</v>
      </c>
      <c r="O248" s="9" t="n">
        <f aca="false">INDEX(Segmentation!$L$2:$L$301,MATCH($A248,Segmentation!$A$2:$A$301,0))</f>
        <v>304</v>
      </c>
      <c r="P248" s="2" t="str">
        <f aca="false">IF(OR(M248&gt;0,N248&gt;0),"Recently Active",IF(OR(I248&lt;=Assumptions!$B$48,K248&lt;=Assumptions!$B$49),"No Meaningful History","Recent Inactivity"))</f>
        <v>Recently Active</v>
      </c>
      <c r="Q248" s="2" t="str">
        <f aca="false">INDEX(Segmentation!$AF$2:$AF$301,MATCH($A248,Segmentation!$A$2:$A$301,0))</f>
        <v>New Customer</v>
      </c>
      <c r="R248" s="2" t="str">
        <f aca="false">INDEX(Segmentation!$AL$2:$AL$301,MATCH($A248,Segmentation!$A$2:$A$301,0))</f>
        <v>N/A</v>
      </c>
      <c r="S248" s="10" t="b">
        <f aca="false">INDEX(Segmentation!$AW$2:$AW$301,MATCH($A248,Segmentation!$A$2:$A$301,0))</f>
        <v>0</v>
      </c>
      <c r="T248" s="2" t="str">
        <f aca="false">INDEX('Feature Data'!$AD$2:$AD$301,MATCH($A248,'Feature Data'!$A$2:$A$301,0))</f>
        <v>One-off low-touch buyer</v>
      </c>
      <c r="U248" s="2" t="str">
        <f aca="false">INDEX('Feature Data'!$W$2:$W$301,MATCH($A248,'Feature Data'!$A$2:$A$301,0))</f>
        <v>Bundle-only</v>
      </c>
      <c r="V248" s="2" t="n">
        <f aca="false">INDEX('Feature Data'!$P$2:$P$301,MATCH($A248,'Feature Data'!$A$2:$A$301,0))</f>
        <v>161</v>
      </c>
      <c r="W248" s="2" t="n">
        <f aca="false">INDEX(Segmentation!$R$2:$R$301,MATCH($A248,Segmentation!$A$2:$A$301,0))</f>
        <v>6</v>
      </c>
      <c r="X248" s="2" t="n">
        <f aca="false">INDEX(Segmentation!$S$2:$S$301,MATCH($A248,Segmentation!$A$2:$A$301,0))</f>
        <v>0</v>
      </c>
      <c r="Y248" s="10" t="b">
        <f aca="false">INDEX(Segmentation!$AG$2:$AG$301,MATCH($A248,Segmentation!$A$2:$A$301,0))</f>
        <v>0</v>
      </c>
      <c r="Z248" s="2" t="str">
        <f aca="false">INDEX(Segmentation!$AU$2:$AU$301,MATCH($A248,Segmentation!$A$2:$A$301,0))</f>
        <v>Not Eligible</v>
      </c>
      <c r="AA248" s="10" t="b">
        <f aca="false">INDEX(Segmentation!$Z$2:$Z$301,MATCH($A248,Segmentation!$A$2:$A$301,0))</f>
        <v>0</v>
      </c>
      <c r="AB248" s="10" t="b">
        <f aca="false">INDEX(Segmentation!$AH$2:$AH$301,MATCH($A248,Segmentation!$A$2:$A$301,0))</f>
        <v>0</v>
      </c>
      <c r="AC248" s="10" t="b">
        <f aca="false">INDEX(Segmentation!$AK$2:$AK$301,MATCH($A248,Segmentation!$A$2:$A$301,0))</f>
        <v>0</v>
      </c>
      <c r="AD248" s="10" t="b">
        <f aca="false">INDEX(Segmentation!$AQ$2:$AQ$301,MATCH($A248,Segmentation!$A$2:$A$301,0))</f>
        <v>0</v>
      </c>
      <c r="AE248" s="10" t="b">
        <f aca="false">INDEX(Segmentation!$AT$2:$AT$301,MATCH($A248,Segmentation!$A$2:$A$301,0))</f>
        <v>0</v>
      </c>
      <c r="AF248" s="10" t="b">
        <f aca="false">INDEX(Segmentation!$X$2:$X$301,MATCH($A248,Segmentation!$A$2:$A$301,0))</f>
        <v>1</v>
      </c>
      <c r="AG248" s="10" t="b">
        <f aca="false">AND(F248="Low",V248&gt;=Assumptions!$B$71,X248&lt;Assumptions!$B$72)</f>
        <v>1</v>
      </c>
      <c r="AH248" s="10" t="b">
        <f aca="false">AND(F248="Low",OR(G248="Growing",G248="Stable"),P248="Recently Active",V248&gt;=Assumptions!$B$58,K248&gt;=Assumptions!$B$73)</f>
        <v>0</v>
      </c>
      <c r="AI248" s="17" t="n">
        <f aca="false">IF(O248&gt;0,MAX(L248:N248)/O248,"")</f>
        <v>1</v>
      </c>
      <c r="AJ248" s="2" t="str">
        <f aca="false">IF(LEFT(D248,1)="1",IF(E248="Key","MIGRATION_KEY_SIGNOFF",IF(Z248="Ready","MIGRATION_PHASE1_READY",IF(Z248="Manual Review","MIGRATION_PHASE1_REVIEW","MIGRATION_PRE_ENTRY"))),IF(LEFT(D248,1)="2","DECLINING_KEY_CORE",IF(LEFT(D248,1)="3",IF(R248="Established Buyer Lapsed","LAPSED_ESTABLISHED","LAPSED_THIN_HISTORY"),IF(LEFT(D248,1)="4",IF(Q248="New Customer","NEW_CUSTOMER","RETURNED_CUSTOMER"),IF(LEFT(D248,1)="5",IF(P248="Recently Active","COST_TO_SERVE_ACTIVE","DORMANT_LOW_VALUE"),IF(LEFT(D248,1)="6",IF(P248="Recent Inactivity","RECENT_INACTIVITY",IF(AG248,"BROWSING_LOW_OFFERS","HEALTHY_STRONG_SELF_SERVE")),IF(LEFT(D248,1)="7",IF(P248="Recent Inactivity","RECENT_INACTIVITY",IF(Q248="New Customer","NEW_CUSTOMER","RETURNED_CUSTOMER")),IF(LEFT(D248,1)="8",IF(G248="Declining",IF(T248="Engaged but shrinking (Key/Core)","ENGAGED_BUT_SHRINKING","DECLINING_KEY_CORE"),IF(R248="Established Buyer Lapsed","LAPSED_ESTABLISHED","LAPSED_THIN_HISTORY")),IF(S248,IF(P248&lt;&gt;"Recently Active","DORMANT_LOW_VALUE",IF(AG248,"BROWSING_LOW_OFFERS",IF(AH248,"RISING_TAIL","RISING_TAIL_EARLY"))),IF(AND(AG248,P248="Recently Active",OR(G248="Growing",G248="Stable",G248="H2 Active / No H1 GMV"),I248&gt;=Assumptions!$B$74),"BROWSING_LOW_OFFERS","LONG_TAIL_STANDARD"))))))))))</f>
        <v>LONG_TAIL_STANDARD</v>
      </c>
      <c r="AK248" s="2" t="str">
        <f aca="false">INDEX('NBA Library'!$B$4:$B$21,MATCH(AJ248,'NBA Library'!$A$4:$A$21,0))</f>
        <v>Automated Nurture</v>
      </c>
      <c r="AL248" s="2" t="str">
        <f aca="false">INDEX('NBA Library'!$C$4:$C$21,MATCH(AJ248,'NBA Library'!$A$4:$A$21,0))</f>
        <v>Automated</v>
      </c>
      <c r="AM248" s="2" t="str">
        <f aca="false">IF(AA248,"HOLD — Critical Data Issue",IF(Y248,"Human Sign-Off Required",IF(Z248="Manual Review","Human Review Required",IF(AND(AL248="Automated",OR(AE248,AND(OR(AK248="Discovery-to-Offer Enablement",AK248="Reinforce Successful Behaviour"),OR(AC248,AB248)))),"Human Review Required",IF(AL248="Human","Ready — Human",IF(AL248="Hybrid","Ready — Hybrid","Ready — Automated"))))))</f>
        <v>Ready — Automated</v>
      </c>
      <c r="AN248" s="2" t="str">
        <f aca="false">IF(AA248,"P0",IF(AND(AJ248="BROWSING_LOW_OFFERS",E248="Tail"),"P3",IF(AND(AM248="Human Review Required",INDEX('NBA Library'!$D$4:$D$21,MATCH(AJ248,'NBA Library'!$A$4:$A$21,0))="P4"),"P3",INDEX('NBA Library'!$D$4:$D$21,MATCH(AJ248,'NBA Library'!$A$4:$A$21,0)))))</f>
        <v>P4</v>
      </c>
      <c r="AO248" s="2" t="str">
        <f aca="false">E248&amp;" "&amp;C248&amp;" account ("&amp;B248&amp;"); "&amp;G248&amp;" momentum; "&amp;P248&amp;"; £"&amp;TEXT(H248,"#,##0")&amp;" 6m GMV. "&amp;INDEX('NBA Library'!$G$4:$G$21,MATCH(AJ248,'NBA Library'!$A$4:$A$21,0))&amp;IF(LEFT(D248,1)="1"," Baseline: "&amp;V248&amp;" PDP views, "&amp;W248&amp;" app days, "&amp;X248&amp;" offers, "&amp;TEXT(J248/I248,"0%")&amp;" of orders self-serve.","")&amp;IF(AA248," Execution on HOLD until the Duplicate status is resolved.","")&amp;IF(Y248," Key account: explicit AM/leadership sign-off required before any migration activity.","")&amp;IF(AE248," Implied broker % from order counts would move this account to a different segment; review before automating.","")</f>
        <v>Tail Self-Serve account (Self Serve); H2 Active / No H1 GMV momentum; Recently Active; £304 6m GMV. Low-value, low-dependency account. Scalable automated engagement.</v>
      </c>
      <c r="AP248" s="2" t="str">
        <f aca="false">INDEX('NBA Library'!$E$4:$E$21,MATCH(AJ248,'NBA Library'!$A$4:$A$21,0))&amp;IF(AND(AJ248="NEW_CUSTOMER",AG248),"; introduce Make-an-Offer on items already browsed","")</f>
        <v>Scalable automated engagement matched to nurture sub-context</v>
      </c>
      <c r="AQ248" s="2" t="str">
        <f aca="false">INDEX('NBA Library'!$F$4:$F$21,MATCH(AJ248,'NBA Library'!$A$4:$A$21,0))</f>
        <v>Any repeat order within 90 days</v>
      </c>
      <c r="AR248" s="2" t="str">
        <f aca="false">IF(AND(F248="Low",OR(G248="Growing",G248="Stable"),P248="Recently Active",U248&lt;&gt;"Mixed",OR(AK248="Discovery-to-Offer Enablement",AK248="Reinforce Successful Behaviour"),AM248="Ready — Automated",OR(E248&lt;&gt;"Tail",S248)),"Range Expansion Test — trial "&amp;IF(U248="Bundle-only","handpick","bundles")&amp;" (experimental; not proven to lift GMV)","")</f>
        <v/>
      </c>
      <c r="AS248" s="2" t="str">
        <f aca="false">IF(AK248&lt;&gt;"Automated Nurture","",IF(AJ248="DORMANT_LOW_VALUE","Dormant",IF(AJ248="RISING_TAIL_EARLY","Rising tail – early pattern",IF(Q248="New Customer","New customer onboarding",IF(Q248="Returned Customer","Returned customer",IF(G248="Lapsed","Dormant",IF(T248="Engaged, not converting","Engaged, not converting",IF(T248="One-off low-touch buyer","One-off purchaser",IF(T248="Light-touch repeat buyer","Light-touch repeat buyer","Standard long tail")))))))))</f>
        <v>New customer onboarding</v>
      </c>
      <c r="AT248" s="2" t="str">
        <f aca="false">IF(AA248,"CRITICAL_DATA_BLOCKER; ","")&amp;IF(Y248,"KEY_SIGNOFF; ","")&amp;IF(Z248="Manual Review","PHASE1_MANUAL_REVIEW; ","")&amp;IF(AND(LEFT(D248,1)="1",AZ248="Lumpy"),"LUMPY_CADENCE; ","")&amp;IF(AB248,"BORDERLINE_MOMENTUM; ","")&amp;IF(AC248,"FEB_SENSITIVE; ","")&amp;IF(AD248,"MATERIAL_BROKER_INCONSISTENCY"&amp;IF(AE248," (segment would change)","")&amp;"; ","")&amp;IF(AND(I248&gt;=3,O248&gt;0),IF(AI248&gt;=Assumptions!$B$75,"H2_SINGLE_MONTH_SPIKE; ",""),"")&amp;IF(AND(M248&gt;0,N248=0),"NO_FEB_GMV (Feb unconfirmed); ","")&amp;IF(AF248,"LOW_CONFIDENCE; ","")</f>
        <v>NO_FEB_GMV (Feb unconfirmed); LOW_CONFIDENCE; </v>
      </c>
      <c r="AU248" s="2" t="str">
        <f aca="false">IF(LEFT(D248,1)="1",V248,"")</f>
        <v/>
      </c>
      <c r="AV248" s="2" t="str">
        <f aca="false">IF(LEFT(D248,1)="1",V248&gt;=Assumptions!$B$58,"")</f>
        <v/>
      </c>
      <c r="AW248" s="2" t="str">
        <f aca="false">IF(LEFT(D248,1)="1",W248,"")</f>
        <v/>
      </c>
      <c r="AX248" s="2" t="str">
        <f aca="false">IF(LEFT(D248,1)="1",X248,"")</f>
        <v/>
      </c>
      <c r="AY248" s="17" t="str">
        <f aca="false">IF(LEFT(D248,1)="1",J248/I248,"")</f>
        <v/>
      </c>
      <c r="AZ248" s="2" t="str">
        <f aca="false">IF(LEFT(D248,1)="1",IF(AND(K248&gt;=Assumptions!$B$83,I248&gt;=Assumptions!$B$84),"Regular","Lumpy"),"")</f>
        <v/>
      </c>
      <c r="BA248" s="2" t="str">
        <f aca="false">IF(LEFT(D248,1)="1",ROUND(6/K248,0),"")</f>
        <v/>
      </c>
      <c r="BB248" s="2" t="str">
        <f aca="false">IF(LEFT(D248,1)="1",IF(AZ248="Regular","Regular buyer: expected ~£"&amp;TEXT(H248/2,"#,##0")&amp;" per 90 days. At Risk if GMV to date &lt; "&amp;TEXT(Assumptions!$B$81,"0%")&amp;" of pro-rated expectation, checked from day "&amp;Assumptions!$B$82&amp;". Human-reviewed.","Irregular buyer ("&amp;I248&amp;" orders across "&amp;K248&amp;" months): no numeric GMV threshold. At Risk if no order within ~"&amp;BA248&amp;" month(s); AM reviews at day "&amp;Assumptions!$B$82&amp;" and "&amp;Assumptions!$B$85&amp;"."),"")</f>
        <v/>
      </c>
      <c r="BC248" s="2"/>
      <c r="BD248" s="2"/>
      <c r="BE248" s="2"/>
      <c r="BF248" s="2"/>
      <c r="BG248" s="2"/>
      <c r="BH248" s="2"/>
      <c r="BI248" s="2"/>
      <c r="BJ248" s="2" t="str">
        <f aca="false">IF(OR(NOT(LEFT(D248,1)="1"),BC248=""),"",IF(AZ248="Regular",AND(BC248&gt;=Assumptions!$B$82,N(BI248)&lt;Assumptions!$B$81*H248/180*BC248),AND(BC248&gt;=BA248*30,N(BG248)=0)))</f>
        <v/>
      </c>
      <c r="BK248" s="2" t="str">
        <f aca="false">IF(NOT(LEFT(D248,1)="1"),"N/A",IF(BC248="","Baseline",IF(BJ248,"At Risk",IF(AND(N(BD248)&gt;=Assumptions!$B$78,N(BE248)&gt;=Assumptions!$B$79,N(BH248)&gt;=1,N(BH248)/MAX(N(BG248),1)&gt;AY248),"Self-Serve Capability Demonstrated",IF(OR(N(BD248)&gt;=Assumptions!$B$76,N(BE248)&gt;=Assumptions!$B$77),"Progressing",IF(BC248&gt;=Assumptions!$B$85,"At Risk","Baseline"))))))</f>
        <v>N/A</v>
      </c>
      <c r="BL248" s="2" t="n">
        <f aca="false">(AND(C248="Broker-Reliant",OR(AK248="Discovery-to-Offer Enablement",AK248="Reinforce Successful Behaviour")))*1+(AND(G248="Declining",E248&lt;&gt;"Tail",AL248="Automated"))*1+(AND(Y248,AM248&lt;&gt;"Human Sign-Off Required"))*1+(AND(AA248,AM248&lt;&gt;"HOLD — Critical Data Issue"))*1+(AND(P248="Recent Inactivity",OR(AK248="Discovery-to-Offer Enablement",AK248="Reinforce Successful Behaviour")))*1+(AND(OR(LEFT(D248,1)="2",LEFT(D248,1)="3",LEFT(D248,1)="8"),AL248="Automated"))*1+((LEFT(D248,1)="1")&lt;&gt;(AK248="Guided Self-Serve Migration"))*1+(AND(AR248&lt;&gt;"",OR(F248&lt;&gt;"Low",U248="Mixed",AND(G248&lt;&gt;"Growing",G248&lt;&gt;"Stable"))))*1+ISNUMBER(SEARCH("chat",AP248))*1+ISNUMBER(SEARCH("video",AP248))*1+(AND(AA248,AL248="Automated",AM248&lt;&gt;"HOLD — Critical Data Issue"))*1</f>
        <v>0</v>
      </c>
    </row>
    <row r="249" customFormat="false" ht="15" hidden="false" customHeight="false" outlineLevel="0" collapsed="false">
      <c r="A249" s="2" t="s">
        <v>788</v>
      </c>
      <c r="B249" s="2" t="str">
        <f aca="false">INDEX(Segmentation!$B$2:$B$301,MATCH($A249,Segmentation!$A$2:$A$301,0))</f>
        <v>Self Serve</v>
      </c>
      <c r="C249" s="2" t="str">
        <f aca="false">INDEX(Segmentation!$H$2:$H$301,MATCH($A249,Segmentation!$A$2:$A$301,0))</f>
        <v>Self-Serve</v>
      </c>
      <c r="D249" s="2" t="str">
        <f aca="false">INDEX(Segmentation!$T$2:$T$301,MATCH($A249,Segmentation!$A$2:$A$301,0))</f>
        <v>9. Long-Tail Automated Nurture</v>
      </c>
      <c r="E249" s="2" t="str">
        <f aca="false">INDEX(Segmentation!$J$2:$J$301,MATCH($A249,Segmentation!$A$2:$A$301,0))</f>
        <v>Tail</v>
      </c>
      <c r="F249" s="2" t="str">
        <f aca="false">INDEX(Segmentation!$G$2:$G$301,MATCH($A249,Segmentation!$A$2:$A$301,0))</f>
        <v>Low</v>
      </c>
      <c r="G249" s="2" t="str">
        <f aca="false">INDEX(Segmentation!$N$2:$N$301,MATCH($A249,Segmentation!$A$2:$A$301,0))</f>
        <v>Lapsed</v>
      </c>
      <c r="H249" s="9" t="n">
        <f aca="false">INDEX(Segmentation!$I$2:$I$301,MATCH($A249,Segmentation!$A$2:$A$301,0))</f>
        <v>303</v>
      </c>
      <c r="I249" s="2" t="n">
        <f aca="false">INDEX(Segmentation!$O$2:$O$301,MATCH($A249,Segmentation!$A$2:$A$301,0))</f>
        <v>1</v>
      </c>
      <c r="J249" s="2" t="n">
        <f aca="false">INDEX(Segmentation!$Q$2:$Q$301,MATCH($A249,Segmentation!$A$2:$A$301,0))</f>
        <v>1</v>
      </c>
      <c r="K249" s="2" t="n">
        <f aca="false">INDEX(Segmentation!$W$2:$W$301,MATCH($A249,Segmentation!$A$2:$A$301,0))</f>
        <v>1</v>
      </c>
      <c r="L249" s="9" t="n">
        <f aca="false">INDEX('Commercial View'!$L$2:$L$301,MATCH($A249,'Commercial View'!$A$2:$A$301,0))</f>
        <v>0</v>
      </c>
      <c r="M249" s="9" t="n">
        <f aca="false">INDEX('Commercial View'!$M$2:$M$301,MATCH($A249,'Commercial View'!$A$2:$A$301,0))</f>
        <v>0</v>
      </c>
      <c r="N249" s="9" t="n">
        <f aca="false">INDEX('Commercial View'!$N$2:$N$301,MATCH($A249,'Commercial View'!$A$2:$A$301,0))</f>
        <v>0</v>
      </c>
      <c r="O249" s="9" t="n">
        <f aca="false">INDEX(Segmentation!$L$2:$L$301,MATCH($A249,Segmentation!$A$2:$A$301,0))</f>
        <v>0</v>
      </c>
      <c r="P249" s="2" t="str">
        <f aca="false">IF(OR(M249&gt;0,N249&gt;0),"Recently Active",IF(OR(I249&lt;=Assumptions!$B$48,K249&lt;=Assumptions!$B$49),"No Meaningful History","Recent Inactivity"))</f>
        <v>No Meaningful History</v>
      </c>
      <c r="Q249" s="2" t="str">
        <f aca="false">INDEX(Segmentation!$AF$2:$AF$301,MATCH($A249,Segmentation!$A$2:$A$301,0))</f>
        <v>Existing Customer</v>
      </c>
      <c r="R249" s="2" t="str">
        <f aca="false">INDEX(Segmentation!$AL$2:$AL$301,MATCH($A249,Segmentation!$A$2:$A$301,0))</f>
        <v>One-Off / Insufficient History — Verify</v>
      </c>
      <c r="S249" s="10" t="b">
        <f aca="false">INDEX(Segmentation!$AW$2:$AW$301,MATCH($A249,Segmentation!$A$2:$A$301,0))</f>
        <v>0</v>
      </c>
      <c r="T249" s="2" t="str">
        <f aca="false">INDEX('Feature Data'!$AD$2:$AD$301,MATCH($A249,'Feature Data'!$A$2:$A$301,0))</f>
        <v>One-off low-touch buyer</v>
      </c>
      <c r="U249" s="2" t="str">
        <f aca="false">INDEX('Feature Data'!$W$2:$W$301,MATCH($A249,'Feature Data'!$A$2:$A$301,0))</f>
        <v>Handpick-only</v>
      </c>
      <c r="V249" s="2" t="n">
        <f aca="false">INDEX('Feature Data'!$P$2:$P$301,MATCH($A249,'Feature Data'!$A$2:$A$301,0))</f>
        <v>7</v>
      </c>
      <c r="W249" s="2" t="n">
        <f aca="false">INDEX(Segmentation!$R$2:$R$301,MATCH($A249,Segmentation!$A$2:$A$301,0))</f>
        <v>4</v>
      </c>
      <c r="X249" s="2" t="n">
        <f aca="false">INDEX(Segmentation!$S$2:$S$301,MATCH($A249,Segmentation!$A$2:$A$301,0))</f>
        <v>0</v>
      </c>
      <c r="Y249" s="10" t="b">
        <f aca="false">INDEX(Segmentation!$AG$2:$AG$301,MATCH($A249,Segmentation!$A$2:$A$301,0))</f>
        <v>0</v>
      </c>
      <c r="Z249" s="2" t="str">
        <f aca="false">INDEX(Segmentation!$AU$2:$AU$301,MATCH($A249,Segmentation!$A$2:$A$301,0))</f>
        <v>Not Eligible</v>
      </c>
      <c r="AA249" s="10" t="b">
        <f aca="false">INDEX(Segmentation!$Z$2:$Z$301,MATCH($A249,Segmentation!$A$2:$A$301,0))</f>
        <v>0</v>
      </c>
      <c r="AB249" s="10" t="b">
        <f aca="false">INDEX(Segmentation!$AH$2:$AH$301,MATCH($A249,Segmentation!$A$2:$A$301,0))</f>
        <v>0</v>
      </c>
      <c r="AC249" s="10" t="b">
        <f aca="false">INDEX(Segmentation!$AK$2:$AK$301,MATCH($A249,Segmentation!$A$2:$A$301,0))</f>
        <v>0</v>
      </c>
      <c r="AD249" s="10" t="b">
        <f aca="false">INDEX(Segmentation!$AQ$2:$AQ$301,MATCH($A249,Segmentation!$A$2:$A$301,0))</f>
        <v>0</v>
      </c>
      <c r="AE249" s="10" t="b">
        <f aca="false">INDEX(Segmentation!$AT$2:$AT$301,MATCH($A249,Segmentation!$A$2:$A$301,0))</f>
        <v>0</v>
      </c>
      <c r="AF249" s="10" t="b">
        <f aca="false">INDEX(Segmentation!$X$2:$X$301,MATCH($A249,Segmentation!$A$2:$A$301,0))</f>
        <v>1</v>
      </c>
      <c r="AG249" s="10" t="b">
        <f aca="false">AND(F249="Low",V249&gt;=Assumptions!$B$71,X249&lt;Assumptions!$B$72)</f>
        <v>0</v>
      </c>
      <c r="AH249" s="10" t="b">
        <f aca="false">AND(F249="Low",OR(G249="Growing",G249="Stable"),P249="Recently Active",V249&gt;=Assumptions!$B$58,K249&gt;=Assumptions!$B$73)</f>
        <v>0</v>
      </c>
      <c r="AI249" s="17" t="str">
        <f aca="false">IF(O249&gt;0,MAX(L249:N249)/O249,"")</f>
        <v/>
      </c>
      <c r="AJ249" s="2" t="str">
        <f aca="false">IF(LEFT(D249,1)="1",IF(E249="Key","MIGRATION_KEY_SIGNOFF",IF(Z249="Ready","MIGRATION_PHASE1_READY",IF(Z249="Manual Review","MIGRATION_PHASE1_REVIEW","MIGRATION_PRE_ENTRY"))),IF(LEFT(D249,1)="2","DECLINING_KEY_CORE",IF(LEFT(D249,1)="3",IF(R249="Established Buyer Lapsed","LAPSED_ESTABLISHED","LAPSED_THIN_HISTORY"),IF(LEFT(D249,1)="4",IF(Q249="New Customer","NEW_CUSTOMER","RETURNED_CUSTOMER"),IF(LEFT(D249,1)="5",IF(P249="Recently Active","COST_TO_SERVE_ACTIVE","DORMANT_LOW_VALUE"),IF(LEFT(D249,1)="6",IF(P249="Recent Inactivity","RECENT_INACTIVITY",IF(AG249,"BROWSING_LOW_OFFERS","HEALTHY_STRONG_SELF_SERVE")),IF(LEFT(D249,1)="7",IF(P249="Recent Inactivity","RECENT_INACTIVITY",IF(Q249="New Customer","NEW_CUSTOMER","RETURNED_CUSTOMER")),IF(LEFT(D249,1)="8",IF(G249="Declining",IF(T249="Engaged but shrinking (Key/Core)","ENGAGED_BUT_SHRINKING","DECLINING_KEY_CORE"),IF(R249="Established Buyer Lapsed","LAPSED_ESTABLISHED","LAPSED_THIN_HISTORY")),IF(S249,IF(P249&lt;&gt;"Recently Active","DORMANT_LOW_VALUE",IF(AG249,"BROWSING_LOW_OFFERS",IF(AH249,"RISING_TAIL","RISING_TAIL_EARLY"))),IF(AND(AG249,P249="Recently Active",OR(G249="Growing",G249="Stable",G249="H2 Active / No H1 GMV"),I249&gt;=Assumptions!$B$74),"BROWSING_LOW_OFFERS","LONG_TAIL_STANDARD"))))))))))</f>
        <v>LONG_TAIL_STANDARD</v>
      </c>
      <c r="AK249" s="2" t="str">
        <f aca="false">INDEX('NBA Library'!$B$4:$B$21,MATCH(AJ249,'NBA Library'!$A$4:$A$21,0))</f>
        <v>Automated Nurture</v>
      </c>
      <c r="AL249" s="2" t="str">
        <f aca="false">INDEX('NBA Library'!$C$4:$C$21,MATCH(AJ249,'NBA Library'!$A$4:$A$21,0))</f>
        <v>Automated</v>
      </c>
      <c r="AM249" s="2" t="str">
        <f aca="false">IF(AA249,"HOLD — Critical Data Issue",IF(Y249,"Human Sign-Off Required",IF(Z249="Manual Review","Human Review Required",IF(AND(AL249="Automated",OR(AE249,AND(OR(AK249="Discovery-to-Offer Enablement",AK249="Reinforce Successful Behaviour"),OR(AC249,AB249)))),"Human Review Required",IF(AL249="Human","Ready — Human",IF(AL249="Hybrid","Ready — Hybrid","Ready — Automated"))))))</f>
        <v>Ready — Automated</v>
      </c>
      <c r="AN249" s="2" t="str">
        <f aca="false">IF(AA249,"P0",IF(AND(AJ249="BROWSING_LOW_OFFERS",E249="Tail"),"P3",IF(AND(AM249="Human Review Required",INDEX('NBA Library'!$D$4:$D$21,MATCH(AJ249,'NBA Library'!$A$4:$A$21,0))="P4"),"P3",INDEX('NBA Library'!$D$4:$D$21,MATCH(AJ249,'NBA Library'!$A$4:$A$21,0)))))</f>
        <v>P4</v>
      </c>
      <c r="AO249" s="2" t="str">
        <f aca="false">E249&amp;" "&amp;C249&amp;" account ("&amp;B249&amp;"); "&amp;G249&amp;" momentum; "&amp;P249&amp;"; £"&amp;TEXT(H249,"#,##0")&amp;" 6m GMV. "&amp;INDEX('NBA Library'!$G$4:$G$21,MATCH(AJ249,'NBA Library'!$A$4:$A$21,0))&amp;IF(LEFT(D249,1)="1"," Baseline: "&amp;V249&amp;" PDP views, "&amp;W249&amp;" app days, "&amp;X249&amp;" offers, "&amp;TEXT(J249/I249,"0%")&amp;" of orders self-serve.","")&amp;IF(AA249," Execution on HOLD until the Duplicate status is resolved.","")&amp;IF(Y249," Key account: explicit AM/leadership sign-off required before any migration activity.","")&amp;IF(AE249," Implied broker % from order counts would move this account to a different segment; review before automating.","")</f>
        <v>Tail Self-Serve account (Self Serve); Lapsed momentum; No Meaningful History; £303 6m GMV. Low-value, low-dependency account. Scalable automated engagement.</v>
      </c>
      <c r="AP249" s="2" t="str">
        <f aca="false">INDEX('NBA Library'!$E$4:$E$21,MATCH(AJ249,'NBA Library'!$A$4:$A$21,0))&amp;IF(AND(AJ249="NEW_CUSTOMER",AG249),"; introduce Make-an-Offer on items already browsed","")</f>
        <v>Scalable automated engagement matched to nurture sub-context</v>
      </c>
      <c r="AQ249" s="2" t="str">
        <f aca="false">INDEX('NBA Library'!$F$4:$F$21,MATCH(AJ249,'NBA Library'!$A$4:$A$21,0))</f>
        <v>Any repeat order within 90 days</v>
      </c>
      <c r="AR249" s="2" t="str">
        <f aca="false">IF(AND(F249="Low",OR(G249="Growing",G249="Stable"),P249="Recently Active",U249&lt;&gt;"Mixed",OR(AK249="Discovery-to-Offer Enablement",AK249="Reinforce Successful Behaviour"),AM249="Ready — Automated",OR(E249&lt;&gt;"Tail",S249)),"Range Expansion Test — trial "&amp;IF(U249="Bundle-only","handpick","bundles")&amp;" (experimental; not proven to lift GMV)","")</f>
        <v/>
      </c>
      <c r="AS249" s="2" t="str">
        <f aca="false">IF(AK249&lt;&gt;"Automated Nurture","",IF(AJ249="DORMANT_LOW_VALUE","Dormant",IF(AJ249="RISING_TAIL_EARLY","Rising tail – early pattern",IF(Q249="New Customer","New customer onboarding",IF(Q249="Returned Customer","Returned customer",IF(G249="Lapsed","Dormant",IF(T249="Engaged, not converting","Engaged, not converting",IF(T249="One-off low-touch buyer","One-off purchaser",IF(T249="Light-touch repeat buyer","Light-touch repeat buyer","Standard long tail")))))))))</f>
        <v>Dormant</v>
      </c>
      <c r="AT249" s="2" t="str">
        <f aca="false">IF(AA249,"CRITICAL_DATA_BLOCKER; ","")&amp;IF(Y249,"KEY_SIGNOFF; ","")&amp;IF(Z249="Manual Review","PHASE1_MANUAL_REVIEW; ","")&amp;IF(AND(LEFT(D249,1)="1",AZ249="Lumpy"),"LUMPY_CADENCE; ","")&amp;IF(AB249,"BORDERLINE_MOMENTUM; ","")&amp;IF(AC249,"FEB_SENSITIVE; ","")&amp;IF(AD249,"MATERIAL_BROKER_INCONSISTENCY"&amp;IF(AE249," (segment would change)","")&amp;"; ","")&amp;IF(AND(I249&gt;=3,O249&gt;0),IF(AI249&gt;=Assumptions!$B$75,"H2_SINGLE_MONTH_SPIKE; ",""),"")&amp;IF(AND(M249&gt;0,N249=0),"NO_FEB_GMV (Feb unconfirmed); ","")&amp;IF(AF249,"LOW_CONFIDENCE; ","")</f>
        <v>LOW_CONFIDENCE; </v>
      </c>
      <c r="AU249" s="2" t="str">
        <f aca="false">IF(LEFT(D249,1)="1",V249,"")</f>
        <v/>
      </c>
      <c r="AV249" s="2" t="str">
        <f aca="false">IF(LEFT(D249,1)="1",V249&gt;=Assumptions!$B$58,"")</f>
        <v/>
      </c>
      <c r="AW249" s="2" t="str">
        <f aca="false">IF(LEFT(D249,1)="1",W249,"")</f>
        <v/>
      </c>
      <c r="AX249" s="2" t="str">
        <f aca="false">IF(LEFT(D249,1)="1",X249,"")</f>
        <v/>
      </c>
      <c r="AY249" s="17" t="str">
        <f aca="false">IF(LEFT(D249,1)="1",J249/I249,"")</f>
        <v/>
      </c>
      <c r="AZ249" s="2" t="str">
        <f aca="false">IF(LEFT(D249,1)="1",IF(AND(K249&gt;=Assumptions!$B$83,I249&gt;=Assumptions!$B$84),"Regular","Lumpy"),"")</f>
        <v/>
      </c>
      <c r="BA249" s="2" t="str">
        <f aca="false">IF(LEFT(D249,1)="1",ROUND(6/K249,0),"")</f>
        <v/>
      </c>
      <c r="BB249" s="2" t="str">
        <f aca="false">IF(LEFT(D249,1)="1",IF(AZ249="Regular","Regular buyer: expected ~£"&amp;TEXT(H249/2,"#,##0")&amp;" per 90 days. At Risk if GMV to date &lt; "&amp;TEXT(Assumptions!$B$81,"0%")&amp;" of pro-rated expectation, checked from day "&amp;Assumptions!$B$82&amp;". Human-reviewed.","Irregular buyer ("&amp;I249&amp;" orders across "&amp;K249&amp;" months): no numeric GMV threshold. At Risk if no order within ~"&amp;BA249&amp;" month(s); AM reviews at day "&amp;Assumptions!$B$82&amp;" and "&amp;Assumptions!$B$85&amp;"."),"")</f>
        <v/>
      </c>
      <c r="BC249" s="2"/>
      <c r="BD249" s="2"/>
      <c r="BE249" s="2"/>
      <c r="BF249" s="2"/>
      <c r="BG249" s="2"/>
      <c r="BH249" s="2"/>
      <c r="BI249" s="2"/>
      <c r="BJ249" s="2" t="str">
        <f aca="false">IF(OR(NOT(LEFT(D249,1)="1"),BC249=""),"",IF(AZ249="Regular",AND(BC249&gt;=Assumptions!$B$82,N(BI249)&lt;Assumptions!$B$81*H249/180*BC249),AND(BC249&gt;=BA249*30,N(BG249)=0)))</f>
        <v/>
      </c>
      <c r="BK249" s="2" t="str">
        <f aca="false">IF(NOT(LEFT(D249,1)="1"),"N/A",IF(BC249="","Baseline",IF(BJ249,"At Risk",IF(AND(N(BD249)&gt;=Assumptions!$B$78,N(BE249)&gt;=Assumptions!$B$79,N(BH249)&gt;=1,N(BH249)/MAX(N(BG249),1)&gt;AY249),"Self-Serve Capability Demonstrated",IF(OR(N(BD249)&gt;=Assumptions!$B$76,N(BE249)&gt;=Assumptions!$B$77),"Progressing",IF(BC249&gt;=Assumptions!$B$85,"At Risk","Baseline"))))))</f>
        <v>N/A</v>
      </c>
      <c r="BL249" s="2" t="n">
        <f aca="false">(AND(C249="Broker-Reliant",OR(AK249="Discovery-to-Offer Enablement",AK249="Reinforce Successful Behaviour")))*1+(AND(G249="Declining",E249&lt;&gt;"Tail",AL249="Automated"))*1+(AND(Y249,AM249&lt;&gt;"Human Sign-Off Required"))*1+(AND(AA249,AM249&lt;&gt;"HOLD — Critical Data Issue"))*1+(AND(P249="Recent Inactivity",OR(AK249="Discovery-to-Offer Enablement",AK249="Reinforce Successful Behaviour")))*1+(AND(OR(LEFT(D249,1)="2",LEFT(D249,1)="3",LEFT(D249,1)="8"),AL249="Automated"))*1+((LEFT(D249,1)="1")&lt;&gt;(AK249="Guided Self-Serve Migration"))*1+(AND(AR249&lt;&gt;"",OR(F249&lt;&gt;"Low",U249="Mixed",AND(G249&lt;&gt;"Growing",G249&lt;&gt;"Stable"))))*1+ISNUMBER(SEARCH("chat",AP249))*1+ISNUMBER(SEARCH("video",AP249))*1+(AND(AA249,AL249="Automated",AM249&lt;&gt;"HOLD — Critical Data Issue"))*1</f>
        <v>0</v>
      </c>
    </row>
    <row r="250" customFormat="false" ht="15" hidden="false" customHeight="false" outlineLevel="0" collapsed="false">
      <c r="A250" s="2" t="s">
        <v>792</v>
      </c>
      <c r="B250" s="2" t="str">
        <f aca="false">INDEX(Segmentation!$B$2:$B$301,MATCH($A250,Segmentation!$A$2:$A$301,0))</f>
        <v>Self Serve</v>
      </c>
      <c r="C250" s="2" t="str">
        <f aca="false">INDEX(Segmentation!$H$2:$H$301,MATCH($A250,Segmentation!$A$2:$A$301,0))</f>
        <v>Self-Serve</v>
      </c>
      <c r="D250" s="2" t="str">
        <f aca="false">INDEX(Segmentation!$T$2:$T$301,MATCH($A250,Segmentation!$A$2:$A$301,0))</f>
        <v>9. Long-Tail Automated Nurture</v>
      </c>
      <c r="E250" s="2" t="str">
        <f aca="false">INDEX(Segmentation!$J$2:$J$301,MATCH($A250,Segmentation!$A$2:$A$301,0))</f>
        <v>Tail</v>
      </c>
      <c r="F250" s="2" t="str">
        <f aca="false">INDEX(Segmentation!$G$2:$G$301,MATCH($A250,Segmentation!$A$2:$A$301,0))</f>
        <v>Low</v>
      </c>
      <c r="G250" s="2" t="str">
        <f aca="false">INDEX(Segmentation!$N$2:$N$301,MATCH($A250,Segmentation!$A$2:$A$301,0))</f>
        <v>Lapsed</v>
      </c>
      <c r="H250" s="9" t="n">
        <f aca="false">INDEX(Segmentation!$I$2:$I$301,MATCH($A250,Segmentation!$A$2:$A$301,0))</f>
        <v>298</v>
      </c>
      <c r="I250" s="2" t="n">
        <f aca="false">INDEX(Segmentation!$O$2:$O$301,MATCH($A250,Segmentation!$A$2:$A$301,0))</f>
        <v>1</v>
      </c>
      <c r="J250" s="2" t="n">
        <f aca="false">INDEX(Segmentation!$Q$2:$Q$301,MATCH($A250,Segmentation!$A$2:$A$301,0))</f>
        <v>1</v>
      </c>
      <c r="K250" s="2" t="n">
        <f aca="false">INDEX(Segmentation!$W$2:$W$301,MATCH($A250,Segmentation!$A$2:$A$301,0))</f>
        <v>1</v>
      </c>
      <c r="L250" s="9" t="n">
        <f aca="false">INDEX('Commercial View'!$L$2:$L$301,MATCH($A250,'Commercial View'!$A$2:$A$301,0))</f>
        <v>0</v>
      </c>
      <c r="M250" s="9" t="n">
        <f aca="false">INDEX('Commercial View'!$M$2:$M$301,MATCH($A250,'Commercial View'!$A$2:$A$301,0))</f>
        <v>0</v>
      </c>
      <c r="N250" s="9" t="n">
        <f aca="false">INDEX('Commercial View'!$N$2:$N$301,MATCH($A250,'Commercial View'!$A$2:$A$301,0))</f>
        <v>0</v>
      </c>
      <c r="O250" s="9" t="n">
        <f aca="false">INDEX(Segmentation!$L$2:$L$301,MATCH($A250,Segmentation!$A$2:$A$301,0))</f>
        <v>0</v>
      </c>
      <c r="P250" s="2" t="str">
        <f aca="false">IF(OR(M250&gt;0,N250&gt;0),"Recently Active",IF(OR(I250&lt;=Assumptions!$B$48,K250&lt;=Assumptions!$B$49),"No Meaningful History","Recent Inactivity"))</f>
        <v>No Meaningful History</v>
      </c>
      <c r="Q250" s="2" t="str">
        <f aca="false">INDEX(Segmentation!$AF$2:$AF$301,MATCH($A250,Segmentation!$A$2:$A$301,0))</f>
        <v>Existing Customer</v>
      </c>
      <c r="R250" s="2" t="str">
        <f aca="false">INDEX(Segmentation!$AL$2:$AL$301,MATCH($A250,Segmentation!$A$2:$A$301,0))</f>
        <v>One-Off / Insufficient History — Verify</v>
      </c>
      <c r="S250" s="10" t="b">
        <f aca="false">INDEX(Segmentation!$AW$2:$AW$301,MATCH($A250,Segmentation!$A$2:$A$301,0))</f>
        <v>0</v>
      </c>
      <c r="T250" s="2" t="str">
        <f aca="false">INDEX('Feature Data'!$AD$2:$AD$301,MATCH($A250,'Feature Data'!$A$2:$A$301,0))</f>
        <v>One-off low-touch buyer</v>
      </c>
      <c r="U250" s="2" t="str">
        <f aca="false">INDEX('Feature Data'!$W$2:$W$301,MATCH($A250,'Feature Data'!$A$2:$A$301,0))</f>
        <v>Bundle-only</v>
      </c>
      <c r="V250" s="2" t="n">
        <f aca="false">INDEX('Feature Data'!$P$2:$P$301,MATCH($A250,'Feature Data'!$A$2:$A$301,0))</f>
        <v>92</v>
      </c>
      <c r="W250" s="2" t="n">
        <f aca="false">INDEX(Segmentation!$R$2:$R$301,MATCH($A250,Segmentation!$A$2:$A$301,0))</f>
        <v>13</v>
      </c>
      <c r="X250" s="2" t="n">
        <f aca="false">INDEX(Segmentation!$S$2:$S$301,MATCH($A250,Segmentation!$A$2:$A$301,0))</f>
        <v>1</v>
      </c>
      <c r="Y250" s="10" t="b">
        <f aca="false">INDEX(Segmentation!$AG$2:$AG$301,MATCH($A250,Segmentation!$A$2:$A$301,0))</f>
        <v>0</v>
      </c>
      <c r="Z250" s="2" t="str">
        <f aca="false">INDEX(Segmentation!$AU$2:$AU$301,MATCH($A250,Segmentation!$A$2:$A$301,0))</f>
        <v>Not Eligible</v>
      </c>
      <c r="AA250" s="10" t="b">
        <f aca="false">INDEX(Segmentation!$Z$2:$Z$301,MATCH($A250,Segmentation!$A$2:$A$301,0))</f>
        <v>0</v>
      </c>
      <c r="AB250" s="10" t="b">
        <f aca="false">INDEX(Segmentation!$AH$2:$AH$301,MATCH($A250,Segmentation!$A$2:$A$301,0))</f>
        <v>0</v>
      </c>
      <c r="AC250" s="10" t="b">
        <f aca="false">INDEX(Segmentation!$AK$2:$AK$301,MATCH($A250,Segmentation!$A$2:$A$301,0))</f>
        <v>0</v>
      </c>
      <c r="AD250" s="10" t="b">
        <f aca="false">INDEX(Segmentation!$AQ$2:$AQ$301,MATCH($A250,Segmentation!$A$2:$A$301,0))</f>
        <v>0</v>
      </c>
      <c r="AE250" s="10" t="b">
        <f aca="false">INDEX(Segmentation!$AT$2:$AT$301,MATCH($A250,Segmentation!$A$2:$A$301,0))</f>
        <v>0</v>
      </c>
      <c r="AF250" s="10" t="b">
        <f aca="false">INDEX(Segmentation!$X$2:$X$301,MATCH($A250,Segmentation!$A$2:$A$301,0))</f>
        <v>1</v>
      </c>
      <c r="AG250" s="10" t="b">
        <f aca="false">AND(F250="Low",V250&gt;=Assumptions!$B$71,X250&lt;Assumptions!$B$72)</f>
        <v>1</v>
      </c>
      <c r="AH250" s="10" t="b">
        <f aca="false">AND(F250="Low",OR(G250="Growing",G250="Stable"),P250="Recently Active",V250&gt;=Assumptions!$B$58,K250&gt;=Assumptions!$B$73)</f>
        <v>0</v>
      </c>
      <c r="AI250" s="17" t="str">
        <f aca="false">IF(O250&gt;0,MAX(L250:N250)/O250,"")</f>
        <v/>
      </c>
      <c r="AJ250" s="2" t="str">
        <f aca="false">IF(LEFT(D250,1)="1",IF(E250="Key","MIGRATION_KEY_SIGNOFF",IF(Z250="Ready","MIGRATION_PHASE1_READY",IF(Z250="Manual Review","MIGRATION_PHASE1_REVIEW","MIGRATION_PRE_ENTRY"))),IF(LEFT(D250,1)="2","DECLINING_KEY_CORE",IF(LEFT(D250,1)="3",IF(R250="Established Buyer Lapsed","LAPSED_ESTABLISHED","LAPSED_THIN_HISTORY"),IF(LEFT(D250,1)="4",IF(Q250="New Customer","NEW_CUSTOMER","RETURNED_CUSTOMER"),IF(LEFT(D250,1)="5",IF(P250="Recently Active","COST_TO_SERVE_ACTIVE","DORMANT_LOW_VALUE"),IF(LEFT(D250,1)="6",IF(P250="Recent Inactivity","RECENT_INACTIVITY",IF(AG250,"BROWSING_LOW_OFFERS","HEALTHY_STRONG_SELF_SERVE")),IF(LEFT(D250,1)="7",IF(P250="Recent Inactivity","RECENT_INACTIVITY",IF(Q250="New Customer","NEW_CUSTOMER","RETURNED_CUSTOMER")),IF(LEFT(D250,1)="8",IF(G250="Declining",IF(T250="Engaged but shrinking (Key/Core)","ENGAGED_BUT_SHRINKING","DECLINING_KEY_CORE"),IF(R250="Established Buyer Lapsed","LAPSED_ESTABLISHED","LAPSED_THIN_HISTORY")),IF(S250,IF(P250&lt;&gt;"Recently Active","DORMANT_LOW_VALUE",IF(AG250,"BROWSING_LOW_OFFERS",IF(AH250,"RISING_TAIL","RISING_TAIL_EARLY"))),IF(AND(AG250,P250="Recently Active",OR(G250="Growing",G250="Stable",G250="H2 Active / No H1 GMV"),I250&gt;=Assumptions!$B$74),"BROWSING_LOW_OFFERS","LONG_TAIL_STANDARD"))))))))))</f>
        <v>LONG_TAIL_STANDARD</v>
      </c>
      <c r="AK250" s="2" t="str">
        <f aca="false">INDEX('NBA Library'!$B$4:$B$21,MATCH(AJ250,'NBA Library'!$A$4:$A$21,0))</f>
        <v>Automated Nurture</v>
      </c>
      <c r="AL250" s="2" t="str">
        <f aca="false">INDEX('NBA Library'!$C$4:$C$21,MATCH(AJ250,'NBA Library'!$A$4:$A$21,0))</f>
        <v>Automated</v>
      </c>
      <c r="AM250" s="2" t="str">
        <f aca="false">IF(AA250,"HOLD — Critical Data Issue",IF(Y250,"Human Sign-Off Required",IF(Z250="Manual Review","Human Review Required",IF(AND(AL250="Automated",OR(AE250,AND(OR(AK250="Discovery-to-Offer Enablement",AK250="Reinforce Successful Behaviour"),OR(AC250,AB250)))),"Human Review Required",IF(AL250="Human","Ready — Human",IF(AL250="Hybrid","Ready — Hybrid","Ready — Automated"))))))</f>
        <v>Ready — Automated</v>
      </c>
      <c r="AN250" s="2" t="str">
        <f aca="false">IF(AA250,"P0",IF(AND(AJ250="BROWSING_LOW_OFFERS",E250="Tail"),"P3",IF(AND(AM250="Human Review Required",INDEX('NBA Library'!$D$4:$D$21,MATCH(AJ250,'NBA Library'!$A$4:$A$21,0))="P4"),"P3",INDEX('NBA Library'!$D$4:$D$21,MATCH(AJ250,'NBA Library'!$A$4:$A$21,0)))))</f>
        <v>P4</v>
      </c>
      <c r="AO250" s="2" t="str">
        <f aca="false">E250&amp;" "&amp;C250&amp;" account ("&amp;B250&amp;"); "&amp;G250&amp;" momentum; "&amp;P250&amp;"; £"&amp;TEXT(H250,"#,##0")&amp;" 6m GMV. "&amp;INDEX('NBA Library'!$G$4:$G$21,MATCH(AJ250,'NBA Library'!$A$4:$A$21,0))&amp;IF(LEFT(D250,1)="1"," Baseline: "&amp;V250&amp;" PDP views, "&amp;W250&amp;" app days, "&amp;X250&amp;" offers, "&amp;TEXT(J250/I250,"0%")&amp;" of orders self-serve.","")&amp;IF(AA250," Execution on HOLD until the Duplicate status is resolved.","")&amp;IF(Y250," Key account: explicit AM/leadership sign-off required before any migration activity.","")&amp;IF(AE250," Implied broker % from order counts would move this account to a different segment; review before automating.","")</f>
        <v>Tail Self-Serve account (Self Serve); Lapsed momentum; No Meaningful History; £298 6m GMV. Low-value, low-dependency account. Scalable automated engagement.</v>
      </c>
      <c r="AP250" s="2" t="str">
        <f aca="false">INDEX('NBA Library'!$E$4:$E$21,MATCH(AJ250,'NBA Library'!$A$4:$A$21,0))&amp;IF(AND(AJ250="NEW_CUSTOMER",AG250),"; introduce Make-an-Offer on items already browsed","")</f>
        <v>Scalable automated engagement matched to nurture sub-context</v>
      </c>
      <c r="AQ250" s="2" t="str">
        <f aca="false">INDEX('NBA Library'!$F$4:$F$21,MATCH(AJ250,'NBA Library'!$A$4:$A$21,0))</f>
        <v>Any repeat order within 90 days</v>
      </c>
      <c r="AR250" s="2" t="str">
        <f aca="false">IF(AND(F250="Low",OR(G250="Growing",G250="Stable"),P250="Recently Active",U250&lt;&gt;"Mixed",OR(AK250="Discovery-to-Offer Enablement",AK250="Reinforce Successful Behaviour"),AM250="Ready — Automated",OR(E250&lt;&gt;"Tail",S250)),"Range Expansion Test — trial "&amp;IF(U250="Bundle-only","handpick","bundles")&amp;" (experimental; not proven to lift GMV)","")</f>
        <v/>
      </c>
      <c r="AS250" s="2" t="str">
        <f aca="false">IF(AK250&lt;&gt;"Automated Nurture","",IF(AJ250="DORMANT_LOW_VALUE","Dormant",IF(AJ250="RISING_TAIL_EARLY","Rising tail – early pattern",IF(Q250="New Customer","New customer onboarding",IF(Q250="Returned Customer","Returned customer",IF(G250="Lapsed","Dormant",IF(T250="Engaged, not converting","Engaged, not converting",IF(T250="One-off low-touch buyer","One-off purchaser",IF(T250="Light-touch repeat buyer","Light-touch repeat buyer","Standard long tail")))))))))</f>
        <v>Dormant</v>
      </c>
      <c r="AT250" s="2" t="str">
        <f aca="false">IF(AA250,"CRITICAL_DATA_BLOCKER; ","")&amp;IF(Y250,"KEY_SIGNOFF; ","")&amp;IF(Z250="Manual Review","PHASE1_MANUAL_REVIEW; ","")&amp;IF(AND(LEFT(D250,1)="1",AZ250="Lumpy"),"LUMPY_CADENCE; ","")&amp;IF(AB250,"BORDERLINE_MOMENTUM; ","")&amp;IF(AC250,"FEB_SENSITIVE; ","")&amp;IF(AD250,"MATERIAL_BROKER_INCONSISTENCY"&amp;IF(AE250," (segment would change)","")&amp;"; ","")&amp;IF(AND(I250&gt;=3,O250&gt;0),IF(AI250&gt;=Assumptions!$B$75,"H2_SINGLE_MONTH_SPIKE; ",""),"")&amp;IF(AND(M250&gt;0,N250=0),"NO_FEB_GMV (Feb unconfirmed); ","")&amp;IF(AF250,"LOW_CONFIDENCE; ","")</f>
        <v>LOW_CONFIDENCE; </v>
      </c>
      <c r="AU250" s="2" t="str">
        <f aca="false">IF(LEFT(D250,1)="1",V250,"")</f>
        <v/>
      </c>
      <c r="AV250" s="2" t="str">
        <f aca="false">IF(LEFT(D250,1)="1",V250&gt;=Assumptions!$B$58,"")</f>
        <v/>
      </c>
      <c r="AW250" s="2" t="str">
        <f aca="false">IF(LEFT(D250,1)="1",W250,"")</f>
        <v/>
      </c>
      <c r="AX250" s="2" t="str">
        <f aca="false">IF(LEFT(D250,1)="1",X250,"")</f>
        <v/>
      </c>
      <c r="AY250" s="17" t="str">
        <f aca="false">IF(LEFT(D250,1)="1",J250/I250,"")</f>
        <v/>
      </c>
      <c r="AZ250" s="2" t="str">
        <f aca="false">IF(LEFT(D250,1)="1",IF(AND(K250&gt;=Assumptions!$B$83,I250&gt;=Assumptions!$B$84),"Regular","Lumpy"),"")</f>
        <v/>
      </c>
      <c r="BA250" s="2" t="str">
        <f aca="false">IF(LEFT(D250,1)="1",ROUND(6/K250,0),"")</f>
        <v/>
      </c>
      <c r="BB250" s="2" t="str">
        <f aca="false">IF(LEFT(D250,1)="1",IF(AZ250="Regular","Regular buyer: expected ~£"&amp;TEXT(H250/2,"#,##0")&amp;" per 90 days. At Risk if GMV to date &lt; "&amp;TEXT(Assumptions!$B$81,"0%")&amp;" of pro-rated expectation, checked from day "&amp;Assumptions!$B$82&amp;". Human-reviewed.","Irregular buyer ("&amp;I250&amp;" orders across "&amp;K250&amp;" months): no numeric GMV threshold. At Risk if no order within ~"&amp;BA250&amp;" month(s); AM reviews at day "&amp;Assumptions!$B$82&amp;" and "&amp;Assumptions!$B$85&amp;"."),"")</f>
        <v/>
      </c>
      <c r="BC250" s="2"/>
      <c r="BD250" s="2"/>
      <c r="BE250" s="2"/>
      <c r="BF250" s="2"/>
      <c r="BG250" s="2"/>
      <c r="BH250" s="2"/>
      <c r="BI250" s="2"/>
      <c r="BJ250" s="2" t="str">
        <f aca="false">IF(OR(NOT(LEFT(D250,1)="1"),BC250=""),"",IF(AZ250="Regular",AND(BC250&gt;=Assumptions!$B$82,N(BI250)&lt;Assumptions!$B$81*H250/180*BC250),AND(BC250&gt;=BA250*30,N(BG250)=0)))</f>
        <v/>
      </c>
      <c r="BK250" s="2" t="str">
        <f aca="false">IF(NOT(LEFT(D250,1)="1"),"N/A",IF(BC250="","Baseline",IF(BJ250,"At Risk",IF(AND(N(BD250)&gt;=Assumptions!$B$78,N(BE250)&gt;=Assumptions!$B$79,N(BH250)&gt;=1,N(BH250)/MAX(N(BG250),1)&gt;AY250),"Self-Serve Capability Demonstrated",IF(OR(N(BD250)&gt;=Assumptions!$B$76,N(BE250)&gt;=Assumptions!$B$77),"Progressing",IF(BC250&gt;=Assumptions!$B$85,"At Risk","Baseline"))))))</f>
        <v>N/A</v>
      </c>
      <c r="BL250" s="2" t="n">
        <f aca="false">(AND(C250="Broker-Reliant",OR(AK250="Discovery-to-Offer Enablement",AK250="Reinforce Successful Behaviour")))*1+(AND(G250="Declining",E250&lt;&gt;"Tail",AL250="Automated"))*1+(AND(Y250,AM250&lt;&gt;"Human Sign-Off Required"))*1+(AND(AA250,AM250&lt;&gt;"HOLD — Critical Data Issue"))*1+(AND(P250="Recent Inactivity",OR(AK250="Discovery-to-Offer Enablement",AK250="Reinforce Successful Behaviour")))*1+(AND(OR(LEFT(D250,1)="2",LEFT(D250,1)="3",LEFT(D250,1)="8"),AL250="Automated"))*1+((LEFT(D250,1)="1")&lt;&gt;(AK250="Guided Self-Serve Migration"))*1+(AND(AR250&lt;&gt;"",OR(F250&lt;&gt;"Low",U250="Mixed",AND(G250&lt;&gt;"Growing",G250&lt;&gt;"Stable"))))*1+ISNUMBER(SEARCH("chat",AP250))*1+ISNUMBER(SEARCH("video",AP250))*1+(AND(AA250,AL250="Automated",AM250&lt;&gt;"HOLD — Critical Data Issue"))*1</f>
        <v>0</v>
      </c>
    </row>
    <row r="251" customFormat="false" ht="15" hidden="false" customHeight="false" outlineLevel="0" collapsed="false">
      <c r="A251" s="2" t="s">
        <v>796</v>
      </c>
      <c r="B251" s="2" t="str">
        <f aca="false">INDEX(Segmentation!$B$2:$B$301,MATCH($A251,Segmentation!$A$2:$A$301,0))</f>
        <v>Self Serve</v>
      </c>
      <c r="C251" s="2" t="str">
        <f aca="false">INDEX(Segmentation!$H$2:$H$301,MATCH($A251,Segmentation!$A$2:$A$301,0))</f>
        <v>Self-Serve</v>
      </c>
      <c r="D251" s="2" t="str">
        <f aca="false">INDEX(Segmentation!$T$2:$T$301,MATCH($A251,Segmentation!$A$2:$A$301,0))</f>
        <v>9. Long-Tail Automated Nurture</v>
      </c>
      <c r="E251" s="2" t="str">
        <f aca="false">INDEX(Segmentation!$J$2:$J$301,MATCH($A251,Segmentation!$A$2:$A$301,0))</f>
        <v>Tail</v>
      </c>
      <c r="F251" s="2" t="str">
        <f aca="false">INDEX(Segmentation!$G$2:$G$301,MATCH($A251,Segmentation!$A$2:$A$301,0))</f>
        <v>Low</v>
      </c>
      <c r="G251" s="2" t="str">
        <f aca="false">INDEX(Segmentation!$N$2:$N$301,MATCH($A251,Segmentation!$A$2:$A$301,0))</f>
        <v>Lapsed</v>
      </c>
      <c r="H251" s="9" t="n">
        <f aca="false">INDEX(Segmentation!$I$2:$I$301,MATCH($A251,Segmentation!$A$2:$A$301,0))</f>
        <v>294</v>
      </c>
      <c r="I251" s="2" t="n">
        <f aca="false">INDEX(Segmentation!$O$2:$O$301,MATCH($A251,Segmentation!$A$2:$A$301,0))</f>
        <v>1</v>
      </c>
      <c r="J251" s="2" t="n">
        <f aca="false">INDEX(Segmentation!$Q$2:$Q$301,MATCH($A251,Segmentation!$A$2:$A$301,0))</f>
        <v>1</v>
      </c>
      <c r="K251" s="2" t="n">
        <f aca="false">INDEX(Segmentation!$W$2:$W$301,MATCH($A251,Segmentation!$A$2:$A$301,0))</f>
        <v>1</v>
      </c>
      <c r="L251" s="9" t="n">
        <f aca="false">INDEX('Commercial View'!$L$2:$L$301,MATCH($A251,'Commercial View'!$A$2:$A$301,0))</f>
        <v>0</v>
      </c>
      <c r="M251" s="9" t="n">
        <f aca="false">INDEX('Commercial View'!$M$2:$M$301,MATCH($A251,'Commercial View'!$A$2:$A$301,0))</f>
        <v>0</v>
      </c>
      <c r="N251" s="9" t="n">
        <f aca="false">INDEX('Commercial View'!$N$2:$N$301,MATCH($A251,'Commercial View'!$A$2:$A$301,0))</f>
        <v>0</v>
      </c>
      <c r="O251" s="9" t="n">
        <f aca="false">INDEX(Segmentation!$L$2:$L$301,MATCH($A251,Segmentation!$A$2:$A$301,0))</f>
        <v>0</v>
      </c>
      <c r="P251" s="2" t="str">
        <f aca="false">IF(OR(M251&gt;0,N251&gt;0),"Recently Active",IF(OR(I251&lt;=Assumptions!$B$48,K251&lt;=Assumptions!$B$49),"No Meaningful History","Recent Inactivity"))</f>
        <v>No Meaningful History</v>
      </c>
      <c r="Q251" s="2" t="str">
        <f aca="false">INDEX(Segmentation!$AF$2:$AF$301,MATCH($A251,Segmentation!$A$2:$A$301,0))</f>
        <v>Existing Customer</v>
      </c>
      <c r="R251" s="2" t="str">
        <f aca="false">INDEX(Segmentation!$AL$2:$AL$301,MATCH($A251,Segmentation!$A$2:$A$301,0))</f>
        <v>One-Off / Insufficient History — Verify</v>
      </c>
      <c r="S251" s="10" t="b">
        <f aca="false">INDEX(Segmentation!$AW$2:$AW$301,MATCH($A251,Segmentation!$A$2:$A$301,0))</f>
        <v>0</v>
      </c>
      <c r="T251" s="2" t="str">
        <f aca="false">INDEX('Feature Data'!$AD$2:$AD$301,MATCH($A251,'Feature Data'!$A$2:$A$301,0))</f>
        <v>One-off low-touch buyer</v>
      </c>
      <c r="U251" s="2" t="str">
        <f aca="false">INDEX('Feature Data'!$W$2:$W$301,MATCH($A251,'Feature Data'!$A$2:$A$301,0))</f>
        <v>Bundle-only</v>
      </c>
      <c r="V251" s="2" t="n">
        <f aca="false">INDEX('Feature Data'!$P$2:$P$301,MATCH($A251,'Feature Data'!$A$2:$A$301,0))</f>
        <v>103</v>
      </c>
      <c r="W251" s="2" t="n">
        <f aca="false">INDEX(Segmentation!$R$2:$R$301,MATCH($A251,Segmentation!$A$2:$A$301,0))</f>
        <v>7</v>
      </c>
      <c r="X251" s="2" t="n">
        <f aca="false">INDEX(Segmentation!$S$2:$S$301,MATCH($A251,Segmentation!$A$2:$A$301,0))</f>
        <v>9</v>
      </c>
      <c r="Y251" s="10" t="b">
        <f aca="false">INDEX(Segmentation!$AG$2:$AG$301,MATCH($A251,Segmentation!$A$2:$A$301,0))</f>
        <v>0</v>
      </c>
      <c r="Z251" s="2" t="str">
        <f aca="false">INDEX(Segmentation!$AU$2:$AU$301,MATCH($A251,Segmentation!$A$2:$A$301,0))</f>
        <v>Not Eligible</v>
      </c>
      <c r="AA251" s="10" t="b">
        <f aca="false">INDEX(Segmentation!$Z$2:$Z$301,MATCH($A251,Segmentation!$A$2:$A$301,0))</f>
        <v>0</v>
      </c>
      <c r="AB251" s="10" t="b">
        <f aca="false">INDEX(Segmentation!$AH$2:$AH$301,MATCH($A251,Segmentation!$A$2:$A$301,0))</f>
        <v>0</v>
      </c>
      <c r="AC251" s="10" t="b">
        <f aca="false">INDEX(Segmentation!$AK$2:$AK$301,MATCH($A251,Segmentation!$A$2:$A$301,0))</f>
        <v>0</v>
      </c>
      <c r="AD251" s="10" t="b">
        <f aca="false">INDEX(Segmentation!$AQ$2:$AQ$301,MATCH($A251,Segmentation!$A$2:$A$301,0))</f>
        <v>0</v>
      </c>
      <c r="AE251" s="10" t="b">
        <f aca="false">INDEX(Segmentation!$AT$2:$AT$301,MATCH($A251,Segmentation!$A$2:$A$301,0))</f>
        <v>0</v>
      </c>
      <c r="AF251" s="10" t="b">
        <f aca="false">INDEX(Segmentation!$X$2:$X$301,MATCH($A251,Segmentation!$A$2:$A$301,0))</f>
        <v>1</v>
      </c>
      <c r="AG251" s="10" t="b">
        <f aca="false">AND(F251="Low",V251&gt;=Assumptions!$B$71,X251&lt;Assumptions!$B$72)</f>
        <v>0</v>
      </c>
      <c r="AH251" s="10" t="b">
        <f aca="false">AND(F251="Low",OR(G251="Growing",G251="Stable"),P251="Recently Active",V251&gt;=Assumptions!$B$58,K251&gt;=Assumptions!$B$73)</f>
        <v>0</v>
      </c>
      <c r="AI251" s="17" t="str">
        <f aca="false">IF(O251&gt;0,MAX(L251:N251)/O251,"")</f>
        <v/>
      </c>
      <c r="AJ251" s="2" t="str">
        <f aca="false">IF(LEFT(D251,1)="1",IF(E251="Key","MIGRATION_KEY_SIGNOFF",IF(Z251="Ready","MIGRATION_PHASE1_READY",IF(Z251="Manual Review","MIGRATION_PHASE1_REVIEW","MIGRATION_PRE_ENTRY"))),IF(LEFT(D251,1)="2","DECLINING_KEY_CORE",IF(LEFT(D251,1)="3",IF(R251="Established Buyer Lapsed","LAPSED_ESTABLISHED","LAPSED_THIN_HISTORY"),IF(LEFT(D251,1)="4",IF(Q251="New Customer","NEW_CUSTOMER","RETURNED_CUSTOMER"),IF(LEFT(D251,1)="5",IF(P251="Recently Active","COST_TO_SERVE_ACTIVE","DORMANT_LOW_VALUE"),IF(LEFT(D251,1)="6",IF(P251="Recent Inactivity","RECENT_INACTIVITY",IF(AG251,"BROWSING_LOW_OFFERS","HEALTHY_STRONG_SELF_SERVE")),IF(LEFT(D251,1)="7",IF(P251="Recent Inactivity","RECENT_INACTIVITY",IF(Q251="New Customer","NEW_CUSTOMER","RETURNED_CUSTOMER")),IF(LEFT(D251,1)="8",IF(G251="Declining",IF(T251="Engaged but shrinking (Key/Core)","ENGAGED_BUT_SHRINKING","DECLINING_KEY_CORE"),IF(R251="Established Buyer Lapsed","LAPSED_ESTABLISHED","LAPSED_THIN_HISTORY")),IF(S251,IF(P251&lt;&gt;"Recently Active","DORMANT_LOW_VALUE",IF(AG251,"BROWSING_LOW_OFFERS",IF(AH251,"RISING_TAIL","RISING_TAIL_EARLY"))),IF(AND(AG251,P251="Recently Active",OR(G251="Growing",G251="Stable",G251="H2 Active / No H1 GMV"),I251&gt;=Assumptions!$B$74),"BROWSING_LOW_OFFERS","LONG_TAIL_STANDARD"))))))))))</f>
        <v>LONG_TAIL_STANDARD</v>
      </c>
      <c r="AK251" s="2" t="str">
        <f aca="false">INDEX('NBA Library'!$B$4:$B$21,MATCH(AJ251,'NBA Library'!$A$4:$A$21,0))</f>
        <v>Automated Nurture</v>
      </c>
      <c r="AL251" s="2" t="str">
        <f aca="false">INDEX('NBA Library'!$C$4:$C$21,MATCH(AJ251,'NBA Library'!$A$4:$A$21,0))</f>
        <v>Automated</v>
      </c>
      <c r="AM251" s="2" t="str">
        <f aca="false">IF(AA251,"HOLD — Critical Data Issue",IF(Y251,"Human Sign-Off Required",IF(Z251="Manual Review","Human Review Required",IF(AND(AL251="Automated",OR(AE251,AND(OR(AK251="Discovery-to-Offer Enablement",AK251="Reinforce Successful Behaviour"),OR(AC251,AB251)))),"Human Review Required",IF(AL251="Human","Ready — Human",IF(AL251="Hybrid","Ready — Hybrid","Ready — Automated"))))))</f>
        <v>Ready — Automated</v>
      </c>
      <c r="AN251" s="2" t="str">
        <f aca="false">IF(AA251,"P0",IF(AND(AJ251="BROWSING_LOW_OFFERS",E251="Tail"),"P3",IF(AND(AM251="Human Review Required",INDEX('NBA Library'!$D$4:$D$21,MATCH(AJ251,'NBA Library'!$A$4:$A$21,0))="P4"),"P3",INDEX('NBA Library'!$D$4:$D$21,MATCH(AJ251,'NBA Library'!$A$4:$A$21,0)))))</f>
        <v>P4</v>
      </c>
      <c r="AO251" s="2" t="str">
        <f aca="false">E251&amp;" "&amp;C251&amp;" account ("&amp;B251&amp;"); "&amp;G251&amp;" momentum; "&amp;P251&amp;"; £"&amp;TEXT(H251,"#,##0")&amp;" 6m GMV. "&amp;INDEX('NBA Library'!$G$4:$G$21,MATCH(AJ251,'NBA Library'!$A$4:$A$21,0))&amp;IF(LEFT(D251,1)="1"," Baseline: "&amp;V251&amp;" PDP views, "&amp;W251&amp;" app days, "&amp;X251&amp;" offers, "&amp;TEXT(J251/I251,"0%")&amp;" of orders self-serve.","")&amp;IF(AA251," Execution on HOLD until the Duplicate status is resolved.","")&amp;IF(Y251," Key account: explicit AM/leadership sign-off required before any migration activity.","")&amp;IF(AE251," Implied broker % from order counts would move this account to a different segment; review before automating.","")</f>
        <v>Tail Self-Serve account (Self Serve); Lapsed momentum; No Meaningful History; £294 6m GMV. Low-value, low-dependency account. Scalable automated engagement.</v>
      </c>
      <c r="AP251" s="2" t="str">
        <f aca="false">INDEX('NBA Library'!$E$4:$E$21,MATCH(AJ251,'NBA Library'!$A$4:$A$21,0))&amp;IF(AND(AJ251="NEW_CUSTOMER",AG251),"; introduce Make-an-Offer on items already browsed","")</f>
        <v>Scalable automated engagement matched to nurture sub-context</v>
      </c>
      <c r="AQ251" s="2" t="str">
        <f aca="false">INDEX('NBA Library'!$F$4:$F$21,MATCH(AJ251,'NBA Library'!$A$4:$A$21,0))</f>
        <v>Any repeat order within 90 days</v>
      </c>
      <c r="AR251" s="2" t="str">
        <f aca="false">IF(AND(F251="Low",OR(G251="Growing",G251="Stable"),P251="Recently Active",U251&lt;&gt;"Mixed",OR(AK251="Discovery-to-Offer Enablement",AK251="Reinforce Successful Behaviour"),AM251="Ready — Automated",OR(E251&lt;&gt;"Tail",S251)),"Range Expansion Test — trial "&amp;IF(U251="Bundle-only","handpick","bundles")&amp;" (experimental; not proven to lift GMV)","")</f>
        <v/>
      </c>
      <c r="AS251" s="2" t="str">
        <f aca="false">IF(AK251&lt;&gt;"Automated Nurture","",IF(AJ251="DORMANT_LOW_VALUE","Dormant",IF(AJ251="RISING_TAIL_EARLY","Rising tail – early pattern",IF(Q251="New Customer","New customer onboarding",IF(Q251="Returned Customer","Returned customer",IF(G251="Lapsed","Dormant",IF(T251="Engaged, not converting","Engaged, not converting",IF(T251="One-off low-touch buyer","One-off purchaser",IF(T251="Light-touch repeat buyer","Light-touch repeat buyer","Standard long tail")))))))))</f>
        <v>Dormant</v>
      </c>
      <c r="AT251" s="2" t="str">
        <f aca="false">IF(AA251,"CRITICAL_DATA_BLOCKER; ","")&amp;IF(Y251,"KEY_SIGNOFF; ","")&amp;IF(Z251="Manual Review","PHASE1_MANUAL_REVIEW; ","")&amp;IF(AND(LEFT(D251,1)="1",AZ251="Lumpy"),"LUMPY_CADENCE; ","")&amp;IF(AB251,"BORDERLINE_MOMENTUM; ","")&amp;IF(AC251,"FEB_SENSITIVE; ","")&amp;IF(AD251,"MATERIAL_BROKER_INCONSISTENCY"&amp;IF(AE251," (segment would change)","")&amp;"; ","")&amp;IF(AND(I251&gt;=3,O251&gt;0),IF(AI251&gt;=Assumptions!$B$75,"H2_SINGLE_MONTH_SPIKE; ",""),"")&amp;IF(AND(M251&gt;0,N251=0),"NO_FEB_GMV (Feb unconfirmed); ","")&amp;IF(AF251,"LOW_CONFIDENCE; ","")</f>
        <v>LOW_CONFIDENCE; </v>
      </c>
      <c r="AU251" s="2" t="str">
        <f aca="false">IF(LEFT(D251,1)="1",V251,"")</f>
        <v/>
      </c>
      <c r="AV251" s="2" t="str">
        <f aca="false">IF(LEFT(D251,1)="1",V251&gt;=Assumptions!$B$58,"")</f>
        <v/>
      </c>
      <c r="AW251" s="2" t="str">
        <f aca="false">IF(LEFT(D251,1)="1",W251,"")</f>
        <v/>
      </c>
      <c r="AX251" s="2" t="str">
        <f aca="false">IF(LEFT(D251,1)="1",X251,"")</f>
        <v/>
      </c>
      <c r="AY251" s="17" t="str">
        <f aca="false">IF(LEFT(D251,1)="1",J251/I251,"")</f>
        <v/>
      </c>
      <c r="AZ251" s="2" t="str">
        <f aca="false">IF(LEFT(D251,1)="1",IF(AND(K251&gt;=Assumptions!$B$83,I251&gt;=Assumptions!$B$84),"Regular","Lumpy"),"")</f>
        <v/>
      </c>
      <c r="BA251" s="2" t="str">
        <f aca="false">IF(LEFT(D251,1)="1",ROUND(6/K251,0),"")</f>
        <v/>
      </c>
      <c r="BB251" s="2" t="str">
        <f aca="false">IF(LEFT(D251,1)="1",IF(AZ251="Regular","Regular buyer: expected ~£"&amp;TEXT(H251/2,"#,##0")&amp;" per 90 days. At Risk if GMV to date &lt; "&amp;TEXT(Assumptions!$B$81,"0%")&amp;" of pro-rated expectation, checked from day "&amp;Assumptions!$B$82&amp;". Human-reviewed.","Irregular buyer ("&amp;I251&amp;" orders across "&amp;K251&amp;" months): no numeric GMV threshold. At Risk if no order within ~"&amp;BA251&amp;" month(s); AM reviews at day "&amp;Assumptions!$B$82&amp;" and "&amp;Assumptions!$B$85&amp;"."),"")</f>
        <v/>
      </c>
      <c r="BC251" s="2"/>
      <c r="BD251" s="2"/>
      <c r="BE251" s="2"/>
      <c r="BF251" s="2"/>
      <c r="BG251" s="2"/>
      <c r="BH251" s="2"/>
      <c r="BI251" s="2"/>
      <c r="BJ251" s="2" t="str">
        <f aca="false">IF(OR(NOT(LEFT(D251,1)="1"),BC251=""),"",IF(AZ251="Regular",AND(BC251&gt;=Assumptions!$B$82,N(BI251)&lt;Assumptions!$B$81*H251/180*BC251),AND(BC251&gt;=BA251*30,N(BG251)=0)))</f>
        <v/>
      </c>
      <c r="BK251" s="2" t="str">
        <f aca="false">IF(NOT(LEFT(D251,1)="1"),"N/A",IF(BC251="","Baseline",IF(BJ251,"At Risk",IF(AND(N(BD251)&gt;=Assumptions!$B$78,N(BE251)&gt;=Assumptions!$B$79,N(BH251)&gt;=1,N(BH251)/MAX(N(BG251),1)&gt;AY251),"Self-Serve Capability Demonstrated",IF(OR(N(BD251)&gt;=Assumptions!$B$76,N(BE251)&gt;=Assumptions!$B$77),"Progressing",IF(BC251&gt;=Assumptions!$B$85,"At Risk","Baseline"))))))</f>
        <v>N/A</v>
      </c>
      <c r="BL251" s="2" t="n">
        <f aca="false">(AND(C251="Broker-Reliant",OR(AK251="Discovery-to-Offer Enablement",AK251="Reinforce Successful Behaviour")))*1+(AND(G251="Declining",E251&lt;&gt;"Tail",AL251="Automated"))*1+(AND(Y251,AM251&lt;&gt;"Human Sign-Off Required"))*1+(AND(AA251,AM251&lt;&gt;"HOLD — Critical Data Issue"))*1+(AND(P251="Recent Inactivity",OR(AK251="Discovery-to-Offer Enablement",AK251="Reinforce Successful Behaviour")))*1+(AND(OR(LEFT(D251,1)="2",LEFT(D251,1)="3",LEFT(D251,1)="8"),AL251="Automated"))*1+((LEFT(D251,1)="1")&lt;&gt;(AK251="Guided Self-Serve Migration"))*1+(AND(AR251&lt;&gt;"",OR(F251&lt;&gt;"Low",U251="Mixed",AND(G251&lt;&gt;"Growing",G251&lt;&gt;"Stable"))))*1+ISNUMBER(SEARCH("chat",AP251))*1+ISNUMBER(SEARCH("video",AP251))*1+(AND(AA251,AL251="Automated",AM251&lt;&gt;"HOLD — Critical Data Issue"))*1</f>
        <v>0</v>
      </c>
    </row>
    <row r="252" customFormat="false" ht="15" hidden="false" customHeight="false" outlineLevel="0" collapsed="false">
      <c r="A252" s="2" t="s">
        <v>806</v>
      </c>
      <c r="B252" s="2" t="str">
        <f aca="false">INDEX(Segmentation!$B$2:$B$301,MATCH($A252,Segmentation!$A$2:$A$301,0))</f>
        <v>Self Serve</v>
      </c>
      <c r="C252" s="2" t="str">
        <f aca="false">INDEX(Segmentation!$H$2:$H$301,MATCH($A252,Segmentation!$A$2:$A$301,0))</f>
        <v>Self-Serve</v>
      </c>
      <c r="D252" s="2" t="str">
        <f aca="false">INDEX(Segmentation!$T$2:$T$301,MATCH($A252,Segmentation!$A$2:$A$301,0))</f>
        <v>9. Long-Tail Automated Nurture</v>
      </c>
      <c r="E252" s="2" t="str">
        <f aca="false">INDEX(Segmentation!$J$2:$J$301,MATCH($A252,Segmentation!$A$2:$A$301,0))</f>
        <v>Tail</v>
      </c>
      <c r="F252" s="2" t="str">
        <f aca="false">INDEX(Segmentation!$G$2:$G$301,MATCH($A252,Segmentation!$A$2:$A$301,0))</f>
        <v>Low</v>
      </c>
      <c r="G252" s="2" t="str">
        <f aca="false">INDEX(Segmentation!$N$2:$N$301,MATCH($A252,Segmentation!$A$2:$A$301,0))</f>
        <v>Lapsed</v>
      </c>
      <c r="H252" s="9" t="n">
        <f aca="false">INDEX(Segmentation!$I$2:$I$301,MATCH($A252,Segmentation!$A$2:$A$301,0))</f>
        <v>281</v>
      </c>
      <c r="I252" s="2" t="n">
        <f aca="false">INDEX(Segmentation!$O$2:$O$301,MATCH($A252,Segmentation!$A$2:$A$301,0))</f>
        <v>1</v>
      </c>
      <c r="J252" s="2" t="n">
        <f aca="false">INDEX(Segmentation!$Q$2:$Q$301,MATCH($A252,Segmentation!$A$2:$A$301,0))</f>
        <v>1</v>
      </c>
      <c r="K252" s="2" t="n">
        <f aca="false">INDEX(Segmentation!$W$2:$W$301,MATCH($A252,Segmentation!$A$2:$A$301,0))</f>
        <v>1</v>
      </c>
      <c r="L252" s="9" t="n">
        <f aca="false">INDEX('Commercial View'!$L$2:$L$301,MATCH($A252,'Commercial View'!$A$2:$A$301,0))</f>
        <v>0</v>
      </c>
      <c r="M252" s="9" t="n">
        <f aca="false">INDEX('Commercial View'!$M$2:$M$301,MATCH($A252,'Commercial View'!$A$2:$A$301,0))</f>
        <v>0</v>
      </c>
      <c r="N252" s="9" t="n">
        <f aca="false">INDEX('Commercial View'!$N$2:$N$301,MATCH($A252,'Commercial View'!$A$2:$A$301,0))</f>
        <v>0</v>
      </c>
      <c r="O252" s="9" t="n">
        <f aca="false">INDEX(Segmentation!$L$2:$L$301,MATCH($A252,Segmentation!$A$2:$A$301,0))</f>
        <v>0</v>
      </c>
      <c r="P252" s="2" t="str">
        <f aca="false">IF(OR(M252&gt;0,N252&gt;0),"Recently Active",IF(OR(I252&lt;=Assumptions!$B$48,K252&lt;=Assumptions!$B$49),"No Meaningful History","Recent Inactivity"))</f>
        <v>No Meaningful History</v>
      </c>
      <c r="Q252" s="2" t="str">
        <f aca="false">INDEX(Segmentation!$AF$2:$AF$301,MATCH($A252,Segmentation!$A$2:$A$301,0))</f>
        <v>Existing Customer</v>
      </c>
      <c r="R252" s="2" t="str">
        <f aca="false">INDEX(Segmentation!$AL$2:$AL$301,MATCH($A252,Segmentation!$A$2:$A$301,0))</f>
        <v>One-Off / Insufficient History — Verify</v>
      </c>
      <c r="S252" s="10" t="b">
        <f aca="false">INDEX(Segmentation!$AW$2:$AW$301,MATCH($A252,Segmentation!$A$2:$A$301,0))</f>
        <v>0</v>
      </c>
      <c r="T252" s="2" t="str">
        <f aca="false">INDEX('Feature Data'!$AD$2:$AD$301,MATCH($A252,'Feature Data'!$A$2:$A$301,0))</f>
        <v>Engaged, not converting</v>
      </c>
      <c r="U252" s="2" t="str">
        <f aca="false">INDEX('Feature Data'!$W$2:$W$301,MATCH($A252,'Feature Data'!$A$2:$A$301,0))</f>
        <v>Handpick-only</v>
      </c>
      <c r="V252" s="2" t="n">
        <f aca="false">INDEX('Feature Data'!$P$2:$P$301,MATCH($A252,'Feature Data'!$A$2:$A$301,0))</f>
        <v>248</v>
      </c>
      <c r="W252" s="2" t="n">
        <f aca="false">INDEX(Segmentation!$R$2:$R$301,MATCH($A252,Segmentation!$A$2:$A$301,0))</f>
        <v>18</v>
      </c>
      <c r="X252" s="2" t="n">
        <f aca="false">INDEX(Segmentation!$S$2:$S$301,MATCH($A252,Segmentation!$A$2:$A$301,0))</f>
        <v>2</v>
      </c>
      <c r="Y252" s="10" t="b">
        <f aca="false">INDEX(Segmentation!$AG$2:$AG$301,MATCH($A252,Segmentation!$A$2:$A$301,0))</f>
        <v>0</v>
      </c>
      <c r="Z252" s="2" t="str">
        <f aca="false">INDEX(Segmentation!$AU$2:$AU$301,MATCH($A252,Segmentation!$A$2:$A$301,0))</f>
        <v>Not Eligible</v>
      </c>
      <c r="AA252" s="10" t="b">
        <f aca="false">INDEX(Segmentation!$Z$2:$Z$301,MATCH($A252,Segmentation!$A$2:$A$301,0))</f>
        <v>0</v>
      </c>
      <c r="AB252" s="10" t="b">
        <f aca="false">INDEX(Segmentation!$AH$2:$AH$301,MATCH($A252,Segmentation!$A$2:$A$301,0))</f>
        <v>0</v>
      </c>
      <c r="AC252" s="10" t="b">
        <f aca="false">INDEX(Segmentation!$AK$2:$AK$301,MATCH($A252,Segmentation!$A$2:$A$301,0))</f>
        <v>0</v>
      </c>
      <c r="AD252" s="10" t="b">
        <f aca="false">INDEX(Segmentation!$AQ$2:$AQ$301,MATCH($A252,Segmentation!$A$2:$A$301,0))</f>
        <v>0</v>
      </c>
      <c r="AE252" s="10" t="b">
        <f aca="false">INDEX(Segmentation!$AT$2:$AT$301,MATCH($A252,Segmentation!$A$2:$A$301,0))</f>
        <v>0</v>
      </c>
      <c r="AF252" s="10" t="b">
        <f aca="false">INDEX(Segmentation!$X$2:$X$301,MATCH($A252,Segmentation!$A$2:$A$301,0))</f>
        <v>1</v>
      </c>
      <c r="AG252" s="10" t="b">
        <f aca="false">AND(F252="Low",V252&gt;=Assumptions!$B$71,X252&lt;Assumptions!$B$72)</f>
        <v>1</v>
      </c>
      <c r="AH252" s="10" t="b">
        <f aca="false">AND(F252="Low",OR(G252="Growing",G252="Stable"),P252="Recently Active",V252&gt;=Assumptions!$B$58,K252&gt;=Assumptions!$B$73)</f>
        <v>0</v>
      </c>
      <c r="AI252" s="17" t="str">
        <f aca="false">IF(O252&gt;0,MAX(L252:N252)/O252,"")</f>
        <v/>
      </c>
      <c r="AJ252" s="2" t="str">
        <f aca="false">IF(LEFT(D252,1)="1",IF(E252="Key","MIGRATION_KEY_SIGNOFF",IF(Z252="Ready","MIGRATION_PHASE1_READY",IF(Z252="Manual Review","MIGRATION_PHASE1_REVIEW","MIGRATION_PRE_ENTRY"))),IF(LEFT(D252,1)="2","DECLINING_KEY_CORE",IF(LEFT(D252,1)="3",IF(R252="Established Buyer Lapsed","LAPSED_ESTABLISHED","LAPSED_THIN_HISTORY"),IF(LEFT(D252,1)="4",IF(Q252="New Customer","NEW_CUSTOMER","RETURNED_CUSTOMER"),IF(LEFT(D252,1)="5",IF(P252="Recently Active","COST_TO_SERVE_ACTIVE","DORMANT_LOW_VALUE"),IF(LEFT(D252,1)="6",IF(P252="Recent Inactivity","RECENT_INACTIVITY",IF(AG252,"BROWSING_LOW_OFFERS","HEALTHY_STRONG_SELF_SERVE")),IF(LEFT(D252,1)="7",IF(P252="Recent Inactivity","RECENT_INACTIVITY",IF(Q252="New Customer","NEW_CUSTOMER","RETURNED_CUSTOMER")),IF(LEFT(D252,1)="8",IF(G252="Declining",IF(T252="Engaged but shrinking (Key/Core)","ENGAGED_BUT_SHRINKING","DECLINING_KEY_CORE"),IF(R252="Established Buyer Lapsed","LAPSED_ESTABLISHED","LAPSED_THIN_HISTORY")),IF(S252,IF(P252&lt;&gt;"Recently Active","DORMANT_LOW_VALUE",IF(AG252,"BROWSING_LOW_OFFERS",IF(AH252,"RISING_TAIL","RISING_TAIL_EARLY"))),IF(AND(AG252,P252="Recently Active",OR(G252="Growing",G252="Stable",G252="H2 Active / No H1 GMV"),I252&gt;=Assumptions!$B$74),"BROWSING_LOW_OFFERS","LONG_TAIL_STANDARD"))))))))))</f>
        <v>LONG_TAIL_STANDARD</v>
      </c>
      <c r="AK252" s="2" t="str">
        <f aca="false">INDEX('NBA Library'!$B$4:$B$21,MATCH(AJ252,'NBA Library'!$A$4:$A$21,0))</f>
        <v>Automated Nurture</v>
      </c>
      <c r="AL252" s="2" t="str">
        <f aca="false">INDEX('NBA Library'!$C$4:$C$21,MATCH(AJ252,'NBA Library'!$A$4:$A$21,0))</f>
        <v>Automated</v>
      </c>
      <c r="AM252" s="2" t="str">
        <f aca="false">IF(AA252,"HOLD — Critical Data Issue",IF(Y252,"Human Sign-Off Required",IF(Z252="Manual Review","Human Review Required",IF(AND(AL252="Automated",OR(AE252,AND(OR(AK252="Discovery-to-Offer Enablement",AK252="Reinforce Successful Behaviour"),OR(AC252,AB252)))),"Human Review Required",IF(AL252="Human","Ready — Human",IF(AL252="Hybrid","Ready — Hybrid","Ready — Automated"))))))</f>
        <v>Ready — Automated</v>
      </c>
      <c r="AN252" s="2" t="str">
        <f aca="false">IF(AA252,"P0",IF(AND(AJ252="BROWSING_LOW_OFFERS",E252="Tail"),"P3",IF(AND(AM252="Human Review Required",INDEX('NBA Library'!$D$4:$D$21,MATCH(AJ252,'NBA Library'!$A$4:$A$21,0))="P4"),"P3",INDEX('NBA Library'!$D$4:$D$21,MATCH(AJ252,'NBA Library'!$A$4:$A$21,0)))))</f>
        <v>P4</v>
      </c>
      <c r="AO252" s="2" t="str">
        <f aca="false">E252&amp;" "&amp;C252&amp;" account ("&amp;B252&amp;"); "&amp;G252&amp;" momentum; "&amp;P252&amp;"; £"&amp;TEXT(H252,"#,##0")&amp;" 6m GMV. "&amp;INDEX('NBA Library'!$G$4:$G$21,MATCH(AJ252,'NBA Library'!$A$4:$A$21,0))&amp;IF(LEFT(D252,1)="1"," Baseline: "&amp;V252&amp;" PDP views, "&amp;W252&amp;" app days, "&amp;X252&amp;" offers, "&amp;TEXT(J252/I252,"0%")&amp;" of orders self-serve.","")&amp;IF(AA252," Execution on HOLD until the Duplicate status is resolved.","")&amp;IF(Y252," Key account: explicit AM/leadership sign-off required before any migration activity.","")&amp;IF(AE252," Implied broker % from order counts would move this account to a different segment; review before automating.","")</f>
        <v>Tail Self-Serve account (Self Serve); Lapsed momentum; No Meaningful History; £281 6m GMV. Low-value, low-dependency account. Scalable automated engagement.</v>
      </c>
      <c r="AP252" s="2" t="str">
        <f aca="false">INDEX('NBA Library'!$E$4:$E$21,MATCH(AJ252,'NBA Library'!$A$4:$A$21,0))&amp;IF(AND(AJ252="NEW_CUSTOMER",AG252),"; introduce Make-an-Offer on items already browsed","")</f>
        <v>Scalable automated engagement matched to nurture sub-context</v>
      </c>
      <c r="AQ252" s="2" t="str">
        <f aca="false">INDEX('NBA Library'!$F$4:$F$21,MATCH(AJ252,'NBA Library'!$A$4:$A$21,0))</f>
        <v>Any repeat order within 90 days</v>
      </c>
      <c r="AR252" s="2" t="str">
        <f aca="false">IF(AND(F252="Low",OR(G252="Growing",G252="Stable"),P252="Recently Active",U252&lt;&gt;"Mixed",OR(AK252="Discovery-to-Offer Enablement",AK252="Reinforce Successful Behaviour"),AM252="Ready — Automated",OR(E252&lt;&gt;"Tail",S252)),"Range Expansion Test — trial "&amp;IF(U252="Bundle-only","handpick","bundles")&amp;" (experimental; not proven to lift GMV)","")</f>
        <v/>
      </c>
      <c r="AS252" s="2" t="str">
        <f aca="false">IF(AK252&lt;&gt;"Automated Nurture","",IF(AJ252="DORMANT_LOW_VALUE","Dormant",IF(AJ252="RISING_TAIL_EARLY","Rising tail – early pattern",IF(Q252="New Customer","New customer onboarding",IF(Q252="Returned Customer","Returned customer",IF(G252="Lapsed","Dormant",IF(T252="Engaged, not converting","Engaged, not converting",IF(T252="One-off low-touch buyer","One-off purchaser",IF(T252="Light-touch repeat buyer","Light-touch repeat buyer","Standard long tail")))))))))</f>
        <v>Dormant</v>
      </c>
      <c r="AT252" s="2" t="str">
        <f aca="false">IF(AA252,"CRITICAL_DATA_BLOCKER; ","")&amp;IF(Y252,"KEY_SIGNOFF; ","")&amp;IF(Z252="Manual Review","PHASE1_MANUAL_REVIEW; ","")&amp;IF(AND(LEFT(D252,1)="1",AZ252="Lumpy"),"LUMPY_CADENCE; ","")&amp;IF(AB252,"BORDERLINE_MOMENTUM; ","")&amp;IF(AC252,"FEB_SENSITIVE; ","")&amp;IF(AD252,"MATERIAL_BROKER_INCONSISTENCY"&amp;IF(AE252," (segment would change)","")&amp;"; ","")&amp;IF(AND(I252&gt;=3,O252&gt;0),IF(AI252&gt;=Assumptions!$B$75,"H2_SINGLE_MONTH_SPIKE; ",""),"")&amp;IF(AND(M252&gt;0,N252=0),"NO_FEB_GMV (Feb unconfirmed); ","")&amp;IF(AF252,"LOW_CONFIDENCE; ","")</f>
        <v>LOW_CONFIDENCE; </v>
      </c>
      <c r="AU252" s="2" t="str">
        <f aca="false">IF(LEFT(D252,1)="1",V252,"")</f>
        <v/>
      </c>
      <c r="AV252" s="2" t="str">
        <f aca="false">IF(LEFT(D252,1)="1",V252&gt;=Assumptions!$B$58,"")</f>
        <v/>
      </c>
      <c r="AW252" s="2" t="str">
        <f aca="false">IF(LEFT(D252,1)="1",W252,"")</f>
        <v/>
      </c>
      <c r="AX252" s="2" t="str">
        <f aca="false">IF(LEFT(D252,1)="1",X252,"")</f>
        <v/>
      </c>
      <c r="AY252" s="17" t="str">
        <f aca="false">IF(LEFT(D252,1)="1",J252/I252,"")</f>
        <v/>
      </c>
      <c r="AZ252" s="2" t="str">
        <f aca="false">IF(LEFT(D252,1)="1",IF(AND(K252&gt;=Assumptions!$B$83,I252&gt;=Assumptions!$B$84),"Regular","Lumpy"),"")</f>
        <v/>
      </c>
      <c r="BA252" s="2" t="str">
        <f aca="false">IF(LEFT(D252,1)="1",ROUND(6/K252,0),"")</f>
        <v/>
      </c>
      <c r="BB252" s="2" t="str">
        <f aca="false">IF(LEFT(D252,1)="1",IF(AZ252="Regular","Regular buyer: expected ~£"&amp;TEXT(H252/2,"#,##0")&amp;" per 90 days. At Risk if GMV to date &lt; "&amp;TEXT(Assumptions!$B$81,"0%")&amp;" of pro-rated expectation, checked from day "&amp;Assumptions!$B$82&amp;". Human-reviewed.","Irregular buyer ("&amp;I252&amp;" orders across "&amp;K252&amp;" months): no numeric GMV threshold. At Risk if no order within ~"&amp;BA252&amp;" month(s); AM reviews at day "&amp;Assumptions!$B$82&amp;" and "&amp;Assumptions!$B$85&amp;"."),"")</f>
        <v/>
      </c>
      <c r="BC252" s="2"/>
      <c r="BD252" s="2"/>
      <c r="BE252" s="2"/>
      <c r="BF252" s="2"/>
      <c r="BG252" s="2"/>
      <c r="BH252" s="2"/>
      <c r="BI252" s="2"/>
      <c r="BJ252" s="2" t="str">
        <f aca="false">IF(OR(NOT(LEFT(D252,1)="1"),BC252=""),"",IF(AZ252="Regular",AND(BC252&gt;=Assumptions!$B$82,N(BI252)&lt;Assumptions!$B$81*H252/180*BC252),AND(BC252&gt;=BA252*30,N(BG252)=0)))</f>
        <v/>
      </c>
      <c r="BK252" s="2" t="str">
        <f aca="false">IF(NOT(LEFT(D252,1)="1"),"N/A",IF(BC252="","Baseline",IF(BJ252,"At Risk",IF(AND(N(BD252)&gt;=Assumptions!$B$78,N(BE252)&gt;=Assumptions!$B$79,N(BH252)&gt;=1,N(BH252)/MAX(N(BG252),1)&gt;AY252),"Self-Serve Capability Demonstrated",IF(OR(N(BD252)&gt;=Assumptions!$B$76,N(BE252)&gt;=Assumptions!$B$77),"Progressing",IF(BC252&gt;=Assumptions!$B$85,"At Risk","Baseline"))))))</f>
        <v>N/A</v>
      </c>
      <c r="BL252" s="2" t="n">
        <f aca="false">(AND(C252="Broker-Reliant",OR(AK252="Discovery-to-Offer Enablement",AK252="Reinforce Successful Behaviour")))*1+(AND(G252="Declining",E252&lt;&gt;"Tail",AL252="Automated"))*1+(AND(Y252,AM252&lt;&gt;"Human Sign-Off Required"))*1+(AND(AA252,AM252&lt;&gt;"HOLD — Critical Data Issue"))*1+(AND(P252="Recent Inactivity",OR(AK252="Discovery-to-Offer Enablement",AK252="Reinforce Successful Behaviour")))*1+(AND(OR(LEFT(D252,1)="2",LEFT(D252,1)="3",LEFT(D252,1)="8"),AL252="Automated"))*1+((LEFT(D252,1)="1")&lt;&gt;(AK252="Guided Self-Serve Migration"))*1+(AND(AR252&lt;&gt;"",OR(F252&lt;&gt;"Low",U252="Mixed",AND(G252&lt;&gt;"Growing",G252&lt;&gt;"Stable"))))*1+ISNUMBER(SEARCH("chat",AP252))*1+ISNUMBER(SEARCH("video",AP252))*1+(AND(AA252,AL252="Automated",AM252&lt;&gt;"HOLD — Critical Data Issue"))*1</f>
        <v>0</v>
      </c>
    </row>
    <row r="253" customFormat="false" ht="15" hidden="false" customHeight="false" outlineLevel="0" collapsed="false">
      <c r="A253" s="2" t="s">
        <v>808</v>
      </c>
      <c r="B253" s="2" t="str">
        <f aca="false">INDEX(Segmentation!$B$2:$B$301,MATCH($A253,Segmentation!$A$2:$A$301,0))</f>
        <v>Self Serve</v>
      </c>
      <c r="C253" s="2" t="str">
        <f aca="false">INDEX(Segmentation!$H$2:$H$301,MATCH($A253,Segmentation!$A$2:$A$301,0))</f>
        <v>Self-Serve</v>
      </c>
      <c r="D253" s="2" t="str">
        <f aca="false">INDEX(Segmentation!$T$2:$T$301,MATCH($A253,Segmentation!$A$2:$A$301,0))</f>
        <v>9. Long-Tail Automated Nurture</v>
      </c>
      <c r="E253" s="2" t="str">
        <f aca="false">INDEX(Segmentation!$J$2:$J$301,MATCH($A253,Segmentation!$A$2:$A$301,0))</f>
        <v>Tail</v>
      </c>
      <c r="F253" s="2" t="str">
        <f aca="false">INDEX(Segmentation!$G$2:$G$301,MATCH($A253,Segmentation!$A$2:$A$301,0))</f>
        <v>Low</v>
      </c>
      <c r="G253" s="2" t="str">
        <f aca="false">INDEX(Segmentation!$N$2:$N$301,MATCH($A253,Segmentation!$A$2:$A$301,0))</f>
        <v>H2 Active / No H1 GMV</v>
      </c>
      <c r="H253" s="9" t="n">
        <f aca="false">INDEX(Segmentation!$I$2:$I$301,MATCH($A253,Segmentation!$A$2:$A$301,0))</f>
        <v>279</v>
      </c>
      <c r="I253" s="2" t="n">
        <f aca="false">INDEX(Segmentation!$O$2:$O$301,MATCH($A253,Segmentation!$A$2:$A$301,0))</f>
        <v>1</v>
      </c>
      <c r="J253" s="2" t="n">
        <f aca="false">INDEX(Segmentation!$Q$2:$Q$301,MATCH($A253,Segmentation!$A$2:$A$301,0))</f>
        <v>1</v>
      </c>
      <c r="K253" s="2" t="n">
        <f aca="false">INDEX(Segmentation!$W$2:$W$301,MATCH($A253,Segmentation!$A$2:$A$301,0))</f>
        <v>1</v>
      </c>
      <c r="L253" s="9" t="n">
        <f aca="false">INDEX('Commercial View'!$L$2:$L$301,MATCH($A253,'Commercial View'!$A$2:$A$301,0))</f>
        <v>0</v>
      </c>
      <c r="M253" s="9" t="n">
        <f aca="false">INDEX('Commercial View'!$M$2:$M$301,MATCH($A253,'Commercial View'!$A$2:$A$301,0))</f>
        <v>0</v>
      </c>
      <c r="N253" s="9" t="n">
        <f aca="false">INDEX('Commercial View'!$N$2:$N$301,MATCH($A253,'Commercial View'!$A$2:$A$301,0))</f>
        <v>279</v>
      </c>
      <c r="O253" s="9" t="n">
        <f aca="false">INDEX(Segmentation!$L$2:$L$301,MATCH($A253,Segmentation!$A$2:$A$301,0))</f>
        <v>279</v>
      </c>
      <c r="P253" s="2" t="str">
        <f aca="false">IF(OR(M253&gt;0,N253&gt;0),"Recently Active",IF(OR(I253&lt;=Assumptions!$B$48,K253&lt;=Assumptions!$B$49),"No Meaningful History","Recent Inactivity"))</f>
        <v>Recently Active</v>
      </c>
      <c r="Q253" s="2" t="str">
        <f aca="false">INDEX(Segmentation!$AF$2:$AF$301,MATCH($A253,Segmentation!$A$2:$A$301,0))</f>
        <v>New Customer</v>
      </c>
      <c r="R253" s="2" t="str">
        <f aca="false">INDEX(Segmentation!$AL$2:$AL$301,MATCH($A253,Segmentation!$A$2:$A$301,0))</f>
        <v>N/A</v>
      </c>
      <c r="S253" s="10" t="b">
        <f aca="false">INDEX(Segmentation!$AW$2:$AW$301,MATCH($A253,Segmentation!$A$2:$A$301,0))</f>
        <v>0</v>
      </c>
      <c r="T253" s="2" t="str">
        <f aca="false">INDEX('Feature Data'!$AD$2:$AD$301,MATCH($A253,'Feature Data'!$A$2:$A$301,0))</f>
        <v>One-off low-touch buyer</v>
      </c>
      <c r="U253" s="2" t="str">
        <f aca="false">INDEX('Feature Data'!$W$2:$W$301,MATCH($A253,'Feature Data'!$A$2:$A$301,0))</f>
        <v>Bundle-only</v>
      </c>
      <c r="V253" s="2" t="n">
        <f aca="false">INDEX('Feature Data'!$P$2:$P$301,MATCH($A253,'Feature Data'!$A$2:$A$301,0))</f>
        <v>0</v>
      </c>
      <c r="W253" s="2" t="n">
        <f aca="false">INDEX(Segmentation!$R$2:$R$301,MATCH($A253,Segmentation!$A$2:$A$301,0))</f>
        <v>1</v>
      </c>
      <c r="X253" s="2" t="n">
        <f aca="false">INDEX(Segmentation!$S$2:$S$301,MATCH($A253,Segmentation!$A$2:$A$301,0))</f>
        <v>2</v>
      </c>
      <c r="Y253" s="10" t="b">
        <f aca="false">INDEX(Segmentation!$AG$2:$AG$301,MATCH($A253,Segmentation!$A$2:$A$301,0))</f>
        <v>0</v>
      </c>
      <c r="Z253" s="2" t="str">
        <f aca="false">INDEX(Segmentation!$AU$2:$AU$301,MATCH($A253,Segmentation!$A$2:$A$301,0))</f>
        <v>Not Eligible</v>
      </c>
      <c r="AA253" s="10" t="b">
        <f aca="false">INDEX(Segmentation!$Z$2:$Z$301,MATCH($A253,Segmentation!$A$2:$A$301,0))</f>
        <v>0</v>
      </c>
      <c r="AB253" s="10" t="b">
        <f aca="false">INDEX(Segmentation!$AH$2:$AH$301,MATCH($A253,Segmentation!$A$2:$A$301,0))</f>
        <v>0</v>
      </c>
      <c r="AC253" s="10" t="b">
        <f aca="false">INDEX(Segmentation!$AK$2:$AK$301,MATCH($A253,Segmentation!$A$2:$A$301,0))</f>
        <v>1</v>
      </c>
      <c r="AD253" s="10" t="b">
        <f aca="false">INDEX(Segmentation!$AQ$2:$AQ$301,MATCH($A253,Segmentation!$A$2:$A$301,0))</f>
        <v>0</v>
      </c>
      <c r="AE253" s="10" t="b">
        <f aca="false">INDEX(Segmentation!$AT$2:$AT$301,MATCH($A253,Segmentation!$A$2:$A$301,0))</f>
        <v>0</v>
      </c>
      <c r="AF253" s="10" t="b">
        <f aca="false">INDEX(Segmentation!$X$2:$X$301,MATCH($A253,Segmentation!$A$2:$A$301,0))</f>
        <v>1</v>
      </c>
      <c r="AG253" s="10" t="b">
        <f aca="false">AND(F253="Low",V253&gt;=Assumptions!$B$71,X253&lt;Assumptions!$B$72)</f>
        <v>0</v>
      </c>
      <c r="AH253" s="10" t="b">
        <f aca="false">AND(F253="Low",OR(G253="Growing",G253="Stable"),P253="Recently Active",V253&gt;=Assumptions!$B$58,K253&gt;=Assumptions!$B$73)</f>
        <v>0</v>
      </c>
      <c r="AI253" s="17" t="n">
        <f aca="false">IF(O253&gt;0,MAX(L253:N253)/O253,"")</f>
        <v>1</v>
      </c>
      <c r="AJ253" s="2" t="str">
        <f aca="false">IF(LEFT(D253,1)="1",IF(E253="Key","MIGRATION_KEY_SIGNOFF",IF(Z253="Ready","MIGRATION_PHASE1_READY",IF(Z253="Manual Review","MIGRATION_PHASE1_REVIEW","MIGRATION_PRE_ENTRY"))),IF(LEFT(D253,1)="2","DECLINING_KEY_CORE",IF(LEFT(D253,1)="3",IF(R253="Established Buyer Lapsed","LAPSED_ESTABLISHED","LAPSED_THIN_HISTORY"),IF(LEFT(D253,1)="4",IF(Q253="New Customer","NEW_CUSTOMER","RETURNED_CUSTOMER"),IF(LEFT(D253,1)="5",IF(P253="Recently Active","COST_TO_SERVE_ACTIVE","DORMANT_LOW_VALUE"),IF(LEFT(D253,1)="6",IF(P253="Recent Inactivity","RECENT_INACTIVITY",IF(AG253,"BROWSING_LOW_OFFERS","HEALTHY_STRONG_SELF_SERVE")),IF(LEFT(D253,1)="7",IF(P253="Recent Inactivity","RECENT_INACTIVITY",IF(Q253="New Customer","NEW_CUSTOMER","RETURNED_CUSTOMER")),IF(LEFT(D253,1)="8",IF(G253="Declining",IF(T253="Engaged but shrinking (Key/Core)","ENGAGED_BUT_SHRINKING","DECLINING_KEY_CORE"),IF(R253="Established Buyer Lapsed","LAPSED_ESTABLISHED","LAPSED_THIN_HISTORY")),IF(S253,IF(P253&lt;&gt;"Recently Active","DORMANT_LOW_VALUE",IF(AG253,"BROWSING_LOW_OFFERS",IF(AH253,"RISING_TAIL","RISING_TAIL_EARLY"))),IF(AND(AG253,P253="Recently Active",OR(G253="Growing",G253="Stable",G253="H2 Active / No H1 GMV"),I253&gt;=Assumptions!$B$74),"BROWSING_LOW_OFFERS","LONG_TAIL_STANDARD"))))))))))</f>
        <v>LONG_TAIL_STANDARD</v>
      </c>
      <c r="AK253" s="2" t="str">
        <f aca="false">INDEX('NBA Library'!$B$4:$B$21,MATCH(AJ253,'NBA Library'!$A$4:$A$21,0))</f>
        <v>Automated Nurture</v>
      </c>
      <c r="AL253" s="2" t="str">
        <f aca="false">INDEX('NBA Library'!$C$4:$C$21,MATCH(AJ253,'NBA Library'!$A$4:$A$21,0))</f>
        <v>Automated</v>
      </c>
      <c r="AM253" s="2" t="str">
        <f aca="false">IF(AA253,"HOLD — Critical Data Issue",IF(Y253,"Human Sign-Off Required",IF(Z253="Manual Review","Human Review Required",IF(AND(AL253="Automated",OR(AE253,AND(OR(AK253="Discovery-to-Offer Enablement",AK253="Reinforce Successful Behaviour"),OR(AC253,AB253)))),"Human Review Required",IF(AL253="Human","Ready — Human",IF(AL253="Hybrid","Ready — Hybrid","Ready — Automated"))))))</f>
        <v>Ready — Automated</v>
      </c>
      <c r="AN253" s="2" t="str">
        <f aca="false">IF(AA253,"P0",IF(AND(AJ253="BROWSING_LOW_OFFERS",E253="Tail"),"P3",IF(AND(AM253="Human Review Required",INDEX('NBA Library'!$D$4:$D$21,MATCH(AJ253,'NBA Library'!$A$4:$A$21,0))="P4"),"P3",INDEX('NBA Library'!$D$4:$D$21,MATCH(AJ253,'NBA Library'!$A$4:$A$21,0)))))</f>
        <v>P4</v>
      </c>
      <c r="AO253" s="2" t="str">
        <f aca="false">E253&amp;" "&amp;C253&amp;" account ("&amp;B253&amp;"); "&amp;G253&amp;" momentum; "&amp;P253&amp;"; £"&amp;TEXT(H253,"#,##0")&amp;" 6m GMV. "&amp;INDEX('NBA Library'!$G$4:$G$21,MATCH(AJ253,'NBA Library'!$A$4:$A$21,0))&amp;IF(LEFT(D253,1)="1"," Baseline: "&amp;V253&amp;" PDP views, "&amp;W253&amp;" app days, "&amp;X253&amp;" offers, "&amp;TEXT(J253/I253,"0%")&amp;" of orders self-serve.","")&amp;IF(AA253," Execution on HOLD until the Duplicate status is resolved.","")&amp;IF(Y253," Key account: explicit AM/leadership sign-off required before any migration activity.","")&amp;IF(AE253," Implied broker % from order counts would move this account to a different segment; review before automating.","")</f>
        <v>Tail Self-Serve account (Self Serve); H2 Active / No H1 GMV momentum; Recently Active; £279 6m GMV. Low-value, low-dependency account. Scalable automated engagement.</v>
      </c>
      <c r="AP253" s="2" t="str">
        <f aca="false">INDEX('NBA Library'!$E$4:$E$21,MATCH(AJ253,'NBA Library'!$A$4:$A$21,0))&amp;IF(AND(AJ253="NEW_CUSTOMER",AG253),"; introduce Make-an-Offer on items already browsed","")</f>
        <v>Scalable automated engagement matched to nurture sub-context</v>
      </c>
      <c r="AQ253" s="2" t="str">
        <f aca="false">INDEX('NBA Library'!$F$4:$F$21,MATCH(AJ253,'NBA Library'!$A$4:$A$21,0))</f>
        <v>Any repeat order within 90 days</v>
      </c>
      <c r="AR253" s="2" t="str">
        <f aca="false">IF(AND(F253="Low",OR(G253="Growing",G253="Stable"),P253="Recently Active",U253&lt;&gt;"Mixed",OR(AK253="Discovery-to-Offer Enablement",AK253="Reinforce Successful Behaviour"),AM253="Ready — Automated",OR(E253&lt;&gt;"Tail",S253)),"Range Expansion Test — trial "&amp;IF(U253="Bundle-only","handpick","bundles")&amp;" (experimental; not proven to lift GMV)","")</f>
        <v/>
      </c>
      <c r="AS253" s="2" t="str">
        <f aca="false">IF(AK253&lt;&gt;"Automated Nurture","",IF(AJ253="DORMANT_LOW_VALUE","Dormant",IF(AJ253="RISING_TAIL_EARLY","Rising tail – early pattern",IF(Q253="New Customer","New customer onboarding",IF(Q253="Returned Customer","Returned customer",IF(G253="Lapsed","Dormant",IF(T253="Engaged, not converting","Engaged, not converting",IF(T253="One-off low-touch buyer","One-off purchaser",IF(T253="Light-touch repeat buyer","Light-touch repeat buyer","Standard long tail")))))))))</f>
        <v>New customer onboarding</v>
      </c>
      <c r="AT253" s="2" t="str">
        <f aca="false">IF(AA253,"CRITICAL_DATA_BLOCKER; ","")&amp;IF(Y253,"KEY_SIGNOFF; ","")&amp;IF(Z253="Manual Review","PHASE1_MANUAL_REVIEW; ","")&amp;IF(AND(LEFT(D253,1)="1",AZ253="Lumpy"),"LUMPY_CADENCE; ","")&amp;IF(AB253,"BORDERLINE_MOMENTUM; ","")&amp;IF(AC253,"FEB_SENSITIVE; ","")&amp;IF(AD253,"MATERIAL_BROKER_INCONSISTENCY"&amp;IF(AE253," (segment would change)","")&amp;"; ","")&amp;IF(AND(I253&gt;=3,O253&gt;0),IF(AI253&gt;=Assumptions!$B$75,"H2_SINGLE_MONTH_SPIKE; ",""),"")&amp;IF(AND(M253&gt;0,N253=0),"NO_FEB_GMV (Feb unconfirmed); ","")&amp;IF(AF253,"LOW_CONFIDENCE; ","")</f>
        <v>FEB_SENSITIVE; LOW_CONFIDENCE; </v>
      </c>
      <c r="AU253" s="2" t="str">
        <f aca="false">IF(LEFT(D253,1)="1",V253,"")</f>
        <v/>
      </c>
      <c r="AV253" s="2" t="str">
        <f aca="false">IF(LEFT(D253,1)="1",V253&gt;=Assumptions!$B$58,"")</f>
        <v/>
      </c>
      <c r="AW253" s="2" t="str">
        <f aca="false">IF(LEFT(D253,1)="1",W253,"")</f>
        <v/>
      </c>
      <c r="AX253" s="2" t="str">
        <f aca="false">IF(LEFT(D253,1)="1",X253,"")</f>
        <v/>
      </c>
      <c r="AY253" s="17" t="str">
        <f aca="false">IF(LEFT(D253,1)="1",J253/I253,"")</f>
        <v/>
      </c>
      <c r="AZ253" s="2" t="str">
        <f aca="false">IF(LEFT(D253,1)="1",IF(AND(K253&gt;=Assumptions!$B$83,I253&gt;=Assumptions!$B$84),"Regular","Lumpy"),"")</f>
        <v/>
      </c>
      <c r="BA253" s="2" t="str">
        <f aca="false">IF(LEFT(D253,1)="1",ROUND(6/K253,0),"")</f>
        <v/>
      </c>
      <c r="BB253" s="2" t="str">
        <f aca="false">IF(LEFT(D253,1)="1",IF(AZ253="Regular","Regular buyer: expected ~£"&amp;TEXT(H253/2,"#,##0")&amp;" per 90 days. At Risk if GMV to date &lt; "&amp;TEXT(Assumptions!$B$81,"0%")&amp;" of pro-rated expectation, checked from day "&amp;Assumptions!$B$82&amp;". Human-reviewed.","Irregular buyer ("&amp;I253&amp;" orders across "&amp;K253&amp;" months): no numeric GMV threshold. At Risk if no order within ~"&amp;BA253&amp;" month(s); AM reviews at day "&amp;Assumptions!$B$82&amp;" and "&amp;Assumptions!$B$85&amp;"."),"")</f>
        <v/>
      </c>
      <c r="BC253" s="2"/>
      <c r="BD253" s="2"/>
      <c r="BE253" s="2"/>
      <c r="BF253" s="2"/>
      <c r="BG253" s="2"/>
      <c r="BH253" s="2"/>
      <c r="BI253" s="2"/>
      <c r="BJ253" s="2" t="str">
        <f aca="false">IF(OR(NOT(LEFT(D253,1)="1"),BC253=""),"",IF(AZ253="Regular",AND(BC253&gt;=Assumptions!$B$82,N(BI253)&lt;Assumptions!$B$81*H253/180*BC253),AND(BC253&gt;=BA253*30,N(BG253)=0)))</f>
        <v/>
      </c>
      <c r="BK253" s="2" t="str">
        <f aca="false">IF(NOT(LEFT(D253,1)="1"),"N/A",IF(BC253="","Baseline",IF(BJ253,"At Risk",IF(AND(N(BD253)&gt;=Assumptions!$B$78,N(BE253)&gt;=Assumptions!$B$79,N(BH253)&gt;=1,N(BH253)/MAX(N(BG253),1)&gt;AY253),"Self-Serve Capability Demonstrated",IF(OR(N(BD253)&gt;=Assumptions!$B$76,N(BE253)&gt;=Assumptions!$B$77),"Progressing",IF(BC253&gt;=Assumptions!$B$85,"At Risk","Baseline"))))))</f>
        <v>N/A</v>
      </c>
      <c r="BL253" s="2" t="n">
        <f aca="false">(AND(C253="Broker-Reliant",OR(AK253="Discovery-to-Offer Enablement",AK253="Reinforce Successful Behaviour")))*1+(AND(G253="Declining",E253&lt;&gt;"Tail",AL253="Automated"))*1+(AND(Y253,AM253&lt;&gt;"Human Sign-Off Required"))*1+(AND(AA253,AM253&lt;&gt;"HOLD — Critical Data Issue"))*1+(AND(P253="Recent Inactivity",OR(AK253="Discovery-to-Offer Enablement",AK253="Reinforce Successful Behaviour")))*1+(AND(OR(LEFT(D253,1)="2",LEFT(D253,1)="3",LEFT(D253,1)="8"),AL253="Automated"))*1+((LEFT(D253,1)="1")&lt;&gt;(AK253="Guided Self-Serve Migration"))*1+(AND(AR253&lt;&gt;"",OR(F253&lt;&gt;"Low",U253="Mixed",AND(G253&lt;&gt;"Growing",G253&lt;&gt;"Stable"))))*1+ISNUMBER(SEARCH("chat",AP253))*1+ISNUMBER(SEARCH("video",AP253))*1+(AND(AA253,AL253="Automated",AM253&lt;&gt;"HOLD — Critical Data Issue"))*1</f>
        <v>0</v>
      </c>
    </row>
    <row r="254" customFormat="false" ht="15" hidden="false" customHeight="false" outlineLevel="0" collapsed="false">
      <c r="A254" s="2" t="s">
        <v>810</v>
      </c>
      <c r="B254" s="2" t="str">
        <f aca="false">INDEX(Segmentation!$B$2:$B$301,MATCH($A254,Segmentation!$A$2:$A$301,0))</f>
        <v>Self Serve</v>
      </c>
      <c r="C254" s="2" t="str">
        <f aca="false">INDEX(Segmentation!$H$2:$H$301,MATCH($A254,Segmentation!$A$2:$A$301,0))</f>
        <v>Self-Serve</v>
      </c>
      <c r="D254" s="2" t="str">
        <f aca="false">INDEX(Segmentation!$T$2:$T$301,MATCH($A254,Segmentation!$A$2:$A$301,0))</f>
        <v>9. Long-Tail Automated Nurture</v>
      </c>
      <c r="E254" s="2" t="str">
        <f aca="false">INDEX(Segmentation!$J$2:$J$301,MATCH($A254,Segmentation!$A$2:$A$301,0))</f>
        <v>Tail</v>
      </c>
      <c r="F254" s="2" t="str">
        <f aca="false">INDEX(Segmentation!$G$2:$G$301,MATCH($A254,Segmentation!$A$2:$A$301,0))</f>
        <v>Low</v>
      </c>
      <c r="G254" s="2" t="str">
        <f aca="false">INDEX(Segmentation!$N$2:$N$301,MATCH($A254,Segmentation!$A$2:$A$301,0))</f>
        <v>H2 Active / No H1 GMV</v>
      </c>
      <c r="H254" s="9" t="n">
        <f aca="false">INDEX(Segmentation!$I$2:$I$301,MATCH($A254,Segmentation!$A$2:$A$301,0))</f>
        <v>274</v>
      </c>
      <c r="I254" s="2" t="n">
        <f aca="false">INDEX(Segmentation!$O$2:$O$301,MATCH($A254,Segmentation!$A$2:$A$301,0))</f>
        <v>1</v>
      </c>
      <c r="J254" s="2" t="n">
        <f aca="false">INDEX(Segmentation!$Q$2:$Q$301,MATCH($A254,Segmentation!$A$2:$A$301,0))</f>
        <v>1</v>
      </c>
      <c r="K254" s="2" t="n">
        <f aca="false">INDEX(Segmentation!$W$2:$W$301,MATCH($A254,Segmentation!$A$2:$A$301,0))</f>
        <v>1</v>
      </c>
      <c r="L254" s="9" t="n">
        <f aca="false">INDEX('Commercial View'!$L$2:$L$301,MATCH($A254,'Commercial View'!$A$2:$A$301,0))</f>
        <v>0</v>
      </c>
      <c r="M254" s="9" t="n">
        <f aca="false">INDEX('Commercial View'!$M$2:$M$301,MATCH($A254,'Commercial View'!$A$2:$A$301,0))</f>
        <v>274</v>
      </c>
      <c r="N254" s="9" t="n">
        <f aca="false">INDEX('Commercial View'!$N$2:$N$301,MATCH($A254,'Commercial View'!$A$2:$A$301,0))</f>
        <v>0</v>
      </c>
      <c r="O254" s="9" t="n">
        <f aca="false">INDEX(Segmentation!$L$2:$L$301,MATCH($A254,Segmentation!$A$2:$A$301,0))</f>
        <v>274</v>
      </c>
      <c r="P254" s="2" t="str">
        <f aca="false">IF(OR(M254&gt;0,N254&gt;0),"Recently Active",IF(OR(I254&lt;=Assumptions!$B$48,K254&lt;=Assumptions!$B$49),"No Meaningful History","Recent Inactivity"))</f>
        <v>Recently Active</v>
      </c>
      <c r="Q254" s="2" t="str">
        <f aca="false">INDEX(Segmentation!$AF$2:$AF$301,MATCH($A254,Segmentation!$A$2:$A$301,0))</f>
        <v>New Customer</v>
      </c>
      <c r="R254" s="2" t="str">
        <f aca="false">INDEX(Segmentation!$AL$2:$AL$301,MATCH($A254,Segmentation!$A$2:$A$301,0))</f>
        <v>N/A</v>
      </c>
      <c r="S254" s="10" t="b">
        <f aca="false">INDEX(Segmentation!$AW$2:$AW$301,MATCH($A254,Segmentation!$A$2:$A$301,0))</f>
        <v>0</v>
      </c>
      <c r="T254" s="2" t="str">
        <f aca="false">INDEX('Feature Data'!$AD$2:$AD$301,MATCH($A254,'Feature Data'!$A$2:$A$301,0))</f>
        <v>One-off low-touch buyer</v>
      </c>
      <c r="U254" s="2" t="str">
        <f aca="false">INDEX('Feature Data'!$W$2:$W$301,MATCH($A254,'Feature Data'!$A$2:$A$301,0))</f>
        <v>Bundle-only</v>
      </c>
      <c r="V254" s="2" t="n">
        <f aca="false">INDEX('Feature Data'!$P$2:$P$301,MATCH($A254,'Feature Data'!$A$2:$A$301,0))</f>
        <v>49</v>
      </c>
      <c r="W254" s="2" t="n">
        <f aca="false">INDEX(Segmentation!$R$2:$R$301,MATCH($A254,Segmentation!$A$2:$A$301,0))</f>
        <v>3</v>
      </c>
      <c r="X254" s="2" t="n">
        <f aca="false">INDEX(Segmentation!$S$2:$S$301,MATCH($A254,Segmentation!$A$2:$A$301,0))</f>
        <v>1</v>
      </c>
      <c r="Y254" s="10" t="b">
        <f aca="false">INDEX(Segmentation!$AG$2:$AG$301,MATCH($A254,Segmentation!$A$2:$A$301,0))</f>
        <v>0</v>
      </c>
      <c r="Z254" s="2" t="str">
        <f aca="false">INDEX(Segmentation!$AU$2:$AU$301,MATCH($A254,Segmentation!$A$2:$A$301,0))</f>
        <v>Not Eligible</v>
      </c>
      <c r="AA254" s="10" t="b">
        <f aca="false">INDEX(Segmentation!$Z$2:$Z$301,MATCH($A254,Segmentation!$A$2:$A$301,0))</f>
        <v>0</v>
      </c>
      <c r="AB254" s="10" t="b">
        <f aca="false">INDEX(Segmentation!$AH$2:$AH$301,MATCH($A254,Segmentation!$A$2:$A$301,0))</f>
        <v>0</v>
      </c>
      <c r="AC254" s="10" t="b">
        <f aca="false">INDEX(Segmentation!$AK$2:$AK$301,MATCH($A254,Segmentation!$A$2:$A$301,0))</f>
        <v>0</v>
      </c>
      <c r="AD254" s="10" t="b">
        <f aca="false">INDEX(Segmentation!$AQ$2:$AQ$301,MATCH($A254,Segmentation!$A$2:$A$301,0))</f>
        <v>0</v>
      </c>
      <c r="AE254" s="10" t="b">
        <f aca="false">INDEX(Segmentation!$AT$2:$AT$301,MATCH($A254,Segmentation!$A$2:$A$301,0))</f>
        <v>0</v>
      </c>
      <c r="AF254" s="10" t="b">
        <f aca="false">INDEX(Segmentation!$X$2:$X$301,MATCH($A254,Segmentation!$A$2:$A$301,0))</f>
        <v>1</v>
      </c>
      <c r="AG254" s="10" t="b">
        <f aca="false">AND(F254="Low",V254&gt;=Assumptions!$B$71,X254&lt;Assumptions!$B$72)</f>
        <v>0</v>
      </c>
      <c r="AH254" s="10" t="b">
        <f aca="false">AND(F254="Low",OR(G254="Growing",G254="Stable"),P254="Recently Active",V254&gt;=Assumptions!$B$58,K254&gt;=Assumptions!$B$73)</f>
        <v>0</v>
      </c>
      <c r="AI254" s="17" t="n">
        <f aca="false">IF(O254&gt;0,MAX(L254:N254)/O254,"")</f>
        <v>1</v>
      </c>
      <c r="AJ254" s="2" t="str">
        <f aca="false">IF(LEFT(D254,1)="1",IF(E254="Key","MIGRATION_KEY_SIGNOFF",IF(Z254="Ready","MIGRATION_PHASE1_READY",IF(Z254="Manual Review","MIGRATION_PHASE1_REVIEW","MIGRATION_PRE_ENTRY"))),IF(LEFT(D254,1)="2","DECLINING_KEY_CORE",IF(LEFT(D254,1)="3",IF(R254="Established Buyer Lapsed","LAPSED_ESTABLISHED","LAPSED_THIN_HISTORY"),IF(LEFT(D254,1)="4",IF(Q254="New Customer","NEW_CUSTOMER","RETURNED_CUSTOMER"),IF(LEFT(D254,1)="5",IF(P254="Recently Active","COST_TO_SERVE_ACTIVE","DORMANT_LOW_VALUE"),IF(LEFT(D254,1)="6",IF(P254="Recent Inactivity","RECENT_INACTIVITY",IF(AG254,"BROWSING_LOW_OFFERS","HEALTHY_STRONG_SELF_SERVE")),IF(LEFT(D254,1)="7",IF(P254="Recent Inactivity","RECENT_INACTIVITY",IF(Q254="New Customer","NEW_CUSTOMER","RETURNED_CUSTOMER")),IF(LEFT(D254,1)="8",IF(G254="Declining",IF(T254="Engaged but shrinking (Key/Core)","ENGAGED_BUT_SHRINKING","DECLINING_KEY_CORE"),IF(R254="Established Buyer Lapsed","LAPSED_ESTABLISHED","LAPSED_THIN_HISTORY")),IF(S254,IF(P254&lt;&gt;"Recently Active","DORMANT_LOW_VALUE",IF(AG254,"BROWSING_LOW_OFFERS",IF(AH254,"RISING_TAIL","RISING_TAIL_EARLY"))),IF(AND(AG254,P254="Recently Active",OR(G254="Growing",G254="Stable",G254="H2 Active / No H1 GMV"),I254&gt;=Assumptions!$B$74),"BROWSING_LOW_OFFERS","LONG_TAIL_STANDARD"))))))))))</f>
        <v>LONG_TAIL_STANDARD</v>
      </c>
      <c r="AK254" s="2" t="str">
        <f aca="false">INDEX('NBA Library'!$B$4:$B$21,MATCH(AJ254,'NBA Library'!$A$4:$A$21,0))</f>
        <v>Automated Nurture</v>
      </c>
      <c r="AL254" s="2" t="str">
        <f aca="false">INDEX('NBA Library'!$C$4:$C$21,MATCH(AJ254,'NBA Library'!$A$4:$A$21,0))</f>
        <v>Automated</v>
      </c>
      <c r="AM254" s="2" t="str">
        <f aca="false">IF(AA254,"HOLD — Critical Data Issue",IF(Y254,"Human Sign-Off Required",IF(Z254="Manual Review","Human Review Required",IF(AND(AL254="Automated",OR(AE254,AND(OR(AK254="Discovery-to-Offer Enablement",AK254="Reinforce Successful Behaviour"),OR(AC254,AB254)))),"Human Review Required",IF(AL254="Human","Ready — Human",IF(AL254="Hybrid","Ready — Hybrid","Ready — Automated"))))))</f>
        <v>Ready — Automated</v>
      </c>
      <c r="AN254" s="2" t="str">
        <f aca="false">IF(AA254,"P0",IF(AND(AJ254="BROWSING_LOW_OFFERS",E254="Tail"),"P3",IF(AND(AM254="Human Review Required",INDEX('NBA Library'!$D$4:$D$21,MATCH(AJ254,'NBA Library'!$A$4:$A$21,0))="P4"),"P3",INDEX('NBA Library'!$D$4:$D$21,MATCH(AJ254,'NBA Library'!$A$4:$A$21,0)))))</f>
        <v>P4</v>
      </c>
      <c r="AO254" s="2" t="str">
        <f aca="false">E254&amp;" "&amp;C254&amp;" account ("&amp;B254&amp;"); "&amp;G254&amp;" momentum; "&amp;P254&amp;"; £"&amp;TEXT(H254,"#,##0")&amp;" 6m GMV. "&amp;INDEX('NBA Library'!$G$4:$G$21,MATCH(AJ254,'NBA Library'!$A$4:$A$21,0))&amp;IF(LEFT(D254,1)="1"," Baseline: "&amp;V254&amp;" PDP views, "&amp;W254&amp;" app days, "&amp;X254&amp;" offers, "&amp;TEXT(J254/I254,"0%")&amp;" of orders self-serve.","")&amp;IF(AA254," Execution on HOLD until the Duplicate status is resolved.","")&amp;IF(Y254," Key account: explicit AM/leadership sign-off required before any migration activity.","")&amp;IF(AE254," Implied broker % from order counts would move this account to a different segment; review before automating.","")</f>
        <v>Tail Self-Serve account (Self Serve); H2 Active / No H1 GMV momentum; Recently Active; £274 6m GMV. Low-value, low-dependency account. Scalable automated engagement.</v>
      </c>
      <c r="AP254" s="2" t="str">
        <f aca="false">INDEX('NBA Library'!$E$4:$E$21,MATCH(AJ254,'NBA Library'!$A$4:$A$21,0))&amp;IF(AND(AJ254="NEW_CUSTOMER",AG254),"; introduce Make-an-Offer on items already browsed","")</f>
        <v>Scalable automated engagement matched to nurture sub-context</v>
      </c>
      <c r="AQ254" s="2" t="str">
        <f aca="false">INDEX('NBA Library'!$F$4:$F$21,MATCH(AJ254,'NBA Library'!$A$4:$A$21,0))</f>
        <v>Any repeat order within 90 days</v>
      </c>
      <c r="AR254" s="2" t="str">
        <f aca="false">IF(AND(F254="Low",OR(G254="Growing",G254="Stable"),P254="Recently Active",U254&lt;&gt;"Mixed",OR(AK254="Discovery-to-Offer Enablement",AK254="Reinforce Successful Behaviour"),AM254="Ready — Automated",OR(E254&lt;&gt;"Tail",S254)),"Range Expansion Test — trial "&amp;IF(U254="Bundle-only","handpick","bundles")&amp;" (experimental; not proven to lift GMV)","")</f>
        <v/>
      </c>
      <c r="AS254" s="2" t="str">
        <f aca="false">IF(AK254&lt;&gt;"Automated Nurture","",IF(AJ254="DORMANT_LOW_VALUE","Dormant",IF(AJ254="RISING_TAIL_EARLY","Rising tail – early pattern",IF(Q254="New Customer","New customer onboarding",IF(Q254="Returned Customer","Returned customer",IF(G254="Lapsed","Dormant",IF(T254="Engaged, not converting","Engaged, not converting",IF(T254="One-off low-touch buyer","One-off purchaser",IF(T254="Light-touch repeat buyer","Light-touch repeat buyer","Standard long tail")))))))))</f>
        <v>New customer onboarding</v>
      </c>
      <c r="AT254" s="2" t="str">
        <f aca="false">IF(AA254,"CRITICAL_DATA_BLOCKER; ","")&amp;IF(Y254,"KEY_SIGNOFF; ","")&amp;IF(Z254="Manual Review","PHASE1_MANUAL_REVIEW; ","")&amp;IF(AND(LEFT(D254,1)="1",AZ254="Lumpy"),"LUMPY_CADENCE; ","")&amp;IF(AB254,"BORDERLINE_MOMENTUM; ","")&amp;IF(AC254,"FEB_SENSITIVE; ","")&amp;IF(AD254,"MATERIAL_BROKER_INCONSISTENCY"&amp;IF(AE254," (segment would change)","")&amp;"; ","")&amp;IF(AND(I254&gt;=3,O254&gt;0),IF(AI254&gt;=Assumptions!$B$75,"H2_SINGLE_MONTH_SPIKE; ",""),"")&amp;IF(AND(M254&gt;0,N254=0),"NO_FEB_GMV (Feb unconfirmed); ","")&amp;IF(AF254,"LOW_CONFIDENCE; ","")</f>
        <v>NO_FEB_GMV (Feb unconfirmed); LOW_CONFIDENCE; </v>
      </c>
      <c r="AU254" s="2" t="str">
        <f aca="false">IF(LEFT(D254,1)="1",V254,"")</f>
        <v/>
      </c>
      <c r="AV254" s="2" t="str">
        <f aca="false">IF(LEFT(D254,1)="1",V254&gt;=Assumptions!$B$58,"")</f>
        <v/>
      </c>
      <c r="AW254" s="2" t="str">
        <f aca="false">IF(LEFT(D254,1)="1",W254,"")</f>
        <v/>
      </c>
      <c r="AX254" s="2" t="str">
        <f aca="false">IF(LEFT(D254,1)="1",X254,"")</f>
        <v/>
      </c>
      <c r="AY254" s="17" t="str">
        <f aca="false">IF(LEFT(D254,1)="1",J254/I254,"")</f>
        <v/>
      </c>
      <c r="AZ254" s="2" t="str">
        <f aca="false">IF(LEFT(D254,1)="1",IF(AND(K254&gt;=Assumptions!$B$83,I254&gt;=Assumptions!$B$84),"Regular","Lumpy"),"")</f>
        <v/>
      </c>
      <c r="BA254" s="2" t="str">
        <f aca="false">IF(LEFT(D254,1)="1",ROUND(6/K254,0),"")</f>
        <v/>
      </c>
      <c r="BB254" s="2" t="str">
        <f aca="false">IF(LEFT(D254,1)="1",IF(AZ254="Regular","Regular buyer: expected ~£"&amp;TEXT(H254/2,"#,##0")&amp;" per 90 days. At Risk if GMV to date &lt; "&amp;TEXT(Assumptions!$B$81,"0%")&amp;" of pro-rated expectation, checked from day "&amp;Assumptions!$B$82&amp;". Human-reviewed.","Irregular buyer ("&amp;I254&amp;" orders across "&amp;K254&amp;" months): no numeric GMV threshold. At Risk if no order within ~"&amp;BA254&amp;" month(s); AM reviews at day "&amp;Assumptions!$B$82&amp;" and "&amp;Assumptions!$B$85&amp;"."),"")</f>
        <v/>
      </c>
      <c r="BC254" s="2"/>
      <c r="BD254" s="2"/>
      <c r="BE254" s="2"/>
      <c r="BF254" s="2"/>
      <c r="BG254" s="2"/>
      <c r="BH254" s="2"/>
      <c r="BI254" s="2"/>
      <c r="BJ254" s="2" t="str">
        <f aca="false">IF(OR(NOT(LEFT(D254,1)="1"),BC254=""),"",IF(AZ254="Regular",AND(BC254&gt;=Assumptions!$B$82,N(BI254)&lt;Assumptions!$B$81*H254/180*BC254),AND(BC254&gt;=BA254*30,N(BG254)=0)))</f>
        <v/>
      </c>
      <c r="BK254" s="2" t="str">
        <f aca="false">IF(NOT(LEFT(D254,1)="1"),"N/A",IF(BC254="","Baseline",IF(BJ254,"At Risk",IF(AND(N(BD254)&gt;=Assumptions!$B$78,N(BE254)&gt;=Assumptions!$B$79,N(BH254)&gt;=1,N(BH254)/MAX(N(BG254),1)&gt;AY254),"Self-Serve Capability Demonstrated",IF(OR(N(BD254)&gt;=Assumptions!$B$76,N(BE254)&gt;=Assumptions!$B$77),"Progressing",IF(BC254&gt;=Assumptions!$B$85,"At Risk","Baseline"))))))</f>
        <v>N/A</v>
      </c>
      <c r="BL254" s="2" t="n">
        <f aca="false">(AND(C254="Broker-Reliant",OR(AK254="Discovery-to-Offer Enablement",AK254="Reinforce Successful Behaviour")))*1+(AND(G254="Declining",E254&lt;&gt;"Tail",AL254="Automated"))*1+(AND(Y254,AM254&lt;&gt;"Human Sign-Off Required"))*1+(AND(AA254,AM254&lt;&gt;"HOLD — Critical Data Issue"))*1+(AND(P254="Recent Inactivity",OR(AK254="Discovery-to-Offer Enablement",AK254="Reinforce Successful Behaviour")))*1+(AND(OR(LEFT(D254,1)="2",LEFT(D254,1)="3",LEFT(D254,1)="8"),AL254="Automated"))*1+((LEFT(D254,1)="1")&lt;&gt;(AK254="Guided Self-Serve Migration"))*1+(AND(AR254&lt;&gt;"",OR(F254&lt;&gt;"Low",U254="Mixed",AND(G254&lt;&gt;"Growing",G254&lt;&gt;"Stable"))))*1+ISNUMBER(SEARCH("chat",AP254))*1+ISNUMBER(SEARCH("video",AP254))*1+(AND(AA254,AL254="Automated",AM254&lt;&gt;"HOLD — Critical Data Issue"))*1</f>
        <v>0</v>
      </c>
    </row>
    <row r="255" customFormat="false" ht="15" hidden="false" customHeight="false" outlineLevel="0" collapsed="false">
      <c r="A255" s="2" t="s">
        <v>816</v>
      </c>
      <c r="B255" s="2" t="str">
        <f aca="false">INDEX(Segmentation!$B$2:$B$301,MATCH($A255,Segmentation!$A$2:$A$301,0))</f>
        <v>Self Serve</v>
      </c>
      <c r="C255" s="2" t="str">
        <f aca="false">INDEX(Segmentation!$H$2:$H$301,MATCH($A255,Segmentation!$A$2:$A$301,0))</f>
        <v>Self-Serve</v>
      </c>
      <c r="D255" s="2" t="str">
        <f aca="false">INDEX(Segmentation!$T$2:$T$301,MATCH($A255,Segmentation!$A$2:$A$301,0))</f>
        <v>9. Long-Tail Automated Nurture</v>
      </c>
      <c r="E255" s="2" t="str">
        <f aca="false">INDEX(Segmentation!$J$2:$J$301,MATCH($A255,Segmentation!$A$2:$A$301,0))</f>
        <v>Tail</v>
      </c>
      <c r="F255" s="2" t="str">
        <f aca="false">INDEX(Segmentation!$G$2:$G$301,MATCH($A255,Segmentation!$A$2:$A$301,0))</f>
        <v>Low</v>
      </c>
      <c r="G255" s="2" t="str">
        <f aca="false">INDEX(Segmentation!$N$2:$N$301,MATCH($A255,Segmentation!$A$2:$A$301,0))</f>
        <v>Lapsed</v>
      </c>
      <c r="H255" s="9" t="n">
        <f aca="false">INDEX(Segmentation!$I$2:$I$301,MATCH($A255,Segmentation!$A$2:$A$301,0))</f>
        <v>270</v>
      </c>
      <c r="I255" s="2" t="n">
        <f aca="false">INDEX(Segmentation!$O$2:$O$301,MATCH($A255,Segmentation!$A$2:$A$301,0))</f>
        <v>1</v>
      </c>
      <c r="J255" s="2" t="n">
        <f aca="false">INDEX(Segmentation!$Q$2:$Q$301,MATCH($A255,Segmentation!$A$2:$A$301,0))</f>
        <v>1</v>
      </c>
      <c r="K255" s="2" t="n">
        <f aca="false">INDEX(Segmentation!$W$2:$W$301,MATCH($A255,Segmentation!$A$2:$A$301,0))</f>
        <v>1</v>
      </c>
      <c r="L255" s="9" t="n">
        <f aca="false">INDEX('Commercial View'!$L$2:$L$301,MATCH($A255,'Commercial View'!$A$2:$A$301,0))</f>
        <v>0</v>
      </c>
      <c r="M255" s="9" t="n">
        <f aca="false">INDEX('Commercial View'!$M$2:$M$301,MATCH($A255,'Commercial View'!$A$2:$A$301,0))</f>
        <v>0</v>
      </c>
      <c r="N255" s="9" t="n">
        <f aca="false">INDEX('Commercial View'!$N$2:$N$301,MATCH($A255,'Commercial View'!$A$2:$A$301,0))</f>
        <v>0</v>
      </c>
      <c r="O255" s="9" t="n">
        <f aca="false">INDEX(Segmentation!$L$2:$L$301,MATCH($A255,Segmentation!$A$2:$A$301,0))</f>
        <v>0</v>
      </c>
      <c r="P255" s="2" t="str">
        <f aca="false">IF(OR(M255&gt;0,N255&gt;0),"Recently Active",IF(OR(I255&lt;=Assumptions!$B$48,K255&lt;=Assumptions!$B$49),"No Meaningful History","Recent Inactivity"))</f>
        <v>No Meaningful History</v>
      </c>
      <c r="Q255" s="2" t="str">
        <f aca="false">INDEX(Segmentation!$AF$2:$AF$301,MATCH($A255,Segmentation!$A$2:$A$301,0))</f>
        <v>Existing Customer</v>
      </c>
      <c r="R255" s="2" t="str">
        <f aca="false">INDEX(Segmentation!$AL$2:$AL$301,MATCH($A255,Segmentation!$A$2:$A$301,0))</f>
        <v>One-Off / Insufficient History — Verify</v>
      </c>
      <c r="S255" s="10" t="b">
        <f aca="false">INDEX(Segmentation!$AW$2:$AW$301,MATCH($A255,Segmentation!$A$2:$A$301,0))</f>
        <v>0</v>
      </c>
      <c r="T255" s="2" t="str">
        <f aca="false">INDEX('Feature Data'!$AD$2:$AD$301,MATCH($A255,'Feature Data'!$A$2:$A$301,0))</f>
        <v>One-off low-touch buyer</v>
      </c>
      <c r="U255" s="2" t="str">
        <f aca="false">INDEX('Feature Data'!$W$2:$W$301,MATCH($A255,'Feature Data'!$A$2:$A$301,0))</f>
        <v>Bundle-only</v>
      </c>
      <c r="V255" s="2" t="n">
        <f aca="false">INDEX('Feature Data'!$P$2:$P$301,MATCH($A255,'Feature Data'!$A$2:$A$301,0))</f>
        <v>111</v>
      </c>
      <c r="W255" s="2" t="n">
        <f aca="false">INDEX(Segmentation!$R$2:$R$301,MATCH($A255,Segmentation!$A$2:$A$301,0))</f>
        <v>8</v>
      </c>
      <c r="X255" s="2" t="n">
        <f aca="false">INDEX(Segmentation!$S$2:$S$301,MATCH($A255,Segmentation!$A$2:$A$301,0))</f>
        <v>2</v>
      </c>
      <c r="Y255" s="10" t="b">
        <f aca="false">INDEX(Segmentation!$AG$2:$AG$301,MATCH($A255,Segmentation!$A$2:$A$301,0))</f>
        <v>0</v>
      </c>
      <c r="Z255" s="2" t="str">
        <f aca="false">INDEX(Segmentation!$AU$2:$AU$301,MATCH($A255,Segmentation!$A$2:$A$301,0))</f>
        <v>Not Eligible</v>
      </c>
      <c r="AA255" s="10" t="b">
        <f aca="false">INDEX(Segmentation!$Z$2:$Z$301,MATCH($A255,Segmentation!$A$2:$A$301,0))</f>
        <v>0</v>
      </c>
      <c r="AB255" s="10" t="b">
        <f aca="false">INDEX(Segmentation!$AH$2:$AH$301,MATCH($A255,Segmentation!$A$2:$A$301,0))</f>
        <v>0</v>
      </c>
      <c r="AC255" s="10" t="b">
        <f aca="false">INDEX(Segmentation!$AK$2:$AK$301,MATCH($A255,Segmentation!$A$2:$A$301,0))</f>
        <v>0</v>
      </c>
      <c r="AD255" s="10" t="b">
        <f aca="false">INDEX(Segmentation!$AQ$2:$AQ$301,MATCH($A255,Segmentation!$A$2:$A$301,0))</f>
        <v>0</v>
      </c>
      <c r="AE255" s="10" t="b">
        <f aca="false">INDEX(Segmentation!$AT$2:$AT$301,MATCH($A255,Segmentation!$A$2:$A$301,0))</f>
        <v>0</v>
      </c>
      <c r="AF255" s="10" t="b">
        <f aca="false">INDEX(Segmentation!$X$2:$X$301,MATCH($A255,Segmentation!$A$2:$A$301,0))</f>
        <v>1</v>
      </c>
      <c r="AG255" s="10" t="b">
        <f aca="false">AND(F255="Low",V255&gt;=Assumptions!$B$71,X255&lt;Assumptions!$B$72)</f>
        <v>1</v>
      </c>
      <c r="AH255" s="10" t="b">
        <f aca="false">AND(F255="Low",OR(G255="Growing",G255="Stable"),P255="Recently Active",V255&gt;=Assumptions!$B$58,K255&gt;=Assumptions!$B$73)</f>
        <v>0</v>
      </c>
      <c r="AI255" s="17" t="str">
        <f aca="false">IF(O255&gt;0,MAX(L255:N255)/O255,"")</f>
        <v/>
      </c>
      <c r="AJ255" s="2" t="str">
        <f aca="false">IF(LEFT(D255,1)="1",IF(E255="Key","MIGRATION_KEY_SIGNOFF",IF(Z255="Ready","MIGRATION_PHASE1_READY",IF(Z255="Manual Review","MIGRATION_PHASE1_REVIEW","MIGRATION_PRE_ENTRY"))),IF(LEFT(D255,1)="2","DECLINING_KEY_CORE",IF(LEFT(D255,1)="3",IF(R255="Established Buyer Lapsed","LAPSED_ESTABLISHED","LAPSED_THIN_HISTORY"),IF(LEFT(D255,1)="4",IF(Q255="New Customer","NEW_CUSTOMER","RETURNED_CUSTOMER"),IF(LEFT(D255,1)="5",IF(P255="Recently Active","COST_TO_SERVE_ACTIVE","DORMANT_LOW_VALUE"),IF(LEFT(D255,1)="6",IF(P255="Recent Inactivity","RECENT_INACTIVITY",IF(AG255,"BROWSING_LOW_OFFERS","HEALTHY_STRONG_SELF_SERVE")),IF(LEFT(D255,1)="7",IF(P255="Recent Inactivity","RECENT_INACTIVITY",IF(Q255="New Customer","NEW_CUSTOMER","RETURNED_CUSTOMER")),IF(LEFT(D255,1)="8",IF(G255="Declining",IF(T255="Engaged but shrinking (Key/Core)","ENGAGED_BUT_SHRINKING","DECLINING_KEY_CORE"),IF(R255="Established Buyer Lapsed","LAPSED_ESTABLISHED","LAPSED_THIN_HISTORY")),IF(S255,IF(P255&lt;&gt;"Recently Active","DORMANT_LOW_VALUE",IF(AG255,"BROWSING_LOW_OFFERS",IF(AH255,"RISING_TAIL","RISING_TAIL_EARLY"))),IF(AND(AG255,P255="Recently Active",OR(G255="Growing",G255="Stable",G255="H2 Active / No H1 GMV"),I255&gt;=Assumptions!$B$74),"BROWSING_LOW_OFFERS","LONG_TAIL_STANDARD"))))))))))</f>
        <v>LONG_TAIL_STANDARD</v>
      </c>
      <c r="AK255" s="2" t="str">
        <f aca="false">INDEX('NBA Library'!$B$4:$B$21,MATCH(AJ255,'NBA Library'!$A$4:$A$21,0))</f>
        <v>Automated Nurture</v>
      </c>
      <c r="AL255" s="2" t="str">
        <f aca="false">INDEX('NBA Library'!$C$4:$C$21,MATCH(AJ255,'NBA Library'!$A$4:$A$21,0))</f>
        <v>Automated</v>
      </c>
      <c r="AM255" s="2" t="str">
        <f aca="false">IF(AA255,"HOLD — Critical Data Issue",IF(Y255,"Human Sign-Off Required",IF(Z255="Manual Review","Human Review Required",IF(AND(AL255="Automated",OR(AE255,AND(OR(AK255="Discovery-to-Offer Enablement",AK255="Reinforce Successful Behaviour"),OR(AC255,AB255)))),"Human Review Required",IF(AL255="Human","Ready — Human",IF(AL255="Hybrid","Ready — Hybrid","Ready — Automated"))))))</f>
        <v>Ready — Automated</v>
      </c>
      <c r="AN255" s="2" t="str">
        <f aca="false">IF(AA255,"P0",IF(AND(AJ255="BROWSING_LOW_OFFERS",E255="Tail"),"P3",IF(AND(AM255="Human Review Required",INDEX('NBA Library'!$D$4:$D$21,MATCH(AJ255,'NBA Library'!$A$4:$A$21,0))="P4"),"P3",INDEX('NBA Library'!$D$4:$D$21,MATCH(AJ255,'NBA Library'!$A$4:$A$21,0)))))</f>
        <v>P4</v>
      </c>
      <c r="AO255" s="2" t="str">
        <f aca="false">E255&amp;" "&amp;C255&amp;" account ("&amp;B255&amp;"); "&amp;G255&amp;" momentum; "&amp;P255&amp;"; £"&amp;TEXT(H255,"#,##0")&amp;" 6m GMV. "&amp;INDEX('NBA Library'!$G$4:$G$21,MATCH(AJ255,'NBA Library'!$A$4:$A$21,0))&amp;IF(LEFT(D255,1)="1"," Baseline: "&amp;V255&amp;" PDP views, "&amp;W255&amp;" app days, "&amp;X255&amp;" offers, "&amp;TEXT(J255/I255,"0%")&amp;" of orders self-serve.","")&amp;IF(AA255," Execution on HOLD until the Duplicate status is resolved.","")&amp;IF(Y255," Key account: explicit AM/leadership sign-off required before any migration activity.","")&amp;IF(AE255," Implied broker % from order counts would move this account to a different segment; review before automating.","")</f>
        <v>Tail Self-Serve account (Self Serve); Lapsed momentum; No Meaningful History; £270 6m GMV. Low-value, low-dependency account. Scalable automated engagement.</v>
      </c>
      <c r="AP255" s="2" t="str">
        <f aca="false">INDEX('NBA Library'!$E$4:$E$21,MATCH(AJ255,'NBA Library'!$A$4:$A$21,0))&amp;IF(AND(AJ255="NEW_CUSTOMER",AG255),"; introduce Make-an-Offer on items already browsed","")</f>
        <v>Scalable automated engagement matched to nurture sub-context</v>
      </c>
      <c r="AQ255" s="2" t="str">
        <f aca="false">INDEX('NBA Library'!$F$4:$F$21,MATCH(AJ255,'NBA Library'!$A$4:$A$21,0))</f>
        <v>Any repeat order within 90 days</v>
      </c>
      <c r="AR255" s="2" t="str">
        <f aca="false">IF(AND(F255="Low",OR(G255="Growing",G255="Stable"),P255="Recently Active",U255&lt;&gt;"Mixed",OR(AK255="Discovery-to-Offer Enablement",AK255="Reinforce Successful Behaviour"),AM255="Ready — Automated",OR(E255&lt;&gt;"Tail",S255)),"Range Expansion Test — trial "&amp;IF(U255="Bundle-only","handpick","bundles")&amp;" (experimental; not proven to lift GMV)","")</f>
        <v/>
      </c>
      <c r="AS255" s="2" t="str">
        <f aca="false">IF(AK255&lt;&gt;"Automated Nurture","",IF(AJ255="DORMANT_LOW_VALUE","Dormant",IF(AJ255="RISING_TAIL_EARLY","Rising tail – early pattern",IF(Q255="New Customer","New customer onboarding",IF(Q255="Returned Customer","Returned customer",IF(G255="Lapsed","Dormant",IF(T255="Engaged, not converting","Engaged, not converting",IF(T255="One-off low-touch buyer","One-off purchaser",IF(T255="Light-touch repeat buyer","Light-touch repeat buyer","Standard long tail")))))))))</f>
        <v>Dormant</v>
      </c>
      <c r="AT255" s="2" t="str">
        <f aca="false">IF(AA255,"CRITICAL_DATA_BLOCKER; ","")&amp;IF(Y255,"KEY_SIGNOFF; ","")&amp;IF(Z255="Manual Review","PHASE1_MANUAL_REVIEW; ","")&amp;IF(AND(LEFT(D255,1)="1",AZ255="Lumpy"),"LUMPY_CADENCE; ","")&amp;IF(AB255,"BORDERLINE_MOMENTUM; ","")&amp;IF(AC255,"FEB_SENSITIVE; ","")&amp;IF(AD255,"MATERIAL_BROKER_INCONSISTENCY"&amp;IF(AE255," (segment would change)","")&amp;"; ","")&amp;IF(AND(I255&gt;=3,O255&gt;0),IF(AI255&gt;=Assumptions!$B$75,"H2_SINGLE_MONTH_SPIKE; ",""),"")&amp;IF(AND(M255&gt;0,N255=0),"NO_FEB_GMV (Feb unconfirmed); ","")&amp;IF(AF255,"LOW_CONFIDENCE; ","")</f>
        <v>LOW_CONFIDENCE; </v>
      </c>
      <c r="AU255" s="2" t="str">
        <f aca="false">IF(LEFT(D255,1)="1",V255,"")</f>
        <v/>
      </c>
      <c r="AV255" s="2" t="str">
        <f aca="false">IF(LEFT(D255,1)="1",V255&gt;=Assumptions!$B$58,"")</f>
        <v/>
      </c>
      <c r="AW255" s="2" t="str">
        <f aca="false">IF(LEFT(D255,1)="1",W255,"")</f>
        <v/>
      </c>
      <c r="AX255" s="2" t="str">
        <f aca="false">IF(LEFT(D255,1)="1",X255,"")</f>
        <v/>
      </c>
      <c r="AY255" s="17" t="str">
        <f aca="false">IF(LEFT(D255,1)="1",J255/I255,"")</f>
        <v/>
      </c>
      <c r="AZ255" s="2" t="str">
        <f aca="false">IF(LEFT(D255,1)="1",IF(AND(K255&gt;=Assumptions!$B$83,I255&gt;=Assumptions!$B$84),"Regular","Lumpy"),"")</f>
        <v/>
      </c>
      <c r="BA255" s="2" t="str">
        <f aca="false">IF(LEFT(D255,1)="1",ROUND(6/K255,0),"")</f>
        <v/>
      </c>
      <c r="BB255" s="2" t="str">
        <f aca="false">IF(LEFT(D255,1)="1",IF(AZ255="Regular","Regular buyer: expected ~£"&amp;TEXT(H255/2,"#,##0")&amp;" per 90 days. At Risk if GMV to date &lt; "&amp;TEXT(Assumptions!$B$81,"0%")&amp;" of pro-rated expectation, checked from day "&amp;Assumptions!$B$82&amp;". Human-reviewed.","Irregular buyer ("&amp;I255&amp;" orders across "&amp;K255&amp;" months): no numeric GMV threshold. At Risk if no order within ~"&amp;BA255&amp;" month(s); AM reviews at day "&amp;Assumptions!$B$82&amp;" and "&amp;Assumptions!$B$85&amp;"."),"")</f>
        <v/>
      </c>
      <c r="BC255" s="2"/>
      <c r="BD255" s="2"/>
      <c r="BE255" s="2"/>
      <c r="BF255" s="2"/>
      <c r="BG255" s="2"/>
      <c r="BH255" s="2"/>
      <c r="BI255" s="2"/>
      <c r="BJ255" s="2" t="str">
        <f aca="false">IF(OR(NOT(LEFT(D255,1)="1"),BC255=""),"",IF(AZ255="Regular",AND(BC255&gt;=Assumptions!$B$82,N(BI255)&lt;Assumptions!$B$81*H255/180*BC255),AND(BC255&gt;=BA255*30,N(BG255)=0)))</f>
        <v/>
      </c>
      <c r="BK255" s="2" t="str">
        <f aca="false">IF(NOT(LEFT(D255,1)="1"),"N/A",IF(BC255="","Baseline",IF(BJ255,"At Risk",IF(AND(N(BD255)&gt;=Assumptions!$B$78,N(BE255)&gt;=Assumptions!$B$79,N(BH255)&gt;=1,N(BH255)/MAX(N(BG255),1)&gt;AY255),"Self-Serve Capability Demonstrated",IF(OR(N(BD255)&gt;=Assumptions!$B$76,N(BE255)&gt;=Assumptions!$B$77),"Progressing",IF(BC255&gt;=Assumptions!$B$85,"At Risk","Baseline"))))))</f>
        <v>N/A</v>
      </c>
      <c r="BL255" s="2" t="n">
        <f aca="false">(AND(C255="Broker-Reliant",OR(AK255="Discovery-to-Offer Enablement",AK255="Reinforce Successful Behaviour")))*1+(AND(G255="Declining",E255&lt;&gt;"Tail",AL255="Automated"))*1+(AND(Y255,AM255&lt;&gt;"Human Sign-Off Required"))*1+(AND(AA255,AM255&lt;&gt;"HOLD — Critical Data Issue"))*1+(AND(P255="Recent Inactivity",OR(AK255="Discovery-to-Offer Enablement",AK255="Reinforce Successful Behaviour")))*1+(AND(OR(LEFT(D255,1)="2",LEFT(D255,1)="3",LEFT(D255,1)="8"),AL255="Automated"))*1+((LEFT(D255,1)="1")&lt;&gt;(AK255="Guided Self-Serve Migration"))*1+(AND(AR255&lt;&gt;"",OR(F255&lt;&gt;"Low",U255="Mixed",AND(G255&lt;&gt;"Growing",G255&lt;&gt;"Stable"))))*1+ISNUMBER(SEARCH("chat",AP255))*1+ISNUMBER(SEARCH("video",AP255))*1+(AND(AA255,AL255="Automated",AM255&lt;&gt;"HOLD — Critical Data Issue"))*1</f>
        <v>0</v>
      </c>
    </row>
    <row r="256" customFormat="false" ht="15" hidden="false" customHeight="false" outlineLevel="0" collapsed="false">
      <c r="A256" s="2" t="s">
        <v>820</v>
      </c>
      <c r="B256" s="2" t="str">
        <f aca="false">INDEX(Segmentation!$B$2:$B$301,MATCH($A256,Segmentation!$A$2:$A$301,0))</f>
        <v>Self Serve</v>
      </c>
      <c r="C256" s="2" t="str">
        <f aca="false">INDEX(Segmentation!$H$2:$H$301,MATCH($A256,Segmentation!$A$2:$A$301,0))</f>
        <v>Self-Serve</v>
      </c>
      <c r="D256" s="2" t="str">
        <f aca="false">INDEX(Segmentation!$T$2:$T$301,MATCH($A256,Segmentation!$A$2:$A$301,0))</f>
        <v>9. Long-Tail Automated Nurture</v>
      </c>
      <c r="E256" s="2" t="str">
        <f aca="false">INDEX(Segmentation!$J$2:$J$301,MATCH($A256,Segmentation!$A$2:$A$301,0))</f>
        <v>Tail</v>
      </c>
      <c r="F256" s="2" t="str">
        <f aca="false">INDEX(Segmentation!$G$2:$G$301,MATCH($A256,Segmentation!$A$2:$A$301,0))</f>
        <v>Low</v>
      </c>
      <c r="G256" s="2" t="str">
        <f aca="false">INDEX(Segmentation!$N$2:$N$301,MATCH($A256,Segmentation!$A$2:$A$301,0))</f>
        <v>H2 Active / No H1 GMV</v>
      </c>
      <c r="H256" s="9" t="n">
        <f aca="false">INDEX(Segmentation!$I$2:$I$301,MATCH($A256,Segmentation!$A$2:$A$301,0))</f>
        <v>269</v>
      </c>
      <c r="I256" s="2" t="n">
        <f aca="false">INDEX(Segmentation!$O$2:$O$301,MATCH($A256,Segmentation!$A$2:$A$301,0))</f>
        <v>1</v>
      </c>
      <c r="J256" s="2" t="n">
        <f aca="false">INDEX(Segmentation!$Q$2:$Q$301,MATCH($A256,Segmentation!$A$2:$A$301,0))</f>
        <v>1</v>
      </c>
      <c r="K256" s="2" t="n">
        <f aca="false">INDEX(Segmentation!$W$2:$W$301,MATCH($A256,Segmentation!$A$2:$A$301,0))</f>
        <v>1</v>
      </c>
      <c r="L256" s="9" t="n">
        <f aca="false">INDEX('Commercial View'!$L$2:$L$301,MATCH($A256,'Commercial View'!$A$2:$A$301,0))</f>
        <v>269</v>
      </c>
      <c r="M256" s="9" t="n">
        <f aca="false">INDEX('Commercial View'!$M$2:$M$301,MATCH($A256,'Commercial View'!$A$2:$A$301,0))</f>
        <v>0</v>
      </c>
      <c r="N256" s="9" t="n">
        <f aca="false">INDEX('Commercial View'!$N$2:$N$301,MATCH($A256,'Commercial View'!$A$2:$A$301,0))</f>
        <v>0</v>
      </c>
      <c r="O256" s="9" t="n">
        <f aca="false">INDEX(Segmentation!$L$2:$L$301,MATCH($A256,Segmentation!$A$2:$A$301,0))</f>
        <v>269</v>
      </c>
      <c r="P256" s="2" t="str">
        <f aca="false">IF(OR(M256&gt;0,N256&gt;0),"Recently Active",IF(OR(I256&lt;=Assumptions!$B$48,K256&lt;=Assumptions!$B$49),"No Meaningful History","Recent Inactivity"))</f>
        <v>No Meaningful History</v>
      </c>
      <c r="Q256" s="2" t="str">
        <f aca="false">INDEX(Segmentation!$AF$2:$AF$301,MATCH($A256,Segmentation!$A$2:$A$301,0))</f>
        <v>New Customer</v>
      </c>
      <c r="R256" s="2" t="str">
        <f aca="false">INDEX(Segmentation!$AL$2:$AL$301,MATCH($A256,Segmentation!$A$2:$A$301,0))</f>
        <v>N/A</v>
      </c>
      <c r="S256" s="10" t="b">
        <f aca="false">INDEX(Segmentation!$AW$2:$AW$301,MATCH($A256,Segmentation!$A$2:$A$301,0))</f>
        <v>0</v>
      </c>
      <c r="T256" s="2" t="str">
        <f aca="false">INDEX('Feature Data'!$AD$2:$AD$301,MATCH($A256,'Feature Data'!$A$2:$A$301,0))</f>
        <v>One-off low-touch buyer</v>
      </c>
      <c r="U256" s="2" t="str">
        <f aca="false">INDEX('Feature Data'!$W$2:$W$301,MATCH($A256,'Feature Data'!$A$2:$A$301,0))</f>
        <v>Bundle-only</v>
      </c>
      <c r="V256" s="2" t="n">
        <f aca="false">INDEX('Feature Data'!$P$2:$P$301,MATCH($A256,'Feature Data'!$A$2:$A$301,0))</f>
        <v>125</v>
      </c>
      <c r="W256" s="2" t="n">
        <f aca="false">INDEX(Segmentation!$R$2:$R$301,MATCH($A256,Segmentation!$A$2:$A$301,0))</f>
        <v>6</v>
      </c>
      <c r="X256" s="2" t="n">
        <f aca="false">INDEX(Segmentation!$S$2:$S$301,MATCH($A256,Segmentation!$A$2:$A$301,0))</f>
        <v>0</v>
      </c>
      <c r="Y256" s="10" t="b">
        <f aca="false">INDEX(Segmentation!$AG$2:$AG$301,MATCH($A256,Segmentation!$A$2:$A$301,0))</f>
        <v>0</v>
      </c>
      <c r="Z256" s="2" t="str">
        <f aca="false">INDEX(Segmentation!$AU$2:$AU$301,MATCH($A256,Segmentation!$A$2:$A$301,0))</f>
        <v>Not Eligible</v>
      </c>
      <c r="AA256" s="10" t="b">
        <f aca="false">INDEX(Segmentation!$Z$2:$Z$301,MATCH($A256,Segmentation!$A$2:$A$301,0))</f>
        <v>0</v>
      </c>
      <c r="AB256" s="10" t="b">
        <f aca="false">INDEX(Segmentation!$AH$2:$AH$301,MATCH($A256,Segmentation!$A$2:$A$301,0))</f>
        <v>0</v>
      </c>
      <c r="AC256" s="10" t="b">
        <f aca="false">INDEX(Segmentation!$AK$2:$AK$301,MATCH($A256,Segmentation!$A$2:$A$301,0))</f>
        <v>0</v>
      </c>
      <c r="AD256" s="10" t="b">
        <f aca="false">INDEX(Segmentation!$AQ$2:$AQ$301,MATCH($A256,Segmentation!$A$2:$A$301,0))</f>
        <v>0</v>
      </c>
      <c r="AE256" s="10" t="b">
        <f aca="false">INDEX(Segmentation!$AT$2:$AT$301,MATCH($A256,Segmentation!$A$2:$A$301,0))</f>
        <v>0</v>
      </c>
      <c r="AF256" s="10" t="b">
        <f aca="false">INDEX(Segmentation!$X$2:$X$301,MATCH($A256,Segmentation!$A$2:$A$301,0))</f>
        <v>1</v>
      </c>
      <c r="AG256" s="10" t="b">
        <f aca="false">AND(F256="Low",V256&gt;=Assumptions!$B$71,X256&lt;Assumptions!$B$72)</f>
        <v>1</v>
      </c>
      <c r="AH256" s="10" t="b">
        <f aca="false">AND(F256="Low",OR(G256="Growing",G256="Stable"),P256="Recently Active",V256&gt;=Assumptions!$B$58,K256&gt;=Assumptions!$B$73)</f>
        <v>0</v>
      </c>
      <c r="AI256" s="17" t="n">
        <f aca="false">IF(O256&gt;0,MAX(L256:N256)/O256,"")</f>
        <v>1</v>
      </c>
      <c r="AJ256" s="2" t="str">
        <f aca="false">IF(LEFT(D256,1)="1",IF(E256="Key","MIGRATION_KEY_SIGNOFF",IF(Z256="Ready","MIGRATION_PHASE1_READY",IF(Z256="Manual Review","MIGRATION_PHASE1_REVIEW","MIGRATION_PRE_ENTRY"))),IF(LEFT(D256,1)="2","DECLINING_KEY_CORE",IF(LEFT(D256,1)="3",IF(R256="Established Buyer Lapsed","LAPSED_ESTABLISHED","LAPSED_THIN_HISTORY"),IF(LEFT(D256,1)="4",IF(Q256="New Customer","NEW_CUSTOMER","RETURNED_CUSTOMER"),IF(LEFT(D256,1)="5",IF(P256="Recently Active","COST_TO_SERVE_ACTIVE","DORMANT_LOW_VALUE"),IF(LEFT(D256,1)="6",IF(P256="Recent Inactivity","RECENT_INACTIVITY",IF(AG256,"BROWSING_LOW_OFFERS","HEALTHY_STRONG_SELF_SERVE")),IF(LEFT(D256,1)="7",IF(P256="Recent Inactivity","RECENT_INACTIVITY",IF(Q256="New Customer","NEW_CUSTOMER","RETURNED_CUSTOMER")),IF(LEFT(D256,1)="8",IF(G256="Declining",IF(T256="Engaged but shrinking (Key/Core)","ENGAGED_BUT_SHRINKING","DECLINING_KEY_CORE"),IF(R256="Established Buyer Lapsed","LAPSED_ESTABLISHED","LAPSED_THIN_HISTORY")),IF(S256,IF(P256&lt;&gt;"Recently Active","DORMANT_LOW_VALUE",IF(AG256,"BROWSING_LOW_OFFERS",IF(AH256,"RISING_TAIL","RISING_TAIL_EARLY"))),IF(AND(AG256,P256="Recently Active",OR(G256="Growing",G256="Stable",G256="H2 Active / No H1 GMV"),I256&gt;=Assumptions!$B$74),"BROWSING_LOW_OFFERS","LONG_TAIL_STANDARD"))))))))))</f>
        <v>LONG_TAIL_STANDARD</v>
      </c>
      <c r="AK256" s="2" t="str">
        <f aca="false">INDEX('NBA Library'!$B$4:$B$21,MATCH(AJ256,'NBA Library'!$A$4:$A$21,0))</f>
        <v>Automated Nurture</v>
      </c>
      <c r="AL256" s="2" t="str">
        <f aca="false">INDEX('NBA Library'!$C$4:$C$21,MATCH(AJ256,'NBA Library'!$A$4:$A$21,0))</f>
        <v>Automated</v>
      </c>
      <c r="AM256" s="2" t="str">
        <f aca="false">IF(AA256,"HOLD — Critical Data Issue",IF(Y256,"Human Sign-Off Required",IF(Z256="Manual Review","Human Review Required",IF(AND(AL256="Automated",OR(AE256,AND(OR(AK256="Discovery-to-Offer Enablement",AK256="Reinforce Successful Behaviour"),OR(AC256,AB256)))),"Human Review Required",IF(AL256="Human","Ready — Human",IF(AL256="Hybrid","Ready — Hybrid","Ready — Automated"))))))</f>
        <v>Ready — Automated</v>
      </c>
      <c r="AN256" s="2" t="str">
        <f aca="false">IF(AA256,"P0",IF(AND(AJ256="BROWSING_LOW_OFFERS",E256="Tail"),"P3",IF(AND(AM256="Human Review Required",INDEX('NBA Library'!$D$4:$D$21,MATCH(AJ256,'NBA Library'!$A$4:$A$21,0))="P4"),"P3",INDEX('NBA Library'!$D$4:$D$21,MATCH(AJ256,'NBA Library'!$A$4:$A$21,0)))))</f>
        <v>P4</v>
      </c>
      <c r="AO256" s="2" t="str">
        <f aca="false">E256&amp;" "&amp;C256&amp;" account ("&amp;B256&amp;"); "&amp;G256&amp;" momentum; "&amp;P256&amp;"; £"&amp;TEXT(H256,"#,##0")&amp;" 6m GMV. "&amp;INDEX('NBA Library'!$G$4:$G$21,MATCH(AJ256,'NBA Library'!$A$4:$A$21,0))&amp;IF(LEFT(D256,1)="1"," Baseline: "&amp;V256&amp;" PDP views, "&amp;W256&amp;" app days, "&amp;X256&amp;" offers, "&amp;TEXT(J256/I256,"0%")&amp;" of orders self-serve.","")&amp;IF(AA256," Execution on HOLD until the Duplicate status is resolved.","")&amp;IF(Y256," Key account: explicit AM/leadership sign-off required before any migration activity.","")&amp;IF(AE256," Implied broker % from order counts would move this account to a different segment; review before automating.","")</f>
        <v>Tail Self-Serve account (Self Serve); H2 Active / No H1 GMV momentum; No Meaningful History; £269 6m GMV. Low-value, low-dependency account. Scalable automated engagement.</v>
      </c>
      <c r="AP256" s="2" t="str">
        <f aca="false">INDEX('NBA Library'!$E$4:$E$21,MATCH(AJ256,'NBA Library'!$A$4:$A$21,0))&amp;IF(AND(AJ256="NEW_CUSTOMER",AG256),"; introduce Make-an-Offer on items already browsed","")</f>
        <v>Scalable automated engagement matched to nurture sub-context</v>
      </c>
      <c r="AQ256" s="2" t="str">
        <f aca="false">INDEX('NBA Library'!$F$4:$F$21,MATCH(AJ256,'NBA Library'!$A$4:$A$21,0))</f>
        <v>Any repeat order within 90 days</v>
      </c>
      <c r="AR256" s="2" t="str">
        <f aca="false">IF(AND(F256="Low",OR(G256="Growing",G256="Stable"),P256="Recently Active",U256&lt;&gt;"Mixed",OR(AK256="Discovery-to-Offer Enablement",AK256="Reinforce Successful Behaviour"),AM256="Ready — Automated",OR(E256&lt;&gt;"Tail",S256)),"Range Expansion Test — trial "&amp;IF(U256="Bundle-only","handpick","bundles")&amp;" (experimental; not proven to lift GMV)","")</f>
        <v/>
      </c>
      <c r="AS256" s="2" t="str">
        <f aca="false">IF(AK256&lt;&gt;"Automated Nurture","",IF(AJ256="DORMANT_LOW_VALUE","Dormant",IF(AJ256="RISING_TAIL_EARLY","Rising tail – early pattern",IF(Q256="New Customer","New customer onboarding",IF(Q256="Returned Customer","Returned customer",IF(G256="Lapsed","Dormant",IF(T256="Engaged, not converting","Engaged, not converting",IF(T256="One-off low-touch buyer","One-off purchaser",IF(T256="Light-touch repeat buyer","Light-touch repeat buyer","Standard long tail")))))))))</f>
        <v>New customer onboarding</v>
      </c>
      <c r="AT256" s="2" t="str">
        <f aca="false">IF(AA256,"CRITICAL_DATA_BLOCKER; ","")&amp;IF(Y256,"KEY_SIGNOFF; ","")&amp;IF(Z256="Manual Review","PHASE1_MANUAL_REVIEW; ","")&amp;IF(AND(LEFT(D256,1)="1",AZ256="Lumpy"),"LUMPY_CADENCE; ","")&amp;IF(AB256,"BORDERLINE_MOMENTUM; ","")&amp;IF(AC256,"FEB_SENSITIVE; ","")&amp;IF(AD256,"MATERIAL_BROKER_INCONSISTENCY"&amp;IF(AE256," (segment would change)","")&amp;"; ","")&amp;IF(AND(I256&gt;=3,O256&gt;0),IF(AI256&gt;=Assumptions!$B$75,"H2_SINGLE_MONTH_SPIKE; ",""),"")&amp;IF(AND(M256&gt;0,N256=0),"NO_FEB_GMV (Feb unconfirmed); ","")&amp;IF(AF256,"LOW_CONFIDENCE; ","")</f>
        <v>LOW_CONFIDENCE; </v>
      </c>
      <c r="AU256" s="2" t="str">
        <f aca="false">IF(LEFT(D256,1)="1",V256,"")</f>
        <v/>
      </c>
      <c r="AV256" s="2" t="str">
        <f aca="false">IF(LEFT(D256,1)="1",V256&gt;=Assumptions!$B$58,"")</f>
        <v/>
      </c>
      <c r="AW256" s="2" t="str">
        <f aca="false">IF(LEFT(D256,1)="1",W256,"")</f>
        <v/>
      </c>
      <c r="AX256" s="2" t="str">
        <f aca="false">IF(LEFT(D256,1)="1",X256,"")</f>
        <v/>
      </c>
      <c r="AY256" s="17" t="str">
        <f aca="false">IF(LEFT(D256,1)="1",J256/I256,"")</f>
        <v/>
      </c>
      <c r="AZ256" s="2" t="str">
        <f aca="false">IF(LEFT(D256,1)="1",IF(AND(K256&gt;=Assumptions!$B$83,I256&gt;=Assumptions!$B$84),"Regular","Lumpy"),"")</f>
        <v/>
      </c>
      <c r="BA256" s="2" t="str">
        <f aca="false">IF(LEFT(D256,1)="1",ROUND(6/K256,0),"")</f>
        <v/>
      </c>
      <c r="BB256" s="2" t="str">
        <f aca="false">IF(LEFT(D256,1)="1",IF(AZ256="Regular","Regular buyer: expected ~£"&amp;TEXT(H256/2,"#,##0")&amp;" per 90 days. At Risk if GMV to date &lt; "&amp;TEXT(Assumptions!$B$81,"0%")&amp;" of pro-rated expectation, checked from day "&amp;Assumptions!$B$82&amp;". Human-reviewed.","Irregular buyer ("&amp;I256&amp;" orders across "&amp;K256&amp;" months): no numeric GMV threshold. At Risk if no order within ~"&amp;BA256&amp;" month(s); AM reviews at day "&amp;Assumptions!$B$82&amp;" and "&amp;Assumptions!$B$85&amp;"."),"")</f>
        <v/>
      </c>
      <c r="BC256" s="2"/>
      <c r="BD256" s="2"/>
      <c r="BE256" s="2"/>
      <c r="BF256" s="2"/>
      <c r="BG256" s="2"/>
      <c r="BH256" s="2"/>
      <c r="BI256" s="2"/>
      <c r="BJ256" s="2" t="str">
        <f aca="false">IF(OR(NOT(LEFT(D256,1)="1"),BC256=""),"",IF(AZ256="Regular",AND(BC256&gt;=Assumptions!$B$82,N(BI256)&lt;Assumptions!$B$81*H256/180*BC256),AND(BC256&gt;=BA256*30,N(BG256)=0)))</f>
        <v/>
      </c>
      <c r="BK256" s="2" t="str">
        <f aca="false">IF(NOT(LEFT(D256,1)="1"),"N/A",IF(BC256="","Baseline",IF(BJ256,"At Risk",IF(AND(N(BD256)&gt;=Assumptions!$B$78,N(BE256)&gt;=Assumptions!$B$79,N(BH256)&gt;=1,N(BH256)/MAX(N(BG256),1)&gt;AY256),"Self-Serve Capability Demonstrated",IF(OR(N(BD256)&gt;=Assumptions!$B$76,N(BE256)&gt;=Assumptions!$B$77),"Progressing",IF(BC256&gt;=Assumptions!$B$85,"At Risk","Baseline"))))))</f>
        <v>N/A</v>
      </c>
      <c r="BL256" s="2" t="n">
        <f aca="false">(AND(C256="Broker-Reliant",OR(AK256="Discovery-to-Offer Enablement",AK256="Reinforce Successful Behaviour")))*1+(AND(G256="Declining",E256&lt;&gt;"Tail",AL256="Automated"))*1+(AND(Y256,AM256&lt;&gt;"Human Sign-Off Required"))*1+(AND(AA256,AM256&lt;&gt;"HOLD — Critical Data Issue"))*1+(AND(P256="Recent Inactivity",OR(AK256="Discovery-to-Offer Enablement",AK256="Reinforce Successful Behaviour")))*1+(AND(OR(LEFT(D256,1)="2",LEFT(D256,1)="3",LEFT(D256,1)="8"),AL256="Automated"))*1+((LEFT(D256,1)="1")&lt;&gt;(AK256="Guided Self-Serve Migration"))*1+(AND(AR256&lt;&gt;"",OR(F256&lt;&gt;"Low",U256="Mixed",AND(G256&lt;&gt;"Growing",G256&lt;&gt;"Stable"))))*1+ISNUMBER(SEARCH("chat",AP256))*1+ISNUMBER(SEARCH("video",AP256))*1+(AND(AA256,AL256="Automated",AM256&lt;&gt;"HOLD — Critical Data Issue"))*1</f>
        <v>0</v>
      </c>
    </row>
    <row r="257" customFormat="false" ht="15" hidden="false" customHeight="false" outlineLevel="0" collapsed="false">
      <c r="A257" s="2" t="s">
        <v>564</v>
      </c>
      <c r="B257" s="2" t="str">
        <f aca="false">INDEX(Segmentation!$B$2:$B$301,MATCH($A257,Segmentation!$A$2:$A$301,0))</f>
        <v>Self Serve</v>
      </c>
      <c r="C257" s="2" t="str">
        <f aca="false">INDEX(Segmentation!$H$2:$H$301,MATCH($A257,Segmentation!$A$2:$A$301,0))</f>
        <v>Self-Serve</v>
      </c>
      <c r="D257" s="2" t="str">
        <f aca="false">INDEX(Segmentation!$T$2:$T$301,MATCH($A257,Segmentation!$A$2:$A$301,0))</f>
        <v>9. Long-Tail Automated Nurture</v>
      </c>
      <c r="E257" s="2" t="str">
        <f aca="false">INDEX(Segmentation!$J$2:$J$301,MATCH($A257,Segmentation!$A$2:$A$301,0))</f>
        <v>Tail</v>
      </c>
      <c r="F257" s="2" t="str">
        <f aca="false">INDEX(Segmentation!$G$2:$G$301,MATCH($A257,Segmentation!$A$2:$A$301,0))</f>
        <v>Low</v>
      </c>
      <c r="G257" s="2" t="str">
        <f aca="false">INDEX(Segmentation!$N$2:$N$301,MATCH($A257,Segmentation!$A$2:$A$301,0))</f>
        <v>H2 Active / No H1 GMV</v>
      </c>
      <c r="H257" s="9" t="n">
        <f aca="false">INDEX(Segmentation!$I$2:$I$301,MATCH($A257,Segmentation!$A$2:$A$301,0))</f>
        <v>263</v>
      </c>
      <c r="I257" s="2" t="n">
        <f aca="false">INDEX(Segmentation!$O$2:$O$301,MATCH($A257,Segmentation!$A$2:$A$301,0))</f>
        <v>2</v>
      </c>
      <c r="J257" s="2" t="n">
        <f aca="false">INDEX(Segmentation!$Q$2:$Q$301,MATCH($A257,Segmentation!$A$2:$A$301,0))</f>
        <v>2</v>
      </c>
      <c r="K257" s="2" t="n">
        <f aca="false">INDEX(Segmentation!$W$2:$W$301,MATCH($A257,Segmentation!$A$2:$A$301,0))</f>
        <v>2</v>
      </c>
      <c r="L257" s="9" t="n">
        <f aca="false">INDEX('Commercial View'!$L$2:$L$301,MATCH($A257,'Commercial View'!$A$2:$A$301,0))</f>
        <v>107</v>
      </c>
      <c r="M257" s="9" t="n">
        <f aca="false">INDEX('Commercial View'!$M$2:$M$301,MATCH($A257,'Commercial View'!$A$2:$A$301,0))</f>
        <v>0</v>
      </c>
      <c r="N257" s="9" t="n">
        <f aca="false">INDEX('Commercial View'!$N$2:$N$301,MATCH($A257,'Commercial View'!$A$2:$A$301,0))</f>
        <v>156</v>
      </c>
      <c r="O257" s="9" t="n">
        <f aca="false">INDEX(Segmentation!$L$2:$L$301,MATCH($A257,Segmentation!$A$2:$A$301,0))</f>
        <v>263</v>
      </c>
      <c r="P257" s="2" t="str">
        <f aca="false">IF(OR(M257&gt;0,N257&gt;0),"Recently Active",IF(OR(I257&lt;=Assumptions!$B$48,K257&lt;=Assumptions!$B$49),"No Meaningful History","Recent Inactivity"))</f>
        <v>Recently Active</v>
      </c>
      <c r="Q257" s="2" t="str">
        <f aca="false">INDEX(Segmentation!$AF$2:$AF$301,MATCH($A257,Segmentation!$A$2:$A$301,0))</f>
        <v>New Customer</v>
      </c>
      <c r="R257" s="2" t="str">
        <f aca="false">INDEX(Segmentation!$AL$2:$AL$301,MATCH($A257,Segmentation!$A$2:$A$301,0))</f>
        <v>N/A</v>
      </c>
      <c r="S257" s="10" t="b">
        <f aca="false">INDEX(Segmentation!$AW$2:$AW$301,MATCH($A257,Segmentation!$A$2:$A$301,0))</f>
        <v>0</v>
      </c>
      <c r="T257" s="2" t="str">
        <f aca="false">INDEX('Feature Data'!$AD$2:$AD$301,MATCH($A257,'Feature Data'!$A$2:$A$301,0))</f>
        <v>Engaged, not converting</v>
      </c>
      <c r="U257" s="2" t="str">
        <f aca="false">INDEX('Feature Data'!$W$2:$W$301,MATCH($A257,'Feature Data'!$A$2:$A$301,0))</f>
        <v>Bundle-only</v>
      </c>
      <c r="V257" s="2" t="n">
        <f aca="false">INDEX('Feature Data'!$P$2:$P$301,MATCH($A257,'Feature Data'!$A$2:$A$301,0))</f>
        <v>312</v>
      </c>
      <c r="W257" s="2" t="n">
        <f aca="false">INDEX(Segmentation!$R$2:$R$301,MATCH($A257,Segmentation!$A$2:$A$301,0))</f>
        <v>9</v>
      </c>
      <c r="X257" s="2" t="n">
        <f aca="false">INDEX(Segmentation!$S$2:$S$301,MATCH($A257,Segmentation!$A$2:$A$301,0))</f>
        <v>2</v>
      </c>
      <c r="Y257" s="10" t="b">
        <f aca="false">INDEX(Segmentation!$AG$2:$AG$301,MATCH($A257,Segmentation!$A$2:$A$301,0))</f>
        <v>0</v>
      </c>
      <c r="Z257" s="2" t="str">
        <f aca="false">INDEX(Segmentation!$AU$2:$AU$301,MATCH($A257,Segmentation!$A$2:$A$301,0))</f>
        <v>Not Eligible</v>
      </c>
      <c r="AA257" s="10" t="b">
        <f aca="false">INDEX(Segmentation!$Z$2:$Z$301,MATCH($A257,Segmentation!$A$2:$A$301,0))</f>
        <v>0</v>
      </c>
      <c r="AB257" s="10" t="b">
        <f aca="false">INDEX(Segmentation!$AH$2:$AH$301,MATCH($A257,Segmentation!$A$2:$A$301,0))</f>
        <v>0</v>
      </c>
      <c r="AC257" s="10" t="b">
        <f aca="false">INDEX(Segmentation!$AK$2:$AK$301,MATCH($A257,Segmentation!$A$2:$A$301,0))</f>
        <v>0</v>
      </c>
      <c r="AD257" s="10" t="b">
        <f aca="false">INDEX(Segmentation!$AQ$2:$AQ$301,MATCH($A257,Segmentation!$A$2:$A$301,0))</f>
        <v>0</v>
      </c>
      <c r="AE257" s="10" t="b">
        <f aca="false">INDEX(Segmentation!$AT$2:$AT$301,MATCH($A257,Segmentation!$A$2:$A$301,0))</f>
        <v>0</v>
      </c>
      <c r="AF257" s="10" t="b">
        <f aca="false">INDEX(Segmentation!$X$2:$X$301,MATCH($A257,Segmentation!$A$2:$A$301,0))</f>
        <v>1</v>
      </c>
      <c r="AG257" s="10" t="b">
        <f aca="false">AND(F257="Low",V257&gt;=Assumptions!$B$71,X257&lt;Assumptions!$B$72)</f>
        <v>1</v>
      </c>
      <c r="AH257" s="10" t="b">
        <f aca="false">AND(F257="Low",OR(G257="Growing",G257="Stable"),P257="Recently Active",V257&gt;=Assumptions!$B$58,K257&gt;=Assumptions!$B$73)</f>
        <v>0</v>
      </c>
      <c r="AI257" s="17" t="n">
        <f aca="false">IF(O257&gt;0,MAX(L257:N257)/O257,"")</f>
        <v>0.593155893536122</v>
      </c>
      <c r="AJ257" s="2" t="str">
        <f aca="false">IF(LEFT(D257,1)="1",IF(E257="Key","MIGRATION_KEY_SIGNOFF",IF(Z257="Ready","MIGRATION_PHASE1_READY",IF(Z257="Manual Review","MIGRATION_PHASE1_REVIEW","MIGRATION_PRE_ENTRY"))),IF(LEFT(D257,1)="2","DECLINING_KEY_CORE",IF(LEFT(D257,1)="3",IF(R257="Established Buyer Lapsed","LAPSED_ESTABLISHED","LAPSED_THIN_HISTORY"),IF(LEFT(D257,1)="4",IF(Q257="New Customer","NEW_CUSTOMER","RETURNED_CUSTOMER"),IF(LEFT(D257,1)="5",IF(P257="Recently Active","COST_TO_SERVE_ACTIVE","DORMANT_LOW_VALUE"),IF(LEFT(D257,1)="6",IF(P257="Recent Inactivity","RECENT_INACTIVITY",IF(AG257,"BROWSING_LOW_OFFERS","HEALTHY_STRONG_SELF_SERVE")),IF(LEFT(D257,1)="7",IF(P257="Recent Inactivity","RECENT_INACTIVITY",IF(Q257="New Customer","NEW_CUSTOMER","RETURNED_CUSTOMER")),IF(LEFT(D257,1)="8",IF(G257="Declining",IF(T257="Engaged but shrinking (Key/Core)","ENGAGED_BUT_SHRINKING","DECLINING_KEY_CORE"),IF(R257="Established Buyer Lapsed","LAPSED_ESTABLISHED","LAPSED_THIN_HISTORY")),IF(S257,IF(P257&lt;&gt;"Recently Active","DORMANT_LOW_VALUE",IF(AG257,"BROWSING_LOW_OFFERS",IF(AH257,"RISING_TAIL","RISING_TAIL_EARLY"))),IF(AND(AG257,P257="Recently Active",OR(G257="Growing",G257="Stable",G257="H2 Active / No H1 GMV"),I257&gt;=Assumptions!$B$74),"BROWSING_LOW_OFFERS","LONG_TAIL_STANDARD"))))))))))</f>
        <v>BROWSING_LOW_OFFERS</v>
      </c>
      <c r="AK257" s="2" t="str">
        <f aca="false">INDEX('NBA Library'!$B$4:$B$21,MATCH(AJ257,'NBA Library'!$A$4:$A$21,0))</f>
        <v>Discovery-to-Offer Enablement</v>
      </c>
      <c r="AL257" s="2" t="str">
        <f aca="false">INDEX('NBA Library'!$C$4:$C$21,MATCH(AJ257,'NBA Library'!$A$4:$A$21,0))</f>
        <v>Automated</v>
      </c>
      <c r="AM257" s="2" t="str">
        <f aca="false">IF(AA257,"HOLD — Critical Data Issue",IF(Y257,"Human Sign-Off Required",IF(Z257="Manual Review","Human Review Required",IF(AND(AL257="Automated",OR(AE257,AND(OR(AK257="Discovery-to-Offer Enablement",AK257="Reinforce Successful Behaviour"),OR(AC257,AB257)))),"Human Review Required",IF(AL257="Human","Ready — Human",IF(AL257="Hybrid","Ready — Hybrid","Ready — Automated"))))))</f>
        <v>Ready — Automated</v>
      </c>
      <c r="AN257" s="2" t="str">
        <f aca="false">IF(AA257,"P0",IF(AND(AJ257="BROWSING_LOW_OFFERS",E257="Tail"),"P3",IF(AND(AM257="Human Review Required",INDEX('NBA Library'!$D$4:$D$21,MATCH(AJ257,'NBA Library'!$A$4:$A$21,0))="P4"),"P3",INDEX('NBA Library'!$D$4:$D$21,MATCH(AJ257,'NBA Library'!$A$4:$A$21,0)))))</f>
        <v>P3</v>
      </c>
      <c r="AO257" s="2" t="str">
        <f aca="false">E257&amp;" "&amp;C257&amp;" account ("&amp;B257&amp;"); "&amp;G257&amp;" momentum; "&amp;P257&amp;"; £"&amp;TEXT(H257,"#,##0")&amp;" 6m GMV. "&amp;INDEX('NBA Library'!$G$4:$G$21,MATCH(AJ257,'NBA Library'!$A$4:$A$21,0))&amp;IF(LEFT(D257,1)="1"," Baseline: "&amp;V257&amp;" PDP views, "&amp;W257&amp;" app days, "&amp;X257&amp;" offers, "&amp;TEXT(J257/I257,"0%")&amp;" of orders self-serve.","")&amp;IF(AA257," Execution on HOLD until the Duplicate status is resolved.","")&amp;IF(Y257," Key account: explicit AM/leadership sign-off required before any migration activity.","")&amp;IF(AE257," Implied broker % from order counts would move this account to a different segment; review before automating.","")</f>
        <v>Tail Self-Serve account (Self Serve); H2 Active / No H1 GMV momentum; Recently Active; £263 6m GMV. Low-dependency account browses meaningfully but makes few offers. Encourage self-directed negotiation.</v>
      </c>
      <c r="AP257" s="2" t="str">
        <f aca="false">INDEX('NBA Library'!$E$4:$E$21,MATCH(AJ257,'NBA Library'!$A$4:$A$21,0))&amp;IF(AND(AJ257="NEW_CUSTOMER",AG257),"; introduce Make-an-Offer on items already browsed","")</f>
        <v>Make offers on items already browsed (3+ offers)</v>
      </c>
      <c r="AQ257" s="2" t="str">
        <f aca="false">INDEX('NBA Library'!$F$4:$F$21,MATCH(AJ257,'NBA Library'!$A$4:$A$21,0))</f>
        <v>3+ offers within 90 days and at least one offer-led order; GMV not lower</v>
      </c>
      <c r="AR257" s="2" t="str">
        <f aca="false">IF(AND(F257="Low",OR(G257="Growing",G257="Stable"),P257="Recently Active",U257&lt;&gt;"Mixed",OR(AK257="Discovery-to-Offer Enablement",AK257="Reinforce Successful Behaviour"),AM257="Ready — Automated",OR(E257&lt;&gt;"Tail",S257)),"Range Expansion Test — trial "&amp;IF(U257="Bundle-only","handpick","bundles")&amp;" (experimental; not proven to lift GMV)","")</f>
        <v/>
      </c>
      <c r="AS257" s="2" t="str">
        <f aca="false">IF(AK257&lt;&gt;"Automated Nurture","",IF(AJ257="DORMANT_LOW_VALUE","Dormant",IF(AJ257="RISING_TAIL_EARLY","Rising tail – early pattern",IF(Q257="New Customer","New customer onboarding",IF(Q257="Returned Customer","Returned customer",IF(G257="Lapsed","Dormant",IF(T257="Engaged, not converting","Engaged, not converting",IF(T257="One-off low-touch buyer","One-off purchaser",IF(T257="Light-touch repeat buyer","Light-touch repeat buyer","Standard long tail")))))))))</f>
        <v/>
      </c>
      <c r="AT257" s="2" t="str">
        <f aca="false">IF(AA257,"CRITICAL_DATA_BLOCKER; ","")&amp;IF(Y257,"KEY_SIGNOFF; ","")&amp;IF(Z257="Manual Review","PHASE1_MANUAL_REVIEW; ","")&amp;IF(AND(LEFT(D257,1)="1",AZ257="Lumpy"),"LUMPY_CADENCE; ","")&amp;IF(AB257,"BORDERLINE_MOMENTUM; ","")&amp;IF(AC257,"FEB_SENSITIVE; ","")&amp;IF(AD257,"MATERIAL_BROKER_INCONSISTENCY"&amp;IF(AE257," (segment would change)","")&amp;"; ","")&amp;IF(AND(I257&gt;=3,O257&gt;0),IF(AI257&gt;=Assumptions!$B$75,"H2_SINGLE_MONTH_SPIKE; ",""),"")&amp;IF(AND(M257&gt;0,N257=0),"NO_FEB_GMV (Feb unconfirmed); ","")&amp;IF(AF257,"LOW_CONFIDENCE; ","")</f>
        <v>LOW_CONFIDENCE; </v>
      </c>
      <c r="AU257" s="2" t="str">
        <f aca="false">IF(LEFT(D257,1)="1",V257,"")</f>
        <v/>
      </c>
      <c r="AV257" s="2" t="str">
        <f aca="false">IF(LEFT(D257,1)="1",V257&gt;=Assumptions!$B$58,"")</f>
        <v/>
      </c>
      <c r="AW257" s="2" t="str">
        <f aca="false">IF(LEFT(D257,1)="1",W257,"")</f>
        <v/>
      </c>
      <c r="AX257" s="2" t="str">
        <f aca="false">IF(LEFT(D257,1)="1",X257,"")</f>
        <v/>
      </c>
      <c r="AY257" s="17" t="str">
        <f aca="false">IF(LEFT(D257,1)="1",J257/I257,"")</f>
        <v/>
      </c>
      <c r="AZ257" s="2" t="str">
        <f aca="false">IF(LEFT(D257,1)="1",IF(AND(K257&gt;=Assumptions!$B$83,I257&gt;=Assumptions!$B$84),"Regular","Lumpy"),"")</f>
        <v/>
      </c>
      <c r="BA257" s="2" t="str">
        <f aca="false">IF(LEFT(D257,1)="1",ROUND(6/K257,0),"")</f>
        <v/>
      </c>
      <c r="BB257" s="2" t="str">
        <f aca="false">IF(LEFT(D257,1)="1",IF(AZ257="Regular","Regular buyer: expected ~£"&amp;TEXT(H257/2,"#,##0")&amp;" per 90 days. At Risk if GMV to date &lt; "&amp;TEXT(Assumptions!$B$81,"0%")&amp;" of pro-rated expectation, checked from day "&amp;Assumptions!$B$82&amp;". Human-reviewed.","Irregular buyer ("&amp;I257&amp;" orders across "&amp;K257&amp;" months): no numeric GMV threshold. At Risk if no order within ~"&amp;BA257&amp;" month(s); AM reviews at day "&amp;Assumptions!$B$82&amp;" and "&amp;Assumptions!$B$85&amp;"."),"")</f>
        <v/>
      </c>
      <c r="BC257" s="2"/>
      <c r="BD257" s="2"/>
      <c r="BE257" s="2"/>
      <c r="BF257" s="2"/>
      <c r="BG257" s="2"/>
      <c r="BH257" s="2"/>
      <c r="BI257" s="2"/>
      <c r="BJ257" s="2" t="str">
        <f aca="false">IF(OR(NOT(LEFT(D257,1)="1"),BC257=""),"",IF(AZ257="Regular",AND(BC257&gt;=Assumptions!$B$82,N(BI257)&lt;Assumptions!$B$81*H257/180*BC257),AND(BC257&gt;=BA257*30,N(BG257)=0)))</f>
        <v/>
      </c>
      <c r="BK257" s="2" t="str">
        <f aca="false">IF(NOT(LEFT(D257,1)="1"),"N/A",IF(BC257="","Baseline",IF(BJ257,"At Risk",IF(AND(N(BD257)&gt;=Assumptions!$B$78,N(BE257)&gt;=Assumptions!$B$79,N(BH257)&gt;=1,N(BH257)/MAX(N(BG257),1)&gt;AY257),"Self-Serve Capability Demonstrated",IF(OR(N(BD257)&gt;=Assumptions!$B$76,N(BE257)&gt;=Assumptions!$B$77),"Progressing",IF(BC257&gt;=Assumptions!$B$85,"At Risk","Baseline"))))))</f>
        <v>N/A</v>
      </c>
      <c r="BL257" s="2" t="n">
        <f aca="false">(AND(C257="Broker-Reliant",OR(AK257="Discovery-to-Offer Enablement",AK257="Reinforce Successful Behaviour")))*1+(AND(G257="Declining",E257&lt;&gt;"Tail",AL257="Automated"))*1+(AND(Y257,AM257&lt;&gt;"Human Sign-Off Required"))*1+(AND(AA257,AM257&lt;&gt;"HOLD — Critical Data Issue"))*1+(AND(P257="Recent Inactivity",OR(AK257="Discovery-to-Offer Enablement",AK257="Reinforce Successful Behaviour")))*1+(AND(OR(LEFT(D257,1)="2",LEFT(D257,1)="3",LEFT(D257,1)="8"),AL257="Automated"))*1+((LEFT(D257,1)="1")&lt;&gt;(AK257="Guided Self-Serve Migration"))*1+(AND(AR257&lt;&gt;"",OR(F257&lt;&gt;"Low",U257="Mixed",AND(G257&lt;&gt;"Growing",G257&lt;&gt;"Stable"))))*1+ISNUMBER(SEARCH("chat",AP257))*1+ISNUMBER(SEARCH("video",AP257))*1+(AND(AA257,AL257="Automated",AM257&lt;&gt;"HOLD — Critical Data Issue"))*1</f>
        <v>0</v>
      </c>
    </row>
    <row r="258" customFormat="false" ht="15" hidden="false" customHeight="false" outlineLevel="0" collapsed="false">
      <c r="A258" s="2" t="s">
        <v>824</v>
      </c>
      <c r="B258" s="2" t="str">
        <f aca="false">INDEX(Segmentation!$B$2:$B$301,MATCH($A258,Segmentation!$A$2:$A$301,0))</f>
        <v>Self Serve</v>
      </c>
      <c r="C258" s="2" t="str">
        <f aca="false">INDEX(Segmentation!$H$2:$H$301,MATCH($A258,Segmentation!$A$2:$A$301,0))</f>
        <v>Self-Serve</v>
      </c>
      <c r="D258" s="2" t="str">
        <f aca="false">INDEX(Segmentation!$T$2:$T$301,MATCH($A258,Segmentation!$A$2:$A$301,0))</f>
        <v>9. Long-Tail Automated Nurture</v>
      </c>
      <c r="E258" s="2" t="str">
        <f aca="false">INDEX(Segmentation!$J$2:$J$301,MATCH($A258,Segmentation!$A$2:$A$301,0))</f>
        <v>Tail</v>
      </c>
      <c r="F258" s="2" t="str">
        <f aca="false">INDEX(Segmentation!$G$2:$G$301,MATCH($A258,Segmentation!$A$2:$A$301,0))</f>
        <v>Low</v>
      </c>
      <c r="G258" s="2" t="str">
        <f aca="false">INDEX(Segmentation!$N$2:$N$301,MATCH($A258,Segmentation!$A$2:$A$301,0))</f>
        <v>Lapsed</v>
      </c>
      <c r="H258" s="9" t="n">
        <f aca="false">INDEX(Segmentation!$I$2:$I$301,MATCH($A258,Segmentation!$A$2:$A$301,0))</f>
        <v>260</v>
      </c>
      <c r="I258" s="2" t="n">
        <f aca="false">INDEX(Segmentation!$O$2:$O$301,MATCH($A258,Segmentation!$A$2:$A$301,0))</f>
        <v>1</v>
      </c>
      <c r="J258" s="2" t="n">
        <f aca="false">INDEX(Segmentation!$Q$2:$Q$301,MATCH($A258,Segmentation!$A$2:$A$301,0))</f>
        <v>1</v>
      </c>
      <c r="K258" s="2" t="n">
        <f aca="false">INDEX(Segmentation!$W$2:$W$301,MATCH($A258,Segmentation!$A$2:$A$301,0))</f>
        <v>1</v>
      </c>
      <c r="L258" s="9" t="n">
        <f aca="false">INDEX('Commercial View'!$L$2:$L$301,MATCH($A258,'Commercial View'!$A$2:$A$301,0))</f>
        <v>0</v>
      </c>
      <c r="M258" s="9" t="n">
        <f aca="false">INDEX('Commercial View'!$M$2:$M$301,MATCH($A258,'Commercial View'!$A$2:$A$301,0))</f>
        <v>0</v>
      </c>
      <c r="N258" s="9" t="n">
        <f aca="false">INDEX('Commercial View'!$N$2:$N$301,MATCH($A258,'Commercial View'!$A$2:$A$301,0))</f>
        <v>0</v>
      </c>
      <c r="O258" s="9" t="n">
        <f aca="false">INDEX(Segmentation!$L$2:$L$301,MATCH($A258,Segmentation!$A$2:$A$301,0))</f>
        <v>0</v>
      </c>
      <c r="P258" s="2" t="str">
        <f aca="false">IF(OR(M258&gt;0,N258&gt;0),"Recently Active",IF(OR(I258&lt;=Assumptions!$B$48,K258&lt;=Assumptions!$B$49),"No Meaningful History","Recent Inactivity"))</f>
        <v>No Meaningful History</v>
      </c>
      <c r="Q258" s="2" t="str">
        <f aca="false">INDEX(Segmentation!$AF$2:$AF$301,MATCH($A258,Segmentation!$A$2:$A$301,0))</f>
        <v>Existing Customer</v>
      </c>
      <c r="R258" s="2" t="str">
        <f aca="false">INDEX(Segmentation!$AL$2:$AL$301,MATCH($A258,Segmentation!$A$2:$A$301,0))</f>
        <v>One-Off / Insufficient History — Verify</v>
      </c>
      <c r="S258" s="10" t="b">
        <f aca="false">INDEX(Segmentation!$AW$2:$AW$301,MATCH($A258,Segmentation!$A$2:$A$301,0))</f>
        <v>0</v>
      </c>
      <c r="T258" s="2" t="str">
        <f aca="false">INDEX('Feature Data'!$AD$2:$AD$301,MATCH($A258,'Feature Data'!$A$2:$A$301,0))</f>
        <v>Engaged, not converting</v>
      </c>
      <c r="U258" s="2" t="str">
        <f aca="false">INDEX('Feature Data'!$W$2:$W$301,MATCH($A258,'Feature Data'!$A$2:$A$301,0))</f>
        <v>Bundle-only</v>
      </c>
      <c r="V258" s="2" t="n">
        <f aca="false">INDEX('Feature Data'!$P$2:$P$301,MATCH($A258,'Feature Data'!$A$2:$A$301,0))</f>
        <v>128</v>
      </c>
      <c r="W258" s="2" t="n">
        <f aca="false">INDEX(Segmentation!$R$2:$R$301,MATCH($A258,Segmentation!$A$2:$A$301,0))</f>
        <v>20</v>
      </c>
      <c r="X258" s="2" t="n">
        <f aca="false">INDEX(Segmentation!$S$2:$S$301,MATCH($A258,Segmentation!$A$2:$A$301,0))</f>
        <v>1</v>
      </c>
      <c r="Y258" s="10" t="b">
        <f aca="false">INDEX(Segmentation!$AG$2:$AG$301,MATCH($A258,Segmentation!$A$2:$A$301,0))</f>
        <v>0</v>
      </c>
      <c r="Z258" s="2" t="str">
        <f aca="false">INDEX(Segmentation!$AU$2:$AU$301,MATCH($A258,Segmentation!$A$2:$A$301,0))</f>
        <v>Not Eligible</v>
      </c>
      <c r="AA258" s="10" t="b">
        <f aca="false">INDEX(Segmentation!$Z$2:$Z$301,MATCH($A258,Segmentation!$A$2:$A$301,0))</f>
        <v>0</v>
      </c>
      <c r="AB258" s="10" t="b">
        <f aca="false">INDEX(Segmentation!$AH$2:$AH$301,MATCH($A258,Segmentation!$A$2:$A$301,0))</f>
        <v>0</v>
      </c>
      <c r="AC258" s="10" t="b">
        <f aca="false">INDEX(Segmentation!$AK$2:$AK$301,MATCH($A258,Segmentation!$A$2:$A$301,0))</f>
        <v>0</v>
      </c>
      <c r="AD258" s="10" t="b">
        <f aca="false">INDEX(Segmentation!$AQ$2:$AQ$301,MATCH($A258,Segmentation!$A$2:$A$301,0))</f>
        <v>0</v>
      </c>
      <c r="AE258" s="10" t="b">
        <f aca="false">INDEX(Segmentation!$AT$2:$AT$301,MATCH($A258,Segmentation!$A$2:$A$301,0))</f>
        <v>0</v>
      </c>
      <c r="AF258" s="10" t="b">
        <f aca="false">INDEX(Segmentation!$X$2:$X$301,MATCH($A258,Segmentation!$A$2:$A$301,0))</f>
        <v>1</v>
      </c>
      <c r="AG258" s="10" t="b">
        <f aca="false">AND(F258="Low",V258&gt;=Assumptions!$B$71,X258&lt;Assumptions!$B$72)</f>
        <v>1</v>
      </c>
      <c r="AH258" s="10" t="b">
        <f aca="false">AND(F258="Low",OR(G258="Growing",G258="Stable"),P258="Recently Active",V258&gt;=Assumptions!$B$58,K258&gt;=Assumptions!$B$73)</f>
        <v>0</v>
      </c>
      <c r="AI258" s="17" t="str">
        <f aca="false">IF(O258&gt;0,MAX(L258:N258)/O258,"")</f>
        <v/>
      </c>
      <c r="AJ258" s="2" t="str">
        <f aca="false">IF(LEFT(D258,1)="1",IF(E258="Key","MIGRATION_KEY_SIGNOFF",IF(Z258="Ready","MIGRATION_PHASE1_READY",IF(Z258="Manual Review","MIGRATION_PHASE1_REVIEW","MIGRATION_PRE_ENTRY"))),IF(LEFT(D258,1)="2","DECLINING_KEY_CORE",IF(LEFT(D258,1)="3",IF(R258="Established Buyer Lapsed","LAPSED_ESTABLISHED","LAPSED_THIN_HISTORY"),IF(LEFT(D258,1)="4",IF(Q258="New Customer","NEW_CUSTOMER","RETURNED_CUSTOMER"),IF(LEFT(D258,1)="5",IF(P258="Recently Active","COST_TO_SERVE_ACTIVE","DORMANT_LOW_VALUE"),IF(LEFT(D258,1)="6",IF(P258="Recent Inactivity","RECENT_INACTIVITY",IF(AG258,"BROWSING_LOW_OFFERS","HEALTHY_STRONG_SELF_SERVE")),IF(LEFT(D258,1)="7",IF(P258="Recent Inactivity","RECENT_INACTIVITY",IF(Q258="New Customer","NEW_CUSTOMER","RETURNED_CUSTOMER")),IF(LEFT(D258,1)="8",IF(G258="Declining",IF(T258="Engaged but shrinking (Key/Core)","ENGAGED_BUT_SHRINKING","DECLINING_KEY_CORE"),IF(R258="Established Buyer Lapsed","LAPSED_ESTABLISHED","LAPSED_THIN_HISTORY")),IF(S258,IF(P258&lt;&gt;"Recently Active","DORMANT_LOW_VALUE",IF(AG258,"BROWSING_LOW_OFFERS",IF(AH258,"RISING_TAIL","RISING_TAIL_EARLY"))),IF(AND(AG258,P258="Recently Active",OR(G258="Growing",G258="Stable",G258="H2 Active / No H1 GMV"),I258&gt;=Assumptions!$B$74),"BROWSING_LOW_OFFERS","LONG_TAIL_STANDARD"))))))))))</f>
        <v>LONG_TAIL_STANDARD</v>
      </c>
      <c r="AK258" s="2" t="str">
        <f aca="false">INDEX('NBA Library'!$B$4:$B$21,MATCH(AJ258,'NBA Library'!$A$4:$A$21,0))</f>
        <v>Automated Nurture</v>
      </c>
      <c r="AL258" s="2" t="str">
        <f aca="false">INDEX('NBA Library'!$C$4:$C$21,MATCH(AJ258,'NBA Library'!$A$4:$A$21,0))</f>
        <v>Automated</v>
      </c>
      <c r="AM258" s="2" t="str">
        <f aca="false">IF(AA258,"HOLD — Critical Data Issue",IF(Y258,"Human Sign-Off Required",IF(Z258="Manual Review","Human Review Required",IF(AND(AL258="Automated",OR(AE258,AND(OR(AK258="Discovery-to-Offer Enablement",AK258="Reinforce Successful Behaviour"),OR(AC258,AB258)))),"Human Review Required",IF(AL258="Human","Ready — Human",IF(AL258="Hybrid","Ready — Hybrid","Ready — Automated"))))))</f>
        <v>Ready — Automated</v>
      </c>
      <c r="AN258" s="2" t="str">
        <f aca="false">IF(AA258,"P0",IF(AND(AJ258="BROWSING_LOW_OFFERS",E258="Tail"),"P3",IF(AND(AM258="Human Review Required",INDEX('NBA Library'!$D$4:$D$21,MATCH(AJ258,'NBA Library'!$A$4:$A$21,0))="P4"),"P3",INDEX('NBA Library'!$D$4:$D$21,MATCH(AJ258,'NBA Library'!$A$4:$A$21,0)))))</f>
        <v>P4</v>
      </c>
      <c r="AO258" s="2" t="str">
        <f aca="false">E258&amp;" "&amp;C258&amp;" account ("&amp;B258&amp;"); "&amp;G258&amp;" momentum; "&amp;P258&amp;"; £"&amp;TEXT(H258,"#,##0")&amp;" 6m GMV. "&amp;INDEX('NBA Library'!$G$4:$G$21,MATCH(AJ258,'NBA Library'!$A$4:$A$21,0))&amp;IF(LEFT(D258,1)="1"," Baseline: "&amp;V258&amp;" PDP views, "&amp;W258&amp;" app days, "&amp;X258&amp;" offers, "&amp;TEXT(J258/I258,"0%")&amp;" of orders self-serve.","")&amp;IF(AA258," Execution on HOLD until the Duplicate status is resolved.","")&amp;IF(Y258," Key account: explicit AM/leadership sign-off required before any migration activity.","")&amp;IF(AE258," Implied broker % from order counts would move this account to a different segment; review before automating.","")</f>
        <v>Tail Self-Serve account (Self Serve); Lapsed momentum; No Meaningful History; £260 6m GMV. Low-value, low-dependency account. Scalable automated engagement.</v>
      </c>
      <c r="AP258" s="2" t="str">
        <f aca="false">INDEX('NBA Library'!$E$4:$E$21,MATCH(AJ258,'NBA Library'!$A$4:$A$21,0))&amp;IF(AND(AJ258="NEW_CUSTOMER",AG258),"; introduce Make-an-Offer on items already browsed","")</f>
        <v>Scalable automated engagement matched to nurture sub-context</v>
      </c>
      <c r="AQ258" s="2" t="str">
        <f aca="false">INDEX('NBA Library'!$F$4:$F$21,MATCH(AJ258,'NBA Library'!$A$4:$A$21,0))</f>
        <v>Any repeat order within 90 days</v>
      </c>
      <c r="AR258" s="2" t="str">
        <f aca="false">IF(AND(F258="Low",OR(G258="Growing",G258="Stable"),P258="Recently Active",U258&lt;&gt;"Mixed",OR(AK258="Discovery-to-Offer Enablement",AK258="Reinforce Successful Behaviour"),AM258="Ready — Automated",OR(E258&lt;&gt;"Tail",S258)),"Range Expansion Test — trial "&amp;IF(U258="Bundle-only","handpick","bundles")&amp;" (experimental; not proven to lift GMV)","")</f>
        <v/>
      </c>
      <c r="AS258" s="2" t="str">
        <f aca="false">IF(AK258&lt;&gt;"Automated Nurture","",IF(AJ258="DORMANT_LOW_VALUE","Dormant",IF(AJ258="RISING_TAIL_EARLY","Rising tail – early pattern",IF(Q258="New Customer","New customer onboarding",IF(Q258="Returned Customer","Returned customer",IF(G258="Lapsed","Dormant",IF(T258="Engaged, not converting","Engaged, not converting",IF(T258="One-off low-touch buyer","One-off purchaser",IF(T258="Light-touch repeat buyer","Light-touch repeat buyer","Standard long tail")))))))))</f>
        <v>Dormant</v>
      </c>
      <c r="AT258" s="2" t="str">
        <f aca="false">IF(AA258,"CRITICAL_DATA_BLOCKER; ","")&amp;IF(Y258,"KEY_SIGNOFF; ","")&amp;IF(Z258="Manual Review","PHASE1_MANUAL_REVIEW; ","")&amp;IF(AND(LEFT(D258,1)="1",AZ258="Lumpy"),"LUMPY_CADENCE; ","")&amp;IF(AB258,"BORDERLINE_MOMENTUM; ","")&amp;IF(AC258,"FEB_SENSITIVE; ","")&amp;IF(AD258,"MATERIAL_BROKER_INCONSISTENCY"&amp;IF(AE258," (segment would change)","")&amp;"; ","")&amp;IF(AND(I258&gt;=3,O258&gt;0),IF(AI258&gt;=Assumptions!$B$75,"H2_SINGLE_MONTH_SPIKE; ",""),"")&amp;IF(AND(M258&gt;0,N258=0),"NO_FEB_GMV (Feb unconfirmed); ","")&amp;IF(AF258,"LOW_CONFIDENCE; ","")</f>
        <v>LOW_CONFIDENCE; </v>
      </c>
      <c r="AU258" s="2" t="str">
        <f aca="false">IF(LEFT(D258,1)="1",V258,"")</f>
        <v/>
      </c>
      <c r="AV258" s="2" t="str">
        <f aca="false">IF(LEFT(D258,1)="1",V258&gt;=Assumptions!$B$58,"")</f>
        <v/>
      </c>
      <c r="AW258" s="2" t="str">
        <f aca="false">IF(LEFT(D258,1)="1",W258,"")</f>
        <v/>
      </c>
      <c r="AX258" s="2" t="str">
        <f aca="false">IF(LEFT(D258,1)="1",X258,"")</f>
        <v/>
      </c>
      <c r="AY258" s="17" t="str">
        <f aca="false">IF(LEFT(D258,1)="1",J258/I258,"")</f>
        <v/>
      </c>
      <c r="AZ258" s="2" t="str">
        <f aca="false">IF(LEFT(D258,1)="1",IF(AND(K258&gt;=Assumptions!$B$83,I258&gt;=Assumptions!$B$84),"Regular","Lumpy"),"")</f>
        <v/>
      </c>
      <c r="BA258" s="2" t="str">
        <f aca="false">IF(LEFT(D258,1)="1",ROUND(6/K258,0),"")</f>
        <v/>
      </c>
      <c r="BB258" s="2" t="str">
        <f aca="false">IF(LEFT(D258,1)="1",IF(AZ258="Regular","Regular buyer: expected ~£"&amp;TEXT(H258/2,"#,##0")&amp;" per 90 days. At Risk if GMV to date &lt; "&amp;TEXT(Assumptions!$B$81,"0%")&amp;" of pro-rated expectation, checked from day "&amp;Assumptions!$B$82&amp;". Human-reviewed.","Irregular buyer ("&amp;I258&amp;" orders across "&amp;K258&amp;" months): no numeric GMV threshold. At Risk if no order within ~"&amp;BA258&amp;" month(s); AM reviews at day "&amp;Assumptions!$B$82&amp;" and "&amp;Assumptions!$B$85&amp;"."),"")</f>
        <v/>
      </c>
      <c r="BC258" s="2"/>
      <c r="BD258" s="2"/>
      <c r="BE258" s="2"/>
      <c r="BF258" s="2"/>
      <c r="BG258" s="2"/>
      <c r="BH258" s="2"/>
      <c r="BI258" s="2"/>
      <c r="BJ258" s="2" t="str">
        <f aca="false">IF(OR(NOT(LEFT(D258,1)="1"),BC258=""),"",IF(AZ258="Regular",AND(BC258&gt;=Assumptions!$B$82,N(BI258)&lt;Assumptions!$B$81*H258/180*BC258),AND(BC258&gt;=BA258*30,N(BG258)=0)))</f>
        <v/>
      </c>
      <c r="BK258" s="2" t="str">
        <f aca="false">IF(NOT(LEFT(D258,1)="1"),"N/A",IF(BC258="","Baseline",IF(BJ258,"At Risk",IF(AND(N(BD258)&gt;=Assumptions!$B$78,N(BE258)&gt;=Assumptions!$B$79,N(BH258)&gt;=1,N(BH258)/MAX(N(BG258),1)&gt;AY258),"Self-Serve Capability Demonstrated",IF(OR(N(BD258)&gt;=Assumptions!$B$76,N(BE258)&gt;=Assumptions!$B$77),"Progressing",IF(BC258&gt;=Assumptions!$B$85,"At Risk","Baseline"))))))</f>
        <v>N/A</v>
      </c>
      <c r="BL258" s="2" t="n">
        <f aca="false">(AND(C258="Broker-Reliant",OR(AK258="Discovery-to-Offer Enablement",AK258="Reinforce Successful Behaviour")))*1+(AND(G258="Declining",E258&lt;&gt;"Tail",AL258="Automated"))*1+(AND(Y258,AM258&lt;&gt;"Human Sign-Off Required"))*1+(AND(AA258,AM258&lt;&gt;"HOLD — Critical Data Issue"))*1+(AND(P258="Recent Inactivity",OR(AK258="Discovery-to-Offer Enablement",AK258="Reinforce Successful Behaviour")))*1+(AND(OR(LEFT(D258,1)="2",LEFT(D258,1)="3",LEFT(D258,1)="8"),AL258="Automated"))*1+((LEFT(D258,1)="1")&lt;&gt;(AK258="Guided Self-Serve Migration"))*1+(AND(AR258&lt;&gt;"",OR(F258&lt;&gt;"Low",U258="Mixed",AND(G258&lt;&gt;"Growing",G258&lt;&gt;"Stable"))))*1+ISNUMBER(SEARCH("chat",AP258))*1+ISNUMBER(SEARCH("video",AP258))*1+(AND(AA258,AL258="Automated",AM258&lt;&gt;"HOLD — Critical Data Issue"))*1</f>
        <v>0</v>
      </c>
    </row>
    <row r="259" customFormat="false" ht="15" hidden="false" customHeight="false" outlineLevel="0" collapsed="false">
      <c r="A259" s="2" t="s">
        <v>836</v>
      </c>
      <c r="B259" s="2" t="str">
        <f aca="false">INDEX(Segmentation!$B$2:$B$301,MATCH($A259,Segmentation!$A$2:$A$301,0))</f>
        <v>Self Serve</v>
      </c>
      <c r="C259" s="2" t="str">
        <f aca="false">INDEX(Segmentation!$H$2:$H$301,MATCH($A259,Segmentation!$A$2:$A$301,0))</f>
        <v>Self-Serve</v>
      </c>
      <c r="D259" s="2" t="str">
        <f aca="false">INDEX(Segmentation!$T$2:$T$301,MATCH($A259,Segmentation!$A$2:$A$301,0))</f>
        <v>9. Long-Tail Automated Nurture</v>
      </c>
      <c r="E259" s="2" t="str">
        <f aca="false">INDEX(Segmentation!$J$2:$J$301,MATCH($A259,Segmentation!$A$2:$A$301,0))</f>
        <v>Tail</v>
      </c>
      <c r="F259" s="2" t="str">
        <f aca="false">INDEX(Segmentation!$G$2:$G$301,MATCH($A259,Segmentation!$A$2:$A$301,0))</f>
        <v>Low</v>
      </c>
      <c r="G259" s="2" t="str">
        <f aca="false">INDEX(Segmentation!$N$2:$N$301,MATCH($A259,Segmentation!$A$2:$A$301,0))</f>
        <v>Lapsed</v>
      </c>
      <c r="H259" s="9" t="n">
        <f aca="false">INDEX(Segmentation!$I$2:$I$301,MATCH($A259,Segmentation!$A$2:$A$301,0))</f>
        <v>246</v>
      </c>
      <c r="I259" s="2" t="n">
        <f aca="false">INDEX(Segmentation!$O$2:$O$301,MATCH($A259,Segmentation!$A$2:$A$301,0))</f>
        <v>1</v>
      </c>
      <c r="J259" s="2" t="n">
        <f aca="false">INDEX(Segmentation!$Q$2:$Q$301,MATCH($A259,Segmentation!$A$2:$A$301,0))</f>
        <v>1</v>
      </c>
      <c r="K259" s="2" t="n">
        <f aca="false">INDEX(Segmentation!$W$2:$W$301,MATCH($A259,Segmentation!$A$2:$A$301,0))</f>
        <v>1</v>
      </c>
      <c r="L259" s="9" t="n">
        <f aca="false">INDEX('Commercial View'!$L$2:$L$301,MATCH($A259,'Commercial View'!$A$2:$A$301,0))</f>
        <v>0</v>
      </c>
      <c r="M259" s="9" t="n">
        <f aca="false">INDEX('Commercial View'!$M$2:$M$301,MATCH($A259,'Commercial View'!$A$2:$A$301,0))</f>
        <v>0</v>
      </c>
      <c r="N259" s="9" t="n">
        <f aca="false">INDEX('Commercial View'!$N$2:$N$301,MATCH($A259,'Commercial View'!$A$2:$A$301,0))</f>
        <v>0</v>
      </c>
      <c r="O259" s="9" t="n">
        <f aca="false">INDEX(Segmentation!$L$2:$L$301,MATCH($A259,Segmentation!$A$2:$A$301,0))</f>
        <v>0</v>
      </c>
      <c r="P259" s="2" t="str">
        <f aca="false">IF(OR(M259&gt;0,N259&gt;0),"Recently Active",IF(OR(I259&lt;=Assumptions!$B$48,K259&lt;=Assumptions!$B$49),"No Meaningful History","Recent Inactivity"))</f>
        <v>No Meaningful History</v>
      </c>
      <c r="Q259" s="2" t="str">
        <f aca="false">INDEX(Segmentation!$AF$2:$AF$301,MATCH($A259,Segmentation!$A$2:$A$301,0))</f>
        <v>Existing Customer</v>
      </c>
      <c r="R259" s="2" t="str">
        <f aca="false">INDEX(Segmentation!$AL$2:$AL$301,MATCH($A259,Segmentation!$A$2:$A$301,0))</f>
        <v>One-Off / Insufficient History — Verify</v>
      </c>
      <c r="S259" s="10" t="b">
        <f aca="false">INDEX(Segmentation!$AW$2:$AW$301,MATCH($A259,Segmentation!$A$2:$A$301,0))</f>
        <v>0</v>
      </c>
      <c r="T259" s="2" t="str">
        <f aca="false">INDEX('Feature Data'!$AD$2:$AD$301,MATCH($A259,'Feature Data'!$A$2:$A$301,0))</f>
        <v>Engaged, not converting</v>
      </c>
      <c r="U259" s="2" t="str">
        <f aca="false">INDEX('Feature Data'!$W$2:$W$301,MATCH($A259,'Feature Data'!$A$2:$A$301,0))</f>
        <v>Bundle-only</v>
      </c>
      <c r="V259" s="2" t="n">
        <f aca="false">INDEX('Feature Data'!$P$2:$P$301,MATCH($A259,'Feature Data'!$A$2:$A$301,0))</f>
        <v>110</v>
      </c>
      <c r="W259" s="2" t="n">
        <f aca="false">INDEX(Segmentation!$R$2:$R$301,MATCH($A259,Segmentation!$A$2:$A$301,0))</f>
        <v>20</v>
      </c>
      <c r="X259" s="2" t="n">
        <f aca="false">INDEX(Segmentation!$S$2:$S$301,MATCH($A259,Segmentation!$A$2:$A$301,0))</f>
        <v>0</v>
      </c>
      <c r="Y259" s="10" t="b">
        <f aca="false">INDEX(Segmentation!$AG$2:$AG$301,MATCH($A259,Segmentation!$A$2:$A$301,0))</f>
        <v>0</v>
      </c>
      <c r="Z259" s="2" t="str">
        <f aca="false">INDEX(Segmentation!$AU$2:$AU$301,MATCH($A259,Segmentation!$A$2:$A$301,0))</f>
        <v>Not Eligible</v>
      </c>
      <c r="AA259" s="10" t="b">
        <f aca="false">INDEX(Segmentation!$Z$2:$Z$301,MATCH($A259,Segmentation!$A$2:$A$301,0))</f>
        <v>0</v>
      </c>
      <c r="AB259" s="10" t="b">
        <f aca="false">INDEX(Segmentation!$AH$2:$AH$301,MATCH($A259,Segmentation!$A$2:$A$301,0))</f>
        <v>0</v>
      </c>
      <c r="AC259" s="10" t="b">
        <f aca="false">INDEX(Segmentation!$AK$2:$AK$301,MATCH($A259,Segmentation!$A$2:$A$301,0))</f>
        <v>0</v>
      </c>
      <c r="AD259" s="10" t="b">
        <f aca="false">INDEX(Segmentation!$AQ$2:$AQ$301,MATCH($A259,Segmentation!$A$2:$A$301,0))</f>
        <v>0</v>
      </c>
      <c r="AE259" s="10" t="b">
        <f aca="false">INDEX(Segmentation!$AT$2:$AT$301,MATCH($A259,Segmentation!$A$2:$A$301,0))</f>
        <v>0</v>
      </c>
      <c r="AF259" s="10" t="b">
        <f aca="false">INDEX(Segmentation!$X$2:$X$301,MATCH($A259,Segmentation!$A$2:$A$301,0))</f>
        <v>1</v>
      </c>
      <c r="AG259" s="10" t="b">
        <f aca="false">AND(F259="Low",V259&gt;=Assumptions!$B$71,X259&lt;Assumptions!$B$72)</f>
        <v>1</v>
      </c>
      <c r="AH259" s="10" t="b">
        <f aca="false">AND(F259="Low",OR(G259="Growing",G259="Stable"),P259="Recently Active",V259&gt;=Assumptions!$B$58,K259&gt;=Assumptions!$B$73)</f>
        <v>0</v>
      </c>
      <c r="AI259" s="17" t="str">
        <f aca="false">IF(O259&gt;0,MAX(L259:N259)/O259,"")</f>
        <v/>
      </c>
      <c r="AJ259" s="2" t="str">
        <f aca="false">IF(LEFT(D259,1)="1",IF(E259="Key","MIGRATION_KEY_SIGNOFF",IF(Z259="Ready","MIGRATION_PHASE1_READY",IF(Z259="Manual Review","MIGRATION_PHASE1_REVIEW","MIGRATION_PRE_ENTRY"))),IF(LEFT(D259,1)="2","DECLINING_KEY_CORE",IF(LEFT(D259,1)="3",IF(R259="Established Buyer Lapsed","LAPSED_ESTABLISHED","LAPSED_THIN_HISTORY"),IF(LEFT(D259,1)="4",IF(Q259="New Customer","NEW_CUSTOMER","RETURNED_CUSTOMER"),IF(LEFT(D259,1)="5",IF(P259="Recently Active","COST_TO_SERVE_ACTIVE","DORMANT_LOW_VALUE"),IF(LEFT(D259,1)="6",IF(P259="Recent Inactivity","RECENT_INACTIVITY",IF(AG259,"BROWSING_LOW_OFFERS","HEALTHY_STRONG_SELF_SERVE")),IF(LEFT(D259,1)="7",IF(P259="Recent Inactivity","RECENT_INACTIVITY",IF(Q259="New Customer","NEW_CUSTOMER","RETURNED_CUSTOMER")),IF(LEFT(D259,1)="8",IF(G259="Declining",IF(T259="Engaged but shrinking (Key/Core)","ENGAGED_BUT_SHRINKING","DECLINING_KEY_CORE"),IF(R259="Established Buyer Lapsed","LAPSED_ESTABLISHED","LAPSED_THIN_HISTORY")),IF(S259,IF(P259&lt;&gt;"Recently Active","DORMANT_LOW_VALUE",IF(AG259,"BROWSING_LOW_OFFERS",IF(AH259,"RISING_TAIL","RISING_TAIL_EARLY"))),IF(AND(AG259,P259="Recently Active",OR(G259="Growing",G259="Stable",G259="H2 Active / No H1 GMV"),I259&gt;=Assumptions!$B$74),"BROWSING_LOW_OFFERS","LONG_TAIL_STANDARD"))))))))))</f>
        <v>LONG_TAIL_STANDARD</v>
      </c>
      <c r="AK259" s="2" t="str">
        <f aca="false">INDEX('NBA Library'!$B$4:$B$21,MATCH(AJ259,'NBA Library'!$A$4:$A$21,0))</f>
        <v>Automated Nurture</v>
      </c>
      <c r="AL259" s="2" t="str">
        <f aca="false">INDEX('NBA Library'!$C$4:$C$21,MATCH(AJ259,'NBA Library'!$A$4:$A$21,0))</f>
        <v>Automated</v>
      </c>
      <c r="AM259" s="2" t="str">
        <f aca="false">IF(AA259,"HOLD — Critical Data Issue",IF(Y259,"Human Sign-Off Required",IF(Z259="Manual Review","Human Review Required",IF(AND(AL259="Automated",OR(AE259,AND(OR(AK259="Discovery-to-Offer Enablement",AK259="Reinforce Successful Behaviour"),OR(AC259,AB259)))),"Human Review Required",IF(AL259="Human","Ready — Human",IF(AL259="Hybrid","Ready — Hybrid","Ready — Automated"))))))</f>
        <v>Ready — Automated</v>
      </c>
      <c r="AN259" s="2" t="str">
        <f aca="false">IF(AA259,"P0",IF(AND(AJ259="BROWSING_LOW_OFFERS",E259="Tail"),"P3",IF(AND(AM259="Human Review Required",INDEX('NBA Library'!$D$4:$D$21,MATCH(AJ259,'NBA Library'!$A$4:$A$21,0))="P4"),"P3",INDEX('NBA Library'!$D$4:$D$21,MATCH(AJ259,'NBA Library'!$A$4:$A$21,0)))))</f>
        <v>P4</v>
      </c>
      <c r="AO259" s="2" t="str">
        <f aca="false">E259&amp;" "&amp;C259&amp;" account ("&amp;B259&amp;"); "&amp;G259&amp;" momentum; "&amp;P259&amp;"; £"&amp;TEXT(H259,"#,##0")&amp;" 6m GMV. "&amp;INDEX('NBA Library'!$G$4:$G$21,MATCH(AJ259,'NBA Library'!$A$4:$A$21,0))&amp;IF(LEFT(D259,1)="1"," Baseline: "&amp;V259&amp;" PDP views, "&amp;W259&amp;" app days, "&amp;X259&amp;" offers, "&amp;TEXT(J259/I259,"0%")&amp;" of orders self-serve.","")&amp;IF(AA259," Execution on HOLD until the Duplicate status is resolved.","")&amp;IF(Y259," Key account: explicit AM/leadership sign-off required before any migration activity.","")&amp;IF(AE259," Implied broker % from order counts would move this account to a different segment; review before automating.","")</f>
        <v>Tail Self-Serve account (Self Serve); Lapsed momentum; No Meaningful History; £246 6m GMV. Low-value, low-dependency account. Scalable automated engagement.</v>
      </c>
      <c r="AP259" s="2" t="str">
        <f aca="false">INDEX('NBA Library'!$E$4:$E$21,MATCH(AJ259,'NBA Library'!$A$4:$A$21,0))&amp;IF(AND(AJ259="NEW_CUSTOMER",AG259),"; introduce Make-an-Offer on items already browsed","")</f>
        <v>Scalable automated engagement matched to nurture sub-context</v>
      </c>
      <c r="AQ259" s="2" t="str">
        <f aca="false">INDEX('NBA Library'!$F$4:$F$21,MATCH(AJ259,'NBA Library'!$A$4:$A$21,0))</f>
        <v>Any repeat order within 90 days</v>
      </c>
      <c r="AR259" s="2" t="str">
        <f aca="false">IF(AND(F259="Low",OR(G259="Growing",G259="Stable"),P259="Recently Active",U259&lt;&gt;"Mixed",OR(AK259="Discovery-to-Offer Enablement",AK259="Reinforce Successful Behaviour"),AM259="Ready — Automated",OR(E259&lt;&gt;"Tail",S259)),"Range Expansion Test — trial "&amp;IF(U259="Bundle-only","handpick","bundles")&amp;" (experimental; not proven to lift GMV)","")</f>
        <v/>
      </c>
      <c r="AS259" s="2" t="str">
        <f aca="false">IF(AK259&lt;&gt;"Automated Nurture","",IF(AJ259="DORMANT_LOW_VALUE","Dormant",IF(AJ259="RISING_TAIL_EARLY","Rising tail – early pattern",IF(Q259="New Customer","New customer onboarding",IF(Q259="Returned Customer","Returned customer",IF(G259="Lapsed","Dormant",IF(T259="Engaged, not converting","Engaged, not converting",IF(T259="One-off low-touch buyer","One-off purchaser",IF(T259="Light-touch repeat buyer","Light-touch repeat buyer","Standard long tail")))))))))</f>
        <v>Dormant</v>
      </c>
      <c r="AT259" s="2" t="str">
        <f aca="false">IF(AA259,"CRITICAL_DATA_BLOCKER; ","")&amp;IF(Y259,"KEY_SIGNOFF; ","")&amp;IF(Z259="Manual Review","PHASE1_MANUAL_REVIEW; ","")&amp;IF(AND(LEFT(D259,1)="1",AZ259="Lumpy"),"LUMPY_CADENCE; ","")&amp;IF(AB259,"BORDERLINE_MOMENTUM; ","")&amp;IF(AC259,"FEB_SENSITIVE; ","")&amp;IF(AD259,"MATERIAL_BROKER_INCONSISTENCY"&amp;IF(AE259," (segment would change)","")&amp;"; ","")&amp;IF(AND(I259&gt;=3,O259&gt;0),IF(AI259&gt;=Assumptions!$B$75,"H2_SINGLE_MONTH_SPIKE; ",""),"")&amp;IF(AND(M259&gt;0,N259=0),"NO_FEB_GMV (Feb unconfirmed); ","")&amp;IF(AF259,"LOW_CONFIDENCE; ","")</f>
        <v>LOW_CONFIDENCE; </v>
      </c>
      <c r="AU259" s="2" t="str">
        <f aca="false">IF(LEFT(D259,1)="1",V259,"")</f>
        <v/>
      </c>
      <c r="AV259" s="2" t="str">
        <f aca="false">IF(LEFT(D259,1)="1",V259&gt;=Assumptions!$B$58,"")</f>
        <v/>
      </c>
      <c r="AW259" s="2" t="str">
        <f aca="false">IF(LEFT(D259,1)="1",W259,"")</f>
        <v/>
      </c>
      <c r="AX259" s="2" t="str">
        <f aca="false">IF(LEFT(D259,1)="1",X259,"")</f>
        <v/>
      </c>
      <c r="AY259" s="17" t="str">
        <f aca="false">IF(LEFT(D259,1)="1",J259/I259,"")</f>
        <v/>
      </c>
      <c r="AZ259" s="2" t="str">
        <f aca="false">IF(LEFT(D259,1)="1",IF(AND(K259&gt;=Assumptions!$B$83,I259&gt;=Assumptions!$B$84),"Regular","Lumpy"),"")</f>
        <v/>
      </c>
      <c r="BA259" s="2" t="str">
        <f aca="false">IF(LEFT(D259,1)="1",ROUND(6/K259,0),"")</f>
        <v/>
      </c>
      <c r="BB259" s="2" t="str">
        <f aca="false">IF(LEFT(D259,1)="1",IF(AZ259="Regular","Regular buyer: expected ~£"&amp;TEXT(H259/2,"#,##0")&amp;" per 90 days. At Risk if GMV to date &lt; "&amp;TEXT(Assumptions!$B$81,"0%")&amp;" of pro-rated expectation, checked from day "&amp;Assumptions!$B$82&amp;". Human-reviewed.","Irregular buyer ("&amp;I259&amp;" orders across "&amp;K259&amp;" months): no numeric GMV threshold. At Risk if no order within ~"&amp;BA259&amp;" month(s); AM reviews at day "&amp;Assumptions!$B$82&amp;" and "&amp;Assumptions!$B$85&amp;"."),"")</f>
        <v/>
      </c>
      <c r="BC259" s="2"/>
      <c r="BD259" s="2"/>
      <c r="BE259" s="2"/>
      <c r="BF259" s="2"/>
      <c r="BG259" s="2"/>
      <c r="BH259" s="2"/>
      <c r="BI259" s="2"/>
      <c r="BJ259" s="2" t="str">
        <f aca="false">IF(OR(NOT(LEFT(D259,1)="1"),BC259=""),"",IF(AZ259="Regular",AND(BC259&gt;=Assumptions!$B$82,N(BI259)&lt;Assumptions!$B$81*H259/180*BC259),AND(BC259&gt;=BA259*30,N(BG259)=0)))</f>
        <v/>
      </c>
      <c r="BK259" s="2" t="str">
        <f aca="false">IF(NOT(LEFT(D259,1)="1"),"N/A",IF(BC259="","Baseline",IF(BJ259,"At Risk",IF(AND(N(BD259)&gt;=Assumptions!$B$78,N(BE259)&gt;=Assumptions!$B$79,N(BH259)&gt;=1,N(BH259)/MAX(N(BG259),1)&gt;AY259),"Self-Serve Capability Demonstrated",IF(OR(N(BD259)&gt;=Assumptions!$B$76,N(BE259)&gt;=Assumptions!$B$77),"Progressing",IF(BC259&gt;=Assumptions!$B$85,"At Risk","Baseline"))))))</f>
        <v>N/A</v>
      </c>
      <c r="BL259" s="2" t="n">
        <f aca="false">(AND(C259="Broker-Reliant",OR(AK259="Discovery-to-Offer Enablement",AK259="Reinforce Successful Behaviour")))*1+(AND(G259="Declining",E259&lt;&gt;"Tail",AL259="Automated"))*1+(AND(Y259,AM259&lt;&gt;"Human Sign-Off Required"))*1+(AND(AA259,AM259&lt;&gt;"HOLD — Critical Data Issue"))*1+(AND(P259="Recent Inactivity",OR(AK259="Discovery-to-Offer Enablement",AK259="Reinforce Successful Behaviour")))*1+(AND(OR(LEFT(D259,1)="2",LEFT(D259,1)="3",LEFT(D259,1)="8"),AL259="Automated"))*1+((LEFT(D259,1)="1")&lt;&gt;(AK259="Guided Self-Serve Migration"))*1+(AND(AR259&lt;&gt;"",OR(F259&lt;&gt;"Low",U259="Mixed",AND(G259&lt;&gt;"Growing",G259&lt;&gt;"Stable"))))*1+ISNUMBER(SEARCH("chat",AP259))*1+ISNUMBER(SEARCH("video",AP259))*1+(AND(AA259,AL259="Automated",AM259&lt;&gt;"HOLD — Critical Data Issue"))*1</f>
        <v>0</v>
      </c>
    </row>
    <row r="260" customFormat="false" ht="15" hidden="false" customHeight="false" outlineLevel="0" collapsed="false">
      <c r="A260" s="2" t="s">
        <v>840</v>
      </c>
      <c r="B260" s="2" t="str">
        <f aca="false">INDEX(Segmentation!$B$2:$B$301,MATCH($A260,Segmentation!$A$2:$A$301,0))</f>
        <v>Self Serve</v>
      </c>
      <c r="C260" s="2" t="str">
        <f aca="false">INDEX(Segmentation!$H$2:$H$301,MATCH($A260,Segmentation!$A$2:$A$301,0))</f>
        <v>Self-Serve</v>
      </c>
      <c r="D260" s="2" t="str">
        <f aca="false">INDEX(Segmentation!$T$2:$T$301,MATCH($A260,Segmentation!$A$2:$A$301,0))</f>
        <v>9. Long-Tail Automated Nurture</v>
      </c>
      <c r="E260" s="2" t="str">
        <f aca="false">INDEX(Segmentation!$J$2:$J$301,MATCH($A260,Segmentation!$A$2:$A$301,0))</f>
        <v>Tail</v>
      </c>
      <c r="F260" s="2" t="str">
        <f aca="false">INDEX(Segmentation!$G$2:$G$301,MATCH($A260,Segmentation!$A$2:$A$301,0))</f>
        <v>Low</v>
      </c>
      <c r="G260" s="2" t="str">
        <f aca="false">INDEX(Segmentation!$N$2:$N$301,MATCH($A260,Segmentation!$A$2:$A$301,0))</f>
        <v>H2 Active / No H1 GMV</v>
      </c>
      <c r="H260" s="9" t="n">
        <f aca="false">INDEX(Segmentation!$I$2:$I$301,MATCH($A260,Segmentation!$A$2:$A$301,0))</f>
        <v>242</v>
      </c>
      <c r="I260" s="2" t="n">
        <f aca="false">INDEX(Segmentation!$O$2:$O$301,MATCH($A260,Segmentation!$A$2:$A$301,0))</f>
        <v>1</v>
      </c>
      <c r="J260" s="2" t="n">
        <f aca="false">INDEX(Segmentation!$Q$2:$Q$301,MATCH($A260,Segmentation!$A$2:$A$301,0))</f>
        <v>1</v>
      </c>
      <c r="K260" s="2" t="n">
        <f aca="false">INDEX(Segmentation!$W$2:$W$301,MATCH($A260,Segmentation!$A$2:$A$301,0))</f>
        <v>1</v>
      </c>
      <c r="L260" s="9" t="n">
        <f aca="false">INDEX('Commercial View'!$L$2:$L$301,MATCH($A260,'Commercial View'!$A$2:$A$301,0))</f>
        <v>0</v>
      </c>
      <c r="M260" s="9" t="n">
        <f aca="false">INDEX('Commercial View'!$M$2:$M$301,MATCH($A260,'Commercial View'!$A$2:$A$301,0))</f>
        <v>0</v>
      </c>
      <c r="N260" s="9" t="n">
        <f aca="false">INDEX('Commercial View'!$N$2:$N$301,MATCH($A260,'Commercial View'!$A$2:$A$301,0))</f>
        <v>242</v>
      </c>
      <c r="O260" s="9" t="n">
        <f aca="false">INDEX(Segmentation!$L$2:$L$301,MATCH($A260,Segmentation!$A$2:$A$301,0))</f>
        <v>242</v>
      </c>
      <c r="P260" s="2" t="str">
        <f aca="false">IF(OR(M260&gt;0,N260&gt;0),"Recently Active",IF(OR(I260&lt;=Assumptions!$B$48,K260&lt;=Assumptions!$B$49),"No Meaningful History","Recent Inactivity"))</f>
        <v>Recently Active</v>
      </c>
      <c r="Q260" s="2" t="str">
        <f aca="false">INDEX(Segmentation!$AF$2:$AF$301,MATCH($A260,Segmentation!$A$2:$A$301,0))</f>
        <v>New Customer</v>
      </c>
      <c r="R260" s="2" t="str">
        <f aca="false">INDEX(Segmentation!$AL$2:$AL$301,MATCH($A260,Segmentation!$A$2:$A$301,0))</f>
        <v>N/A</v>
      </c>
      <c r="S260" s="10" t="b">
        <f aca="false">INDEX(Segmentation!$AW$2:$AW$301,MATCH($A260,Segmentation!$A$2:$A$301,0))</f>
        <v>0</v>
      </c>
      <c r="T260" s="2" t="str">
        <f aca="false">INDEX('Feature Data'!$AD$2:$AD$301,MATCH($A260,'Feature Data'!$A$2:$A$301,0))</f>
        <v>One-off low-touch buyer</v>
      </c>
      <c r="U260" s="2" t="str">
        <f aca="false">INDEX('Feature Data'!$W$2:$W$301,MATCH($A260,'Feature Data'!$A$2:$A$301,0))</f>
        <v>Handpick-only</v>
      </c>
      <c r="V260" s="2" t="n">
        <f aca="false">INDEX('Feature Data'!$P$2:$P$301,MATCH($A260,'Feature Data'!$A$2:$A$301,0))</f>
        <v>80</v>
      </c>
      <c r="W260" s="2" t="n">
        <f aca="false">INDEX(Segmentation!$R$2:$R$301,MATCH($A260,Segmentation!$A$2:$A$301,0))</f>
        <v>3</v>
      </c>
      <c r="X260" s="2" t="n">
        <f aca="false">INDEX(Segmentation!$S$2:$S$301,MATCH($A260,Segmentation!$A$2:$A$301,0))</f>
        <v>2</v>
      </c>
      <c r="Y260" s="10" t="b">
        <f aca="false">INDEX(Segmentation!$AG$2:$AG$301,MATCH($A260,Segmentation!$A$2:$A$301,0))</f>
        <v>0</v>
      </c>
      <c r="Z260" s="2" t="str">
        <f aca="false">INDEX(Segmentation!$AU$2:$AU$301,MATCH($A260,Segmentation!$A$2:$A$301,0))</f>
        <v>Not Eligible</v>
      </c>
      <c r="AA260" s="10" t="b">
        <f aca="false">INDEX(Segmentation!$Z$2:$Z$301,MATCH($A260,Segmentation!$A$2:$A$301,0))</f>
        <v>0</v>
      </c>
      <c r="AB260" s="10" t="b">
        <f aca="false">INDEX(Segmentation!$AH$2:$AH$301,MATCH($A260,Segmentation!$A$2:$A$301,0))</f>
        <v>0</v>
      </c>
      <c r="AC260" s="10" t="b">
        <f aca="false">INDEX(Segmentation!$AK$2:$AK$301,MATCH($A260,Segmentation!$A$2:$A$301,0))</f>
        <v>1</v>
      </c>
      <c r="AD260" s="10" t="b">
        <f aca="false">INDEX(Segmentation!$AQ$2:$AQ$301,MATCH($A260,Segmentation!$A$2:$A$301,0))</f>
        <v>0</v>
      </c>
      <c r="AE260" s="10" t="b">
        <f aca="false">INDEX(Segmentation!$AT$2:$AT$301,MATCH($A260,Segmentation!$A$2:$A$301,0))</f>
        <v>0</v>
      </c>
      <c r="AF260" s="10" t="b">
        <f aca="false">INDEX(Segmentation!$X$2:$X$301,MATCH($A260,Segmentation!$A$2:$A$301,0))</f>
        <v>1</v>
      </c>
      <c r="AG260" s="10" t="b">
        <f aca="false">AND(F260="Low",V260&gt;=Assumptions!$B$71,X260&lt;Assumptions!$B$72)</f>
        <v>1</v>
      </c>
      <c r="AH260" s="10" t="b">
        <f aca="false">AND(F260="Low",OR(G260="Growing",G260="Stable"),P260="Recently Active",V260&gt;=Assumptions!$B$58,K260&gt;=Assumptions!$B$73)</f>
        <v>0</v>
      </c>
      <c r="AI260" s="17" t="n">
        <f aca="false">IF(O260&gt;0,MAX(L260:N260)/O260,"")</f>
        <v>1</v>
      </c>
      <c r="AJ260" s="2" t="str">
        <f aca="false">IF(LEFT(D260,1)="1",IF(E260="Key","MIGRATION_KEY_SIGNOFF",IF(Z260="Ready","MIGRATION_PHASE1_READY",IF(Z260="Manual Review","MIGRATION_PHASE1_REVIEW","MIGRATION_PRE_ENTRY"))),IF(LEFT(D260,1)="2","DECLINING_KEY_CORE",IF(LEFT(D260,1)="3",IF(R260="Established Buyer Lapsed","LAPSED_ESTABLISHED","LAPSED_THIN_HISTORY"),IF(LEFT(D260,1)="4",IF(Q260="New Customer","NEW_CUSTOMER","RETURNED_CUSTOMER"),IF(LEFT(D260,1)="5",IF(P260="Recently Active","COST_TO_SERVE_ACTIVE","DORMANT_LOW_VALUE"),IF(LEFT(D260,1)="6",IF(P260="Recent Inactivity","RECENT_INACTIVITY",IF(AG260,"BROWSING_LOW_OFFERS","HEALTHY_STRONG_SELF_SERVE")),IF(LEFT(D260,1)="7",IF(P260="Recent Inactivity","RECENT_INACTIVITY",IF(Q260="New Customer","NEW_CUSTOMER","RETURNED_CUSTOMER")),IF(LEFT(D260,1)="8",IF(G260="Declining",IF(T260="Engaged but shrinking (Key/Core)","ENGAGED_BUT_SHRINKING","DECLINING_KEY_CORE"),IF(R260="Established Buyer Lapsed","LAPSED_ESTABLISHED","LAPSED_THIN_HISTORY")),IF(S260,IF(P260&lt;&gt;"Recently Active","DORMANT_LOW_VALUE",IF(AG260,"BROWSING_LOW_OFFERS",IF(AH260,"RISING_TAIL","RISING_TAIL_EARLY"))),IF(AND(AG260,P260="Recently Active",OR(G260="Growing",G260="Stable",G260="H2 Active / No H1 GMV"),I260&gt;=Assumptions!$B$74),"BROWSING_LOW_OFFERS","LONG_TAIL_STANDARD"))))))))))</f>
        <v>LONG_TAIL_STANDARD</v>
      </c>
      <c r="AK260" s="2" t="str">
        <f aca="false">INDEX('NBA Library'!$B$4:$B$21,MATCH(AJ260,'NBA Library'!$A$4:$A$21,0))</f>
        <v>Automated Nurture</v>
      </c>
      <c r="AL260" s="2" t="str">
        <f aca="false">INDEX('NBA Library'!$C$4:$C$21,MATCH(AJ260,'NBA Library'!$A$4:$A$21,0))</f>
        <v>Automated</v>
      </c>
      <c r="AM260" s="2" t="str">
        <f aca="false">IF(AA260,"HOLD — Critical Data Issue",IF(Y260,"Human Sign-Off Required",IF(Z260="Manual Review","Human Review Required",IF(AND(AL260="Automated",OR(AE260,AND(OR(AK260="Discovery-to-Offer Enablement",AK260="Reinforce Successful Behaviour"),OR(AC260,AB260)))),"Human Review Required",IF(AL260="Human","Ready — Human",IF(AL260="Hybrid","Ready — Hybrid","Ready — Automated"))))))</f>
        <v>Ready — Automated</v>
      </c>
      <c r="AN260" s="2" t="str">
        <f aca="false">IF(AA260,"P0",IF(AND(AJ260="BROWSING_LOW_OFFERS",E260="Tail"),"P3",IF(AND(AM260="Human Review Required",INDEX('NBA Library'!$D$4:$D$21,MATCH(AJ260,'NBA Library'!$A$4:$A$21,0))="P4"),"P3",INDEX('NBA Library'!$D$4:$D$21,MATCH(AJ260,'NBA Library'!$A$4:$A$21,0)))))</f>
        <v>P4</v>
      </c>
      <c r="AO260" s="2" t="str">
        <f aca="false">E260&amp;" "&amp;C260&amp;" account ("&amp;B260&amp;"); "&amp;G260&amp;" momentum; "&amp;P260&amp;"; £"&amp;TEXT(H260,"#,##0")&amp;" 6m GMV. "&amp;INDEX('NBA Library'!$G$4:$G$21,MATCH(AJ260,'NBA Library'!$A$4:$A$21,0))&amp;IF(LEFT(D260,1)="1"," Baseline: "&amp;V260&amp;" PDP views, "&amp;W260&amp;" app days, "&amp;X260&amp;" offers, "&amp;TEXT(J260/I260,"0%")&amp;" of orders self-serve.","")&amp;IF(AA260," Execution on HOLD until the Duplicate status is resolved.","")&amp;IF(Y260," Key account: explicit AM/leadership sign-off required before any migration activity.","")&amp;IF(AE260," Implied broker % from order counts would move this account to a different segment; review before automating.","")</f>
        <v>Tail Self-Serve account (Self Serve); H2 Active / No H1 GMV momentum; Recently Active; £242 6m GMV. Low-value, low-dependency account. Scalable automated engagement.</v>
      </c>
      <c r="AP260" s="2" t="str">
        <f aca="false">INDEX('NBA Library'!$E$4:$E$21,MATCH(AJ260,'NBA Library'!$A$4:$A$21,0))&amp;IF(AND(AJ260="NEW_CUSTOMER",AG260),"; introduce Make-an-Offer on items already browsed","")</f>
        <v>Scalable automated engagement matched to nurture sub-context</v>
      </c>
      <c r="AQ260" s="2" t="str">
        <f aca="false">INDEX('NBA Library'!$F$4:$F$21,MATCH(AJ260,'NBA Library'!$A$4:$A$21,0))</f>
        <v>Any repeat order within 90 days</v>
      </c>
      <c r="AR260" s="2" t="str">
        <f aca="false">IF(AND(F260="Low",OR(G260="Growing",G260="Stable"),P260="Recently Active",U260&lt;&gt;"Mixed",OR(AK260="Discovery-to-Offer Enablement",AK260="Reinforce Successful Behaviour"),AM260="Ready — Automated",OR(E260&lt;&gt;"Tail",S260)),"Range Expansion Test — trial "&amp;IF(U260="Bundle-only","handpick","bundles")&amp;" (experimental; not proven to lift GMV)","")</f>
        <v/>
      </c>
      <c r="AS260" s="2" t="str">
        <f aca="false">IF(AK260&lt;&gt;"Automated Nurture","",IF(AJ260="DORMANT_LOW_VALUE","Dormant",IF(AJ260="RISING_TAIL_EARLY","Rising tail – early pattern",IF(Q260="New Customer","New customer onboarding",IF(Q260="Returned Customer","Returned customer",IF(G260="Lapsed","Dormant",IF(T260="Engaged, not converting","Engaged, not converting",IF(T260="One-off low-touch buyer","One-off purchaser",IF(T260="Light-touch repeat buyer","Light-touch repeat buyer","Standard long tail")))))))))</f>
        <v>New customer onboarding</v>
      </c>
      <c r="AT260" s="2" t="str">
        <f aca="false">IF(AA260,"CRITICAL_DATA_BLOCKER; ","")&amp;IF(Y260,"KEY_SIGNOFF; ","")&amp;IF(Z260="Manual Review","PHASE1_MANUAL_REVIEW; ","")&amp;IF(AND(LEFT(D260,1)="1",AZ260="Lumpy"),"LUMPY_CADENCE; ","")&amp;IF(AB260,"BORDERLINE_MOMENTUM; ","")&amp;IF(AC260,"FEB_SENSITIVE; ","")&amp;IF(AD260,"MATERIAL_BROKER_INCONSISTENCY"&amp;IF(AE260," (segment would change)","")&amp;"; ","")&amp;IF(AND(I260&gt;=3,O260&gt;0),IF(AI260&gt;=Assumptions!$B$75,"H2_SINGLE_MONTH_SPIKE; ",""),"")&amp;IF(AND(M260&gt;0,N260=0),"NO_FEB_GMV (Feb unconfirmed); ","")&amp;IF(AF260,"LOW_CONFIDENCE; ","")</f>
        <v>FEB_SENSITIVE; LOW_CONFIDENCE; </v>
      </c>
      <c r="AU260" s="2" t="str">
        <f aca="false">IF(LEFT(D260,1)="1",V260,"")</f>
        <v/>
      </c>
      <c r="AV260" s="2" t="str">
        <f aca="false">IF(LEFT(D260,1)="1",V260&gt;=Assumptions!$B$58,"")</f>
        <v/>
      </c>
      <c r="AW260" s="2" t="str">
        <f aca="false">IF(LEFT(D260,1)="1",W260,"")</f>
        <v/>
      </c>
      <c r="AX260" s="2" t="str">
        <f aca="false">IF(LEFT(D260,1)="1",X260,"")</f>
        <v/>
      </c>
      <c r="AY260" s="17" t="str">
        <f aca="false">IF(LEFT(D260,1)="1",J260/I260,"")</f>
        <v/>
      </c>
      <c r="AZ260" s="2" t="str">
        <f aca="false">IF(LEFT(D260,1)="1",IF(AND(K260&gt;=Assumptions!$B$83,I260&gt;=Assumptions!$B$84),"Regular","Lumpy"),"")</f>
        <v/>
      </c>
      <c r="BA260" s="2" t="str">
        <f aca="false">IF(LEFT(D260,1)="1",ROUND(6/K260,0),"")</f>
        <v/>
      </c>
      <c r="BB260" s="2" t="str">
        <f aca="false">IF(LEFT(D260,1)="1",IF(AZ260="Regular","Regular buyer: expected ~£"&amp;TEXT(H260/2,"#,##0")&amp;" per 90 days. At Risk if GMV to date &lt; "&amp;TEXT(Assumptions!$B$81,"0%")&amp;" of pro-rated expectation, checked from day "&amp;Assumptions!$B$82&amp;". Human-reviewed.","Irregular buyer ("&amp;I260&amp;" orders across "&amp;K260&amp;" months): no numeric GMV threshold. At Risk if no order within ~"&amp;BA260&amp;" month(s); AM reviews at day "&amp;Assumptions!$B$82&amp;" and "&amp;Assumptions!$B$85&amp;"."),"")</f>
        <v/>
      </c>
      <c r="BC260" s="2"/>
      <c r="BD260" s="2"/>
      <c r="BE260" s="2"/>
      <c r="BF260" s="2"/>
      <c r="BG260" s="2"/>
      <c r="BH260" s="2"/>
      <c r="BI260" s="2"/>
      <c r="BJ260" s="2" t="str">
        <f aca="false">IF(OR(NOT(LEFT(D260,1)="1"),BC260=""),"",IF(AZ260="Regular",AND(BC260&gt;=Assumptions!$B$82,N(BI260)&lt;Assumptions!$B$81*H260/180*BC260),AND(BC260&gt;=BA260*30,N(BG260)=0)))</f>
        <v/>
      </c>
      <c r="BK260" s="2" t="str">
        <f aca="false">IF(NOT(LEFT(D260,1)="1"),"N/A",IF(BC260="","Baseline",IF(BJ260,"At Risk",IF(AND(N(BD260)&gt;=Assumptions!$B$78,N(BE260)&gt;=Assumptions!$B$79,N(BH260)&gt;=1,N(BH260)/MAX(N(BG260),1)&gt;AY260),"Self-Serve Capability Demonstrated",IF(OR(N(BD260)&gt;=Assumptions!$B$76,N(BE260)&gt;=Assumptions!$B$77),"Progressing",IF(BC260&gt;=Assumptions!$B$85,"At Risk","Baseline"))))))</f>
        <v>N/A</v>
      </c>
      <c r="BL260" s="2" t="n">
        <f aca="false">(AND(C260="Broker-Reliant",OR(AK260="Discovery-to-Offer Enablement",AK260="Reinforce Successful Behaviour")))*1+(AND(G260="Declining",E260&lt;&gt;"Tail",AL260="Automated"))*1+(AND(Y260,AM260&lt;&gt;"Human Sign-Off Required"))*1+(AND(AA260,AM260&lt;&gt;"HOLD — Critical Data Issue"))*1+(AND(P260="Recent Inactivity",OR(AK260="Discovery-to-Offer Enablement",AK260="Reinforce Successful Behaviour")))*1+(AND(OR(LEFT(D260,1)="2",LEFT(D260,1)="3",LEFT(D260,1)="8"),AL260="Automated"))*1+((LEFT(D260,1)="1")&lt;&gt;(AK260="Guided Self-Serve Migration"))*1+(AND(AR260&lt;&gt;"",OR(F260&lt;&gt;"Low",U260="Mixed",AND(G260&lt;&gt;"Growing",G260&lt;&gt;"Stable"))))*1+ISNUMBER(SEARCH("chat",AP260))*1+ISNUMBER(SEARCH("video",AP260))*1+(AND(AA260,AL260="Automated",AM260&lt;&gt;"HOLD — Critical Data Issue"))*1</f>
        <v>0</v>
      </c>
    </row>
    <row r="261" customFormat="false" ht="15" hidden="false" customHeight="false" outlineLevel="0" collapsed="false">
      <c r="A261" s="2" t="s">
        <v>850</v>
      </c>
      <c r="B261" s="2" t="str">
        <f aca="false">INDEX(Segmentation!$B$2:$B$301,MATCH($A261,Segmentation!$A$2:$A$301,0))</f>
        <v>Self Serve</v>
      </c>
      <c r="C261" s="2" t="str">
        <f aca="false">INDEX(Segmentation!$H$2:$H$301,MATCH($A261,Segmentation!$A$2:$A$301,0))</f>
        <v>Self-Serve</v>
      </c>
      <c r="D261" s="2" t="str">
        <f aca="false">INDEX(Segmentation!$T$2:$T$301,MATCH($A261,Segmentation!$A$2:$A$301,0))</f>
        <v>9. Long-Tail Automated Nurture</v>
      </c>
      <c r="E261" s="2" t="str">
        <f aca="false">INDEX(Segmentation!$J$2:$J$301,MATCH($A261,Segmentation!$A$2:$A$301,0))</f>
        <v>Tail</v>
      </c>
      <c r="F261" s="2" t="str">
        <f aca="false">INDEX(Segmentation!$G$2:$G$301,MATCH($A261,Segmentation!$A$2:$A$301,0))</f>
        <v>Low</v>
      </c>
      <c r="G261" s="2" t="str">
        <f aca="false">INDEX(Segmentation!$N$2:$N$301,MATCH($A261,Segmentation!$A$2:$A$301,0))</f>
        <v>Lapsed</v>
      </c>
      <c r="H261" s="9" t="n">
        <f aca="false">INDEX(Segmentation!$I$2:$I$301,MATCH($A261,Segmentation!$A$2:$A$301,0))</f>
        <v>216</v>
      </c>
      <c r="I261" s="2" t="n">
        <f aca="false">INDEX(Segmentation!$O$2:$O$301,MATCH($A261,Segmentation!$A$2:$A$301,0))</f>
        <v>1</v>
      </c>
      <c r="J261" s="2" t="n">
        <f aca="false">INDEX(Segmentation!$Q$2:$Q$301,MATCH($A261,Segmentation!$A$2:$A$301,0))</f>
        <v>1</v>
      </c>
      <c r="K261" s="2" t="n">
        <f aca="false">INDEX(Segmentation!$W$2:$W$301,MATCH($A261,Segmentation!$A$2:$A$301,0))</f>
        <v>1</v>
      </c>
      <c r="L261" s="9" t="n">
        <f aca="false">INDEX('Commercial View'!$L$2:$L$301,MATCH($A261,'Commercial View'!$A$2:$A$301,0))</f>
        <v>0</v>
      </c>
      <c r="M261" s="9" t="n">
        <f aca="false">INDEX('Commercial View'!$M$2:$M$301,MATCH($A261,'Commercial View'!$A$2:$A$301,0))</f>
        <v>0</v>
      </c>
      <c r="N261" s="9" t="n">
        <f aca="false">INDEX('Commercial View'!$N$2:$N$301,MATCH($A261,'Commercial View'!$A$2:$A$301,0))</f>
        <v>0</v>
      </c>
      <c r="O261" s="9" t="n">
        <f aca="false">INDEX(Segmentation!$L$2:$L$301,MATCH($A261,Segmentation!$A$2:$A$301,0))</f>
        <v>0</v>
      </c>
      <c r="P261" s="2" t="str">
        <f aca="false">IF(OR(M261&gt;0,N261&gt;0),"Recently Active",IF(OR(I261&lt;=Assumptions!$B$48,K261&lt;=Assumptions!$B$49),"No Meaningful History","Recent Inactivity"))</f>
        <v>No Meaningful History</v>
      </c>
      <c r="Q261" s="2" t="str">
        <f aca="false">INDEX(Segmentation!$AF$2:$AF$301,MATCH($A261,Segmentation!$A$2:$A$301,0))</f>
        <v>Existing Customer</v>
      </c>
      <c r="R261" s="2" t="str">
        <f aca="false">INDEX(Segmentation!$AL$2:$AL$301,MATCH($A261,Segmentation!$A$2:$A$301,0))</f>
        <v>One-Off / Insufficient History — Verify</v>
      </c>
      <c r="S261" s="10" t="b">
        <f aca="false">INDEX(Segmentation!$AW$2:$AW$301,MATCH($A261,Segmentation!$A$2:$A$301,0))</f>
        <v>0</v>
      </c>
      <c r="T261" s="2" t="str">
        <f aca="false">INDEX('Feature Data'!$AD$2:$AD$301,MATCH($A261,'Feature Data'!$A$2:$A$301,0))</f>
        <v>One-off low-touch buyer</v>
      </c>
      <c r="U261" s="2" t="str">
        <f aca="false">INDEX('Feature Data'!$W$2:$W$301,MATCH($A261,'Feature Data'!$A$2:$A$301,0))</f>
        <v>Mixed</v>
      </c>
      <c r="V261" s="2" t="n">
        <f aca="false">INDEX('Feature Data'!$P$2:$P$301,MATCH($A261,'Feature Data'!$A$2:$A$301,0))</f>
        <v>103</v>
      </c>
      <c r="W261" s="2" t="n">
        <f aca="false">INDEX(Segmentation!$R$2:$R$301,MATCH($A261,Segmentation!$A$2:$A$301,0))</f>
        <v>6</v>
      </c>
      <c r="X261" s="2" t="n">
        <f aca="false">INDEX(Segmentation!$S$2:$S$301,MATCH($A261,Segmentation!$A$2:$A$301,0))</f>
        <v>5</v>
      </c>
      <c r="Y261" s="10" t="b">
        <f aca="false">INDEX(Segmentation!$AG$2:$AG$301,MATCH($A261,Segmentation!$A$2:$A$301,0))</f>
        <v>0</v>
      </c>
      <c r="Z261" s="2" t="str">
        <f aca="false">INDEX(Segmentation!$AU$2:$AU$301,MATCH($A261,Segmentation!$A$2:$A$301,0))</f>
        <v>Not Eligible</v>
      </c>
      <c r="AA261" s="10" t="b">
        <f aca="false">INDEX(Segmentation!$Z$2:$Z$301,MATCH($A261,Segmentation!$A$2:$A$301,0))</f>
        <v>0</v>
      </c>
      <c r="AB261" s="10" t="b">
        <f aca="false">INDEX(Segmentation!$AH$2:$AH$301,MATCH($A261,Segmentation!$A$2:$A$301,0))</f>
        <v>0</v>
      </c>
      <c r="AC261" s="10" t="b">
        <f aca="false">INDEX(Segmentation!$AK$2:$AK$301,MATCH($A261,Segmentation!$A$2:$A$301,0))</f>
        <v>0</v>
      </c>
      <c r="AD261" s="10" t="b">
        <f aca="false">INDEX(Segmentation!$AQ$2:$AQ$301,MATCH($A261,Segmentation!$A$2:$A$301,0))</f>
        <v>0</v>
      </c>
      <c r="AE261" s="10" t="b">
        <f aca="false">INDEX(Segmentation!$AT$2:$AT$301,MATCH($A261,Segmentation!$A$2:$A$301,0))</f>
        <v>0</v>
      </c>
      <c r="AF261" s="10" t="b">
        <f aca="false">INDEX(Segmentation!$X$2:$X$301,MATCH($A261,Segmentation!$A$2:$A$301,0))</f>
        <v>1</v>
      </c>
      <c r="AG261" s="10" t="b">
        <f aca="false">AND(F261="Low",V261&gt;=Assumptions!$B$71,X261&lt;Assumptions!$B$72)</f>
        <v>0</v>
      </c>
      <c r="AH261" s="10" t="b">
        <f aca="false">AND(F261="Low",OR(G261="Growing",G261="Stable"),P261="Recently Active",V261&gt;=Assumptions!$B$58,K261&gt;=Assumptions!$B$73)</f>
        <v>0</v>
      </c>
      <c r="AI261" s="17" t="str">
        <f aca="false">IF(O261&gt;0,MAX(L261:N261)/O261,"")</f>
        <v/>
      </c>
      <c r="AJ261" s="2" t="str">
        <f aca="false">IF(LEFT(D261,1)="1",IF(E261="Key","MIGRATION_KEY_SIGNOFF",IF(Z261="Ready","MIGRATION_PHASE1_READY",IF(Z261="Manual Review","MIGRATION_PHASE1_REVIEW","MIGRATION_PRE_ENTRY"))),IF(LEFT(D261,1)="2","DECLINING_KEY_CORE",IF(LEFT(D261,1)="3",IF(R261="Established Buyer Lapsed","LAPSED_ESTABLISHED","LAPSED_THIN_HISTORY"),IF(LEFT(D261,1)="4",IF(Q261="New Customer","NEW_CUSTOMER","RETURNED_CUSTOMER"),IF(LEFT(D261,1)="5",IF(P261="Recently Active","COST_TO_SERVE_ACTIVE","DORMANT_LOW_VALUE"),IF(LEFT(D261,1)="6",IF(P261="Recent Inactivity","RECENT_INACTIVITY",IF(AG261,"BROWSING_LOW_OFFERS","HEALTHY_STRONG_SELF_SERVE")),IF(LEFT(D261,1)="7",IF(P261="Recent Inactivity","RECENT_INACTIVITY",IF(Q261="New Customer","NEW_CUSTOMER","RETURNED_CUSTOMER")),IF(LEFT(D261,1)="8",IF(G261="Declining",IF(T261="Engaged but shrinking (Key/Core)","ENGAGED_BUT_SHRINKING","DECLINING_KEY_CORE"),IF(R261="Established Buyer Lapsed","LAPSED_ESTABLISHED","LAPSED_THIN_HISTORY")),IF(S261,IF(P261&lt;&gt;"Recently Active","DORMANT_LOW_VALUE",IF(AG261,"BROWSING_LOW_OFFERS",IF(AH261,"RISING_TAIL","RISING_TAIL_EARLY"))),IF(AND(AG261,P261="Recently Active",OR(G261="Growing",G261="Stable",G261="H2 Active / No H1 GMV"),I261&gt;=Assumptions!$B$74),"BROWSING_LOW_OFFERS","LONG_TAIL_STANDARD"))))))))))</f>
        <v>LONG_TAIL_STANDARD</v>
      </c>
      <c r="AK261" s="2" t="str">
        <f aca="false">INDEX('NBA Library'!$B$4:$B$21,MATCH(AJ261,'NBA Library'!$A$4:$A$21,0))</f>
        <v>Automated Nurture</v>
      </c>
      <c r="AL261" s="2" t="str">
        <f aca="false">INDEX('NBA Library'!$C$4:$C$21,MATCH(AJ261,'NBA Library'!$A$4:$A$21,0))</f>
        <v>Automated</v>
      </c>
      <c r="AM261" s="2" t="str">
        <f aca="false">IF(AA261,"HOLD — Critical Data Issue",IF(Y261,"Human Sign-Off Required",IF(Z261="Manual Review","Human Review Required",IF(AND(AL261="Automated",OR(AE261,AND(OR(AK261="Discovery-to-Offer Enablement",AK261="Reinforce Successful Behaviour"),OR(AC261,AB261)))),"Human Review Required",IF(AL261="Human","Ready — Human",IF(AL261="Hybrid","Ready — Hybrid","Ready — Automated"))))))</f>
        <v>Ready — Automated</v>
      </c>
      <c r="AN261" s="2" t="str">
        <f aca="false">IF(AA261,"P0",IF(AND(AJ261="BROWSING_LOW_OFFERS",E261="Tail"),"P3",IF(AND(AM261="Human Review Required",INDEX('NBA Library'!$D$4:$D$21,MATCH(AJ261,'NBA Library'!$A$4:$A$21,0))="P4"),"P3",INDEX('NBA Library'!$D$4:$D$21,MATCH(AJ261,'NBA Library'!$A$4:$A$21,0)))))</f>
        <v>P4</v>
      </c>
      <c r="AO261" s="2" t="str">
        <f aca="false">E261&amp;" "&amp;C261&amp;" account ("&amp;B261&amp;"); "&amp;G261&amp;" momentum; "&amp;P261&amp;"; £"&amp;TEXT(H261,"#,##0")&amp;" 6m GMV. "&amp;INDEX('NBA Library'!$G$4:$G$21,MATCH(AJ261,'NBA Library'!$A$4:$A$21,0))&amp;IF(LEFT(D261,1)="1"," Baseline: "&amp;V261&amp;" PDP views, "&amp;W261&amp;" app days, "&amp;X261&amp;" offers, "&amp;TEXT(J261/I261,"0%")&amp;" of orders self-serve.","")&amp;IF(AA261," Execution on HOLD until the Duplicate status is resolved.","")&amp;IF(Y261," Key account: explicit AM/leadership sign-off required before any migration activity.","")&amp;IF(AE261," Implied broker % from order counts would move this account to a different segment; review before automating.","")</f>
        <v>Tail Self-Serve account (Self Serve); Lapsed momentum; No Meaningful History; £216 6m GMV. Low-value, low-dependency account. Scalable automated engagement.</v>
      </c>
      <c r="AP261" s="2" t="str">
        <f aca="false">INDEX('NBA Library'!$E$4:$E$21,MATCH(AJ261,'NBA Library'!$A$4:$A$21,0))&amp;IF(AND(AJ261="NEW_CUSTOMER",AG261),"; introduce Make-an-Offer on items already browsed","")</f>
        <v>Scalable automated engagement matched to nurture sub-context</v>
      </c>
      <c r="AQ261" s="2" t="str">
        <f aca="false">INDEX('NBA Library'!$F$4:$F$21,MATCH(AJ261,'NBA Library'!$A$4:$A$21,0))</f>
        <v>Any repeat order within 90 days</v>
      </c>
      <c r="AR261" s="2" t="str">
        <f aca="false">IF(AND(F261="Low",OR(G261="Growing",G261="Stable"),P261="Recently Active",U261&lt;&gt;"Mixed",OR(AK261="Discovery-to-Offer Enablement",AK261="Reinforce Successful Behaviour"),AM261="Ready — Automated",OR(E261&lt;&gt;"Tail",S261)),"Range Expansion Test — trial "&amp;IF(U261="Bundle-only","handpick","bundles")&amp;" (experimental; not proven to lift GMV)","")</f>
        <v/>
      </c>
      <c r="AS261" s="2" t="str">
        <f aca="false">IF(AK261&lt;&gt;"Automated Nurture","",IF(AJ261="DORMANT_LOW_VALUE","Dormant",IF(AJ261="RISING_TAIL_EARLY","Rising tail – early pattern",IF(Q261="New Customer","New customer onboarding",IF(Q261="Returned Customer","Returned customer",IF(G261="Lapsed","Dormant",IF(T261="Engaged, not converting","Engaged, not converting",IF(T261="One-off low-touch buyer","One-off purchaser",IF(T261="Light-touch repeat buyer","Light-touch repeat buyer","Standard long tail")))))))))</f>
        <v>Dormant</v>
      </c>
      <c r="AT261" s="2" t="str">
        <f aca="false">IF(AA261,"CRITICAL_DATA_BLOCKER; ","")&amp;IF(Y261,"KEY_SIGNOFF; ","")&amp;IF(Z261="Manual Review","PHASE1_MANUAL_REVIEW; ","")&amp;IF(AND(LEFT(D261,1)="1",AZ261="Lumpy"),"LUMPY_CADENCE; ","")&amp;IF(AB261,"BORDERLINE_MOMENTUM; ","")&amp;IF(AC261,"FEB_SENSITIVE; ","")&amp;IF(AD261,"MATERIAL_BROKER_INCONSISTENCY"&amp;IF(AE261," (segment would change)","")&amp;"; ","")&amp;IF(AND(I261&gt;=3,O261&gt;0),IF(AI261&gt;=Assumptions!$B$75,"H2_SINGLE_MONTH_SPIKE; ",""),"")&amp;IF(AND(M261&gt;0,N261=0),"NO_FEB_GMV (Feb unconfirmed); ","")&amp;IF(AF261,"LOW_CONFIDENCE; ","")</f>
        <v>LOW_CONFIDENCE; </v>
      </c>
      <c r="AU261" s="2" t="str">
        <f aca="false">IF(LEFT(D261,1)="1",V261,"")</f>
        <v/>
      </c>
      <c r="AV261" s="2" t="str">
        <f aca="false">IF(LEFT(D261,1)="1",V261&gt;=Assumptions!$B$58,"")</f>
        <v/>
      </c>
      <c r="AW261" s="2" t="str">
        <f aca="false">IF(LEFT(D261,1)="1",W261,"")</f>
        <v/>
      </c>
      <c r="AX261" s="2" t="str">
        <f aca="false">IF(LEFT(D261,1)="1",X261,"")</f>
        <v/>
      </c>
      <c r="AY261" s="17" t="str">
        <f aca="false">IF(LEFT(D261,1)="1",J261/I261,"")</f>
        <v/>
      </c>
      <c r="AZ261" s="2" t="str">
        <f aca="false">IF(LEFT(D261,1)="1",IF(AND(K261&gt;=Assumptions!$B$83,I261&gt;=Assumptions!$B$84),"Regular","Lumpy"),"")</f>
        <v/>
      </c>
      <c r="BA261" s="2" t="str">
        <f aca="false">IF(LEFT(D261,1)="1",ROUND(6/K261,0),"")</f>
        <v/>
      </c>
      <c r="BB261" s="2" t="str">
        <f aca="false">IF(LEFT(D261,1)="1",IF(AZ261="Regular","Regular buyer: expected ~£"&amp;TEXT(H261/2,"#,##0")&amp;" per 90 days. At Risk if GMV to date &lt; "&amp;TEXT(Assumptions!$B$81,"0%")&amp;" of pro-rated expectation, checked from day "&amp;Assumptions!$B$82&amp;". Human-reviewed.","Irregular buyer ("&amp;I261&amp;" orders across "&amp;K261&amp;" months): no numeric GMV threshold. At Risk if no order within ~"&amp;BA261&amp;" month(s); AM reviews at day "&amp;Assumptions!$B$82&amp;" and "&amp;Assumptions!$B$85&amp;"."),"")</f>
        <v/>
      </c>
      <c r="BC261" s="2"/>
      <c r="BD261" s="2"/>
      <c r="BE261" s="2"/>
      <c r="BF261" s="2"/>
      <c r="BG261" s="2"/>
      <c r="BH261" s="2"/>
      <c r="BI261" s="2"/>
      <c r="BJ261" s="2" t="str">
        <f aca="false">IF(OR(NOT(LEFT(D261,1)="1"),BC261=""),"",IF(AZ261="Regular",AND(BC261&gt;=Assumptions!$B$82,N(BI261)&lt;Assumptions!$B$81*H261/180*BC261),AND(BC261&gt;=BA261*30,N(BG261)=0)))</f>
        <v/>
      </c>
      <c r="BK261" s="2" t="str">
        <f aca="false">IF(NOT(LEFT(D261,1)="1"),"N/A",IF(BC261="","Baseline",IF(BJ261,"At Risk",IF(AND(N(BD261)&gt;=Assumptions!$B$78,N(BE261)&gt;=Assumptions!$B$79,N(BH261)&gt;=1,N(BH261)/MAX(N(BG261),1)&gt;AY261),"Self-Serve Capability Demonstrated",IF(OR(N(BD261)&gt;=Assumptions!$B$76,N(BE261)&gt;=Assumptions!$B$77),"Progressing",IF(BC261&gt;=Assumptions!$B$85,"At Risk","Baseline"))))))</f>
        <v>N/A</v>
      </c>
      <c r="BL261" s="2" t="n">
        <f aca="false">(AND(C261="Broker-Reliant",OR(AK261="Discovery-to-Offer Enablement",AK261="Reinforce Successful Behaviour")))*1+(AND(G261="Declining",E261&lt;&gt;"Tail",AL261="Automated"))*1+(AND(Y261,AM261&lt;&gt;"Human Sign-Off Required"))*1+(AND(AA261,AM261&lt;&gt;"HOLD — Critical Data Issue"))*1+(AND(P261="Recent Inactivity",OR(AK261="Discovery-to-Offer Enablement",AK261="Reinforce Successful Behaviour")))*1+(AND(OR(LEFT(D261,1)="2",LEFT(D261,1)="3",LEFT(D261,1)="8"),AL261="Automated"))*1+((LEFT(D261,1)="1")&lt;&gt;(AK261="Guided Self-Serve Migration"))*1+(AND(AR261&lt;&gt;"",OR(F261&lt;&gt;"Low",U261="Mixed",AND(G261&lt;&gt;"Growing",G261&lt;&gt;"Stable"))))*1+ISNUMBER(SEARCH("chat",AP261))*1+ISNUMBER(SEARCH("video",AP261))*1+(AND(AA261,AL261="Automated",AM261&lt;&gt;"HOLD — Critical Data Issue"))*1</f>
        <v>0</v>
      </c>
    </row>
    <row r="262" customFormat="false" ht="15" hidden="false" customHeight="false" outlineLevel="0" collapsed="false">
      <c r="A262" s="2" t="s">
        <v>852</v>
      </c>
      <c r="B262" s="2" t="str">
        <f aca="false">INDEX(Segmentation!$B$2:$B$301,MATCH($A262,Segmentation!$A$2:$A$301,0))</f>
        <v>Self Serve</v>
      </c>
      <c r="C262" s="2" t="str">
        <f aca="false">INDEX(Segmentation!$H$2:$H$301,MATCH($A262,Segmentation!$A$2:$A$301,0))</f>
        <v>Self-Serve</v>
      </c>
      <c r="D262" s="2" t="str">
        <f aca="false">INDEX(Segmentation!$T$2:$T$301,MATCH($A262,Segmentation!$A$2:$A$301,0))</f>
        <v>9. Long-Tail Automated Nurture</v>
      </c>
      <c r="E262" s="2" t="str">
        <f aca="false">INDEX(Segmentation!$J$2:$J$301,MATCH($A262,Segmentation!$A$2:$A$301,0))</f>
        <v>Tail</v>
      </c>
      <c r="F262" s="2" t="str">
        <f aca="false">INDEX(Segmentation!$G$2:$G$301,MATCH($A262,Segmentation!$A$2:$A$301,0))</f>
        <v>Low</v>
      </c>
      <c r="G262" s="2" t="str">
        <f aca="false">INDEX(Segmentation!$N$2:$N$301,MATCH($A262,Segmentation!$A$2:$A$301,0))</f>
        <v>Lapsed</v>
      </c>
      <c r="H262" s="9" t="n">
        <f aca="false">INDEX(Segmentation!$I$2:$I$301,MATCH($A262,Segmentation!$A$2:$A$301,0))</f>
        <v>216</v>
      </c>
      <c r="I262" s="2" t="n">
        <f aca="false">INDEX(Segmentation!$O$2:$O$301,MATCH($A262,Segmentation!$A$2:$A$301,0))</f>
        <v>1</v>
      </c>
      <c r="J262" s="2" t="n">
        <f aca="false">INDEX(Segmentation!$Q$2:$Q$301,MATCH($A262,Segmentation!$A$2:$A$301,0))</f>
        <v>1</v>
      </c>
      <c r="K262" s="2" t="n">
        <f aca="false">INDEX(Segmentation!$W$2:$W$301,MATCH($A262,Segmentation!$A$2:$A$301,0))</f>
        <v>1</v>
      </c>
      <c r="L262" s="9" t="n">
        <f aca="false">INDEX('Commercial View'!$L$2:$L$301,MATCH($A262,'Commercial View'!$A$2:$A$301,0))</f>
        <v>0</v>
      </c>
      <c r="M262" s="9" t="n">
        <f aca="false">INDEX('Commercial View'!$M$2:$M$301,MATCH($A262,'Commercial View'!$A$2:$A$301,0))</f>
        <v>0</v>
      </c>
      <c r="N262" s="9" t="n">
        <f aca="false">INDEX('Commercial View'!$N$2:$N$301,MATCH($A262,'Commercial View'!$A$2:$A$301,0))</f>
        <v>0</v>
      </c>
      <c r="O262" s="9" t="n">
        <f aca="false">INDEX(Segmentation!$L$2:$L$301,MATCH($A262,Segmentation!$A$2:$A$301,0))</f>
        <v>0</v>
      </c>
      <c r="P262" s="2" t="str">
        <f aca="false">IF(OR(M262&gt;0,N262&gt;0),"Recently Active",IF(OR(I262&lt;=Assumptions!$B$48,K262&lt;=Assumptions!$B$49),"No Meaningful History","Recent Inactivity"))</f>
        <v>No Meaningful History</v>
      </c>
      <c r="Q262" s="2" t="str">
        <f aca="false">INDEX(Segmentation!$AF$2:$AF$301,MATCH($A262,Segmentation!$A$2:$A$301,0))</f>
        <v>Existing Customer</v>
      </c>
      <c r="R262" s="2" t="str">
        <f aca="false">INDEX(Segmentation!$AL$2:$AL$301,MATCH($A262,Segmentation!$A$2:$A$301,0))</f>
        <v>One-Off / Insufficient History — Verify</v>
      </c>
      <c r="S262" s="10" t="b">
        <f aca="false">INDEX(Segmentation!$AW$2:$AW$301,MATCH($A262,Segmentation!$A$2:$A$301,0))</f>
        <v>0</v>
      </c>
      <c r="T262" s="2" t="str">
        <f aca="false">INDEX('Feature Data'!$AD$2:$AD$301,MATCH($A262,'Feature Data'!$A$2:$A$301,0))</f>
        <v>One-off low-touch buyer</v>
      </c>
      <c r="U262" s="2" t="str">
        <f aca="false">INDEX('Feature Data'!$W$2:$W$301,MATCH($A262,'Feature Data'!$A$2:$A$301,0))</f>
        <v>Bundle-only</v>
      </c>
      <c r="V262" s="2" t="n">
        <f aca="false">INDEX('Feature Data'!$P$2:$P$301,MATCH($A262,'Feature Data'!$A$2:$A$301,0))</f>
        <v>14</v>
      </c>
      <c r="W262" s="2" t="n">
        <f aca="false">INDEX(Segmentation!$R$2:$R$301,MATCH($A262,Segmentation!$A$2:$A$301,0))</f>
        <v>4</v>
      </c>
      <c r="X262" s="2" t="n">
        <f aca="false">INDEX(Segmentation!$S$2:$S$301,MATCH($A262,Segmentation!$A$2:$A$301,0))</f>
        <v>0</v>
      </c>
      <c r="Y262" s="10" t="b">
        <f aca="false">INDEX(Segmentation!$AG$2:$AG$301,MATCH($A262,Segmentation!$A$2:$A$301,0))</f>
        <v>0</v>
      </c>
      <c r="Z262" s="2" t="str">
        <f aca="false">INDEX(Segmentation!$AU$2:$AU$301,MATCH($A262,Segmentation!$A$2:$A$301,0))</f>
        <v>Not Eligible</v>
      </c>
      <c r="AA262" s="10" t="b">
        <f aca="false">INDEX(Segmentation!$Z$2:$Z$301,MATCH($A262,Segmentation!$A$2:$A$301,0))</f>
        <v>0</v>
      </c>
      <c r="AB262" s="10" t="b">
        <f aca="false">INDEX(Segmentation!$AH$2:$AH$301,MATCH($A262,Segmentation!$A$2:$A$301,0))</f>
        <v>0</v>
      </c>
      <c r="AC262" s="10" t="b">
        <f aca="false">INDEX(Segmentation!$AK$2:$AK$301,MATCH($A262,Segmentation!$A$2:$A$301,0))</f>
        <v>0</v>
      </c>
      <c r="AD262" s="10" t="b">
        <f aca="false">INDEX(Segmentation!$AQ$2:$AQ$301,MATCH($A262,Segmentation!$A$2:$A$301,0))</f>
        <v>0</v>
      </c>
      <c r="AE262" s="10" t="b">
        <f aca="false">INDEX(Segmentation!$AT$2:$AT$301,MATCH($A262,Segmentation!$A$2:$A$301,0))</f>
        <v>0</v>
      </c>
      <c r="AF262" s="10" t="b">
        <f aca="false">INDEX(Segmentation!$X$2:$X$301,MATCH($A262,Segmentation!$A$2:$A$301,0))</f>
        <v>1</v>
      </c>
      <c r="AG262" s="10" t="b">
        <f aca="false">AND(F262="Low",V262&gt;=Assumptions!$B$71,X262&lt;Assumptions!$B$72)</f>
        <v>0</v>
      </c>
      <c r="AH262" s="10" t="b">
        <f aca="false">AND(F262="Low",OR(G262="Growing",G262="Stable"),P262="Recently Active",V262&gt;=Assumptions!$B$58,K262&gt;=Assumptions!$B$73)</f>
        <v>0</v>
      </c>
      <c r="AI262" s="17" t="str">
        <f aca="false">IF(O262&gt;0,MAX(L262:N262)/O262,"")</f>
        <v/>
      </c>
      <c r="AJ262" s="2" t="str">
        <f aca="false">IF(LEFT(D262,1)="1",IF(E262="Key","MIGRATION_KEY_SIGNOFF",IF(Z262="Ready","MIGRATION_PHASE1_READY",IF(Z262="Manual Review","MIGRATION_PHASE1_REVIEW","MIGRATION_PRE_ENTRY"))),IF(LEFT(D262,1)="2","DECLINING_KEY_CORE",IF(LEFT(D262,1)="3",IF(R262="Established Buyer Lapsed","LAPSED_ESTABLISHED","LAPSED_THIN_HISTORY"),IF(LEFT(D262,1)="4",IF(Q262="New Customer","NEW_CUSTOMER","RETURNED_CUSTOMER"),IF(LEFT(D262,1)="5",IF(P262="Recently Active","COST_TO_SERVE_ACTIVE","DORMANT_LOW_VALUE"),IF(LEFT(D262,1)="6",IF(P262="Recent Inactivity","RECENT_INACTIVITY",IF(AG262,"BROWSING_LOW_OFFERS","HEALTHY_STRONG_SELF_SERVE")),IF(LEFT(D262,1)="7",IF(P262="Recent Inactivity","RECENT_INACTIVITY",IF(Q262="New Customer","NEW_CUSTOMER","RETURNED_CUSTOMER")),IF(LEFT(D262,1)="8",IF(G262="Declining",IF(T262="Engaged but shrinking (Key/Core)","ENGAGED_BUT_SHRINKING","DECLINING_KEY_CORE"),IF(R262="Established Buyer Lapsed","LAPSED_ESTABLISHED","LAPSED_THIN_HISTORY")),IF(S262,IF(P262&lt;&gt;"Recently Active","DORMANT_LOW_VALUE",IF(AG262,"BROWSING_LOW_OFFERS",IF(AH262,"RISING_TAIL","RISING_TAIL_EARLY"))),IF(AND(AG262,P262="Recently Active",OR(G262="Growing",G262="Stable",G262="H2 Active / No H1 GMV"),I262&gt;=Assumptions!$B$74),"BROWSING_LOW_OFFERS","LONG_TAIL_STANDARD"))))))))))</f>
        <v>LONG_TAIL_STANDARD</v>
      </c>
      <c r="AK262" s="2" t="str">
        <f aca="false">INDEX('NBA Library'!$B$4:$B$21,MATCH(AJ262,'NBA Library'!$A$4:$A$21,0))</f>
        <v>Automated Nurture</v>
      </c>
      <c r="AL262" s="2" t="str">
        <f aca="false">INDEX('NBA Library'!$C$4:$C$21,MATCH(AJ262,'NBA Library'!$A$4:$A$21,0))</f>
        <v>Automated</v>
      </c>
      <c r="AM262" s="2" t="str">
        <f aca="false">IF(AA262,"HOLD — Critical Data Issue",IF(Y262,"Human Sign-Off Required",IF(Z262="Manual Review","Human Review Required",IF(AND(AL262="Automated",OR(AE262,AND(OR(AK262="Discovery-to-Offer Enablement",AK262="Reinforce Successful Behaviour"),OR(AC262,AB262)))),"Human Review Required",IF(AL262="Human","Ready — Human",IF(AL262="Hybrid","Ready — Hybrid","Ready — Automated"))))))</f>
        <v>Ready — Automated</v>
      </c>
      <c r="AN262" s="2" t="str">
        <f aca="false">IF(AA262,"P0",IF(AND(AJ262="BROWSING_LOW_OFFERS",E262="Tail"),"P3",IF(AND(AM262="Human Review Required",INDEX('NBA Library'!$D$4:$D$21,MATCH(AJ262,'NBA Library'!$A$4:$A$21,0))="P4"),"P3",INDEX('NBA Library'!$D$4:$D$21,MATCH(AJ262,'NBA Library'!$A$4:$A$21,0)))))</f>
        <v>P4</v>
      </c>
      <c r="AO262" s="2" t="str">
        <f aca="false">E262&amp;" "&amp;C262&amp;" account ("&amp;B262&amp;"); "&amp;G262&amp;" momentum; "&amp;P262&amp;"; £"&amp;TEXT(H262,"#,##0")&amp;" 6m GMV. "&amp;INDEX('NBA Library'!$G$4:$G$21,MATCH(AJ262,'NBA Library'!$A$4:$A$21,0))&amp;IF(LEFT(D262,1)="1"," Baseline: "&amp;V262&amp;" PDP views, "&amp;W262&amp;" app days, "&amp;X262&amp;" offers, "&amp;TEXT(J262/I262,"0%")&amp;" of orders self-serve.","")&amp;IF(AA262," Execution on HOLD until the Duplicate status is resolved.","")&amp;IF(Y262," Key account: explicit AM/leadership sign-off required before any migration activity.","")&amp;IF(AE262," Implied broker % from order counts would move this account to a different segment; review before automating.","")</f>
        <v>Tail Self-Serve account (Self Serve); Lapsed momentum; No Meaningful History; £216 6m GMV. Low-value, low-dependency account. Scalable automated engagement.</v>
      </c>
      <c r="AP262" s="2" t="str">
        <f aca="false">INDEX('NBA Library'!$E$4:$E$21,MATCH(AJ262,'NBA Library'!$A$4:$A$21,0))&amp;IF(AND(AJ262="NEW_CUSTOMER",AG262),"; introduce Make-an-Offer on items already browsed","")</f>
        <v>Scalable automated engagement matched to nurture sub-context</v>
      </c>
      <c r="AQ262" s="2" t="str">
        <f aca="false">INDEX('NBA Library'!$F$4:$F$21,MATCH(AJ262,'NBA Library'!$A$4:$A$21,0))</f>
        <v>Any repeat order within 90 days</v>
      </c>
      <c r="AR262" s="2" t="str">
        <f aca="false">IF(AND(F262="Low",OR(G262="Growing",G262="Stable"),P262="Recently Active",U262&lt;&gt;"Mixed",OR(AK262="Discovery-to-Offer Enablement",AK262="Reinforce Successful Behaviour"),AM262="Ready — Automated",OR(E262&lt;&gt;"Tail",S262)),"Range Expansion Test — trial "&amp;IF(U262="Bundle-only","handpick","bundles")&amp;" (experimental; not proven to lift GMV)","")</f>
        <v/>
      </c>
      <c r="AS262" s="2" t="str">
        <f aca="false">IF(AK262&lt;&gt;"Automated Nurture","",IF(AJ262="DORMANT_LOW_VALUE","Dormant",IF(AJ262="RISING_TAIL_EARLY","Rising tail – early pattern",IF(Q262="New Customer","New customer onboarding",IF(Q262="Returned Customer","Returned customer",IF(G262="Lapsed","Dormant",IF(T262="Engaged, not converting","Engaged, not converting",IF(T262="One-off low-touch buyer","One-off purchaser",IF(T262="Light-touch repeat buyer","Light-touch repeat buyer","Standard long tail")))))))))</f>
        <v>Dormant</v>
      </c>
      <c r="AT262" s="2" t="str">
        <f aca="false">IF(AA262,"CRITICAL_DATA_BLOCKER; ","")&amp;IF(Y262,"KEY_SIGNOFF; ","")&amp;IF(Z262="Manual Review","PHASE1_MANUAL_REVIEW; ","")&amp;IF(AND(LEFT(D262,1)="1",AZ262="Lumpy"),"LUMPY_CADENCE; ","")&amp;IF(AB262,"BORDERLINE_MOMENTUM; ","")&amp;IF(AC262,"FEB_SENSITIVE; ","")&amp;IF(AD262,"MATERIAL_BROKER_INCONSISTENCY"&amp;IF(AE262," (segment would change)","")&amp;"; ","")&amp;IF(AND(I262&gt;=3,O262&gt;0),IF(AI262&gt;=Assumptions!$B$75,"H2_SINGLE_MONTH_SPIKE; ",""),"")&amp;IF(AND(M262&gt;0,N262=0),"NO_FEB_GMV (Feb unconfirmed); ","")&amp;IF(AF262,"LOW_CONFIDENCE; ","")</f>
        <v>LOW_CONFIDENCE; </v>
      </c>
      <c r="AU262" s="2" t="str">
        <f aca="false">IF(LEFT(D262,1)="1",V262,"")</f>
        <v/>
      </c>
      <c r="AV262" s="2" t="str">
        <f aca="false">IF(LEFT(D262,1)="1",V262&gt;=Assumptions!$B$58,"")</f>
        <v/>
      </c>
      <c r="AW262" s="2" t="str">
        <f aca="false">IF(LEFT(D262,1)="1",W262,"")</f>
        <v/>
      </c>
      <c r="AX262" s="2" t="str">
        <f aca="false">IF(LEFT(D262,1)="1",X262,"")</f>
        <v/>
      </c>
      <c r="AY262" s="17" t="str">
        <f aca="false">IF(LEFT(D262,1)="1",J262/I262,"")</f>
        <v/>
      </c>
      <c r="AZ262" s="2" t="str">
        <f aca="false">IF(LEFT(D262,1)="1",IF(AND(K262&gt;=Assumptions!$B$83,I262&gt;=Assumptions!$B$84),"Regular","Lumpy"),"")</f>
        <v/>
      </c>
      <c r="BA262" s="2" t="str">
        <f aca="false">IF(LEFT(D262,1)="1",ROUND(6/K262,0),"")</f>
        <v/>
      </c>
      <c r="BB262" s="2" t="str">
        <f aca="false">IF(LEFT(D262,1)="1",IF(AZ262="Regular","Regular buyer: expected ~£"&amp;TEXT(H262/2,"#,##0")&amp;" per 90 days. At Risk if GMV to date &lt; "&amp;TEXT(Assumptions!$B$81,"0%")&amp;" of pro-rated expectation, checked from day "&amp;Assumptions!$B$82&amp;". Human-reviewed.","Irregular buyer ("&amp;I262&amp;" orders across "&amp;K262&amp;" months): no numeric GMV threshold. At Risk if no order within ~"&amp;BA262&amp;" month(s); AM reviews at day "&amp;Assumptions!$B$82&amp;" and "&amp;Assumptions!$B$85&amp;"."),"")</f>
        <v/>
      </c>
      <c r="BC262" s="2"/>
      <c r="BD262" s="2"/>
      <c r="BE262" s="2"/>
      <c r="BF262" s="2"/>
      <c r="BG262" s="2"/>
      <c r="BH262" s="2"/>
      <c r="BI262" s="2"/>
      <c r="BJ262" s="2" t="str">
        <f aca="false">IF(OR(NOT(LEFT(D262,1)="1"),BC262=""),"",IF(AZ262="Regular",AND(BC262&gt;=Assumptions!$B$82,N(BI262)&lt;Assumptions!$B$81*H262/180*BC262),AND(BC262&gt;=BA262*30,N(BG262)=0)))</f>
        <v/>
      </c>
      <c r="BK262" s="2" t="str">
        <f aca="false">IF(NOT(LEFT(D262,1)="1"),"N/A",IF(BC262="","Baseline",IF(BJ262,"At Risk",IF(AND(N(BD262)&gt;=Assumptions!$B$78,N(BE262)&gt;=Assumptions!$B$79,N(BH262)&gt;=1,N(BH262)/MAX(N(BG262),1)&gt;AY262),"Self-Serve Capability Demonstrated",IF(OR(N(BD262)&gt;=Assumptions!$B$76,N(BE262)&gt;=Assumptions!$B$77),"Progressing",IF(BC262&gt;=Assumptions!$B$85,"At Risk","Baseline"))))))</f>
        <v>N/A</v>
      </c>
      <c r="BL262" s="2" t="n">
        <f aca="false">(AND(C262="Broker-Reliant",OR(AK262="Discovery-to-Offer Enablement",AK262="Reinforce Successful Behaviour")))*1+(AND(G262="Declining",E262&lt;&gt;"Tail",AL262="Automated"))*1+(AND(Y262,AM262&lt;&gt;"Human Sign-Off Required"))*1+(AND(AA262,AM262&lt;&gt;"HOLD — Critical Data Issue"))*1+(AND(P262="Recent Inactivity",OR(AK262="Discovery-to-Offer Enablement",AK262="Reinforce Successful Behaviour")))*1+(AND(OR(LEFT(D262,1)="2",LEFT(D262,1)="3",LEFT(D262,1)="8"),AL262="Automated"))*1+((LEFT(D262,1)="1")&lt;&gt;(AK262="Guided Self-Serve Migration"))*1+(AND(AR262&lt;&gt;"",OR(F262&lt;&gt;"Low",U262="Mixed",AND(G262&lt;&gt;"Growing",G262&lt;&gt;"Stable"))))*1+ISNUMBER(SEARCH("chat",AP262))*1+ISNUMBER(SEARCH("video",AP262))*1+(AND(AA262,AL262="Automated",AM262&lt;&gt;"HOLD — Critical Data Issue"))*1</f>
        <v>0</v>
      </c>
    </row>
    <row r="263" customFormat="false" ht="15" hidden="false" customHeight="false" outlineLevel="0" collapsed="false">
      <c r="A263" s="2" t="s">
        <v>854</v>
      </c>
      <c r="B263" s="2" t="str">
        <f aca="false">INDEX(Segmentation!$B$2:$B$301,MATCH($A263,Segmentation!$A$2:$A$301,0))</f>
        <v>Self Serve</v>
      </c>
      <c r="C263" s="2" t="str">
        <f aca="false">INDEX(Segmentation!$H$2:$H$301,MATCH($A263,Segmentation!$A$2:$A$301,0))</f>
        <v>Self-Serve</v>
      </c>
      <c r="D263" s="2" t="str">
        <f aca="false">INDEX(Segmentation!$T$2:$T$301,MATCH($A263,Segmentation!$A$2:$A$301,0))</f>
        <v>9. Long-Tail Automated Nurture</v>
      </c>
      <c r="E263" s="2" t="str">
        <f aca="false">INDEX(Segmentation!$J$2:$J$301,MATCH($A263,Segmentation!$A$2:$A$301,0))</f>
        <v>Tail</v>
      </c>
      <c r="F263" s="2" t="str">
        <f aca="false">INDEX(Segmentation!$G$2:$G$301,MATCH($A263,Segmentation!$A$2:$A$301,0))</f>
        <v>Low</v>
      </c>
      <c r="G263" s="2" t="str">
        <f aca="false">INDEX(Segmentation!$N$2:$N$301,MATCH($A263,Segmentation!$A$2:$A$301,0))</f>
        <v>H2 Active / No H1 GMV</v>
      </c>
      <c r="H263" s="9" t="n">
        <f aca="false">INDEX(Segmentation!$I$2:$I$301,MATCH($A263,Segmentation!$A$2:$A$301,0))</f>
        <v>212</v>
      </c>
      <c r="I263" s="2" t="n">
        <f aca="false">INDEX(Segmentation!$O$2:$O$301,MATCH($A263,Segmentation!$A$2:$A$301,0))</f>
        <v>1</v>
      </c>
      <c r="J263" s="2" t="n">
        <f aca="false">INDEX(Segmentation!$Q$2:$Q$301,MATCH($A263,Segmentation!$A$2:$A$301,0))</f>
        <v>1</v>
      </c>
      <c r="K263" s="2" t="n">
        <f aca="false">INDEX(Segmentation!$W$2:$W$301,MATCH($A263,Segmentation!$A$2:$A$301,0))</f>
        <v>1</v>
      </c>
      <c r="L263" s="9" t="n">
        <f aca="false">INDEX('Commercial View'!$L$2:$L$301,MATCH($A263,'Commercial View'!$A$2:$A$301,0))</f>
        <v>0</v>
      </c>
      <c r="M263" s="9" t="n">
        <f aca="false">INDEX('Commercial View'!$M$2:$M$301,MATCH($A263,'Commercial View'!$A$2:$A$301,0))</f>
        <v>212</v>
      </c>
      <c r="N263" s="9" t="n">
        <f aca="false">INDEX('Commercial View'!$N$2:$N$301,MATCH($A263,'Commercial View'!$A$2:$A$301,0))</f>
        <v>0</v>
      </c>
      <c r="O263" s="9" t="n">
        <f aca="false">INDEX(Segmentation!$L$2:$L$301,MATCH($A263,Segmentation!$A$2:$A$301,0))</f>
        <v>212</v>
      </c>
      <c r="P263" s="2" t="str">
        <f aca="false">IF(OR(M263&gt;0,N263&gt;0),"Recently Active",IF(OR(I263&lt;=Assumptions!$B$48,K263&lt;=Assumptions!$B$49),"No Meaningful History","Recent Inactivity"))</f>
        <v>Recently Active</v>
      </c>
      <c r="Q263" s="2" t="str">
        <f aca="false">INDEX(Segmentation!$AF$2:$AF$301,MATCH($A263,Segmentation!$A$2:$A$301,0))</f>
        <v>New Customer</v>
      </c>
      <c r="R263" s="2" t="str">
        <f aca="false">INDEX(Segmentation!$AL$2:$AL$301,MATCH($A263,Segmentation!$A$2:$A$301,0))</f>
        <v>N/A</v>
      </c>
      <c r="S263" s="10" t="b">
        <f aca="false">INDEX(Segmentation!$AW$2:$AW$301,MATCH($A263,Segmentation!$A$2:$A$301,0))</f>
        <v>0</v>
      </c>
      <c r="T263" s="2" t="str">
        <f aca="false">INDEX('Feature Data'!$AD$2:$AD$301,MATCH($A263,'Feature Data'!$A$2:$A$301,0))</f>
        <v>One-off low-touch buyer</v>
      </c>
      <c r="U263" s="2" t="str">
        <f aca="false">INDEX('Feature Data'!$W$2:$W$301,MATCH($A263,'Feature Data'!$A$2:$A$301,0))</f>
        <v>Bundle-only</v>
      </c>
      <c r="V263" s="2" t="n">
        <f aca="false">INDEX('Feature Data'!$P$2:$P$301,MATCH($A263,'Feature Data'!$A$2:$A$301,0))</f>
        <v>65</v>
      </c>
      <c r="W263" s="2" t="n">
        <f aca="false">INDEX(Segmentation!$R$2:$R$301,MATCH($A263,Segmentation!$A$2:$A$301,0))</f>
        <v>15</v>
      </c>
      <c r="X263" s="2" t="n">
        <f aca="false">INDEX(Segmentation!$S$2:$S$301,MATCH($A263,Segmentation!$A$2:$A$301,0))</f>
        <v>4</v>
      </c>
      <c r="Y263" s="10" t="b">
        <f aca="false">INDEX(Segmentation!$AG$2:$AG$301,MATCH($A263,Segmentation!$A$2:$A$301,0))</f>
        <v>0</v>
      </c>
      <c r="Z263" s="2" t="str">
        <f aca="false">INDEX(Segmentation!$AU$2:$AU$301,MATCH($A263,Segmentation!$A$2:$A$301,0))</f>
        <v>Not Eligible</v>
      </c>
      <c r="AA263" s="10" t="b">
        <f aca="false">INDEX(Segmentation!$Z$2:$Z$301,MATCH($A263,Segmentation!$A$2:$A$301,0))</f>
        <v>0</v>
      </c>
      <c r="AB263" s="10" t="b">
        <f aca="false">INDEX(Segmentation!$AH$2:$AH$301,MATCH($A263,Segmentation!$A$2:$A$301,0))</f>
        <v>0</v>
      </c>
      <c r="AC263" s="10" t="b">
        <f aca="false">INDEX(Segmentation!$AK$2:$AK$301,MATCH($A263,Segmentation!$A$2:$A$301,0))</f>
        <v>0</v>
      </c>
      <c r="AD263" s="10" t="b">
        <f aca="false">INDEX(Segmentation!$AQ$2:$AQ$301,MATCH($A263,Segmentation!$A$2:$A$301,0))</f>
        <v>0</v>
      </c>
      <c r="AE263" s="10" t="b">
        <f aca="false">INDEX(Segmentation!$AT$2:$AT$301,MATCH($A263,Segmentation!$A$2:$A$301,0))</f>
        <v>0</v>
      </c>
      <c r="AF263" s="10" t="b">
        <f aca="false">INDEX(Segmentation!$X$2:$X$301,MATCH($A263,Segmentation!$A$2:$A$301,0))</f>
        <v>1</v>
      </c>
      <c r="AG263" s="10" t="b">
        <f aca="false">AND(F263="Low",V263&gt;=Assumptions!$B$71,X263&lt;Assumptions!$B$72)</f>
        <v>0</v>
      </c>
      <c r="AH263" s="10" t="b">
        <f aca="false">AND(F263="Low",OR(G263="Growing",G263="Stable"),P263="Recently Active",V263&gt;=Assumptions!$B$58,K263&gt;=Assumptions!$B$73)</f>
        <v>0</v>
      </c>
      <c r="AI263" s="17" t="n">
        <f aca="false">IF(O263&gt;0,MAX(L263:N263)/O263,"")</f>
        <v>1</v>
      </c>
      <c r="AJ263" s="2" t="str">
        <f aca="false">IF(LEFT(D263,1)="1",IF(E263="Key","MIGRATION_KEY_SIGNOFF",IF(Z263="Ready","MIGRATION_PHASE1_READY",IF(Z263="Manual Review","MIGRATION_PHASE1_REVIEW","MIGRATION_PRE_ENTRY"))),IF(LEFT(D263,1)="2","DECLINING_KEY_CORE",IF(LEFT(D263,1)="3",IF(R263="Established Buyer Lapsed","LAPSED_ESTABLISHED","LAPSED_THIN_HISTORY"),IF(LEFT(D263,1)="4",IF(Q263="New Customer","NEW_CUSTOMER","RETURNED_CUSTOMER"),IF(LEFT(D263,1)="5",IF(P263="Recently Active","COST_TO_SERVE_ACTIVE","DORMANT_LOW_VALUE"),IF(LEFT(D263,1)="6",IF(P263="Recent Inactivity","RECENT_INACTIVITY",IF(AG263,"BROWSING_LOW_OFFERS","HEALTHY_STRONG_SELF_SERVE")),IF(LEFT(D263,1)="7",IF(P263="Recent Inactivity","RECENT_INACTIVITY",IF(Q263="New Customer","NEW_CUSTOMER","RETURNED_CUSTOMER")),IF(LEFT(D263,1)="8",IF(G263="Declining",IF(T263="Engaged but shrinking (Key/Core)","ENGAGED_BUT_SHRINKING","DECLINING_KEY_CORE"),IF(R263="Established Buyer Lapsed","LAPSED_ESTABLISHED","LAPSED_THIN_HISTORY")),IF(S263,IF(P263&lt;&gt;"Recently Active","DORMANT_LOW_VALUE",IF(AG263,"BROWSING_LOW_OFFERS",IF(AH263,"RISING_TAIL","RISING_TAIL_EARLY"))),IF(AND(AG263,P263="Recently Active",OR(G263="Growing",G263="Stable",G263="H2 Active / No H1 GMV"),I263&gt;=Assumptions!$B$74),"BROWSING_LOW_OFFERS","LONG_TAIL_STANDARD"))))))))))</f>
        <v>LONG_TAIL_STANDARD</v>
      </c>
      <c r="AK263" s="2" t="str">
        <f aca="false">INDEX('NBA Library'!$B$4:$B$21,MATCH(AJ263,'NBA Library'!$A$4:$A$21,0))</f>
        <v>Automated Nurture</v>
      </c>
      <c r="AL263" s="2" t="str">
        <f aca="false">INDEX('NBA Library'!$C$4:$C$21,MATCH(AJ263,'NBA Library'!$A$4:$A$21,0))</f>
        <v>Automated</v>
      </c>
      <c r="AM263" s="2" t="str">
        <f aca="false">IF(AA263,"HOLD — Critical Data Issue",IF(Y263,"Human Sign-Off Required",IF(Z263="Manual Review","Human Review Required",IF(AND(AL263="Automated",OR(AE263,AND(OR(AK263="Discovery-to-Offer Enablement",AK263="Reinforce Successful Behaviour"),OR(AC263,AB263)))),"Human Review Required",IF(AL263="Human","Ready — Human",IF(AL263="Hybrid","Ready — Hybrid","Ready — Automated"))))))</f>
        <v>Ready — Automated</v>
      </c>
      <c r="AN263" s="2" t="str">
        <f aca="false">IF(AA263,"P0",IF(AND(AJ263="BROWSING_LOW_OFFERS",E263="Tail"),"P3",IF(AND(AM263="Human Review Required",INDEX('NBA Library'!$D$4:$D$21,MATCH(AJ263,'NBA Library'!$A$4:$A$21,0))="P4"),"P3",INDEX('NBA Library'!$D$4:$D$21,MATCH(AJ263,'NBA Library'!$A$4:$A$21,0)))))</f>
        <v>P4</v>
      </c>
      <c r="AO263" s="2" t="str">
        <f aca="false">E263&amp;" "&amp;C263&amp;" account ("&amp;B263&amp;"); "&amp;G263&amp;" momentum; "&amp;P263&amp;"; £"&amp;TEXT(H263,"#,##0")&amp;" 6m GMV. "&amp;INDEX('NBA Library'!$G$4:$G$21,MATCH(AJ263,'NBA Library'!$A$4:$A$21,0))&amp;IF(LEFT(D263,1)="1"," Baseline: "&amp;V263&amp;" PDP views, "&amp;W263&amp;" app days, "&amp;X263&amp;" offers, "&amp;TEXT(J263/I263,"0%")&amp;" of orders self-serve.","")&amp;IF(AA263," Execution on HOLD until the Duplicate status is resolved.","")&amp;IF(Y263," Key account: explicit AM/leadership sign-off required before any migration activity.","")&amp;IF(AE263," Implied broker % from order counts would move this account to a different segment; review before automating.","")</f>
        <v>Tail Self-Serve account (Self Serve); H2 Active / No H1 GMV momentum; Recently Active; £212 6m GMV. Low-value, low-dependency account. Scalable automated engagement.</v>
      </c>
      <c r="AP263" s="2" t="str">
        <f aca="false">INDEX('NBA Library'!$E$4:$E$21,MATCH(AJ263,'NBA Library'!$A$4:$A$21,0))&amp;IF(AND(AJ263="NEW_CUSTOMER",AG263),"; introduce Make-an-Offer on items already browsed","")</f>
        <v>Scalable automated engagement matched to nurture sub-context</v>
      </c>
      <c r="AQ263" s="2" t="str">
        <f aca="false">INDEX('NBA Library'!$F$4:$F$21,MATCH(AJ263,'NBA Library'!$A$4:$A$21,0))</f>
        <v>Any repeat order within 90 days</v>
      </c>
      <c r="AR263" s="2" t="str">
        <f aca="false">IF(AND(F263="Low",OR(G263="Growing",G263="Stable"),P263="Recently Active",U263&lt;&gt;"Mixed",OR(AK263="Discovery-to-Offer Enablement",AK263="Reinforce Successful Behaviour"),AM263="Ready — Automated",OR(E263&lt;&gt;"Tail",S263)),"Range Expansion Test — trial "&amp;IF(U263="Bundle-only","handpick","bundles")&amp;" (experimental; not proven to lift GMV)","")</f>
        <v/>
      </c>
      <c r="AS263" s="2" t="str">
        <f aca="false">IF(AK263&lt;&gt;"Automated Nurture","",IF(AJ263="DORMANT_LOW_VALUE","Dormant",IF(AJ263="RISING_TAIL_EARLY","Rising tail – early pattern",IF(Q263="New Customer","New customer onboarding",IF(Q263="Returned Customer","Returned customer",IF(G263="Lapsed","Dormant",IF(T263="Engaged, not converting","Engaged, not converting",IF(T263="One-off low-touch buyer","One-off purchaser",IF(T263="Light-touch repeat buyer","Light-touch repeat buyer","Standard long tail")))))))))</f>
        <v>New customer onboarding</v>
      </c>
      <c r="AT263" s="2" t="str">
        <f aca="false">IF(AA263,"CRITICAL_DATA_BLOCKER; ","")&amp;IF(Y263,"KEY_SIGNOFF; ","")&amp;IF(Z263="Manual Review","PHASE1_MANUAL_REVIEW; ","")&amp;IF(AND(LEFT(D263,1)="1",AZ263="Lumpy"),"LUMPY_CADENCE; ","")&amp;IF(AB263,"BORDERLINE_MOMENTUM; ","")&amp;IF(AC263,"FEB_SENSITIVE; ","")&amp;IF(AD263,"MATERIAL_BROKER_INCONSISTENCY"&amp;IF(AE263," (segment would change)","")&amp;"; ","")&amp;IF(AND(I263&gt;=3,O263&gt;0),IF(AI263&gt;=Assumptions!$B$75,"H2_SINGLE_MONTH_SPIKE; ",""),"")&amp;IF(AND(M263&gt;0,N263=0),"NO_FEB_GMV (Feb unconfirmed); ","")&amp;IF(AF263,"LOW_CONFIDENCE; ","")</f>
        <v>NO_FEB_GMV (Feb unconfirmed); LOW_CONFIDENCE; </v>
      </c>
      <c r="AU263" s="2" t="str">
        <f aca="false">IF(LEFT(D263,1)="1",V263,"")</f>
        <v/>
      </c>
      <c r="AV263" s="2" t="str">
        <f aca="false">IF(LEFT(D263,1)="1",V263&gt;=Assumptions!$B$58,"")</f>
        <v/>
      </c>
      <c r="AW263" s="2" t="str">
        <f aca="false">IF(LEFT(D263,1)="1",W263,"")</f>
        <v/>
      </c>
      <c r="AX263" s="2" t="str">
        <f aca="false">IF(LEFT(D263,1)="1",X263,"")</f>
        <v/>
      </c>
      <c r="AY263" s="17" t="str">
        <f aca="false">IF(LEFT(D263,1)="1",J263/I263,"")</f>
        <v/>
      </c>
      <c r="AZ263" s="2" t="str">
        <f aca="false">IF(LEFT(D263,1)="1",IF(AND(K263&gt;=Assumptions!$B$83,I263&gt;=Assumptions!$B$84),"Regular","Lumpy"),"")</f>
        <v/>
      </c>
      <c r="BA263" s="2" t="str">
        <f aca="false">IF(LEFT(D263,1)="1",ROUND(6/K263,0),"")</f>
        <v/>
      </c>
      <c r="BB263" s="2" t="str">
        <f aca="false">IF(LEFT(D263,1)="1",IF(AZ263="Regular","Regular buyer: expected ~£"&amp;TEXT(H263/2,"#,##0")&amp;" per 90 days. At Risk if GMV to date &lt; "&amp;TEXT(Assumptions!$B$81,"0%")&amp;" of pro-rated expectation, checked from day "&amp;Assumptions!$B$82&amp;". Human-reviewed.","Irregular buyer ("&amp;I263&amp;" orders across "&amp;K263&amp;" months): no numeric GMV threshold. At Risk if no order within ~"&amp;BA263&amp;" month(s); AM reviews at day "&amp;Assumptions!$B$82&amp;" and "&amp;Assumptions!$B$85&amp;"."),"")</f>
        <v/>
      </c>
      <c r="BC263" s="2"/>
      <c r="BD263" s="2"/>
      <c r="BE263" s="2"/>
      <c r="BF263" s="2"/>
      <c r="BG263" s="2"/>
      <c r="BH263" s="2"/>
      <c r="BI263" s="2"/>
      <c r="BJ263" s="2" t="str">
        <f aca="false">IF(OR(NOT(LEFT(D263,1)="1"),BC263=""),"",IF(AZ263="Regular",AND(BC263&gt;=Assumptions!$B$82,N(BI263)&lt;Assumptions!$B$81*H263/180*BC263),AND(BC263&gt;=BA263*30,N(BG263)=0)))</f>
        <v/>
      </c>
      <c r="BK263" s="2" t="str">
        <f aca="false">IF(NOT(LEFT(D263,1)="1"),"N/A",IF(BC263="","Baseline",IF(BJ263,"At Risk",IF(AND(N(BD263)&gt;=Assumptions!$B$78,N(BE263)&gt;=Assumptions!$B$79,N(BH263)&gt;=1,N(BH263)/MAX(N(BG263),1)&gt;AY263),"Self-Serve Capability Demonstrated",IF(OR(N(BD263)&gt;=Assumptions!$B$76,N(BE263)&gt;=Assumptions!$B$77),"Progressing",IF(BC263&gt;=Assumptions!$B$85,"At Risk","Baseline"))))))</f>
        <v>N/A</v>
      </c>
      <c r="BL263" s="2" t="n">
        <f aca="false">(AND(C263="Broker-Reliant",OR(AK263="Discovery-to-Offer Enablement",AK263="Reinforce Successful Behaviour")))*1+(AND(G263="Declining",E263&lt;&gt;"Tail",AL263="Automated"))*1+(AND(Y263,AM263&lt;&gt;"Human Sign-Off Required"))*1+(AND(AA263,AM263&lt;&gt;"HOLD — Critical Data Issue"))*1+(AND(P263="Recent Inactivity",OR(AK263="Discovery-to-Offer Enablement",AK263="Reinforce Successful Behaviour")))*1+(AND(OR(LEFT(D263,1)="2",LEFT(D263,1)="3",LEFT(D263,1)="8"),AL263="Automated"))*1+((LEFT(D263,1)="1")&lt;&gt;(AK263="Guided Self-Serve Migration"))*1+(AND(AR263&lt;&gt;"",OR(F263&lt;&gt;"Low",U263="Mixed",AND(G263&lt;&gt;"Growing",G263&lt;&gt;"Stable"))))*1+ISNUMBER(SEARCH("chat",AP263))*1+ISNUMBER(SEARCH("video",AP263))*1+(AND(AA263,AL263="Automated",AM263&lt;&gt;"HOLD — Critical Data Issue"))*1</f>
        <v>0</v>
      </c>
    </row>
    <row r="264" customFormat="false" ht="15" hidden="false" customHeight="false" outlineLevel="0" collapsed="false">
      <c r="A264" s="2" t="s">
        <v>856</v>
      </c>
      <c r="B264" s="2" t="str">
        <f aca="false">INDEX(Segmentation!$B$2:$B$301,MATCH($A264,Segmentation!$A$2:$A$301,0))</f>
        <v>Self Serve</v>
      </c>
      <c r="C264" s="2" t="str">
        <f aca="false">INDEX(Segmentation!$H$2:$H$301,MATCH($A264,Segmentation!$A$2:$A$301,0))</f>
        <v>Self-Serve</v>
      </c>
      <c r="D264" s="2" t="str">
        <f aca="false">INDEX(Segmentation!$T$2:$T$301,MATCH($A264,Segmentation!$A$2:$A$301,0))</f>
        <v>9. Long-Tail Automated Nurture</v>
      </c>
      <c r="E264" s="2" t="str">
        <f aca="false">INDEX(Segmentation!$J$2:$J$301,MATCH($A264,Segmentation!$A$2:$A$301,0))</f>
        <v>Tail</v>
      </c>
      <c r="F264" s="2" t="str">
        <f aca="false">INDEX(Segmentation!$G$2:$G$301,MATCH($A264,Segmentation!$A$2:$A$301,0))</f>
        <v>Low</v>
      </c>
      <c r="G264" s="2" t="str">
        <f aca="false">INDEX(Segmentation!$N$2:$N$301,MATCH($A264,Segmentation!$A$2:$A$301,0))</f>
        <v>H2 Active / No H1 GMV</v>
      </c>
      <c r="H264" s="9" t="n">
        <f aca="false">INDEX(Segmentation!$I$2:$I$301,MATCH($A264,Segmentation!$A$2:$A$301,0))</f>
        <v>211</v>
      </c>
      <c r="I264" s="2" t="n">
        <f aca="false">INDEX(Segmentation!$O$2:$O$301,MATCH($A264,Segmentation!$A$2:$A$301,0))</f>
        <v>1</v>
      </c>
      <c r="J264" s="2" t="n">
        <f aca="false">INDEX(Segmentation!$Q$2:$Q$301,MATCH($A264,Segmentation!$A$2:$A$301,0))</f>
        <v>1</v>
      </c>
      <c r="K264" s="2" t="n">
        <f aca="false">INDEX(Segmentation!$W$2:$W$301,MATCH($A264,Segmentation!$A$2:$A$301,0))</f>
        <v>1</v>
      </c>
      <c r="L264" s="9" t="n">
        <f aca="false">INDEX('Commercial View'!$L$2:$L$301,MATCH($A264,'Commercial View'!$A$2:$A$301,0))</f>
        <v>0</v>
      </c>
      <c r="M264" s="9" t="n">
        <f aca="false">INDEX('Commercial View'!$M$2:$M$301,MATCH($A264,'Commercial View'!$A$2:$A$301,0))</f>
        <v>0</v>
      </c>
      <c r="N264" s="9" t="n">
        <f aca="false">INDEX('Commercial View'!$N$2:$N$301,MATCH($A264,'Commercial View'!$A$2:$A$301,0))</f>
        <v>211</v>
      </c>
      <c r="O264" s="9" t="n">
        <f aca="false">INDEX(Segmentation!$L$2:$L$301,MATCH($A264,Segmentation!$A$2:$A$301,0))</f>
        <v>211</v>
      </c>
      <c r="P264" s="2" t="str">
        <f aca="false">IF(OR(M264&gt;0,N264&gt;0),"Recently Active",IF(OR(I264&lt;=Assumptions!$B$48,K264&lt;=Assumptions!$B$49),"No Meaningful History","Recent Inactivity"))</f>
        <v>Recently Active</v>
      </c>
      <c r="Q264" s="2" t="str">
        <f aca="false">INDEX(Segmentation!$AF$2:$AF$301,MATCH($A264,Segmentation!$A$2:$A$301,0))</f>
        <v>New Customer</v>
      </c>
      <c r="R264" s="2" t="str">
        <f aca="false">INDEX(Segmentation!$AL$2:$AL$301,MATCH($A264,Segmentation!$A$2:$A$301,0))</f>
        <v>N/A</v>
      </c>
      <c r="S264" s="10" t="b">
        <f aca="false">INDEX(Segmentation!$AW$2:$AW$301,MATCH($A264,Segmentation!$A$2:$A$301,0))</f>
        <v>0</v>
      </c>
      <c r="T264" s="2" t="str">
        <f aca="false">INDEX('Feature Data'!$AD$2:$AD$301,MATCH($A264,'Feature Data'!$A$2:$A$301,0))</f>
        <v>Engaged, not converting</v>
      </c>
      <c r="U264" s="2" t="str">
        <f aca="false">INDEX('Feature Data'!$W$2:$W$301,MATCH($A264,'Feature Data'!$A$2:$A$301,0))</f>
        <v>Bundle-only</v>
      </c>
      <c r="V264" s="2" t="n">
        <f aca="false">INDEX('Feature Data'!$P$2:$P$301,MATCH($A264,'Feature Data'!$A$2:$A$301,0))</f>
        <v>272</v>
      </c>
      <c r="W264" s="2" t="n">
        <f aca="false">INDEX(Segmentation!$R$2:$R$301,MATCH($A264,Segmentation!$A$2:$A$301,0))</f>
        <v>16</v>
      </c>
      <c r="X264" s="2" t="n">
        <f aca="false">INDEX(Segmentation!$S$2:$S$301,MATCH($A264,Segmentation!$A$2:$A$301,0))</f>
        <v>6</v>
      </c>
      <c r="Y264" s="10" t="b">
        <f aca="false">INDEX(Segmentation!$AG$2:$AG$301,MATCH($A264,Segmentation!$A$2:$A$301,0))</f>
        <v>0</v>
      </c>
      <c r="Z264" s="2" t="str">
        <f aca="false">INDEX(Segmentation!$AU$2:$AU$301,MATCH($A264,Segmentation!$A$2:$A$301,0))</f>
        <v>Not Eligible</v>
      </c>
      <c r="AA264" s="10" t="b">
        <f aca="false">INDEX(Segmentation!$Z$2:$Z$301,MATCH($A264,Segmentation!$A$2:$A$301,0))</f>
        <v>0</v>
      </c>
      <c r="AB264" s="10" t="b">
        <f aca="false">INDEX(Segmentation!$AH$2:$AH$301,MATCH($A264,Segmentation!$A$2:$A$301,0))</f>
        <v>0</v>
      </c>
      <c r="AC264" s="10" t="b">
        <f aca="false">INDEX(Segmentation!$AK$2:$AK$301,MATCH($A264,Segmentation!$A$2:$A$301,0))</f>
        <v>1</v>
      </c>
      <c r="AD264" s="10" t="b">
        <f aca="false">INDEX(Segmentation!$AQ$2:$AQ$301,MATCH($A264,Segmentation!$A$2:$A$301,0))</f>
        <v>0</v>
      </c>
      <c r="AE264" s="10" t="b">
        <f aca="false">INDEX(Segmentation!$AT$2:$AT$301,MATCH($A264,Segmentation!$A$2:$A$301,0))</f>
        <v>0</v>
      </c>
      <c r="AF264" s="10" t="b">
        <f aca="false">INDEX(Segmentation!$X$2:$X$301,MATCH($A264,Segmentation!$A$2:$A$301,0))</f>
        <v>1</v>
      </c>
      <c r="AG264" s="10" t="b">
        <f aca="false">AND(F264="Low",V264&gt;=Assumptions!$B$71,X264&lt;Assumptions!$B$72)</f>
        <v>0</v>
      </c>
      <c r="AH264" s="10" t="b">
        <f aca="false">AND(F264="Low",OR(G264="Growing",G264="Stable"),P264="Recently Active",V264&gt;=Assumptions!$B$58,K264&gt;=Assumptions!$B$73)</f>
        <v>0</v>
      </c>
      <c r="AI264" s="17" t="n">
        <f aca="false">IF(O264&gt;0,MAX(L264:N264)/O264,"")</f>
        <v>1</v>
      </c>
      <c r="AJ264" s="2" t="str">
        <f aca="false">IF(LEFT(D264,1)="1",IF(E264="Key","MIGRATION_KEY_SIGNOFF",IF(Z264="Ready","MIGRATION_PHASE1_READY",IF(Z264="Manual Review","MIGRATION_PHASE1_REVIEW","MIGRATION_PRE_ENTRY"))),IF(LEFT(D264,1)="2","DECLINING_KEY_CORE",IF(LEFT(D264,1)="3",IF(R264="Established Buyer Lapsed","LAPSED_ESTABLISHED","LAPSED_THIN_HISTORY"),IF(LEFT(D264,1)="4",IF(Q264="New Customer","NEW_CUSTOMER","RETURNED_CUSTOMER"),IF(LEFT(D264,1)="5",IF(P264="Recently Active","COST_TO_SERVE_ACTIVE","DORMANT_LOW_VALUE"),IF(LEFT(D264,1)="6",IF(P264="Recent Inactivity","RECENT_INACTIVITY",IF(AG264,"BROWSING_LOW_OFFERS","HEALTHY_STRONG_SELF_SERVE")),IF(LEFT(D264,1)="7",IF(P264="Recent Inactivity","RECENT_INACTIVITY",IF(Q264="New Customer","NEW_CUSTOMER","RETURNED_CUSTOMER")),IF(LEFT(D264,1)="8",IF(G264="Declining",IF(T264="Engaged but shrinking (Key/Core)","ENGAGED_BUT_SHRINKING","DECLINING_KEY_CORE"),IF(R264="Established Buyer Lapsed","LAPSED_ESTABLISHED","LAPSED_THIN_HISTORY")),IF(S264,IF(P264&lt;&gt;"Recently Active","DORMANT_LOW_VALUE",IF(AG264,"BROWSING_LOW_OFFERS",IF(AH264,"RISING_TAIL","RISING_TAIL_EARLY"))),IF(AND(AG264,P264="Recently Active",OR(G264="Growing",G264="Stable",G264="H2 Active / No H1 GMV"),I264&gt;=Assumptions!$B$74),"BROWSING_LOW_OFFERS","LONG_TAIL_STANDARD"))))))))))</f>
        <v>LONG_TAIL_STANDARD</v>
      </c>
      <c r="AK264" s="2" t="str">
        <f aca="false">INDEX('NBA Library'!$B$4:$B$21,MATCH(AJ264,'NBA Library'!$A$4:$A$21,0))</f>
        <v>Automated Nurture</v>
      </c>
      <c r="AL264" s="2" t="str">
        <f aca="false">INDEX('NBA Library'!$C$4:$C$21,MATCH(AJ264,'NBA Library'!$A$4:$A$21,0))</f>
        <v>Automated</v>
      </c>
      <c r="AM264" s="2" t="str">
        <f aca="false">IF(AA264,"HOLD — Critical Data Issue",IF(Y264,"Human Sign-Off Required",IF(Z264="Manual Review","Human Review Required",IF(AND(AL264="Automated",OR(AE264,AND(OR(AK264="Discovery-to-Offer Enablement",AK264="Reinforce Successful Behaviour"),OR(AC264,AB264)))),"Human Review Required",IF(AL264="Human","Ready — Human",IF(AL264="Hybrid","Ready — Hybrid","Ready — Automated"))))))</f>
        <v>Ready — Automated</v>
      </c>
      <c r="AN264" s="2" t="str">
        <f aca="false">IF(AA264,"P0",IF(AND(AJ264="BROWSING_LOW_OFFERS",E264="Tail"),"P3",IF(AND(AM264="Human Review Required",INDEX('NBA Library'!$D$4:$D$21,MATCH(AJ264,'NBA Library'!$A$4:$A$21,0))="P4"),"P3",INDEX('NBA Library'!$D$4:$D$21,MATCH(AJ264,'NBA Library'!$A$4:$A$21,0)))))</f>
        <v>P4</v>
      </c>
      <c r="AO264" s="2" t="str">
        <f aca="false">E264&amp;" "&amp;C264&amp;" account ("&amp;B264&amp;"); "&amp;G264&amp;" momentum; "&amp;P264&amp;"; £"&amp;TEXT(H264,"#,##0")&amp;" 6m GMV. "&amp;INDEX('NBA Library'!$G$4:$G$21,MATCH(AJ264,'NBA Library'!$A$4:$A$21,0))&amp;IF(LEFT(D264,1)="1"," Baseline: "&amp;V264&amp;" PDP views, "&amp;W264&amp;" app days, "&amp;X264&amp;" offers, "&amp;TEXT(J264/I264,"0%")&amp;" of orders self-serve.","")&amp;IF(AA264," Execution on HOLD until the Duplicate status is resolved.","")&amp;IF(Y264," Key account: explicit AM/leadership sign-off required before any migration activity.","")&amp;IF(AE264," Implied broker % from order counts would move this account to a different segment; review before automating.","")</f>
        <v>Tail Self-Serve account (Self Serve); H2 Active / No H1 GMV momentum; Recently Active; £211 6m GMV. Low-value, low-dependency account. Scalable automated engagement.</v>
      </c>
      <c r="AP264" s="2" t="str">
        <f aca="false">INDEX('NBA Library'!$E$4:$E$21,MATCH(AJ264,'NBA Library'!$A$4:$A$21,0))&amp;IF(AND(AJ264="NEW_CUSTOMER",AG264),"; introduce Make-an-Offer on items already browsed","")</f>
        <v>Scalable automated engagement matched to nurture sub-context</v>
      </c>
      <c r="AQ264" s="2" t="str">
        <f aca="false">INDEX('NBA Library'!$F$4:$F$21,MATCH(AJ264,'NBA Library'!$A$4:$A$21,0))</f>
        <v>Any repeat order within 90 days</v>
      </c>
      <c r="AR264" s="2" t="str">
        <f aca="false">IF(AND(F264="Low",OR(G264="Growing",G264="Stable"),P264="Recently Active",U264&lt;&gt;"Mixed",OR(AK264="Discovery-to-Offer Enablement",AK264="Reinforce Successful Behaviour"),AM264="Ready — Automated",OR(E264&lt;&gt;"Tail",S264)),"Range Expansion Test — trial "&amp;IF(U264="Bundle-only","handpick","bundles")&amp;" (experimental; not proven to lift GMV)","")</f>
        <v/>
      </c>
      <c r="AS264" s="2" t="str">
        <f aca="false">IF(AK264&lt;&gt;"Automated Nurture","",IF(AJ264="DORMANT_LOW_VALUE","Dormant",IF(AJ264="RISING_TAIL_EARLY","Rising tail – early pattern",IF(Q264="New Customer","New customer onboarding",IF(Q264="Returned Customer","Returned customer",IF(G264="Lapsed","Dormant",IF(T264="Engaged, not converting","Engaged, not converting",IF(T264="One-off low-touch buyer","One-off purchaser",IF(T264="Light-touch repeat buyer","Light-touch repeat buyer","Standard long tail")))))))))</f>
        <v>New customer onboarding</v>
      </c>
      <c r="AT264" s="2" t="str">
        <f aca="false">IF(AA264,"CRITICAL_DATA_BLOCKER; ","")&amp;IF(Y264,"KEY_SIGNOFF; ","")&amp;IF(Z264="Manual Review","PHASE1_MANUAL_REVIEW; ","")&amp;IF(AND(LEFT(D264,1)="1",AZ264="Lumpy"),"LUMPY_CADENCE; ","")&amp;IF(AB264,"BORDERLINE_MOMENTUM; ","")&amp;IF(AC264,"FEB_SENSITIVE; ","")&amp;IF(AD264,"MATERIAL_BROKER_INCONSISTENCY"&amp;IF(AE264," (segment would change)","")&amp;"; ","")&amp;IF(AND(I264&gt;=3,O264&gt;0),IF(AI264&gt;=Assumptions!$B$75,"H2_SINGLE_MONTH_SPIKE; ",""),"")&amp;IF(AND(M264&gt;0,N264=0),"NO_FEB_GMV (Feb unconfirmed); ","")&amp;IF(AF264,"LOW_CONFIDENCE; ","")</f>
        <v>FEB_SENSITIVE; LOW_CONFIDENCE; </v>
      </c>
      <c r="AU264" s="2" t="str">
        <f aca="false">IF(LEFT(D264,1)="1",V264,"")</f>
        <v/>
      </c>
      <c r="AV264" s="2" t="str">
        <f aca="false">IF(LEFT(D264,1)="1",V264&gt;=Assumptions!$B$58,"")</f>
        <v/>
      </c>
      <c r="AW264" s="2" t="str">
        <f aca="false">IF(LEFT(D264,1)="1",W264,"")</f>
        <v/>
      </c>
      <c r="AX264" s="2" t="str">
        <f aca="false">IF(LEFT(D264,1)="1",X264,"")</f>
        <v/>
      </c>
      <c r="AY264" s="17" t="str">
        <f aca="false">IF(LEFT(D264,1)="1",J264/I264,"")</f>
        <v/>
      </c>
      <c r="AZ264" s="2" t="str">
        <f aca="false">IF(LEFT(D264,1)="1",IF(AND(K264&gt;=Assumptions!$B$83,I264&gt;=Assumptions!$B$84),"Regular","Lumpy"),"")</f>
        <v/>
      </c>
      <c r="BA264" s="2" t="str">
        <f aca="false">IF(LEFT(D264,1)="1",ROUND(6/K264,0),"")</f>
        <v/>
      </c>
      <c r="BB264" s="2" t="str">
        <f aca="false">IF(LEFT(D264,1)="1",IF(AZ264="Regular","Regular buyer: expected ~£"&amp;TEXT(H264/2,"#,##0")&amp;" per 90 days. At Risk if GMV to date &lt; "&amp;TEXT(Assumptions!$B$81,"0%")&amp;" of pro-rated expectation, checked from day "&amp;Assumptions!$B$82&amp;". Human-reviewed.","Irregular buyer ("&amp;I264&amp;" orders across "&amp;K264&amp;" months): no numeric GMV threshold. At Risk if no order within ~"&amp;BA264&amp;" month(s); AM reviews at day "&amp;Assumptions!$B$82&amp;" and "&amp;Assumptions!$B$85&amp;"."),"")</f>
        <v/>
      </c>
      <c r="BC264" s="2"/>
      <c r="BD264" s="2"/>
      <c r="BE264" s="2"/>
      <c r="BF264" s="2"/>
      <c r="BG264" s="2"/>
      <c r="BH264" s="2"/>
      <c r="BI264" s="2"/>
      <c r="BJ264" s="2" t="str">
        <f aca="false">IF(OR(NOT(LEFT(D264,1)="1"),BC264=""),"",IF(AZ264="Regular",AND(BC264&gt;=Assumptions!$B$82,N(BI264)&lt;Assumptions!$B$81*H264/180*BC264),AND(BC264&gt;=BA264*30,N(BG264)=0)))</f>
        <v/>
      </c>
      <c r="BK264" s="2" t="str">
        <f aca="false">IF(NOT(LEFT(D264,1)="1"),"N/A",IF(BC264="","Baseline",IF(BJ264,"At Risk",IF(AND(N(BD264)&gt;=Assumptions!$B$78,N(BE264)&gt;=Assumptions!$B$79,N(BH264)&gt;=1,N(BH264)/MAX(N(BG264),1)&gt;AY264),"Self-Serve Capability Demonstrated",IF(OR(N(BD264)&gt;=Assumptions!$B$76,N(BE264)&gt;=Assumptions!$B$77),"Progressing",IF(BC264&gt;=Assumptions!$B$85,"At Risk","Baseline"))))))</f>
        <v>N/A</v>
      </c>
      <c r="BL264" s="2" t="n">
        <f aca="false">(AND(C264="Broker-Reliant",OR(AK264="Discovery-to-Offer Enablement",AK264="Reinforce Successful Behaviour")))*1+(AND(G264="Declining",E264&lt;&gt;"Tail",AL264="Automated"))*1+(AND(Y264,AM264&lt;&gt;"Human Sign-Off Required"))*1+(AND(AA264,AM264&lt;&gt;"HOLD — Critical Data Issue"))*1+(AND(P264="Recent Inactivity",OR(AK264="Discovery-to-Offer Enablement",AK264="Reinforce Successful Behaviour")))*1+(AND(OR(LEFT(D264,1)="2",LEFT(D264,1)="3",LEFT(D264,1)="8"),AL264="Automated"))*1+((LEFT(D264,1)="1")&lt;&gt;(AK264="Guided Self-Serve Migration"))*1+(AND(AR264&lt;&gt;"",OR(F264&lt;&gt;"Low",U264="Mixed",AND(G264&lt;&gt;"Growing",G264&lt;&gt;"Stable"))))*1+ISNUMBER(SEARCH("chat",AP264))*1+ISNUMBER(SEARCH("video",AP264))*1+(AND(AA264,AL264="Automated",AM264&lt;&gt;"HOLD — Critical Data Issue"))*1</f>
        <v>0</v>
      </c>
    </row>
    <row r="265" customFormat="false" ht="15" hidden="false" customHeight="false" outlineLevel="0" collapsed="false">
      <c r="A265" s="2" t="s">
        <v>860</v>
      </c>
      <c r="B265" s="2" t="str">
        <f aca="false">INDEX(Segmentation!$B$2:$B$301,MATCH($A265,Segmentation!$A$2:$A$301,0))</f>
        <v>Self Serve</v>
      </c>
      <c r="C265" s="2" t="str">
        <f aca="false">INDEX(Segmentation!$H$2:$H$301,MATCH($A265,Segmentation!$A$2:$A$301,0))</f>
        <v>Self-Serve</v>
      </c>
      <c r="D265" s="2" t="str">
        <f aca="false">INDEX(Segmentation!$T$2:$T$301,MATCH($A265,Segmentation!$A$2:$A$301,0))</f>
        <v>9. Long-Tail Automated Nurture</v>
      </c>
      <c r="E265" s="2" t="str">
        <f aca="false">INDEX(Segmentation!$J$2:$J$301,MATCH($A265,Segmentation!$A$2:$A$301,0))</f>
        <v>Tail</v>
      </c>
      <c r="F265" s="2" t="str">
        <f aca="false">INDEX(Segmentation!$G$2:$G$301,MATCH($A265,Segmentation!$A$2:$A$301,0))</f>
        <v>Low</v>
      </c>
      <c r="G265" s="2" t="str">
        <f aca="false">INDEX(Segmentation!$N$2:$N$301,MATCH($A265,Segmentation!$A$2:$A$301,0))</f>
        <v>H2 Active / No H1 GMV</v>
      </c>
      <c r="H265" s="9" t="n">
        <f aca="false">INDEX(Segmentation!$I$2:$I$301,MATCH($A265,Segmentation!$A$2:$A$301,0))</f>
        <v>209</v>
      </c>
      <c r="I265" s="2" t="n">
        <f aca="false">INDEX(Segmentation!$O$2:$O$301,MATCH($A265,Segmentation!$A$2:$A$301,0))</f>
        <v>1</v>
      </c>
      <c r="J265" s="2" t="n">
        <f aca="false">INDEX(Segmentation!$Q$2:$Q$301,MATCH($A265,Segmentation!$A$2:$A$301,0))</f>
        <v>1</v>
      </c>
      <c r="K265" s="2" t="n">
        <f aca="false">INDEX(Segmentation!$W$2:$W$301,MATCH($A265,Segmentation!$A$2:$A$301,0))</f>
        <v>1</v>
      </c>
      <c r="L265" s="9" t="n">
        <f aca="false">INDEX('Commercial View'!$L$2:$L$301,MATCH($A265,'Commercial View'!$A$2:$A$301,0))</f>
        <v>0</v>
      </c>
      <c r="M265" s="9" t="n">
        <f aca="false">INDEX('Commercial View'!$M$2:$M$301,MATCH($A265,'Commercial View'!$A$2:$A$301,0))</f>
        <v>209</v>
      </c>
      <c r="N265" s="9" t="n">
        <f aca="false">INDEX('Commercial View'!$N$2:$N$301,MATCH($A265,'Commercial View'!$A$2:$A$301,0))</f>
        <v>0</v>
      </c>
      <c r="O265" s="9" t="n">
        <f aca="false">INDEX(Segmentation!$L$2:$L$301,MATCH($A265,Segmentation!$A$2:$A$301,0))</f>
        <v>209</v>
      </c>
      <c r="P265" s="2" t="str">
        <f aca="false">IF(OR(M265&gt;0,N265&gt;0),"Recently Active",IF(OR(I265&lt;=Assumptions!$B$48,K265&lt;=Assumptions!$B$49),"No Meaningful History","Recent Inactivity"))</f>
        <v>Recently Active</v>
      </c>
      <c r="Q265" s="2" t="str">
        <f aca="false">INDEX(Segmentation!$AF$2:$AF$301,MATCH($A265,Segmentation!$A$2:$A$301,0))</f>
        <v>New Customer</v>
      </c>
      <c r="R265" s="2" t="str">
        <f aca="false">INDEX(Segmentation!$AL$2:$AL$301,MATCH($A265,Segmentation!$A$2:$A$301,0))</f>
        <v>N/A</v>
      </c>
      <c r="S265" s="10" t="b">
        <f aca="false">INDEX(Segmentation!$AW$2:$AW$301,MATCH($A265,Segmentation!$A$2:$A$301,0))</f>
        <v>0</v>
      </c>
      <c r="T265" s="2" t="str">
        <f aca="false">INDEX('Feature Data'!$AD$2:$AD$301,MATCH($A265,'Feature Data'!$A$2:$A$301,0))</f>
        <v>One-off low-touch buyer</v>
      </c>
      <c r="U265" s="2" t="str">
        <f aca="false">INDEX('Feature Data'!$W$2:$W$301,MATCH($A265,'Feature Data'!$A$2:$A$301,0))</f>
        <v>Bundle-only</v>
      </c>
      <c r="V265" s="2" t="n">
        <f aca="false">INDEX('Feature Data'!$P$2:$P$301,MATCH($A265,'Feature Data'!$A$2:$A$301,0))</f>
        <v>10</v>
      </c>
      <c r="W265" s="2" t="n">
        <f aca="false">INDEX(Segmentation!$R$2:$R$301,MATCH($A265,Segmentation!$A$2:$A$301,0))</f>
        <v>4</v>
      </c>
      <c r="X265" s="2" t="n">
        <f aca="false">INDEX(Segmentation!$S$2:$S$301,MATCH($A265,Segmentation!$A$2:$A$301,0))</f>
        <v>0</v>
      </c>
      <c r="Y265" s="10" t="b">
        <f aca="false">INDEX(Segmentation!$AG$2:$AG$301,MATCH($A265,Segmentation!$A$2:$A$301,0))</f>
        <v>0</v>
      </c>
      <c r="Z265" s="2" t="str">
        <f aca="false">INDEX(Segmentation!$AU$2:$AU$301,MATCH($A265,Segmentation!$A$2:$A$301,0))</f>
        <v>Not Eligible</v>
      </c>
      <c r="AA265" s="10" t="b">
        <f aca="false">INDEX(Segmentation!$Z$2:$Z$301,MATCH($A265,Segmentation!$A$2:$A$301,0))</f>
        <v>0</v>
      </c>
      <c r="AB265" s="10" t="b">
        <f aca="false">INDEX(Segmentation!$AH$2:$AH$301,MATCH($A265,Segmentation!$A$2:$A$301,0))</f>
        <v>0</v>
      </c>
      <c r="AC265" s="10" t="b">
        <f aca="false">INDEX(Segmentation!$AK$2:$AK$301,MATCH($A265,Segmentation!$A$2:$A$301,0))</f>
        <v>0</v>
      </c>
      <c r="AD265" s="10" t="b">
        <f aca="false">INDEX(Segmentation!$AQ$2:$AQ$301,MATCH($A265,Segmentation!$A$2:$A$301,0))</f>
        <v>0</v>
      </c>
      <c r="AE265" s="10" t="b">
        <f aca="false">INDEX(Segmentation!$AT$2:$AT$301,MATCH($A265,Segmentation!$A$2:$A$301,0))</f>
        <v>0</v>
      </c>
      <c r="AF265" s="10" t="b">
        <f aca="false">INDEX(Segmentation!$X$2:$X$301,MATCH($A265,Segmentation!$A$2:$A$301,0))</f>
        <v>1</v>
      </c>
      <c r="AG265" s="10" t="b">
        <f aca="false">AND(F265="Low",V265&gt;=Assumptions!$B$71,X265&lt;Assumptions!$B$72)</f>
        <v>0</v>
      </c>
      <c r="AH265" s="10" t="b">
        <f aca="false">AND(F265="Low",OR(G265="Growing",G265="Stable"),P265="Recently Active",V265&gt;=Assumptions!$B$58,K265&gt;=Assumptions!$B$73)</f>
        <v>0</v>
      </c>
      <c r="AI265" s="17" t="n">
        <f aca="false">IF(O265&gt;0,MAX(L265:N265)/O265,"")</f>
        <v>1</v>
      </c>
      <c r="AJ265" s="2" t="str">
        <f aca="false">IF(LEFT(D265,1)="1",IF(E265="Key","MIGRATION_KEY_SIGNOFF",IF(Z265="Ready","MIGRATION_PHASE1_READY",IF(Z265="Manual Review","MIGRATION_PHASE1_REVIEW","MIGRATION_PRE_ENTRY"))),IF(LEFT(D265,1)="2","DECLINING_KEY_CORE",IF(LEFT(D265,1)="3",IF(R265="Established Buyer Lapsed","LAPSED_ESTABLISHED","LAPSED_THIN_HISTORY"),IF(LEFT(D265,1)="4",IF(Q265="New Customer","NEW_CUSTOMER","RETURNED_CUSTOMER"),IF(LEFT(D265,1)="5",IF(P265="Recently Active","COST_TO_SERVE_ACTIVE","DORMANT_LOW_VALUE"),IF(LEFT(D265,1)="6",IF(P265="Recent Inactivity","RECENT_INACTIVITY",IF(AG265,"BROWSING_LOW_OFFERS","HEALTHY_STRONG_SELF_SERVE")),IF(LEFT(D265,1)="7",IF(P265="Recent Inactivity","RECENT_INACTIVITY",IF(Q265="New Customer","NEW_CUSTOMER","RETURNED_CUSTOMER")),IF(LEFT(D265,1)="8",IF(G265="Declining",IF(T265="Engaged but shrinking (Key/Core)","ENGAGED_BUT_SHRINKING","DECLINING_KEY_CORE"),IF(R265="Established Buyer Lapsed","LAPSED_ESTABLISHED","LAPSED_THIN_HISTORY")),IF(S265,IF(P265&lt;&gt;"Recently Active","DORMANT_LOW_VALUE",IF(AG265,"BROWSING_LOW_OFFERS",IF(AH265,"RISING_TAIL","RISING_TAIL_EARLY"))),IF(AND(AG265,P265="Recently Active",OR(G265="Growing",G265="Stable",G265="H2 Active / No H1 GMV"),I265&gt;=Assumptions!$B$74),"BROWSING_LOW_OFFERS","LONG_TAIL_STANDARD"))))))))))</f>
        <v>LONG_TAIL_STANDARD</v>
      </c>
      <c r="AK265" s="2" t="str">
        <f aca="false">INDEX('NBA Library'!$B$4:$B$21,MATCH(AJ265,'NBA Library'!$A$4:$A$21,0))</f>
        <v>Automated Nurture</v>
      </c>
      <c r="AL265" s="2" t="str">
        <f aca="false">INDEX('NBA Library'!$C$4:$C$21,MATCH(AJ265,'NBA Library'!$A$4:$A$21,0))</f>
        <v>Automated</v>
      </c>
      <c r="AM265" s="2" t="str">
        <f aca="false">IF(AA265,"HOLD — Critical Data Issue",IF(Y265,"Human Sign-Off Required",IF(Z265="Manual Review","Human Review Required",IF(AND(AL265="Automated",OR(AE265,AND(OR(AK265="Discovery-to-Offer Enablement",AK265="Reinforce Successful Behaviour"),OR(AC265,AB265)))),"Human Review Required",IF(AL265="Human","Ready — Human",IF(AL265="Hybrid","Ready — Hybrid","Ready — Automated"))))))</f>
        <v>Ready — Automated</v>
      </c>
      <c r="AN265" s="2" t="str">
        <f aca="false">IF(AA265,"P0",IF(AND(AJ265="BROWSING_LOW_OFFERS",E265="Tail"),"P3",IF(AND(AM265="Human Review Required",INDEX('NBA Library'!$D$4:$D$21,MATCH(AJ265,'NBA Library'!$A$4:$A$21,0))="P4"),"P3",INDEX('NBA Library'!$D$4:$D$21,MATCH(AJ265,'NBA Library'!$A$4:$A$21,0)))))</f>
        <v>P4</v>
      </c>
      <c r="AO265" s="2" t="str">
        <f aca="false">E265&amp;" "&amp;C265&amp;" account ("&amp;B265&amp;"); "&amp;G265&amp;" momentum; "&amp;P265&amp;"; £"&amp;TEXT(H265,"#,##0")&amp;" 6m GMV. "&amp;INDEX('NBA Library'!$G$4:$G$21,MATCH(AJ265,'NBA Library'!$A$4:$A$21,0))&amp;IF(LEFT(D265,1)="1"," Baseline: "&amp;V265&amp;" PDP views, "&amp;W265&amp;" app days, "&amp;X265&amp;" offers, "&amp;TEXT(J265/I265,"0%")&amp;" of orders self-serve.","")&amp;IF(AA265," Execution on HOLD until the Duplicate status is resolved.","")&amp;IF(Y265," Key account: explicit AM/leadership sign-off required before any migration activity.","")&amp;IF(AE265," Implied broker % from order counts would move this account to a different segment; review before automating.","")</f>
        <v>Tail Self-Serve account (Self Serve); H2 Active / No H1 GMV momentum; Recently Active; £209 6m GMV. Low-value, low-dependency account. Scalable automated engagement.</v>
      </c>
      <c r="AP265" s="2" t="str">
        <f aca="false">INDEX('NBA Library'!$E$4:$E$21,MATCH(AJ265,'NBA Library'!$A$4:$A$21,0))&amp;IF(AND(AJ265="NEW_CUSTOMER",AG265),"; introduce Make-an-Offer on items already browsed","")</f>
        <v>Scalable automated engagement matched to nurture sub-context</v>
      </c>
      <c r="AQ265" s="2" t="str">
        <f aca="false">INDEX('NBA Library'!$F$4:$F$21,MATCH(AJ265,'NBA Library'!$A$4:$A$21,0))</f>
        <v>Any repeat order within 90 days</v>
      </c>
      <c r="AR265" s="2" t="str">
        <f aca="false">IF(AND(F265="Low",OR(G265="Growing",G265="Stable"),P265="Recently Active",U265&lt;&gt;"Mixed",OR(AK265="Discovery-to-Offer Enablement",AK265="Reinforce Successful Behaviour"),AM265="Ready — Automated",OR(E265&lt;&gt;"Tail",S265)),"Range Expansion Test — trial "&amp;IF(U265="Bundle-only","handpick","bundles")&amp;" (experimental; not proven to lift GMV)","")</f>
        <v/>
      </c>
      <c r="AS265" s="2" t="str">
        <f aca="false">IF(AK265&lt;&gt;"Automated Nurture","",IF(AJ265="DORMANT_LOW_VALUE","Dormant",IF(AJ265="RISING_TAIL_EARLY","Rising tail – early pattern",IF(Q265="New Customer","New customer onboarding",IF(Q265="Returned Customer","Returned customer",IF(G265="Lapsed","Dormant",IF(T265="Engaged, not converting","Engaged, not converting",IF(T265="One-off low-touch buyer","One-off purchaser",IF(T265="Light-touch repeat buyer","Light-touch repeat buyer","Standard long tail")))))))))</f>
        <v>New customer onboarding</v>
      </c>
      <c r="AT265" s="2" t="str">
        <f aca="false">IF(AA265,"CRITICAL_DATA_BLOCKER; ","")&amp;IF(Y265,"KEY_SIGNOFF; ","")&amp;IF(Z265="Manual Review","PHASE1_MANUAL_REVIEW; ","")&amp;IF(AND(LEFT(D265,1)="1",AZ265="Lumpy"),"LUMPY_CADENCE; ","")&amp;IF(AB265,"BORDERLINE_MOMENTUM; ","")&amp;IF(AC265,"FEB_SENSITIVE; ","")&amp;IF(AD265,"MATERIAL_BROKER_INCONSISTENCY"&amp;IF(AE265," (segment would change)","")&amp;"; ","")&amp;IF(AND(I265&gt;=3,O265&gt;0),IF(AI265&gt;=Assumptions!$B$75,"H2_SINGLE_MONTH_SPIKE; ",""),"")&amp;IF(AND(M265&gt;0,N265=0),"NO_FEB_GMV (Feb unconfirmed); ","")&amp;IF(AF265,"LOW_CONFIDENCE; ","")</f>
        <v>NO_FEB_GMV (Feb unconfirmed); LOW_CONFIDENCE; </v>
      </c>
      <c r="AU265" s="2" t="str">
        <f aca="false">IF(LEFT(D265,1)="1",V265,"")</f>
        <v/>
      </c>
      <c r="AV265" s="2" t="str">
        <f aca="false">IF(LEFT(D265,1)="1",V265&gt;=Assumptions!$B$58,"")</f>
        <v/>
      </c>
      <c r="AW265" s="2" t="str">
        <f aca="false">IF(LEFT(D265,1)="1",W265,"")</f>
        <v/>
      </c>
      <c r="AX265" s="2" t="str">
        <f aca="false">IF(LEFT(D265,1)="1",X265,"")</f>
        <v/>
      </c>
      <c r="AY265" s="17" t="str">
        <f aca="false">IF(LEFT(D265,1)="1",J265/I265,"")</f>
        <v/>
      </c>
      <c r="AZ265" s="2" t="str">
        <f aca="false">IF(LEFT(D265,1)="1",IF(AND(K265&gt;=Assumptions!$B$83,I265&gt;=Assumptions!$B$84),"Regular","Lumpy"),"")</f>
        <v/>
      </c>
      <c r="BA265" s="2" t="str">
        <f aca="false">IF(LEFT(D265,1)="1",ROUND(6/K265,0),"")</f>
        <v/>
      </c>
      <c r="BB265" s="2" t="str">
        <f aca="false">IF(LEFT(D265,1)="1",IF(AZ265="Regular","Regular buyer: expected ~£"&amp;TEXT(H265/2,"#,##0")&amp;" per 90 days. At Risk if GMV to date &lt; "&amp;TEXT(Assumptions!$B$81,"0%")&amp;" of pro-rated expectation, checked from day "&amp;Assumptions!$B$82&amp;". Human-reviewed.","Irregular buyer ("&amp;I265&amp;" orders across "&amp;K265&amp;" months): no numeric GMV threshold. At Risk if no order within ~"&amp;BA265&amp;" month(s); AM reviews at day "&amp;Assumptions!$B$82&amp;" and "&amp;Assumptions!$B$85&amp;"."),"")</f>
        <v/>
      </c>
      <c r="BC265" s="2"/>
      <c r="BD265" s="2"/>
      <c r="BE265" s="2"/>
      <c r="BF265" s="2"/>
      <c r="BG265" s="2"/>
      <c r="BH265" s="2"/>
      <c r="BI265" s="2"/>
      <c r="BJ265" s="2" t="str">
        <f aca="false">IF(OR(NOT(LEFT(D265,1)="1"),BC265=""),"",IF(AZ265="Regular",AND(BC265&gt;=Assumptions!$B$82,N(BI265)&lt;Assumptions!$B$81*H265/180*BC265),AND(BC265&gt;=BA265*30,N(BG265)=0)))</f>
        <v/>
      </c>
      <c r="BK265" s="2" t="str">
        <f aca="false">IF(NOT(LEFT(D265,1)="1"),"N/A",IF(BC265="","Baseline",IF(BJ265,"At Risk",IF(AND(N(BD265)&gt;=Assumptions!$B$78,N(BE265)&gt;=Assumptions!$B$79,N(BH265)&gt;=1,N(BH265)/MAX(N(BG265),1)&gt;AY265),"Self-Serve Capability Demonstrated",IF(OR(N(BD265)&gt;=Assumptions!$B$76,N(BE265)&gt;=Assumptions!$B$77),"Progressing",IF(BC265&gt;=Assumptions!$B$85,"At Risk","Baseline"))))))</f>
        <v>N/A</v>
      </c>
      <c r="BL265" s="2" t="n">
        <f aca="false">(AND(C265="Broker-Reliant",OR(AK265="Discovery-to-Offer Enablement",AK265="Reinforce Successful Behaviour")))*1+(AND(G265="Declining",E265&lt;&gt;"Tail",AL265="Automated"))*1+(AND(Y265,AM265&lt;&gt;"Human Sign-Off Required"))*1+(AND(AA265,AM265&lt;&gt;"HOLD — Critical Data Issue"))*1+(AND(P265="Recent Inactivity",OR(AK265="Discovery-to-Offer Enablement",AK265="Reinforce Successful Behaviour")))*1+(AND(OR(LEFT(D265,1)="2",LEFT(D265,1)="3",LEFT(D265,1)="8"),AL265="Automated"))*1+((LEFT(D265,1)="1")&lt;&gt;(AK265="Guided Self-Serve Migration"))*1+(AND(AR265&lt;&gt;"",OR(F265&lt;&gt;"Low",U265="Mixed",AND(G265&lt;&gt;"Growing",G265&lt;&gt;"Stable"))))*1+ISNUMBER(SEARCH("chat",AP265))*1+ISNUMBER(SEARCH("video",AP265))*1+(AND(AA265,AL265="Automated",AM265&lt;&gt;"HOLD — Critical Data Issue"))*1</f>
        <v>0</v>
      </c>
    </row>
    <row r="266" customFormat="false" ht="15" hidden="false" customHeight="false" outlineLevel="0" collapsed="false">
      <c r="A266" s="2" t="s">
        <v>868</v>
      </c>
      <c r="B266" s="2" t="str">
        <f aca="false">INDEX(Segmentation!$B$2:$B$301,MATCH($A266,Segmentation!$A$2:$A$301,0))</f>
        <v>Self Serve</v>
      </c>
      <c r="C266" s="2" t="str">
        <f aca="false">INDEX(Segmentation!$H$2:$H$301,MATCH($A266,Segmentation!$A$2:$A$301,0))</f>
        <v>Self-Serve</v>
      </c>
      <c r="D266" s="2" t="str">
        <f aca="false">INDEX(Segmentation!$T$2:$T$301,MATCH($A266,Segmentation!$A$2:$A$301,0))</f>
        <v>9. Long-Tail Automated Nurture</v>
      </c>
      <c r="E266" s="2" t="str">
        <f aca="false">INDEX(Segmentation!$J$2:$J$301,MATCH($A266,Segmentation!$A$2:$A$301,0))</f>
        <v>Tail</v>
      </c>
      <c r="F266" s="2" t="str">
        <f aca="false">INDEX(Segmentation!$G$2:$G$301,MATCH($A266,Segmentation!$A$2:$A$301,0))</f>
        <v>Low</v>
      </c>
      <c r="G266" s="2" t="str">
        <f aca="false">INDEX(Segmentation!$N$2:$N$301,MATCH($A266,Segmentation!$A$2:$A$301,0))</f>
        <v>H2 Active / No H1 GMV</v>
      </c>
      <c r="H266" s="9" t="n">
        <f aca="false">INDEX(Segmentation!$I$2:$I$301,MATCH($A266,Segmentation!$A$2:$A$301,0))</f>
        <v>196</v>
      </c>
      <c r="I266" s="2" t="n">
        <f aca="false">INDEX(Segmentation!$O$2:$O$301,MATCH($A266,Segmentation!$A$2:$A$301,0))</f>
        <v>1</v>
      </c>
      <c r="J266" s="2" t="n">
        <f aca="false">INDEX(Segmentation!$Q$2:$Q$301,MATCH($A266,Segmentation!$A$2:$A$301,0))</f>
        <v>1</v>
      </c>
      <c r="K266" s="2" t="n">
        <f aca="false">INDEX(Segmentation!$W$2:$W$301,MATCH($A266,Segmentation!$A$2:$A$301,0))</f>
        <v>1</v>
      </c>
      <c r="L266" s="9" t="n">
        <f aca="false">INDEX('Commercial View'!$L$2:$L$301,MATCH($A266,'Commercial View'!$A$2:$A$301,0))</f>
        <v>0</v>
      </c>
      <c r="M266" s="9" t="n">
        <f aca="false">INDEX('Commercial View'!$M$2:$M$301,MATCH($A266,'Commercial View'!$A$2:$A$301,0))</f>
        <v>196</v>
      </c>
      <c r="N266" s="9" t="n">
        <f aca="false">INDEX('Commercial View'!$N$2:$N$301,MATCH($A266,'Commercial View'!$A$2:$A$301,0))</f>
        <v>0</v>
      </c>
      <c r="O266" s="9" t="n">
        <f aca="false">INDEX(Segmentation!$L$2:$L$301,MATCH($A266,Segmentation!$A$2:$A$301,0))</f>
        <v>196</v>
      </c>
      <c r="P266" s="2" t="str">
        <f aca="false">IF(OR(M266&gt;0,N266&gt;0),"Recently Active",IF(OR(I266&lt;=Assumptions!$B$48,K266&lt;=Assumptions!$B$49),"No Meaningful History","Recent Inactivity"))</f>
        <v>Recently Active</v>
      </c>
      <c r="Q266" s="2" t="str">
        <f aca="false">INDEX(Segmentation!$AF$2:$AF$301,MATCH($A266,Segmentation!$A$2:$A$301,0))</f>
        <v>New Customer</v>
      </c>
      <c r="R266" s="2" t="str">
        <f aca="false">INDEX(Segmentation!$AL$2:$AL$301,MATCH($A266,Segmentation!$A$2:$A$301,0))</f>
        <v>N/A</v>
      </c>
      <c r="S266" s="10" t="b">
        <f aca="false">INDEX(Segmentation!$AW$2:$AW$301,MATCH($A266,Segmentation!$A$2:$A$301,0))</f>
        <v>0</v>
      </c>
      <c r="T266" s="2" t="str">
        <f aca="false">INDEX('Feature Data'!$AD$2:$AD$301,MATCH($A266,'Feature Data'!$A$2:$A$301,0))</f>
        <v>One-off low-touch buyer</v>
      </c>
      <c r="U266" s="2" t="str">
        <f aca="false">INDEX('Feature Data'!$W$2:$W$301,MATCH($A266,'Feature Data'!$A$2:$A$301,0))</f>
        <v>Handpick-only</v>
      </c>
      <c r="V266" s="2" t="n">
        <f aca="false">INDEX('Feature Data'!$P$2:$P$301,MATCH($A266,'Feature Data'!$A$2:$A$301,0))</f>
        <v>110</v>
      </c>
      <c r="W266" s="2" t="n">
        <f aca="false">INDEX(Segmentation!$R$2:$R$301,MATCH($A266,Segmentation!$A$2:$A$301,0))</f>
        <v>8</v>
      </c>
      <c r="X266" s="2" t="n">
        <f aca="false">INDEX(Segmentation!$S$2:$S$301,MATCH($A266,Segmentation!$A$2:$A$301,0))</f>
        <v>0</v>
      </c>
      <c r="Y266" s="10" t="b">
        <f aca="false">INDEX(Segmentation!$AG$2:$AG$301,MATCH($A266,Segmentation!$A$2:$A$301,0))</f>
        <v>0</v>
      </c>
      <c r="Z266" s="2" t="str">
        <f aca="false">INDEX(Segmentation!$AU$2:$AU$301,MATCH($A266,Segmentation!$A$2:$A$301,0))</f>
        <v>Not Eligible</v>
      </c>
      <c r="AA266" s="10" t="b">
        <f aca="false">INDEX(Segmentation!$Z$2:$Z$301,MATCH($A266,Segmentation!$A$2:$A$301,0))</f>
        <v>0</v>
      </c>
      <c r="AB266" s="10" t="b">
        <f aca="false">INDEX(Segmentation!$AH$2:$AH$301,MATCH($A266,Segmentation!$A$2:$A$301,0))</f>
        <v>0</v>
      </c>
      <c r="AC266" s="10" t="b">
        <f aca="false">INDEX(Segmentation!$AK$2:$AK$301,MATCH($A266,Segmentation!$A$2:$A$301,0))</f>
        <v>0</v>
      </c>
      <c r="AD266" s="10" t="b">
        <f aca="false">INDEX(Segmentation!$AQ$2:$AQ$301,MATCH($A266,Segmentation!$A$2:$A$301,0))</f>
        <v>0</v>
      </c>
      <c r="AE266" s="10" t="b">
        <f aca="false">INDEX(Segmentation!$AT$2:$AT$301,MATCH($A266,Segmentation!$A$2:$A$301,0))</f>
        <v>0</v>
      </c>
      <c r="AF266" s="10" t="b">
        <f aca="false">INDEX(Segmentation!$X$2:$X$301,MATCH($A266,Segmentation!$A$2:$A$301,0))</f>
        <v>1</v>
      </c>
      <c r="AG266" s="10" t="b">
        <f aca="false">AND(F266="Low",V266&gt;=Assumptions!$B$71,X266&lt;Assumptions!$B$72)</f>
        <v>1</v>
      </c>
      <c r="AH266" s="10" t="b">
        <f aca="false">AND(F266="Low",OR(G266="Growing",G266="Stable"),P266="Recently Active",V266&gt;=Assumptions!$B$58,K266&gt;=Assumptions!$B$73)</f>
        <v>0</v>
      </c>
      <c r="AI266" s="17" t="n">
        <f aca="false">IF(O266&gt;0,MAX(L266:N266)/O266,"")</f>
        <v>1</v>
      </c>
      <c r="AJ266" s="2" t="str">
        <f aca="false">IF(LEFT(D266,1)="1",IF(E266="Key","MIGRATION_KEY_SIGNOFF",IF(Z266="Ready","MIGRATION_PHASE1_READY",IF(Z266="Manual Review","MIGRATION_PHASE1_REVIEW","MIGRATION_PRE_ENTRY"))),IF(LEFT(D266,1)="2","DECLINING_KEY_CORE",IF(LEFT(D266,1)="3",IF(R266="Established Buyer Lapsed","LAPSED_ESTABLISHED","LAPSED_THIN_HISTORY"),IF(LEFT(D266,1)="4",IF(Q266="New Customer","NEW_CUSTOMER","RETURNED_CUSTOMER"),IF(LEFT(D266,1)="5",IF(P266="Recently Active","COST_TO_SERVE_ACTIVE","DORMANT_LOW_VALUE"),IF(LEFT(D266,1)="6",IF(P266="Recent Inactivity","RECENT_INACTIVITY",IF(AG266,"BROWSING_LOW_OFFERS","HEALTHY_STRONG_SELF_SERVE")),IF(LEFT(D266,1)="7",IF(P266="Recent Inactivity","RECENT_INACTIVITY",IF(Q266="New Customer","NEW_CUSTOMER","RETURNED_CUSTOMER")),IF(LEFT(D266,1)="8",IF(G266="Declining",IF(T266="Engaged but shrinking (Key/Core)","ENGAGED_BUT_SHRINKING","DECLINING_KEY_CORE"),IF(R266="Established Buyer Lapsed","LAPSED_ESTABLISHED","LAPSED_THIN_HISTORY")),IF(S266,IF(P266&lt;&gt;"Recently Active","DORMANT_LOW_VALUE",IF(AG266,"BROWSING_LOW_OFFERS",IF(AH266,"RISING_TAIL","RISING_TAIL_EARLY"))),IF(AND(AG266,P266="Recently Active",OR(G266="Growing",G266="Stable",G266="H2 Active / No H1 GMV"),I266&gt;=Assumptions!$B$74),"BROWSING_LOW_OFFERS","LONG_TAIL_STANDARD"))))))))))</f>
        <v>LONG_TAIL_STANDARD</v>
      </c>
      <c r="AK266" s="2" t="str">
        <f aca="false">INDEX('NBA Library'!$B$4:$B$21,MATCH(AJ266,'NBA Library'!$A$4:$A$21,0))</f>
        <v>Automated Nurture</v>
      </c>
      <c r="AL266" s="2" t="str">
        <f aca="false">INDEX('NBA Library'!$C$4:$C$21,MATCH(AJ266,'NBA Library'!$A$4:$A$21,0))</f>
        <v>Automated</v>
      </c>
      <c r="AM266" s="2" t="str">
        <f aca="false">IF(AA266,"HOLD — Critical Data Issue",IF(Y266,"Human Sign-Off Required",IF(Z266="Manual Review","Human Review Required",IF(AND(AL266="Automated",OR(AE266,AND(OR(AK266="Discovery-to-Offer Enablement",AK266="Reinforce Successful Behaviour"),OR(AC266,AB266)))),"Human Review Required",IF(AL266="Human","Ready — Human",IF(AL266="Hybrid","Ready — Hybrid","Ready — Automated"))))))</f>
        <v>Ready — Automated</v>
      </c>
      <c r="AN266" s="2" t="str">
        <f aca="false">IF(AA266,"P0",IF(AND(AJ266="BROWSING_LOW_OFFERS",E266="Tail"),"P3",IF(AND(AM266="Human Review Required",INDEX('NBA Library'!$D$4:$D$21,MATCH(AJ266,'NBA Library'!$A$4:$A$21,0))="P4"),"P3",INDEX('NBA Library'!$D$4:$D$21,MATCH(AJ266,'NBA Library'!$A$4:$A$21,0)))))</f>
        <v>P4</v>
      </c>
      <c r="AO266" s="2" t="str">
        <f aca="false">E266&amp;" "&amp;C266&amp;" account ("&amp;B266&amp;"); "&amp;G266&amp;" momentum; "&amp;P266&amp;"; £"&amp;TEXT(H266,"#,##0")&amp;" 6m GMV. "&amp;INDEX('NBA Library'!$G$4:$G$21,MATCH(AJ266,'NBA Library'!$A$4:$A$21,0))&amp;IF(LEFT(D266,1)="1"," Baseline: "&amp;V266&amp;" PDP views, "&amp;W266&amp;" app days, "&amp;X266&amp;" offers, "&amp;TEXT(J266/I266,"0%")&amp;" of orders self-serve.","")&amp;IF(AA266," Execution on HOLD until the Duplicate status is resolved.","")&amp;IF(Y266," Key account: explicit AM/leadership sign-off required before any migration activity.","")&amp;IF(AE266," Implied broker % from order counts would move this account to a different segment; review before automating.","")</f>
        <v>Tail Self-Serve account (Self Serve); H2 Active / No H1 GMV momentum; Recently Active; £196 6m GMV. Low-value, low-dependency account. Scalable automated engagement.</v>
      </c>
      <c r="AP266" s="2" t="str">
        <f aca="false">INDEX('NBA Library'!$E$4:$E$21,MATCH(AJ266,'NBA Library'!$A$4:$A$21,0))&amp;IF(AND(AJ266="NEW_CUSTOMER",AG266),"; introduce Make-an-Offer on items already browsed","")</f>
        <v>Scalable automated engagement matched to nurture sub-context</v>
      </c>
      <c r="AQ266" s="2" t="str">
        <f aca="false">INDEX('NBA Library'!$F$4:$F$21,MATCH(AJ266,'NBA Library'!$A$4:$A$21,0))</f>
        <v>Any repeat order within 90 days</v>
      </c>
      <c r="AR266" s="2" t="str">
        <f aca="false">IF(AND(F266="Low",OR(G266="Growing",G266="Stable"),P266="Recently Active",U266&lt;&gt;"Mixed",OR(AK266="Discovery-to-Offer Enablement",AK266="Reinforce Successful Behaviour"),AM266="Ready — Automated",OR(E266&lt;&gt;"Tail",S266)),"Range Expansion Test — trial "&amp;IF(U266="Bundle-only","handpick","bundles")&amp;" (experimental; not proven to lift GMV)","")</f>
        <v/>
      </c>
      <c r="AS266" s="2" t="str">
        <f aca="false">IF(AK266&lt;&gt;"Automated Nurture","",IF(AJ266="DORMANT_LOW_VALUE","Dormant",IF(AJ266="RISING_TAIL_EARLY","Rising tail – early pattern",IF(Q266="New Customer","New customer onboarding",IF(Q266="Returned Customer","Returned customer",IF(G266="Lapsed","Dormant",IF(T266="Engaged, not converting","Engaged, not converting",IF(T266="One-off low-touch buyer","One-off purchaser",IF(T266="Light-touch repeat buyer","Light-touch repeat buyer","Standard long tail")))))))))</f>
        <v>New customer onboarding</v>
      </c>
      <c r="AT266" s="2" t="str">
        <f aca="false">IF(AA266,"CRITICAL_DATA_BLOCKER; ","")&amp;IF(Y266,"KEY_SIGNOFF; ","")&amp;IF(Z266="Manual Review","PHASE1_MANUAL_REVIEW; ","")&amp;IF(AND(LEFT(D266,1)="1",AZ266="Lumpy"),"LUMPY_CADENCE; ","")&amp;IF(AB266,"BORDERLINE_MOMENTUM; ","")&amp;IF(AC266,"FEB_SENSITIVE; ","")&amp;IF(AD266,"MATERIAL_BROKER_INCONSISTENCY"&amp;IF(AE266," (segment would change)","")&amp;"; ","")&amp;IF(AND(I266&gt;=3,O266&gt;0),IF(AI266&gt;=Assumptions!$B$75,"H2_SINGLE_MONTH_SPIKE; ",""),"")&amp;IF(AND(M266&gt;0,N266=0),"NO_FEB_GMV (Feb unconfirmed); ","")&amp;IF(AF266,"LOW_CONFIDENCE; ","")</f>
        <v>NO_FEB_GMV (Feb unconfirmed); LOW_CONFIDENCE; </v>
      </c>
      <c r="AU266" s="2" t="str">
        <f aca="false">IF(LEFT(D266,1)="1",V266,"")</f>
        <v/>
      </c>
      <c r="AV266" s="2" t="str">
        <f aca="false">IF(LEFT(D266,1)="1",V266&gt;=Assumptions!$B$58,"")</f>
        <v/>
      </c>
      <c r="AW266" s="2" t="str">
        <f aca="false">IF(LEFT(D266,1)="1",W266,"")</f>
        <v/>
      </c>
      <c r="AX266" s="2" t="str">
        <f aca="false">IF(LEFT(D266,1)="1",X266,"")</f>
        <v/>
      </c>
      <c r="AY266" s="17" t="str">
        <f aca="false">IF(LEFT(D266,1)="1",J266/I266,"")</f>
        <v/>
      </c>
      <c r="AZ266" s="2" t="str">
        <f aca="false">IF(LEFT(D266,1)="1",IF(AND(K266&gt;=Assumptions!$B$83,I266&gt;=Assumptions!$B$84),"Regular","Lumpy"),"")</f>
        <v/>
      </c>
      <c r="BA266" s="2" t="str">
        <f aca="false">IF(LEFT(D266,1)="1",ROUND(6/K266,0),"")</f>
        <v/>
      </c>
      <c r="BB266" s="2" t="str">
        <f aca="false">IF(LEFT(D266,1)="1",IF(AZ266="Regular","Regular buyer: expected ~£"&amp;TEXT(H266/2,"#,##0")&amp;" per 90 days. At Risk if GMV to date &lt; "&amp;TEXT(Assumptions!$B$81,"0%")&amp;" of pro-rated expectation, checked from day "&amp;Assumptions!$B$82&amp;". Human-reviewed.","Irregular buyer ("&amp;I266&amp;" orders across "&amp;K266&amp;" months): no numeric GMV threshold. At Risk if no order within ~"&amp;BA266&amp;" month(s); AM reviews at day "&amp;Assumptions!$B$82&amp;" and "&amp;Assumptions!$B$85&amp;"."),"")</f>
        <v/>
      </c>
      <c r="BC266" s="2"/>
      <c r="BD266" s="2"/>
      <c r="BE266" s="2"/>
      <c r="BF266" s="2"/>
      <c r="BG266" s="2"/>
      <c r="BH266" s="2"/>
      <c r="BI266" s="2"/>
      <c r="BJ266" s="2" t="str">
        <f aca="false">IF(OR(NOT(LEFT(D266,1)="1"),BC266=""),"",IF(AZ266="Regular",AND(BC266&gt;=Assumptions!$B$82,N(BI266)&lt;Assumptions!$B$81*H266/180*BC266),AND(BC266&gt;=BA266*30,N(BG266)=0)))</f>
        <v/>
      </c>
      <c r="BK266" s="2" t="str">
        <f aca="false">IF(NOT(LEFT(D266,1)="1"),"N/A",IF(BC266="","Baseline",IF(BJ266,"At Risk",IF(AND(N(BD266)&gt;=Assumptions!$B$78,N(BE266)&gt;=Assumptions!$B$79,N(BH266)&gt;=1,N(BH266)/MAX(N(BG266),1)&gt;AY266),"Self-Serve Capability Demonstrated",IF(OR(N(BD266)&gt;=Assumptions!$B$76,N(BE266)&gt;=Assumptions!$B$77),"Progressing",IF(BC266&gt;=Assumptions!$B$85,"At Risk","Baseline"))))))</f>
        <v>N/A</v>
      </c>
      <c r="BL266" s="2" t="n">
        <f aca="false">(AND(C266="Broker-Reliant",OR(AK266="Discovery-to-Offer Enablement",AK266="Reinforce Successful Behaviour")))*1+(AND(G266="Declining",E266&lt;&gt;"Tail",AL266="Automated"))*1+(AND(Y266,AM266&lt;&gt;"Human Sign-Off Required"))*1+(AND(AA266,AM266&lt;&gt;"HOLD — Critical Data Issue"))*1+(AND(P266="Recent Inactivity",OR(AK266="Discovery-to-Offer Enablement",AK266="Reinforce Successful Behaviour")))*1+(AND(OR(LEFT(D266,1)="2",LEFT(D266,1)="3",LEFT(D266,1)="8"),AL266="Automated"))*1+((LEFT(D266,1)="1")&lt;&gt;(AK266="Guided Self-Serve Migration"))*1+(AND(AR266&lt;&gt;"",OR(F266&lt;&gt;"Low",U266="Mixed",AND(G266&lt;&gt;"Growing",G266&lt;&gt;"Stable"))))*1+ISNUMBER(SEARCH("chat",AP266))*1+ISNUMBER(SEARCH("video",AP266))*1+(AND(AA266,AL266="Automated",AM266&lt;&gt;"HOLD — Critical Data Issue"))*1</f>
        <v>0</v>
      </c>
    </row>
    <row r="267" customFormat="false" ht="15" hidden="false" customHeight="false" outlineLevel="0" collapsed="false">
      <c r="A267" s="2" t="s">
        <v>872</v>
      </c>
      <c r="B267" s="2" t="str">
        <f aca="false">INDEX(Segmentation!$B$2:$B$301,MATCH($A267,Segmentation!$A$2:$A$301,0))</f>
        <v>Self Serve</v>
      </c>
      <c r="C267" s="2" t="str">
        <f aca="false">INDEX(Segmentation!$H$2:$H$301,MATCH($A267,Segmentation!$A$2:$A$301,0))</f>
        <v>Self-Serve</v>
      </c>
      <c r="D267" s="2" t="str">
        <f aca="false">INDEX(Segmentation!$T$2:$T$301,MATCH($A267,Segmentation!$A$2:$A$301,0))</f>
        <v>9. Long-Tail Automated Nurture</v>
      </c>
      <c r="E267" s="2" t="str">
        <f aca="false">INDEX(Segmentation!$J$2:$J$301,MATCH($A267,Segmentation!$A$2:$A$301,0))</f>
        <v>Tail</v>
      </c>
      <c r="F267" s="2" t="str">
        <f aca="false">INDEX(Segmentation!$G$2:$G$301,MATCH($A267,Segmentation!$A$2:$A$301,0))</f>
        <v>Low</v>
      </c>
      <c r="G267" s="2" t="str">
        <f aca="false">INDEX(Segmentation!$N$2:$N$301,MATCH($A267,Segmentation!$A$2:$A$301,0))</f>
        <v>Lapsed</v>
      </c>
      <c r="H267" s="9" t="n">
        <f aca="false">INDEX(Segmentation!$I$2:$I$301,MATCH($A267,Segmentation!$A$2:$A$301,0))</f>
        <v>188</v>
      </c>
      <c r="I267" s="2" t="n">
        <f aca="false">INDEX(Segmentation!$O$2:$O$301,MATCH($A267,Segmentation!$A$2:$A$301,0))</f>
        <v>1</v>
      </c>
      <c r="J267" s="2" t="n">
        <f aca="false">INDEX(Segmentation!$Q$2:$Q$301,MATCH($A267,Segmentation!$A$2:$A$301,0))</f>
        <v>1</v>
      </c>
      <c r="K267" s="2" t="n">
        <f aca="false">INDEX(Segmentation!$W$2:$W$301,MATCH($A267,Segmentation!$A$2:$A$301,0))</f>
        <v>1</v>
      </c>
      <c r="L267" s="9" t="n">
        <f aca="false">INDEX('Commercial View'!$L$2:$L$301,MATCH($A267,'Commercial View'!$A$2:$A$301,0))</f>
        <v>0</v>
      </c>
      <c r="M267" s="9" t="n">
        <f aca="false">INDEX('Commercial View'!$M$2:$M$301,MATCH($A267,'Commercial View'!$A$2:$A$301,0))</f>
        <v>0</v>
      </c>
      <c r="N267" s="9" t="n">
        <f aca="false">INDEX('Commercial View'!$N$2:$N$301,MATCH($A267,'Commercial View'!$A$2:$A$301,0))</f>
        <v>0</v>
      </c>
      <c r="O267" s="9" t="n">
        <f aca="false">INDEX(Segmentation!$L$2:$L$301,MATCH($A267,Segmentation!$A$2:$A$301,0))</f>
        <v>0</v>
      </c>
      <c r="P267" s="2" t="str">
        <f aca="false">IF(OR(M267&gt;0,N267&gt;0),"Recently Active",IF(OR(I267&lt;=Assumptions!$B$48,K267&lt;=Assumptions!$B$49),"No Meaningful History","Recent Inactivity"))</f>
        <v>No Meaningful History</v>
      </c>
      <c r="Q267" s="2" t="str">
        <f aca="false">INDEX(Segmentation!$AF$2:$AF$301,MATCH($A267,Segmentation!$A$2:$A$301,0))</f>
        <v>Existing Customer</v>
      </c>
      <c r="R267" s="2" t="str">
        <f aca="false">INDEX(Segmentation!$AL$2:$AL$301,MATCH($A267,Segmentation!$A$2:$A$301,0))</f>
        <v>One-Off / Insufficient History — Verify</v>
      </c>
      <c r="S267" s="10" t="b">
        <f aca="false">INDEX(Segmentation!$AW$2:$AW$301,MATCH($A267,Segmentation!$A$2:$A$301,0))</f>
        <v>0</v>
      </c>
      <c r="T267" s="2" t="str">
        <f aca="false">INDEX('Feature Data'!$AD$2:$AD$301,MATCH($A267,'Feature Data'!$A$2:$A$301,0))</f>
        <v>Engaged, not converting</v>
      </c>
      <c r="U267" s="2" t="str">
        <f aca="false">INDEX('Feature Data'!$W$2:$W$301,MATCH($A267,'Feature Data'!$A$2:$A$301,0))</f>
        <v>Bundle-only</v>
      </c>
      <c r="V267" s="2" t="n">
        <f aca="false">INDEX('Feature Data'!$P$2:$P$301,MATCH($A267,'Feature Data'!$A$2:$A$301,0))</f>
        <v>277</v>
      </c>
      <c r="W267" s="2" t="n">
        <f aca="false">INDEX(Segmentation!$R$2:$R$301,MATCH($A267,Segmentation!$A$2:$A$301,0))</f>
        <v>13</v>
      </c>
      <c r="X267" s="2" t="n">
        <f aca="false">INDEX(Segmentation!$S$2:$S$301,MATCH($A267,Segmentation!$A$2:$A$301,0))</f>
        <v>2</v>
      </c>
      <c r="Y267" s="10" t="b">
        <f aca="false">INDEX(Segmentation!$AG$2:$AG$301,MATCH($A267,Segmentation!$A$2:$A$301,0))</f>
        <v>0</v>
      </c>
      <c r="Z267" s="2" t="str">
        <f aca="false">INDEX(Segmentation!$AU$2:$AU$301,MATCH($A267,Segmentation!$A$2:$A$301,0))</f>
        <v>Not Eligible</v>
      </c>
      <c r="AA267" s="10" t="b">
        <f aca="false">INDEX(Segmentation!$Z$2:$Z$301,MATCH($A267,Segmentation!$A$2:$A$301,0))</f>
        <v>0</v>
      </c>
      <c r="AB267" s="10" t="b">
        <f aca="false">INDEX(Segmentation!$AH$2:$AH$301,MATCH($A267,Segmentation!$A$2:$A$301,0))</f>
        <v>0</v>
      </c>
      <c r="AC267" s="10" t="b">
        <f aca="false">INDEX(Segmentation!$AK$2:$AK$301,MATCH($A267,Segmentation!$A$2:$A$301,0))</f>
        <v>0</v>
      </c>
      <c r="AD267" s="10" t="b">
        <f aca="false">INDEX(Segmentation!$AQ$2:$AQ$301,MATCH($A267,Segmentation!$A$2:$A$301,0))</f>
        <v>0</v>
      </c>
      <c r="AE267" s="10" t="b">
        <f aca="false">INDEX(Segmentation!$AT$2:$AT$301,MATCH($A267,Segmentation!$A$2:$A$301,0))</f>
        <v>0</v>
      </c>
      <c r="AF267" s="10" t="b">
        <f aca="false">INDEX(Segmentation!$X$2:$X$301,MATCH($A267,Segmentation!$A$2:$A$301,0))</f>
        <v>1</v>
      </c>
      <c r="AG267" s="10" t="b">
        <f aca="false">AND(F267="Low",V267&gt;=Assumptions!$B$71,X267&lt;Assumptions!$B$72)</f>
        <v>1</v>
      </c>
      <c r="AH267" s="10" t="b">
        <f aca="false">AND(F267="Low",OR(G267="Growing",G267="Stable"),P267="Recently Active",V267&gt;=Assumptions!$B$58,K267&gt;=Assumptions!$B$73)</f>
        <v>0</v>
      </c>
      <c r="AI267" s="17" t="str">
        <f aca="false">IF(O267&gt;0,MAX(L267:N267)/O267,"")</f>
        <v/>
      </c>
      <c r="AJ267" s="2" t="str">
        <f aca="false">IF(LEFT(D267,1)="1",IF(E267="Key","MIGRATION_KEY_SIGNOFF",IF(Z267="Ready","MIGRATION_PHASE1_READY",IF(Z267="Manual Review","MIGRATION_PHASE1_REVIEW","MIGRATION_PRE_ENTRY"))),IF(LEFT(D267,1)="2","DECLINING_KEY_CORE",IF(LEFT(D267,1)="3",IF(R267="Established Buyer Lapsed","LAPSED_ESTABLISHED","LAPSED_THIN_HISTORY"),IF(LEFT(D267,1)="4",IF(Q267="New Customer","NEW_CUSTOMER","RETURNED_CUSTOMER"),IF(LEFT(D267,1)="5",IF(P267="Recently Active","COST_TO_SERVE_ACTIVE","DORMANT_LOW_VALUE"),IF(LEFT(D267,1)="6",IF(P267="Recent Inactivity","RECENT_INACTIVITY",IF(AG267,"BROWSING_LOW_OFFERS","HEALTHY_STRONG_SELF_SERVE")),IF(LEFT(D267,1)="7",IF(P267="Recent Inactivity","RECENT_INACTIVITY",IF(Q267="New Customer","NEW_CUSTOMER","RETURNED_CUSTOMER")),IF(LEFT(D267,1)="8",IF(G267="Declining",IF(T267="Engaged but shrinking (Key/Core)","ENGAGED_BUT_SHRINKING","DECLINING_KEY_CORE"),IF(R267="Established Buyer Lapsed","LAPSED_ESTABLISHED","LAPSED_THIN_HISTORY")),IF(S267,IF(P267&lt;&gt;"Recently Active","DORMANT_LOW_VALUE",IF(AG267,"BROWSING_LOW_OFFERS",IF(AH267,"RISING_TAIL","RISING_TAIL_EARLY"))),IF(AND(AG267,P267="Recently Active",OR(G267="Growing",G267="Stable",G267="H2 Active / No H1 GMV"),I267&gt;=Assumptions!$B$74),"BROWSING_LOW_OFFERS","LONG_TAIL_STANDARD"))))))))))</f>
        <v>LONG_TAIL_STANDARD</v>
      </c>
      <c r="AK267" s="2" t="str">
        <f aca="false">INDEX('NBA Library'!$B$4:$B$21,MATCH(AJ267,'NBA Library'!$A$4:$A$21,0))</f>
        <v>Automated Nurture</v>
      </c>
      <c r="AL267" s="2" t="str">
        <f aca="false">INDEX('NBA Library'!$C$4:$C$21,MATCH(AJ267,'NBA Library'!$A$4:$A$21,0))</f>
        <v>Automated</v>
      </c>
      <c r="AM267" s="2" t="str">
        <f aca="false">IF(AA267,"HOLD — Critical Data Issue",IF(Y267,"Human Sign-Off Required",IF(Z267="Manual Review","Human Review Required",IF(AND(AL267="Automated",OR(AE267,AND(OR(AK267="Discovery-to-Offer Enablement",AK267="Reinforce Successful Behaviour"),OR(AC267,AB267)))),"Human Review Required",IF(AL267="Human","Ready — Human",IF(AL267="Hybrid","Ready — Hybrid","Ready — Automated"))))))</f>
        <v>Ready — Automated</v>
      </c>
      <c r="AN267" s="2" t="str">
        <f aca="false">IF(AA267,"P0",IF(AND(AJ267="BROWSING_LOW_OFFERS",E267="Tail"),"P3",IF(AND(AM267="Human Review Required",INDEX('NBA Library'!$D$4:$D$21,MATCH(AJ267,'NBA Library'!$A$4:$A$21,0))="P4"),"P3",INDEX('NBA Library'!$D$4:$D$21,MATCH(AJ267,'NBA Library'!$A$4:$A$21,0)))))</f>
        <v>P4</v>
      </c>
      <c r="AO267" s="2" t="str">
        <f aca="false">E267&amp;" "&amp;C267&amp;" account ("&amp;B267&amp;"); "&amp;G267&amp;" momentum; "&amp;P267&amp;"; £"&amp;TEXT(H267,"#,##0")&amp;" 6m GMV. "&amp;INDEX('NBA Library'!$G$4:$G$21,MATCH(AJ267,'NBA Library'!$A$4:$A$21,0))&amp;IF(LEFT(D267,1)="1"," Baseline: "&amp;V267&amp;" PDP views, "&amp;W267&amp;" app days, "&amp;X267&amp;" offers, "&amp;TEXT(J267/I267,"0%")&amp;" of orders self-serve.","")&amp;IF(AA267," Execution on HOLD until the Duplicate status is resolved.","")&amp;IF(Y267," Key account: explicit AM/leadership sign-off required before any migration activity.","")&amp;IF(AE267," Implied broker % from order counts would move this account to a different segment; review before automating.","")</f>
        <v>Tail Self-Serve account (Self Serve); Lapsed momentum; No Meaningful History; £188 6m GMV. Low-value, low-dependency account. Scalable automated engagement.</v>
      </c>
      <c r="AP267" s="2" t="str">
        <f aca="false">INDEX('NBA Library'!$E$4:$E$21,MATCH(AJ267,'NBA Library'!$A$4:$A$21,0))&amp;IF(AND(AJ267="NEW_CUSTOMER",AG267),"; introduce Make-an-Offer on items already browsed","")</f>
        <v>Scalable automated engagement matched to nurture sub-context</v>
      </c>
      <c r="AQ267" s="2" t="str">
        <f aca="false">INDEX('NBA Library'!$F$4:$F$21,MATCH(AJ267,'NBA Library'!$A$4:$A$21,0))</f>
        <v>Any repeat order within 90 days</v>
      </c>
      <c r="AR267" s="2" t="str">
        <f aca="false">IF(AND(F267="Low",OR(G267="Growing",G267="Stable"),P267="Recently Active",U267&lt;&gt;"Mixed",OR(AK267="Discovery-to-Offer Enablement",AK267="Reinforce Successful Behaviour"),AM267="Ready — Automated",OR(E267&lt;&gt;"Tail",S267)),"Range Expansion Test — trial "&amp;IF(U267="Bundle-only","handpick","bundles")&amp;" (experimental; not proven to lift GMV)","")</f>
        <v/>
      </c>
      <c r="AS267" s="2" t="str">
        <f aca="false">IF(AK267&lt;&gt;"Automated Nurture","",IF(AJ267="DORMANT_LOW_VALUE","Dormant",IF(AJ267="RISING_TAIL_EARLY","Rising tail – early pattern",IF(Q267="New Customer","New customer onboarding",IF(Q267="Returned Customer","Returned customer",IF(G267="Lapsed","Dormant",IF(T267="Engaged, not converting","Engaged, not converting",IF(T267="One-off low-touch buyer","One-off purchaser",IF(T267="Light-touch repeat buyer","Light-touch repeat buyer","Standard long tail")))))))))</f>
        <v>Dormant</v>
      </c>
      <c r="AT267" s="2" t="str">
        <f aca="false">IF(AA267,"CRITICAL_DATA_BLOCKER; ","")&amp;IF(Y267,"KEY_SIGNOFF; ","")&amp;IF(Z267="Manual Review","PHASE1_MANUAL_REVIEW; ","")&amp;IF(AND(LEFT(D267,1)="1",AZ267="Lumpy"),"LUMPY_CADENCE; ","")&amp;IF(AB267,"BORDERLINE_MOMENTUM; ","")&amp;IF(AC267,"FEB_SENSITIVE; ","")&amp;IF(AD267,"MATERIAL_BROKER_INCONSISTENCY"&amp;IF(AE267," (segment would change)","")&amp;"; ","")&amp;IF(AND(I267&gt;=3,O267&gt;0),IF(AI267&gt;=Assumptions!$B$75,"H2_SINGLE_MONTH_SPIKE; ",""),"")&amp;IF(AND(M267&gt;0,N267=0),"NO_FEB_GMV (Feb unconfirmed); ","")&amp;IF(AF267,"LOW_CONFIDENCE; ","")</f>
        <v>LOW_CONFIDENCE; </v>
      </c>
      <c r="AU267" s="2" t="str">
        <f aca="false">IF(LEFT(D267,1)="1",V267,"")</f>
        <v/>
      </c>
      <c r="AV267" s="2" t="str">
        <f aca="false">IF(LEFT(D267,1)="1",V267&gt;=Assumptions!$B$58,"")</f>
        <v/>
      </c>
      <c r="AW267" s="2" t="str">
        <f aca="false">IF(LEFT(D267,1)="1",W267,"")</f>
        <v/>
      </c>
      <c r="AX267" s="2" t="str">
        <f aca="false">IF(LEFT(D267,1)="1",X267,"")</f>
        <v/>
      </c>
      <c r="AY267" s="17" t="str">
        <f aca="false">IF(LEFT(D267,1)="1",J267/I267,"")</f>
        <v/>
      </c>
      <c r="AZ267" s="2" t="str">
        <f aca="false">IF(LEFT(D267,1)="1",IF(AND(K267&gt;=Assumptions!$B$83,I267&gt;=Assumptions!$B$84),"Regular","Lumpy"),"")</f>
        <v/>
      </c>
      <c r="BA267" s="2" t="str">
        <f aca="false">IF(LEFT(D267,1)="1",ROUND(6/K267,0),"")</f>
        <v/>
      </c>
      <c r="BB267" s="2" t="str">
        <f aca="false">IF(LEFT(D267,1)="1",IF(AZ267="Regular","Regular buyer: expected ~£"&amp;TEXT(H267/2,"#,##0")&amp;" per 90 days. At Risk if GMV to date &lt; "&amp;TEXT(Assumptions!$B$81,"0%")&amp;" of pro-rated expectation, checked from day "&amp;Assumptions!$B$82&amp;". Human-reviewed.","Irregular buyer ("&amp;I267&amp;" orders across "&amp;K267&amp;" months): no numeric GMV threshold. At Risk if no order within ~"&amp;BA267&amp;" month(s); AM reviews at day "&amp;Assumptions!$B$82&amp;" and "&amp;Assumptions!$B$85&amp;"."),"")</f>
        <v/>
      </c>
      <c r="BC267" s="2"/>
      <c r="BD267" s="2"/>
      <c r="BE267" s="2"/>
      <c r="BF267" s="2"/>
      <c r="BG267" s="2"/>
      <c r="BH267" s="2"/>
      <c r="BI267" s="2"/>
      <c r="BJ267" s="2" t="str">
        <f aca="false">IF(OR(NOT(LEFT(D267,1)="1"),BC267=""),"",IF(AZ267="Regular",AND(BC267&gt;=Assumptions!$B$82,N(BI267)&lt;Assumptions!$B$81*H267/180*BC267),AND(BC267&gt;=BA267*30,N(BG267)=0)))</f>
        <v/>
      </c>
      <c r="BK267" s="2" t="str">
        <f aca="false">IF(NOT(LEFT(D267,1)="1"),"N/A",IF(BC267="","Baseline",IF(BJ267,"At Risk",IF(AND(N(BD267)&gt;=Assumptions!$B$78,N(BE267)&gt;=Assumptions!$B$79,N(BH267)&gt;=1,N(BH267)/MAX(N(BG267),1)&gt;AY267),"Self-Serve Capability Demonstrated",IF(OR(N(BD267)&gt;=Assumptions!$B$76,N(BE267)&gt;=Assumptions!$B$77),"Progressing",IF(BC267&gt;=Assumptions!$B$85,"At Risk","Baseline"))))))</f>
        <v>N/A</v>
      </c>
      <c r="BL267" s="2" t="n">
        <f aca="false">(AND(C267="Broker-Reliant",OR(AK267="Discovery-to-Offer Enablement",AK267="Reinforce Successful Behaviour")))*1+(AND(G267="Declining",E267&lt;&gt;"Tail",AL267="Automated"))*1+(AND(Y267,AM267&lt;&gt;"Human Sign-Off Required"))*1+(AND(AA267,AM267&lt;&gt;"HOLD — Critical Data Issue"))*1+(AND(P267="Recent Inactivity",OR(AK267="Discovery-to-Offer Enablement",AK267="Reinforce Successful Behaviour")))*1+(AND(OR(LEFT(D267,1)="2",LEFT(D267,1)="3",LEFT(D267,1)="8"),AL267="Automated"))*1+((LEFT(D267,1)="1")&lt;&gt;(AK267="Guided Self-Serve Migration"))*1+(AND(AR267&lt;&gt;"",OR(F267&lt;&gt;"Low",U267="Mixed",AND(G267&lt;&gt;"Growing",G267&lt;&gt;"Stable"))))*1+ISNUMBER(SEARCH("chat",AP267))*1+ISNUMBER(SEARCH("video",AP267))*1+(AND(AA267,AL267="Automated",AM267&lt;&gt;"HOLD — Critical Data Issue"))*1</f>
        <v>0</v>
      </c>
    </row>
    <row r="268" customFormat="false" ht="15" hidden="false" customHeight="false" outlineLevel="0" collapsed="false">
      <c r="A268" s="2" t="s">
        <v>876</v>
      </c>
      <c r="B268" s="2" t="str">
        <f aca="false">INDEX(Segmentation!$B$2:$B$301,MATCH($A268,Segmentation!$A$2:$A$301,0))</f>
        <v>Self Serve</v>
      </c>
      <c r="C268" s="2" t="str">
        <f aca="false">INDEX(Segmentation!$H$2:$H$301,MATCH($A268,Segmentation!$A$2:$A$301,0))</f>
        <v>Self-Serve</v>
      </c>
      <c r="D268" s="2" t="str">
        <f aca="false">INDEX(Segmentation!$T$2:$T$301,MATCH($A268,Segmentation!$A$2:$A$301,0))</f>
        <v>9. Long-Tail Automated Nurture</v>
      </c>
      <c r="E268" s="2" t="str">
        <f aca="false">INDEX(Segmentation!$J$2:$J$301,MATCH($A268,Segmentation!$A$2:$A$301,0))</f>
        <v>Tail</v>
      </c>
      <c r="F268" s="2" t="str">
        <f aca="false">INDEX(Segmentation!$G$2:$G$301,MATCH($A268,Segmentation!$A$2:$A$301,0))</f>
        <v>Low</v>
      </c>
      <c r="G268" s="2" t="str">
        <f aca="false">INDEX(Segmentation!$N$2:$N$301,MATCH($A268,Segmentation!$A$2:$A$301,0))</f>
        <v>Lapsed</v>
      </c>
      <c r="H268" s="9" t="n">
        <f aca="false">INDEX(Segmentation!$I$2:$I$301,MATCH($A268,Segmentation!$A$2:$A$301,0))</f>
        <v>186</v>
      </c>
      <c r="I268" s="2" t="n">
        <f aca="false">INDEX(Segmentation!$O$2:$O$301,MATCH($A268,Segmentation!$A$2:$A$301,0))</f>
        <v>2</v>
      </c>
      <c r="J268" s="2" t="n">
        <f aca="false">INDEX(Segmentation!$Q$2:$Q$301,MATCH($A268,Segmentation!$A$2:$A$301,0))</f>
        <v>2</v>
      </c>
      <c r="K268" s="2" t="n">
        <f aca="false">INDEX(Segmentation!$W$2:$W$301,MATCH($A268,Segmentation!$A$2:$A$301,0))</f>
        <v>1</v>
      </c>
      <c r="L268" s="9" t="n">
        <f aca="false">INDEX('Commercial View'!$L$2:$L$301,MATCH($A268,'Commercial View'!$A$2:$A$301,0))</f>
        <v>0</v>
      </c>
      <c r="M268" s="9" t="n">
        <f aca="false">INDEX('Commercial View'!$M$2:$M$301,MATCH($A268,'Commercial View'!$A$2:$A$301,0))</f>
        <v>0</v>
      </c>
      <c r="N268" s="9" t="n">
        <f aca="false">INDEX('Commercial View'!$N$2:$N$301,MATCH($A268,'Commercial View'!$A$2:$A$301,0))</f>
        <v>0</v>
      </c>
      <c r="O268" s="9" t="n">
        <f aca="false">INDEX(Segmentation!$L$2:$L$301,MATCH($A268,Segmentation!$A$2:$A$301,0))</f>
        <v>0</v>
      </c>
      <c r="P268" s="2" t="str">
        <f aca="false">IF(OR(M268&gt;0,N268&gt;0),"Recently Active",IF(OR(I268&lt;=Assumptions!$B$48,K268&lt;=Assumptions!$B$49),"No Meaningful History","Recent Inactivity"))</f>
        <v>No Meaningful History</v>
      </c>
      <c r="Q268" s="2" t="str">
        <f aca="false">INDEX(Segmentation!$AF$2:$AF$301,MATCH($A268,Segmentation!$A$2:$A$301,0))</f>
        <v>Existing Customer</v>
      </c>
      <c r="R268" s="2" t="str">
        <f aca="false">INDEX(Segmentation!$AL$2:$AL$301,MATCH($A268,Segmentation!$A$2:$A$301,0))</f>
        <v>One-Off / Insufficient History — Verify</v>
      </c>
      <c r="S268" s="10" t="b">
        <f aca="false">INDEX(Segmentation!$AW$2:$AW$301,MATCH($A268,Segmentation!$A$2:$A$301,0))</f>
        <v>0</v>
      </c>
      <c r="T268" s="2" t="str">
        <f aca="false">INDEX('Feature Data'!$AD$2:$AD$301,MATCH($A268,'Feature Data'!$A$2:$A$301,0))</f>
        <v>Engaged, not converting</v>
      </c>
      <c r="U268" s="2" t="str">
        <f aca="false">INDEX('Feature Data'!$W$2:$W$301,MATCH($A268,'Feature Data'!$A$2:$A$301,0))</f>
        <v>Bundle-only</v>
      </c>
      <c r="V268" s="2" t="n">
        <f aca="false">INDEX('Feature Data'!$P$2:$P$301,MATCH($A268,'Feature Data'!$A$2:$A$301,0))</f>
        <v>1764</v>
      </c>
      <c r="W268" s="2" t="n">
        <f aca="false">INDEX(Segmentation!$R$2:$R$301,MATCH($A268,Segmentation!$A$2:$A$301,0))</f>
        <v>57</v>
      </c>
      <c r="X268" s="2" t="n">
        <f aca="false">INDEX(Segmentation!$S$2:$S$301,MATCH($A268,Segmentation!$A$2:$A$301,0))</f>
        <v>9</v>
      </c>
      <c r="Y268" s="10" t="b">
        <f aca="false">INDEX(Segmentation!$AG$2:$AG$301,MATCH($A268,Segmentation!$A$2:$A$301,0))</f>
        <v>0</v>
      </c>
      <c r="Z268" s="2" t="str">
        <f aca="false">INDEX(Segmentation!$AU$2:$AU$301,MATCH($A268,Segmentation!$A$2:$A$301,0))</f>
        <v>Not Eligible</v>
      </c>
      <c r="AA268" s="10" t="b">
        <f aca="false">INDEX(Segmentation!$Z$2:$Z$301,MATCH($A268,Segmentation!$A$2:$A$301,0))</f>
        <v>0</v>
      </c>
      <c r="AB268" s="10" t="b">
        <f aca="false">INDEX(Segmentation!$AH$2:$AH$301,MATCH($A268,Segmentation!$A$2:$A$301,0))</f>
        <v>0</v>
      </c>
      <c r="AC268" s="10" t="b">
        <f aca="false">INDEX(Segmentation!$AK$2:$AK$301,MATCH($A268,Segmentation!$A$2:$A$301,0))</f>
        <v>0</v>
      </c>
      <c r="AD268" s="10" t="b">
        <f aca="false">INDEX(Segmentation!$AQ$2:$AQ$301,MATCH($A268,Segmentation!$A$2:$A$301,0))</f>
        <v>0</v>
      </c>
      <c r="AE268" s="10" t="b">
        <f aca="false">INDEX(Segmentation!$AT$2:$AT$301,MATCH($A268,Segmentation!$A$2:$A$301,0))</f>
        <v>0</v>
      </c>
      <c r="AF268" s="10" t="b">
        <f aca="false">INDEX(Segmentation!$X$2:$X$301,MATCH($A268,Segmentation!$A$2:$A$301,0))</f>
        <v>1</v>
      </c>
      <c r="AG268" s="10" t="b">
        <f aca="false">AND(F268="Low",V268&gt;=Assumptions!$B$71,X268&lt;Assumptions!$B$72)</f>
        <v>0</v>
      </c>
      <c r="AH268" s="10" t="b">
        <f aca="false">AND(F268="Low",OR(G268="Growing",G268="Stable"),P268="Recently Active",V268&gt;=Assumptions!$B$58,K268&gt;=Assumptions!$B$73)</f>
        <v>0</v>
      </c>
      <c r="AI268" s="17" t="str">
        <f aca="false">IF(O268&gt;0,MAX(L268:N268)/O268,"")</f>
        <v/>
      </c>
      <c r="AJ268" s="2" t="str">
        <f aca="false">IF(LEFT(D268,1)="1",IF(E268="Key","MIGRATION_KEY_SIGNOFF",IF(Z268="Ready","MIGRATION_PHASE1_READY",IF(Z268="Manual Review","MIGRATION_PHASE1_REVIEW","MIGRATION_PRE_ENTRY"))),IF(LEFT(D268,1)="2","DECLINING_KEY_CORE",IF(LEFT(D268,1)="3",IF(R268="Established Buyer Lapsed","LAPSED_ESTABLISHED","LAPSED_THIN_HISTORY"),IF(LEFT(D268,1)="4",IF(Q268="New Customer","NEW_CUSTOMER","RETURNED_CUSTOMER"),IF(LEFT(D268,1)="5",IF(P268="Recently Active","COST_TO_SERVE_ACTIVE","DORMANT_LOW_VALUE"),IF(LEFT(D268,1)="6",IF(P268="Recent Inactivity","RECENT_INACTIVITY",IF(AG268,"BROWSING_LOW_OFFERS","HEALTHY_STRONG_SELF_SERVE")),IF(LEFT(D268,1)="7",IF(P268="Recent Inactivity","RECENT_INACTIVITY",IF(Q268="New Customer","NEW_CUSTOMER","RETURNED_CUSTOMER")),IF(LEFT(D268,1)="8",IF(G268="Declining",IF(T268="Engaged but shrinking (Key/Core)","ENGAGED_BUT_SHRINKING","DECLINING_KEY_CORE"),IF(R268="Established Buyer Lapsed","LAPSED_ESTABLISHED","LAPSED_THIN_HISTORY")),IF(S268,IF(P268&lt;&gt;"Recently Active","DORMANT_LOW_VALUE",IF(AG268,"BROWSING_LOW_OFFERS",IF(AH268,"RISING_TAIL","RISING_TAIL_EARLY"))),IF(AND(AG268,P268="Recently Active",OR(G268="Growing",G268="Stable",G268="H2 Active / No H1 GMV"),I268&gt;=Assumptions!$B$74),"BROWSING_LOW_OFFERS","LONG_TAIL_STANDARD"))))))))))</f>
        <v>LONG_TAIL_STANDARD</v>
      </c>
      <c r="AK268" s="2" t="str">
        <f aca="false">INDEX('NBA Library'!$B$4:$B$21,MATCH(AJ268,'NBA Library'!$A$4:$A$21,0))</f>
        <v>Automated Nurture</v>
      </c>
      <c r="AL268" s="2" t="str">
        <f aca="false">INDEX('NBA Library'!$C$4:$C$21,MATCH(AJ268,'NBA Library'!$A$4:$A$21,0))</f>
        <v>Automated</v>
      </c>
      <c r="AM268" s="2" t="str">
        <f aca="false">IF(AA268,"HOLD — Critical Data Issue",IF(Y268,"Human Sign-Off Required",IF(Z268="Manual Review","Human Review Required",IF(AND(AL268="Automated",OR(AE268,AND(OR(AK268="Discovery-to-Offer Enablement",AK268="Reinforce Successful Behaviour"),OR(AC268,AB268)))),"Human Review Required",IF(AL268="Human","Ready — Human",IF(AL268="Hybrid","Ready — Hybrid","Ready — Automated"))))))</f>
        <v>Ready — Automated</v>
      </c>
      <c r="AN268" s="2" t="str">
        <f aca="false">IF(AA268,"P0",IF(AND(AJ268="BROWSING_LOW_OFFERS",E268="Tail"),"P3",IF(AND(AM268="Human Review Required",INDEX('NBA Library'!$D$4:$D$21,MATCH(AJ268,'NBA Library'!$A$4:$A$21,0))="P4"),"P3",INDEX('NBA Library'!$D$4:$D$21,MATCH(AJ268,'NBA Library'!$A$4:$A$21,0)))))</f>
        <v>P4</v>
      </c>
      <c r="AO268" s="2" t="str">
        <f aca="false">E268&amp;" "&amp;C268&amp;" account ("&amp;B268&amp;"); "&amp;G268&amp;" momentum; "&amp;P268&amp;"; £"&amp;TEXT(H268,"#,##0")&amp;" 6m GMV. "&amp;INDEX('NBA Library'!$G$4:$G$21,MATCH(AJ268,'NBA Library'!$A$4:$A$21,0))&amp;IF(LEFT(D268,1)="1"," Baseline: "&amp;V268&amp;" PDP views, "&amp;W268&amp;" app days, "&amp;X268&amp;" offers, "&amp;TEXT(J268/I268,"0%")&amp;" of orders self-serve.","")&amp;IF(AA268," Execution on HOLD until the Duplicate status is resolved.","")&amp;IF(Y268," Key account: explicit AM/leadership sign-off required before any migration activity.","")&amp;IF(AE268," Implied broker % from order counts would move this account to a different segment; review before automating.","")</f>
        <v>Tail Self-Serve account (Self Serve); Lapsed momentum; No Meaningful History; £186 6m GMV. Low-value, low-dependency account. Scalable automated engagement.</v>
      </c>
      <c r="AP268" s="2" t="str">
        <f aca="false">INDEX('NBA Library'!$E$4:$E$21,MATCH(AJ268,'NBA Library'!$A$4:$A$21,0))&amp;IF(AND(AJ268="NEW_CUSTOMER",AG268),"; introduce Make-an-Offer on items already browsed","")</f>
        <v>Scalable automated engagement matched to nurture sub-context</v>
      </c>
      <c r="AQ268" s="2" t="str">
        <f aca="false">INDEX('NBA Library'!$F$4:$F$21,MATCH(AJ268,'NBA Library'!$A$4:$A$21,0))</f>
        <v>Any repeat order within 90 days</v>
      </c>
      <c r="AR268" s="2" t="str">
        <f aca="false">IF(AND(F268="Low",OR(G268="Growing",G268="Stable"),P268="Recently Active",U268&lt;&gt;"Mixed",OR(AK268="Discovery-to-Offer Enablement",AK268="Reinforce Successful Behaviour"),AM268="Ready — Automated",OR(E268&lt;&gt;"Tail",S268)),"Range Expansion Test — trial "&amp;IF(U268="Bundle-only","handpick","bundles")&amp;" (experimental; not proven to lift GMV)","")</f>
        <v/>
      </c>
      <c r="AS268" s="2" t="str">
        <f aca="false">IF(AK268&lt;&gt;"Automated Nurture","",IF(AJ268="DORMANT_LOW_VALUE","Dormant",IF(AJ268="RISING_TAIL_EARLY","Rising tail – early pattern",IF(Q268="New Customer","New customer onboarding",IF(Q268="Returned Customer","Returned customer",IF(G268="Lapsed","Dormant",IF(T268="Engaged, not converting","Engaged, not converting",IF(T268="One-off low-touch buyer","One-off purchaser",IF(T268="Light-touch repeat buyer","Light-touch repeat buyer","Standard long tail")))))))))</f>
        <v>Dormant</v>
      </c>
      <c r="AT268" s="2" t="str">
        <f aca="false">IF(AA268,"CRITICAL_DATA_BLOCKER; ","")&amp;IF(Y268,"KEY_SIGNOFF; ","")&amp;IF(Z268="Manual Review","PHASE1_MANUAL_REVIEW; ","")&amp;IF(AND(LEFT(D268,1)="1",AZ268="Lumpy"),"LUMPY_CADENCE; ","")&amp;IF(AB268,"BORDERLINE_MOMENTUM; ","")&amp;IF(AC268,"FEB_SENSITIVE; ","")&amp;IF(AD268,"MATERIAL_BROKER_INCONSISTENCY"&amp;IF(AE268," (segment would change)","")&amp;"; ","")&amp;IF(AND(I268&gt;=3,O268&gt;0),IF(AI268&gt;=Assumptions!$B$75,"H2_SINGLE_MONTH_SPIKE; ",""),"")&amp;IF(AND(M268&gt;0,N268=0),"NO_FEB_GMV (Feb unconfirmed); ","")&amp;IF(AF268,"LOW_CONFIDENCE; ","")</f>
        <v>LOW_CONFIDENCE; </v>
      </c>
      <c r="AU268" s="2" t="str">
        <f aca="false">IF(LEFT(D268,1)="1",V268,"")</f>
        <v/>
      </c>
      <c r="AV268" s="2" t="str">
        <f aca="false">IF(LEFT(D268,1)="1",V268&gt;=Assumptions!$B$58,"")</f>
        <v/>
      </c>
      <c r="AW268" s="2" t="str">
        <f aca="false">IF(LEFT(D268,1)="1",W268,"")</f>
        <v/>
      </c>
      <c r="AX268" s="2" t="str">
        <f aca="false">IF(LEFT(D268,1)="1",X268,"")</f>
        <v/>
      </c>
      <c r="AY268" s="17" t="str">
        <f aca="false">IF(LEFT(D268,1)="1",J268/I268,"")</f>
        <v/>
      </c>
      <c r="AZ268" s="2" t="str">
        <f aca="false">IF(LEFT(D268,1)="1",IF(AND(K268&gt;=Assumptions!$B$83,I268&gt;=Assumptions!$B$84),"Regular","Lumpy"),"")</f>
        <v/>
      </c>
      <c r="BA268" s="2" t="str">
        <f aca="false">IF(LEFT(D268,1)="1",ROUND(6/K268,0),"")</f>
        <v/>
      </c>
      <c r="BB268" s="2" t="str">
        <f aca="false">IF(LEFT(D268,1)="1",IF(AZ268="Regular","Regular buyer: expected ~£"&amp;TEXT(H268/2,"#,##0")&amp;" per 90 days. At Risk if GMV to date &lt; "&amp;TEXT(Assumptions!$B$81,"0%")&amp;" of pro-rated expectation, checked from day "&amp;Assumptions!$B$82&amp;". Human-reviewed.","Irregular buyer ("&amp;I268&amp;" orders across "&amp;K268&amp;" months): no numeric GMV threshold. At Risk if no order within ~"&amp;BA268&amp;" month(s); AM reviews at day "&amp;Assumptions!$B$82&amp;" and "&amp;Assumptions!$B$85&amp;"."),"")</f>
        <v/>
      </c>
      <c r="BC268" s="2"/>
      <c r="BD268" s="2"/>
      <c r="BE268" s="2"/>
      <c r="BF268" s="2"/>
      <c r="BG268" s="2"/>
      <c r="BH268" s="2"/>
      <c r="BI268" s="2"/>
      <c r="BJ268" s="2" t="str">
        <f aca="false">IF(OR(NOT(LEFT(D268,1)="1"),BC268=""),"",IF(AZ268="Regular",AND(BC268&gt;=Assumptions!$B$82,N(BI268)&lt;Assumptions!$B$81*H268/180*BC268),AND(BC268&gt;=BA268*30,N(BG268)=0)))</f>
        <v/>
      </c>
      <c r="BK268" s="2" t="str">
        <f aca="false">IF(NOT(LEFT(D268,1)="1"),"N/A",IF(BC268="","Baseline",IF(BJ268,"At Risk",IF(AND(N(BD268)&gt;=Assumptions!$B$78,N(BE268)&gt;=Assumptions!$B$79,N(BH268)&gt;=1,N(BH268)/MAX(N(BG268),1)&gt;AY268),"Self-Serve Capability Demonstrated",IF(OR(N(BD268)&gt;=Assumptions!$B$76,N(BE268)&gt;=Assumptions!$B$77),"Progressing",IF(BC268&gt;=Assumptions!$B$85,"At Risk","Baseline"))))))</f>
        <v>N/A</v>
      </c>
      <c r="BL268" s="2" t="n">
        <f aca="false">(AND(C268="Broker-Reliant",OR(AK268="Discovery-to-Offer Enablement",AK268="Reinforce Successful Behaviour")))*1+(AND(G268="Declining",E268&lt;&gt;"Tail",AL268="Automated"))*1+(AND(Y268,AM268&lt;&gt;"Human Sign-Off Required"))*1+(AND(AA268,AM268&lt;&gt;"HOLD — Critical Data Issue"))*1+(AND(P268="Recent Inactivity",OR(AK268="Discovery-to-Offer Enablement",AK268="Reinforce Successful Behaviour")))*1+(AND(OR(LEFT(D268,1)="2",LEFT(D268,1)="3",LEFT(D268,1)="8"),AL268="Automated"))*1+((LEFT(D268,1)="1")&lt;&gt;(AK268="Guided Self-Serve Migration"))*1+(AND(AR268&lt;&gt;"",OR(F268&lt;&gt;"Low",U268="Mixed",AND(G268&lt;&gt;"Growing",G268&lt;&gt;"Stable"))))*1+ISNUMBER(SEARCH("chat",AP268))*1+ISNUMBER(SEARCH("video",AP268))*1+(AND(AA268,AL268="Automated",AM268&lt;&gt;"HOLD — Critical Data Issue"))*1</f>
        <v>0</v>
      </c>
    </row>
    <row r="269" customFormat="false" ht="15" hidden="false" customHeight="false" outlineLevel="0" collapsed="false">
      <c r="A269" s="2" t="s">
        <v>880</v>
      </c>
      <c r="B269" s="2" t="str">
        <f aca="false">INDEX(Segmentation!$B$2:$B$301,MATCH($A269,Segmentation!$A$2:$A$301,0))</f>
        <v>Self Serve</v>
      </c>
      <c r="C269" s="2" t="str">
        <f aca="false">INDEX(Segmentation!$H$2:$H$301,MATCH($A269,Segmentation!$A$2:$A$301,0))</f>
        <v>Self-Serve</v>
      </c>
      <c r="D269" s="2" t="str">
        <f aca="false">INDEX(Segmentation!$T$2:$T$301,MATCH($A269,Segmentation!$A$2:$A$301,0))</f>
        <v>9. Long-Tail Automated Nurture</v>
      </c>
      <c r="E269" s="2" t="str">
        <f aca="false">INDEX(Segmentation!$J$2:$J$301,MATCH($A269,Segmentation!$A$2:$A$301,0))</f>
        <v>Tail</v>
      </c>
      <c r="F269" s="2" t="str">
        <f aca="false">INDEX(Segmentation!$G$2:$G$301,MATCH($A269,Segmentation!$A$2:$A$301,0))</f>
        <v>Low</v>
      </c>
      <c r="G269" s="2" t="str">
        <f aca="false">INDEX(Segmentation!$N$2:$N$301,MATCH($A269,Segmentation!$A$2:$A$301,0))</f>
        <v>H2 Active / No H1 GMV</v>
      </c>
      <c r="H269" s="9" t="n">
        <f aca="false">INDEX(Segmentation!$I$2:$I$301,MATCH($A269,Segmentation!$A$2:$A$301,0))</f>
        <v>182</v>
      </c>
      <c r="I269" s="2" t="n">
        <f aca="false">INDEX(Segmentation!$O$2:$O$301,MATCH($A269,Segmentation!$A$2:$A$301,0))</f>
        <v>2</v>
      </c>
      <c r="J269" s="2" t="n">
        <f aca="false">INDEX(Segmentation!$Q$2:$Q$301,MATCH($A269,Segmentation!$A$2:$A$301,0))</f>
        <v>2</v>
      </c>
      <c r="K269" s="2" t="n">
        <f aca="false">INDEX(Segmentation!$W$2:$W$301,MATCH($A269,Segmentation!$A$2:$A$301,0))</f>
        <v>1</v>
      </c>
      <c r="L269" s="9" t="n">
        <f aca="false">INDEX('Commercial View'!$L$2:$L$301,MATCH($A269,'Commercial View'!$A$2:$A$301,0))</f>
        <v>0</v>
      </c>
      <c r="M269" s="9" t="n">
        <f aca="false">INDEX('Commercial View'!$M$2:$M$301,MATCH($A269,'Commercial View'!$A$2:$A$301,0))</f>
        <v>182</v>
      </c>
      <c r="N269" s="9" t="n">
        <f aca="false">INDEX('Commercial View'!$N$2:$N$301,MATCH($A269,'Commercial View'!$A$2:$A$301,0))</f>
        <v>0</v>
      </c>
      <c r="O269" s="9" t="n">
        <f aca="false">INDEX(Segmentation!$L$2:$L$301,MATCH($A269,Segmentation!$A$2:$A$301,0))</f>
        <v>182</v>
      </c>
      <c r="P269" s="2" t="str">
        <f aca="false">IF(OR(M269&gt;0,N269&gt;0),"Recently Active",IF(OR(I269&lt;=Assumptions!$B$48,K269&lt;=Assumptions!$B$49),"No Meaningful History","Recent Inactivity"))</f>
        <v>Recently Active</v>
      </c>
      <c r="Q269" s="2" t="str">
        <f aca="false">INDEX(Segmentation!$AF$2:$AF$301,MATCH($A269,Segmentation!$A$2:$A$301,0))</f>
        <v>New Customer</v>
      </c>
      <c r="R269" s="2" t="str">
        <f aca="false">INDEX(Segmentation!$AL$2:$AL$301,MATCH($A269,Segmentation!$A$2:$A$301,0))</f>
        <v>N/A</v>
      </c>
      <c r="S269" s="10" t="b">
        <f aca="false">INDEX(Segmentation!$AW$2:$AW$301,MATCH($A269,Segmentation!$A$2:$A$301,0))</f>
        <v>0</v>
      </c>
      <c r="T269" s="2" t="str">
        <f aca="false">INDEX('Feature Data'!$AD$2:$AD$301,MATCH($A269,'Feature Data'!$A$2:$A$301,0))</f>
        <v>Light-touch repeat buyer</v>
      </c>
      <c r="U269" s="2" t="str">
        <f aca="false">INDEX('Feature Data'!$W$2:$W$301,MATCH($A269,'Feature Data'!$A$2:$A$301,0))</f>
        <v>Mixed</v>
      </c>
      <c r="V269" s="2" t="n">
        <f aca="false">INDEX('Feature Data'!$P$2:$P$301,MATCH($A269,'Feature Data'!$A$2:$A$301,0))</f>
        <v>195</v>
      </c>
      <c r="W269" s="2" t="n">
        <f aca="false">INDEX(Segmentation!$R$2:$R$301,MATCH($A269,Segmentation!$A$2:$A$301,0))</f>
        <v>10</v>
      </c>
      <c r="X269" s="2" t="n">
        <f aca="false">INDEX(Segmentation!$S$2:$S$301,MATCH($A269,Segmentation!$A$2:$A$301,0))</f>
        <v>6</v>
      </c>
      <c r="Y269" s="10" t="b">
        <f aca="false">INDEX(Segmentation!$AG$2:$AG$301,MATCH($A269,Segmentation!$A$2:$A$301,0))</f>
        <v>0</v>
      </c>
      <c r="Z269" s="2" t="str">
        <f aca="false">INDEX(Segmentation!$AU$2:$AU$301,MATCH($A269,Segmentation!$A$2:$A$301,0))</f>
        <v>Not Eligible</v>
      </c>
      <c r="AA269" s="10" t="b">
        <f aca="false">INDEX(Segmentation!$Z$2:$Z$301,MATCH($A269,Segmentation!$A$2:$A$301,0))</f>
        <v>0</v>
      </c>
      <c r="AB269" s="10" t="b">
        <f aca="false">INDEX(Segmentation!$AH$2:$AH$301,MATCH($A269,Segmentation!$A$2:$A$301,0))</f>
        <v>0</v>
      </c>
      <c r="AC269" s="10" t="b">
        <f aca="false">INDEX(Segmentation!$AK$2:$AK$301,MATCH($A269,Segmentation!$A$2:$A$301,0))</f>
        <v>0</v>
      </c>
      <c r="AD269" s="10" t="b">
        <f aca="false">INDEX(Segmentation!$AQ$2:$AQ$301,MATCH($A269,Segmentation!$A$2:$A$301,0))</f>
        <v>0</v>
      </c>
      <c r="AE269" s="10" t="b">
        <f aca="false">INDEX(Segmentation!$AT$2:$AT$301,MATCH($A269,Segmentation!$A$2:$A$301,0))</f>
        <v>0</v>
      </c>
      <c r="AF269" s="10" t="b">
        <f aca="false">INDEX(Segmentation!$X$2:$X$301,MATCH($A269,Segmentation!$A$2:$A$301,0))</f>
        <v>1</v>
      </c>
      <c r="AG269" s="10" t="b">
        <f aca="false">AND(F269="Low",V269&gt;=Assumptions!$B$71,X269&lt;Assumptions!$B$72)</f>
        <v>0</v>
      </c>
      <c r="AH269" s="10" t="b">
        <f aca="false">AND(F269="Low",OR(G269="Growing",G269="Stable"),P269="Recently Active",V269&gt;=Assumptions!$B$58,K269&gt;=Assumptions!$B$73)</f>
        <v>0</v>
      </c>
      <c r="AI269" s="17" t="n">
        <f aca="false">IF(O269&gt;0,MAX(L269:N269)/O269,"")</f>
        <v>1</v>
      </c>
      <c r="AJ269" s="2" t="str">
        <f aca="false">IF(LEFT(D269,1)="1",IF(E269="Key","MIGRATION_KEY_SIGNOFF",IF(Z269="Ready","MIGRATION_PHASE1_READY",IF(Z269="Manual Review","MIGRATION_PHASE1_REVIEW","MIGRATION_PRE_ENTRY"))),IF(LEFT(D269,1)="2","DECLINING_KEY_CORE",IF(LEFT(D269,1)="3",IF(R269="Established Buyer Lapsed","LAPSED_ESTABLISHED","LAPSED_THIN_HISTORY"),IF(LEFT(D269,1)="4",IF(Q269="New Customer","NEW_CUSTOMER","RETURNED_CUSTOMER"),IF(LEFT(D269,1)="5",IF(P269="Recently Active","COST_TO_SERVE_ACTIVE","DORMANT_LOW_VALUE"),IF(LEFT(D269,1)="6",IF(P269="Recent Inactivity","RECENT_INACTIVITY",IF(AG269,"BROWSING_LOW_OFFERS","HEALTHY_STRONG_SELF_SERVE")),IF(LEFT(D269,1)="7",IF(P269="Recent Inactivity","RECENT_INACTIVITY",IF(Q269="New Customer","NEW_CUSTOMER","RETURNED_CUSTOMER")),IF(LEFT(D269,1)="8",IF(G269="Declining",IF(T269="Engaged but shrinking (Key/Core)","ENGAGED_BUT_SHRINKING","DECLINING_KEY_CORE"),IF(R269="Established Buyer Lapsed","LAPSED_ESTABLISHED","LAPSED_THIN_HISTORY")),IF(S269,IF(P269&lt;&gt;"Recently Active","DORMANT_LOW_VALUE",IF(AG269,"BROWSING_LOW_OFFERS",IF(AH269,"RISING_TAIL","RISING_TAIL_EARLY"))),IF(AND(AG269,P269="Recently Active",OR(G269="Growing",G269="Stable",G269="H2 Active / No H1 GMV"),I269&gt;=Assumptions!$B$74),"BROWSING_LOW_OFFERS","LONG_TAIL_STANDARD"))))))))))</f>
        <v>LONG_TAIL_STANDARD</v>
      </c>
      <c r="AK269" s="2" t="str">
        <f aca="false">INDEX('NBA Library'!$B$4:$B$21,MATCH(AJ269,'NBA Library'!$A$4:$A$21,0))</f>
        <v>Automated Nurture</v>
      </c>
      <c r="AL269" s="2" t="str">
        <f aca="false">INDEX('NBA Library'!$C$4:$C$21,MATCH(AJ269,'NBA Library'!$A$4:$A$21,0))</f>
        <v>Automated</v>
      </c>
      <c r="AM269" s="2" t="str">
        <f aca="false">IF(AA269,"HOLD — Critical Data Issue",IF(Y269,"Human Sign-Off Required",IF(Z269="Manual Review","Human Review Required",IF(AND(AL269="Automated",OR(AE269,AND(OR(AK269="Discovery-to-Offer Enablement",AK269="Reinforce Successful Behaviour"),OR(AC269,AB269)))),"Human Review Required",IF(AL269="Human","Ready — Human",IF(AL269="Hybrid","Ready — Hybrid","Ready — Automated"))))))</f>
        <v>Ready — Automated</v>
      </c>
      <c r="AN269" s="2" t="str">
        <f aca="false">IF(AA269,"P0",IF(AND(AJ269="BROWSING_LOW_OFFERS",E269="Tail"),"P3",IF(AND(AM269="Human Review Required",INDEX('NBA Library'!$D$4:$D$21,MATCH(AJ269,'NBA Library'!$A$4:$A$21,0))="P4"),"P3",INDEX('NBA Library'!$D$4:$D$21,MATCH(AJ269,'NBA Library'!$A$4:$A$21,0)))))</f>
        <v>P4</v>
      </c>
      <c r="AO269" s="2" t="str">
        <f aca="false">E269&amp;" "&amp;C269&amp;" account ("&amp;B269&amp;"); "&amp;G269&amp;" momentum; "&amp;P269&amp;"; £"&amp;TEXT(H269,"#,##0")&amp;" 6m GMV. "&amp;INDEX('NBA Library'!$G$4:$G$21,MATCH(AJ269,'NBA Library'!$A$4:$A$21,0))&amp;IF(LEFT(D269,1)="1"," Baseline: "&amp;V269&amp;" PDP views, "&amp;W269&amp;" app days, "&amp;X269&amp;" offers, "&amp;TEXT(J269/I269,"0%")&amp;" of orders self-serve.","")&amp;IF(AA269," Execution on HOLD until the Duplicate status is resolved.","")&amp;IF(Y269," Key account: explicit AM/leadership sign-off required before any migration activity.","")&amp;IF(AE269," Implied broker % from order counts would move this account to a different segment; review before automating.","")</f>
        <v>Tail Self-Serve account (Self Serve); H2 Active / No H1 GMV momentum; Recently Active; £182 6m GMV. Low-value, low-dependency account. Scalable automated engagement.</v>
      </c>
      <c r="AP269" s="2" t="str">
        <f aca="false">INDEX('NBA Library'!$E$4:$E$21,MATCH(AJ269,'NBA Library'!$A$4:$A$21,0))&amp;IF(AND(AJ269="NEW_CUSTOMER",AG269),"; introduce Make-an-Offer on items already browsed","")</f>
        <v>Scalable automated engagement matched to nurture sub-context</v>
      </c>
      <c r="AQ269" s="2" t="str">
        <f aca="false">INDEX('NBA Library'!$F$4:$F$21,MATCH(AJ269,'NBA Library'!$A$4:$A$21,0))</f>
        <v>Any repeat order within 90 days</v>
      </c>
      <c r="AR269" s="2" t="str">
        <f aca="false">IF(AND(F269="Low",OR(G269="Growing",G269="Stable"),P269="Recently Active",U269&lt;&gt;"Mixed",OR(AK269="Discovery-to-Offer Enablement",AK269="Reinforce Successful Behaviour"),AM269="Ready — Automated",OR(E269&lt;&gt;"Tail",S269)),"Range Expansion Test — trial "&amp;IF(U269="Bundle-only","handpick","bundles")&amp;" (experimental; not proven to lift GMV)","")</f>
        <v/>
      </c>
      <c r="AS269" s="2" t="str">
        <f aca="false">IF(AK269&lt;&gt;"Automated Nurture","",IF(AJ269="DORMANT_LOW_VALUE","Dormant",IF(AJ269="RISING_TAIL_EARLY","Rising tail – early pattern",IF(Q269="New Customer","New customer onboarding",IF(Q269="Returned Customer","Returned customer",IF(G269="Lapsed","Dormant",IF(T269="Engaged, not converting","Engaged, not converting",IF(T269="One-off low-touch buyer","One-off purchaser",IF(T269="Light-touch repeat buyer","Light-touch repeat buyer","Standard long tail")))))))))</f>
        <v>New customer onboarding</v>
      </c>
      <c r="AT269" s="2" t="str">
        <f aca="false">IF(AA269,"CRITICAL_DATA_BLOCKER; ","")&amp;IF(Y269,"KEY_SIGNOFF; ","")&amp;IF(Z269="Manual Review","PHASE1_MANUAL_REVIEW; ","")&amp;IF(AND(LEFT(D269,1)="1",AZ269="Lumpy"),"LUMPY_CADENCE; ","")&amp;IF(AB269,"BORDERLINE_MOMENTUM; ","")&amp;IF(AC269,"FEB_SENSITIVE; ","")&amp;IF(AD269,"MATERIAL_BROKER_INCONSISTENCY"&amp;IF(AE269," (segment would change)","")&amp;"; ","")&amp;IF(AND(I269&gt;=3,O269&gt;0),IF(AI269&gt;=Assumptions!$B$75,"H2_SINGLE_MONTH_SPIKE; ",""),"")&amp;IF(AND(M269&gt;0,N269=0),"NO_FEB_GMV (Feb unconfirmed); ","")&amp;IF(AF269,"LOW_CONFIDENCE; ","")</f>
        <v>NO_FEB_GMV (Feb unconfirmed); LOW_CONFIDENCE; </v>
      </c>
      <c r="AU269" s="2" t="str">
        <f aca="false">IF(LEFT(D269,1)="1",V269,"")</f>
        <v/>
      </c>
      <c r="AV269" s="2" t="str">
        <f aca="false">IF(LEFT(D269,1)="1",V269&gt;=Assumptions!$B$58,"")</f>
        <v/>
      </c>
      <c r="AW269" s="2" t="str">
        <f aca="false">IF(LEFT(D269,1)="1",W269,"")</f>
        <v/>
      </c>
      <c r="AX269" s="2" t="str">
        <f aca="false">IF(LEFT(D269,1)="1",X269,"")</f>
        <v/>
      </c>
      <c r="AY269" s="17" t="str">
        <f aca="false">IF(LEFT(D269,1)="1",J269/I269,"")</f>
        <v/>
      </c>
      <c r="AZ269" s="2" t="str">
        <f aca="false">IF(LEFT(D269,1)="1",IF(AND(K269&gt;=Assumptions!$B$83,I269&gt;=Assumptions!$B$84),"Regular","Lumpy"),"")</f>
        <v/>
      </c>
      <c r="BA269" s="2" t="str">
        <f aca="false">IF(LEFT(D269,1)="1",ROUND(6/K269,0),"")</f>
        <v/>
      </c>
      <c r="BB269" s="2" t="str">
        <f aca="false">IF(LEFT(D269,1)="1",IF(AZ269="Regular","Regular buyer: expected ~£"&amp;TEXT(H269/2,"#,##0")&amp;" per 90 days. At Risk if GMV to date &lt; "&amp;TEXT(Assumptions!$B$81,"0%")&amp;" of pro-rated expectation, checked from day "&amp;Assumptions!$B$82&amp;". Human-reviewed.","Irregular buyer ("&amp;I269&amp;" orders across "&amp;K269&amp;" months): no numeric GMV threshold. At Risk if no order within ~"&amp;BA269&amp;" month(s); AM reviews at day "&amp;Assumptions!$B$82&amp;" and "&amp;Assumptions!$B$85&amp;"."),"")</f>
        <v/>
      </c>
      <c r="BC269" s="2"/>
      <c r="BD269" s="2"/>
      <c r="BE269" s="2"/>
      <c r="BF269" s="2"/>
      <c r="BG269" s="2"/>
      <c r="BH269" s="2"/>
      <c r="BI269" s="2"/>
      <c r="BJ269" s="2" t="str">
        <f aca="false">IF(OR(NOT(LEFT(D269,1)="1"),BC269=""),"",IF(AZ269="Regular",AND(BC269&gt;=Assumptions!$B$82,N(BI269)&lt;Assumptions!$B$81*H269/180*BC269),AND(BC269&gt;=BA269*30,N(BG269)=0)))</f>
        <v/>
      </c>
      <c r="BK269" s="2" t="str">
        <f aca="false">IF(NOT(LEFT(D269,1)="1"),"N/A",IF(BC269="","Baseline",IF(BJ269,"At Risk",IF(AND(N(BD269)&gt;=Assumptions!$B$78,N(BE269)&gt;=Assumptions!$B$79,N(BH269)&gt;=1,N(BH269)/MAX(N(BG269),1)&gt;AY269),"Self-Serve Capability Demonstrated",IF(OR(N(BD269)&gt;=Assumptions!$B$76,N(BE269)&gt;=Assumptions!$B$77),"Progressing",IF(BC269&gt;=Assumptions!$B$85,"At Risk","Baseline"))))))</f>
        <v>N/A</v>
      </c>
      <c r="BL269" s="2" t="n">
        <f aca="false">(AND(C269="Broker-Reliant",OR(AK269="Discovery-to-Offer Enablement",AK269="Reinforce Successful Behaviour")))*1+(AND(G269="Declining",E269&lt;&gt;"Tail",AL269="Automated"))*1+(AND(Y269,AM269&lt;&gt;"Human Sign-Off Required"))*1+(AND(AA269,AM269&lt;&gt;"HOLD — Critical Data Issue"))*1+(AND(P269="Recent Inactivity",OR(AK269="Discovery-to-Offer Enablement",AK269="Reinforce Successful Behaviour")))*1+(AND(OR(LEFT(D269,1)="2",LEFT(D269,1)="3",LEFT(D269,1)="8"),AL269="Automated"))*1+((LEFT(D269,1)="1")&lt;&gt;(AK269="Guided Self-Serve Migration"))*1+(AND(AR269&lt;&gt;"",OR(F269&lt;&gt;"Low",U269="Mixed",AND(G269&lt;&gt;"Growing",G269&lt;&gt;"Stable"))))*1+ISNUMBER(SEARCH("chat",AP269))*1+ISNUMBER(SEARCH("video",AP269))*1+(AND(AA269,AL269="Automated",AM269&lt;&gt;"HOLD — Critical Data Issue"))*1</f>
        <v>0</v>
      </c>
    </row>
    <row r="270" customFormat="false" ht="15" hidden="false" customHeight="false" outlineLevel="0" collapsed="false">
      <c r="A270" s="2" t="s">
        <v>882</v>
      </c>
      <c r="B270" s="2" t="str">
        <f aca="false">INDEX(Segmentation!$B$2:$B$301,MATCH($A270,Segmentation!$A$2:$A$301,0))</f>
        <v>Self Serve</v>
      </c>
      <c r="C270" s="2" t="str">
        <f aca="false">INDEX(Segmentation!$H$2:$H$301,MATCH($A270,Segmentation!$A$2:$A$301,0))</f>
        <v>Self-Serve</v>
      </c>
      <c r="D270" s="2" t="str">
        <f aca="false">INDEX(Segmentation!$T$2:$T$301,MATCH($A270,Segmentation!$A$2:$A$301,0))</f>
        <v>9. Long-Tail Automated Nurture</v>
      </c>
      <c r="E270" s="2" t="str">
        <f aca="false">INDEX(Segmentation!$J$2:$J$301,MATCH($A270,Segmentation!$A$2:$A$301,0))</f>
        <v>Tail</v>
      </c>
      <c r="F270" s="2" t="str">
        <f aca="false">INDEX(Segmentation!$G$2:$G$301,MATCH($A270,Segmentation!$A$2:$A$301,0))</f>
        <v>Low</v>
      </c>
      <c r="G270" s="2" t="str">
        <f aca="false">INDEX(Segmentation!$N$2:$N$301,MATCH($A270,Segmentation!$A$2:$A$301,0))</f>
        <v>H2 Active / No H1 GMV</v>
      </c>
      <c r="H270" s="9" t="n">
        <f aca="false">INDEX(Segmentation!$I$2:$I$301,MATCH($A270,Segmentation!$A$2:$A$301,0))</f>
        <v>181</v>
      </c>
      <c r="I270" s="2" t="n">
        <f aca="false">INDEX(Segmentation!$O$2:$O$301,MATCH($A270,Segmentation!$A$2:$A$301,0))</f>
        <v>1</v>
      </c>
      <c r="J270" s="2" t="n">
        <f aca="false">INDEX(Segmentation!$Q$2:$Q$301,MATCH($A270,Segmentation!$A$2:$A$301,0))</f>
        <v>1</v>
      </c>
      <c r="K270" s="2" t="n">
        <f aca="false">INDEX(Segmentation!$W$2:$W$301,MATCH($A270,Segmentation!$A$2:$A$301,0))</f>
        <v>1</v>
      </c>
      <c r="L270" s="9" t="n">
        <f aca="false">INDEX('Commercial View'!$L$2:$L$301,MATCH($A270,'Commercial View'!$A$2:$A$301,0))</f>
        <v>0</v>
      </c>
      <c r="M270" s="9" t="n">
        <f aca="false">INDEX('Commercial View'!$M$2:$M$301,MATCH($A270,'Commercial View'!$A$2:$A$301,0))</f>
        <v>181</v>
      </c>
      <c r="N270" s="9" t="n">
        <f aca="false">INDEX('Commercial View'!$N$2:$N$301,MATCH($A270,'Commercial View'!$A$2:$A$301,0))</f>
        <v>0</v>
      </c>
      <c r="O270" s="9" t="n">
        <f aca="false">INDEX(Segmentation!$L$2:$L$301,MATCH($A270,Segmentation!$A$2:$A$301,0))</f>
        <v>181</v>
      </c>
      <c r="P270" s="2" t="str">
        <f aca="false">IF(OR(M270&gt;0,N270&gt;0),"Recently Active",IF(OR(I270&lt;=Assumptions!$B$48,K270&lt;=Assumptions!$B$49),"No Meaningful History","Recent Inactivity"))</f>
        <v>Recently Active</v>
      </c>
      <c r="Q270" s="2" t="str">
        <f aca="false">INDEX(Segmentation!$AF$2:$AF$301,MATCH($A270,Segmentation!$A$2:$A$301,0))</f>
        <v>New Customer</v>
      </c>
      <c r="R270" s="2" t="str">
        <f aca="false">INDEX(Segmentation!$AL$2:$AL$301,MATCH($A270,Segmentation!$A$2:$A$301,0))</f>
        <v>N/A</v>
      </c>
      <c r="S270" s="10" t="b">
        <f aca="false">INDEX(Segmentation!$AW$2:$AW$301,MATCH($A270,Segmentation!$A$2:$A$301,0))</f>
        <v>0</v>
      </c>
      <c r="T270" s="2" t="str">
        <f aca="false">INDEX('Feature Data'!$AD$2:$AD$301,MATCH($A270,'Feature Data'!$A$2:$A$301,0))</f>
        <v>One-off low-touch buyer</v>
      </c>
      <c r="U270" s="2" t="str">
        <f aca="false">INDEX('Feature Data'!$W$2:$W$301,MATCH($A270,'Feature Data'!$A$2:$A$301,0))</f>
        <v>Bundle-only</v>
      </c>
      <c r="V270" s="2" t="n">
        <f aca="false">INDEX('Feature Data'!$P$2:$P$301,MATCH($A270,'Feature Data'!$A$2:$A$301,0))</f>
        <v>90</v>
      </c>
      <c r="W270" s="2" t="n">
        <f aca="false">INDEX(Segmentation!$R$2:$R$301,MATCH($A270,Segmentation!$A$2:$A$301,0))</f>
        <v>4</v>
      </c>
      <c r="X270" s="2" t="n">
        <f aca="false">INDEX(Segmentation!$S$2:$S$301,MATCH($A270,Segmentation!$A$2:$A$301,0))</f>
        <v>1</v>
      </c>
      <c r="Y270" s="10" t="b">
        <f aca="false">INDEX(Segmentation!$AG$2:$AG$301,MATCH($A270,Segmentation!$A$2:$A$301,0))</f>
        <v>0</v>
      </c>
      <c r="Z270" s="2" t="str">
        <f aca="false">INDEX(Segmentation!$AU$2:$AU$301,MATCH($A270,Segmentation!$A$2:$A$301,0))</f>
        <v>Not Eligible</v>
      </c>
      <c r="AA270" s="10" t="b">
        <f aca="false">INDEX(Segmentation!$Z$2:$Z$301,MATCH($A270,Segmentation!$A$2:$A$301,0))</f>
        <v>0</v>
      </c>
      <c r="AB270" s="10" t="b">
        <f aca="false">INDEX(Segmentation!$AH$2:$AH$301,MATCH($A270,Segmentation!$A$2:$A$301,0))</f>
        <v>0</v>
      </c>
      <c r="AC270" s="10" t="b">
        <f aca="false">INDEX(Segmentation!$AK$2:$AK$301,MATCH($A270,Segmentation!$A$2:$A$301,0))</f>
        <v>0</v>
      </c>
      <c r="AD270" s="10" t="b">
        <f aca="false">INDEX(Segmentation!$AQ$2:$AQ$301,MATCH($A270,Segmentation!$A$2:$A$301,0))</f>
        <v>0</v>
      </c>
      <c r="AE270" s="10" t="b">
        <f aca="false">INDEX(Segmentation!$AT$2:$AT$301,MATCH($A270,Segmentation!$A$2:$A$301,0))</f>
        <v>0</v>
      </c>
      <c r="AF270" s="10" t="b">
        <f aca="false">INDEX(Segmentation!$X$2:$X$301,MATCH($A270,Segmentation!$A$2:$A$301,0))</f>
        <v>1</v>
      </c>
      <c r="AG270" s="10" t="b">
        <f aca="false">AND(F270="Low",V270&gt;=Assumptions!$B$71,X270&lt;Assumptions!$B$72)</f>
        <v>1</v>
      </c>
      <c r="AH270" s="10" t="b">
        <f aca="false">AND(F270="Low",OR(G270="Growing",G270="Stable"),P270="Recently Active",V270&gt;=Assumptions!$B$58,K270&gt;=Assumptions!$B$73)</f>
        <v>0</v>
      </c>
      <c r="AI270" s="17" t="n">
        <f aca="false">IF(O270&gt;0,MAX(L270:N270)/O270,"")</f>
        <v>1</v>
      </c>
      <c r="AJ270" s="2" t="str">
        <f aca="false">IF(LEFT(D270,1)="1",IF(E270="Key","MIGRATION_KEY_SIGNOFF",IF(Z270="Ready","MIGRATION_PHASE1_READY",IF(Z270="Manual Review","MIGRATION_PHASE1_REVIEW","MIGRATION_PRE_ENTRY"))),IF(LEFT(D270,1)="2","DECLINING_KEY_CORE",IF(LEFT(D270,1)="3",IF(R270="Established Buyer Lapsed","LAPSED_ESTABLISHED","LAPSED_THIN_HISTORY"),IF(LEFT(D270,1)="4",IF(Q270="New Customer","NEW_CUSTOMER","RETURNED_CUSTOMER"),IF(LEFT(D270,1)="5",IF(P270="Recently Active","COST_TO_SERVE_ACTIVE","DORMANT_LOW_VALUE"),IF(LEFT(D270,1)="6",IF(P270="Recent Inactivity","RECENT_INACTIVITY",IF(AG270,"BROWSING_LOW_OFFERS","HEALTHY_STRONG_SELF_SERVE")),IF(LEFT(D270,1)="7",IF(P270="Recent Inactivity","RECENT_INACTIVITY",IF(Q270="New Customer","NEW_CUSTOMER","RETURNED_CUSTOMER")),IF(LEFT(D270,1)="8",IF(G270="Declining",IF(T270="Engaged but shrinking (Key/Core)","ENGAGED_BUT_SHRINKING","DECLINING_KEY_CORE"),IF(R270="Established Buyer Lapsed","LAPSED_ESTABLISHED","LAPSED_THIN_HISTORY")),IF(S270,IF(P270&lt;&gt;"Recently Active","DORMANT_LOW_VALUE",IF(AG270,"BROWSING_LOW_OFFERS",IF(AH270,"RISING_TAIL","RISING_TAIL_EARLY"))),IF(AND(AG270,P270="Recently Active",OR(G270="Growing",G270="Stable",G270="H2 Active / No H1 GMV"),I270&gt;=Assumptions!$B$74),"BROWSING_LOW_OFFERS","LONG_TAIL_STANDARD"))))))))))</f>
        <v>LONG_TAIL_STANDARD</v>
      </c>
      <c r="AK270" s="2" t="str">
        <f aca="false">INDEX('NBA Library'!$B$4:$B$21,MATCH(AJ270,'NBA Library'!$A$4:$A$21,0))</f>
        <v>Automated Nurture</v>
      </c>
      <c r="AL270" s="2" t="str">
        <f aca="false">INDEX('NBA Library'!$C$4:$C$21,MATCH(AJ270,'NBA Library'!$A$4:$A$21,0))</f>
        <v>Automated</v>
      </c>
      <c r="AM270" s="2" t="str">
        <f aca="false">IF(AA270,"HOLD — Critical Data Issue",IF(Y270,"Human Sign-Off Required",IF(Z270="Manual Review","Human Review Required",IF(AND(AL270="Automated",OR(AE270,AND(OR(AK270="Discovery-to-Offer Enablement",AK270="Reinforce Successful Behaviour"),OR(AC270,AB270)))),"Human Review Required",IF(AL270="Human","Ready — Human",IF(AL270="Hybrid","Ready — Hybrid","Ready — Automated"))))))</f>
        <v>Ready — Automated</v>
      </c>
      <c r="AN270" s="2" t="str">
        <f aca="false">IF(AA270,"P0",IF(AND(AJ270="BROWSING_LOW_OFFERS",E270="Tail"),"P3",IF(AND(AM270="Human Review Required",INDEX('NBA Library'!$D$4:$D$21,MATCH(AJ270,'NBA Library'!$A$4:$A$21,0))="P4"),"P3",INDEX('NBA Library'!$D$4:$D$21,MATCH(AJ270,'NBA Library'!$A$4:$A$21,0)))))</f>
        <v>P4</v>
      </c>
      <c r="AO270" s="2" t="str">
        <f aca="false">E270&amp;" "&amp;C270&amp;" account ("&amp;B270&amp;"); "&amp;G270&amp;" momentum; "&amp;P270&amp;"; £"&amp;TEXT(H270,"#,##0")&amp;" 6m GMV. "&amp;INDEX('NBA Library'!$G$4:$G$21,MATCH(AJ270,'NBA Library'!$A$4:$A$21,0))&amp;IF(LEFT(D270,1)="1"," Baseline: "&amp;V270&amp;" PDP views, "&amp;W270&amp;" app days, "&amp;X270&amp;" offers, "&amp;TEXT(J270/I270,"0%")&amp;" of orders self-serve.","")&amp;IF(AA270," Execution on HOLD until the Duplicate status is resolved.","")&amp;IF(Y270," Key account: explicit AM/leadership sign-off required before any migration activity.","")&amp;IF(AE270," Implied broker % from order counts would move this account to a different segment; review before automating.","")</f>
        <v>Tail Self-Serve account (Self Serve); H2 Active / No H1 GMV momentum; Recently Active; £181 6m GMV. Low-value, low-dependency account. Scalable automated engagement.</v>
      </c>
      <c r="AP270" s="2" t="str">
        <f aca="false">INDEX('NBA Library'!$E$4:$E$21,MATCH(AJ270,'NBA Library'!$A$4:$A$21,0))&amp;IF(AND(AJ270="NEW_CUSTOMER",AG270),"; introduce Make-an-Offer on items already browsed","")</f>
        <v>Scalable automated engagement matched to nurture sub-context</v>
      </c>
      <c r="AQ270" s="2" t="str">
        <f aca="false">INDEX('NBA Library'!$F$4:$F$21,MATCH(AJ270,'NBA Library'!$A$4:$A$21,0))</f>
        <v>Any repeat order within 90 days</v>
      </c>
      <c r="AR270" s="2" t="str">
        <f aca="false">IF(AND(F270="Low",OR(G270="Growing",G270="Stable"),P270="Recently Active",U270&lt;&gt;"Mixed",OR(AK270="Discovery-to-Offer Enablement",AK270="Reinforce Successful Behaviour"),AM270="Ready — Automated",OR(E270&lt;&gt;"Tail",S270)),"Range Expansion Test — trial "&amp;IF(U270="Bundle-only","handpick","bundles")&amp;" (experimental; not proven to lift GMV)","")</f>
        <v/>
      </c>
      <c r="AS270" s="2" t="str">
        <f aca="false">IF(AK270&lt;&gt;"Automated Nurture","",IF(AJ270="DORMANT_LOW_VALUE","Dormant",IF(AJ270="RISING_TAIL_EARLY","Rising tail – early pattern",IF(Q270="New Customer","New customer onboarding",IF(Q270="Returned Customer","Returned customer",IF(G270="Lapsed","Dormant",IF(T270="Engaged, not converting","Engaged, not converting",IF(T270="One-off low-touch buyer","One-off purchaser",IF(T270="Light-touch repeat buyer","Light-touch repeat buyer","Standard long tail")))))))))</f>
        <v>New customer onboarding</v>
      </c>
      <c r="AT270" s="2" t="str">
        <f aca="false">IF(AA270,"CRITICAL_DATA_BLOCKER; ","")&amp;IF(Y270,"KEY_SIGNOFF; ","")&amp;IF(Z270="Manual Review","PHASE1_MANUAL_REVIEW; ","")&amp;IF(AND(LEFT(D270,1)="1",AZ270="Lumpy"),"LUMPY_CADENCE; ","")&amp;IF(AB270,"BORDERLINE_MOMENTUM; ","")&amp;IF(AC270,"FEB_SENSITIVE; ","")&amp;IF(AD270,"MATERIAL_BROKER_INCONSISTENCY"&amp;IF(AE270," (segment would change)","")&amp;"; ","")&amp;IF(AND(I270&gt;=3,O270&gt;0),IF(AI270&gt;=Assumptions!$B$75,"H2_SINGLE_MONTH_SPIKE; ",""),"")&amp;IF(AND(M270&gt;0,N270=0),"NO_FEB_GMV (Feb unconfirmed); ","")&amp;IF(AF270,"LOW_CONFIDENCE; ","")</f>
        <v>NO_FEB_GMV (Feb unconfirmed); LOW_CONFIDENCE; </v>
      </c>
      <c r="AU270" s="2" t="str">
        <f aca="false">IF(LEFT(D270,1)="1",V270,"")</f>
        <v/>
      </c>
      <c r="AV270" s="2" t="str">
        <f aca="false">IF(LEFT(D270,1)="1",V270&gt;=Assumptions!$B$58,"")</f>
        <v/>
      </c>
      <c r="AW270" s="2" t="str">
        <f aca="false">IF(LEFT(D270,1)="1",W270,"")</f>
        <v/>
      </c>
      <c r="AX270" s="2" t="str">
        <f aca="false">IF(LEFT(D270,1)="1",X270,"")</f>
        <v/>
      </c>
      <c r="AY270" s="17" t="str">
        <f aca="false">IF(LEFT(D270,1)="1",J270/I270,"")</f>
        <v/>
      </c>
      <c r="AZ270" s="2" t="str">
        <f aca="false">IF(LEFT(D270,1)="1",IF(AND(K270&gt;=Assumptions!$B$83,I270&gt;=Assumptions!$B$84),"Regular","Lumpy"),"")</f>
        <v/>
      </c>
      <c r="BA270" s="2" t="str">
        <f aca="false">IF(LEFT(D270,1)="1",ROUND(6/K270,0),"")</f>
        <v/>
      </c>
      <c r="BB270" s="2" t="str">
        <f aca="false">IF(LEFT(D270,1)="1",IF(AZ270="Regular","Regular buyer: expected ~£"&amp;TEXT(H270/2,"#,##0")&amp;" per 90 days. At Risk if GMV to date &lt; "&amp;TEXT(Assumptions!$B$81,"0%")&amp;" of pro-rated expectation, checked from day "&amp;Assumptions!$B$82&amp;". Human-reviewed.","Irregular buyer ("&amp;I270&amp;" orders across "&amp;K270&amp;" months): no numeric GMV threshold. At Risk if no order within ~"&amp;BA270&amp;" month(s); AM reviews at day "&amp;Assumptions!$B$82&amp;" and "&amp;Assumptions!$B$85&amp;"."),"")</f>
        <v/>
      </c>
      <c r="BC270" s="2"/>
      <c r="BD270" s="2"/>
      <c r="BE270" s="2"/>
      <c r="BF270" s="2"/>
      <c r="BG270" s="2"/>
      <c r="BH270" s="2"/>
      <c r="BI270" s="2"/>
      <c r="BJ270" s="2" t="str">
        <f aca="false">IF(OR(NOT(LEFT(D270,1)="1"),BC270=""),"",IF(AZ270="Regular",AND(BC270&gt;=Assumptions!$B$82,N(BI270)&lt;Assumptions!$B$81*H270/180*BC270),AND(BC270&gt;=BA270*30,N(BG270)=0)))</f>
        <v/>
      </c>
      <c r="BK270" s="2" t="str">
        <f aca="false">IF(NOT(LEFT(D270,1)="1"),"N/A",IF(BC270="","Baseline",IF(BJ270,"At Risk",IF(AND(N(BD270)&gt;=Assumptions!$B$78,N(BE270)&gt;=Assumptions!$B$79,N(BH270)&gt;=1,N(BH270)/MAX(N(BG270),1)&gt;AY270),"Self-Serve Capability Demonstrated",IF(OR(N(BD270)&gt;=Assumptions!$B$76,N(BE270)&gt;=Assumptions!$B$77),"Progressing",IF(BC270&gt;=Assumptions!$B$85,"At Risk","Baseline"))))))</f>
        <v>N/A</v>
      </c>
      <c r="BL270" s="2" t="n">
        <f aca="false">(AND(C270="Broker-Reliant",OR(AK270="Discovery-to-Offer Enablement",AK270="Reinforce Successful Behaviour")))*1+(AND(G270="Declining",E270&lt;&gt;"Tail",AL270="Automated"))*1+(AND(Y270,AM270&lt;&gt;"Human Sign-Off Required"))*1+(AND(AA270,AM270&lt;&gt;"HOLD — Critical Data Issue"))*1+(AND(P270="Recent Inactivity",OR(AK270="Discovery-to-Offer Enablement",AK270="Reinforce Successful Behaviour")))*1+(AND(OR(LEFT(D270,1)="2",LEFT(D270,1)="3",LEFT(D270,1)="8"),AL270="Automated"))*1+((LEFT(D270,1)="1")&lt;&gt;(AK270="Guided Self-Serve Migration"))*1+(AND(AR270&lt;&gt;"",OR(F270&lt;&gt;"Low",U270="Mixed",AND(G270&lt;&gt;"Growing",G270&lt;&gt;"Stable"))))*1+ISNUMBER(SEARCH("chat",AP270))*1+ISNUMBER(SEARCH("video",AP270))*1+(AND(AA270,AL270="Automated",AM270&lt;&gt;"HOLD — Critical Data Issue"))*1</f>
        <v>0</v>
      </c>
    </row>
    <row r="271" customFormat="false" ht="15" hidden="false" customHeight="false" outlineLevel="0" collapsed="false">
      <c r="A271" s="2" t="s">
        <v>884</v>
      </c>
      <c r="B271" s="2" t="str">
        <f aca="false">INDEX(Segmentation!$B$2:$B$301,MATCH($A271,Segmentation!$A$2:$A$301,0))</f>
        <v>Self Serve</v>
      </c>
      <c r="C271" s="2" t="str">
        <f aca="false">INDEX(Segmentation!$H$2:$H$301,MATCH($A271,Segmentation!$A$2:$A$301,0))</f>
        <v>Self-Serve</v>
      </c>
      <c r="D271" s="2" t="str">
        <f aca="false">INDEX(Segmentation!$T$2:$T$301,MATCH($A271,Segmentation!$A$2:$A$301,0))</f>
        <v>9. Long-Tail Automated Nurture</v>
      </c>
      <c r="E271" s="2" t="str">
        <f aca="false">INDEX(Segmentation!$J$2:$J$301,MATCH($A271,Segmentation!$A$2:$A$301,0))</f>
        <v>Tail</v>
      </c>
      <c r="F271" s="2" t="str">
        <f aca="false">INDEX(Segmentation!$G$2:$G$301,MATCH($A271,Segmentation!$A$2:$A$301,0))</f>
        <v>Low</v>
      </c>
      <c r="G271" s="2" t="str">
        <f aca="false">INDEX(Segmentation!$N$2:$N$301,MATCH($A271,Segmentation!$A$2:$A$301,0))</f>
        <v>Lapsed</v>
      </c>
      <c r="H271" s="9" t="n">
        <f aca="false">INDEX(Segmentation!$I$2:$I$301,MATCH($A271,Segmentation!$A$2:$A$301,0))</f>
        <v>180</v>
      </c>
      <c r="I271" s="2" t="n">
        <f aca="false">INDEX(Segmentation!$O$2:$O$301,MATCH($A271,Segmentation!$A$2:$A$301,0))</f>
        <v>1</v>
      </c>
      <c r="J271" s="2" t="n">
        <f aca="false">INDEX(Segmentation!$Q$2:$Q$301,MATCH($A271,Segmentation!$A$2:$A$301,0))</f>
        <v>1</v>
      </c>
      <c r="K271" s="2" t="n">
        <f aca="false">INDEX(Segmentation!$W$2:$W$301,MATCH($A271,Segmentation!$A$2:$A$301,0))</f>
        <v>1</v>
      </c>
      <c r="L271" s="9" t="n">
        <f aca="false">INDEX('Commercial View'!$L$2:$L$301,MATCH($A271,'Commercial View'!$A$2:$A$301,0))</f>
        <v>0</v>
      </c>
      <c r="M271" s="9" t="n">
        <f aca="false">INDEX('Commercial View'!$M$2:$M$301,MATCH($A271,'Commercial View'!$A$2:$A$301,0))</f>
        <v>0</v>
      </c>
      <c r="N271" s="9" t="n">
        <f aca="false">INDEX('Commercial View'!$N$2:$N$301,MATCH($A271,'Commercial View'!$A$2:$A$301,0))</f>
        <v>0</v>
      </c>
      <c r="O271" s="9" t="n">
        <f aca="false">INDEX(Segmentation!$L$2:$L$301,MATCH($A271,Segmentation!$A$2:$A$301,0))</f>
        <v>0</v>
      </c>
      <c r="P271" s="2" t="str">
        <f aca="false">IF(OR(M271&gt;0,N271&gt;0),"Recently Active",IF(OR(I271&lt;=Assumptions!$B$48,K271&lt;=Assumptions!$B$49),"No Meaningful History","Recent Inactivity"))</f>
        <v>No Meaningful History</v>
      </c>
      <c r="Q271" s="2" t="str">
        <f aca="false">INDEX(Segmentation!$AF$2:$AF$301,MATCH($A271,Segmentation!$A$2:$A$301,0))</f>
        <v>Existing Customer</v>
      </c>
      <c r="R271" s="2" t="str">
        <f aca="false">INDEX(Segmentation!$AL$2:$AL$301,MATCH($A271,Segmentation!$A$2:$A$301,0))</f>
        <v>One-Off / Insufficient History — Verify</v>
      </c>
      <c r="S271" s="10" t="b">
        <f aca="false">INDEX(Segmentation!$AW$2:$AW$301,MATCH($A271,Segmentation!$A$2:$A$301,0))</f>
        <v>0</v>
      </c>
      <c r="T271" s="2" t="str">
        <f aca="false">INDEX('Feature Data'!$AD$2:$AD$301,MATCH($A271,'Feature Data'!$A$2:$A$301,0))</f>
        <v>Engaged, not converting</v>
      </c>
      <c r="U271" s="2" t="str">
        <f aca="false">INDEX('Feature Data'!$W$2:$W$301,MATCH($A271,'Feature Data'!$A$2:$A$301,0))</f>
        <v>Bundle-only</v>
      </c>
      <c r="V271" s="2" t="n">
        <f aca="false">INDEX('Feature Data'!$P$2:$P$301,MATCH($A271,'Feature Data'!$A$2:$A$301,0))</f>
        <v>372</v>
      </c>
      <c r="W271" s="2" t="n">
        <f aca="false">INDEX(Segmentation!$R$2:$R$301,MATCH($A271,Segmentation!$A$2:$A$301,0))</f>
        <v>42</v>
      </c>
      <c r="X271" s="2" t="n">
        <f aca="false">INDEX(Segmentation!$S$2:$S$301,MATCH($A271,Segmentation!$A$2:$A$301,0))</f>
        <v>0</v>
      </c>
      <c r="Y271" s="10" t="b">
        <f aca="false">INDEX(Segmentation!$AG$2:$AG$301,MATCH($A271,Segmentation!$A$2:$A$301,0))</f>
        <v>0</v>
      </c>
      <c r="Z271" s="2" t="str">
        <f aca="false">INDEX(Segmentation!$AU$2:$AU$301,MATCH($A271,Segmentation!$A$2:$A$301,0))</f>
        <v>Not Eligible</v>
      </c>
      <c r="AA271" s="10" t="b">
        <f aca="false">INDEX(Segmentation!$Z$2:$Z$301,MATCH($A271,Segmentation!$A$2:$A$301,0))</f>
        <v>0</v>
      </c>
      <c r="AB271" s="10" t="b">
        <f aca="false">INDEX(Segmentation!$AH$2:$AH$301,MATCH($A271,Segmentation!$A$2:$A$301,0))</f>
        <v>0</v>
      </c>
      <c r="AC271" s="10" t="b">
        <f aca="false">INDEX(Segmentation!$AK$2:$AK$301,MATCH($A271,Segmentation!$A$2:$A$301,0))</f>
        <v>0</v>
      </c>
      <c r="AD271" s="10" t="b">
        <f aca="false">INDEX(Segmentation!$AQ$2:$AQ$301,MATCH($A271,Segmentation!$A$2:$A$301,0))</f>
        <v>0</v>
      </c>
      <c r="AE271" s="10" t="b">
        <f aca="false">INDEX(Segmentation!$AT$2:$AT$301,MATCH($A271,Segmentation!$A$2:$A$301,0))</f>
        <v>0</v>
      </c>
      <c r="AF271" s="10" t="b">
        <f aca="false">INDEX(Segmentation!$X$2:$X$301,MATCH($A271,Segmentation!$A$2:$A$301,0))</f>
        <v>1</v>
      </c>
      <c r="AG271" s="10" t="b">
        <f aca="false">AND(F271="Low",V271&gt;=Assumptions!$B$71,X271&lt;Assumptions!$B$72)</f>
        <v>1</v>
      </c>
      <c r="AH271" s="10" t="b">
        <f aca="false">AND(F271="Low",OR(G271="Growing",G271="Stable"),P271="Recently Active",V271&gt;=Assumptions!$B$58,K271&gt;=Assumptions!$B$73)</f>
        <v>0</v>
      </c>
      <c r="AI271" s="17" t="str">
        <f aca="false">IF(O271&gt;0,MAX(L271:N271)/O271,"")</f>
        <v/>
      </c>
      <c r="AJ271" s="2" t="str">
        <f aca="false">IF(LEFT(D271,1)="1",IF(E271="Key","MIGRATION_KEY_SIGNOFF",IF(Z271="Ready","MIGRATION_PHASE1_READY",IF(Z271="Manual Review","MIGRATION_PHASE1_REVIEW","MIGRATION_PRE_ENTRY"))),IF(LEFT(D271,1)="2","DECLINING_KEY_CORE",IF(LEFT(D271,1)="3",IF(R271="Established Buyer Lapsed","LAPSED_ESTABLISHED","LAPSED_THIN_HISTORY"),IF(LEFT(D271,1)="4",IF(Q271="New Customer","NEW_CUSTOMER","RETURNED_CUSTOMER"),IF(LEFT(D271,1)="5",IF(P271="Recently Active","COST_TO_SERVE_ACTIVE","DORMANT_LOW_VALUE"),IF(LEFT(D271,1)="6",IF(P271="Recent Inactivity","RECENT_INACTIVITY",IF(AG271,"BROWSING_LOW_OFFERS","HEALTHY_STRONG_SELF_SERVE")),IF(LEFT(D271,1)="7",IF(P271="Recent Inactivity","RECENT_INACTIVITY",IF(Q271="New Customer","NEW_CUSTOMER","RETURNED_CUSTOMER")),IF(LEFT(D271,1)="8",IF(G271="Declining",IF(T271="Engaged but shrinking (Key/Core)","ENGAGED_BUT_SHRINKING","DECLINING_KEY_CORE"),IF(R271="Established Buyer Lapsed","LAPSED_ESTABLISHED","LAPSED_THIN_HISTORY")),IF(S271,IF(P271&lt;&gt;"Recently Active","DORMANT_LOW_VALUE",IF(AG271,"BROWSING_LOW_OFFERS",IF(AH271,"RISING_TAIL","RISING_TAIL_EARLY"))),IF(AND(AG271,P271="Recently Active",OR(G271="Growing",G271="Stable",G271="H2 Active / No H1 GMV"),I271&gt;=Assumptions!$B$74),"BROWSING_LOW_OFFERS","LONG_TAIL_STANDARD"))))))))))</f>
        <v>LONG_TAIL_STANDARD</v>
      </c>
      <c r="AK271" s="2" t="str">
        <f aca="false">INDEX('NBA Library'!$B$4:$B$21,MATCH(AJ271,'NBA Library'!$A$4:$A$21,0))</f>
        <v>Automated Nurture</v>
      </c>
      <c r="AL271" s="2" t="str">
        <f aca="false">INDEX('NBA Library'!$C$4:$C$21,MATCH(AJ271,'NBA Library'!$A$4:$A$21,0))</f>
        <v>Automated</v>
      </c>
      <c r="AM271" s="2" t="str">
        <f aca="false">IF(AA271,"HOLD — Critical Data Issue",IF(Y271,"Human Sign-Off Required",IF(Z271="Manual Review","Human Review Required",IF(AND(AL271="Automated",OR(AE271,AND(OR(AK271="Discovery-to-Offer Enablement",AK271="Reinforce Successful Behaviour"),OR(AC271,AB271)))),"Human Review Required",IF(AL271="Human","Ready — Human",IF(AL271="Hybrid","Ready — Hybrid","Ready — Automated"))))))</f>
        <v>Ready — Automated</v>
      </c>
      <c r="AN271" s="2" t="str">
        <f aca="false">IF(AA271,"P0",IF(AND(AJ271="BROWSING_LOW_OFFERS",E271="Tail"),"P3",IF(AND(AM271="Human Review Required",INDEX('NBA Library'!$D$4:$D$21,MATCH(AJ271,'NBA Library'!$A$4:$A$21,0))="P4"),"P3",INDEX('NBA Library'!$D$4:$D$21,MATCH(AJ271,'NBA Library'!$A$4:$A$21,0)))))</f>
        <v>P4</v>
      </c>
      <c r="AO271" s="2" t="str">
        <f aca="false">E271&amp;" "&amp;C271&amp;" account ("&amp;B271&amp;"); "&amp;G271&amp;" momentum; "&amp;P271&amp;"; £"&amp;TEXT(H271,"#,##0")&amp;" 6m GMV. "&amp;INDEX('NBA Library'!$G$4:$G$21,MATCH(AJ271,'NBA Library'!$A$4:$A$21,0))&amp;IF(LEFT(D271,1)="1"," Baseline: "&amp;V271&amp;" PDP views, "&amp;W271&amp;" app days, "&amp;X271&amp;" offers, "&amp;TEXT(J271/I271,"0%")&amp;" of orders self-serve.","")&amp;IF(AA271," Execution on HOLD until the Duplicate status is resolved.","")&amp;IF(Y271," Key account: explicit AM/leadership sign-off required before any migration activity.","")&amp;IF(AE271," Implied broker % from order counts would move this account to a different segment; review before automating.","")</f>
        <v>Tail Self-Serve account (Self Serve); Lapsed momentum; No Meaningful History; £180 6m GMV. Low-value, low-dependency account. Scalable automated engagement.</v>
      </c>
      <c r="AP271" s="2" t="str">
        <f aca="false">INDEX('NBA Library'!$E$4:$E$21,MATCH(AJ271,'NBA Library'!$A$4:$A$21,0))&amp;IF(AND(AJ271="NEW_CUSTOMER",AG271),"; introduce Make-an-Offer on items already browsed","")</f>
        <v>Scalable automated engagement matched to nurture sub-context</v>
      </c>
      <c r="AQ271" s="2" t="str">
        <f aca="false">INDEX('NBA Library'!$F$4:$F$21,MATCH(AJ271,'NBA Library'!$A$4:$A$21,0))</f>
        <v>Any repeat order within 90 days</v>
      </c>
      <c r="AR271" s="2" t="str">
        <f aca="false">IF(AND(F271="Low",OR(G271="Growing",G271="Stable"),P271="Recently Active",U271&lt;&gt;"Mixed",OR(AK271="Discovery-to-Offer Enablement",AK271="Reinforce Successful Behaviour"),AM271="Ready — Automated",OR(E271&lt;&gt;"Tail",S271)),"Range Expansion Test — trial "&amp;IF(U271="Bundle-only","handpick","bundles")&amp;" (experimental; not proven to lift GMV)","")</f>
        <v/>
      </c>
      <c r="AS271" s="2" t="str">
        <f aca="false">IF(AK271&lt;&gt;"Automated Nurture","",IF(AJ271="DORMANT_LOW_VALUE","Dormant",IF(AJ271="RISING_TAIL_EARLY","Rising tail – early pattern",IF(Q271="New Customer","New customer onboarding",IF(Q271="Returned Customer","Returned customer",IF(G271="Lapsed","Dormant",IF(T271="Engaged, not converting","Engaged, not converting",IF(T271="One-off low-touch buyer","One-off purchaser",IF(T271="Light-touch repeat buyer","Light-touch repeat buyer","Standard long tail")))))))))</f>
        <v>Dormant</v>
      </c>
      <c r="AT271" s="2" t="str">
        <f aca="false">IF(AA271,"CRITICAL_DATA_BLOCKER; ","")&amp;IF(Y271,"KEY_SIGNOFF; ","")&amp;IF(Z271="Manual Review","PHASE1_MANUAL_REVIEW; ","")&amp;IF(AND(LEFT(D271,1)="1",AZ271="Lumpy"),"LUMPY_CADENCE; ","")&amp;IF(AB271,"BORDERLINE_MOMENTUM; ","")&amp;IF(AC271,"FEB_SENSITIVE; ","")&amp;IF(AD271,"MATERIAL_BROKER_INCONSISTENCY"&amp;IF(AE271," (segment would change)","")&amp;"; ","")&amp;IF(AND(I271&gt;=3,O271&gt;0),IF(AI271&gt;=Assumptions!$B$75,"H2_SINGLE_MONTH_SPIKE; ",""),"")&amp;IF(AND(M271&gt;0,N271=0),"NO_FEB_GMV (Feb unconfirmed); ","")&amp;IF(AF271,"LOW_CONFIDENCE; ","")</f>
        <v>LOW_CONFIDENCE; </v>
      </c>
      <c r="AU271" s="2" t="str">
        <f aca="false">IF(LEFT(D271,1)="1",V271,"")</f>
        <v/>
      </c>
      <c r="AV271" s="2" t="str">
        <f aca="false">IF(LEFT(D271,1)="1",V271&gt;=Assumptions!$B$58,"")</f>
        <v/>
      </c>
      <c r="AW271" s="2" t="str">
        <f aca="false">IF(LEFT(D271,1)="1",W271,"")</f>
        <v/>
      </c>
      <c r="AX271" s="2" t="str">
        <f aca="false">IF(LEFT(D271,1)="1",X271,"")</f>
        <v/>
      </c>
      <c r="AY271" s="17" t="str">
        <f aca="false">IF(LEFT(D271,1)="1",J271/I271,"")</f>
        <v/>
      </c>
      <c r="AZ271" s="2" t="str">
        <f aca="false">IF(LEFT(D271,1)="1",IF(AND(K271&gt;=Assumptions!$B$83,I271&gt;=Assumptions!$B$84),"Regular","Lumpy"),"")</f>
        <v/>
      </c>
      <c r="BA271" s="2" t="str">
        <f aca="false">IF(LEFT(D271,1)="1",ROUND(6/K271,0),"")</f>
        <v/>
      </c>
      <c r="BB271" s="2" t="str">
        <f aca="false">IF(LEFT(D271,1)="1",IF(AZ271="Regular","Regular buyer: expected ~£"&amp;TEXT(H271/2,"#,##0")&amp;" per 90 days. At Risk if GMV to date &lt; "&amp;TEXT(Assumptions!$B$81,"0%")&amp;" of pro-rated expectation, checked from day "&amp;Assumptions!$B$82&amp;". Human-reviewed.","Irregular buyer ("&amp;I271&amp;" orders across "&amp;K271&amp;" months): no numeric GMV threshold. At Risk if no order within ~"&amp;BA271&amp;" month(s); AM reviews at day "&amp;Assumptions!$B$82&amp;" and "&amp;Assumptions!$B$85&amp;"."),"")</f>
        <v/>
      </c>
      <c r="BC271" s="2"/>
      <c r="BD271" s="2"/>
      <c r="BE271" s="2"/>
      <c r="BF271" s="2"/>
      <c r="BG271" s="2"/>
      <c r="BH271" s="2"/>
      <c r="BI271" s="2"/>
      <c r="BJ271" s="2" t="str">
        <f aca="false">IF(OR(NOT(LEFT(D271,1)="1"),BC271=""),"",IF(AZ271="Regular",AND(BC271&gt;=Assumptions!$B$82,N(BI271)&lt;Assumptions!$B$81*H271/180*BC271),AND(BC271&gt;=BA271*30,N(BG271)=0)))</f>
        <v/>
      </c>
      <c r="BK271" s="2" t="str">
        <f aca="false">IF(NOT(LEFT(D271,1)="1"),"N/A",IF(BC271="","Baseline",IF(BJ271,"At Risk",IF(AND(N(BD271)&gt;=Assumptions!$B$78,N(BE271)&gt;=Assumptions!$B$79,N(BH271)&gt;=1,N(BH271)/MAX(N(BG271),1)&gt;AY271),"Self-Serve Capability Demonstrated",IF(OR(N(BD271)&gt;=Assumptions!$B$76,N(BE271)&gt;=Assumptions!$B$77),"Progressing",IF(BC271&gt;=Assumptions!$B$85,"At Risk","Baseline"))))))</f>
        <v>N/A</v>
      </c>
      <c r="BL271" s="2" t="n">
        <f aca="false">(AND(C271="Broker-Reliant",OR(AK271="Discovery-to-Offer Enablement",AK271="Reinforce Successful Behaviour")))*1+(AND(G271="Declining",E271&lt;&gt;"Tail",AL271="Automated"))*1+(AND(Y271,AM271&lt;&gt;"Human Sign-Off Required"))*1+(AND(AA271,AM271&lt;&gt;"HOLD — Critical Data Issue"))*1+(AND(P271="Recent Inactivity",OR(AK271="Discovery-to-Offer Enablement",AK271="Reinforce Successful Behaviour")))*1+(AND(OR(LEFT(D271,1)="2",LEFT(D271,1)="3",LEFT(D271,1)="8"),AL271="Automated"))*1+((LEFT(D271,1)="1")&lt;&gt;(AK271="Guided Self-Serve Migration"))*1+(AND(AR271&lt;&gt;"",OR(F271&lt;&gt;"Low",U271="Mixed",AND(G271&lt;&gt;"Growing",G271&lt;&gt;"Stable"))))*1+ISNUMBER(SEARCH("chat",AP271))*1+ISNUMBER(SEARCH("video",AP271))*1+(AND(AA271,AL271="Automated",AM271&lt;&gt;"HOLD — Critical Data Issue"))*1</f>
        <v>0</v>
      </c>
    </row>
    <row r="272" customFormat="false" ht="15" hidden="false" customHeight="false" outlineLevel="0" collapsed="false">
      <c r="A272" s="2" t="s">
        <v>888</v>
      </c>
      <c r="B272" s="2" t="str">
        <f aca="false">INDEX(Segmentation!$B$2:$B$301,MATCH($A272,Segmentation!$A$2:$A$301,0))</f>
        <v>Self Serve</v>
      </c>
      <c r="C272" s="2" t="str">
        <f aca="false">INDEX(Segmentation!$H$2:$H$301,MATCH($A272,Segmentation!$A$2:$A$301,0))</f>
        <v>Self-Serve</v>
      </c>
      <c r="D272" s="2" t="str">
        <f aca="false">INDEX(Segmentation!$T$2:$T$301,MATCH($A272,Segmentation!$A$2:$A$301,0))</f>
        <v>9. Long-Tail Automated Nurture</v>
      </c>
      <c r="E272" s="2" t="str">
        <f aca="false">INDEX(Segmentation!$J$2:$J$301,MATCH($A272,Segmentation!$A$2:$A$301,0))</f>
        <v>Tail</v>
      </c>
      <c r="F272" s="2" t="str">
        <f aca="false">INDEX(Segmentation!$G$2:$G$301,MATCH($A272,Segmentation!$A$2:$A$301,0))</f>
        <v>Low</v>
      </c>
      <c r="G272" s="2" t="str">
        <f aca="false">INDEX(Segmentation!$N$2:$N$301,MATCH($A272,Segmentation!$A$2:$A$301,0))</f>
        <v>Lapsed</v>
      </c>
      <c r="H272" s="9" t="n">
        <f aca="false">INDEX(Segmentation!$I$2:$I$301,MATCH($A272,Segmentation!$A$2:$A$301,0))</f>
        <v>173</v>
      </c>
      <c r="I272" s="2" t="n">
        <f aca="false">INDEX(Segmentation!$O$2:$O$301,MATCH($A272,Segmentation!$A$2:$A$301,0))</f>
        <v>1</v>
      </c>
      <c r="J272" s="2" t="n">
        <f aca="false">INDEX(Segmentation!$Q$2:$Q$301,MATCH($A272,Segmentation!$A$2:$A$301,0))</f>
        <v>1</v>
      </c>
      <c r="K272" s="2" t="n">
        <f aca="false">INDEX(Segmentation!$W$2:$W$301,MATCH($A272,Segmentation!$A$2:$A$301,0))</f>
        <v>1</v>
      </c>
      <c r="L272" s="9" t="n">
        <f aca="false">INDEX('Commercial View'!$L$2:$L$301,MATCH($A272,'Commercial View'!$A$2:$A$301,0))</f>
        <v>0</v>
      </c>
      <c r="M272" s="9" t="n">
        <f aca="false">INDEX('Commercial View'!$M$2:$M$301,MATCH($A272,'Commercial View'!$A$2:$A$301,0))</f>
        <v>0</v>
      </c>
      <c r="N272" s="9" t="n">
        <f aca="false">INDEX('Commercial View'!$N$2:$N$301,MATCH($A272,'Commercial View'!$A$2:$A$301,0))</f>
        <v>0</v>
      </c>
      <c r="O272" s="9" t="n">
        <f aca="false">INDEX(Segmentation!$L$2:$L$301,MATCH($A272,Segmentation!$A$2:$A$301,0))</f>
        <v>0</v>
      </c>
      <c r="P272" s="2" t="str">
        <f aca="false">IF(OR(M272&gt;0,N272&gt;0),"Recently Active",IF(OR(I272&lt;=Assumptions!$B$48,K272&lt;=Assumptions!$B$49),"No Meaningful History","Recent Inactivity"))</f>
        <v>No Meaningful History</v>
      </c>
      <c r="Q272" s="2" t="str">
        <f aca="false">INDEX(Segmentation!$AF$2:$AF$301,MATCH($A272,Segmentation!$A$2:$A$301,0))</f>
        <v>Existing Customer</v>
      </c>
      <c r="R272" s="2" t="str">
        <f aca="false">INDEX(Segmentation!$AL$2:$AL$301,MATCH($A272,Segmentation!$A$2:$A$301,0))</f>
        <v>One-Off / Insufficient History — Verify</v>
      </c>
      <c r="S272" s="10" t="b">
        <f aca="false">INDEX(Segmentation!$AW$2:$AW$301,MATCH($A272,Segmentation!$A$2:$A$301,0))</f>
        <v>0</v>
      </c>
      <c r="T272" s="2" t="str">
        <f aca="false">INDEX('Feature Data'!$AD$2:$AD$301,MATCH($A272,'Feature Data'!$A$2:$A$301,0))</f>
        <v>One-off low-touch buyer</v>
      </c>
      <c r="U272" s="2" t="str">
        <f aca="false">INDEX('Feature Data'!$W$2:$W$301,MATCH($A272,'Feature Data'!$A$2:$A$301,0))</f>
        <v>Bundle-only</v>
      </c>
      <c r="V272" s="2" t="n">
        <f aca="false">INDEX('Feature Data'!$P$2:$P$301,MATCH($A272,'Feature Data'!$A$2:$A$301,0))</f>
        <v>151</v>
      </c>
      <c r="W272" s="2" t="n">
        <f aca="false">INDEX(Segmentation!$R$2:$R$301,MATCH($A272,Segmentation!$A$2:$A$301,0))</f>
        <v>10</v>
      </c>
      <c r="X272" s="2" t="n">
        <f aca="false">INDEX(Segmentation!$S$2:$S$301,MATCH($A272,Segmentation!$A$2:$A$301,0))</f>
        <v>2</v>
      </c>
      <c r="Y272" s="10" t="b">
        <f aca="false">INDEX(Segmentation!$AG$2:$AG$301,MATCH($A272,Segmentation!$A$2:$A$301,0))</f>
        <v>0</v>
      </c>
      <c r="Z272" s="2" t="str">
        <f aca="false">INDEX(Segmentation!$AU$2:$AU$301,MATCH($A272,Segmentation!$A$2:$A$301,0))</f>
        <v>Not Eligible</v>
      </c>
      <c r="AA272" s="10" t="b">
        <f aca="false">INDEX(Segmentation!$Z$2:$Z$301,MATCH($A272,Segmentation!$A$2:$A$301,0))</f>
        <v>0</v>
      </c>
      <c r="AB272" s="10" t="b">
        <f aca="false">INDEX(Segmentation!$AH$2:$AH$301,MATCH($A272,Segmentation!$A$2:$A$301,0))</f>
        <v>0</v>
      </c>
      <c r="AC272" s="10" t="b">
        <f aca="false">INDEX(Segmentation!$AK$2:$AK$301,MATCH($A272,Segmentation!$A$2:$A$301,0))</f>
        <v>0</v>
      </c>
      <c r="AD272" s="10" t="b">
        <f aca="false">INDEX(Segmentation!$AQ$2:$AQ$301,MATCH($A272,Segmentation!$A$2:$A$301,0))</f>
        <v>0</v>
      </c>
      <c r="AE272" s="10" t="b">
        <f aca="false">INDEX(Segmentation!$AT$2:$AT$301,MATCH($A272,Segmentation!$A$2:$A$301,0))</f>
        <v>0</v>
      </c>
      <c r="AF272" s="10" t="b">
        <f aca="false">INDEX(Segmentation!$X$2:$X$301,MATCH($A272,Segmentation!$A$2:$A$301,0))</f>
        <v>1</v>
      </c>
      <c r="AG272" s="10" t="b">
        <f aca="false">AND(F272="Low",V272&gt;=Assumptions!$B$71,X272&lt;Assumptions!$B$72)</f>
        <v>1</v>
      </c>
      <c r="AH272" s="10" t="b">
        <f aca="false">AND(F272="Low",OR(G272="Growing",G272="Stable"),P272="Recently Active",V272&gt;=Assumptions!$B$58,K272&gt;=Assumptions!$B$73)</f>
        <v>0</v>
      </c>
      <c r="AI272" s="17" t="str">
        <f aca="false">IF(O272&gt;0,MAX(L272:N272)/O272,"")</f>
        <v/>
      </c>
      <c r="AJ272" s="2" t="str">
        <f aca="false">IF(LEFT(D272,1)="1",IF(E272="Key","MIGRATION_KEY_SIGNOFF",IF(Z272="Ready","MIGRATION_PHASE1_READY",IF(Z272="Manual Review","MIGRATION_PHASE1_REVIEW","MIGRATION_PRE_ENTRY"))),IF(LEFT(D272,1)="2","DECLINING_KEY_CORE",IF(LEFT(D272,1)="3",IF(R272="Established Buyer Lapsed","LAPSED_ESTABLISHED","LAPSED_THIN_HISTORY"),IF(LEFT(D272,1)="4",IF(Q272="New Customer","NEW_CUSTOMER","RETURNED_CUSTOMER"),IF(LEFT(D272,1)="5",IF(P272="Recently Active","COST_TO_SERVE_ACTIVE","DORMANT_LOW_VALUE"),IF(LEFT(D272,1)="6",IF(P272="Recent Inactivity","RECENT_INACTIVITY",IF(AG272,"BROWSING_LOW_OFFERS","HEALTHY_STRONG_SELF_SERVE")),IF(LEFT(D272,1)="7",IF(P272="Recent Inactivity","RECENT_INACTIVITY",IF(Q272="New Customer","NEW_CUSTOMER","RETURNED_CUSTOMER")),IF(LEFT(D272,1)="8",IF(G272="Declining",IF(T272="Engaged but shrinking (Key/Core)","ENGAGED_BUT_SHRINKING","DECLINING_KEY_CORE"),IF(R272="Established Buyer Lapsed","LAPSED_ESTABLISHED","LAPSED_THIN_HISTORY")),IF(S272,IF(P272&lt;&gt;"Recently Active","DORMANT_LOW_VALUE",IF(AG272,"BROWSING_LOW_OFFERS",IF(AH272,"RISING_TAIL","RISING_TAIL_EARLY"))),IF(AND(AG272,P272="Recently Active",OR(G272="Growing",G272="Stable",G272="H2 Active / No H1 GMV"),I272&gt;=Assumptions!$B$74),"BROWSING_LOW_OFFERS","LONG_TAIL_STANDARD"))))))))))</f>
        <v>LONG_TAIL_STANDARD</v>
      </c>
      <c r="AK272" s="2" t="str">
        <f aca="false">INDEX('NBA Library'!$B$4:$B$21,MATCH(AJ272,'NBA Library'!$A$4:$A$21,0))</f>
        <v>Automated Nurture</v>
      </c>
      <c r="AL272" s="2" t="str">
        <f aca="false">INDEX('NBA Library'!$C$4:$C$21,MATCH(AJ272,'NBA Library'!$A$4:$A$21,0))</f>
        <v>Automated</v>
      </c>
      <c r="AM272" s="2" t="str">
        <f aca="false">IF(AA272,"HOLD — Critical Data Issue",IF(Y272,"Human Sign-Off Required",IF(Z272="Manual Review","Human Review Required",IF(AND(AL272="Automated",OR(AE272,AND(OR(AK272="Discovery-to-Offer Enablement",AK272="Reinforce Successful Behaviour"),OR(AC272,AB272)))),"Human Review Required",IF(AL272="Human","Ready — Human",IF(AL272="Hybrid","Ready — Hybrid","Ready — Automated"))))))</f>
        <v>Ready — Automated</v>
      </c>
      <c r="AN272" s="2" t="str">
        <f aca="false">IF(AA272,"P0",IF(AND(AJ272="BROWSING_LOW_OFFERS",E272="Tail"),"P3",IF(AND(AM272="Human Review Required",INDEX('NBA Library'!$D$4:$D$21,MATCH(AJ272,'NBA Library'!$A$4:$A$21,0))="P4"),"P3",INDEX('NBA Library'!$D$4:$D$21,MATCH(AJ272,'NBA Library'!$A$4:$A$21,0)))))</f>
        <v>P4</v>
      </c>
      <c r="AO272" s="2" t="str">
        <f aca="false">E272&amp;" "&amp;C272&amp;" account ("&amp;B272&amp;"); "&amp;G272&amp;" momentum; "&amp;P272&amp;"; £"&amp;TEXT(H272,"#,##0")&amp;" 6m GMV. "&amp;INDEX('NBA Library'!$G$4:$G$21,MATCH(AJ272,'NBA Library'!$A$4:$A$21,0))&amp;IF(LEFT(D272,1)="1"," Baseline: "&amp;V272&amp;" PDP views, "&amp;W272&amp;" app days, "&amp;X272&amp;" offers, "&amp;TEXT(J272/I272,"0%")&amp;" of orders self-serve.","")&amp;IF(AA272," Execution on HOLD until the Duplicate status is resolved.","")&amp;IF(Y272," Key account: explicit AM/leadership sign-off required before any migration activity.","")&amp;IF(AE272," Implied broker % from order counts would move this account to a different segment; review before automating.","")</f>
        <v>Tail Self-Serve account (Self Serve); Lapsed momentum; No Meaningful History; £173 6m GMV. Low-value, low-dependency account. Scalable automated engagement.</v>
      </c>
      <c r="AP272" s="2" t="str">
        <f aca="false">INDEX('NBA Library'!$E$4:$E$21,MATCH(AJ272,'NBA Library'!$A$4:$A$21,0))&amp;IF(AND(AJ272="NEW_CUSTOMER",AG272),"; introduce Make-an-Offer on items already browsed","")</f>
        <v>Scalable automated engagement matched to nurture sub-context</v>
      </c>
      <c r="AQ272" s="2" t="str">
        <f aca="false">INDEX('NBA Library'!$F$4:$F$21,MATCH(AJ272,'NBA Library'!$A$4:$A$21,0))</f>
        <v>Any repeat order within 90 days</v>
      </c>
      <c r="AR272" s="2" t="str">
        <f aca="false">IF(AND(F272="Low",OR(G272="Growing",G272="Stable"),P272="Recently Active",U272&lt;&gt;"Mixed",OR(AK272="Discovery-to-Offer Enablement",AK272="Reinforce Successful Behaviour"),AM272="Ready — Automated",OR(E272&lt;&gt;"Tail",S272)),"Range Expansion Test — trial "&amp;IF(U272="Bundle-only","handpick","bundles")&amp;" (experimental; not proven to lift GMV)","")</f>
        <v/>
      </c>
      <c r="AS272" s="2" t="str">
        <f aca="false">IF(AK272&lt;&gt;"Automated Nurture","",IF(AJ272="DORMANT_LOW_VALUE","Dormant",IF(AJ272="RISING_TAIL_EARLY","Rising tail – early pattern",IF(Q272="New Customer","New customer onboarding",IF(Q272="Returned Customer","Returned customer",IF(G272="Lapsed","Dormant",IF(T272="Engaged, not converting","Engaged, not converting",IF(T272="One-off low-touch buyer","One-off purchaser",IF(T272="Light-touch repeat buyer","Light-touch repeat buyer","Standard long tail")))))))))</f>
        <v>Dormant</v>
      </c>
      <c r="AT272" s="2" t="str">
        <f aca="false">IF(AA272,"CRITICAL_DATA_BLOCKER; ","")&amp;IF(Y272,"KEY_SIGNOFF; ","")&amp;IF(Z272="Manual Review","PHASE1_MANUAL_REVIEW; ","")&amp;IF(AND(LEFT(D272,1)="1",AZ272="Lumpy"),"LUMPY_CADENCE; ","")&amp;IF(AB272,"BORDERLINE_MOMENTUM; ","")&amp;IF(AC272,"FEB_SENSITIVE; ","")&amp;IF(AD272,"MATERIAL_BROKER_INCONSISTENCY"&amp;IF(AE272," (segment would change)","")&amp;"; ","")&amp;IF(AND(I272&gt;=3,O272&gt;0),IF(AI272&gt;=Assumptions!$B$75,"H2_SINGLE_MONTH_SPIKE; ",""),"")&amp;IF(AND(M272&gt;0,N272=0),"NO_FEB_GMV (Feb unconfirmed); ","")&amp;IF(AF272,"LOW_CONFIDENCE; ","")</f>
        <v>LOW_CONFIDENCE; </v>
      </c>
      <c r="AU272" s="2" t="str">
        <f aca="false">IF(LEFT(D272,1)="1",V272,"")</f>
        <v/>
      </c>
      <c r="AV272" s="2" t="str">
        <f aca="false">IF(LEFT(D272,1)="1",V272&gt;=Assumptions!$B$58,"")</f>
        <v/>
      </c>
      <c r="AW272" s="2" t="str">
        <f aca="false">IF(LEFT(D272,1)="1",W272,"")</f>
        <v/>
      </c>
      <c r="AX272" s="2" t="str">
        <f aca="false">IF(LEFT(D272,1)="1",X272,"")</f>
        <v/>
      </c>
      <c r="AY272" s="17" t="str">
        <f aca="false">IF(LEFT(D272,1)="1",J272/I272,"")</f>
        <v/>
      </c>
      <c r="AZ272" s="2" t="str">
        <f aca="false">IF(LEFT(D272,1)="1",IF(AND(K272&gt;=Assumptions!$B$83,I272&gt;=Assumptions!$B$84),"Regular","Lumpy"),"")</f>
        <v/>
      </c>
      <c r="BA272" s="2" t="str">
        <f aca="false">IF(LEFT(D272,1)="1",ROUND(6/K272,0),"")</f>
        <v/>
      </c>
      <c r="BB272" s="2" t="str">
        <f aca="false">IF(LEFT(D272,1)="1",IF(AZ272="Regular","Regular buyer: expected ~£"&amp;TEXT(H272/2,"#,##0")&amp;" per 90 days. At Risk if GMV to date &lt; "&amp;TEXT(Assumptions!$B$81,"0%")&amp;" of pro-rated expectation, checked from day "&amp;Assumptions!$B$82&amp;". Human-reviewed.","Irregular buyer ("&amp;I272&amp;" orders across "&amp;K272&amp;" months): no numeric GMV threshold. At Risk if no order within ~"&amp;BA272&amp;" month(s); AM reviews at day "&amp;Assumptions!$B$82&amp;" and "&amp;Assumptions!$B$85&amp;"."),"")</f>
        <v/>
      </c>
      <c r="BC272" s="2"/>
      <c r="BD272" s="2"/>
      <c r="BE272" s="2"/>
      <c r="BF272" s="2"/>
      <c r="BG272" s="2"/>
      <c r="BH272" s="2"/>
      <c r="BI272" s="2"/>
      <c r="BJ272" s="2" t="str">
        <f aca="false">IF(OR(NOT(LEFT(D272,1)="1"),BC272=""),"",IF(AZ272="Regular",AND(BC272&gt;=Assumptions!$B$82,N(BI272)&lt;Assumptions!$B$81*H272/180*BC272),AND(BC272&gt;=BA272*30,N(BG272)=0)))</f>
        <v/>
      </c>
      <c r="BK272" s="2" t="str">
        <f aca="false">IF(NOT(LEFT(D272,1)="1"),"N/A",IF(BC272="","Baseline",IF(BJ272,"At Risk",IF(AND(N(BD272)&gt;=Assumptions!$B$78,N(BE272)&gt;=Assumptions!$B$79,N(BH272)&gt;=1,N(BH272)/MAX(N(BG272),1)&gt;AY272),"Self-Serve Capability Demonstrated",IF(OR(N(BD272)&gt;=Assumptions!$B$76,N(BE272)&gt;=Assumptions!$B$77),"Progressing",IF(BC272&gt;=Assumptions!$B$85,"At Risk","Baseline"))))))</f>
        <v>N/A</v>
      </c>
      <c r="BL272" s="2" t="n">
        <f aca="false">(AND(C272="Broker-Reliant",OR(AK272="Discovery-to-Offer Enablement",AK272="Reinforce Successful Behaviour")))*1+(AND(G272="Declining",E272&lt;&gt;"Tail",AL272="Automated"))*1+(AND(Y272,AM272&lt;&gt;"Human Sign-Off Required"))*1+(AND(AA272,AM272&lt;&gt;"HOLD — Critical Data Issue"))*1+(AND(P272="Recent Inactivity",OR(AK272="Discovery-to-Offer Enablement",AK272="Reinforce Successful Behaviour")))*1+(AND(OR(LEFT(D272,1)="2",LEFT(D272,1)="3",LEFT(D272,1)="8"),AL272="Automated"))*1+((LEFT(D272,1)="1")&lt;&gt;(AK272="Guided Self-Serve Migration"))*1+(AND(AR272&lt;&gt;"",OR(F272&lt;&gt;"Low",U272="Mixed",AND(G272&lt;&gt;"Growing",G272&lt;&gt;"Stable"))))*1+ISNUMBER(SEARCH("chat",AP272))*1+ISNUMBER(SEARCH("video",AP272))*1+(AND(AA272,AL272="Automated",AM272&lt;&gt;"HOLD — Critical Data Issue"))*1</f>
        <v>0</v>
      </c>
    </row>
    <row r="273" customFormat="false" ht="15" hidden="false" customHeight="false" outlineLevel="0" collapsed="false">
      <c r="A273" s="2" t="s">
        <v>892</v>
      </c>
      <c r="B273" s="2" t="str">
        <f aca="false">INDEX(Segmentation!$B$2:$B$301,MATCH($A273,Segmentation!$A$2:$A$301,0))</f>
        <v>Self Serve</v>
      </c>
      <c r="C273" s="2" t="str">
        <f aca="false">INDEX(Segmentation!$H$2:$H$301,MATCH($A273,Segmentation!$A$2:$A$301,0))</f>
        <v>Self-Serve</v>
      </c>
      <c r="D273" s="2" t="str">
        <f aca="false">INDEX(Segmentation!$T$2:$T$301,MATCH($A273,Segmentation!$A$2:$A$301,0))</f>
        <v>9. Long-Tail Automated Nurture</v>
      </c>
      <c r="E273" s="2" t="str">
        <f aca="false">INDEX(Segmentation!$J$2:$J$301,MATCH($A273,Segmentation!$A$2:$A$301,0))</f>
        <v>Tail</v>
      </c>
      <c r="F273" s="2" t="str">
        <f aca="false">INDEX(Segmentation!$G$2:$G$301,MATCH($A273,Segmentation!$A$2:$A$301,0))</f>
        <v>Low</v>
      </c>
      <c r="G273" s="2" t="str">
        <f aca="false">INDEX(Segmentation!$N$2:$N$301,MATCH($A273,Segmentation!$A$2:$A$301,0))</f>
        <v>H2 Active / No H1 GMV</v>
      </c>
      <c r="H273" s="9" t="n">
        <f aca="false">INDEX(Segmentation!$I$2:$I$301,MATCH($A273,Segmentation!$A$2:$A$301,0))</f>
        <v>170</v>
      </c>
      <c r="I273" s="2" t="n">
        <f aca="false">INDEX(Segmentation!$O$2:$O$301,MATCH($A273,Segmentation!$A$2:$A$301,0))</f>
        <v>1</v>
      </c>
      <c r="J273" s="2" t="n">
        <f aca="false">INDEX(Segmentation!$Q$2:$Q$301,MATCH($A273,Segmentation!$A$2:$A$301,0))</f>
        <v>1</v>
      </c>
      <c r="K273" s="2" t="n">
        <f aca="false">INDEX(Segmentation!$W$2:$W$301,MATCH($A273,Segmentation!$A$2:$A$301,0))</f>
        <v>1</v>
      </c>
      <c r="L273" s="9" t="n">
        <f aca="false">INDEX('Commercial View'!$L$2:$L$301,MATCH($A273,'Commercial View'!$A$2:$A$301,0))</f>
        <v>170</v>
      </c>
      <c r="M273" s="9" t="n">
        <f aca="false">INDEX('Commercial View'!$M$2:$M$301,MATCH($A273,'Commercial View'!$A$2:$A$301,0))</f>
        <v>0</v>
      </c>
      <c r="N273" s="9" t="n">
        <f aca="false">INDEX('Commercial View'!$N$2:$N$301,MATCH($A273,'Commercial View'!$A$2:$A$301,0))</f>
        <v>0</v>
      </c>
      <c r="O273" s="9" t="n">
        <f aca="false">INDEX(Segmentation!$L$2:$L$301,MATCH($A273,Segmentation!$A$2:$A$301,0))</f>
        <v>170</v>
      </c>
      <c r="P273" s="2" t="str">
        <f aca="false">IF(OR(M273&gt;0,N273&gt;0),"Recently Active",IF(OR(I273&lt;=Assumptions!$B$48,K273&lt;=Assumptions!$B$49),"No Meaningful History","Recent Inactivity"))</f>
        <v>No Meaningful History</v>
      </c>
      <c r="Q273" s="2" t="str">
        <f aca="false">INDEX(Segmentation!$AF$2:$AF$301,MATCH($A273,Segmentation!$A$2:$A$301,0))</f>
        <v>New Customer</v>
      </c>
      <c r="R273" s="2" t="str">
        <f aca="false">INDEX(Segmentation!$AL$2:$AL$301,MATCH($A273,Segmentation!$A$2:$A$301,0))</f>
        <v>N/A</v>
      </c>
      <c r="S273" s="10" t="b">
        <f aca="false">INDEX(Segmentation!$AW$2:$AW$301,MATCH($A273,Segmentation!$A$2:$A$301,0))</f>
        <v>0</v>
      </c>
      <c r="T273" s="2" t="str">
        <f aca="false">INDEX('Feature Data'!$AD$2:$AD$301,MATCH($A273,'Feature Data'!$A$2:$A$301,0))</f>
        <v>Engaged, not converting</v>
      </c>
      <c r="U273" s="2" t="str">
        <f aca="false">INDEX('Feature Data'!$W$2:$W$301,MATCH($A273,'Feature Data'!$A$2:$A$301,0))</f>
        <v>Bundle-only</v>
      </c>
      <c r="V273" s="2" t="n">
        <f aca="false">INDEX('Feature Data'!$P$2:$P$301,MATCH($A273,'Feature Data'!$A$2:$A$301,0))</f>
        <v>222</v>
      </c>
      <c r="W273" s="2" t="n">
        <f aca="false">INDEX(Segmentation!$R$2:$R$301,MATCH($A273,Segmentation!$A$2:$A$301,0))</f>
        <v>8</v>
      </c>
      <c r="X273" s="2" t="n">
        <f aca="false">INDEX(Segmentation!$S$2:$S$301,MATCH($A273,Segmentation!$A$2:$A$301,0))</f>
        <v>0</v>
      </c>
      <c r="Y273" s="10" t="b">
        <f aca="false">INDEX(Segmentation!$AG$2:$AG$301,MATCH($A273,Segmentation!$A$2:$A$301,0))</f>
        <v>0</v>
      </c>
      <c r="Z273" s="2" t="str">
        <f aca="false">INDEX(Segmentation!$AU$2:$AU$301,MATCH($A273,Segmentation!$A$2:$A$301,0))</f>
        <v>Not Eligible</v>
      </c>
      <c r="AA273" s="10" t="b">
        <f aca="false">INDEX(Segmentation!$Z$2:$Z$301,MATCH($A273,Segmentation!$A$2:$A$301,0))</f>
        <v>0</v>
      </c>
      <c r="AB273" s="10" t="b">
        <f aca="false">INDEX(Segmentation!$AH$2:$AH$301,MATCH($A273,Segmentation!$A$2:$A$301,0))</f>
        <v>0</v>
      </c>
      <c r="AC273" s="10" t="b">
        <f aca="false">INDEX(Segmentation!$AK$2:$AK$301,MATCH($A273,Segmentation!$A$2:$A$301,0))</f>
        <v>0</v>
      </c>
      <c r="AD273" s="10" t="b">
        <f aca="false">INDEX(Segmentation!$AQ$2:$AQ$301,MATCH($A273,Segmentation!$A$2:$A$301,0))</f>
        <v>0</v>
      </c>
      <c r="AE273" s="10" t="b">
        <f aca="false">INDEX(Segmentation!$AT$2:$AT$301,MATCH($A273,Segmentation!$A$2:$A$301,0))</f>
        <v>0</v>
      </c>
      <c r="AF273" s="10" t="b">
        <f aca="false">INDEX(Segmentation!$X$2:$X$301,MATCH($A273,Segmentation!$A$2:$A$301,0))</f>
        <v>1</v>
      </c>
      <c r="AG273" s="10" t="b">
        <f aca="false">AND(F273="Low",V273&gt;=Assumptions!$B$71,X273&lt;Assumptions!$B$72)</f>
        <v>1</v>
      </c>
      <c r="AH273" s="10" t="b">
        <f aca="false">AND(F273="Low",OR(G273="Growing",G273="Stable"),P273="Recently Active",V273&gt;=Assumptions!$B$58,K273&gt;=Assumptions!$B$73)</f>
        <v>0</v>
      </c>
      <c r="AI273" s="17" t="n">
        <f aca="false">IF(O273&gt;0,MAX(L273:N273)/O273,"")</f>
        <v>1</v>
      </c>
      <c r="AJ273" s="2" t="str">
        <f aca="false">IF(LEFT(D273,1)="1",IF(E273="Key","MIGRATION_KEY_SIGNOFF",IF(Z273="Ready","MIGRATION_PHASE1_READY",IF(Z273="Manual Review","MIGRATION_PHASE1_REVIEW","MIGRATION_PRE_ENTRY"))),IF(LEFT(D273,1)="2","DECLINING_KEY_CORE",IF(LEFT(D273,1)="3",IF(R273="Established Buyer Lapsed","LAPSED_ESTABLISHED","LAPSED_THIN_HISTORY"),IF(LEFT(D273,1)="4",IF(Q273="New Customer","NEW_CUSTOMER","RETURNED_CUSTOMER"),IF(LEFT(D273,1)="5",IF(P273="Recently Active","COST_TO_SERVE_ACTIVE","DORMANT_LOW_VALUE"),IF(LEFT(D273,1)="6",IF(P273="Recent Inactivity","RECENT_INACTIVITY",IF(AG273,"BROWSING_LOW_OFFERS","HEALTHY_STRONG_SELF_SERVE")),IF(LEFT(D273,1)="7",IF(P273="Recent Inactivity","RECENT_INACTIVITY",IF(Q273="New Customer","NEW_CUSTOMER","RETURNED_CUSTOMER")),IF(LEFT(D273,1)="8",IF(G273="Declining",IF(T273="Engaged but shrinking (Key/Core)","ENGAGED_BUT_SHRINKING","DECLINING_KEY_CORE"),IF(R273="Established Buyer Lapsed","LAPSED_ESTABLISHED","LAPSED_THIN_HISTORY")),IF(S273,IF(P273&lt;&gt;"Recently Active","DORMANT_LOW_VALUE",IF(AG273,"BROWSING_LOW_OFFERS",IF(AH273,"RISING_TAIL","RISING_TAIL_EARLY"))),IF(AND(AG273,P273="Recently Active",OR(G273="Growing",G273="Stable",G273="H2 Active / No H1 GMV"),I273&gt;=Assumptions!$B$74),"BROWSING_LOW_OFFERS","LONG_TAIL_STANDARD"))))))))))</f>
        <v>LONG_TAIL_STANDARD</v>
      </c>
      <c r="AK273" s="2" t="str">
        <f aca="false">INDEX('NBA Library'!$B$4:$B$21,MATCH(AJ273,'NBA Library'!$A$4:$A$21,0))</f>
        <v>Automated Nurture</v>
      </c>
      <c r="AL273" s="2" t="str">
        <f aca="false">INDEX('NBA Library'!$C$4:$C$21,MATCH(AJ273,'NBA Library'!$A$4:$A$21,0))</f>
        <v>Automated</v>
      </c>
      <c r="AM273" s="2" t="str">
        <f aca="false">IF(AA273,"HOLD — Critical Data Issue",IF(Y273,"Human Sign-Off Required",IF(Z273="Manual Review","Human Review Required",IF(AND(AL273="Automated",OR(AE273,AND(OR(AK273="Discovery-to-Offer Enablement",AK273="Reinforce Successful Behaviour"),OR(AC273,AB273)))),"Human Review Required",IF(AL273="Human","Ready — Human",IF(AL273="Hybrid","Ready — Hybrid","Ready — Automated"))))))</f>
        <v>Ready — Automated</v>
      </c>
      <c r="AN273" s="2" t="str">
        <f aca="false">IF(AA273,"P0",IF(AND(AJ273="BROWSING_LOW_OFFERS",E273="Tail"),"P3",IF(AND(AM273="Human Review Required",INDEX('NBA Library'!$D$4:$D$21,MATCH(AJ273,'NBA Library'!$A$4:$A$21,0))="P4"),"P3",INDEX('NBA Library'!$D$4:$D$21,MATCH(AJ273,'NBA Library'!$A$4:$A$21,0)))))</f>
        <v>P4</v>
      </c>
      <c r="AO273" s="2" t="str">
        <f aca="false">E273&amp;" "&amp;C273&amp;" account ("&amp;B273&amp;"); "&amp;G273&amp;" momentum; "&amp;P273&amp;"; £"&amp;TEXT(H273,"#,##0")&amp;" 6m GMV. "&amp;INDEX('NBA Library'!$G$4:$G$21,MATCH(AJ273,'NBA Library'!$A$4:$A$21,0))&amp;IF(LEFT(D273,1)="1"," Baseline: "&amp;V273&amp;" PDP views, "&amp;W273&amp;" app days, "&amp;X273&amp;" offers, "&amp;TEXT(J273/I273,"0%")&amp;" of orders self-serve.","")&amp;IF(AA273," Execution on HOLD until the Duplicate status is resolved.","")&amp;IF(Y273," Key account: explicit AM/leadership sign-off required before any migration activity.","")&amp;IF(AE273," Implied broker % from order counts would move this account to a different segment; review before automating.","")</f>
        <v>Tail Self-Serve account (Self Serve); H2 Active / No H1 GMV momentum; No Meaningful History; £170 6m GMV. Low-value, low-dependency account. Scalable automated engagement.</v>
      </c>
      <c r="AP273" s="2" t="str">
        <f aca="false">INDEX('NBA Library'!$E$4:$E$21,MATCH(AJ273,'NBA Library'!$A$4:$A$21,0))&amp;IF(AND(AJ273="NEW_CUSTOMER",AG273),"; introduce Make-an-Offer on items already browsed","")</f>
        <v>Scalable automated engagement matched to nurture sub-context</v>
      </c>
      <c r="AQ273" s="2" t="str">
        <f aca="false">INDEX('NBA Library'!$F$4:$F$21,MATCH(AJ273,'NBA Library'!$A$4:$A$21,0))</f>
        <v>Any repeat order within 90 days</v>
      </c>
      <c r="AR273" s="2" t="str">
        <f aca="false">IF(AND(F273="Low",OR(G273="Growing",G273="Stable"),P273="Recently Active",U273&lt;&gt;"Mixed",OR(AK273="Discovery-to-Offer Enablement",AK273="Reinforce Successful Behaviour"),AM273="Ready — Automated",OR(E273&lt;&gt;"Tail",S273)),"Range Expansion Test — trial "&amp;IF(U273="Bundle-only","handpick","bundles")&amp;" (experimental; not proven to lift GMV)","")</f>
        <v/>
      </c>
      <c r="AS273" s="2" t="str">
        <f aca="false">IF(AK273&lt;&gt;"Automated Nurture","",IF(AJ273="DORMANT_LOW_VALUE","Dormant",IF(AJ273="RISING_TAIL_EARLY","Rising tail – early pattern",IF(Q273="New Customer","New customer onboarding",IF(Q273="Returned Customer","Returned customer",IF(G273="Lapsed","Dormant",IF(T273="Engaged, not converting","Engaged, not converting",IF(T273="One-off low-touch buyer","One-off purchaser",IF(T273="Light-touch repeat buyer","Light-touch repeat buyer","Standard long tail")))))))))</f>
        <v>New customer onboarding</v>
      </c>
      <c r="AT273" s="2" t="str">
        <f aca="false">IF(AA273,"CRITICAL_DATA_BLOCKER; ","")&amp;IF(Y273,"KEY_SIGNOFF; ","")&amp;IF(Z273="Manual Review","PHASE1_MANUAL_REVIEW; ","")&amp;IF(AND(LEFT(D273,1)="1",AZ273="Lumpy"),"LUMPY_CADENCE; ","")&amp;IF(AB273,"BORDERLINE_MOMENTUM; ","")&amp;IF(AC273,"FEB_SENSITIVE; ","")&amp;IF(AD273,"MATERIAL_BROKER_INCONSISTENCY"&amp;IF(AE273," (segment would change)","")&amp;"; ","")&amp;IF(AND(I273&gt;=3,O273&gt;0),IF(AI273&gt;=Assumptions!$B$75,"H2_SINGLE_MONTH_SPIKE; ",""),"")&amp;IF(AND(M273&gt;0,N273=0),"NO_FEB_GMV (Feb unconfirmed); ","")&amp;IF(AF273,"LOW_CONFIDENCE; ","")</f>
        <v>LOW_CONFIDENCE; </v>
      </c>
      <c r="AU273" s="2" t="str">
        <f aca="false">IF(LEFT(D273,1)="1",V273,"")</f>
        <v/>
      </c>
      <c r="AV273" s="2" t="str">
        <f aca="false">IF(LEFT(D273,1)="1",V273&gt;=Assumptions!$B$58,"")</f>
        <v/>
      </c>
      <c r="AW273" s="2" t="str">
        <f aca="false">IF(LEFT(D273,1)="1",W273,"")</f>
        <v/>
      </c>
      <c r="AX273" s="2" t="str">
        <f aca="false">IF(LEFT(D273,1)="1",X273,"")</f>
        <v/>
      </c>
      <c r="AY273" s="17" t="str">
        <f aca="false">IF(LEFT(D273,1)="1",J273/I273,"")</f>
        <v/>
      </c>
      <c r="AZ273" s="2" t="str">
        <f aca="false">IF(LEFT(D273,1)="1",IF(AND(K273&gt;=Assumptions!$B$83,I273&gt;=Assumptions!$B$84),"Regular","Lumpy"),"")</f>
        <v/>
      </c>
      <c r="BA273" s="2" t="str">
        <f aca="false">IF(LEFT(D273,1)="1",ROUND(6/K273,0),"")</f>
        <v/>
      </c>
      <c r="BB273" s="2" t="str">
        <f aca="false">IF(LEFT(D273,1)="1",IF(AZ273="Regular","Regular buyer: expected ~£"&amp;TEXT(H273/2,"#,##0")&amp;" per 90 days. At Risk if GMV to date &lt; "&amp;TEXT(Assumptions!$B$81,"0%")&amp;" of pro-rated expectation, checked from day "&amp;Assumptions!$B$82&amp;". Human-reviewed.","Irregular buyer ("&amp;I273&amp;" orders across "&amp;K273&amp;" months): no numeric GMV threshold. At Risk if no order within ~"&amp;BA273&amp;" month(s); AM reviews at day "&amp;Assumptions!$B$82&amp;" and "&amp;Assumptions!$B$85&amp;"."),"")</f>
        <v/>
      </c>
      <c r="BC273" s="2"/>
      <c r="BD273" s="2"/>
      <c r="BE273" s="2"/>
      <c r="BF273" s="2"/>
      <c r="BG273" s="2"/>
      <c r="BH273" s="2"/>
      <c r="BI273" s="2"/>
      <c r="BJ273" s="2" t="str">
        <f aca="false">IF(OR(NOT(LEFT(D273,1)="1"),BC273=""),"",IF(AZ273="Regular",AND(BC273&gt;=Assumptions!$B$82,N(BI273)&lt;Assumptions!$B$81*H273/180*BC273),AND(BC273&gt;=BA273*30,N(BG273)=0)))</f>
        <v/>
      </c>
      <c r="BK273" s="2" t="str">
        <f aca="false">IF(NOT(LEFT(D273,1)="1"),"N/A",IF(BC273="","Baseline",IF(BJ273,"At Risk",IF(AND(N(BD273)&gt;=Assumptions!$B$78,N(BE273)&gt;=Assumptions!$B$79,N(BH273)&gt;=1,N(BH273)/MAX(N(BG273),1)&gt;AY273),"Self-Serve Capability Demonstrated",IF(OR(N(BD273)&gt;=Assumptions!$B$76,N(BE273)&gt;=Assumptions!$B$77),"Progressing",IF(BC273&gt;=Assumptions!$B$85,"At Risk","Baseline"))))))</f>
        <v>N/A</v>
      </c>
      <c r="BL273" s="2" t="n">
        <f aca="false">(AND(C273="Broker-Reliant",OR(AK273="Discovery-to-Offer Enablement",AK273="Reinforce Successful Behaviour")))*1+(AND(G273="Declining",E273&lt;&gt;"Tail",AL273="Automated"))*1+(AND(Y273,AM273&lt;&gt;"Human Sign-Off Required"))*1+(AND(AA273,AM273&lt;&gt;"HOLD — Critical Data Issue"))*1+(AND(P273="Recent Inactivity",OR(AK273="Discovery-to-Offer Enablement",AK273="Reinforce Successful Behaviour")))*1+(AND(OR(LEFT(D273,1)="2",LEFT(D273,1)="3",LEFT(D273,1)="8"),AL273="Automated"))*1+((LEFT(D273,1)="1")&lt;&gt;(AK273="Guided Self-Serve Migration"))*1+(AND(AR273&lt;&gt;"",OR(F273&lt;&gt;"Low",U273="Mixed",AND(G273&lt;&gt;"Growing",G273&lt;&gt;"Stable"))))*1+ISNUMBER(SEARCH("chat",AP273))*1+ISNUMBER(SEARCH("video",AP273))*1+(AND(AA273,AL273="Automated",AM273&lt;&gt;"HOLD — Critical Data Issue"))*1</f>
        <v>0</v>
      </c>
    </row>
    <row r="274" customFormat="false" ht="15" hidden="false" customHeight="false" outlineLevel="0" collapsed="false">
      <c r="A274" s="2" t="s">
        <v>900</v>
      </c>
      <c r="B274" s="2" t="str">
        <f aca="false">INDEX(Segmentation!$B$2:$B$301,MATCH($A274,Segmentation!$A$2:$A$301,0))</f>
        <v>Self Serve</v>
      </c>
      <c r="C274" s="2" t="str">
        <f aca="false">INDEX(Segmentation!$H$2:$H$301,MATCH($A274,Segmentation!$A$2:$A$301,0))</f>
        <v>Self-Serve</v>
      </c>
      <c r="D274" s="2" t="str">
        <f aca="false">INDEX(Segmentation!$T$2:$T$301,MATCH($A274,Segmentation!$A$2:$A$301,0))</f>
        <v>9. Long-Tail Automated Nurture</v>
      </c>
      <c r="E274" s="2" t="str">
        <f aca="false">INDEX(Segmentation!$J$2:$J$301,MATCH($A274,Segmentation!$A$2:$A$301,0))</f>
        <v>Tail</v>
      </c>
      <c r="F274" s="2" t="str">
        <f aca="false">INDEX(Segmentation!$G$2:$G$301,MATCH($A274,Segmentation!$A$2:$A$301,0))</f>
        <v>Low</v>
      </c>
      <c r="G274" s="2" t="str">
        <f aca="false">INDEX(Segmentation!$N$2:$N$301,MATCH($A274,Segmentation!$A$2:$A$301,0))</f>
        <v>H2 Active / No H1 GMV</v>
      </c>
      <c r="H274" s="9" t="n">
        <f aca="false">INDEX(Segmentation!$I$2:$I$301,MATCH($A274,Segmentation!$A$2:$A$301,0))</f>
        <v>154</v>
      </c>
      <c r="I274" s="2" t="n">
        <f aca="false">INDEX(Segmentation!$O$2:$O$301,MATCH($A274,Segmentation!$A$2:$A$301,0))</f>
        <v>1</v>
      </c>
      <c r="J274" s="2" t="n">
        <f aca="false">INDEX(Segmentation!$Q$2:$Q$301,MATCH($A274,Segmentation!$A$2:$A$301,0))</f>
        <v>1</v>
      </c>
      <c r="K274" s="2" t="n">
        <f aca="false">INDEX(Segmentation!$W$2:$W$301,MATCH($A274,Segmentation!$A$2:$A$301,0))</f>
        <v>1</v>
      </c>
      <c r="L274" s="9" t="n">
        <f aca="false">INDEX('Commercial View'!$L$2:$L$301,MATCH($A274,'Commercial View'!$A$2:$A$301,0))</f>
        <v>0</v>
      </c>
      <c r="M274" s="9" t="n">
        <f aca="false">INDEX('Commercial View'!$M$2:$M$301,MATCH($A274,'Commercial View'!$A$2:$A$301,0))</f>
        <v>154</v>
      </c>
      <c r="N274" s="9" t="n">
        <f aca="false">INDEX('Commercial View'!$N$2:$N$301,MATCH($A274,'Commercial View'!$A$2:$A$301,0))</f>
        <v>0</v>
      </c>
      <c r="O274" s="9" t="n">
        <f aca="false">INDEX(Segmentation!$L$2:$L$301,MATCH($A274,Segmentation!$A$2:$A$301,0))</f>
        <v>154</v>
      </c>
      <c r="P274" s="2" t="str">
        <f aca="false">IF(OR(M274&gt;0,N274&gt;0),"Recently Active",IF(OR(I274&lt;=Assumptions!$B$48,K274&lt;=Assumptions!$B$49),"No Meaningful History","Recent Inactivity"))</f>
        <v>Recently Active</v>
      </c>
      <c r="Q274" s="2" t="str">
        <f aca="false">INDEX(Segmentation!$AF$2:$AF$301,MATCH($A274,Segmentation!$A$2:$A$301,0))</f>
        <v>New Customer</v>
      </c>
      <c r="R274" s="2" t="str">
        <f aca="false">INDEX(Segmentation!$AL$2:$AL$301,MATCH($A274,Segmentation!$A$2:$A$301,0))</f>
        <v>N/A</v>
      </c>
      <c r="S274" s="10" t="b">
        <f aca="false">INDEX(Segmentation!$AW$2:$AW$301,MATCH($A274,Segmentation!$A$2:$A$301,0))</f>
        <v>0</v>
      </c>
      <c r="T274" s="2" t="str">
        <f aca="false">INDEX('Feature Data'!$AD$2:$AD$301,MATCH($A274,'Feature Data'!$A$2:$A$301,0))</f>
        <v>Engaged, not converting</v>
      </c>
      <c r="U274" s="2" t="str">
        <f aca="false">INDEX('Feature Data'!$W$2:$W$301,MATCH($A274,'Feature Data'!$A$2:$A$301,0))</f>
        <v>Bundle-only</v>
      </c>
      <c r="V274" s="2" t="n">
        <f aca="false">INDEX('Feature Data'!$P$2:$P$301,MATCH($A274,'Feature Data'!$A$2:$A$301,0))</f>
        <v>247</v>
      </c>
      <c r="W274" s="2" t="n">
        <f aca="false">INDEX(Segmentation!$R$2:$R$301,MATCH($A274,Segmentation!$A$2:$A$301,0))</f>
        <v>16</v>
      </c>
      <c r="X274" s="2" t="n">
        <f aca="false">INDEX(Segmentation!$S$2:$S$301,MATCH($A274,Segmentation!$A$2:$A$301,0))</f>
        <v>0</v>
      </c>
      <c r="Y274" s="10" t="b">
        <f aca="false">INDEX(Segmentation!$AG$2:$AG$301,MATCH($A274,Segmentation!$A$2:$A$301,0))</f>
        <v>0</v>
      </c>
      <c r="Z274" s="2" t="str">
        <f aca="false">INDEX(Segmentation!$AU$2:$AU$301,MATCH($A274,Segmentation!$A$2:$A$301,0))</f>
        <v>Not Eligible</v>
      </c>
      <c r="AA274" s="10" t="b">
        <f aca="false">INDEX(Segmentation!$Z$2:$Z$301,MATCH($A274,Segmentation!$A$2:$A$301,0))</f>
        <v>0</v>
      </c>
      <c r="AB274" s="10" t="b">
        <f aca="false">INDEX(Segmentation!$AH$2:$AH$301,MATCH($A274,Segmentation!$A$2:$A$301,0))</f>
        <v>0</v>
      </c>
      <c r="AC274" s="10" t="b">
        <f aca="false">INDEX(Segmentation!$AK$2:$AK$301,MATCH($A274,Segmentation!$A$2:$A$301,0))</f>
        <v>0</v>
      </c>
      <c r="AD274" s="10" t="b">
        <f aca="false">INDEX(Segmentation!$AQ$2:$AQ$301,MATCH($A274,Segmentation!$A$2:$A$301,0))</f>
        <v>0</v>
      </c>
      <c r="AE274" s="10" t="b">
        <f aca="false">INDEX(Segmentation!$AT$2:$AT$301,MATCH($A274,Segmentation!$A$2:$A$301,0))</f>
        <v>0</v>
      </c>
      <c r="AF274" s="10" t="b">
        <f aca="false">INDEX(Segmentation!$X$2:$X$301,MATCH($A274,Segmentation!$A$2:$A$301,0))</f>
        <v>1</v>
      </c>
      <c r="AG274" s="10" t="b">
        <f aca="false">AND(F274="Low",V274&gt;=Assumptions!$B$71,X274&lt;Assumptions!$B$72)</f>
        <v>1</v>
      </c>
      <c r="AH274" s="10" t="b">
        <f aca="false">AND(F274="Low",OR(G274="Growing",G274="Stable"),P274="Recently Active",V274&gt;=Assumptions!$B$58,K274&gt;=Assumptions!$B$73)</f>
        <v>0</v>
      </c>
      <c r="AI274" s="17" t="n">
        <f aca="false">IF(O274&gt;0,MAX(L274:N274)/O274,"")</f>
        <v>1</v>
      </c>
      <c r="AJ274" s="2" t="str">
        <f aca="false">IF(LEFT(D274,1)="1",IF(E274="Key","MIGRATION_KEY_SIGNOFF",IF(Z274="Ready","MIGRATION_PHASE1_READY",IF(Z274="Manual Review","MIGRATION_PHASE1_REVIEW","MIGRATION_PRE_ENTRY"))),IF(LEFT(D274,1)="2","DECLINING_KEY_CORE",IF(LEFT(D274,1)="3",IF(R274="Established Buyer Lapsed","LAPSED_ESTABLISHED","LAPSED_THIN_HISTORY"),IF(LEFT(D274,1)="4",IF(Q274="New Customer","NEW_CUSTOMER","RETURNED_CUSTOMER"),IF(LEFT(D274,1)="5",IF(P274="Recently Active","COST_TO_SERVE_ACTIVE","DORMANT_LOW_VALUE"),IF(LEFT(D274,1)="6",IF(P274="Recent Inactivity","RECENT_INACTIVITY",IF(AG274,"BROWSING_LOW_OFFERS","HEALTHY_STRONG_SELF_SERVE")),IF(LEFT(D274,1)="7",IF(P274="Recent Inactivity","RECENT_INACTIVITY",IF(Q274="New Customer","NEW_CUSTOMER","RETURNED_CUSTOMER")),IF(LEFT(D274,1)="8",IF(G274="Declining",IF(T274="Engaged but shrinking (Key/Core)","ENGAGED_BUT_SHRINKING","DECLINING_KEY_CORE"),IF(R274="Established Buyer Lapsed","LAPSED_ESTABLISHED","LAPSED_THIN_HISTORY")),IF(S274,IF(P274&lt;&gt;"Recently Active","DORMANT_LOW_VALUE",IF(AG274,"BROWSING_LOW_OFFERS",IF(AH274,"RISING_TAIL","RISING_TAIL_EARLY"))),IF(AND(AG274,P274="Recently Active",OR(G274="Growing",G274="Stable",G274="H2 Active / No H1 GMV"),I274&gt;=Assumptions!$B$74),"BROWSING_LOW_OFFERS","LONG_TAIL_STANDARD"))))))))))</f>
        <v>LONG_TAIL_STANDARD</v>
      </c>
      <c r="AK274" s="2" t="str">
        <f aca="false">INDEX('NBA Library'!$B$4:$B$21,MATCH(AJ274,'NBA Library'!$A$4:$A$21,0))</f>
        <v>Automated Nurture</v>
      </c>
      <c r="AL274" s="2" t="str">
        <f aca="false">INDEX('NBA Library'!$C$4:$C$21,MATCH(AJ274,'NBA Library'!$A$4:$A$21,0))</f>
        <v>Automated</v>
      </c>
      <c r="AM274" s="2" t="str">
        <f aca="false">IF(AA274,"HOLD — Critical Data Issue",IF(Y274,"Human Sign-Off Required",IF(Z274="Manual Review","Human Review Required",IF(AND(AL274="Automated",OR(AE274,AND(OR(AK274="Discovery-to-Offer Enablement",AK274="Reinforce Successful Behaviour"),OR(AC274,AB274)))),"Human Review Required",IF(AL274="Human","Ready — Human",IF(AL274="Hybrid","Ready — Hybrid","Ready — Automated"))))))</f>
        <v>Ready — Automated</v>
      </c>
      <c r="AN274" s="2" t="str">
        <f aca="false">IF(AA274,"P0",IF(AND(AJ274="BROWSING_LOW_OFFERS",E274="Tail"),"P3",IF(AND(AM274="Human Review Required",INDEX('NBA Library'!$D$4:$D$21,MATCH(AJ274,'NBA Library'!$A$4:$A$21,0))="P4"),"P3",INDEX('NBA Library'!$D$4:$D$21,MATCH(AJ274,'NBA Library'!$A$4:$A$21,0)))))</f>
        <v>P4</v>
      </c>
      <c r="AO274" s="2" t="str">
        <f aca="false">E274&amp;" "&amp;C274&amp;" account ("&amp;B274&amp;"); "&amp;G274&amp;" momentum; "&amp;P274&amp;"; £"&amp;TEXT(H274,"#,##0")&amp;" 6m GMV. "&amp;INDEX('NBA Library'!$G$4:$G$21,MATCH(AJ274,'NBA Library'!$A$4:$A$21,0))&amp;IF(LEFT(D274,1)="1"," Baseline: "&amp;V274&amp;" PDP views, "&amp;W274&amp;" app days, "&amp;X274&amp;" offers, "&amp;TEXT(J274/I274,"0%")&amp;" of orders self-serve.","")&amp;IF(AA274," Execution on HOLD until the Duplicate status is resolved.","")&amp;IF(Y274," Key account: explicit AM/leadership sign-off required before any migration activity.","")&amp;IF(AE274," Implied broker % from order counts would move this account to a different segment; review before automating.","")</f>
        <v>Tail Self-Serve account (Self Serve); H2 Active / No H1 GMV momentum; Recently Active; £154 6m GMV. Low-value, low-dependency account. Scalable automated engagement.</v>
      </c>
      <c r="AP274" s="2" t="str">
        <f aca="false">INDEX('NBA Library'!$E$4:$E$21,MATCH(AJ274,'NBA Library'!$A$4:$A$21,0))&amp;IF(AND(AJ274="NEW_CUSTOMER",AG274),"; introduce Make-an-Offer on items already browsed","")</f>
        <v>Scalable automated engagement matched to nurture sub-context</v>
      </c>
      <c r="AQ274" s="2" t="str">
        <f aca="false">INDEX('NBA Library'!$F$4:$F$21,MATCH(AJ274,'NBA Library'!$A$4:$A$21,0))</f>
        <v>Any repeat order within 90 days</v>
      </c>
      <c r="AR274" s="2" t="str">
        <f aca="false">IF(AND(F274="Low",OR(G274="Growing",G274="Stable"),P274="Recently Active",U274&lt;&gt;"Mixed",OR(AK274="Discovery-to-Offer Enablement",AK274="Reinforce Successful Behaviour"),AM274="Ready — Automated",OR(E274&lt;&gt;"Tail",S274)),"Range Expansion Test — trial "&amp;IF(U274="Bundle-only","handpick","bundles")&amp;" (experimental; not proven to lift GMV)","")</f>
        <v/>
      </c>
      <c r="AS274" s="2" t="str">
        <f aca="false">IF(AK274&lt;&gt;"Automated Nurture","",IF(AJ274="DORMANT_LOW_VALUE","Dormant",IF(AJ274="RISING_TAIL_EARLY","Rising tail – early pattern",IF(Q274="New Customer","New customer onboarding",IF(Q274="Returned Customer","Returned customer",IF(G274="Lapsed","Dormant",IF(T274="Engaged, not converting","Engaged, not converting",IF(T274="One-off low-touch buyer","One-off purchaser",IF(T274="Light-touch repeat buyer","Light-touch repeat buyer","Standard long tail")))))))))</f>
        <v>New customer onboarding</v>
      </c>
      <c r="AT274" s="2" t="str">
        <f aca="false">IF(AA274,"CRITICAL_DATA_BLOCKER; ","")&amp;IF(Y274,"KEY_SIGNOFF; ","")&amp;IF(Z274="Manual Review","PHASE1_MANUAL_REVIEW; ","")&amp;IF(AND(LEFT(D274,1)="1",AZ274="Lumpy"),"LUMPY_CADENCE; ","")&amp;IF(AB274,"BORDERLINE_MOMENTUM; ","")&amp;IF(AC274,"FEB_SENSITIVE; ","")&amp;IF(AD274,"MATERIAL_BROKER_INCONSISTENCY"&amp;IF(AE274," (segment would change)","")&amp;"; ","")&amp;IF(AND(I274&gt;=3,O274&gt;0),IF(AI274&gt;=Assumptions!$B$75,"H2_SINGLE_MONTH_SPIKE; ",""),"")&amp;IF(AND(M274&gt;0,N274=0),"NO_FEB_GMV (Feb unconfirmed); ","")&amp;IF(AF274,"LOW_CONFIDENCE; ","")</f>
        <v>NO_FEB_GMV (Feb unconfirmed); LOW_CONFIDENCE; </v>
      </c>
      <c r="AU274" s="2" t="str">
        <f aca="false">IF(LEFT(D274,1)="1",V274,"")</f>
        <v/>
      </c>
      <c r="AV274" s="2" t="str">
        <f aca="false">IF(LEFT(D274,1)="1",V274&gt;=Assumptions!$B$58,"")</f>
        <v/>
      </c>
      <c r="AW274" s="2" t="str">
        <f aca="false">IF(LEFT(D274,1)="1",W274,"")</f>
        <v/>
      </c>
      <c r="AX274" s="2" t="str">
        <f aca="false">IF(LEFT(D274,1)="1",X274,"")</f>
        <v/>
      </c>
      <c r="AY274" s="17" t="str">
        <f aca="false">IF(LEFT(D274,1)="1",J274/I274,"")</f>
        <v/>
      </c>
      <c r="AZ274" s="2" t="str">
        <f aca="false">IF(LEFT(D274,1)="1",IF(AND(K274&gt;=Assumptions!$B$83,I274&gt;=Assumptions!$B$84),"Regular","Lumpy"),"")</f>
        <v/>
      </c>
      <c r="BA274" s="2" t="str">
        <f aca="false">IF(LEFT(D274,1)="1",ROUND(6/K274,0),"")</f>
        <v/>
      </c>
      <c r="BB274" s="2" t="str">
        <f aca="false">IF(LEFT(D274,1)="1",IF(AZ274="Regular","Regular buyer: expected ~£"&amp;TEXT(H274/2,"#,##0")&amp;" per 90 days. At Risk if GMV to date &lt; "&amp;TEXT(Assumptions!$B$81,"0%")&amp;" of pro-rated expectation, checked from day "&amp;Assumptions!$B$82&amp;". Human-reviewed.","Irregular buyer ("&amp;I274&amp;" orders across "&amp;K274&amp;" months): no numeric GMV threshold. At Risk if no order within ~"&amp;BA274&amp;" month(s); AM reviews at day "&amp;Assumptions!$B$82&amp;" and "&amp;Assumptions!$B$85&amp;"."),"")</f>
        <v/>
      </c>
      <c r="BC274" s="2"/>
      <c r="BD274" s="2"/>
      <c r="BE274" s="2"/>
      <c r="BF274" s="2"/>
      <c r="BG274" s="2"/>
      <c r="BH274" s="2"/>
      <c r="BI274" s="2"/>
      <c r="BJ274" s="2" t="str">
        <f aca="false">IF(OR(NOT(LEFT(D274,1)="1"),BC274=""),"",IF(AZ274="Regular",AND(BC274&gt;=Assumptions!$B$82,N(BI274)&lt;Assumptions!$B$81*H274/180*BC274),AND(BC274&gt;=BA274*30,N(BG274)=0)))</f>
        <v/>
      </c>
      <c r="BK274" s="2" t="str">
        <f aca="false">IF(NOT(LEFT(D274,1)="1"),"N/A",IF(BC274="","Baseline",IF(BJ274,"At Risk",IF(AND(N(BD274)&gt;=Assumptions!$B$78,N(BE274)&gt;=Assumptions!$B$79,N(BH274)&gt;=1,N(BH274)/MAX(N(BG274),1)&gt;AY274),"Self-Serve Capability Demonstrated",IF(OR(N(BD274)&gt;=Assumptions!$B$76,N(BE274)&gt;=Assumptions!$B$77),"Progressing",IF(BC274&gt;=Assumptions!$B$85,"At Risk","Baseline"))))))</f>
        <v>N/A</v>
      </c>
      <c r="BL274" s="2" t="n">
        <f aca="false">(AND(C274="Broker-Reliant",OR(AK274="Discovery-to-Offer Enablement",AK274="Reinforce Successful Behaviour")))*1+(AND(G274="Declining",E274&lt;&gt;"Tail",AL274="Automated"))*1+(AND(Y274,AM274&lt;&gt;"Human Sign-Off Required"))*1+(AND(AA274,AM274&lt;&gt;"HOLD — Critical Data Issue"))*1+(AND(P274="Recent Inactivity",OR(AK274="Discovery-to-Offer Enablement",AK274="Reinforce Successful Behaviour")))*1+(AND(OR(LEFT(D274,1)="2",LEFT(D274,1)="3",LEFT(D274,1)="8"),AL274="Automated"))*1+((LEFT(D274,1)="1")&lt;&gt;(AK274="Guided Self-Serve Migration"))*1+(AND(AR274&lt;&gt;"",OR(F274&lt;&gt;"Low",U274="Mixed",AND(G274&lt;&gt;"Growing",G274&lt;&gt;"Stable"))))*1+ISNUMBER(SEARCH("chat",AP274))*1+ISNUMBER(SEARCH("video",AP274))*1+(AND(AA274,AL274="Automated",AM274&lt;&gt;"HOLD — Critical Data Issue"))*1</f>
        <v>0</v>
      </c>
    </row>
    <row r="275" customFormat="false" ht="15" hidden="false" customHeight="false" outlineLevel="0" collapsed="false">
      <c r="A275" s="2" t="s">
        <v>908</v>
      </c>
      <c r="B275" s="2" t="str">
        <f aca="false">INDEX(Segmentation!$B$2:$B$301,MATCH($A275,Segmentation!$A$2:$A$301,0))</f>
        <v>Self Serve</v>
      </c>
      <c r="C275" s="2" t="str">
        <f aca="false">INDEX(Segmentation!$H$2:$H$301,MATCH($A275,Segmentation!$A$2:$A$301,0))</f>
        <v>Self-Serve</v>
      </c>
      <c r="D275" s="2" t="str">
        <f aca="false">INDEX(Segmentation!$T$2:$T$301,MATCH($A275,Segmentation!$A$2:$A$301,0))</f>
        <v>9. Long-Tail Automated Nurture</v>
      </c>
      <c r="E275" s="2" t="str">
        <f aca="false">INDEX(Segmentation!$J$2:$J$301,MATCH($A275,Segmentation!$A$2:$A$301,0))</f>
        <v>Tail</v>
      </c>
      <c r="F275" s="2" t="str">
        <f aca="false">INDEX(Segmentation!$G$2:$G$301,MATCH($A275,Segmentation!$A$2:$A$301,0))</f>
        <v>Low</v>
      </c>
      <c r="G275" s="2" t="str">
        <f aca="false">INDEX(Segmentation!$N$2:$N$301,MATCH($A275,Segmentation!$A$2:$A$301,0))</f>
        <v>H2 Active / No H1 GMV</v>
      </c>
      <c r="H275" s="9" t="n">
        <f aca="false">INDEX(Segmentation!$I$2:$I$301,MATCH($A275,Segmentation!$A$2:$A$301,0))</f>
        <v>147</v>
      </c>
      <c r="I275" s="2" t="n">
        <f aca="false">INDEX(Segmentation!$O$2:$O$301,MATCH($A275,Segmentation!$A$2:$A$301,0))</f>
        <v>1</v>
      </c>
      <c r="J275" s="2" t="n">
        <f aca="false">INDEX(Segmentation!$Q$2:$Q$301,MATCH($A275,Segmentation!$A$2:$A$301,0))</f>
        <v>1</v>
      </c>
      <c r="K275" s="2" t="n">
        <f aca="false">INDEX(Segmentation!$W$2:$W$301,MATCH($A275,Segmentation!$A$2:$A$301,0))</f>
        <v>1</v>
      </c>
      <c r="L275" s="9" t="n">
        <f aca="false">INDEX('Commercial View'!$L$2:$L$301,MATCH($A275,'Commercial View'!$A$2:$A$301,0))</f>
        <v>0</v>
      </c>
      <c r="M275" s="9" t="n">
        <f aca="false">INDEX('Commercial View'!$M$2:$M$301,MATCH($A275,'Commercial View'!$A$2:$A$301,0))</f>
        <v>147</v>
      </c>
      <c r="N275" s="9" t="n">
        <f aca="false">INDEX('Commercial View'!$N$2:$N$301,MATCH($A275,'Commercial View'!$A$2:$A$301,0))</f>
        <v>0</v>
      </c>
      <c r="O275" s="9" t="n">
        <f aca="false">INDEX(Segmentation!$L$2:$L$301,MATCH($A275,Segmentation!$A$2:$A$301,0))</f>
        <v>147</v>
      </c>
      <c r="P275" s="2" t="str">
        <f aca="false">IF(OR(M275&gt;0,N275&gt;0),"Recently Active",IF(OR(I275&lt;=Assumptions!$B$48,K275&lt;=Assumptions!$B$49),"No Meaningful History","Recent Inactivity"))</f>
        <v>Recently Active</v>
      </c>
      <c r="Q275" s="2" t="str">
        <f aca="false">INDEX(Segmentation!$AF$2:$AF$301,MATCH($A275,Segmentation!$A$2:$A$301,0))</f>
        <v>New Customer</v>
      </c>
      <c r="R275" s="2" t="str">
        <f aca="false">INDEX(Segmentation!$AL$2:$AL$301,MATCH($A275,Segmentation!$A$2:$A$301,0))</f>
        <v>N/A</v>
      </c>
      <c r="S275" s="10" t="b">
        <f aca="false">INDEX(Segmentation!$AW$2:$AW$301,MATCH($A275,Segmentation!$A$2:$A$301,0))</f>
        <v>0</v>
      </c>
      <c r="T275" s="2" t="str">
        <f aca="false">INDEX('Feature Data'!$AD$2:$AD$301,MATCH($A275,'Feature Data'!$A$2:$A$301,0))</f>
        <v>One-off low-touch buyer</v>
      </c>
      <c r="U275" s="2" t="str">
        <f aca="false">INDEX('Feature Data'!$W$2:$W$301,MATCH($A275,'Feature Data'!$A$2:$A$301,0))</f>
        <v>Handpick-only</v>
      </c>
      <c r="V275" s="2" t="n">
        <f aca="false">INDEX('Feature Data'!$P$2:$P$301,MATCH($A275,'Feature Data'!$A$2:$A$301,0))</f>
        <v>81</v>
      </c>
      <c r="W275" s="2" t="n">
        <f aca="false">INDEX(Segmentation!$R$2:$R$301,MATCH($A275,Segmentation!$A$2:$A$301,0))</f>
        <v>4</v>
      </c>
      <c r="X275" s="2" t="n">
        <f aca="false">INDEX(Segmentation!$S$2:$S$301,MATCH($A275,Segmentation!$A$2:$A$301,0))</f>
        <v>0</v>
      </c>
      <c r="Y275" s="10" t="b">
        <f aca="false">INDEX(Segmentation!$AG$2:$AG$301,MATCH($A275,Segmentation!$A$2:$A$301,0))</f>
        <v>0</v>
      </c>
      <c r="Z275" s="2" t="str">
        <f aca="false">INDEX(Segmentation!$AU$2:$AU$301,MATCH($A275,Segmentation!$A$2:$A$301,0))</f>
        <v>Not Eligible</v>
      </c>
      <c r="AA275" s="10" t="b">
        <f aca="false">INDEX(Segmentation!$Z$2:$Z$301,MATCH($A275,Segmentation!$A$2:$A$301,0))</f>
        <v>0</v>
      </c>
      <c r="AB275" s="10" t="b">
        <f aca="false">INDEX(Segmentation!$AH$2:$AH$301,MATCH($A275,Segmentation!$A$2:$A$301,0))</f>
        <v>0</v>
      </c>
      <c r="AC275" s="10" t="b">
        <f aca="false">INDEX(Segmentation!$AK$2:$AK$301,MATCH($A275,Segmentation!$A$2:$A$301,0))</f>
        <v>0</v>
      </c>
      <c r="AD275" s="10" t="b">
        <f aca="false">INDEX(Segmentation!$AQ$2:$AQ$301,MATCH($A275,Segmentation!$A$2:$A$301,0))</f>
        <v>0</v>
      </c>
      <c r="AE275" s="10" t="b">
        <f aca="false">INDEX(Segmentation!$AT$2:$AT$301,MATCH($A275,Segmentation!$A$2:$A$301,0))</f>
        <v>0</v>
      </c>
      <c r="AF275" s="10" t="b">
        <f aca="false">INDEX(Segmentation!$X$2:$X$301,MATCH($A275,Segmentation!$A$2:$A$301,0))</f>
        <v>1</v>
      </c>
      <c r="AG275" s="10" t="b">
        <f aca="false">AND(F275="Low",V275&gt;=Assumptions!$B$71,X275&lt;Assumptions!$B$72)</f>
        <v>1</v>
      </c>
      <c r="AH275" s="10" t="b">
        <f aca="false">AND(F275="Low",OR(G275="Growing",G275="Stable"),P275="Recently Active",V275&gt;=Assumptions!$B$58,K275&gt;=Assumptions!$B$73)</f>
        <v>0</v>
      </c>
      <c r="AI275" s="17" t="n">
        <f aca="false">IF(O275&gt;0,MAX(L275:N275)/O275,"")</f>
        <v>1</v>
      </c>
      <c r="AJ275" s="2" t="str">
        <f aca="false">IF(LEFT(D275,1)="1",IF(E275="Key","MIGRATION_KEY_SIGNOFF",IF(Z275="Ready","MIGRATION_PHASE1_READY",IF(Z275="Manual Review","MIGRATION_PHASE1_REVIEW","MIGRATION_PRE_ENTRY"))),IF(LEFT(D275,1)="2","DECLINING_KEY_CORE",IF(LEFT(D275,1)="3",IF(R275="Established Buyer Lapsed","LAPSED_ESTABLISHED","LAPSED_THIN_HISTORY"),IF(LEFT(D275,1)="4",IF(Q275="New Customer","NEW_CUSTOMER","RETURNED_CUSTOMER"),IF(LEFT(D275,1)="5",IF(P275="Recently Active","COST_TO_SERVE_ACTIVE","DORMANT_LOW_VALUE"),IF(LEFT(D275,1)="6",IF(P275="Recent Inactivity","RECENT_INACTIVITY",IF(AG275,"BROWSING_LOW_OFFERS","HEALTHY_STRONG_SELF_SERVE")),IF(LEFT(D275,1)="7",IF(P275="Recent Inactivity","RECENT_INACTIVITY",IF(Q275="New Customer","NEW_CUSTOMER","RETURNED_CUSTOMER")),IF(LEFT(D275,1)="8",IF(G275="Declining",IF(T275="Engaged but shrinking (Key/Core)","ENGAGED_BUT_SHRINKING","DECLINING_KEY_CORE"),IF(R275="Established Buyer Lapsed","LAPSED_ESTABLISHED","LAPSED_THIN_HISTORY")),IF(S275,IF(P275&lt;&gt;"Recently Active","DORMANT_LOW_VALUE",IF(AG275,"BROWSING_LOW_OFFERS",IF(AH275,"RISING_TAIL","RISING_TAIL_EARLY"))),IF(AND(AG275,P275="Recently Active",OR(G275="Growing",G275="Stable",G275="H2 Active / No H1 GMV"),I275&gt;=Assumptions!$B$74),"BROWSING_LOW_OFFERS","LONG_TAIL_STANDARD"))))))))))</f>
        <v>LONG_TAIL_STANDARD</v>
      </c>
      <c r="AK275" s="2" t="str">
        <f aca="false">INDEX('NBA Library'!$B$4:$B$21,MATCH(AJ275,'NBA Library'!$A$4:$A$21,0))</f>
        <v>Automated Nurture</v>
      </c>
      <c r="AL275" s="2" t="str">
        <f aca="false">INDEX('NBA Library'!$C$4:$C$21,MATCH(AJ275,'NBA Library'!$A$4:$A$21,0))</f>
        <v>Automated</v>
      </c>
      <c r="AM275" s="2" t="str">
        <f aca="false">IF(AA275,"HOLD — Critical Data Issue",IF(Y275,"Human Sign-Off Required",IF(Z275="Manual Review","Human Review Required",IF(AND(AL275="Automated",OR(AE275,AND(OR(AK275="Discovery-to-Offer Enablement",AK275="Reinforce Successful Behaviour"),OR(AC275,AB275)))),"Human Review Required",IF(AL275="Human","Ready — Human",IF(AL275="Hybrid","Ready — Hybrid","Ready — Automated"))))))</f>
        <v>Ready — Automated</v>
      </c>
      <c r="AN275" s="2" t="str">
        <f aca="false">IF(AA275,"P0",IF(AND(AJ275="BROWSING_LOW_OFFERS",E275="Tail"),"P3",IF(AND(AM275="Human Review Required",INDEX('NBA Library'!$D$4:$D$21,MATCH(AJ275,'NBA Library'!$A$4:$A$21,0))="P4"),"P3",INDEX('NBA Library'!$D$4:$D$21,MATCH(AJ275,'NBA Library'!$A$4:$A$21,0)))))</f>
        <v>P4</v>
      </c>
      <c r="AO275" s="2" t="str">
        <f aca="false">E275&amp;" "&amp;C275&amp;" account ("&amp;B275&amp;"); "&amp;G275&amp;" momentum; "&amp;P275&amp;"; £"&amp;TEXT(H275,"#,##0")&amp;" 6m GMV. "&amp;INDEX('NBA Library'!$G$4:$G$21,MATCH(AJ275,'NBA Library'!$A$4:$A$21,0))&amp;IF(LEFT(D275,1)="1"," Baseline: "&amp;V275&amp;" PDP views, "&amp;W275&amp;" app days, "&amp;X275&amp;" offers, "&amp;TEXT(J275/I275,"0%")&amp;" of orders self-serve.","")&amp;IF(AA275," Execution on HOLD until the Duplicate status is resolved.","")&amp;IF(Y275," Key account: explicit AM/leadership sign-off required before any migration activity.","")&amp;IF(AE275," Implied broker % from order counts would move this account to a different segment; review before automating.","")</f>
        <v>Tail Self-Serve account (Self Serve); H2 Active / No H1 GMV momentum; Recently Active; £147 6m GMV. Low-value, low-dependency account. Scalable automated engagement.</v>
      </c>
      <c r="AP275" s="2" t="str">
        <f aca="false">INDEX('NBA Library'!$E$4:$E$21,MATCH(AJ275,'NBA Library'!$A$4:$A$21,0))&amp;IF(AND(AJ275="NEW_CUSTOMER",AG275),"; introduce Make-an-Offer on items already browsed","")</f>
        <v>Scalable automated engagement matched to nurture sub-context</v>
      </c>
      <c r="AQ275" s="2" t="str">
        <f aca="false">INDEX('NBA Library'!$F$4:$F$21,MATCH(AJ275,'NBA Library'!$A$4:$A$21,0))</f>
        <v>Any repeat order within 90 days</v>
      </c>
      <c r="AR275" s="2" t="str">
        <f aca="false">IF(AND(F275="Low",OR(G275="Growing",G275="Stable"),P275="Recently Active",U275&lt;&gt;"Mixed",OR(AK275="Discovery-to-Offer Enablement",AK275="Reinforce Successful Behaviour"),AM275="Ready — Automated",OR(E275&lt;&gt;"Tail",S275)),"Range Expansion Test — trial "&amp;IF(U275="Bundle-only","handpick","bundles")&amp;" (experimental; not proven to lift GMV)","")</f>
        <v/>
      </c>
      <c r="AS275" s="2" t="str">
        <f aca="false">IF(AK275&lt;&gt;"Automated Nurture","",IF(AJ275="DORMANT_LOW_VALUE","Dormant",IF(AJ275="RISING_TAIL_EARLY","Rising tail – early pattern",IF(Q275="New Customer","New customer onboarding",IF(Q275="Returned Customer","Returned customer",IF(G275="Lapsed","Dormant",IF(T275="Engaged, not converting","Engaged, not converting",IF(T275="One-off low-touch buyer","One-off purchaser",IF(T275="Light-touch repeat buyer","Light-touch repeat buyer","Standard long tail")))))))))</f>
        <v>New customer onboarding</v>
      </c>
      <c r="AT275" s="2" t="str">
        <f aca="false">IF(AA275,"CRITICAL_DATA_BLOCKER; ","")&amp;IF(Y275,"KEY_SIGNOFF; ","")&amp;IF(Z275="Manual Review","PHASE1_MANUAL_REVIEW; ","")&amp;IF(AND(LEFT(D275,1)="1",AZ275="Lumpy"),"LUMPY_CADENCE; ","")&amp;IF(AB275,"BORDERLINE_MOMENTUM; ","")&amp;IF(AC275,"FEB_SENSITIVE; ","")&amp;IF(AD275,"MATERIAL_BROKER_INCONSISTENCY"&amp;IF(AE275," (segment would change)","")&amp;"; ","")&amp;IF(AND(I275&gt;=3,O275&gt;0),IF(AI275&gt;=Assumptions!$B$75,"H2_SINGLE_MONTH_SPIKE; ",""),"")&amp;IF(AND(M275&gt;0,N275=0),"NO_FEB_GMV (Feb unconfirmed); ","")&amp;IF(AF275,"LOW_CONFIDENCE; ","")</f>
        <v>NO_FEB_GMV (Feb unconfirmed); LOW_CONFIDENCE; </v>
      </c>
      <c r="AU275" s="2" t="str">
        <f aca="false">IF(LEFT(D275,1)="1",V275,"")</f>
        <v/>
      </c>
      <c r="AV275" s="2" t="str">
        <f aca="false">IF(LEFT(D275,1)="1",V275&gt;=Assumptions!$B$58,"")</f>
        <v/>
      </c>
      <c r="AW275" s="2" t="str">
        <f aca="false">IF(LEFT(D275,1)="1",W275,"")</f>
        <v/>
      </c>
      <c r="AX275" s="2" t="str">
        <f aca="false">IF(LEFT(D275,1)="1",X275,"")</f>
        <v/>
      </c>
      <c r="AY275" s="17" t="str">
        <f aca="false">IF(LEFT(D275,1)="1",J275/I275,"")</f>
        <v/>
      </c>
      <c r="AZ275" s="2" t="str">
        <f aca="false">IF(LEFT(D275,1)="1",IF(AND(K275&gt;=Assumptions!$B$83,I275&gt;=Assumptions!$B$84),"Regular","Lumpy"),"")</f>
        <v/>
      </c>
      <c r="BA275" s="2" t="str">
        <f aca="false">IF(LEFT(D275,1)="1",ROUND(6/K275,0),"")</f>
        <v/>
      </c>
      <c r="BB275" s="2" t="str">
        <f aca="false">IF(LEFT(D275,1)="1",IF(AZ275="Regular","Regular buyer: expected ~£"&amp;TEXT(H275/2,"#,##0")&amp;" per 90 days. At Risk if GMV to date &lt; "&amp;TEXT(Assumptions!$B$81,"0%")&amp;" of pro-rated expectation, checked from day "&amp;Assumptions!$B$82&amp;". Human-reviewed.","Irregular buyer ("&amp;I275&amp;" orders across "&amp;K275&amp;" months): no numeric GMV threshold. At Risk if no order within ~"&amp;BA275&amp;" month(s); AM reviews at day "&amp;Assumptions!$B$82&amp;" and "&amp;Assumptions!$B$85&amp;"."),"")</f>
        <v/>
      </c>
      <c r="BC275" s="2"/>
      <c r="BD275" s="2"/>
      <c r="BE275" s="2"/>
      <c r="BF275" s="2"/>
      <c r="BG275" s="2"/>
      <c r="BH275" s="2"/>
      <c r="BI275" s="2"/>
      <c r="BJ275" s="2" t="str">
        <f aca="false">IF(OR(NOT(LEFT(D275,1)="1"),BC275=""),"",IF(AZ275="Regular",AND(BC275&gt;=Assumptions!$B$82,N(BI275)&lt;Assumptions!$B$81*H275/180*BC275),AND(BC275&gt;=BA275*30,N(BG275)=0)))</f>
        <v/>
      </c>
      <c r="BK275" s="2" t="str">
        <f aca="false">IF(NOT(LEFT(D275,1)="1"),"N/A",IF(BC275="","Baseline",IF(BJ275,"At Risk",IF(AND(N(BD275)&gt;=Assumptions!$B$78,N(BE275)&gt;=Assumptions!$B$79,N(BH275)&gt;=1,N(BH275)/MAX(N(BG275),1)&gt;AY275),"Self-Serve Capability Demonstrated",IF(OR(N(BD275)&gt;=Assumptions!$B$76,N(BE275)&gt;=Assumptions!$B$77),"Progressing",IF(BC275&gt;=Assumptions!$B$85,"At Risk","Baseline"))))))</f>
        <v>N/A</v>
      </c>
      <c r="BL275" s="2" t="n">
        <f aca="false">(AND(C275="Broker-Reliant",OR(AK275="Discovery-to-Offer Enablement",AK275="Reinforce Successful Behaviour")))*1+(AND(G275="Declining",E275&lt;&gt;"Tail",AL275="Automated"))*1+(AND(Y275,AM275&lt;&gt;"Human Sign-Off Required"))*1+(AND(AA275,AM275&lt;&gt;"HOLD — Critical Data Issue"))*1+(AND(P275="Recent Inactivity",OR(AK275="Discovery-to-Offer Enablement",AK275="Reinforce Successful Behaviour")))*1+(AND(OR(LEFT(D275,1)="2",LEFT(D275,1)="3",LEFT(D275,1)="8"),AL275="Automated"))*1+((LEFT(D275,1)="1")&lt;&gt;(AK275="Guided Self-Serve Migration"))*1+(AND(AR275&lt;&gt;"",OR(F275&lt;&gt;"Low",U275="Mixed",AND(G275&lt;&gt;"Growing",G275&lt;&gt;"Stable"))))*1+ISNUMBER(SEARCH("chat",AP275))*1+ISNUMBER(SEARCH("video",AP275))*1+(AND(AA275,AL275="Automated",AM275&lt;&gt;"HOLD — Critical Data Issue"))*1</f>
        <v>0</v>
      </c>
    </row>
    <row r="276" customFormat="false" ht="15" hidden="false" customHeight="false" outlineLevel="0" collapsed="false">
      <c r="A276" s="2" t="s">
        <v>914</v>
      </c>
      <c r="B276" s="2" t="str">
        <f aca="false">INDEX(Segmentation!$B$2:$B$301,MATCH($A276,Segmentation!$A$2:$A$301,0))</f>
        <v>Self Serve</v>
      </c>
      <c r="C276" s="2" t="str">
        <f aca="false">INDEX(Segmentation!$H$2:$H$301,MATCH($A276,Segmentation!$A$2:$A$301,0))</f>
        <v>Self-Serve</v>
      </c>
      <c r="D276" s="2" t="str">
        <f aca="false">INDEX(Segmentation!$T$2:$T$301,MATCH($A276,Segmentation!$A$2:$A$301,0))</f>
        <v>9. Long-Tail Automated Nurture</v>
      </c>
      <c r="E276" s="2" t="str">
        <f aca="false">INDEX(Segmentation!$J$2:$J$301,MATCH($A276,Segmentation!$A$2:$A$301,0))</f>
        <v>Tail</v>
      </c>
      <c r="F276" s="2" t="str">
        <f aca="false">INDEX(Segmentation!$G$2:$G$301,MATCH($A276,Segmentation!$A$2:$A$301,0))</f>
        <v>Low</v>
      </c>
      <c r="G276" s="2" t="str">
        <f aca="false">INDEX(Segmentation!$N$2:$N$301,MATCH($A276,Segmentation!$A$2:$A$301,0))</f>
        <v>H2 Active / No H1 GMV</v>
      </c>
      <c r="H276" s="9" t="n">
        <f aca="false">INDEX(Segmentation!$I$2:$I$301,MATCH($A276,Segmentation!$A$2:$A$301,0))</f>
        <v>143</v>
      </c>
      <c r="I276" s="2" t="n">
        <f aca="false">INDEX(Segmentation!$O$2:$O$301,MATCH($A276,Segmentation!$A$2:$A$301,0))</f>
        <v>1</v>
      </c>
      <c r="J276" s="2" t="n">
        <f aca="false">INDEX(Segmentation!$Q$2:$Q$301,MATCH($A276,Segmentation!$A$2:$A$301,0))</f>
        <v>1</v>
      </c>
      <c r="K276" s="2" t="n">
        <f aca="false">INDEX(Segmentation!$W$2:$W$301,MATCH($A276,Segmentation!$A$2:$A$301,0))</f>
        <v>1</v>
      </c>
      <c r="L276" s="9" t="n">
        <f aca="false">INDEX('Commercial View'!$L$2:$L$301,MATCH($A276,'Commercial View'!$A$2:$A$301,0))</f>
        <v>0</v>
      </c>
      <c r="M276" s="9" t="n">
        <f aca="false">INDEX('Commercial View'!$M$2:$M$301,MATCH($A276,'Commercial View'!$A$2:$A$301,0))</f>
        <v>0</v>
      </c>
      <c r="N276" s="9" t="n">
        <f aca="false">INDEX('Commercial View'!$N$2:$N$301,MATCH($A276,'Commercial View'!$A$2:$A$301,0))</f>
        <v>143</v>
      </c>
      <c r="O276" s="9" t="n">
        <f aca="false">INDEX(Segmentation!$L$2:$L$301,MATCH($A276,Segmentation!$A$2:$A$301,0))</f>
        <v>143</v>
      </c>
      <c r="P276" s="2" t="str">
        <f aca="false">IF(OR(M276&gt;0,N276&gt;0),"Recently Active",IF(OR(I276&lt;=Assumptions!$B$48,K276&lt;=Assumptions!$B$49),"No Meaningful History","Recent Inactivity"))</f>
        <v>Recently Active</v>
      </c>
      <c r="Q276" s="2" t="str">
        <f aca="false">INDEX(Segmentation!$AF$2:$AF$301,MATCH($A276,Segmentation!$A$2:$A$301,0))</f>
        <v>New Customer</v>
      </c>
      <c r="R276" s="2" t="str">
        <f aca="false">INDEX(Segmentation!$AL$2:$AL$301,MATCH($A276,Segmentation!$A$2:$A$301,0))</f>
        <v>N/A</v>
      </c>
      <c r="S276" s="10" t="b">
        <f aca="false">INDEX(Segmentation!$AW$2:$AW$301,MATCH($A276,Segmentation!$A$2:$A$301,0))</f>
        <v>0</v>
      </c>
      <c r="T276" s="2" t="str">
        <f aca="false">INDEX('Feature Data'!$AD$2:$AD$301,MATCH($A276,'Feature Data'!$A$2:$A$301,0))</f>
        <v>One-off low-touch buyer</v>
      </c>
      <c r="U276" s="2" t="str">
        <f aca="false">INDEX('Feature Data'!$W$2:$W$301,MATCH($A276,'Feature Data'!$A$2:$A$301,0))</f>
        <v>Bundle-only</v>
      </c>
      <c r="V276" s="2" t="n">
        <f aca="false">INDEX('Feature Data'!$P$2:$P$301,MATCH($A276,'Feature Data'!$A$2:$A$301,0))</f>
        <v>10</v>
      </c>
      <c r="W276" s="2" t="n">
        <f aca="false">INDEX(Segmentation!$R$2:$R$301,MATCH($A276,Segmentation!$A$2:$A$301,0))</f>
        <v>4</v>
      </c>
      <c r="X276" s="2" t="n">
        <f aca="false">INDEX(Segmentation!$S$2:$S$301,MATCH($A276,Segmentation!$A$2:$A$301,0))</f>
        <v>0</v>
      </c>
      <c r="Y276" s="10" t="b">
        <f aca="false">INDEX(Segmentation!$AG$2:$AG$301,MATCH($A276,Segmentation!$A$2:$A$301,0))</f>
        <v>0</v>
      </c>
      <c r="Z276" s="2" t="str">
        <f aca="false">INDEX(Segmentation!$AU$2:$AU$301,MATCH($A276,Segmentation!$A$2:$A$301,0))</f>
        <v>Not Eligible</v>
      </c>
      <c r="AA276" s="10" t="b">
        <f aca="false">INDEX(Segmentation!$Z$2:$Z$301,MATCH($A276,Segmentation!$A$2:$A$301,0))</f>
        <v>0</v>
      </c>
      <c r="AB276" s="10" t="b">
        <f aca="false">INDEX(Segmentation!$AH$2:$AH$301,MATCH($A276,Segmentation!$A$2:$A$301,0))</f>
        <v>0</v>
      </c>
      <c r="AC276" s="10" t="b">
        <f aca="false">INDEX(Segmentation!$AK$2:$AK$301,MATCH($A276,Segmentation!$A$2:$A$301,0))</f>
        <v>1</v>
      </c>
      <c r="AD276" s="10" t="b">
        <f aca="false">INDEX(Segmentation!$AQ$2:$AQ$301,MATCH($A276,Segmentation!$A$2:$A$301,0))</f>
        <v>0</v>
      </c>
      <c r="AE276" s="10" t="b">
        <f aca="false">INDEX(Segmentation!$AT$2:$AT$301,MATCH($A276,Segmentation!$A$2:$A$301,0))</f>
        <v>0</v>
      </c>
      <c r="AF276" s="10" t="b">
        <f aca="false">INDEX(Segmentation!$X$2:$X$301,MATCH($A276,Segmentation!$A$2:$A$301,0))</f>
        <v>1</v>
      </c>
      <c r="AG276" s="10" t="b">
        <f aca="false">AND(F276="Low",V276&gt;=Assumptions!$B$71,X276&lt;Assumptions!$B$72)</f>
        <v>0</v>
      </c>
      <c r="AH276" s="10" t="b">
        <f aca="false">AND(F276="Low",OR(G276="Growing",G276="Stable"),P276="Recently Active",V276&gt;=Assumptions!$B$58,K276&gt;=Assumptions!$B$73)</f>
        <v>0</v>
      </c>
      <c r="AI276" s="17" t="n">
        <f aca="false">IF(O276&gt;0,MAX(L276:N276)/O276,"")</f>
        <v>1</v>
      </c>
      <c r="AJ276" s="2" t="str">
        <f aca="false">IF(LEFT(D276,1)="1",IF(E276="Key","MIGRATION_KEY_SIGNOFF",IF(Z276="Ready","MIGRATION_PHASE1_READY",IF(Z276="Manual Review","MIGRATION_PHASE1_REVIEW","MIGRATION_PRE_ENTRY"))),IF(LEFT(D276,1)="2","DECLINING_KEY_CORE",IF(LEFT(D276,1)="3",IF(R276="Established Buyer Lapsed","LAPSED_ESTABLISHED","LAPSED_THIN_HISTORY"),IF(LEFT(D276,1)="4",IF(Q276="New Customer","NEW_CUSTOMER","RETURNED_CUSTOMER"),IF(LEFT(D276,1)="5",IF(P276="Recently Active","COST_TO_SERVE_ACTIVE","DORMANT_LOW_VALUE"),IF(LEFT(D276,1)="6",IF(P276="Recent Inactivity","RECENT_INACTIVITY",IF(AG276,"BROWSING_LOW_OFFERS","HEALTHY_STRONG_SELF_SERVE")),IF(LEFT(D276,1)="7",IF(P276="Recent Inactivity","RECENT_INACTIVITY",IF(Q276="New Customer","NEW_CUSTOMER","RETURNED_CUSTOMER")),IF(LEFT(D276,1)="8",IF(G276="Declining",IF(T276="Engaged but shrinking (Key/Core)","ENGAGED_BUT_SHRINKING","DECLINING_KEY_CORE"),IF(R276="Established Buyer Lapsed","LAPSED_ESTABLISHED","LAPSED_THIN_HISTORY")),IF(S276,IF(P276&lt;&gt;"Recently Active","DORMANT_LOW_VALUE",IF(AG276,"BROWSING_LOW_OFFERS",IF(AH276,"RISING_TAIL","RISING_TAIL_EARLY"))),IF(AND(AG276,P276="Recently Active",OR(G276="Growing",G276="Stable",G276="H2 Active / No H1 GMV"),I276&gt;=Assumptions!$B$74),"BROWSING_LOW_OFFERS","LONG_TAIL_STANDARD"))))))))))</f>
        <v>LONG_TAIL_STANDARD</v>
      </c>
      <c r="AK276" s="2" t="str">
        <f aca="false">INDEX('NBA Library'!$B$4:$B$21,MATCH(AJ276,'NBA Library'!$A$4:$A$21,0))</f>
        <v>Automated Nurture</v>
      </c>
      <c r="AL276" s="2" t="str">
        <f aca="false">INDEX('NBA Library'!$C$4:$C$21,MATCH(AJ276,'NBA Library'!$A$4:$A$21,0))</f>
        <v>Automated</v>
      </c>
      <c r="AM276" s="2" t="str">
        <f aca="false">IF(AA276,"HOLD — Critical Data Issue",IF(Y276,"Human Sign-Off Required",IF(Z276="Manual Review","Human Review Required",IF(AND(AL276="Automated",OR(AE276,AND(OR(AK276="Discovery-to-Offer Enablement",AK276="Reinforce Successful Behaviour"),OR(AC276,AB276)))),"Human Review Required",IF(AL276="Human","Ready — Human",IF(AL276="Hybrid","Ready — Hybrid","Ready — Automated"))))))</f>
        <v>Ready — Automated</v>
      </c>
      <c r="AN276" s="2" t="str">
        <f aca="false">IF(AA276,"P0",IF(AND(AJ276="BROWSING_LOW_OFFERS",E276="Tail"),"P3",IF(AND(AM276="Human Review Required",INDEX('NBA Library'!$D$4:$D$21,MATCH(AJ276,'NBA Library'!$A$4:$A$21,0))="P4"),"P3",INDEX('NBA Library'!$D$4:$D$21,MATCH(AJ276,'NBA Library'!$A$4:$A$21,0)))))</f>
        <v>P4</v>
      </c>
      <c r="AO276" s="2" t="str">
        <f aca="false">E276&amp;" "&amp;C276&amp;" account ("&amp;B276&amp;"); "&amp;G276&amp;" momentum; "&amp;P276&amp;"; £"&amp;TEXT(H276,"#,##0")&amp;" 6m GMV. "&amp;INDEX('NBA Library'!$G$4:$G$21,MATCH(AJ276,'NBA Library'!$A$4:$A$21,0))&amp;IF(LEFT(D276,1)="1"," Baseline: "&amp;V276&amp;" PDP views, "&amp;W276&amp;" app days, "&amp;X276&amp;" offers, "&amp;TEXT(J276/I276,"0%")&amp;" of orders self-serve.","")&amp;IF(AA276," Execution on HOLD until the Duplicate status is resolved.","")&amp;IF(Y276," Key account: explicit AM/leadership sign-off required before any migration activity.","")&amp;IF(AE276," Implied broker % from order counts would move this account to a different segment; review before automating.","")</f>
        <v>Tail Self-Serve account (Self Serve); H2 Active / No H1 GMV momentum; Recently Active; £143 6m GMV. Low-value, low-dependency account. Scalable automated engagement.</v>
      </c>
      <c r="AP276" s="2" t="str">
        <f aca="false">INDEX('NBA Library'!$E$4:$E$21,MATCH(AJ276,'NBA Library'!$A$4:$A$21,0))&amp;IF(AND(AJ276="NEW_CUSTOMER",AG276),"; introduce Make-an-Offer on items already browsed","")</f>
        <v>Scalable automated engagement matched to nurture sub-context</v>
      </c>
      <c r="AQ276" s="2" t="str">
        <f aca="false">INDEX('NBA Library'!$F$4:$F$21,MATCH(AJ276,'NBA Library'!$A$4:$A$21,0))</f>
        <v>Any repeat order within 90 days</v>
      </c>
      <c r="AR276" s="2" t="str">
        <f aca="false">IF(AND(F276="Low",OR(G276="Growing",G276="Stable"),P276="Recently Active",U276&lt;&gt;"Mixed",OR(AK276="Discovery-to-Offer Enablement",AK276="Reinforce Successful Behaviour"),AM276="Ready — Automated",OR(E276&lt;&gt;"Tail",S276)),"Range Expansion Test — trial "&amp;IF(U276="Bundle-only","handpick","bundles")&amp;" (experimental; not proven to lift GMV)","")</f>
        <v/>
      </c>
      <c r="AS276" s="2" t="str">
        <f aca="false">IF(AK276&lt;&gt;"Automated Nurture","",IF(AJ276="DORMANT_LOW_VALUE","Dormant",IF(AJ276="RISING_TAIL_EARLY","Rising tail – early pattern",IF(Q276="New Customer","New customer onboarding",IF(Q276="Returned Customer","Returned customer",IF(G276="Lapsed","Dormant",IF(T276="Engaged, not converting","Engaged, not converting",IF(T276="One-off low-touch buyer","One-off purchaser",IF(T276="Light-touch repeat buyer","Light-touch repeat buyer","Standard long tail")))))))))</f>
        <v>New customer onboarding</v>
      </c>
      <c r="AT276" s="2" t="str">
        <f aca="false">IF(AA276,"CRITICAL_DATA_BLOCKER; ","")&amp;IF(Y276,"KEY_SIGNOFF; ","")&amp;IF(Z276="Manual Review","PHASE1_MANUAL_REVIEW; ","")&amp;IF(AND(LEFT(D276,1)="1",AZ276="Lumpy"),"LUMPY_CADENCE; ","")&amp;IF(AB276,"BORDERLINE_MOMENTUM; ","")&amp;IF(AC276,"FEB_SENSITIVE; ","")&amp;IF(AD276,"MATERIAL_BROKER_INCONSISTENCY"&amp;IF(AE276," (segment would change)","")&amp;"; ","")&amp;IF(AND(I276&gt;=3,O276&gt;0),IF(AI276&gt;=Assumptions!$B$75,"H2_SINGLE_MONTH_SPIKE; ",""),"")&amp;IF(AND(M276&gt;0,N276=0),"NO_FEB_GMV (Feb unconfirmed); ","")&amp;IF(AF276,"LOW_CONFIDENCE; ","")</f>
        <v>FEB_SENSITIVE; LOW_CONFIDENCE; </v>
      </c>
      <c r="AU276" s="2" t="str">
        <f aca="false">IF(LEFT(D276,1)="1",V276,"")</f>
        <v/>
      </c>
      <c r="AV276" s="2" t="str">
        <f aca="false">IF(LEFT(D276,1)="1",V276&gt;=Assumptions!$B$58,"")</f>
        <v/>
      </c>
      <c r="AW276" s="2" t="str">
        <f aca="false">IF(LEFT(D276,1)="1",W276,"")</f>
        <v/>
      </c>
      <c r="AX276" s="2" t="str">
        <f aca="false">IF(LEFT(D276,1)="1",X276,"")</f>
        <v/>
      </c>
      <c r="AY276" s="17" t="str">
        <f aca="false">IF(LEFT(D276,1)="1",J276/I276,"")</f>
        <v/>
      </c>
      <c r="AZ276" s="2" t="str">
        <f aca="false">IF(LEFT(D276,1)="1",IF(AND(K276&gt;=Assumptions!$B$83,I276&gt;=Assumptions!$B$84),"Regular","Lumpy"),"")</f>
        <v/>
      </c>
      <c r="BA276" s="2" t="str">
        <f aca="false">IF(LEFT(D276,1)="1",ROUND(6/K276,0),"")</f>
        <v/>
      </c>
      <c r="BB276" s="2" t="str">
        <f aca="false">IF(LEFT(D276,1)="1",IF(AZ276="Regular","Regular buyer: expected ~£"&amp;TEXT(H276/2,"#,##0")&amp;" per 90 days. At Risk if GMV to date &lt; "&amp;TEXT(Assumptions!$B$81,"0%")&amp;" of pro-rated expectation, checked from day "&amp;Assumptions!$B$82&amp;". Human-reviewed.","Irregular buyer ("&amp;I276&amp;" orders across "&amp;K276&amp;" months): no numeric GMV threshold. At Risk if no order within ~"&amp;BA276&amp;" month(s); AM reviews at day "&amp;Assumptions!$B$82&amp;" and "&amp;Assumptions!$B$85&amp;"."),"")</f>
        <v/>
      </c>
      <c r="BC276" s="2"/>
      <c r="BD276" s="2"/>
      <c r="BE276" s="2"/>
      <c r="BF276" s="2"/>
      <c r="BG276" s="2"/>
      <c r="BH276" s="2"/>
      <c r="BI276" s="2"/>
      <c r="BJ276" s="2" t="str">
        <f aca="false">IF(OR(NOT(LEFT(D276,1)="1"),BC276=""),"",IF(AZ276="Regular",AND(BC276&gt;=Assumptions!$B$82,N(BI276)&lt;Assumptions!$B$81*H276/180*BC276),AND(BC276&gt;=BA276*30,N(BG276)=0)))</f>
        <v/>
      </c>
      <c r="BK276" s="2" t="str">
        <f aca="false">IF(NOT(LEFT(D276,1)="1"),"N/A",IF(BC276="","Baseline",IF(BJ276,"At Risk",IF(AND(N(BD276)&gt;=Assumptions!$B$78,N(BE276)&gt;=Assumptions!$B$79,N(BH276)&gt;=1,N(BH276)/MAX(N(BG276),1)&gt;AY276),"Self-Serve Capability Demonstrated",IF(OR(N(BD276)&gt;=Assumptions!$B$76,N(BE276)&gt;=Assumptions!$B$77),"Progressing",IF(BC276&gt;=Assumptions!$B$85,"At Risk","Baseline"))))))</f>
        <v>N/A</v>
      </c>
      <c r="BL276" s="2" t="n">
        <f aca="false">(AND(C276="Broker-Reliant",OR(AK276="Discovery-to-Offer Enablement",AK276="Reinforce Successful Behaviour")))*1+(AND(G276="Declining",E276&lt;&gt;"Tail",AL276="Automated"))*1+(AND(Y276,AM276&lt;&gt;"Human Sign-Off Required"))*1+(AND(AA276,AM276&lt;&gt;"HOLD — Critical Data Issue"))*1+(AND(P276="Recent Inactivity",OR(AK276="Discovery-to-Offer Enablement",AK276="Reinforce Successful Behaviour")))*1+(AND(OR(LEFT(D276,1)="2",LEFT(D276,1)="3",LEFT(D276,1)="8"),AL276="Automated"))*1+((LEFT(D276,1)="1")&lt;&gt;(AK276="Guided Self-Serve Migration"))*1+(AND(AR276&lt;&gt;"",OR(F276&lt;&gt;"Low",U276="Mixed",AND(G276&lt;&gt;"Growing",G276&lt;&gt;"Stable"))))*1+ISNUMBER(SEARCH("chat",AP276))*1+ISNUMBER(SEARCH("video",AP276))*1+(AND(AA276,AL276="Automated",AM276&lt;&gt;"HOLD — Critical Data Issue"))*1</f>
        <v>0</v>
      </c>
    </row>
    <row r="277" customFormat="false" ht="15" hidden="false" customHeight="false" outlineLevel="0" collapsed="false">
      <c r="A277" s="2" t="s">
        <v>916</v>
      </c>
      <c r="B277" s="2" t="str">
        <f aca="false">INDEX(Segmentation!$B$2:$B$301,MATCH($A277,Segmentation!$A$2:$A$301,0))</f>
        <v>Self Serve</v>
      </c>
      <c r="C277" s="2" t="str">
        <f aca="false">INDEX(Segmentation!$H$2:$H$301,MATCH($A277,Segmentation!$A$2:$A$301,0))</f>
        <v>Self-Serve</v>
      </c>
      <c r="D277" s="2" t="str">
        <f aca="false">INDEX(Segmentation!$T$2:$T$301,MATCH($A277,Segmentation!$A$2:$A$301,0))</f>
        <v>9. Long-Tail Automated Nurture</v>
      </c>
      <c r="E277" s="2" t="str">
        <f aca="false">INDEX(Segmentation!$J$2:$J$301,MATCH($A277,Segmentation!$A$2:$A$301,0))</f>
        <v>Tail</v>
      </c>
      <c r="F277" s="2" t="str">
        <f aca="false">INDEX(Segmentation!$G$2:$G$301,MATCH($A277,Segmentation!$A$2:$A$301,0))</f>
        <v>Low</v>
      </c>
      <c r="G277" s="2" t="str">
        <f aca="false">INDEX(Segmentation!$N$2:$N$301,MATCH($A277,Segmentation!$A$2:$A$301,0))</f>
        <v>H2 Active / No H1 GMV</v>
      </c>
      <c r="H277" s="9" t="n">
        <f aca="false">INDEX(Segmentation!$I$2:$I$301,MATCH($A277,Segmentation!$A$2:$A$301,0))</f>
        <v>142</v>
      </c>
      <c r="I277" s="2" t="n">
        <f aca="false">INDEX(Segmentation!$O$2:$O$301,MATCH($A277,Segmentation!$A$2:$A$301,0))</f>
        <v>1</v>
      </c>
      <c r="J277" s="2" t="n">
        <f aca="false">INDEX(Segmentation!$Q$2:$Q$301,MATCH($A277,Segmentation!$A$2:$A$301,0))</f>
        <v>1</v>
      </c>
      <c r="K277" s="2" t="n">
        <f aca="false">INDEX(Segmentation!$W$2:$W$301,MATCH($A277,Segmentation!$A$2:$A$301,0))</f>
        <v>1</v>
      </c>
      <c r="L277" s="9" t="n">
        <f aca="false">INDEX('Commercial View'!$L$2:$L$301,MATCH($A277,'Commercial View'!$A$2:$A$301,0))</f>
        <v>0</v>
      </c>
      <c r="M277" s="9" t="n">
        <f aca="false">INDEX('Commercial View'!$M$2:$M$301,MATCH($A277,'Commercial View'!$A$2:$A$301,0))</f>
        <v>142</v>
      </c>
      <c r="N277" s="9" t="n">
        <f aca="false">INDEX('Commercial View'!$N$2:$N$301,MATCH($A277,'Commercial View'!$A$2:$A$301,0))</f>
        <v>0</v>
      </c>
      <c r="O277" s="9" t="n">
        <f aca="false">INDEX(Segmentation!$L$2:$L$301,MATCH($A277,Segmentation!$A$2:$A$301,0))</f>
        <v>142</v>
      </c>
      <c r="P277" s="2" t="str">
        <f aca="false">IF(OR(M277&gt;0,N277&gt;0),"Recently Active",IF(OR(I277&lt;=Assumptions!$B$48,K277&lt;=Assumptions!$B$49),"No Meaningful History","Recent Inactivity"))</f>
        <v>Recently Active</v>
      </c>
      <c r="Q277" s="2" t="str">
        <f aca="false">INDEX(Segmentation!$AF$2:$AF$301,MATCH($A277,Segmentation!$A$2:$A$301,0))</f>
        <v>New Customer</v>
      </c>
      <c r="R277" s="2" t="str">
        <f aca="false">INDEX(Segmentation!$AL$2:$AL$301,MATCH($A277,Segmentation!$A$2:$A$301,0))</f>
        <v>N/A</v>
      </c>
      <c r="S277" s="10" t="b">
        <f aca="false">INDEX(Segmentation!$AW$2:$AW$301,MATCH($A277,Segmentation!$A$2:$A$301,0))</f>
        <v>0</v>
      </c>
      <c r="T277" s="2" t="str">
        <f aca="false">INDEX('Feature Data'!$AD$2:$AD$301,MATCH($A277,'Feature Data'!$A$2:$A$301,0))</f>
        <v>One-off low-touch buyer</v>
      </c>
      <c r="U277" s="2" t="str">
        <f aca="false">INDEX('Feature Data'!$W$2:$W$301,MATCH($A277,'Feature Data'!$A$2:$A$301,0))</f>
        <v>Bundle-only</v>
      </c>
      <c r="V277" s="2" t="n">
        <f aca="false">INDEX('Feature Data'!$P$2:$P$301,MATCH($A277,'Feature Data'!$A$2:$A$301,0))</f>
        <v>32</v>
      </c>
      <c r="W277" s="2" t="n">
        <f aca="false">INDEX(Segmentation!$R$2:$R$301,MATCH($A277,Segmentation!$A$2:$A$301,0))</f>
        <v>5</v>
      </c>
      <c r="X277" s="2" t="n">
        <f aca="false">INDEX(Segmentation!$S$2:$S$301,MATCH($A277,Segmentation!$A$2:$A$301,0))</f>
        <v>0</v>
      </c>
      <c r="Y277" s="10" t="b">
        <f aca="false">INDEX(Segmentation!$AG$2:$AG$301,MATCH($A277,Segmentation!$A$2:$A$301,0))</f>
        <v>0</v>
      </c>
      <c r="Z277" s="2" t="str">
        <f aca="false">INDEX(Segmentation!$AU$2:$AU$301,MATCH($A277,Segmentation!$A$2:$A$301,0))</f>
        <v>Not Eligible</v>
      </c>
      <c r="AA277" s="10" t="b">
        <f aca="false">INDEX(Segmentation!$Z$2:$Z$301,MATCH($A277,Segmentation!$A$2:$A$301,0))</f>
        <v>0</v>
      </c>
      <c r="AB277" s="10" t="b">
        <f aca="false">INDEX(Segmentation!$AH$2:$AH$301,MATCH($A277,Segmentation!$A$2:$A$301,0))</f>
        <v>0</v>
      </c>
      <c r="AC277" s="10" t="b">
        <f aca="false">INDEX(Segmentation!$AK$2:$AK$301,MATCH($A277,Segmentation!$A$2:$A$301,0))</f>
        <v>0</v>
      </c>
      <c r="AD277" s="10" t="b">
        <f aca="false">INDEX(Segmentation!$AQ$2:$AQ$301,MATCH($A277,Segmentation!$A$2:$A$301,0))</f>
        <v>0</v>
      </c>
      <c r="AE277" s="10" t="b">
        <f aca="false">INDEX(Segmentation!$AT$2:$AT$301,MATCH($A277,Segmentation!$A$2:$A$301,0))</f>
        <v>0</v>
      </c>
      <c r="AF277" s="10" t="b">
        <f aca="false">INDEX(Segmentation!$X$2:$X$301,MATCH($A277,Segmentation!$A$2:$A$301,0))</f>
        <v>1</v>
      </c>
      <c r="AG277" s="10" t="b">
        <f aca="false">AND(F277="Low",V277&gt;=Assumptions!$B$71,X277&lt;Assumptions!$B$72)</f>
        <v>0</v>
      </c>
      <c r="AH277" s="10" t="b">
        <f aca="false">AND(F277="Low",OR(G277="Growing",G277="Stable"),P277="Recently Active",V277&gt;=Assumptions!$B$58,K277&gt;=Assumptions!$B$73)</f>
        <v>0</v>
      </c>
      <c r="AI277" s="17" t="n">
        <f aca="false">IF(O277&gt;0,MAX(L277:N277)/O277,"")</f>
        <v>1</v>
      </c>
      <c r="AJ277" s="2" t="str">
        <f aca="false">IF(LEFT(D277,1)="1",IF(E277="Key","MIGRATION_KEY_SIGNOFF",IF(Z277="Ready","MIGRATION_PHASE1_READY",IF(Z277="Manual Review","MIGRATION_PHASE1_REVIEW","MIGRATION_PRE_ENTRY"))),IF(LEFT(D277,1)="2","DECLINING_KEY_CORE",IF(LEFT(D277,1)="3",IF(R277="Established Buyer Lapsed","LAPSED_ESTABLISHED","LAPSED_THIN_HISTORY"),IF(LEFT(D277,1)="4",IF(Q277="New Customer","NEW_CUSTOMER","RETURNED_CUSTOMER"),IF(LEFT(D277,1)="5",IF(P277="Recently Active","COST_TO_SERVE_ACTIVE","DORMANT_LOW_VALUE"),IF(LEFT(D277,1)="6",IF(P277="Recent Inactivity","RECENT_INACTIVITY",IF(AG277,"BROWSING_LOW_OFFERS","HEALTHY_STRONG_SELF_SERVE")),IF(LEFT(D277,1)="7",IF(P277="Recent Inactivity","RECENT_INACTIVITY",IF(Q277="New Customer","NEW_CUSTOMER","RETURNED_CUSTOMER")),IF(LEFT(D277,1)="8",IF(G277="Declining",IF(T277="Engaged but shrinking (Key/Core)","ENGAGED_BUT_SHRINKING","DECLINING_KEY_CORE"),IF(R277="Established Buyer Lapsed","LAPSED_ESTABLISHED","LAPSED_THIN_HISTORY")),IF(S277,IF(P277&lt;&gt;"Recently Active","DORMANT_LOW_VALUE",IF(AG277,"BROWSING_LOW_OFFERS",IF(AH277,"RISING_TAIL","RISING_TAIL_EARLY"))),IF(AND(AG277,P277="Recently Active",OR(G277="Growing",G277="Stable",G277="H2 Active / No H1 GMV"),I277&gt;=Assumptions!$B$74),"BROWSING_LOW_OFFERS","LONG_TAIL_STANDARD"))))))))))</f>
        <v>LONG_TAIL_STANDARD</v>
      </c>
      <c r="AK277" s="2" t="str">
        <f aca="false">INDEX('NBA Library'!$B$4:$B$21,MATCH(AJ277,'NBA Library'!$A$4:$A$21,0))</f>
        <v>Automated Nurture</v>
      </c>
      <c r="AL277" s="2" t="str">
        <f aca="false">INDEX('NBA Library'!$C$4:$C$21,MATCH(AJ277,'NBA Library'!$A$4:$A$21,0))</f>
        <v>Automated</v>
      </c>
      <c r="AM277" s="2" t="str">
        <f aca="false">IF(AA277,"HOLD — Critical Data Issue",IF(Y277,"Human Sign-Off Required",IF(Z277="Manual Review","Human Review Required",IF(AND(AL277="Automated",OR(AE277,AND(OR(AK277="Discovery-to-Offer Enablement",AK277="Reinforce Successful Behaviour"),OR(AC277,AB277)))),"Human Review Required",IF(AL277="Human","Ready — Human",IF(AL277="Hybrid","Ready — Hybrid","Ready — Automated"))))))</f>
        <v>Ready — Automated</v>
      </c>
      <c r="AN277" s="2" t="str">
        <f aca="false">IF(AA277,"P0",IF(AND(AJ277="BROWSING_LOW_OFFERS",E277="Tail"),"P3",IF(AND(AM277="Human Review Required",INDEX('NBA Library'!$D$4:$D$21,MATCH(AJ277,'NBA Library'!$A$4:$A$21,0))="P4"),"P3",INDEX('NBA Library'!$D$4:$D$21,MATCH(AJ277,'NBA Library'!$A$4:$A$21,0)))))</f>
        <v>P4</v>
      </c>
      <c r="AO277" s="2" t="str">
        <f aca="false">E277&amp;" "&amp;C277&amp;" account ("&amp;B277&amp;"); "&amp;G277&amp;" momentum; "&amp;P277&amp;"; £"&amp;TEXT(H277,"#,##0")&amp;" 6m GMV. "&amp;INDEX('NBA Library'!$G$4:$G$21,MATCH(AJ277,'NBA Library'!$A$4:$A$21,0))&amp;IF(LEFT(D277,1)="1"," Baseline: "&amp;V277&amp;" PDP views, "&amp;W277&amp;" app days, "&amp;X277&amp;" offers, "&amp;TEXT(J277/I277,"0%")&amp;" of orders self-serve.","")&amp;IF(AA277," Execution on HOLD until the Duplicate status is resolved.","")&amp;IF(Y277," Key account: explicit AM/leadership sign-off required before any migration activity.","")&amp;IF(AE277," Implied broker % from order counts would move this account to a different segment; review before automating.","")</f>
        <v>Tail Self-Serve account (Self Serve); H2 Active / No H1 GMV momentum; Recently Active; £142 6m GMV. Low-value, low-dependency account. Scalable automated engagement.</v>
      </c>
      <c r="AP277" s="2" t="str">
        <f aca="false">INDEX('NBA Library'!$E$4:$E$21,MATCH(AJ277,'NBA Library'!$A$4:$A$21,0))&amp;IF(AND(AJ277="NEW_CUSTOMER",AG277),"; introduce Make-an-Offer on items already browsed","")</f>
        <v>Scalable automated engagement matched to nurture sub-context</v>
      </c>
      <c r="AQ277" s="2" t="str">
        <f aca="false">INDEX('NBA Library'!$F$4:$F$21,MATCH(AJ277,'NBA Library'!$A$4:$A$21,0))</f>
        <v>Any repeat order within 90 days</v>
      </c>
      <c r="AR277" s="2" t="str">
        <f aca="false">IF(AND(F277="Low",OR(G277="Growing",G277="Stable"),P277="Recently Active",U277&lt;&gt;"Mixed",OR(AK277="Discovery-to-Offer Enablement",AK277="Reinforce Successful Behaviour"),AM277="Ready — Automated",OR(E277&lt;&gt;"Tail",S277)),"Range Expansion Test — trial "&amp;IF(U277="Bundle-only","handpick","bundles")&amp;" (experimental; not proven to lift GMV)","")</f>
        <v/>
      </c>
      <c r="AS277" s="2" t="str">
        <f aca="false">IF(AK277&lt;&gt;"Automated Nurture","",IF(AJ277="DORMANT_LOW_VALUE","Dormant",IF(AJ277="RISING_TAIL_EARLY","Rising tail – early pattern",IF(Q277="New Customer","New customer onboarding",IF(Q277="Returned Customer","Returned customer",IF(G277="Lapsed","Dormant",IF(T277="Engaged, not converting","Engaged, not converting",IF(T277="One-off low-touch buyer","One-off purchaser",IF(T277="Light-touch repeat buyer","Light-touch repeat buyer","Standard long tail")))))))))</f>
        <v>New customer onboarding</v>
      </c>
      <c r="AT277" s="2" t="str">
        <f aca="false">IF(AA277,"CRITICAL_DATA_BLOCKER; ","")&amp;IF(Y277,"KEY_SIGNOFF; ","")&amp;IF(Z277="Manual Review","PHASE1_MANUAL_REVIEW; ","")&amp;IF(AND(LEFT(D277,1)="1",AZ277="Lumpy"),"LUMPY_CADENCE; ","")&amp;IF(AB277,"BORDERLINE_MOMENTUM; ","")&amp;IF(AC277,"FEB_SENSITIVE; ","")&amp;IF(AD277,"MATERIAL_BROKER_INCONSISTENCY"&amp;IF(AE277," (segment would change)","")&amp;"; ","")&amp;IF(AND(I277&gt;=3,O277&gt;0),IF(AI277&gt;=Assumptions!$B$75,"H2_SINGLE_MONTH_SPIKE; ",""),"")&amp;IF(AND(M277&gt;0,N277=0),"NO_FEB_GMV (Feb unconfirmed); ","")&amp;IF(AF277,"LOW_CONFIDENCE; ","")</f>
        <v>NO_FEB_GMV (Feb unconfirmed); LOW_CONFIDENCE; </v>
      </c>
      <c r="AU277" s="2" t="str">
        <f aca="false">IF(LEFT(D277,1)="1",V277,"")</f>
        <v/>
      </c>
      <c r="AV277" s="2" t="str">
        <f aca="false">IF(LEFT(D277,1)="1",V277&gt;=Assumptions!$B$58,"")</f>
        <v/>
      </c>
      <c r="AW277" s="2" t="str">
        <f aca="false">IF(LEFT(D277,1)="1",W277,"")</f>
        <v/>
      </c>
      <c r="AX277" s="2" t="str">
        <f aca="false">IF(LEFT(D277,1)="1",X277,"")</f>
        <v/>
      </c>
      <c r="AY277" s="17" t="str">
        <f aca="false">IF(LEFT(D277,1)="1",J277/I277,"")</f>
        <v/>
      </c>
      <c r="AZ277" s="2" t="str">
        <f aca="false">IF(LEFT(D277,1)="1",IF(AND(K277&gt;=Assumptions!$B$83,I277&gt;=Assumptions!$B$84),"Regular","Lumpy"),"")</f>
        <v/>
      </c>
      <c r="BA277" s="2" t="str">
        <f aca="false">IF(LEFT(D277,1)="1",ROUND(6/K277,0),"")</f>
        <v/>
      </c>
      <c r="BB277" s="2" t="str">
        <f aca="false">IF(LEFT(D277,1)="1",IF(AZ277="Regular","Regular buyer: expected ~£"&amp;TEXT(H277/2,"#,##0")&amp;" per 90 days. At Risk if GMV to date &lt; "&amp;TEXT(Assumptions!$B$81,"0%")&amp;" of pro-rated expectation, checked from day "&amp;Assumptions!$B$82&amp;". Human-reviewed.","Irregular buyer ("&amp;I277&amp;" orders across "&amp;K277&amp;" months): no numeric GMV threshold. At Risk if no order within ~"&amp;BA277&amp;" month(s); AM reviews at day "&amp;Assumptions!$B$82&amp;" and "&amp;Assumptions!$B$85&amp;"."),"")</f>
        <v/>
      </c>
      <c r="BC277" s="2"/>
      <c r="BD277" s="2"/>
      <c r="BE277" s="2"/>
      <c r="BF277" s="2"/>
      <c r="BG277" s="2"/>
      <c r="BH277" s="2"/>
      <c r="BI277" s="2"/>
      <c r="BJ277" s="2" t="str">
        <f aca="false">IF(OR(NOT(LEFT(D277,1)="1"),BC277=""),"",IF(AZ277="Regular",AND(BC277&gt;=Assumptions!$B$82,N(BI277)&lt;Assumptions!$B$81*H277/180*BC277),AND(BC277&gt;=BA277*30,N(BG277)=0)))</f>
        <v/>
      </c>
      <c r="BK277" s="2" t="str">
        <f aca="false">IF(NOT(LEFT(D277,1)="1"),"N/A",IF(BC277="","Baseline",IF(BJ277,"At Risk",IF(AND(N(BD277)&gt;=Assumptions!$B$78,N(BE277)&gt;=Assumptions!$B$79,N(BH277)&gt;=1,N(BH277)/MAX(N(BG277),1)&gt;AY277),"Self-Serve Capability Demonstrated",IF(OR(N(BD277)&gt;=Assumptions!$B$76,N(BE277)&gt;=Assumptions!$B$77),"Progressing",IF(BC277&gt;=Assumptions!$B$85,"At Risk","Baseline"))))))</f>
        <v>N/A</v>
      </c>
      <c r="BL277" s="2" t="n">
        <f aca="false">(AND(C277="Broker-Reliant",OR(AK277="Discovery-to-Offer Enablement",AK277="Reinforce Successful Behaviour")))*1+(AND(G277="Declining",E277&lt;&gt;"Tail",AL277="Automated"))*1+(AND(Y277,AM277&lt;&gt;"Human Sign-Off Required"))*1+(AND(AA277,AM277&lt;&gt;"HOLD — Critical Data Issue"))*1+(AND(P277="Recent Inactivity",OR(AK277="Discovery-to-Offer Enablement",AK277="Reinforce Successful Behaviour")))*1+(AND(OR(LEFT(D277,1)="2",LEFT(D277,1)="3",LEFT(D277,1)="8"),AL277="Automated"))*1+((LEFT(D277,1)="1")&lt;&gt;(AK277="Guided Self-Serve Migration"))*1+(AND(AR277&lt;&gt;"",OR(F277&lt;&gt;"Low",U277="Mixed",AND(G277&lt;&gt;"Growing",G277&lt;&gt;"Stable"))))*1+ISNUMBER(SEARCH("chat",AP277))*1+ISNUMBER(SEARCH("video",AP277))*1+(AND(AA277,AL277="Automated",AM277&lt;&gt;"HOLD — Critical Data Issue"))*1</f>
        <v>0</v>
      </c>
    </row>
    <row r="278" customFormat="false" ht="15" hidden="false" customHeight="false" outlineLevel="0" collapsed="false">
      <c r="A278" s="2" t="s">
        <v>918</v>
      </c>
      <c r="B278" s="2" t="str">
        <f aca="false">INDEX(Segmentation!$B$2:$B$301,MATCH($A278,Segmentation!$A$2:$A$301,0))</f>
        <v>Self Serve</v>
      </c>
      <c r="C278" s="2" t="str">
        <f aca="false">INDEX(Segmentation!$H$2:$H$301,MATCH($A278,Segmentation!$A$2:$A$301,0))</f>
        <v>Self-Serve</v>
      </c>
      <c r="D278" s="2" t="str">
        <f aca="false">INDEX(Segmentation!$T$2:$T$301,MATCH($A278,Segmentation!$A$2:$A$301,0))</f>
        <v>9. Long-Tail Automated Nurture</v>
      </c>
      <c r="E278" s="2" t="str">
        <f aca="false">INDEX(Segmentation!$J$2:$J$301,MATCH($A278,Segmentation!$A$2:$A$301,0))</f>
        <v>Tail</v>
      </c>
      <c r="F278" s="2" t="str">
        <f aca="false">INDEX(Segmentation!$G$2:$G$301,MATCH($A278,Segmentation!$A$2:$A$301,0))</f>
        <v>Low</v>
      </c>
      <c r="G278" s="2" t="str">
        <f aca="false">INDEX(Segmentation!$N$2:$N$301,MATCH($A278,Segmentation!$A$2:$A$301,0))</f>
        <v>H2 Active / No H1 GMV</v>
      </c>
      <c r="H278" s="9" t="n">
        <f aca="false">INDEX(Segmentation!$I$2:$I$301,MATCH($A278,Segmentation!$A$2:$A$301,0))</f>
        <v>140</v>
      </c>
      <c r="I278" s="2" t="n">
        <f aca="false">INDEX(Segmentation!$O$2:$O$301,MATCH($A278,Segmentation!$A$2:$A$301,0))</f>
        <v>1</v>
      </c>
      <c r="J278" s="2" t="n">
        <f aca="false">INDEX(Segmentation!$Q$2:$Q$301,MATCH($A278,Segmentation!$A$2:$A$301,0))</f>
        <v>1</v>
      </c>
      <c r="K278" s="2" t="n">
        <f aca="false">INDEX(Segmentation!$W$2:$W$301,MATCH($A278,Segmentation!$A$2:$A$301,0))</f>
        <v>1</v>
      </c>
      <c r="L278" s="9" t="n">
        <f aca="false">INDEX('Commercial View'!$L$2:$L$301,MATCH($A278,'Commercial View'!$A$2:$A$301,0))</f>
        <v>0</v>
      </c>
      <c r="M278" s="9" t="n">
        <f aca="false">INDEX('Commercial View'!$M$2:$M$301,MATCH($A278,'Commercial View'!$A$2:$A$301,0))</f>
        <v>0</v>
      </c>
      <c r="N278" s="9" t="n">
        <f aca="false">INDEX('Commercial View'!$N$2:$N$301,MATCH($A278,'Commercial View'!$A$2:$A$301,0))</f>
        <v>140</v>
      </c>
      <c r="O278" s="9" t="n">
        <f aca="false">INDEX(Segmentation!$L$2:$L$301,MATCH($A278,Segmentation!$A$2:$A$301,0))</f>
        <v>140</v>
      </c>
      <c r="P278" s="2" t="str">
        <f aca="false">IF(OR(M278&gt;0,N278&gt;0),"Recently Active",IF(OR(I278&lt;=Assumptions!$B$48,K278&lt;=Assumptions!$B$49),"No Meaningful History","Recent Inactivity"))</f>
        <v>Recently Active</v>
      </c>
      <c r="Q278" s="2" t="str">
        <f aca="false">INDEX(Segmentation!$AF$2:$AF$301,MATCH($A278,Segmentation!$A$2:$A$301,0))</f>
        <v>New Customer</v>
      </c>
      <c r="R278" s="2" t="str">
        <f aca="false">INDEX(Segmentation!$AL$2:$AL$301,MATCH($A278,Segmentation!$A$2:$A$301,0))</f>
        <v>N/A</v>
      </c>
      <c r="S278" s="10" t="b">
        <f aca="false">INDEX(Segmentation!$AW$2:$AW$301,MATCH($A278,Segmentation!$A$2:$A$301,0))</f>
        <v>0</v>
      </c>
      <c r="T278" s="2" t="str">
        <f aca="false">INDEX('Feature Data'!$AD$2:$AD$301,MATCH($A278,'Feature Data'!$A$2:$A$301,0))</f>
        <v>One-off low-touch buyer</v>
      </c>
      <c r="U278" s="2" t="str">
        <f aca="false">INDEX('Feature Data'!$W$2:$W$301,MATCH($A278,'Feature Data'!$A$2:$A$301,0))</f>
        <v>Bundle-only</v>
      </c>
      <c r="V278" s="2" t="n">
        <f aca="false">INDEX('Feature Data'!$P$2:$P$301,MATCH($A278,'Feature Data'!$A$2:$A$301,0))</f>
        <v>109</v>
      </c>
      <c r="W278" s="2" t="n">
        <f aca="false">INDEX(Segmentation!$R$2:$R$301,MATCH($A278,Segmentation!$A$2:$A$301,0))</f>
        <v>3</v>
      </c>
      <c r="X278" s="2" t="n">
        <f aca="false">INDEX(Segmentation!$S$2:$S$301,MATCH($A278,Segmentation!$A$2:$A$301,0))</f>
        <v>4</v>
      </c>
      <c r="Y278" s="10" t="b">
        <f aca="false">INDEX(Segmentation!$AG$2:$AG$301,MATCH($A278,Segmentation!$A$2:$A$301,0))</f>
        <v>0</v>
      </c>
      <c r="Z278" s="2" t="str">
        <f aca="false">INDEX(Segmentation!$AU$2:$AU$301,MATCH($A278,Segmentation!$A$2:$A$301,0))</f>
        <v>Not Eligible</v>
      </c>
      <c r="AA278" s="10" t="b">
        <f aca="false">INDEX(Segmentation!$Z$2:$Z$301,MATCH($A278,Segmentation!$A$2:$A$301,0))</f>
        <v>0</v>
      </c>
      <c r="AB278" s="10" t="b">
        <f aca="false">INDEX(Segmentation!$AH$2:$AH$301,MATCH($A278,Segmentation!$A$2:$A$301,0))</f>
        <v>0</v>
      </c>
      <c r="AC278" s="10" t="b">
        <f aca="false">INDEX(Segmentation!$AK$2:$AK$301,MATCH($A278,Segmentation!$A$2:$A$301,0))</f>
        <v>1</v>
      </c>
      <c r="AD278" s="10" t="b">
        <f aca="false">INDEX(Segmentation!$AQ$2:$AQ$301,MATCH($A278,Segmentation!$A$2:$A$301,0))</f>
        <v>0</v>
      </c>
      <c r="AE278" s="10" t="b">
        <f aca="false">INDEX(Segmentation!$AT$2:$AT$301,MATCH($A278,Segmentation!$A$2:$A$301,0))</f>
        <v>0</v>
      </c>
      <c r="AF278" s="10" t="b">
        <f aca="false">INDEX(Segmentation!$X$2:$X$301,MATCH($A278,Segmentation!$A$2:$A$301,0))</f>
        <v>1</v>
      </c>
      <c r="AG278" s="10" t="b">
        <f aca="false">AND(F278="Low",V278&gt;=Assumptions!$B$71,X278&lt;Assumptions!$B$72)</f>
        <v>0</v>
      </c>
      <c r="AH278" s="10" t="b">
        <f aca="false">AND(F278="Low",OR(G278="Growing",G278="Stable"),P278="Recently Active",V278&gt;=Assumptions!$B$58,K278&gt;=Assumptions!$B$73)</f>
        <v>0</v>
      </c>
      <c r="AI278" s="17" t="n">
        <f aca="false">IF(O278&gt;0,MAX(L278:N278)/O278,"")</f>
        <v>1</v>
      </c>
      <c r="AJ278" s="2" t="str">
        <f aca="false">IF(LEFT(D278,1)="1",IF(E278="Key","MIGRATION_KEY_SIGNOFF",IF(Z278="Ready","MIGRATION_PHASE1_READY",IF(Z278="Manual Review","MIGRATION_PHASE1_REVIEW","MIGRATION_PRE_ENTRY"))),IF(LEFT(D278,1)="2","DECLINING_KEY_CORE",IF(LEFT(D278,1)="3",IF(R278="Established Buyer Lapsed","LAPSED_ESTABLISHED","LAPSED_THIN_HISTORY"),IF(LEFT(D278,1)="4",IF(Q278="New Customer","NEW_CUSTOMER","RETURNED_CUSTOMER"),IF(LEFT(D278,1)="5",IF(P278="Recently Active","COST_TO_SERVE_ACTIVE","DORMANT_LOW_VALUE"),IF(LEFT(D278,1)="6",IF(P278="Recent Inactivity","RECENT_INACTIVITY",IF(AG278,"BROWSING_LOW_OFFERS","HEALTHY_STRONG_SELF_SERVE")),IF(LEFT(D278,1)="7",IF(P278="Recent Inactivity","RECENT_INACTIVITY",IF(Q278="New Customer","NEW_CUSTOMER","RETURNED_CUSTOMER")),IF(LEFT(D278,1)="8",IF(G278="Declining",IF(T278="Engaged but shrinking (Key/Core)","ENGAGED_BUT_SHRINKING","DECLINING_KEY_CORE"),IF(R278="Established Buyer Lapsed","LAPSED_ESTABLISHED","LAPSED_THIN_HISTORY")),IF(S278,IF(P278&lt;&gt;"Recently Active","DORMANT_LOW_VALUE",IF(AG278,"BROWSING_LOW_OFFERS",IF(AH278,"RISING_TAIL","RISING_TAIL_EARLY"))),IF(AND(AG278,P278="Recently Active",OR(G278="Growing",G278="Stable",G278="H2 Active / No H1 GMV"),I278&gt;=Assumptions!$B$74),"BROWSING_LOW_OFFERS","LONG_TAIL_STANDARD"))))))))))</f>
        <v>LONG_TAIL_STANDARD</v>
      </c>
      <c r="AK278" s="2" t="str">
        <f aca="false">INDEX('NBA Library'!$B$4:$B$21,MATCH(AJ278,'NBA Library'!$A$4:$A$21,0))</f>
        <v>Automated Nurture</v>
      </c>
      <c r="AL278" s="2" t="str">
        <f aca="false">INDEX('NBA Library'!$C$4:$C$21,MATCH(AJ278,'NBA Library'!$A$4:$A$21,0))</f>
        <v>Automated</v>
      </c>
      <c r="AM278" s="2" t="str">
        <f aca="false">IF(AA278,"HOLD — Critical Data Issue",IF(Y278,"Human Sign-Off Required",IF(Z278="Manual Review","Human Review Required",IF(AND(AL278="Automated",OR(AE278,AND(OR(AK278="Discovery-to-Offer Enablement",AK278="Reinforce Successful Behaviour"),OR(AC278,AB278)))),"Human Review Required",IF(AL278="Human","Ready — Human",IF(AL278="Hybrid","Ready — Hybrid","Ready — Automated"))))))</f>
        <v>Ready — Automated</v>
      </c>
      <c r="AN278" s="2" t="str">
        <f aca="false">IF(AA278,"P0",IF(AND(AJ278="BROWSING_LOW_OFFERS",E278="Tail"),"P3",IF(AND(AM278="Human Review Required",INDEX('NBA Library'!$D$4:$D$21,MATCH(AJ278,'NBA Library'!$A$4:$A$21,0))="P4"),"P3",INDEX('NBA Library'!$D$4:$D$21,MATCH(AJ278,'NBA Library'!$A$4:$A$21,0)))))</f>
        <v>P4</v>
      </c>
      <c r="AO278" s="2" t="str">
        <f aca="false">E278&amp;" "&amp;C278&amp;" account ("&amp;B278&amp;"); "&amp;G278&amp;" momentum; "&amp;P278&amp;"; £"&amp;TEXT(H278,"#,##0")&amp;" 6m GMV. "&amp;INDEX('NBA Library'!$G$4:$G$21,MATCH(AJ278,'NBA Library'!$A$4:$A$21,0))&amp;IF(LEFT(D278,1)="1"," Baseline: "&amp;V278&amp;" PDP views, "&amp;W278&amp;" app days, "&amp;X278&amp;" offers, "&amp;TEXT(J278/I278,"0%")&amp;" of orders self-serve.","")&amp;IF(AA278," Execution on HOLD until the Duplicate status is resolved.","")&amp;IF(Y278," Key account: explicit AM/leadership sign-off required before any migration activity.","")&amp;IF(AE278," Implied broker % from order counts would move this account to a different segment; review before automating.","")</f>
        <v>Tail Self-Serve account (Self Serve); H2 Active / No H1 GMV momentum; Recently Active; £140 6m GMV. Low-value, low-dependency account. Scalable automated engagement.</v>
      </c>
      <c r="AP278" s="2" t="str">
        <f aca="false">INDEX('NBA Library'!$E$4:$E$21,MATCH(AJ278,'NBA Library'!$A$4:$A$21,0))&amp;IF(AND(AJ278="NEW_CUSTOMER",AG278),"; introduce Make-an-Offer on items already browsed","")</f>
        <v>Scalable automated engagement matched to nurture sub-context</v>
      </c>
      <c r="AQ278" s="2" t="str">
        <f aca="false">INDEX('NBA Library'!$F$4:$F$21,MATCH(AJ278,'NBA Library'!$A$4:$A$21,0))</f>
        <v>Any repeat order within 90 days</v>
      </c>
      <c r="AR278" s="2" t="str">
        <f aca="false">IF(AND(F278="Low",OR(G278="Growing",G278="Stable"),P278="Recently Active",U278&lt;&gt;"Mixed",OR(AK278="Discovery-to-Offer Enablement",AK278="Reinforce Successful Behaviour"),AM278="Ready — Automated",OR(E278&lt;&gt;"Tail",S278)),"Range Expansion Test — trial "&amp;IF(U278="Bundle-only","handpick","bundles")&amp;" (experimental; not proven to lift GMV)","")</f>
        <v/>
      </c>
      <c r="AS278" s="2" t="str">
        <f aca="false">IF(AK278&lt;&gt;"Automated Nurture","",IF(AJ278="DORMANT_LOW_VALUE","Dormant",IF(AJ278="RISING_TAIL_EARLY","Rising tail – early pattern",IF(Q278="New Customer","New customer onboarding",IF(Q278="Returned Customer","Returned customer",IF(G278="Lapsed","Dormant",IF(T278="Engaged, not converting","Engaged, not converting",IF(T278="One-off low-touch buyer","One-off purchaser",IF(T278="Light-touch repeat buyer","Light-touch repeat buyer","Standard long tail")))))))))</f>
        <v>New customer onboarding</v>
      </c>
      <c r="AT278" s="2" t="str">
        <f aca="false">IF(AA278,"CRITICAL_DATA_BLOCKER; ","")&amp;IF(Y278,"KEY_SIGNOFF; ","")&amp;IF(Z278="Manual Review","PHASE1_MANUAL_REVIEW; ","")&amp;IF(AND(LEFT(D278,1)="1",AZ278="Lumpy"),"LUMPY_CADENCE; ","")&amp;IF(AB278,"BORDERLINE_MOMENTUM; ","")&amp;IF(AC278,"FEB_SENSITIVE; ","")&amp;IF(AD278,"MATERIAL_BROKER_INCONSISTENCY"&amp;IF(AE278," (segment would change)","")&amp;"; ","")&amp;IF(AND(I278&gt;=3,O278&gt;0),IF(AI278&gt;=Assumptions!$B$75,"H2_SINGLE_MONTH_SPIKE; ",""),"")&amp;IF(AND(M278&gt;0,N278=0),"NO_FEB_GMV (Feb unconfirmed); ","")&amp;IF(AF278,"LOW_CONFIDENCE; ","")</f>
        <v>FEB_SENSITIVE; LOW_CONFIDENCE; </v>
      </c>
      <c r="AU278" s="2" t="str">
        <f aca="false">IF(LEFT(D278,1)="1",V278,"")</f>
        <v/>
      </c>
      <c r="AV278" s="2" t="str">
        <f aca="false">IF(LEFT(D278,1)="1",V278&gt;=Assumptions!$B$58,"")</f>
        <v/>
      </c>
      <c r="AW278" s="2" t="str">
        <f aca="false">IF(LEFT(D278,1)="1",W278,"")</f>
        <v/>
      </c>
      <c r="AX278" s="2" t="str">
        <f aca="false">IF(LEFT(D278,1)="1",X278,"")</f>
        <v/>
      </c>
      <c r="AY278" s="17" t="str">
        <f aca="false">IF(LEFT(D278,1)="1",J278/I278,"")</f>
        <v/>
      </c>
      <c r="AZ278" s="2" t="str">
        <f aca="false">IF(LEFT(D278,1)="1",IF(AND(K278&gt;=Assumptions!$B$83,I278&gt;=Assumptions!$B$84),"Regular","Lumpy"),"")</f>
        <v/>
      </c>
      <c r="BA278" s="2" t="str">
        <f aca="false">IF(LEFT(D278,1)="1",ROUND(6/K278,0),"")</f>
        <v/>
      </c>
      <c r="BB278" s="2" t="str">
        <f aca="false">IF(LEFT(D278,1)="1",IF(AZ278="Regular","Regular buyer: expected ~£"&amp;TEXT(H278/2,"#,##0")&amp;" per 90 days. At Risk if GMV to date &lt; "&amp;TEXT(Assumptions!$B$81,"0%")&amp;" of pro-rated expectation, checked from day "&amp;Assumptions!$B$82&amp;". Human-reviewed.","Irregular buyer ("&amp;I278&amp;" orders across "&amp;K278&amp;" months): no numeric GMV threshold. At Risk if no order within ~"&amp;BA278&amp;" month(s); AM reviews at day "&amp;Assumptions!$B$82&amp;" and "&amp;Assumptions!$B$85&amp;"."),"")</f>
        <v/>
      </c>
      <c r="BC278" s="2"/>
      <c r="BD278" s="2"/>
      <c r="BE278" s="2"/>
      <c r="BF278" s="2"/>
      <c r="BG278" s="2"/>
      <c r="BH278" s="2"/>
      <c r="BI278" s="2"/>
      <c r="BJ278" s="2" t="str">
        <f aca="false">IF(OR(NOT(LEFT(D278,1)="1"),BC278=""),"",IF(AZ278="Regular",AND(BC278&gt;=Assumptions!$B$82,N(BI278)&lt;Assumptions!$B$81*H278/180*BC278),AND(BC278&gt;=BA278*30,N(BG278)=0)))</f>
        <v/>
      </c>
      <c r="BK278" s="2" t="str">
        <f aca="false">IF(NOT(LEFT(D278,1)="1"),"N/A",IF(BC278="","Baseline",IF(BJ278,"At Risk",IF(AND(N(BD278)&gt;=Assumptions!$B$78,N(BE278)&gt;=Assumptions!$B$79,N(BH278)&gt;=1,N(BH278)/MAX(N(BG278),1)&gt;AY278),"Self-Serve Capability Demonstrated",IF(OR(N(BD278)&gt;=Assumptions!$B$76,N(BE278)&gt;=Assumptions!$B$77),"Progressing",IF(BC278&gt;=Assumptions!$B$85,"At Risk","Baseline"))))))</f>
        <v>N/A</v>
      </c>
      <c r="BL278" s="2" t="n">
        <f aca="false">(AND(C278="Broker-Reliant",OR(AK278="Discovery-to-Offer Enablement",AK278="Reinforce Successful Behaviour")))*1+(AND(G278="Declining",E278&lt;&gt;"Tail",AL278="Automated"))*1+(AND(Y278,AM278&lt;&gt;"Human Sign-Off Required"))*1+(AND(AA278,AM278&lt;&gt;"HOLD — Critical Data Issue"))*1+(AND(P278="Recent Inactivity",OR(AK278="Discovery-to-Offer Enablement",AK278="Reinforce Successful Behaviour")))*1+(AND(OR(LEFT(D278,1)="2",LEFT(D278,1)="3",LEFT(D278,1)="8"),AL278="Automated"))*1+((LEFT(D278,1)="1")&lt;&gt;(AK278="Guided Self-Serve Migration"))*1+(AND(AR278&lt;&gt;"",OR(F278&lt;&gt;"Low",U278="Mixed",AND(G278&lt;&gt;"Growing",G278&lt;&gt;"Stable"))))*1+ISNUMBER(SEARCH("chat",AP278))*1+ISNUMBER(SEARCH("video",AP278))*1+(AND(AA278,AL278="Automated",AM278&lt;&gt;"HOLD — Critical Data Issue"))*1</f>
        <v>0</v>
      </c>
    </row>
    <row r="279" customFormat="false" ht="15" hidden="false" customHeight="false" outlineLevel="0" collapsed="false">
      <c r="A279" s="2" t="s">
        <v>920</v>
      </c>
      <c r="B279" s="2" t="str">
        <f aca="false">INDEX(Segmentation!$B$2:$B$301,MATCH($A279,Segmentation!$A$2:$A$301,0))</f>
        <v>Self Serve</v>
      </c>
      <c r="C279" s="2" t="str">
        <f aca="false">INDEX(Segmentation!$H$2:$H$301,MATCH($A279,Segmentation!$A$2:$A$301,0))</f>
        <v>Self-Serve</v>
      </c>
      <c r="D279" s="2" t="str">
        <f aca="false">INDEX(Segmentation!$T$2:$T$301,MATCH($A279,Segmentation!$A$2:$A$301,0))</f>
        <v>9. Long-Tail Automated Nurture</v>
      </c>
      <c r="E279" s="2" t="str">
        <f aca="false">INDEX(Segmentation!$J$2:$J$301,MATCH($A279,Segmentation!$A$2:$A$301,0))</f>
        <v>Tail</v>
      </c>
      <c r="F279" s="2" t="str">
        <f aca="false">INDEX(Segmentation!$G$2:$G$301,MATCH($A279,Segmentation!$A$2:$A$301,0))</f>
        <v>Low</v>
      </c>
      <c r="G279" s="2" t="str">
        <f aca="false">INDEX(Segmentation!$N$2:$N$301,MATCH($A279,Segmentation!$A$2:$A$301,0))</f>
        <v>Lapsed</v>
      </c>
      <c r="H279" s="9" t="n">
        <f aca="false">INDEX(Segmentation!$I$2:$I$301,MATCH($A279,Segmentation!$A$2:$A$301,0))</f>
        <v>138</v>
      </c>
      <c r="I279" s="2" t="n">
        <f aca="false">INDEX(Segmentation!$O$2:$O$301,MATCH($A279,Segmentation!$A$2:$A$301,0))</f>
        <v>2</v>
      </c>
      <c r="J279" s="2" t="n">
        <f aca="false">INDEX(Segmentation!$Q$2:$Q$301,MATCH($A279,Segmentation!$A$2:$A$301,0))</f>
        <v>2</v>
      </c>
      <c r="K279" s="2" t="n">
        <f aca="false">INDEX(Segmentation!$W$2:$W$301,MATCH($A279,Segmentation!$A$2:$A$301,0))</f>
        <v>1</v>
      </c>
      <c r="L279" s="9" t="n">
        <f aca="false">INDEX('Commercial View'!$L$2:$L$301,MATCH($A279,'Commercial View'!$A$2:$A$301,0))</f>
        <v>0</v>
      </c>
      <c r="M279" s="9" t="n">
        <f aca="false">INDEX('Commercial View'!$M$2:$M$301,MATCH($A279,'Commercial View'!$A$2:$A$301,0))</f>
        <v>0</v>
      </c>
      <c r="N279" s="9" t="n">
        <f aca="false">INDEX('Commercial View'!$N$2:$N$301,MATCH($A279,'Commercial View'!$A$2:$A$301,0))</f>
        <v>0</v>
      </c>
      <c r="O279" s="9" t="n">
        <f aca="false">INDEX(Segmentation!$L$2:$L$301,MATCH($A279,Segmentation!$A$2:$A$301,0))</f>
        <v>0</v>
      </c>
      <c r="P279" s="2" t="str">
        <f aca="false">IF(OR(M279&gt;0,N279&gt;0),"Recently Active",IF(OR(I279&lt;=Assumptions!$B$48,K279&lt;=Assumptions!$B$49),"No Meaningful History","Recent Inactivity"))</f>
        <v>No Meaningful History</v>
      </c>
      <c r="Q279" s="2" t="str">
        <f aca="false">INDEX(Segmentation!$AF$2:$AF$301,MATCH($A279,Segmentation!$A$2:$A$301,0))</f>
        <v>Existing Customer</v>
      </c>
      <c r="R279" s="2" t="str">
        <f aca="false">INDEX(Segmentation!$AL$2:$AL$301,MATCH($A279,Segmentation!$A$2:$A$301,0))</f>
        <v>One-Off / Insufficient History — Verify</v>
      </c>
      <c r="S279" s="10" t="b">
        <f aca="false">INDEX(Segmentation!$AW$2:$AW$301,MATCH($A279,Segmentation!$A$2:$A$301,0))</f>
        <v>0</v>
      </c>
      <c r="T279" s="2" t="str">
        <f aca="false">INDEX('Feature Data'!$AD$2:$AD$301,MATCH($A279,'Feature Data'!$A$2:$A$301,0))</f>
        <v>Light-touch repeat buyer</v>
      </c>
      <c r="U279" s="2" t="str">
        <f aca="false">INDEX('Feature Data'!$W$2:$W$301,MATCH($A279,'Feature Data'!$A$2:$A$301,0))</f>
        <v>Bundle-only</v>
      </c>
      <c r="V279" s="2" t="n">
        <f aca="false">INDEX('Feature Data'!$P$2:$P$301,MATCH($A279,'Feature Data'!$A$2:$A$301,0))</f>
        <v>187</v>
      </c>
      <c r="W279" s="2" t="n">
        <f aca="false">INDEX(Segmentation!$R$2:$R$301,MATCH($A279,Segmentation!$A$2:$A$301,0))</f>
        <v>8</v>
      </c>
      <c r="X279" s="2" t="n">
        <f aca="false">INDEX(Segmentation!$S$2:$S$301,MATCH($A279,Segmentation!$A$2:$A$301,0))</f>
        <v>0</v>
      </c>
      <c r="Y279" s="10" t="b">
        <f aca="false">INDEX(Segmentation!$AG$2:$AG$301,MATCH($A279,Segmentation!$A$2:$A$301,0))</f>
        <v>0</v>
      </c>
      <c r="Z279" s="2" t="str">
        <f aca="false">INDEX(Segmentation!$AU$2:$AU$301,MATCH($A279,Segmentation!$A$2:$A$301,0))</f>
        <v>Not Eligible</v>
      </c>
      <c r="AA279" s="10" t="b">
        <f aca="false">INDEX(Segmentation!$Z$2:$Z$301,MATCH($A279,Segmentation!$A$2:$A$301,0))</f>
        <v>0</v>
      </c>
      <c r="AB279" s="10" t="b">
        <f aca="false">INDEX(Segmentation!$AH$2:$AH$301,MATCH($A279,Segmentation!$A$2:$A$301,0))</f>
        <v>0</v>
      </c>
      <c r="AC279" s="10" t="b">
        <f aca="false">INDEX(Segmentation!$AK$2:$AK$301,MATCH($A279,Segmentation!$A$2:$A$301,0))</f>
        <v>0</v>
      </c>
      <c r="AD279" s="10" t="b">
        <f aca="false">INDEX(Segmentation!$AQ$2:$AQ$301,MATCH($A279,Segmentation!$A$2:$A$301,0))</f>
        <v>0</v>
      </c>
      <c r="AE279" s="10" t="b">
        <f aca="false">INDEX(Segmentation!$AT$2:$AT$301,MATCH($A279,Segmentation!$A$2:$A$301,0))</f>
        <v>0</v>
      </c>
      <c r="AF279" s="10" t="b">
        <f aca="false">INDEX(Segmentation!$X$2:$X$301,MATCH($A279,Segmentation!$A$2:$A$301,0))</f>
        <v>1</v>
      </c>
      <c r="AG279" s="10" t="b">
        <f aca="false">AND(F279="Low",V279&gt;=Assumptions!$B$71,X279&lt;Assumptions!$B$72)</f>
        <v>1</v>
      </c>
      <c r="AH279" s="10" t="b">
        <f aca="false">AND(F279="Low",OR(G279="Growing",G279="Stable"),P279="Recently Active",V279&gt;=Assumptions!$B$58,K279&gt;=Assumptions!$B$73)</f>
        <v>0</v>
      </c>
      <c r="AI279" s="17" t="str">
        <f aca="false">IF(O279&gt;0,MAX(L279:N279)/O279,"")</f>
        <v/>
      </c>
      <c r="AJ279" s="2" t="str">
        <f aca="false">IF(LEFT(D279,1)="1",IF(E279="Key","MIGRATION_KEY_SIGNOFF",IF(Z279="Ready","MIGRATION_PHASE1_READY",IF(Z279="Manual Review","MIGRATION_PHASE1_REVIEW","MIGRATION_PRE_ENTRY"))),IF(LEFT(D279,1)="2","DECLINING_KEY_CORE",IF(LEFT(D279,1)="3",IF(R279="Established Buyer Lapsed","LAPSED_ESTABLISHED","LAPSED_THIN_HISTORY"),IF(LEFT(D279,1)="4",IF(Q279="New Customer","NEW_CUSTOMER","RETURNED_CUSTOMER"),IF(LEFT(D279,1)="5",IF(P279="Recently Active","COST_TO_SERVE_ACTIVE","DORMANT_LOW_VALUE"),IF(LEFT(D279,1)="6",IF(P279="Recent Inactivity","RECENT_INACTIVITY",IF(AG279,"BROWSING_LOW_OFFERS","HEALTHY_STRONG_SELF_SERVE")),IF(LEFT(D279,1)="7",IF(P279="Recent Inactivity","RECENT_INACTIVITY",IF(Q279="New Customer","NEW_CUSTOMER","RETURNED_CUSTOMER")),IF(LEFT(D279,1)="8",IF(G279="Declining",IF(T279="Engaged but shrinking (Key/Core)","ENGAGED_BUT_SHRINKING","DECLINING_KEY_CORE"),IF(R279="Established Buyer Lapsed","LAPSED_ESTABLISHED","LAPSED_THIN_HISTORY")),IF(S279,IF(P279&lt;&gt;"Recently Active","DORMANT_LOW_VALUE",IF(AG279,"BROWSING_LOW_OFFERS",IF(AH279,"RISING_TAIL","RISING_TAIL_EARLY"))),IF(AND(AG279,P279="Recently Active",OR(G279="Growing",G279="Stable",G279="H2 Active / No H1 GMV"),I279&gt;=Assumptions!$B$74),"BROWSING_LOW_OFFERS","LONG_TAIL_STANDARD"))))))))))</f>
        <v>LONG_TAIL_STANDARD</v>
      </c>
      <c r="AK279" s="2" t="str">
        <f aca="false">INDEX('NBA Library'!$B$4:$B$21,MATCH(AJ279,'NBA Library'!$A$4:$A$21,0))</f>
        <v>Automated Nurture</v>
      </c>
      <c r="AL279" s="2" t="str">
        <f aca="false">INDEX('NBA Library'!$C$4:$C$21,MATCH(AJ279,'NBA Library'!$A$4:$A$21,0))</f>
        <v>Automated</v>
      </c>
      <c r="AM279" s="2" t="str">
        <f aca="false">IF(AA279,"HOLD — Critical Data Issue",IF(Y279,"Human Sign-Off Required",IF(Z279="Manual Review","Human Review Required",IF(AND(AL279="Automated",OR(AE279,AND(OR(AK279="Discovery-to-Offer Enablement",AK279="Reinforce Successful Behaviour"),OR(AC279,AB279)))),"Human Review Required",IF(AL279="Human","Ready — Human",IF(AL279="Hybrid","Ready — Hybrid","Ready — Automated"))))))</f>
        <v>Ready — Automated</v>
      </c>
      <c r="AN279" s="2" t="str">
        <f aca="false">IF(AA279,"P0",IF(AND(AJ279="BROWSING_LOW_OFFERS",E279="Tail"),"P3",IF(AND(AM279="Human Review Required",INDEX('NBA Library'!$D$4:$D$21,MATCH(AJ279,'NBA Library'!$A$4:$A$21,0))="P4"),"P3",INDEX('NBA Library'!$D$4:$D$21,MATCH(AJ279,'NBA Library'!$A$4:$A$21,0)))))</f>
        <v>P4</v>
      </c>
      <c r="AO279" s="2" t="str">
        <f aca="false">E279&amp;" "&amp;C279&amp;" account ("&amp;B279&amp;"); "&amp;G279&amp;" momentum; "&amp;P279&amp;"; £"&amp;TEXT(H279,"#,##0")&amp;" 6m GMV. "&amp;INDEX('NBA Library'!$G$4:$G$21,MATCH(AJ279,'NBA Library'!$A$4:$A$21,0))&amp;IF(LEFT(D279,1)="1"," Baseline: "&amp;V279&amp;" PDP views, "&amp;W279&amp;" app days, "&amp;X279&amp;" offers, "&amp;TEXT(J279/I279,"0%")&amp;" of orders self-serve.","")&amp;IF(AA279," Execution on HOLD until the Duplicate status is resolved.","")&amp;IF(Y279," Key account: explicit AM/leadership sign-off required before any migration activity.","")&amp;IF(AE279," Implied broker % from order counts would move this account to a different segment; review before automating.","")</f>
        <v>Tail Self-Serve account (Self Serve); Lapsed momentum; No Meaningful History; £138 6m GMV. Low-value, low-dependency account. Scalable automated engagement.</v>
      </c>
      <c r="AP279" s="2" t="str">
        <f aca="false">INDEX('NBA Library'!$E$4:$E$21,MATCH(AJ279,'NBA Library'!$A$4:$A$21,0))&amp;IF(AND(AJ279="NEW_CUSTOMER",AG279),"; introduce Make-an-Offer on items already browsed","")</f>
        <v>Scalable automated engagement matched to nurture sub-context</v>
      </c>
      <c r="AQ279" s="2" t="str">
        <f aca="false">INDEX('NBA Library'!$F$4:$F$21,MATCH(AJ279,'NBA Library'!$A$4:$A$21,0))</f>
        <v>Any repeat order within 90 days</v>
      </c>
      <c r="AR279" s="2" t="str">
        <f aca="false">IF(AND(F279="Low",OR(G279="Growing",G279="Stable"),P279="Recently Active",U279&lt;&gt;"Mixed",OR(AK279="Discovery-to-Offer Enablement",AK279="Reinforce Successful Behaviour"),AM279="Ready — Automated",OR(E279&lt;&gt;"Tail",S279)),"Range Expansion Test — trial "&amp;IF(U279="Bundle-only","handpick","bundles")&amp;" (experimental; not proven to lift GMV)","")</f>
        <v/>
      </c>
      <c r="AS279" s="2" t="str">
        <f aca="false">IF(AK279&lt;&gt;"Automated Nurture","",IF(AJ279="DORMANT_LOW_VALUE","Dormant",IF(AJ279="RISING_TAIL_EARLY","Rising tail – early pattern",IF(Q279="New Customer","New customer onboarding",IF(Q279="Returned Customer","Returned customer",IF(G279="Lapsed","Dormant",IF(T279="Engaged, not converting","Engaged, not converting",IF(T279="One-off low-touch buyer","One-off purchaser",IF(T279="Light-touch repeat buyer","Light-touch repeat buyer","Standard long tail")))))))))</f>
        <v>Dormant</v>
      </c>
      <c r="AT279" s="2" t="str">
        <f aca="false">IF(AA279,"CRITICAL_DATA_BLOCKER; ","")&amp;IF(Y279,"KEY_SIGNOFF; ","")&amp;IF(Z279="Manual Review","PHASE1_MANUAL_REVIEW; ","")&amp;IF(AND(LEFT(D279,1)="1",AZ279="Lumpy"),"LUMPY_CADENCE; ","")&amp;IF(AB279,"BORDERLINE_MOMENTUM; ","")&amp;IF(AC279,"FEB_SENSITIVE; ","")&amp;IF(AD279,"MATERIAL_BROKER_INCONSISTENCY"&amp;IF(AE279," (segment would change)","")&amp;"; ","")&amp;IF(AND(I279&gt;=3,O279&gt;0),IF(AI279&gt;=Assumptions!$B$75,"H2_SINGLE_MONTH_SPIKE; ",""),"")&amp;IF(AND(M279&gt;0,N279=0),"NO_FEB_GMV (Feb unconfirmed); ","")&amp;IF(AF279,"LOW_CONFIDENCE; ","")</f>
        <v>LOW_CONFIDENCE; </v>
      </c>
      <c r="AU279" s="2" t="str">
        <f aca="false">IF(LEFT(D279,1)="1",V279,"")</f>
        <v/>
      </c>
      <c r="AV279" s="2" t="str">
        <f aca="false">IF(LEFT(D279,1)="1",V279&gt;=Assumptions!$B$58,"")</f>
        <v/>
      </c>
      <c r="AW279" s="2" t="str">
        <f aca="false">IF(LEFT(D279,1)="1",W279,"")</f>
        <v/>
      </c>
      <c r="AX279" s="2" t="str">
        <f aca="false">IF(LEFT(D279,1)="1",X279,"")</f>
        <v/>
      </c>
      <c r="AY279" s="17" t="str">
        <f aca="false">IF(LEFT(D279,1)="1",J279/I279,"")</f>
        <v/>
      </c>
      <c r="AZ279" s="2" t="str">
        <f aca="false">IF(LEFT(D279,1)="1",IF(AND(K279&gt;=Assumptions!$B$83,I279&gt;=Assumptions!$B$84),"Regular","Lumpy"),"")</f>
        <v/>
      </c>
      <c r="BA279" s="2" t="str">
        <f aca="false">IF(LEFT(D279,1)="1",ROUND(6/K279,0),"")</f>
        <v/>
      </c>
      <c r="BB279" s="2" t="str">
        <f aca="false">IF(LEFT(D279,1)="1",IF(AZ279="Regular","Regular buyer: expected ~£"&amp;TEXT(H279/2,"#,##0")&amp;" per 90 days. At Risk if GMV to date &lt; "&amp;TEXT(Assumptions!$B$81,"0%")&amp;" of pro-rated expectation, checked from day "&amp;Assumptions!$B$82&amp;". Human-reviewed.","Irregular buyer ("&amp;I279&amp;" orders across "&amp;K279&amp;" months): no numeric GMV threshold. At Risk if no order within ~"&amp;BA279&amp;" month(s); AM reviews at day "&amp;Assumptions!$B$82&amp;" and "&amp;Assumptions!$B$85&amp;"."),"")</f>
        <v/>
      </c>
      <c r="BC279" s="2"/>
      <c r="BD279" s="2"/>
      <c r="BE279" s="2"/>
      <c r="BF279" s="2"/>
      <c r="BG279" s="2"/>
      <c r="BH279" s="2"/>
      <c r="BI279" s="2"/>
      <c r="BJ279" s="2" t="str">
        <f aca="false">IF(OR(NOT(LEFT(D279,1)="1"),BC279=""),"",IF(AZ279="Regular",AND(BC279&gt;=Assumptions!$B$82,N(BI279)&lt;Assumptions!$B$81*H279/180*BC279),AND(BC279&gt;=BA279*30,N(BG279)=0)))</f>
        <v/>
      </c>
      <c r="BK279" s="2" t="str">
        <f aca="false">IF(NOT(LEFT(D279,1)="1"),"N/A",IF(BC279="","Baseline",IF(BJ279,"At Risk",IF(AND(N(BD279)&gt;=Assumptions!$B$78,N(BE279)&gt;=Assumptions!$B$79,N(BH279)&gt;=1,N(BH279)/MAX(N(BG279),1)&gt;AY279),"Self-Serve Capability Demonstrated",IF(OR(N(BD279)&gt;=Assumptions!$B$76,N(BE279)&gt;=Assumptions!$B$77),"Progressing",IF(BC279&gt;=Assumptions!$B$85,"At Risk","Baseline"))))))</f>
        <v>N/A</v>
      </c>
      <c r="BL279" s="2" t="n">
        <f aca="false">(AND(C279="Broker-Reliant",OR(AK279="Discovery-to-Offer Enablement",AK279="Reinforce Successful Behaviour")))*1+(AND(G279="Declining",E279&lt;&gt;"Tail",AL279="Automated"))*1+(AND(Y279,AM279&lt;&gt;"Human Sign-Off Required"))*1+(AND(AA279,AM279&lt;&gt;"HOLD — Critical Data Issue"))*1+(AND(P279="Recent Inactivity",OR(AK279="Discovery-to-Offer Enablement",AK279="Reinforce Successful Behaviour")))*1+(AND(OR(LEFT(D279,1)="2",LEFT(D279,1)="3",LEFT(D279,1)="8"),AL279="Automated"))*1+((LEFT(D279,1)="1")&lt;&gt;(AK279="Guided Self-Serve Migration"))*1+(AND(AR279&lt;&gt;"",OR(F279&lt;&gt;"Low",U279="Mixed",AND(G279&lt;&gt;"Growing",G279&lt;&gt;"Stable"))))*1+ISNUMBER(SEARCH("chat",AP279))*1+ISNUMBER(SEARCH("video",AP279))*1+(AND(AA279,AL279="Automated",AM279&lt;&gt;"HOLD — Critical Data Issue"))*1</f>
        <v>0</v>
      </c>
    </row>
    <row r="280" customFormat="false" ht="15" hidden="false" customHeight="false" outlineLevel="0" collapsed="false">
      <c r="A280" s="2" t="s">
        <v>924</v>
      </c>
      <c r="B280" s="2" t="str">
        <f aca="false">INDEX(Segmentation!$B$2:$B$301,MATCH($A280,Segmentation!$A$2:$A$301,0))</f>
        <v>Self Serve</v>
      </c>
      <c r="C280" s="2" t="str">
        <f aca="false">INDEX(Segmentation!$H$2:$H$301,MATCH($A280,Segmentation!$A$2:$A$301,0))</f>
        <v>Self-Serve</v>
      </c>
      <c r="D280" s="2" t="str">
        <f aca="false">INDEX(Segmentation!$T$2:$T$301,MATCH($A280,Segmentation!$A$2:$A$301,0))</f>
        <v>9. Long-Tail Automated Nurture</v>
      </c>
      <c r="E280" s="2" t="str">
        <f aca="false">INDEX(Segmentation!$J$2:$J$301,MATCH($A280,Segmentation!$A$2:$A$301,0))</f>
        <v>Tail</v>
      </c>
      <c r="F280" s="2" t="str">
        <f aca="false">INDEX(Segmentation!$G$2:$G$301,MATCH($A280,Segmentation!$A$2:$A$301,0))</f>
        <v>Low</v>
      </c>
      <c r="G280" s="2" t="str">
        <f aca="false">INDEX(Segmentation!$N$2:$N$301,MATCH($A280,Segmentation!$A$2:$A$301,0))</f>
        <v>H2 Active / No H1 GMV</v>
      </c>
      <c r="H280" s="9" t="n">
        <f aca="false">INDEX(Segmentation!$I$2:$I$301,MATCH($A280,Segmentation!$A$2:$A$301,0))</f>
        <v>131</v>
      </c>
      <c r="I280" s="2" t="n">
        <f aca="false">INDEX(Segmentation!$O$2:$O$301,MATCH($A280,Segmentation!$A$2:$A$301,0))</f>
        <v>1</v>
      </c>
      <c r="J280" s="2" t="n">
        <f aca="false">INDEX(Segmentation!$Q$2:$Q$301,MATCH($A280,Segmentation!$A$2:$A$301,0))</f>
        <v>1</v>
      </c>
      <c r="K280" s="2" t="n">
        <f aca="false">INDEX(Segmentation!$W$2:$W$301,MATCH($A280,Segmentation!$A$2:$A$301,0))</f>
        <v>1</v>
      </c>
      <c r="L280" s="9" t="n">
        <f aca="false">INDEX('Commercial View'!$L$2:$L$301,MATCH($A280,'Commercial View'!$A$2:$A$301,0))</f>
        <v>131</v>
      </c>
      <c r="M280" s="9" t="n">
        <f aca="false">INDEX('Commercial View'!$M$2:$M$301,MATCH($A280,'Commercial View'!$A$2:$A$301,0))</f>
        <v>0</v>
      </c>
      <c r="N280" s="9" t="n">
        <f aca="false">INDEX('Commercial View'!$N$2:$N$301,MATCH($A280,'Commercial View'!$A$2:$A$301,0))</f>
        <v>0</v>
      </c>
      <c r="O280" s="9" t="n">
        <f aca="false">INDEX(Segmentation!$L$2:$L$301,MATCH($A280,Segmentation!$A$2:$A$301,0))</f>
        <v>131</v>
      </c>
      <c r="P280" s="2" t="str">
        <f aca="false">IF(OR(M280&gt;0,N280&gt;0),"Recently Active",IF(OR(I280&lt;=Assumptions!$B$48,K280&lt;=Assumptions!$B$49),"No Meaningful History","Recent Inactivity"))</f>
        <v>No Meaningful History</v>
      </c>
      <c r="Q280" s="2" t="str">
        <f aca="false">INDEX(Segmentation!$AF$2:$AF$301,MATCH($A280,Segmentation!$A$2:$A$301,0))</f>
        <v>New Customer</v>
      </c>
      <c r="R280" s="2" t="str">
        <f aca="false">INDEX(Segmentation!$AL$2:$AL$301,MATCH($A280,Segmentation!$A$2:$A$301,0))</f>
        <v>N/A</v>
      </c>
      <c r="S280" s="10" t="b">
        <f aca="false">INDEX(Segmentation!$AW$2:$AW$301,MATCH($A280,Segmentation!$A$2:$A$301,0))</f>
        <v>0</v>
      </c>
      <c r="T280" s="2" t="str">
        <f aca="false">INDEX('Feature Data'!$AD$2:$AD$301,MATCH($A280,'Feature Data'!$A$2:$A$301,0))</f>
        <v>One-off low-touch buyer</v>
      </c>
      <c r="U280" s="2" t="str">
        <f aca="false">INDEX('Feature Data'!$W$2:$W$301,MATCH($A280,'Feature Data'!$A$2:$A$301,0))</f>
        <v>Bundle-only</v>
      </c>
      <c r="V280" s="2" t="n">
        <f aca="false">INDEX('Feature Data'!$P$2:$P$301,MATCH($A280,'Feature Data'!$A$2:$A$301,0))</f>
        <v>73</v>
      </c>
      <c r="W280" s="2" t="n">
        <f aca="false">INDEX(Segmentation!$R$2:$R$301,MATCH($A280,Segmentation!$A$2:$A$301,0))</f>
        <v>6</v>
      </c>
      <c r="X280" s="2" t="n">
        <f aca="false">INDEX(Segmentation!$S$2:$S$301,MATCH($A280,Segmentation!$A$2:$A$301,0))</f>
        <v>3</v>
      </c>
      <c r="Y280" s="10" t="b">
        <f aca="false">INDEX(Segmentation!$AG$2:$AG$301,MATCH($A280,Segmentation!$A$2:$A$301,0))</f>
        <v>0</v>
      </c>
      <c r="Z280" s="2" t="str">
        <f aca="false">INDEX(Segmentation!$AU$2:$AU$301,MATCH($A280,Segmentation!$A$2:$A$301,0))</f>
        <v>Not Eligible</v>
      </c>
      <c r="AA280" s="10" t="b">
        <f aca="false">INDEX(Segmentation!$Z$2:$Z$301,MATCH($A280,Segmentation!$A$2:$A$301,0))</f>
        <v>0</v>
      </c>
      <c r="AB280" s="10" t="b">
        <f aca="false">INDEX(Segmentation!$AH$2:$AH$301,MATCH($A280,Segmentation!$A$2:$A$301,0))</f>
        <v>0</v>
      </c>
      <c r="AC280" s="10" t="b">
        <f aca="false">INDEX(Segmentation!$AK$2:$AK$301,MATCH($A280,Segmentation!$A$2:$A$301,0))</f>
        <v>0</v>
      </c>
      <c r="AD280" s="10" t="b">
        <f aca="false">INDEX(Segmentation!$AQ$2:$AQ$301,MATCH($A280,Segmentation!$A$2:$A$301,0))</f>
        <v>0</v>
      </c>
      <c r="AE280" s="10" t="b">
        <f aca="false">INDEX(Segmentation!$AT$2:$AT$301,MATCH($A280,Segmentation!$A$2:$A$301,0))</f>
        <v>0</v>
      </c>
      <c r="AF280" s="10" t="b">
        <f aca="false">INDEX(Segmentation!$X$2:$X$301,MATCH($A280,Segmentation!$A$2:$A$301,0))</f>
        <v>1</v>
      </c>
      <c r="AG280" s="10" t="b">
        <f aca="false">AND(F280="Low",V280&gt;=Assumptions!$B$71,X280&lt;Assumptions!$B$72)</f>
        <v>0</v>
      </c>
      <c r="AH280" s="10" t="b">
        <f aca="false">AND(F280="Low",OR(G280="Growing",G280="Stable"),P280="Recently Active",V280&gt;=Assumptions!$B$58,K280&gt;=Assumptions!$B$73)</f>
        <v>0</v>
      </c>
      <c r="AI280" s="17" t="n">
        <f aca="false">IF(O280&gt;0,MAX(L280:N280)/O280,"")</f>
        <v>1</v>
      </c>
      <c r="AJ280" s="2" t="str">
        <f aca="false">IF(LEFT(D280,1)="1",IF(E280="Key","MIGRATION_KEY_SIGNOFF",IF(Z280="Ready","MIGRATION_PHASE1_READY",IF(Z280="Manual Review","MIGRATION_PHASE1_REVIEW","MIGRATION_PRE_ENTRY"))),IF(LEFT(D280,1)="2","DECLINING_KEY_CORE",IF(LEFT(D280,1)="3",IF(R280="Established Buyer Lapsed","LAPSED_ESTABLISHED","LAPSED_THIN_HISTORY"),IF(LEFT(D280,1)="4",IF(Q280="New Customer","NEW_CUSTOMER","RETURNED_CUSTOMER"),IF(LEFT(D280,1)="5",IF(P280="Recently Active","COST_TO_SERVE_ACTIVE","DORMANT_LOW_VALUE"),IF(LEFT(D280,1)="6",IF(P280="Recent Inactivity","RECENT_INACTIVITY",IF(AG280,"BROWSING_LOW_OFFERS","HEALTHY_STRONG_SELF_SERVE")),IF(LEFT(D280,1)="7",IF(P280="Recent Inactivity","RECENT_INACTIVITY",IF(Q280="New Customer","NEW_CUSTOMER","RETURNED_CUSTOMER")),IF(LEFT(D280,1)="8",IF(G280="Declining",IF(T280="Engaged but shrinking (Key/Core)","ENGAGED_BUT_SHRINKING","DECLINING_KEY_CORE"),IF(R280="Established Buyer Lapsed","LAPSED_ESTABLISHED","LAPSED_THIN_HISTORY")),IF(S280,IF(P280&lt;&gt;"Recently Active","DORMANT_LOW_VALUE",IF(AG280,"BROWSING_LOW_OFFERS",IF(AH280,"RISING_TAIL","RISING_TAIL_EARLY"))),IF(AND(AG280,P280="Recently Active",OR(G280="Growing",G280="Stable",G280="H2 Active / No H1 GMV"),I280&gt;=Assumptions!$B$74),"BROWSING_LOW_OFFERS","LONG_TAIL_STANDARD"))))))))))</f>
        <v>LONG_TAIL_STANDARD</v>
      </c>
      <c r="AK280" s="2" t="str">
        <f aca="false">INDEX('NBA Library'!$B$4:$B$21,MATCH(AJ280,'NBA Library'!$A$4:$A$21,0))</f>
        <v>Automated Nurture</v>
      </c>
      <c r="AL280" s="2" t="str">
        <f aca="false">INDEX('NBA Library'!$C$4:$C$21,MATCH(AJ280,'NBA Library'!$A$4:$A$21,0))</f>
        <v>Automated</v>
      </c>
      <c r="AM280" s="2" t="str">
        <f aca="false">IF(AA280,"HOLD — Critical Data Issue",IF(Y280,"Human Sign-Off Required",IF(Z280="Manual Review","Human Review Required",IF(AND(AL280="Automated",OR(AE280,AND(OR(AK280="Discovery-to-Offer Enablement",AK280="Reinforce Successful Behaviour"),OR(AC280,AB280)))),"Human Review Required",IF(AL280="Human","Ready — Human",IF(AL280="Hybrid","Ready — Hybrid","Ready — Automated"))))))</f>
        <v>Ready — Automated</v>
      </c>
      <c r="AN280" s="2" t="str">
        <f aca="false">IF(AA280,"P0",IF(AND(AJ280="BROWSING_LOW_OFFERS",E280="Tail"),"P3",IF(AND(AM280="Human Review Required",INDEX('NBA Library'!$D$4:$D$21,MATCH(AJ280,'NBA Library'!$A$4:$A$21,0))="P4"),"P3",INDEX('NBA Library'!$D$4:$D$21,MATCH(AJ280,'NBA Library'!$A$4:$A$21,0)))))</f>
        <v>P4</v>
      </c>
      <c r="AO280" s="2" t="str">
        <f aca="false">E280&amp;" "&amp;C280&amp;" account ("&amp;B280&amp;"); "&amp;G280&amp;" momentum; "&amp;P280&amp;"; £"&amp;TEXT(H280,"#,##0")&amp;" 6m GMV. "&amp;INDEX('NBA Library'!$G$4:$G$21,MATCH(AJ280,'NBA Library'!$A$4:$A$21,0))&amp;IF(LEFT(D280,1)="1"," Baseline: "&amp;V280&amp;" PDP views, "&amp;W280&amp;" app days, "&amp;X280&amp;" offers, "&amp;TEXT(J280/I280,"0%")&amp;" of orders self-serve.","")&amp;IF(AA280," Execution on HOLD until the Duplicate status is resolved.","")&amp;IF(Y280," Key account: explicit AM/leadership sign-off required before any migration activity.","")&amp;IF(AE280," Implied broker % from order counts would move this account to a different segment; review before automating.","")</f>
        <v>Tail Self-Serve account (Self Serve); H2 Active / No H1 GMV momentum; No Meaningful History; £131 6m GMV. Low-value, low-dependency account. Scalable automated engagement.</v>
      </c>
      <c r="AP280" s="2" t="str">
        <f aca="false">INDEX('NBA Library'!$E$4:$E$21,MATCH(AJ280,'NBA Library'!$A$4:$A$21,0))&amp;IF(AND(AJ280="NEW_CUSTOMER",AG280),"; introduce Make-an-Offer on items already browsed","")</f>
        <v>Scalable automated engagement matched to nurture sub-context</v>
      </c>
      <c r="AQ280" s="2" t="str">
        <f aca="false">INDEX('NBA Library'!$F$4:$F$21,MATCH(AJ280,'NBA Library'!$A$4:$A$21,0))</f>
        <v>Any repeat order within 90 days</v>
      </c>
      <c r="AR280" s="2" t="str">
        <f aca="false">IF(AND(F280="Low",OR(G280="Growing",G280="Stable"),P280="Recently Active",U280&lt;&gt;"Mixed",OR(AK280="Discovery-to-Offer Enablement",AK280="Reinforce Successful Behaviour"),AM280="Ready — Automated",OR(E280&lt;&gt;"Tail",S280)),"Range Expansion Test — trial "&amp;IF(U280="Bundle-only","handpick","bundles")&amp;" (experimental; not proven to lift GMV)","")</f>
        <v/>
      </c>
      <c r="AS280" s="2" t="str">
        <f aca="false">IF(AK280&lt;&gt;"Automated Nurture","",IF(AJ280="DORMANT_LOW_VALUE","Dormant",IF(AJ280="RISING_TAIL_EARLY","Rising tail – early pattern",IF(Q280="New Customer","New customer onboarding",IF(Q280="Returned Customer","Returned customer",IF(G280="Lapsed","Dormant",IF(T280="Engaged, not converting","Engaged, not converting",IF(T280="One-off low-touch buyer","One-off purchaser",IF(T280="Light-touch repeat buyer","Light-touch repeat buyer","Standard long tail")))))))))</f>
        <v>New customer onboarding</v>
      </c>
      <c r="AT280" s="2" t="str">
        <f aca="false">IF(AA280,"CRITICAL_DATA_BLOCKER; ","")&amp;IF(Y280,"KEY_SIGNOFF; ","")&amp;IF(Z280="Manual Review","PHASE1_MANUAL_REVIEW; ","")&amp;IF(AND(LEFT(D280,1)="1",AZ280="Lumpy"),"LUMPY_CADENCE; ","")&amp;IF(AB280,"BORDERLINE_MOMENTUM; ","")&amp;IF(AC280,"FEB_SENSITIVE; ","")&amp;IF(AD280,"MATERIAL_BROKER_INCONSISTENCY"&amp;IF(AE280," (segment would change)","")&amp;"; ","")&amp;IF(AND(I280&gt;=3,O280&gt;0),IF(AI280&gt;=Assumptions!$B$75,"H2_SINGLE_MONTH_SPIKE; ",""),"")&amp;IF(AND(M280&gt;0,N280=0),"NO_FEB_GMV (Feb unconfirmed); ","")&amp;IF(AF280,"LOW_CONFIDENCE; ","")</f>
        <v>LOW_CONFIDENCE; </v>
      </c>
      <c r="AU280" s="2" t="str">
        <f aca="false">IF(LEFT(D280,1)="1",V280,"")</f>
        <v/>
      </c>
      <c r="AV280" s="2" t="str">
        <f aca="false">IF(LEFT(D280,1)="1",V280&gt;=Assumptions!$B$58,"")</f>
        <v/>
      </c>
      <c r="AW280" s="2" t="str">
        <f aca="false">IF(LEFT(D280,1)="1",W280,"")</f>
        <v/>
      </c>
      <c r="AX280" s="2" t="str">
        <f aca="false">IF(LEFT(D280,1)="1",X280,"")</f>
        <v/>
      </c>
      <c r="AY280" s="17" t="str">
        <f aca="false">IF(LEFT(D280,1)="1",J280/I280,"")</f>
        <v/>
      </c>
      <c r="AZ280" s="2" t="str">
        <f aca="false">IF(LEFT(D280,1)="1",IF(AND(K280&gt;=Assumptions!$B$83,I280&gt;=Assumptions!$B$84),"Regular","Lumpy"),"")</f>
        <v/>
      </c>
      <c r="BA280" s="2" t="str">
        <f aca="false">IF(LEFT(D280,1)="1",ROUND(6/K280,0),"")</f>
        <v/>
      </c>
      <c r="BB280" s="2" t="str">
        <f aca="false">IF(LEFT(D280,1)="1",IF(AZ280="Regular","Regular buyer: expected ~£"&amp;TEXT(H280/2,"#,##0")&amp;" per 90 days. At Risk if GMV to date &lt; "&amp;TEXT(Assumptions!$B$81,"0%")&amp;" of pro-rated expectation, checked from day "&amp;Assumptions!$B$82&amp;". Human-reviewed.","Irregular buyer ("&amp;I280&amp;" orders across "&amp;K280&amp;" months): no numeric GMV threshold. At Risk if no order within ~"&amp;BA280&amp;" month(s); AM reviews at day "&amp;Assumptions!$B$82&amp;" and "&amp;Assumptions!$B$85&amp;"."),"")</f>
        <v/>
      </c>
      <c r="BC280" s="2"/>
      <c r="BD280" s="2"/>
      <c r="BE280" s="2"/>
      <c r="BF280" s="2"/>
      <c r="BG280" s="2"/>
      <c r="BH280" s="2"/>
      <c r="BI280" s="2"/>
      <c r="BJ280" s="2" t="str">
        <f aca="false">IF(OR(NOT(LEFT(D280,1)="1"),BC280=""),"",IF(AZ280="Regular",AND(BC280&gt;=Assumptions!$B$82,N(BI280)&lt;Assumptions!$B$81*H280/180*BC280),AND(BC280&gt;=BA280*30,N(BG280)=0)))</f>
        <v/>
      </c>
      <c r="BK280" s="2" t="str">
        <f aca="false">IF(NOT(LEFT(D280,1)="1"),"N/A",IF(BC280="","Baseline",IF(BJ280,"At Risk",IF(AND(N(BD280)&gt;=Assumptions!$B$78,N(BE280)&gt;=Assumptions!$B$79,N(BH280)&gt;=1,N(BH280)/MAX(N(BG280),1)&gt;AY280),"Self-Serve Capability Demonstrated",IF(OR(N(BD280)&gt;=Assumptions!$B$76,N(BE280)&gt;=Assumptions!$B$77),"Progressing",IF(BC280&gt;=Assumptions!$B$85,"At Risk","Baseline"))))))</f>
        <v>N/A</v>
      </c>
      <c r="BL280" s="2" t="n">
        <f aca="false">(AND(C280="Broker-Reliant",OR(AK280="Discovery-to-Offer Enablement",AK280="Reinforce Successful Behaviour")))*1+(AND(G280="Declining",E280&lt;&gt;"Tail",AL280="Automated"))*1+(AND(Y280,AM280&lt;&gt;"Human Sign-Off Required"))*1+(AND(AA280,AM280&lt;&gt;"HOLD — Critical Data Issue"))*1+(AND(P280="Recent Inactivity",OR(AK280="Discovery-to-Offer Enablement",AK280="Reinforce Successful Behaviour")))*1+(AND(OR(LEFT(D280,1)="2",LEFT(D280,1)="3",LEFT(D280,1)="8"),AL280="Automated"))*1+((LEFT(D280,1)="1")&lt;&gt;(AK280="Guided Self-Serve Migration"))*1+(AND(AR280&lt;&gt;"",OR(F280&lt;&gt;"Low",U280="Mixed",AND(G280&lt;&gt;"Growing",G280&lt;&gt;"Stable"))))*1+ISNUMBER(SEARCH("chat",AP280))*1+ISNUMBER(SEARCH("video",AP280))*1+(AND(AA280,AL280="Automated",AM280&lt;&gt;"HOLD — Critical Data Issue"))*1</f>
        <v>0</v>
      </c>
    </row>
    <row r="281" customFormat="false" ht="15" hidden="false" customHeight="false" outlineLevel="0" collapsed="false">
      <c r="A281" s="2" t="s">
        <v>928</v>
      </c>
      <c r="B281" s="2" t="str">
        <f aca="false">INDEX(Segmentation!$B$2:$B$301,MATCH($A281,Segmentation!$A$2:$A$301,0))</f>
        <v>Self Serve</v>
      </c>
      <c r="C281" s="2" t="str">
        <f aca="false">INDEX(Segmentation!$H$2:$H$301,MATCH($A281,Segmentation!$A$2:$A$301,0))</f>
        <v>Self-Serve</v>
      </c>
      <c r="D281" s="2" t="str">
        <f aca="false">INDEX(Segmentation!$T$2:$T$301,MATCH($A281,Segmentation!$A$2:$A$301,0))</f>
        <v>9. Long-Tail Automated Nurture</v>
      </c>
      <c r="E281" s="2" t="str">
        <f aca="false">INDEX(Segmentation!$J$2:$J$301,MATCH($A281,Segmentation!$A$2:$A$301,0))</f>
        <v>Tail</v>
      </c>
      <c r="F281" s="2" t="str">
        <f aca="false">INDEX(Segmentation!$G$2:$G$301,MATCH($A281,Segmentation!$A$2:$A$301,0))</f>
        <v>Low</v>
      </c>
      <c r="G281" s="2" t="str">
        <f aca="false">INDEX(Segmentation!$N$2:$N$301,MATCH($A281,Segmentation!$A$2:$A$301,0))</f>
        <v>H2 Active / No H1 GMV</v>
      </c>
      <c r="H281" s="9" t="n">
        <f aca="false">INDEX(Segmentation!$I$2:$I$301,MATCH($A281,Segmentation!$A$2:$A$301,0))</f>
        <v>123</v>
      </c>
      <c r="I281" s="2" t="n">
        <f aca="false">INDEX(Segmentation!$O$2:$O$301,MATCH($A281,Segmentation!$A$2:$A$301,0))</f>
        <v>1</v>
      </c>
      <c r="J281" s="2" t="n">
        <f aca="false">INDEX(Segmentation!$Q$2:$Q$301,MATCH($A281,Segmentation!$A$2:$A$301,0))</f>
        <v>1</v>
      </c>
      <c r="K281" s="2" t="n">
        <f aca="false">INDEX(Segmentation!$W$2:$W$301,MATCH($A281,Segmentation!$A$2:$A$301,0))</f>
        <v>1</v>
      </c>
      <c r="L281" s="9" t="n">
        <f aca="false">INDEX('Commercial View'!$L$2:$L$301,MATCH($A281,'Commercial View'!$A$2:$A$301,0))</f>
        <v>0</v>
      </c>
      <c r="M281" s="9" t="n">
        <f aca="false">INDEX('Commercial View'!$M$2:$M$301,MATCH($A281,'Commercial View'!$A$2:$A$301,0))</f>
        <v>123</v>
      </c>
      <c r="N281" s="9" t="n">
        <f aca="false">INDEX('Commercial View'!$N$2:$N$301,MATCH($A281,'Commercial View'!$A$2:$A$301,0))</f>
        <v>0</v>
      </c>
      <c r="O281" s="9" t="n">
        <f aca="false">INDEX(Segmentation!$L$2:$L$301,MATCH($A281,Segmentation!$A$2:$A$301,0))</f>
        <v>123</v>
      </c>
      <c r="P281" s="2" t="str">
        <f aca="false">IF(OR(M281&gt;0,N281&gt;0),"Recently Active",IF(OR(I281&lt;=Assumptions!$B$48,K281&lt;=Assumptions!$B$49),"No Meaningful History","Recent Inactivity"))</f>
        <v>Recently Active</v>
      </c>
      <c r="Q281" s="2" t="str">
        <f aca="false">INDEX(Segmentation!$AF$2:$AF$301,MATCH($A281,Segmentation!$A$2:$A$301,0))</f>
        <v>New Customer</v>
      </c>
      <c r="R281" s="2" t="str">
        <f aca="false">INDEX(Segmentation!$AL$2:$AL$301,MATCH($A281,Segmentation!$A$2:$A$301,0))</f>
        <v>N/A</v>
      </c>
      <c r="S281" s="10" t="b">
        <f aca="false">INDEX(Segmentation!$AW$2:$AW$301,MATCH($A281,Segmentation!$A$2:$A$301,0))</f>
        <v>0</v>
      </c>
      <c r="T281" s="2" t="str">
        <f aca="false">INDEX('Feature Data'!$AD$2:$AD$301,MATCH($A281,'Feature Data'!$A$2:$A$301,0))</f>
        <v>One-off low-touch buyer</v>
      </c>
      <c r="U281" s="2" t="str">
        <f aca="false">INDEX('Feature Data'!$W$2:$W$301,MATCH($A281,'Feature Data'!$A$2:$A$301,0))</f>
        <v>Bundle-only</v>
      </c>
      <c r="V281" s="2" t="n">
        <f aca="false">INDEX('Feature Data'!$P$2:$P$301,MATCH($A281,'Feature Data'!$A$2:$A$301,0))</f>
        <v>62</v>
      </c>
      <c r="W281" s="2" t="n">
        <f aca="false">INDEX(Segmentation!$R$2:$R$301,MATCH($A281,Segmentation!$A$2:$A$301,0))</f>
        <v>6</v>
      </c>
      <c r="X281" s="2" t="n">
        <f aca="false">INDEX(Segmentation!$S$2:$S$301,MATCH($A281,Segmentation!$A$2:$A$301,0))</f>
        <v>0</v>
      </c>
      <c r="Y281" s="10" t="b">
        <f aca="false">INDEX(Segmentation!$AG$2:$AG$301,MATCH($A281,Segmentation!$A$2:$A$301,0))</f>
        <v>0</v>
      </c>
      <c r="Z281" s="2" t="str">
        <f aca="false">INDEX(Segmentation!$AU$2:$AU$301,MATCH($A281,Segmentation!$A$2:$A$301,0))</f>
        <v>Not Eligible</v>
      </c>
      <c r="AA281" s="10" t="b">
        <f aca="false">INDEX(Segmentation!$Z$2:$Z$301,MATCH($A281,Segmentation!$A$2:$A$301,0))</f>
        <v>0</v>
      </c>
      <c r="AB281" s="10" t="b">
        <f aca="false">INDEX(Segmentation!$AH$2:$AH$301,MATCH($A281,Segmentation!$A$2:$A$301,0))</f>
        <v>0</v>
      </c>
      <c r="AC281" s="10" t="b">
        <f aca="false">INDEX(Segmentation!$AK$2:$AK$301,MATCH($A281,Segmentation!$A$2:$A$301,0))</f>
        <v>0</v>
      </c>
      <c r="AD281" s="10" t="b">
        <f aca="false">INDEX(Segmentation!$AQ$2:$AQ$301,MATCH($A281,Segmentation!$A$2:$A$301,0))</f>
        <v>0</v>
      </c>
      <c r="AE281" s="10" t="b">
        <f aca="false">INDEX(Segmentation!$AT$2:$AT$301,MATCH($A281,Segmentation!$A$2:$A$301,0))</f>
        <v>0</v>
      </c>
      <c r="AF281" s="10" t="b">
        <f aca="false">INDEX(Segmentation!$X$2:$X$301,MATCH($A281,Segmentation!$A$2:$A$301,0))</f>
        <v>1</v>
      </c>
      <c r="AG281" s="10" t="b">
        <f aca="false">AND(F281="Low",V281&gt;=Assumptions!$B$71,X281&lt;Assumptions!$B$72)</f>
        <v>1</v>
      </c>
      <c r="AH281" s="10" t="b">
        <f aca="false">AND(F281="Low",OR(G281="Growing",G281="Stable"),P281="Recently Active",V281&gt;=Assumptions!$B$58,K281&gt;=Assumptions!$B$73)</f>
        <v>0</v>
      </c>
      <c r="AI281" s="17" t="n">
        <f aca="false">IF(O281&gt;0,MAX(L281:N281)/O281,"")</f>
        <v>1</v>
      </c>
      <c r="AJ281" s="2" t="str">
        <f aca="false">IF(LEFT(D281,1)="1",IF(E281="Key","MIGRATION_KEY_SIGNOFF",IF(Z281="Ready","MIGRATION_PHASE1_READY",IF(Z281="Manual Review","MIGRATION_PHASE1_REVIEW","MIGRATION_PRE_ENTRY"))),IF(LEFT(D281,1)="2","DECLINING_KEY_CORE",IF(LEFT(D281,1)="3",IF(R281="Established Buyer Lapsed","LAPSED_ESTABLISHED","LAPSED_THIN_HISTORY"),IF(LEFT(D281,1)="4",IF(Q281="New Customer","NEW_CUSTOMER","RETURNED_CUSTOMER"),IF(LEFT(D281,1)="5",IF(P281="Recently Active","COST_TO_SERVE_ACTIVE","DORMANT_LOW_VALUE"),IF(LEFT(D281,1)="6",IF(P281="Recent Inactivity","RECENT_INACTIVITY",IF(AG281,"BROWSING_LOW_OFFERS","HEALTHY_STRONG_SELF_SERVE")),IF(LEFT(D281,1)="7",IF(P281="Recent Inactivity","RECENT_INACTIVITY",IF(Q281="New Customer","NEW_CUSTOMER","RETURNED_CUSTOMER")),IF(LEFT(D281,1)="8",IF(G281="Declining",IF(T281="Engaged but shrinking (Key/Core)","ENGAGED_BUT_SHRINKING","DECLINING_KEY_CORE"),IF(R281="Established Buyer Lapsed","LAPSED_ESTABLISHED","LAPSED_THIN_HISTORY")),IF(S281,IF(P281&lt;&gt;"Recently Active","DORMANT_LOW_VALUE",IF(AG281,"BROWSING_LOW_OFFERS",IF(AH281,"RISING_TAIL","RISING_TAIL_EARLY"))),IF(AND(AG281,P281="Recently Active",OR(G281="Growing",G281="Stable",G281="H2 Active / No H1 GMV"),I281&gt;=Assumptions!$B$74),"BROWSING_LOW_OFFERS","LONG_TAIL_STANDARD"))))))))))</f>
        <v>LONG_TAIL_STANDARD</v>
      </c>
      <c r="AK281" s="2" t="str">
        <f aca="false">INDEX('NBA Library'!$B$4:$B$21,MATCH(AJ281,'NBA Library'!$A$4:$A$21,0))</f>
        <v>Automated Nurture</v>
      </c>
      <c r="AL281" s="2" t="str">
        <f aca="false">INDEX('NBA Library'!$C$4:$C$21,MATCH(AJ281,'NBA Library'!$A$4:$A$21,0))</f>
        <v>Automated</v>
      </c>
      <c r="AM281" s="2" t="str">
        <f aca="false">IF(AA281,"HOLD — Critical Data Issue",IF(Y281,"Human Sign-Off Required",IF(Z281="Manual Review","Human Review Required",IF(AND(AL281="Automated",OR(AE281,AND(OR(AK281="Discovery-to-Offer Enablement",AK281="Reinforce Successful Behaviour"),OR(AC281,AB281)))),"Human Review Required",IF(AL281="Human","Ready — Human",IF(AL281="Hybrid","Ready — Hybrid","Ready — Automated"))))))</f>
        <v>Ready — Automated</v>
      </c>
      <c r="AN281" s="2" t="str">
        <f aca="false">IF(AA281,"P0",IF(AND(AJ281="BROWSING_LOW_OFFERS",E281="Tail"),"P3",IF(AND(AM281="Human Review Required",INDEX('NBA Library'!$D$4:$D$21,MATCH(AJ281,'NBA Library'!$A$4:$A$21,0))="P4"),"P3",INDEX('NBA Library'!$D$4:$D$21,MATCH(AJ281,'NBA Library'!$A$4:$A$21,0)))))</f>
        <v>P4</v>
      </c>
      <c r="AO281" s="2" t="str">
        <f aca="false">E281&amp;" "&amp;C281&amp;" account ("&amp;B281&amp;"); "&amp;G281&amp;" momentum; "&amp;P281&amp;"; £"&amp;TEXT(H281,"#,##0")&amp;" 6m GMV. "&amp;INDEX('NBA Library'!$G$4:$G$21,MATCH(AJ281,'NBA Library'!$A$4:$A$21,0))&amp;IF(LEFT(D281,1)="1"," Baseline: "&amp;V281&amp;" PDP views, "&amp;W281&amp;" app days, "&amp;X281&amp;" offers, "&amp;TEXT(J281/I281,"0%")&amp;" of orders self-serve.","")&amp;IF(AA281," Execution on HOLD until the Duplicate status is resolved.","")&amp;IF(Y281," Key account: explicit AM/leadership sign-off required before any migration activity.","")&amp;IF(AE281," Implied broker % from order counts would move this account to a different segment; review before automating.","")</f>
        <v>Tail Self-Serve account (Self Serve); H2 Active / No H1 GMV momentum; Recently Active; £123 6m GMV. Low-value, low-dependency account. Scalable automated engagement.</v>
      </c>
      <c r="AP281" s="2" t="str">
        <f aca="false">INDEX('NBA Library'!$E$4:$E$21,MATCH(AJ281,'NBA Library'!$A$4:$A$21,0))&amp;IF(AND(AJ281="NEW_CUSTOMER",AG281),"; introduce Make-an-Offer on items already browsed","")</f>
        <v>Scalable automated engagement matched to nurture sub-context</v>
      </c>
      <c r="AQ281" s="2" t="str">
        <f aca="false">INDEX('NBA Library'!$F$4:$F$21,MATCH(AJ281,'NBA Library'!$A$4:$A$21,0))</f>
        <v>Any repeat order within 90 days</v>
      </c>
      <c r="AR281" s="2" t="str">
        <f aca="false">IF(AND(F281="Low",OR(G281="Growing",G281="Stable"),P281="Recently Active",U281&lt;&gt;"Mixed",OR(AK281="Discovery-to-Offer Enablement",AK281="Reinforce Successful Behaviour"),AM281="Ready — Automated",OR(E281&lt;&gt;"Tail",S281)),"Range Expansion Test — trial "&amp;IF(U281="Bundle-only","handpick","bundles")&amp;" (experimental; not proven to lift GMV)","")</f>
        <v/>
      </c>
      <c r="AS281" s="2" t="str">
        <f aca="false">IF(AK281&lt;&gt;"Automated Nurture","",IF(AJ281="DORMANT_LOW_VALUE","Dormant",IF(AJ281="RISING_TAIL_EARLY","Rising tail – early pattern",IF(Q281="New Customer","New customer onboarding",IF(Q281="Returned Customer","Returned customer",IF(G281="Lapsed","Dormant",IF(T281="Engaged, not converting","Engaged, not converting",IF(T281="One-off low-touch buyer","One-off purchaser",IF(T281="Light-touch repeat buyer","Light-touch repeat buyer","Standard long tail")))))))))</f>
        <v>New customer onboarding</v>
      </c>
      <c r="AT281" s="2" t="str">
        <f aca="false">IF(AA281,"CRITICAL_DATA_BLOCKER; ","")&amp;IF(Y281,"KEY_SIGNOFF; ","")&amp;IF(Z281="Manual Review","PHASE1_MANUAL_REVIEW; ","")&amp;IF(AND(LEFT(D281,1)="1",AZ281="Lumpy"),"LUMPY_CADENCE; ","")&amp;IF(AB281,"BORDERLINE_MOMENTUM; ","")&amp;IF(AC281,"FEB_SENSITIVE; ","")&amp;IF(AD281,"MATERIAL_BROKER_INCONSISTENCY"&amp;IF(AE281," (segment would change)","")&amp;"; ","")&amp;IF(AND(I281&gt;=3,O281&gt;0),IF(AI281&gt;=Assumptions!$B$75,"H2_SINGLE_MONTH_SPIKE; ",""),"")&amp;IF(AND(M281&gt;0,N281=0),"NO_FEB_GMV (Feb unconfirmed); ","")&amp;IF(AF281,"LOW_CONFIDENCE; ","")</f>
        <v>NO_FEB_GMV (Feb unconfirmed); LOW_CONFIDENCE; </v>
      </c>
      <c r="AU281" s="2" t="str">
        <f aca="false">IF(LEFT(D281,1)="1",V281,"")</f>
        <v/>
      </c>
      <c r="AV281" s="2" t="str">
        <f aca="false">IF(LEFT(D281,1)="1",V281&gt;=Assumptions!$B$58,"")</f>
        <v/>
      </c>
      <c r="AW281" s="2" t="str">
        <f aca="false">IF(LEFT(D281,1)="1",W281,"")</f>
        <v/>
      </c>
      <c r="AX281" s="2" t="str">
        <f aca="false">IF(LEFT(D281,1)="1",X281,"")</f>
        <v/>
      </c>
      <c r="AY281" s="17" t="str">
        <f aca="false">IF(LEFT(D281,1)="1",J281/I281,"")</f>
        <v/>
      </c>
      <c r="AZ281" s="2" t="str">
        <f aca="false">IF(LEFT(D281,1)="1",IF(AND(K281&gt;=Assumptions!$B$83,I281&gt;=Assumptions!$B$84),"Regular","Lumpy"),"")</f>
        <v/>
      </c>
      <c r="BA281" s="2" t="str">
        <f aca="false">IF(LEFT(D281,1)="1",ROUND(6/K281,0),"")</f>
        <v/>
      </c>
      <c r="BB281" s="2" t="str">
        <f aca="false">IF(LEFT(D281,1)="1",IF(AZ281="Regular","Regular buyer: expected ~£"&amp;TEXT(H281/2,"#,##0")&amp;" per 90 days. At Risk if GMV to date &lt; "&amp;TEXT(Assumptions!$B$81,"0%")&amp;" of pro-rated expectation, checked from day "&amp;Assumptions!$B$82&amp;". Human-reviewed.","Irregular buyer ("&amp;I281&amp;" orders across "&amp;K281&amp;" months): no numeric GMV threshold. At Risk if no order within ~"&amp;BA281&amp;" month(s); AM reviews at day "&amp;Assumptions!$B$82&amp;" and "&amp;Assumptions!$B$85&amp;"."),"")</f>
        <v/>
      </c>
      <c r="BC281" s="2"/>
      <c r="BD281" s="2"/>
      <c r="BE281" s="2"/>
      <c r="BF281" s="2"/>
      <c r="BG281" s="2"/>
      <c r="BH281" s="2"/>
      <c r="BI281" s="2"/>
      <c r="BJ281" s="2" t="str">
        <f aca="false">IF(OR(NOT(LEFT(D281,1)="1"),BC281=""),"",IF(AZ281="Regular",AND(BC281&gt;=Assumptions!$B$82,N(BI281)&lt;Assumptions!$B$81*H281/180*BC281),AND(BC281&gt;=BA281*30,N(BG281)=0)))</f>
        <v/>
      </c>
      <c r="BK281" s="2" t="str">
        <f aca="false">IF(NOT(LEFT(D281,1)="1"),"N/A",IF(BC281="","Baseline",IF(BJ281,"At Risk",IF(AND(N(BD281)&gt;=Assumptions!$B$78,N(BE281)&gt;=Assumptions!$B$79,N(BH281)&gt;=1,N(BH281)/MAX(N(BG281),1)&gt;AY281),"Self-Serve Capability Demonstrated",IF(OR(N(BD281)&gt;=Assumptions!$B$76,N(BE281)&gt;=Assumptions!$B$77),"Progressing",IF(BC281&gt;=Assumptions!$B$85,"At Risk","Baseline"))))))</f>
        <v>N/A</v>
      </c>
      <c r="BL281" s="2" t="n">
        <f aca="false">(AND(C281="Broker-Reliant",OR(AK281="Discovery-to-Offer Enablement",AK281="Reinforce Successful Behaviour")))*1+(AND(G281="Declining",E281&lt;&gt;"Tail",AL281="Automated"))*1+(AND(Y281,AM281&lt;&gt;"Human Sign-Off Required"))*1+(AND(AA281,AM281&lt;&gt;"HOLD — Critical Data Issue"))*1+(AND(P281="Recent Inactivity",OR(AK281="Discovery-to-Offer Enablement",AK281="Reinforce Successful Behaviour")))*1+(AND(OR(LEFT(D281,1)="2",LEFT(D281,1)="3",LEFT(D281,1)="8"),AL281="Automated"))*1+((LEFT(D281,1)="1")&lt;&gt;(AK281="Guided Self-Serve Migration"))*1+(AND(AR281&lt;&gt;"",OR(F281&lt;&gt;"Low",U281="Mixed",AND(G281&lt;&gt;"Growing",G281&lt;&gt;"Stable"))))*1+ISNUMBER(SEARCH("chat",AP281))*1+ISNUMBER(SEARCH("video",AP281))*1+(AND(AA281,AL281="Automated",AM281&lt;&gt;"HOLD — Critical Data Issue"))*1</f>
        <v>0</v>
      </c>
    </row>
    <row r="282" customFormat="false" ht="15" hidden="false" customHeight="false" outlineLevel="0" collapsed="false">
      <c r="A282" s="2" t="s">
        <v>932</v>
      </c>
      <c r="B282" s="2" t="str">
        <f aca="false">INDEX(Segmentation!$B$2:$B$301,MATCH($A282,Segmentation!$A$2:$A$301,0))</f>
        <v>Self Serve</v>
      </c>
      <c r="C282" s="2" t="str">
        <f aca="false">INDEX(Segmentation!$H$2:$H$301,MATCH($A282,Segmentation!$A$2:$A$301,0))</f>
        <v>Self-Serve</v>
      </c>
      <c r="D282" s="2" t="str">
        <f aca="false">INDEX(Segmentation!$T$2:$T$301,MATCH($A282,Segmentation!$A$2:$A$301,0))</f>
        <v>9. Long-Tail Automated Nurture</v>
      </c>
      <c r="E282" s="2" t="str">
        <f aca="false">INDEX(Segmentation!$J$2:$J$301,MATCH($A282,Segmentation!$A$2:$A$301,0))</f>
        <v>Tail</v>
      </c>
      <c r="F282" s="2" t="str">
        <f aca="false">INDEX(Segmentation!$G$2:$G$301,MATCH($A282,Segmentation!$A$2:$A$301,0))</f>
        <v>Low</v>
      </c>
      <c r="G282" s="2" t="str">
        <f aca="false">INDEX(Segmentation!$N$2:$N$301,MATCH($A282,Segmentation!$A$2:$A$301,0))</f>
        <v>Lapsed</v>
      </c>
      <c r="H282" s="9" t="n">
        <f aca="false">INDEX(Segmentation!$I$2:$I$301,MATCH($A282,Segmentation!$A$2:$A$301,0))</f>
        <v>119</v>
      </c>
      <c r="I282" s="2" t="n">
        <f aca="false">INDEX(Segmentation!$O$2:$O$301,MATCH($A282,Segmentation!$A$2:$A$301,0))</f>
        <v>1</v>
      </c>
      <c r="J282" s="2" t="n">
        <f aca="false">INDEX(Segmentation!$Q$2:$Q$301,MATCH($A282,Segmentation!$A$2:$A$301,0))</f>
        <v>1</v>
      </c>
      <c r="K282" s="2" t="n">
        <f aca="false">INDEX(Segmentation!$W$2:$W$301,MATCH($A282,Segmentation!$A$2:$A$301,0))</f>
        <v>1</v>
      </c>
      <c r="L282" s="9" t="n">
        <f aca="false">INDEX('Commercial View'!$L$2:$L$301,MATCH($A282,'Commercial View'!$A$2:$A$301,0))</f>
        <v>0</v>
      </c>
      <c r="M282" s="9" t="n">
        <f aca="false">INDEX('Commercial View'!$M$2:$M$301,MATCH($A282,'Commercial View'!$A$2:$A$301,0))</f>
        <v>0</v>
      </c>
      <c r="N282" s="9" t="n">
        <f aca="false">INDEX('Commercial View'!$N$2:$N$301,MATCH($A282,'Commercial View'!$A$2:$A$301,0))</f>
        <v>0</v>
      </c>
      <c r="O282" s="9" t="n">
        <f aca="false">INDEX(Segmentation!$L$2:$L$301,MATCH($A282,Segmentation!$A$2:$A$301,0))</f>
        <v>0</v>
      </c>
      <c r="P282" s="2" t="str">
        <f aca="false">IF(OR(M282&gt;0,N282&gt;0),"Recently Active",IF(OR(I282&lt;=Assumptions!$B$48,K282&lt;=Assumptions!$B$49),"No Meaningful History","Recent Inactivity"))</f>
        <v>No Meaningful History</v>
      </c>
      <c r="Q282" s="2" t="str">
        <f aca="false">INDEX(Segmentation!$AF$2:$AF$301,MATCH($A282,Segmentation!$A$2:$A$301,0))</f>
        <v>Existing Customer</v>
      </c>
      <c r="R282" s="2" t="str">
        <f aca="false">INDEX(Segmentation!$AL$2:$AL$301,MATCH($A282,Segmentation!$A$2:$A$301,0))</f>
        <v>One-Off / Insufficient History — Verify</v>
      </c>
      <c r="S282" s="10" t="b">
        <f aca="false">INDEX(Segmentation!$AW$2:$AW$301,MATCH($A282,Segmentation!$A$2:$A$301,0))</f>
        <v>0</v>
      </c>
      <c r="T282" s="2" t="str">
        <f aca="false">INDEX('Feature Data'!$AD$2:$AD$301,MATCH($A282,'Feature Data'!$A$2:$A$301,0))</f>
        <v>Engaged, not converting</v>
      </c>
      <c r="U282" s="2" t="str">
        <f aca="false">INDEX('Feature Data'!$W$2:$W$301,MATCH($A282,'Feature Data'!$A$2:$A$301,0))</f>
        <v>Bundle-only</v>
      </c>
      <c r="V282" s="2" t="n">
        <f aca="false">INDEX('Feature Data'!$P$2:$P$301,MATCH($A282,'Feature Data'!$A$2:$A$301,0))</f>
        <v>455</v>
      </c>
      <c r="W282" s="2" t="n">
        <f aca="false">INDEX(Segmentation!$R$2:$R$301,MATCH($A282,Segmentation!$A$2:$A$301,0))</f>
        <v>36</v>
      </c>
      <c r="X282" s="2" t="n">
        <f aca="false">INDEX(Segmentation!$S$2:$S$301,MATCH($A282,Segmentation!$A$2:$A$301,0))</f>
        <v>10</v>
      </c>
      <c r="Y282" s="10" t="b">
        <f aca="false">INDEX(Segmentation!$AG$2:$AG$301,MATCH($A282,Segmentation!$A$2:$A$301,0))</f>
        <v>0</v>
      </c>
      <c r="Z282" s="2" t="str">
        <f aca="false">INDEX(Segmentation!$AU$2:$AU$301,MATCH($A282,Segmentation!$A$2:$A$301,0))</f>
        <v>Not Eligible</v>
      </c>
      <c r="AA282" s="10" t="b">
        <f aca="false">INDEX(Segmentation!$Z$2:$Z$301,MATCH($A282,Segmentation!$A$2:$A$301,0))</f>
        <v>0</v>
      </c>
      <c r="AB282" s="10" t="b">
        <f aca="false">INDEX(Segmentation!$AH$2:$AH$301,MATCH($A282,Segmentation!$A$2:$A$301,0))</f>
        <v>0</v>
      </c>
      <c r="AC282" s="10" t="b">
        <f aca="false">INDEX(Segmentation!$AK$2:$AK$301,MATCH($A282,Segmentation!$A$2:$A$301,0))</f>
        <v>0</v>
      </c>
      <c r="AD282" s="10" t="b">
        <f aca="false">INDEX(Segmentation!$AQ$2:$AQ$301,MATCH($A282,Segmentation!$A$2:$A$301,0))</f>
        <v>0</v>
      </c>
      <c r="AE282" s="10" t="b">
        <f aca="false">INDEX(Segmentation!$AT$2:$AT$301,MATCH($A282,Segmentation!$A$2:$A$301,0))</f>
        <v>0</v>
      </c>
      <c r="AF282" s="10" t="b">
        <f aca="false">INDEX(Segmentation!$X$2:$X$301,MATCH($A282,Segmentation!$A$2:$A$301,0))</f>
        <v>1</v>
      </c>
      <c r="AG282" s="10" t="b">
        <f aca="false">AND(F282="Low",V282&gt;=Assumptions!$B$71,X282&lt;Assumptions!$B$72)</f>
        <v>0</v>
      </c>
      <c r="AH282" s="10" t="b">
        <f aca="false">AND(F282="Low",OR(G282="Growing",G282="Stable"),P282="Recently Active",V282&gt;=Assumptions!$B$58,K282&gt;=Assumptions!$B$73)</f>
        <v>0</v>
      </c>
      <c r="AI282" s="17" t="str">
        <f aca="false">IF(O282&gt;0,MAX(L282:N282)/O282,"")</f>
        <v/>
      </c>
      <c r="AJ282" s="2" t="str">
        <f aca="false">IF(LEFT(D282,1)="1",IF(E282="Key","MIGRATION_KEY_SIGNOFF",IF(Z282="Ready","MIGRATION_PHASE1_READY",IF(Z282="Manual Review","MIGRATION_PHASE1_REVIEW","MIGRATION_PRE_ENTRY"))),IF(LEFT(D282,1)="2","DECLINING_KEY_CORE",IF(LEFT(D282,1)="3",IF(R282="Established Buyer Lapsed","LAPSED_ESTABLISHED","LAPSED_THIN_HISTORY"),IF(LEFT(D282,1)="4",IF(Q282="New Customer","NEW_CUSTOMER","RETURNED_CUSTOMER"),IF(LEFT(D282,1)="5",IF(P282="Recently Active","COST_TO_SERVE_ACTIVE","DORMANT_LOW_VALUE"),IF(LEFT(D282,1)="6",IF(P282="Recent Inactivity","RECENT_INACTIVITY",IF(AG282,"BROWSING_LOW_OFFERS","HEALTHY_STRONG_SELF_SERVE")),IF(LEFT(D282,1)="7",IF(P282="Recent Inactivity","RECENT_INACTIVITY",IF(Q282="New Customer","NEW_CUSTOMER","RETURNED_CUSTOMER")),IF(LEFT(D282,1)="8",IF(G282="Declining",IF(T282="Engaged but shrinking (Key/Core)","ENGAGED_BUT_SHRINKING","DECLINING_KEY_CORE"),IF(R282="Established Buyer Lapsed","LAPSED_ESTABLISHED","LAPSED_THIN_HISTORY")),IF(S282,IF(P282&lt;&gt;"Recently Active","DORMANT_LOW_VALUE",IF(AG282,"BROWSING_LOW_OFFERS",IF(AH282,"RISING_TAIL","RISING_TAIL_EARLY"))),IF(AND(AG282,P282="Recently Active",OR(G282="Growing",G282="Stable",G282="H2 Active / No H1 GMV"),I282&gt;=Assumptions!$B$74),"BROWSING_LOW_OFFERS","LONG_TAIL_STANDARD"))))))))))</f>
        <v>LONG_TAIL_STANDARD</v>
      </c>
      <c r="AK282" s="2" t="str">
        <f aca="false">INDEX('NBA Library'!$B$4:$B$21,MATCH(AJ282,'NBA Library'!$A$4:$A$21,0))</f>
        <v>Automated Nurture</v>
      </c>
      <c r="AL282" s="2" t="str">
        <f aca="false">INDEX('NBA Library'!$C$4:$C$21,MATCH(AJ282,'NBA Library'!$A$4:$A$21,0))</f>
        <v>Automated</v>
      </c>
      <c r="AM282" s="2" t="str">
        <f aca="false">IF(AA282,"HOLD — Critical Data Issue",IF(Y282,"Human Sign-Off Required",IF(Z282="Manual Review","Human Review Required",IF(AND(AL282="Automated",OR(AE282,AND(OR(AK282="Discovery-to-Offer Enablement",AK282="Reinforce Successful Behaviour"),OR(AC282,AB282)))),"Human Review Required",IF(AL282="Human","Ready — Human",IF(AL282="Hybrid","Ready — Hybrid","Ready — Automated"))))))</f>
        <v>Ready — Automated</v>
      </c>
      <c r="AN282" s="2" t="str">
        <f aca="false">IF(AA282,"P0",IF(AND(AJ282="BROWSING_LOW_OFFERS",E282="Tail"),"P3",IF(AND(AM282="Human Review Required",INDEX('NBA Library'!$D$4:$D$21,MATCH(AJ282,'NBA Library'!$A$4:$A$21,0))="P4"),"P3",INDEX('NBA Library'!$D$4:$D$21,MATCH(AJ282,'NBA Library'!$A$4:$A$21,0)))))</f>
        <v>P4</v>
      </c>
      <c r="AO282" s="2" t="str">
        <f aca="false">E282&amp;" "&amp;C282&amp;" account ("&amp;B282&amp;"); "&amp;G282&amp;" momentum; "&amp;P282&amp;"; £"&amp;TEXT(H282,"#,##0")&amp;" 6m GMV. "&amp;INDEX('NBA Library'!$G$4:$G$21,MATCH(AJ282,'NBA Library'!$A$4:$A$21,0))&amp;IF(LEFT(D282,1)="1"," Baseline: "&amp;V282&amp;" PDP views, "&amp;W282&amp;" app days, "&amp;X282&amp;" offers, "&amp;TEXT(J282/I282,"0%")&amp;" of orders self-serve.","")&amp;IF(AA282," Execution on HOLD until the Duplicate status is resolved.","")&amp;IF(Y282," Key account: explicit AM/leadership sign-off required before any migration activity.","")&amp;IF(AE282," Implied broker % from order counts would move this account to a different segment; review before automating.","")</f>
        <v>Tail Self-Serve account (Self Serve); Lapsed momentum; No Meaningful History; £119 6m GMV. Low-value, low-dependency account. Scalable automated engagement.</v>
      </c>
      <c r="AP282" s="2" t="str">
        <f aca="false">INDEX('NBA Library'!$E$4:$E$21,MATCH(AJ282,'NBA Library'!$A$4:$A$21,0))&amp;IF(AND(AJ282="NEW_CUSTOMER",AG282),"; introduce Make-an-Offer on items already browsed","")</f>
        <v>Scalable automated engagement matched to nurture sub-context</v>
      </c>
      <c r="AQ282" s="2" t="str">
        <f aca="false">INDEX('NBA Library'!$F$4:$F$21,MATCH(AJ282,'NBA Library'!$A$4:$A$21,0))</f>
        <v>Any repeat order within 90 days</v>
      </c>
      <c r="AR282" s="2" t="str">
        <f aca="false">IF(AND(F282="Low",OR(G282="Growing",G282="Stable"),P282="Recently Active",U282&lt;&gt;"Mixed",OR(AK282="Discovery-to-Offer Enablement",AK282="Reinforce Successful Behaviour"),AM282="Ready — Automated",OR(E282&lt;&gt;"Tail",S282)),"Range Expansion Test — trial "&amp;IF(U282="Bundle-only","handpick","bundles")&amp;" (experimental; not proven to lift GMV)","")</f>
        <v/>
      </c>
      <c r="AS282" s="2" t="str">
        <f aca="false">IF(AK282&lt;&gt;"Automated Nurture","",IF(AJ282="DORMANT_LOW_VALUE","Dormant",IF(AJ282="RISING_TAIL_EARLY","Rising tail – early pattern",IF(Q282="New Customer","New customer onboarding",IF(Q282="Returned Customer","Returned customer",IF(G282="Lapsed","Dormant",IF(T282="Engaged, not converting","Engaged, not converting",IF(T282="One-off low-touch buyer","One-off purchaser",IF(T282="Light-touch repeat buyer","Light-touch repeat buyer","Standard long tail")))))))))</f>
        <v>Dormant</v>
      </c>
      <c r="AT282" s="2" t="str">
        <f aca="false">IF(AA282,"CRITICAL_DATA_BLOCKER; ","")&amp;IF(Y282,"KEY_SIGNOFF; ","")&amp;IF(Z282="Manual Review","PHASE1_MANUAL_REVIEW; ","")&amp;IF(AND(LEFT(D282,1)="1",AZ282="Lumpy"),"LUMPY_CADENCE; ","")&amp;IF(AB282,"BORDERLINE_MOMENTUM; ","")&amp;IF(AC282,"FEB_SENSITIVE; ","")&amp;IF(AD282,"MATERIAL_BROKER_INCONSISTENCY"&amp;IF(AE282," (segment would change)","")&amp;"; ","")&amp;IF(AND(I282&gt;=3,O282&gt;0),IF(AI282&gt;=Assumptions!$B$75,"H2_SINGLE_MONTH_SPIKE; ",""),"")&amp;IF(AND(M282&gt;0,N282=0),"NO_FEB_GMV (Feb unconfirmed); ","")&amp;IF(AF282,"LOW_CONFIDENCE; ","")</f>
        <v>LOW_CONFIDENCE; </v>
      </c>
      <c r="AU282" s="2" t="str">
        <f aca="false">IF(LEFT(D282,1)="1",V282,"")</f>
        <v/>
      </c>
      <c r="AV282" s="2" t="str">
        <f aca="false">IF(LEFT(D282,1)="1",V282&gt;=Assumptions!$B$58,"")</f>
        <v/>
      </c>
      <c r="AW282" s="2" t="str">
        <f aca="false">IF(LEFT(D282,1)="1",W282,"")</f>
        <v/>
      </c>
      <c r="AX282" s="2" t="str">
        <f aca="false">IF(LEFT(D282,1)="1",X282,"")</f>
        <v/>
      </c>
      <c r="AY282" s="17" t="str">
        <f aca="false">IF(LEFT(D282,1)="1",J282/I282,"")</f>
        <v/>
      </c>
      <c r="AZ282" s="2" t="str">
        <f aca="false">IF(LEFT(D282,1)="1",IF(AND(K282&gt;=Assumptions!$B$83,I282&gt;=Assumptions!$B$84),"Regular","Lumpy"),"")</f>
        <v/>
      </c>
      <c r="BA282" s="2" t="str">
        <f aca="false">IF(LEFT(D282,1)="1",ROUND(6/K282,0),"")</f>
        <v/>
      </c>
      <c r="BB282" s="2" t="str">
        <f aca="false">IF(LEFT(D282,1)="1",IF(AZ282="Regular","Regular buyer: expected ~£"&amp;TEXT(H282/2,"#,##0")&amp;" per 90 days. At Risk if GMV to date &lt; "&amp;TEXT(Assumptions!$B$81,"0%")&amp;" of pro-rated expectation, checked from day "&amp;Assumptions!$B$82&amp;". Human-reviewed.","Irregular buyer ("&amp;I282&amp;" orders across "&amp;K282&amp;" months): no numeric GMV threshold. At Risk if no order within ~"&amp;BA282&amp;" month(s); AM reviews at day "&amp;Assumptions!$B$82&amp;" and "&amp;Assumptions!$B$85&amp;"."),"")</f>
        <v/>
      </c>
      <c r="BC282" s="2"/>
      <c r="BD282" s="2"/>
      <c r="BE282" s="2"/>
      <c r="BF282" s="2"/>
      <c r="BG282" s="2"/>
      <c r="BH282" s="2"/>
      <c r="BI282" s="2"/>
      <c r="BJ282" s="2" t="str">
        <f aca="false">IF(OR(NOT(LEFT(D282,1)="1"),BC282=""),"",IF(AZ282="Regular",AND(BC282&gt;=Assumptions!$B$82,N(BI282)&lt;Assumptions!$B$81*H282/180*BC282),AND(BC282&gt;=BA282*30,N(BG282)=0)))</f>
        <v/>
      </c>
      <c r="BK282" s="2" t="str">
        <f aca="false">IF(NOT(LEFT(D282,1)="1"),"N/A",IF(BC282="","Baseline",IF(BJ282,"At Risk",IF(AND(N(BD282)&gt;=Assumptions!$B$78,N(BE282)&gt;=Assumptions!$B$79,N(BH282)&gt;=1,N(BH282)/MAX(N(BG282),1)&gt;AY282),"Self-Serve Capability Demonstrated",IF(OR(N(BD282)&gt;=Assumptions!$B$76,N(BE282)&gt;=Assumptions!$B$77),"Progressing",IF(BC282&gt;=Assumptions!$B$85,"At Risk","Baseline"))))))</f>
        <v>N/A</v>
      </c>
      <c r="BL282" s="2" t="n">
        <f aca="false">(AND(C282="Broker-Reliant",OR(AK282="Discovery-to-Offer Enablement",AK282="Reinforce Successful Behaviour")))*1+(AND(G282="Declining",E282&lt;&gt;"Tail",AL282="Automated"))*1+(AND(Y282,AM282&lt;&gt;"Human Sign-Off Required"))*1+(AND(AA282,AM282&lt;&gt;"HOLD — Critical Data Issue"))*1+(AND(P282="Recent Inactivity",OR(AK282="Discovery-to-Offer Enablement",AK282="Reinforce Successful Behaviour")))*1+(AND(OR(LEFT(D282,1)="2",LEFT(D282,1)="3",LEFT(D282,1)="8"),AL282="Automated"))*1+((LEFT(D282,1)="1")&lt;&gt;(AK282="Guided Self-Serve Migration"))*1+(AND(AR282&lt;&gt;"",OR(F282&lt;&gt;"Low",U282="Mixed",AND(G282&lt;&gt;"Growing",G282&lt;&gt;"Stable"))))*1+ISNUMBER(SEARCH("chat",AP282))*1+ISNUMBER(SEARCH("video",AP282))*1+(AND(AA282,AL282="Automated",AM282&lt;&gt;"HOLD — Critical Data Issue"))*1</f>
        <v>0</v>
      </c>
    </row>
    <row r="283" customFormat="false" ht="15" hidden="false" customHeight="false" outlineLevel="0" collapsed="false">
      <c r="A283" s="2" t="s">
        <v>934</v>
      </c>
      <c r="B283" s="2" t="str">
        <f aca="false">INDEX(Segmentation!$B$2:$B$301,MATCH($A283,Segmentation!$A$2:$A$301,0))</f>
        <v>Self Serve</v>
      </c>
      <c r="C283" s="2" t="str">
        <f aca="false">INDEX(Segmentation!$H$2:$H$301,MATCH($A283,Segmentation!$A$2:$A$301,0))</f>
        <v>Self-Serve</v>
      </c>
      <c r="D283" s="2" t="str">
        <f aca="false">INDEX(Segmentation!$T$2:$T$301,MATCH($A283,Segmentation!$A$2:$A$301,0))</f>
        <v>9. Long-Tail Automated Nurture</v>
      </c>
      <c r="E283" s="2" t="str">
        <f aca="false">INDEX(Segmentation!$J$2:$J$301,MATCH($A283,Segmentation!$A$2:$A$301,0))</f>
        <v>Tail</v>
      </c>
      <c r="F283" s="2" t="str">
        <f aca="false">INDEX(Segmentation!$G$2:$G$301,MATCH($A283,Segmentation!$A$2:$A$301,0))</f>
        <v>Low</v>
      </c>
      <c r="G283" s="2" t="str">
        <f aca="false">INDEX(Segmentation!$N$2:$N$301,MATCH($A283,Segmentation!$A$2:$A$301,0))</f>
        <v>H2 Active / No H1 GMV</v>
      </c>
      <c r="H283" s="9" t="n">
        <f aca="false">INDEX(Segmentation!$I$2:$I$301,MATCH($A283,Segmentation!$A$2:$A$301,0))</f>
        <v>118</v>
      </c>
      <c r="I283" s="2" t="n">
        <f aca="false">INDEX(Segmentation!$O$2:$O$301,MATCH($A283,Segmentation!$A$2:$A$301,0))</f>
        <v>1</v>
      </c>
      <c r="J283" s="2" t="n">
        <f aca="false">INDEX(Segmentation!$Q$2:$Q$301,MATCH($A283,Segmentation!$A$2:$A$301,0))</f>
        <v>1</v>
      </c>
      <c r="K283" s="2" t="n">
        <f aca="false">INDEX(Segmentation!$W$2:$W$301,MATCH($A283,Segmentation!$A$2:$A$301,0))</f>
        <v>1</v>
      </c>
      <c r="L283" s="9" t="n">
        <f aca="false">INDEX('Commercial View'!$L$2:$L$301,MATCH($A283,'Commercial View'!$A$2:$A$301,0))</f>
        <v>0</v>
      </c>
      <c r="M283" s="9" t="n">
        <f aca="false">INDEX('Commercial View'!$M$2:$M$301,MATCH($A283,'Commercial View'!$A$2:$A$301,0))</f>
        <v>118</v>
      </c>
      <c r="N283" s="9" t="n">
        <f aca="false">INDEX('Commercial View'!$N$2:$N$301,MATCH($A283,'Commercial View'!$A$2:$A$301,0))</f>
        <v>0</v>
      </c>
      <c r="O283" s="9" t="n">
        <f aca="false">INDEX(Segmentation!$L$2:$L$301,MATCH($A283,Segmentation!$A$2:$A$301,0))</f>
        <v>118</v>
      </c>
      <c r="P283" s="2" t="str">
        <f aca="false">IF(OR(M283&gt;0,N283&gt;0),"Recently Active",IF(OR(I283&lt;=Assumptions!$B$48,K283&lt;=Assumptions!$B$49),"No Meaningful History","Recent Inactivity"))</f>
        <v>Recently Active</v>
      </c>
      <c r="Q283" s="2" t="str">
        <f aca="false">INDEX(Segmentation!$AF$2:$AF$301,MATCH($A283,Segmentation!$A$2:$A$301,0))</f>
        <v>New Customer</v>
      </c>
      <c r="R283" s="2" t="str">
        <f aca="false">INDEX(Segmentation!$AL$2:$AL$301,MATCH($A283,Segmentation!$A$2:$A$301,0))</f>
        <v>N/A</v>
      </c>
      <c r="S283" s="10" t="b">
        <f aca="false">INDEX(Segmentation!$AW$2:$AW$301,MATCH($A283,Segmentation!$A$2:$A$301,0))</f>
        <v>0</v>
      </c>
      <c r="T283" s="2" t="str">
        <f aca="false">INDEX('Feature Data'!$AD$2:$AD$301,MATCH($A283,'Feature Data'!$A$2:$A$301,0))</f>
        <v>One-off low-touch buyer</v>
      </c>
      <c r="U283" s="2" t="str">
        <f aca="false">INDEX('Feature Data'!$W$2:$W$301,MATCH($A283,'Feature Data'!$A$2:$A$301,0))</f>
        <v>Bundle-only</v>
      </c>
      <c r="V283" s="2" t="n">
        <f aca="false">INDEX('Feature Data'!$P$2:$P$301,MATCH($A283,'Feature Data'!$A$2:$A$301,0))</f>
        <v>7</v>
      </c>
      <c r="W283" s="2" t="n">
        <f aca="false">INDEX(Segmentation!$R$2:$R$301,MATCH($A283,Segmentation!$A$2:$A$301,0))</f>
        <v>3</v>
      </c>
      <c r="X283" s="2" t="n">
        <f aca="false">INDEX(Segmentation!$S$2:$S$301,MATCH($A283,Segmentation!$A$2:$A$301,0))</f>
        <v>0</v>
      </c>
      <c r="Y283" s="10" t="b">
        <f aca="false">INDEX(Segmentation!$AG$2:$AG$301,MATCH($A283,Segmentation!$A$2:$A$301,0))</f>
        <v>0</v>
      </c>
      <c r="Z283" s="2" t="str">
        <f aca="false">INDEX(Segmentation!$AU$2:$AU$301,MATCH($A283,Segmentation!$A$2:$A$301,0))</f>
        <v>Not Eligible</v>
      </c>
      <c r="AA283" s="10" t="b">
        <f aca="false">INDEX(Segmentation!$Z$2:$Z$301,MATCH($A283,Segmentation!$A$2:$A$301,0))</f>
        <v>0</v>
      </c>
      <c r="AB283" s="10" t="b">
        <f aca="false">INDEX(Segmentation!$AH$2:$AH$301,MATCH($A283,Segmentation!$A$2:$A$301,0))</f>
        <v>0</v>
      </c>
      <c r="AC283" s="10" t="b">
        <f aca="false">INDEX(Segmentation!$AK$2:$AK$301,MATCH($A283,Segmentation!$A$2:$A$301,0))</f>
        <v>0</v>
      </c>
      <c r="AD283" s="10" t="b">
        <f aca="false">INDEX(Segmentation!$AQ$2:$AQ$301,MATCH($A283,Segmentation!$A$2:$A$301,0))</f>
        <v>0</v>
      </c>
      <c r="AE283" s="10" t="b">
        <f aca="false">INDEX(Segmentation!$AT$2:$AT$301,MATCH($A283,Segmentation!$A$2:$A$301,0))</f>
        <v>0</v>
      </c>
      <c r="AF283" s="10" t="b">
        <f aca="false">INDEX(Segmentation!$X$2:$X$301,MATCH($A283,Segmentation!$A$2:$A$301,0))</f>
        <v>1</v>
      </c>
      <c r="AG283" s="10" t="b">
        <f aca="false">AND(F283="Low",V283&gt;=Assumptions!$B$71,X283&lt;Assumptions!$B$72)</f>
        <v>0</v>
      </c>
      <c r="AH283" s="10" t="b">
        <f aca="false">AND(F283="Low",OR(G283="Growing",G283="Stable"),P283="Recently Active",V283&gt;=Assumptions!$B$58,K283&gt;=Assumptions!$B$73)</f>
        <v>0</v>
      </c>
      <c r="AI283" s="17" t="n">
        <f aca="false">IF(O283&gt;0,MAX(L283:N283)/O283,"")</f>
        <v>1</v>
      </c>
      <c r="AJ283" s="2" t="str">
        <f aca="false">IF(LEFT(D283,1)="1",IF(E283="Key","MIGRATION_KEY_SIGNOFF",IF(Z283="Ready","MIGRATION_PHASE1_READY",IF(Z283="Manual Review","MIGRATION_PHASE1_REVIEW","MIGRATION_PRE_ENTRY"))),IF(LEFT(D283,1)="2","DECLINING_KEY_CORE",IF(LEFT(D283,1)="3",IF(R283="Established Buyer Lapsed","LAPSED_ESTABLISHED","LAPSED_THIN_HISTORY"),IF(LEFT(D283,1)="4",IF(Q283="New Customer","NEW_CUSTOMER","RETURNED_CUSTOMER"),IF(LEFT(D283,1)="5",IF(P283="Recently Active","COST_TO_SERVE_ACTIVE","DORMANT_LOW_VALUE"),IF(LEFT(D283,1)="6",IF(P283="Recent Inactivity","RECENT_INACTIVITY",IF(AG283,"BROWSING_LOW_OFFERS","HEALTHY_STRONG_SELF_SERVE")),IF(LEFT(D283,1)="7",IF(P283="Recent Inactivity","RECENT_INACTIVITY",IF(Q283="New Customer","NEW_CUSTOMER","RETURNED_CUSTOMER")),IF(LEFT(D283,1)="8",IF(G283="Declining",IF(T283="Engaged but shrinking (Key/Core)","ENGAGED_BUT_SHRINKING","DECLINING_KEY_CORE"),IF(R283="Established Buyer Lapsed","LAPSED_ESTABLISHED","LAPSED_THIN_HISTORY")),IF(S283,IF(P283&lt;&gt;"Recently Active","DORMANT_LOW_VALUE",IF(AG283,"BROWSING_LOW_OFFERS",IF(AH283,"RISING_TAIL","RISING_TAIL_EARLY"))),IF(AND(AG283,P283="Recently Active",OR(G283="Growing",G283="Stable",G283="H2 Active / No H1 GMV"),I283&gt;=Assumptions!$B$74),"BROWSING_LOW_OFFERS","LONG_TAIL_STANDARD"))))))))))</f>
        <v>LONG_TAIL_STANDARD</v>
      </c>
      <c r="AK283" s="2" t="str">
        <f aca="false">INDEX('NBA Library'!$B$4:$B$21,MATCH(AJ283,'NBA Library'!$A$4:$A$21,0))</f>
        <v>Automated Nurture</v>
      </c>
      <c r="AL283" s="2" t="str">
        <f aca="false">INDEX('NBA Library'!$C$4:$C$21,MATCH(AJ283,'NBA Library'!$A$4:$A$21,0))</f>
        <v>Automated</v>
      </c>
      <c r="AM283" s="2" t="str">
        <f aca="false">IF(AA283,"HOLD — Critical Data Issue",IF(Y283,"Human Sign-Off Required",IF(Z283="Manual Review","Human Review Required",IF(AND(AL283="Automated",OR(AE283,AND(OR(AK283="Discovery-to-Offer Enablement",AK283="Reinforce Successful Behaviour"),OR(AC283,AB283)))),"Human Review Required",IF(AL283="Human","Ready — Human",IF(AL283="Hybrid","Ready — Hybrid","Ready — Automated"))))))</f>
        <v>Ready — Automated</v>
      </c>
      <c r="AN283" s="2" t="str">
        <f aca="false">IF(AA283,"P0",IF(AND(AJ283="BROWSING_LOW_OFFERS",E283="Tail"),"P3",IF(AND(AM283="Human Review Required",INDEX('NBA Library'!$D$4:$D$21,MATCH(AJ283,'NBA Library'!$A$4:$A$21,0))="P4"),"P3",INDEX('NBA Library'!$D$4:$D$21,MATCH(AJ283,'NBA Library'!$A$4:$A$21,0)))))</f>
        <v>P4</v>
      </c>
      <c r="AO283" s="2" t="str">
        <f aca="false">E283&amp;" "&amp;C283&amp;" account ("&amp;B283&amp;"); "&amp;G283&amp;" momentum; "&amp;P283&amp;"; £"&amp;TEXT(H283,"#,##0")&amp;" 6m GMV. "&amp;INDEX('NBA Library'!$G$4:$G$21,MATCH(AJ283,'NBA Library'!$A$4:$A$21,0))&amp;IF(LEFT(D283,1)="1"," Baseline: "&amp;V283&amp;" PDP views, "&amp;W283&amp;" app days, "&amp;X283&amp;" offers, "&amp;TEXT(J283/I283,"0%")&amp;" of orders self-serve.","")&amp;IF(AA283," Execution on HOLD until the Duplicate status is resolved.","")&amp;IF(Y283," Key account: explicit AM/leadership sign-off required before any migration activity.","")&amp;IF(AE283," Implied broker % from order counts would move this account to a different segment; review before automating.","")</f>
        <v>Tail Self-Serve account (Self Serve); H2 Active / No H1 GMV momentum; Recently Active; £118 6m GMV. Low-value, low-dependency account. Scalable automated engagement.</v>
      </c>
      <c r="AP283" s="2" t="str">
        <f aca="false">INDEX('NBA Library'!$E$4:$E$21,MATCH(AJ283,'NBA Library'!$A$4:$A$21,0))&amp;IF(AND(AJ283="NEW_CUSTOMER",AG283),"; introduce Make-an-Offer on items already browsed","")</f>
        <v>Scalable automated engagement matched to nurture sub-context</v>
      </c>
      <c r="AQ283" s="2" t="str">
        <f aca="false">INDEX('NBA Library'!$F$4:$F$21,MATCH(AJ283,'NBA Library'!$A$4:$A$21,0))</f>
        <v>Any repeat order within 90 days</v>
      </c>
      <c r="AR283" s="2" t="str">
        <f aca="false">IF(AND(F283="Low",OR(G283="Growing",G283="Stable"),P283="Recently Active",U283&lt;&gt;"Mixed",OR(AK283="Discovery-to-Offer Enablement",AK283="Reinforce Successful Behaviour"),AM283="Ready — Automated",OR(E283&lt;&gt;"Tail",S283)),"Range Expansion Test — trial "&amp;IF(U283="Bundle-only","handpick","bundles")&amp;" (experimental; not proven to lift GMV)","")</f>
        <v/>
      </c>
      <c r="AS283" s="2" t="str">
        <f aca="false">IF(AK283&lt;&gt;"Automated Nurture","",IF(AJ283="DORMANT_LOW_VALUE","Dormant",IF(AJ283="RISING_TAIL_EARLY","Rising tail – early pattern",IF(Q283="New Customer","New customer onboarding",IF(Q283="Returned Customer","Returned customer",IF(G283="Lapsed","Dormant",IF(T283="Engaged, not converting","Engaged, not converting",IF(T283="One-off low-touch buyer","One-off purchaser",IF(T283="Light-touch repeat buyer","Light-touch repeat buyer","Standard long tail")))))))))</f>
        <v>New customer onboarding</v>
      </c>
      <c r="AT283" s="2" t="str">
        <f aca="false">IF(AA283,"CRITICAL_DATA_BLOCKER; ","")&amp;IF(Y283,"KEY_SIGNOFF; ","")&amp;IF(Z283="Manual Review","PHASE1_MANUAL_REVIEW; ","")&amp;IF(AND(LEFT(D283,1)="1",AZ283="Lumpy"),"LUMPY_CADENCE; ","")&amp;IF(AB283,"BORDERLINE_MOMENTUM; ","")&amp;IF(AC283,"FEB_SENSITIVE; ","")&amp;IF(AD283,"MATERIAL_BROKER_INCONSISTENCY"&amp;IF(AE283," (segment would change)","")&amp;"; ","")&amp;IF(AND(I283&gt;=3,O283&gt;0),IF(AI283&gt;=Assumptions!$B$75,"H2_SINGLE_MONTH_SPIKE; ",""),"")&amp;IF(AND(M283&gt;0,N283=0),"NO_FEB_GMV (Feb unconfirmed); ","")&amp;IF(AF283,"LOW_CONFIDENCE; ","")</f>
        <v>NO_FEB_GMV (Feb unconfirmed); LOW_CONFIDENCE; </v>
      </c>
      <c r="AU283" s="2" t="str">
        <f aca="false">IF(LEFT(D283,1)="1",V283,"")</f>
        <v/>
      </c>
      <c r="AV283" s="2" t="str">
        <f aca="false">IF(LEFT(D283,1)="1",V283&gt;=Assumptions!$B$58,"")</f>
        <v/>
      </c>
      <c r="AW283" s="2" t="str">
        <f aca="false">IF(LEFT(D283,1)="1",W283,"")</f>
        <v/>
      </c>
      <c r="AX283" s="2" t="str">
        <f aca="false">IF(LEFT(D283,1)="1",X283,"")</f>
        <v/>
      </c>
      <c r="AY283" s="17" t="str">
        <f aca="false">IF(LEFT(D283,1)="1",J283/I283,"")</f>
        <v/>
      </c>
      <c r="AZ283" s="2" t="str">
        <f aca="false">IF(LEFT(D283,1)="1",IF(AND(K283&gt;=Assumptions!$B$83,I283&gt;=Assumptions!$B$84),"Regular","Lumpy"),"")</f>
        <v/>
      </c>
      <c r="BA283" s="2" t="str">
        <f aca="false">IF(LEFT(D283,1)="1",ROUND(6/K283,0),"")</f>
        <v/>
      </c>
      <c r="BB283" s="2" t="str">
        <f aca="false">IF(LEFT(D283,1)="1",IF(AZ283="Regular","Regular buyer: expected ~£"&amp;TEXT(H283/2,"#,##0")&amp;" per 90 days. At Risk if GMV to date &lt; "&amp;TEXT(Assumptions!$B$81,"0%")&amp;" of pro-rated expectation, checked from day "&amp;Assumptions!$B$82&amp;". Human-reviewed.","Irregular buyer ("&amp;I283&amp;" orders across "&amp;K283&amp;" months): no numeric GMV threshold. At Risk if no order within ~"&amp;BA283&amp;" month(s); AM reviews at day "&amp;Assumptions!$B$82&amp;" and "&amp;Assumptions!$B$85&amp;"."),"")</f>
        <v/>
      </c>
      <c r="BC283" s="2"/>
      <c r="BD283" s="2"/>
      <c r="BE283" s="2"/>
      <c r="BF283" s="2"/>
      <c r="BG283" s="2"/>
      <c r="BH283" s="2"/>
      <c r="BI283" s="2"/>
      <c r="BJ283" s="2" t="str">
        <f aca="false">IF(OR(NOT(LEFT(D283,1)="1"),BC283=""),"",IF(AZ283="Regular",AND(BC283&gt;=Assumptions!$B$82,N(BI283)&lt;Assumptions!$B$81*H283/180*BC283),AND(BC283&gt;=BA283*30,N(BG283)=0)))</f>
        <v/>
      </c>
      <c r="BK283" s="2" t="str">
        <f aca="false">IF(NOT(LEFT(D283,1)="1"),"N/A",IF(BC283="","Baseline",IF(BJ283,"At Risk",IF(AND(N(BD283)&gt;=Assumptions!$B$78,N(BE283)&gt;=Assumptions!$B$79,N(BH283)&gt;=1,N(BH283)/MAX(N(BG283),1)&gt;AY283),"Self-Serve Capability Demonstrated",IF(OR(N(BD283)&gt;=Assumptions!$B$76,N(BE283)&gt;=Assumptions!$B$77),"Progressing",IF(BC283&gt;=Assumptions!$B$85,"At Risk","Baseline"))))))</f>
        <v>N/A</v>
      </c>
      <c r="BL283" s="2" t="n">
        <f aca="false">(AND(C283="Broker-Reliant",OR(AK283="Discovery-to-Offer Enablement",AK283="Reinforce Successful Behaviour")))*1+(AND(G283="Declining",E283&lt;&gt;"Tail",AL283="Automated"))*1+(AND(Y283,AM283&lt;&gt;"Human Sign-Off Required"))*1+(AND(AA283,AM283&lt;&gt;"HOLD — Critical Data Issue"))*1+(AND(P283="Recent Inactivity",OR(AK283="Discovery-to-Offer Enablement",AK283="Reinforce Successful Behaviour")))*1+(AND(OR(LEFT(D283,1)="2",LEFT(D283,1)="3",LEFT(D283,1)="8"),AL283="Automated"))*1+((LEFT(D283,1)="1")&lt;&gt;(AK283="Guided Self-Serve Migration"))*1+(AND(AR283&lt;&gt;"",OR(F283&lt;&gt;"Low",U283="Mixed",AND(G283&lt;&gt;"Growing",G283&lt;&gt;"Stable"))))*1+ISNUMBER(SEARCH("chat",AP283))*1+ISNUMBER(SEARCH("video",AP283))*1+(AND(AA283,AL283="Automated",AM283&lt;&gt;"HOLD — Critical Data Issue"))*1</f>
        <v>0</v>
      </c>
    </row>
    <row r="284" customFormat="false" ht="15" hidden="false" customHeight="false" outlineLevel="0" collapsed="false">
      <c r="A284" s="2" t="s">
        <v>944</v>
      </c>
      <c r="B284" s="2" t="str">
        <f aca="false">INDEX(Segmentation!$B$2:$B$301,MATCH($A284,Segmentation!$A$2:$A$301,0))</f>
        <v>Self Serve</v>
      </c>
      <c r="C284" s="2" t="str">
        <f aca="false">INDEX(Segmentation!$H$2:$H$301,MATCH($A284,Segmentation!$A$2:$A$301,0))</f>
        <v>Self-Serve</v>
      </c>
      <c r="D284" s="2" t="str">
        <f aca="false">INDEX(Segmentation!$T$2:$T$301,MATCH($A284,Segmentation!$A$2:$A$301,0))</f>
        <v>9. Long-Tail Automated Nurture</v>
      </c>
      <c r="E284" s="2" t="str">
        <f aca="false">INDEX(Segmentation!$J$2:$J$301,MATCH($A284,Segmentation!$A$2:$A$301,0))</f>
        <v>Tail</v>
      </c>
      <c r="F284" s="2" t="str">
        <f aca="false">INDEX(Segmentation!$G$2:$G$301,MATCH($A284,Segmentation!$A$2:$A$301,0))</f>
        <v>Low</v>
      </c>
      <c r="G284" s="2" t="str">
        <f aca="false">INDEX(Segmentation!$N$2:$N$301,MATCH($A284,Segmentation!$A$2:$A$301,0))</f>
        <v>Lapsed</v>
      </c>
      <c r="H284" s="9" t="n">
        <f aca="false">INDEX(Segmentation!$I$2:$I$301,MATCH($A284,Segmentation!$A$2:$A$301,0))</f>
        <v>112</v>
      </c>
      <c r="I284" s="2" t="n">
        <f aca="false">INDEX(Segmentation!$O$2:$O$301,MATCH($A284,Segmentation!$A$2:$A$301,0))</f>
        <v>2</v>
      </c>
      <c r="J284" s="2" t="n">
        <f aca="false">INDEX(Segmentation!$Q$2:$Q$301,MATCH($A284,Segmentation!$A$2:$A$301,0))</f>
        <v>2</v>
      </c>
      <c r="K284" s="2" t="n">
        <f aca="false">INDEX(Segmentation!$W$2:$W$301,MATCH($A284,Segmentation!$A$2:$A$301,0))</f>
        <v>2</v>
      </c>
      <c r="L284" s="9" t="n">
        <f aca="false">INDEX('Commercial View'!$L$2:$L$301,MATCH($A284,'Commercial View'!$A$2:$A$301,0))</f>
        <v>0</v>
      </c>
      <c r="M284" s="9" t="n">
        <f aca="false">INDEX('Commercial View'!$M$2:$M$301,MATCH($A284,'Commercial View'!$A$2:$A$301,0))</f>
        <v>0</v>
      </c>
      <c r="N284" s="9" t="n">
        <f aca="false">INDEX('Commercial View'!$N$2:$N$301,MATCH($A284,'Commercial View'!$A$2:$A$301,0))</f>
        <v>0</v>
      </c>
      <c r="O284" s="9" t="n">
        <f aca="false">INDEX(Segmentation!$L$2:$L$301,MATCH($A284,Segmentation!$A$2:$A$301,0))</f>
        <v>0</v>
      </c>
      <c r="P284" s="2" t="str">
        <f aca="false">IF(OR(M284&gt;0,N284&gt;0),"Recently Active",IF(OR(I284&lt;=Assumptions!$B$48,K284&lt;=Assumptions!$B$49),"No Meaningful History","Recent Inactivity"))</f>
        <v>No Meaningful History</v>
      </c>
      <c r="Q284" s="2" t="str">
        <f aca="false">INDEX(Segmentation!$AF$2:$AF$301,MATCH($A284,Segmentation!$A$2:$A$301,0))</f>
        <v>Existing Customer</v>
      </c>
      <c r="R284" s="2" t="str">
        <f aca="false">INDEX(Segmentation!$AL$2:$AL$301,MATCH($A284,Segmentation!$A$2:$A$301,0))</f>
        <v>One-Off / Insufficient History — Verify</v>
      </c>
      <c r="S284" s="10" t="b">
        <f aca="false">INDEX(Segmentation!$AW$2:$AW$301,MATCH($A284,Segmentation!$A$2:$A$301,0))</f>
        <v>0</v>
      </c>
      <c r="T284" s="2" t="str">
        <f aca="false">INDEX('Feature Data'!$AD$2:$AD$301,MATCH($A284,'Feature Data'!$A$2:$A$301,0))</f>
        <v>Light-touch repeat buyer</v>
      </c>
      <c r="U284" s="2" t="str">
        <f aca="false">INDEX('Feature Data'!$W$2:$W$301,MATCH($A284,'Feature Data'!$A$2:$A$301,0))</f>
        <v>Bundle-only</v>
      </c>
      <c r="V284" s="2" t="n">
        <f aca="false">INDEX('Feature Data'!$P$2:$P$301,MATCH($A284,'Feature Data'!$A$2:$A$301,0))</f>
        <v>79</v>
      </c>
      <c r="W284" s="2" t="n">
        <f aca="false">INDEX(Segmentation!$R$2:$R$301,MATCH($A284,Segmentation!$A$2:$A$301,0))</f>
        <v>19</v>
      </c>
      <c r="X284" s="2" t="n">
        <f aca="false">INDEX(Segmentation!$S$2:$S$301,MATCH($A284,Segmentation!$A$2:$A$301,0))</f>
        <v>1</v>
      </c>
      <c r="Y284" s="10" t="b">
        <f aca="false">INDEX(Segmentation!$AG$2:$AG$301,MATCH($A284,Segmentation!$A$2:$A$301,0))</f>
        <v>0</v>
      </c>
      <c r="Z284" s="2" t="str">
        <f aca="false">INDEX(Segmentation!$AU$2:$AU$301,MATCH($A284,Segmentation!$A$2:$A$301,0))</f>
        <v>Not Eligible</v>
      </c>
      <c r="AA284" s="10" t="b">
        <f aca="false">INDEX(Segmentation!$Z$2:$Z$301,MATCH($A284,Segmentation!$A$2:$A$301,0))</f>
        <v>0</v>
      </c>
      <c r="AB284" s="10" t="b">
        <f aca="false">INDEX(Segmentation!$AH$2:$AH$301,MATCH($A284,Segmentation!$A$2:$A$301,0))</f>
        <v>0</v>
      </c>
      <c r="AC284" s="10" t="b">
        <f aca="false">INDEX(Segmentation!$AK$2:$AK$301,MATCH($A284,Segmentation!$A$2:$A$301,0))</f>
        <v>0</v>
      </c>
      <c r="AD284" s="10" t="b">
        <f aca="false">INDEX(Segmentation!$AQ$2:$AQ$301,MATCH($A284,Segmentation!$A$2:$A$301,0))</f>
        <v>0</v>
      </c>
      <c r="AE284" s="10" t="b">
        <f aca="false">INDEX(Segmentation!$AT$2:$AT$301,MATCH($A284,Segmentation!$A$2:$A$301,0))</f>
        <v>0</v>
      </c>
      <c r="AF284" s="10" t="b">
        <f aca="false">INDEX(Segmentation!$X$2:$X$301,MATCH($A284,Segmentation!$A$2:$A$301,0))</f>
        <v>1</v>
      </c>
      <c r="AG284" s="10" t="b">
        <f aca="false">AND(F284="Low",V284&gt;=Assumptions!$B$71,X284&lt;Assumptions!$B$72)</f>
        <v>1</v>
      </c>
      <c r="AH284" s="10" t="b">
        <f aca="false">AND(F284="Low",OR(G284="Growing",G284="Stable"),P284="Recently Active",V284&gt;=Assumptions!$B$58,K284&gt;=Assumptions!$B$73)</f>
        <v>0</v>
      </c>
      <c r="AI284" s="17" t="str">
        <f aca="false">IF(O284&gt;0,MAX(L284:N284)/O284,"")</f>
        <v/>
      </c>
      <c r="AJ284" s="2" t="str">
        <f aca="false">IF(LEFT(D284,1)="1",IF(E284="Key","MIGRATION_KEY_SIGNOFF",IF(Z284="Ready","MIGRATION_PHASE1_READY",IF(Z284="Manual Review","MIGRATION_PHASE1_REVIEW","MIGRATION_PRE_ENTRY"))),IF(LEFT(D284,1)="2","DECLINING_KEY_CORE",IF(LEFT(D284,1)="3",IF(R284="Established Buyer Lapsed","LAPSED_ESTABLISHED","LAPSED_THIN_HISTORY"),IF(LEFT(D284,1)="4",IF(Q284="New Customer","NEW_CUSTOMER","RETURNED_CUSTOMER"),IF(LEFT(D284,1)="5",IF(P284="Recently Active","COST_TO_SERVE_ACTIVE","DORMANT_LOW_VALUE"),IF(LEFT(D284,1)="6",IF(P284="Recent Inactivity","RECENT_INACTIVITY",IF(AG284,"BROWSING_LOW_OFFERS","HEALTHY_STRONG_SELF_SERVE")),IF(LEFT(D284,1)="7",IF(P284="Recent Inactivity","RECENT_INACTIVITY",IF(Q284="New Customer","NEW_CUSTOMER","RETURNED_CUSTOMER")),IF(LEFT(D284,1)="8",IF(G284="Declining",IF(T284="Engaged but shrinking (Key/Core)","ENGAGED_BUT_SHRINKING","DECLINING_KEY_CORE"),IF(R284="Established Buyer Lapsed","LAPSED_ESTABLISHED","LAPSED_THIN_HISTORY")),IF(S284,IF(P284&lt;&gt;"Recently Active","DORMANT_LOW_VALUE",IF(AG284,"BROWSING_LOW_OFFERS",IF(AH284,"RISING_TAIL","RISING_TAIL_EARLY"))),IF(AND(AG284,P284="Recently Active",OR(G284="Growing",G284="Stable",G284="H2 Active / No H1 GMV"),I284&gt;=Assumptions!$B$74),"BROWSING_LOW_OFFERS","LONG_TAIL_STANDARD"))))))))))</f>
        <v>LONG_TAIL_STANDARD</v>
      </c>
      <c r="AK284" s="2" t="str">
        <f aca="false">INDEX('NBA Library'!$B$4:$B$21,MATCH(AJ284,'NBA Library'!$A$4:$A$21,0))</f>
        <v>Automated Nurture</v>
      </c>
      <c r="AL284" s="2" t="str">
        <f aca="false">INDEX('NBA Library'!$C$4:$C$21,MATCH(AJ284,'NBA Library'!$A$4:$A$21,0))</f>
        <v>Automated</v>
      </c>
      <c r="AM284" s="2" t="str">
        <f aca="false">IF(AA284,"HOLD — Critical Data Issue",IF(Y284,"Human Sign-Off Required",IF(Z284="Manual Review","Human Review Required",IF(AND(AL284="Automated",OR(AE284,AND(OR(AK284="Discovery-to-Offer Enablement",AK284="Reinforce Successful Behaviour"),OR(AC284,AB284)))),"Human Review Required",IF(AL284="Human","Ready — Human",IF(AL284="Hybrid","Ready — Hybrid","Ready — Automated"))))))</f>
        <v>Ready — Automated</v>
      </c>
      <c r="AN284" s="2" t="str">
        <f aca="false">IF(AA284,"P0",IF(AND(AJ284="BROWSING_LOW_OFFERS",E284="Tail"),"P3",IF(AND(AM284="Human Review Required",INDEX('NBA Library'!$D$4:$D$21,MATCH(AJ284,'NBA Library'!$A$4:$A$21,0))="P4"),"P3",INDEX('NBA Library'!$D$4:$D$21,MATCH(AJ284,'NBA Library'!$A$4:$A$21,0)))))</f>
        <v>P4</v>
      </c>
      <c r="AO284" s="2" t="str">
        <f aca="false">E284&amp;" "&amp;C284&amp;" account ("&amp;B284&amp;"); "&amp;G284&amp;" momentum; "&amp;P284&amp;"; £"&amp;TEXT(H284,"#,##0")&amp;" 6m GMV. "&amp;INDEX('NBA Library'!$G$4:$G$21,MATCH(AJ284,'NBA Library'!$A$4:$A$21,0))&amp;IF(LEFT(D284,1)="1"," Baseline: "&amp;V284&amp;" PDP views, "&amp;W284&amp;" app days, "&amp;X284&amp;" offers, "&amp;TEXT(J284/I284,"0%")&amp;" of orders self-serve.","")&amp;IF(AA284," Execution on HOLD until the Duplicate status is resolved.","")&amp;IF(Y284," Key account: explicit AM/leadership sign-off required before any migration activity.","")&amp;IF(AE284," Implied broker % from order counts would move this account to a different segment; review before automating.","")</f>
        <v>Tail Self-Serve account (Self Serve); Lapsed momentum; No Meaningful History; £112 6m GMV. Low-value, low-dependency account. Scalable automated engagement.</v>
      </c>
      <c r="AP284" s="2" t="str">
        <f aca="false">INDEX('NBA Library'!$E$4:$E$21,MATCH(AJ284,'NBA Library'!$A$4:$A$21,0))&amp;IF(AND(AJ284="NEW_CUSTOMER",AG284),"; introduce Make-an-Offer on items already browsed","")</f>
        <v>Scalable automated engagement matched to nurture sub-context</v>
      </c>
      <c r="AQ284" s="2" t="str">
        <f aca="false">INDEX('NBA Library'!$F$4:$F$21,MATCH(AJ284,'NBA Library'!$A$4:$A$21,0))</f>
        <v>Any repeat order within 90 days</v>
      </c>
      <c r="AR284" s="2" t="str">
        <f aca="false">IF(AND(F284="Low",OR(G284="Growing",G284="Stable"),P284="Recently Active",U284&lt;&gt;"Mixed",OR(AK284="Discovery-to-Offer Enablement",AK284="Reinforce Successful Behaviour"),AM284="Ready — Automated",OR(E284&lt;&gt;"Tail",S284)),"Range Expansion Test — trial "&amp;IF(U284="Bundle-only","handpick","bundles")&amp;" (experimental; not proven to lift GMV)","")</f>
        <v/>
      </c>
      <c r="AS284" s="2" t="str">
        <f aca="false">IF(AK284&lt;&gt;"Automated Nurture","",IF(AJ284="DORMANT_LOW_VALUE","Dormant",IF(AJ284="RISING_TAIL_EARLY","Rising tail – early pattern",IF(Q284="New Customer","New customer onboarding",IF(Q284="Returned Customer","Returned customer",IF(G284="Lapsed","Dormant",IF(T284="Engaged, not converting","Engaged, not converting",IF(T284="One-off low-touch buyer","One-off purchaser",IF(T284="Light-touch repeat buyer","Light-touch repeat buyer","Standard long tail")))))))))</f>
        <v>Dormant</v>
      </c>
      <c r="AT284" s="2" t="str">
        <f aca="false">IF(AA284,"CRITICAL_DATA_BLOCKER; ","")&amp;IF(Y284,"KEY_SIGNOFF; ","")&amp;IF(Z284="Manual Review","PHASE1_MANUAL_REVIEW; ","")&amp;IF(AND(LEFT(D284,1)="1",AZ284="Lumpy"),"LUMPY_CADENCE; ","")&amp;IF(AB284,"BORDERLINE_MOMENTUM; ","")&amp;IF(AC284,"FEB_SENSITIVE; ","")&amp;IF(AD284,"MATERIAL_BROKER_INCONSISTENCY"&amp;IF(AE284," (segment would change)","")&amp;"; ","")&amp;IF(AND(I284&gt;=3,O284&gt;0),IF(AI284&gt;=Assumptions!$B$75,"H2_SINGLE_MONTH_SPIKE; ",""),"")&amp;IF(AND(M284&gt;0,N284=0),"NO_FEB_GMV (Feb unconfirmed); ","")&amp;IF(AF284,"LOW_CONFIDENCE; ","")</f>
        <v>LOW_CONFIDENCE; </v>
      </c>
      <c r="AU284" s="2" t="str">
        <f aca="false">IF(LEFT(D284,1)="1",V284,"")</f>
        <v/>
      </c>
      <c r="AV284" s="2" t="str">
        <f aca="false">IF(LEFT(D284,1)="1",V284&gt;=Assumptions!$B$58,"")</f>
        <v/>
      </c>
      <c r="AW284" s="2" t="str">
        <f aca="false">IF(LEFT(D284,1)="1",W284,"")</f>
        <v/>
      </c>
      <c r="AX284" s="2" t="str">
        <f aca="false">IF(LEFT(D284,1)="1",X284,"")</f>
        <v/>
      </c>
      <c r="AY284" s="17" t="str">
        <f aca="false">IF(LEFT(D284,1)="1",J284/I284,"")</f>
        <v/>
      </c>
      <c r="AZ284" s="2" t="str">
        <f aca="false">IF(LEFT(D284,1)="1",IF(AND(K284&gt;=Assumptions!$B$83,I284&gt;=Assumptions!$B$84),"Regular","Lumpy"),"")</f>
        <v/>
      </c>
      <c r="BA284" s="2" t="str">
        <f aca="false">IF(LEFT(D284,1)="1",ROUND(6/K284,0),"")</f>
        <v/>
      </c>
      <c r="BB284" s="2" t="str">
        <f aca="false">IF(LEFT(D284,1)="1",IF(AZ284="Regular","Regular buyer: expected ~£"&amp;TEXT(H284/2,"#,##0")&amp;" per 90 days. At Risk if GMV to date &lt; "&amp;TEXT(Assumptions!$B$81,"0%")&amp;" of pro-rated expectation, checked from day "&amp;Assumptions!$B$82&amp;". Human-reviewed.","Irregular buyer ("&amp;I284&amp;" orders across "&amp;K284&amp;" months): no numeric GMV threshold. At Risk if no order within ~"&amp;BA284&amp;" month(s); AM reviews at day "&amp;Assumptions!$B$82&amp;" and "&amp;Assumptions!$B$85&amp;"."),"")</f>
        <v/>
      </c>
      <c r="BC284" s="2"/>
      <c r="BD284" s="2"/>
      <c r="BE284" s="2"/>
      <c r="BF284" s="2"/>
      <c r="BG284" s="2"/>
      <c r="BH284" s="2"/>
      <c r="BI284" s="2"/>
      <c r="BJ284" s="2" t="str">
        <f aca="false">IF(OR(NOT(LEFT(D284,1)="1"),BC284=""),"",IF(AZ284="Regular",AND(BC284&gt;=Assumptions!$B$82,N(BI284)&lt;Assumptions!$B$81*H284/180*BC284),AND(BC284&gt;=BA284*30,N(BG284)=0)))</f>
        <v/>
      </c>
      <c r="BK284" s="2" t="str">
        <f aca="false">IF(NOT(LEFT(D284,1)="1"),"N/A",IF(BC284="","Baseline",IF(BJ284,"At Risk",IF(AND(N(BD284)&gt;=Assumptions!$B$78,N(BE284)&gt;=Assumptions!$B$79,N(BH284)&gt;=1,N(BH284)/MAX(N(BG284),1)&gt;AY284),"Self-Serve Capability Demonstrated",IF(OR(N(BD284)&gt;=Assumptions!$B$76,N(BE284)&gt;=Assumptions!$B$77),"Progressing",IF(BC284&gt;=Assumptions!$B$85,"At Risk","Baseline"))))))</f>
        <v>N/A</v>
      </c>
      <c r="BL284" s="2" t="n">
        <f aca="false">(AND(C284="Broker-Reliant",OR(AK284="Discovery-to-Offer Enablement",AK284="Reinforce Successful Behaviour")))*1+(AND(G284="Declining",E284&lt;&gt;"Tail",AL284="Automated"))*1+(AND(Y284,AM284&lt;&gt;"Human Sign-Off Required"))*1+(AND(AA284,AM284&lt;&gt;"HOLD — Critical Data Issue"))*1+(AND(P284="Recent Inactivity",OR(AK284="Discovery-to-Offer Enablement",AK284="Reinforce Successful Behaviour")))*1+(AND(OR(LEFT(D284,1)="2",LEFT(D284,1)="3",LEFT(D284,1)="8"),AL284="Automated"))*1+((LEFT(D284,1)="1")&lt;&gt;(AK284="Guided Self-Serve Migration"))*1+(AND(AR284&lt;&gt;"",OR(F284&lt;&gt;"Low",U284="Mixed",AND(G284&lt;&gt;"Growing",G284&lt;&gt;"Stable"))))*1+ISNUMBER(SEARCH("chat",AP284))*1+ISNUMBER(SEARCH("video",AP284))*1+(AND(AA284,AL284="Automated",AM284&lt;&gt;"HOLD — Critical Data Issue"))*1</f>
        <v>0</v>
      </c>
    </row>
    <row r="285" customFormat="false" ht="15" hidden="false" customHeight="false" outlineLevel="0" collapsed="false">
      <c r="A285" s="2" t="s">
        <v>954</v>
      </c>
      <c r="B285" s="2" t="str">
        <f aca="false">INDEX(Segmentation!$B$2:$B$301,MATCH($A285,Segmentation!$A$2:$A$301,0))</f>
        <v>Self Serve</v>
      </c>
      <c r="C285" s="2" t="str">
        <f aca="false">INDEX(Segmentation!$H$2:$H$301,MATCH($A285,Segmentation!$A$2:$A$301,0))</f>
        <v>Self-Serve</v>
      </c>
      <c r="D285" s="2" t="str">
        <f aca="false">INDEX(Segmentation!$T$2:$T$301,MATCH($A285,Segmentation!$A$2:$A$301,0))</f>
        <v>9. Long-Tail Automated Nurture</v>
      </c>
      <c r="E285" s="2" t="str">
        <f aca="false">INDEX(Segmentation!$J$2:$J$301,MATCH($A285,Segmentation!$A$2:$A$301,0))</f>
        <v>Tail</v>
      </c>
      <c r="F285" s="2" t="str">
        <f aca="false">INDEX(Segmentation!$G$2:$G$301,MATCH($A285,Segmentation!$A$2:$A$301,0))</f>
        <v>Low</v>
      </c>
      <c r="G285" s="2" t="str">
        <f aca="false">INDEX(Segmentation!$N$2:$N$301,MATCH($A285,Segmentation!$A$2:$A$301,0))</f>
        <v>H2 Active / No H1 GMV</v>
      </c>
      <c r="H285" s="9" t="n">
        <f aca="false">INDEX(Segmentation!$I$2:$I$301,MATCH($A285,Segmentation!$A$2:$A$301,0))</f>
        <v>104</v>
      </c>
      <c r="I285" s="2" t="n">
        <f aca="false">INDEX(Segmentation!$O$2:$O$301,MATCH($A285,Segmentation!$A$2:$A$301,0))</f>
        <v>1</v>
      </c>
      <c r="J285" s="2" t="n">
        <f aca="false">INDEX(Segmentation!$Q$2:$Q$301,MATCH($A285,Segmentation!$A$2:$A$301,0))</f>
        <v>1</v>
      </c>
      <c r="K285" s="2" t="n">
        <f aca="false">INDEX(Segmentation!$W$2:$W$301,MATCH($A285,Segmentation!$A$2:$A$301,0))</f>
        <v>1</v>
      </c>
      <c r="L285" s="9" t="n">
        <f aca="false">INDEX('Commercial View'!$L$2:$L$301,MATCH($A285,'Commercial View'!$A$2:$A$301,0))</f>
        <v>0</v>
      </c>
      <c r="M285" s="9" t="n">
        <f aca="false">INDEX('Commercial View'!$M$2:$M$301,MATCH($A285,'Commercial View'!$A$2:$A$301,0))</f>
        <v>0</v>
      </c>
      <c r="N285" s="9" t="n">
        <f aca="false">INDEX('Commercial View'!$N$2:$N$301,MATCH($A285,'Commercial View'!$A$2:$A$301,0))</f>
        <v>104</v>
      </c>
      <c r="O285" s="9" t="n">
        <f aca="false">INDEX(Segmentation!$L$2:$L$301,MATCH($A285,Segmentation!$A$2:$A$301,0))</f>
        <v>104</v>
      </c>
      <c r="P285" s="2" t="str">
        <f aca="false">IF(OR(M285&gt;0,N285&gt;0),"Recently Active",IF(OR(I285&lt;=Assumptions!$B$48,K285&lt;=Assumptions!$B$49),"No Meaningful History","Recent Inactivity"))</f>
        <v>Recently Active</v>
      </c>
      <c r="Q285" s="2" t="str">
        <f aca="false">INDEX(Segmentation!$AF$2:$AF$301,MATCH($A285,Segmentation!$A$2:$A$301,0))</f>
        <v>New Customer</v>
      </c>
      <c r="R285" s="2" t="str">
        <f aca="false">INDEX(Segmentation!$AL$2:$AL$301,MATCH($A285,Segmentation!$A$2:$A$301,0))</f>
        <v>N/A</v>
      </c>
      <c r="S285" s="10" t="b">
        <f aca="false">INDEX(Segmentation!$AW$2:$AW$301,MATCH($A285,Segmentation!$A$2:$A$301,0))</f>
        <v>0</v>
      </c>
      <c r="T285" s="2" t="str">
        <f aca="false">INDEX('Feature Data'!$AD$2:$AD$301,MATCH($A285,'Feature Data'!$A$2:$A$301,0))</f>
        <v>One-off low-touch buyer</v>
      </c>
      <c r="U285" s="2" t="str">
        <f aca="false">INDEX('Feature Data'!$W$2:$W$301,MATCH($A285,'Feature Data'!$A$2:$A$301,0))</f>
        <v>Bundle-only</v>
      </c>
      <c r="V285" s="2" t="n">
        <f aca="false">INDEX('Feature Data'!$P$2:$P$301,MATCH($A285,'Feature Data'!$A$2:$A$301,0))</f>
        <v>0</v>
      </c>
      <c r="W285" s="2" t="n">
        <f aca="false">INDEX(Segmentation!$R$2:$R$301,MATCH($A285,Segmentation!$A$2:$A$301,0))</f>
        <v>1</v>
      </c>
      <c r="X285" s="2" t="n">
        <f aca="false">INDEX(Segmentation!$S$2:$S$301,MATCH($A285,Segmentation!$A$2:$A$301,0))</f>
        <v>0</v>
      </c>
      <c r="Y285" s="10" t="b">
        <f aca="false">INDEX(Segmentation!$AG$2:$AG$301,MATCH($A285,Segmentation!$A$2:$A$301,0))</f>
        <v>0</v>
      </c>
      <c r="Z285" s="2" t="str">
        <f aca="false">INDEX(Segmentation!$AU$2:$AU$301,MATCH($A285,Segmentation!$A$2:$A$301,0))</f>
        <v>Not Eligible</v>
      </c>
      <c r="AA285" s="10" t="b">
        <f aca="false">INDEX(Segmentation!$Z$2:$Z$301,MATCH($A285,Segmentation!$A$2:$A$301,0))</f>
        <v>0</v>
      </c>
      <c r="AB285" s="10" t="b">
        <f aca="false">INDEX(Segmentation!$AH$2:$AH$301,MATCH($A285,Segmentation!$A$2:$A$301,0))</f>
        <v>0</v>
      </c>
      <c r="AC285" s="10" t="b">
        <f aca="false">INDEX(Segmentation!$AK$2:$AK$301,MATCH($A285,Segmentation!$A$2:$A$301,0))</f>
        <v>1</v>
      </c>
      <c r="AD285" s="10" t="b">
        <f aca="false">INDEX(Segmentation!$AQ$2:$AQ$301,MATCH($A285,Segmentation!$A$2:$A$301,0))</f>
        <v>0</v>
      </c>
      <c r="AE285" s="10" t="b">
        <f aca="false">INDEX(Segmentation!$AT$2:$AT$301,MATCH($A285,Segmentation!$A$2:$A$301,0))</f>
        <v>0</v>
      </c>
      <c r="AF285" s="10" t="b">
        <f aca="false">INDEX(Segmentation!$X$2:$X$301,MATCH($A285,Segmentation!$A$2:$A$301,0))</f>
        <v>1</v>
      </c>
      <c r="AG285" s="10" t="b">
        <f aca="false">AND(F285="Low",V285&gt;=Assumptions!$B$71,X285&lt;Assumptions!$B$72)</f>
        <v>0</v>
      </c>
      <c r="AH285" s="10" t="b">
        <f aca="false">AND(F285="Low",OR(G285="Growing",G285="Stable"),P285="Recently Active",V285&gt;=Assumptions!$B$58,K285&gt;=Assumptions!$B$73)</f>
        <v>0</v>
      </c>
      <c r="AI285" s="17" t="n">
        <f aca="false">IF(O285&gt;0,MAX(L285:N285)/O285,"")</f>
        <v>1</v>
      </c>
      <c r="AJ285" s="2" t="str">
        <f aca="false">IF(LEFT(D285,1)="1",IF(E285="Key","MIGRATION_KEY_SIGNOFF",IF(Z285="Ready","MIGRATION_PHASE1_READY",IF(Z285="Manual Review","MIGRATION_PHASE1_REVIEW","MIGRATION_PRE_ENTRY"))),IF(LEFT(D285,1)="2","DECLINING_KEY_CORE",IF(LEFT(D285,1)="3",IF(R285="Established Buyer Lapsed","LAPSED_ESTABLISHED","LAPSED_THIN_HISTORY"),IF(LEFT(D285,1)="4",IF(Q285="New Customer","NEW_CUSTOMER","RETURNED_CUSTOMER"),IF(LEFT(D285,1)="5",IF(P285="Recently Active","COST_TO_SERVE_ACTIVE","DORMANT_LOW_VALUE"),IF(LEFT(D285,1)="6",IF(P285="Recent Inactivity","RECENT_INACTIVITY",IF(AG285,"BROWSING_LOW_OFFERS","HEALTHY_STRONG_SELF_SERVE")),IF(LEFT(D285,1)="7",IF(P285="Recent Inactivity","RECENT_INACTIVITY",IF(Q285="New Customer","NEW_CUSTOMER","RETURNED_CUSTOMER")),IF(LEFT(D285,1)="8",IF(G285="Declining",IF(T285="Engaged but shrinking (Key/Core)","ENGAGED_BUT_SHRINKING","DECLINING_KEY_CORE"),IF(R285="Established Buyer Lapsed","LAPSED_ESTABLISHED","LAPSED_THIN_HISTORY")),IF(S285,IF(P285&lt;&gt;"Recently Active","DORMANT_LOW_VALUE",IF(AG285,"BROWSING_LOW_OFFERS",IF(AH285,"RISING_TAIL","RISING_TAIL_EARLY"))),IF(AND(AG285,P285="Recently Active",OR(G285="Growing",G285="Stable",G285="H2 Active / No H1 GMV"),I285&gt;=Assumptions!$B$74),"BROWSING_LOW_OFFERS","LONG_TAIL_STANDARD"))))))))))</f>
        <v>LONG_TAIL_STANDARD</v>
      </c>
      <c r="AK285" s="2" t="str">
        <f aca="false">INDEX('NBA Library'!$B$4:$B$21,MATCH(AJ285,'NBA Library'!$A$4:$A$21,0))</f>
        <v>Automated Nurture</v>
      </c>
      <c r="AL285" s="2" t="str">
        <f aca="false">INDEX('NBA Library'!$C$4:$C$21,MATCH(AJ285,'NBA Library'!$A$4:$A$21,0))</f>
        <v>Automated</v>
      </c>
      <c r="AM285" s="2" t="str">
        <f aca="false">IF(AA285,"HOLD — Critical Data Issue",IF(Y285,"Human Sign-Off Required",IF(Z285="Manual Review","Human Review Required",IF(AND(AL285="Automated",OR(AE285,AND(OR(AK285="Discovery-to-Offer Enablement",AK285="Reinforce Successful Behaviour"),OR(AC285,AB285)))),"Human Review Required",IF(AL285="Human","Ready — Human",IF(AL285="Hybrid","Ready — Hybrid","Ready — Automated"))))))</f>
        <v>Ready — Automated</v>
      </c>
      <c r="AN285" s="2" t="str">
        <f aca="false">IF(AA285,"P0",IF(AND(AJ285="BROWSING_LOW_OFFERS",E285="Tail"),"P3",IF(AND(AM285="Human Review Required",INDEX('NBA Library'!$D$4:$D$21,MATCH(AJ285,'NBA Library'!$A$4:$A$21,0))="P4"),"P3",INDEX('NBA Library'!$D$4:$D$21,MATCH(AJ285,'NBA Library'!$A$4:$A$21,0)))))</f>
        <v>P4</v>
      </c>
      <c r="AO285" s="2" t="str">
        <f aca="false">E285&amp;" "&amp;C285&amp;" account ("&amp;B285&amp;"); "&amp;G285&amp;" momentum; "&amp;P285&amp;"; £"&amp;TEXT(H285,"#,##0")&amp;" 6m GMV. "&amp;INDEX('NBA Library'!$G$4:$G$21,MATCH(AJ285,'NBA Library'!$A$4:$A$21,0))&amp;IF(LEFT(D285,1)="1"," Baseline: "&amp;V285&amp;" PDP views, "&amp;W285&amp;" app days, "&amp;X285&amp;" offers, "&amp;TEXT(J285/I285,"0%")&amp;" of orders self-serve.","")&amp;IF(AA285," Execution on HOLD until the Duplicate status is resolved.","")&amp;IF(Y285," Key account: explicit AM/leadership sign-off required before any migration activity.","")&amp;IF(AE285," Implied broker % from order counts would move this account to a different segment; review before automating.","")</f>
        <v>Tail Self-Serve account (Self Serve); H2 Active / No H1 GMV momentum; Recently Active; £104 6m GMV. Low-value, low-dependency account. Scalable automated engagement.</v>
      </c>
      <c r="AP285" s="2" t="str">
        <f aca="false">INDEX('NBA Library'!$E$4:$E$21,MATCH(AJ285,'NBA Library'!$A$4:$A$21,0))&amp;IF(AND(AJ285="NEW_CUSTOMER",AG285),"; introduce Make-an-Offer on items already browsed","")</f>
        <v>Scalable automated engagement matched to nurture sub-context</v>
      </c>
      <c r="AQ285" s="2" t="str">
        <f aca="false">INDEX('NBA Library'!$F$4:$F$21,MATCH(AJ285,'NBA Library'!$A$4:$A$21,0))</f>
        <v>Any repeat order within 90 days</v>
      </c>
      <c r="AR285" s="2" t="str">
        <f aca="false">IF(AND(F285="Low",OR(G285="Growing",G285="Stable"),P285="Recently Active",U285&lt;&gt;"Mixed",OR(AK285="Discovery-to-Offer Enablement",AK285="Reinforce Successful Behaviour"),AM285="Ready — Automated",OR(E285&lt;&gt;"Tail",S285)),"Range Expansion Test — trial "&amp;IF(U285="Bundle-only","handpick","bundles")&amp;" (experimental; not proven to lift GMV)","")</f>
        <v/>
      </c>
      <c r="AS285" s="2" t="str">
        <f aca="false">IF(AK285&lt;&gt;"Automated Nurture","",IF(AJ285="DORMANT_LOW_VALUE","Dormant",IF(AJ285="RISING_TAIL_EARLY","Rising tail – early pattern",IF(Q285="New Customer","New customer onboarding",IF(Q285="Returned Customer","Returned customer",IF(G285="Lapsed","Dormant",IF(T285="Engaged, not converting","Engaged, not converting",IF(T285="One-off low-touch buyer","One-off purchaser",IF(T285="Light-touch repeat buyer","Light-touch repeat buyer","Standard long tail")))))))))</f>
        <v>New customer onboarding</v>
      </c>
      <c r="AT285" s="2" t="str">
        <f aca="false">IF(AA285,"CRITICAL_DATA_BLOCKER; ","")&amp;IF(Y285,"KEY_SIGNOFF; ","")&amp;IF(Z285="Manual Review","PHASE1_MANUAL_REVIEW; ","")&amp;IF(AND(LEFT(D285,1)="1",AZ285="Lumpy"),"LUMPY_CADENCE; ","")&amp;IF(AB285,"BORDERLINE_MOMENTUM; ","")&amp;IF(AC285,"FEB_SENSITIVE; ","")&amp;IF(AD285,"MATERIAL_BROKER_INCONSISTENCY"&amp;IF(AE285," (segment would change)","")&amp;"; ","")&amp;IF(AND(I285&gt;=3,O285&gt;0),IF(AI285&gt;=Assumptions!$B$75,"H2_SINGLE_MONTH_SPIKE; ",""),"")&amp;IF(AND(M285&gt;0,N285=0),"NO_FEB_GMV (Feb unconfirmed); ","")&amp;IF(AF285,"LOW_CONFIDENCE; ","")</f>
        <v>FEB_SENSITIVE; LOW_CONFIDENCE; </v>
      </c>
      <c r="AU285" s="2" t="str">
        <f aca="false">IF(LEFT(D285,1)="1",V285,"")</f>
        <v/>
      </c>
      <c r="AV285" s="2" t="str">
        <f aca="false">IF(LEFT(D285,1)="1",V285&gt;=Assumptions!$B$58,"")</f>
        <v/>
      </c>
      <c r="AW285" s="2" t="str">
        <f aca="false">IF(LEFT(D285,1)="1",W285,"")</f>
        <v/>
      </c>
      <c r="AX285" s="2" t="str">
        <f aca="false">IF(LEFT(D285,1)="1",X285,"")</f>
        <v/>
      </c>
      <c r="AY285" s="17" t="str">
        <f aca="false">IF(LEFT(D285,1)="1",J285/I285,"")</f>
        <v/>
      </c>
      <c r="AZ285" s="2" t="str">
        <f aca="false">IF(LEFT(D285,1)="1",IF(AND(K285&gt;=Assumptions!$B$83,I285&gt;=Assumptions!$B$84),"Regular","Lumpy"),"")</f>
        <v/>
      </c>
      <c r="BA285" s="2" t="str">
        <f aca="false">IF(LEFT(D285,1)="1",ROUND(6/K285,0),"")</f>
        <v/>
      </c>
      <c r="BB285" s="2" t="str">
        <f aca="false">IF(LEFT(D285,1)="1",IF(AZ285="Regular","Regular buyer: expected ~£"&amp;TEXT(H285/2,"#,##0")&amp;" per 90 days. At Risk if GMV to date &lt; "&amp;TEXT(Assumptions!$B$81,"0%")&amp;" of pro-rated expectation, checked from day "&amp;Assumptions!$B$82&amp;". Human-reviewed.","Irregular buyer ("&amp;I285&amp;" orders across "&amp;K285&amp;" months): no numeric GMV threshold. At Risk if no order within ~"&amp;BA285&amp;" month(s); AM reviews at day "&amp;Assumptions!$B$82&amp;" and "&amp;Assumptions!$B$85&amp;"."),"")</f>
        <v/>
      </c>
      <c r="BC285" s="2"/>
      <c r="BD285" s="2"/>
      <c r="BE285" s="2"/>
      <c r="BF285" s="2"/>
      <c r="BG285" s="2"/>
      <c r="BH285" s="2"/>
      <c r="BI285" s="2"/>
      <c r="BJ285" s="2" t="str">
        <f aca="false">IF(OR(NOT(LEFT(D285,1)="1"),BC285=""),"",IF(AZ285="Regular",AND(BC285&gt;=Assumptions!$B$82,N(BI285)&lt;Assumptions!$B$81*H285/180*BC285),AND(BC285&gt;=BA285*30,N(BG285)=0)))</f>
        <v/>
      </c>
      <c r="BK285" s="2" t="str">
        <f aca="false">IF(NOT(LEFT(D285,1)="1"),"N/A",IF(BC285="","Baseline",IF(BJ285,"At Risk",IF(AND(N(BD285)&gt;=Assumptions!$B$78,N(BE285)&gt;=Assumptions!$B$79,N(BH285)&gt;=1,N(BH285)/MAX(N(BG285),1)&gt;AY285),"Self-Serve Capability Demonstrated",IF(OR(N(BD285)&gt;=Assumptions!$B$76,N(BE285)&gt;=Assumptions!$B$77),"Progressing",IF(BC285&gt;=Assumptions!$B$85,"At Risk","Baseline"))))))</f>
        <v>N/A</v>
      </c>
      <c r="BL285" s="2" t="n">
        <f aca="false">(AND(C285="Broker-Reliant",OR(AK285="Discovery-to-Offer Enablement",AK285="Reinforce Successful Behaviour")))*1+(AND(G285="Declining",E285&lt;&gt;"Tail",AL285="Automated"))*1+(AND(Y285,AM285&lt;&gt;"Human Sign-Off Required"))*1+(AND(AA285,AM285&lt;&gt;"HOLD — Critical Data Issue"))*1+(AND(P285="Recent Inactivity",OR(AK285="Discovery-to-Offer Enablement",AK285="Reinforce Successful Behaviour")))*1+(AND(OR(LEFT(D285,1)="2",LEFT(D285,1)="3",LEFT(D285,1)="8"),AL285="Automated"))*1+((LEFT(D285,1)="1")&lt;&gt;(AK285="Guided Self-Serve Migration"))*1+(AND(AR285&lt;&gt;"",OR(F285&lt;&gt;"Low",U285="Mixed",AND(G285&lt;&gt;"Growing",G285&lt;&gt;"Stable"))))*1+ISNUMBER(SEARCH("chat",AP285))*1+ISNUMBER(SEARCH("video",AP285))*1+(AND(AA285,AL285="Automated",AM285&lt;&gt;"HOLD — Critical Data Issue"))*1</f>
        <v>0</v>
      </c>
    </row>
    <row r="286" customFormat="false" ht="15" hidden="false" customHeight="false" outlineLevel="0" collapsed="false">
      <c r="A286" s="2" t="s">
        <v>960</v>
      </c>
      <c r="B286" s="2" t="str">
        <f aca="false">INDEX(Segmentation!$B$2:$B$301,MATCH($A286,Segmentation!$A$2:$A$301,0))</f>
        <v>Self Serve</v>
      </c>
      <c r="C286" s="2" t="str">
        <f aca="false">INDEX(Segmentation!$H$2:$H$301,MATCH($A286,Segmentation!$A$2:$A$301,0))</f>
        <v>Self-Serve</v>
      </c>
      <c r="D286" s="2" t="str">
        <f aca="false">INDEX(Segmentation!$T$2:$T$301,MATCH($A286,Segmentation!$A$2:$A$301,0))</f>
        <v>9. Long-Tail Automated Nurture</v>
      </c>
      <c r="E286" s="2" t="str">
        <f aca="false">INDEX(Segmentation!$J$2:$J$301,MATCH($A286,Segmentation!$A$2:$A$301,0))</f>
        <v>Tail</v>
      </c>
      <c r="F286" s="2" t="str">
        <f aca="false">INDEX(Segmentation!$G$2:$G$301,MATCH($A286,Segmentation!$A$2:$A$301,0))</f>
        <v>Low</v>
      </c>
      <c r="G286" s="2" t="str">
        <f aca="false">INDEX(Segmentation!$N$2:$N$301,MATCH($A286,Segmentation!$A$2:$A$301,0))</f>
        <v>H2 Active / No H1 GMV</v>
      </c>
      <c r="H286" s="9" t="n">
        <f aca="false">INDEX(Segmentation!$I$2:$I$301,MATCH($A286,Segmentation!$A$2:$A$301,0))</f>
        <v>98</v>
      </c>
      <c r="I286" s="2" t="n">
        <f aca="false">INDEX(Segmentation!$O$2:$O$301,MATCH($A286,Segmentation!$A$2:$A$301,0))</f>
        <v>1</v>
      </c>
      <c r="J286" s="2" t="n">
        <f aca="false">INDEX(Segmentation!$Q$2:$Q$301,MATCH($A286,Segmentation!$A$2:$A$301,0))</f>
        <v>1</v>
      </c>
      <c r="K286" s="2" t="n">
        <f aca="false">INDEX(Segmentation!$W$2:$W$301,MATCH($A286,Segmentation!$A$2:$A$301,0))</f>
        <v>1</v>
      </c>
      <c r="L286" s="9" t="n">
        <f aca="false">INDEX('Commercial View'!$L$2:$L$301,MATCH($A286,'Commercial View'!$A$2:$A$301,0))</f>
        <v>0</v>
      </c>
      <c r="M286" s="9" t="n">
        <f aca="false">INDEX('Commercial View'!$M$2:$M$301,MATCH($A286,'Commercial View'!$A$2:$A$301,0))</f>
        <v>0</v>
      </c>
      <c r="N286" s="9" t="n">
        <f aca="false">INDEX('Commercial View'!$N$2:$N$301,MATCH($A286,'Commercial View'!$A$2:$A$301,0))</f>
        <v>98</v>
      </c>
      <c r="O286" s="9" t="n">
        <f aca="false">INDEX(Segmentation!$L$2:$L$301,MATCH($A286,Segmentation!$A$2:$A$301,0))</f>
        <v>98</v>
      </c>
      <c r="P286" s="2" t="str">
        <f aca="false">IF(OR(M286&gt;0,N286&gt;0),"Recently Active",IF(OR(I286&lt;=Assumptions!$B$48,K286&lt;=Assumptions!$B$49),"No Meaningful History","Recent Inactivity"))</f>
        <v>Recently Active</v>
      </c>
      <c r="Q286" s="2" t="str">
        <f aca="false">INDEX(Segmentation!$AF$2:$AF$301,MATCH($A286,Segmentation!$A$2:$A$301,0))</f>
        <v>New Customer</v>
      </c>
      <c r="R286" s="2" t="str">
        <f aca="false">INDEX(Segmentation!$AL$2:$AL$301,MATCH($A286,Segmentation!$A$2:$A$301,0))</f>
        <v>N/A</v>
      </c>
      <c r="S286" s="10" t="b">
        <f aca="false">INDEX(Segmentation!$AW$2:$AW$301,MATCH($A286,Segmentation!$A$2:$A$301,0))</f>
        <v>0</v>
      </c>
      <c r="T286" s="2" t="str">
        <f aca="false">INDEX('Feature Data'!$AD$2:$AD$301,MATCH($A286,'Feature Data'!$A$2:$A$301,0))</f>
        <v>One-off low-touch buyer</v>
      </c>
      <c r="U286" s="2" t="str">
        <f aca="false">INDEX('Feature Data'!$W$2:$W$301,MATCH($A286,'Feature Data'!$A$2:$A$301,0))</f>
        <v>Bundle-only</v>
      </c>
      <c r="V286" s="2" t="n">
        <f aca="false">INDEX('Feature Data'!$P$2:$P$301,MATCH($A286,'Feature Data'!$A$2:$A$301,0))</f>
        <v>0</v>
      </c>
      <c r="W286" s="2" t="n">
        <f aca="false">INDEX(Segmentation!$R$2:$R$301,MATCH($A286,Segmentation!$A$2:$A$301,0))</f>
        <v>0</v>
      </c>
      <c r="X286" s="2" t="n">
        <f aca="false">INDEX(Segmentation!$S$2:$S$301,MATCH($A286,Segmentation!$A$2:$A$301,0))</f>
        <v>0</v>
      </c>
      <c r="Y286" s="10" t="b">
        <f aca="false">INDEX(Segmentation!$AG$2:$AG$301,MATCH($A286,Segmentation!$A$2:$A$301,0))</f>
        <v>0</v>
      </c>
      <c r="Z286" s="2" t="str">
        <f aca="false">INDEX(Segmentation!$AU$2:$AU$301,MATCH($A286,Segmentation!$A$2:$A$301,0))</f>
        <v>Not Eligible</v>
      </c>
      <c r="AA286" s="10" t="b">
        <f aca="false">INDEX(Segmentation!$Z$2:$Z$301,MATCH($A286,Segmentation!$A$2:$A$301,0))</f>
        <v>0</v>
      </c>
      <c r="AB286" s="10" t="b">
        <f aca="false">INDEX(Segmentation!$AH$2:$AH$301,MATCH($A286,Segmentation!$A$2:$A$301,0))</f>
        <v>0</v>
      </c>
      <c r="AC286" s="10" t="b">
        <f aca="false">INDEX(Segmentation!$AK$2:$AK$301,MATCH($A286,Segmentation!$A$2:$A$301,0))</f>
        <v>1</v>
      </c>
      <c r="AD286" s="10" t="b">
        <f aca="false">INDEX(Segmentation!$AQ$2:$AQ$301,MATCH($A286,Segmentation!$A$2:$A$301,0))</f>
        <v>0</v>
      </c>
      <c r="AE286" s="10" t="b">
        <f aca="false">INDEX(Segmentation!$AT$2:$AT$301,MATCH($A286,Segmentation!$A$2:$A$301,0))</f>
        <v>0</v>
      </c>
      <c r="AF286" s="10" t="b">
        <f aca="false">INDEX(Segmentation!$X$2:$X$301,MATCH($A286,Segmentation!$A$2:$A$301,0))</f>
        <v>1</v>
      </c>
      <c r="AG286" s="10" t="b">
        <f aca="false">AND(F286="Low",V286&gt;=Assumptions!$B$71,X286&lt;Assumptions!$B$72)</f>
        <v>0</v>
      </c>
      <c r="AH286" s="10" t="b">
        <f aca="false">AND(F286="Low",OR(G286="Growing",G286="Stable"),P286="Recently Active",V286&gt;=Assumptions!$B$58,K286&gt;=Assumptions!$B$73)</f>
        <v>0</v>
      </c>
      <c r="AI286" s="17" t="n">
        <f aca="false">IF(O286&gt;0,MAX(L286:N286)/O286,"")</f>
        <v>1</v>
      </c>
      <c r="AJ286" s="2" t="str">
        <f aca="false">IF(LEFT(D286,1)="1",IF(E286="Key","MIGRATION_KEY_SIGNOFF",IF(Z286="Ready","MIGRATION_PHASE1_READY",IF(Z286="Manual Review","MIGRATION_PHASE1_REVIEW","MIGRATION_PRE_ENTRY"))),IF(LEFT(D286,1)="2","DECLINING_KEY_CORE",IF(LEFT(D286,1)="3",IF(R286="Established Buyer Lapsed","LAPSED_ESTABLISHED","LAPSED_THIN_HISTORY"),IF(LEFT(D286,1)="4",IF(Q286="New Customer","NEW_CUSTOMER","RETURNED_CUSTOMER"),IF(LEFT(D286,1)="5",IF(P286="Recently Active","COST_TO_SERVE_ACTIVE","DORMANT_LOW_VALUE"),IF(LEFT(D286,1)="6",IF(P286="Recent Inactivity","RECENT_INACTIVITY",IF(AG286,"BROWSING_LOW_OFFERS","HEALTHY_STRONG_SELF_SERVE")),IF(LEFT(D286,1)="7",IF(P286="Recent Inactivity","RECENT_INACTIVITY",IF(Q286="New Customer","NEW_CUSTOMER","RETURNED_CUSTOMER")),IF(LEFT(D286,1)="8",IF(G286="Declining",IF(T286="Engaged but shrinking (Key/Core)","ENGAGED_BUT_SHRINKING","DECLINING_KEY_CORE"),IF(R286="Established Buyer Lapsed","LAPSED_ESTABLISHED","LAPSED_THIN_HISTORY")),IF(S286,IF(P286&lt;&gt;"Recently Active","DORMANT_LOW_VALUE",IF(AG286,"BROWSING_LOW_OFFERS",IF(AH286,"RISING_TAIL","RISING_TAIL_EARLY"))),IF(AND(AG286,P286="Recently Active",OR(G286="Growing",G286="Stable",G286="H2 Active / No H1 GMV"),I286&gt;=Assumptions!$B$74),"BROWSING_LOW_OFFERS","LONG_TAIL_STANDARD"))))))))))</f>
        <v>LONG_TAIL_STANDARD</v>
      </c>
      <c r="AK286" s="2" t="str">
        <f aca="false">INDEX('NBA Library'!$B$4:$B$21,MATCH(AJ286,'NBA Library'!$A$4:$A$21,0))</f>
        <v>Automated Nurture</v>
      </c>
      <c r="AL286" s="2" t="str">
        <f aca="false">INDEX('NBA Library'!$C$4:$C$21,MATCH(AJ286,'NBA Library'!$A$4:$A$21,0))</f>
        <v>Automated</v>
      </c>
      <c r="AM286" s="2" t="str">
        <f aca="false">IF(AA286,"HOLD — Critical Data Issue",IF(Y286,"Human Sign-Off Required",IF(Z286="Manual Review","Human Review Required",IF(AND(AL286="Automated",OR(AE286,AND(OR(AK286="Discovery-to-Offer Enablement",AK286="Reinforce Successful Behaviour"),OR(AC286,AB286)))),"Human Review Required",IF(AL286="Human","Ready — Human",IF(AL286="Hybrid","Ready — Hybrid","Ready — Automated"))))))</f>
        <v>Ready — Automated</v>
      </c>
      <c r="AN286" s="2" t="str">
        <f aca="false">IF(AA286,"P0",IF(AND(AJ286="BROWSING_LOW_OFFERS",E286="Tail"),"P3",IF(AND(AM286="Human Review Required",INDEX('NBA Library'!$D$4:$D$21,MATCH(AJ286,'NBA Library'!$A$4:$A$21,0))="P4"),"P3",INDEX('NBA Library'!$D$4:$D$21,MATCH(AJ286,'NBA Library'!$A$4:$A$21,0)))))</f>
        <v>P4</v>
      </c>
      <c r="AO286" s="2" t="str">
        <f aca="false">E286&amp;" "&amp;C286&amp;" account ("&amp;B286&amp;"); "&amp;G286&amp;" momentum; "&amp;P286&amp;"; £"&amp;TEXT(H286,"#,##0")&amp;" 6m GMV. "&amp;INDEX('NBA Library'!$G$4:$G$21,MATCH(AJ286,'NBA Library'!$A$4:$A$21,0))&amp;IF(LEFT(D286,1)="1"," Baseline: "&amp;V286&amp;" PDP views, "&amp;W286&amp;" app days, "&amp;X286&amp;" offers, "&amp;TEXT(J286/I286,"0%")&amp;" of orders self-serve.","")&amp;IF(AA286," Execution on HOLD until the Duplicate status is resolved.","")&amp;IF(Y286," Key account: explicit AM/leadership sign-off required before any migration activity.","")&amp;IF(AE286," Implied broker % from order counts would move this account to a different segment; review before automating.","")</f>
        <v>Tail Self-Serve account (Self Serve); H2 Active / No H1 GMV momentum; Recently Active; £98 6m GMV. Low-value, low-dependency account. Scalable automated engagement.</v>
      </c>
      <c r="AP286" s="2" t="str">
        <f aca="false">INDEX('NBA Library'!$E$4:$E$21,MATCH(AJ286,'NBA Library'!$A$4:$A$21,0))&amp;IF(AND(AJ286="NEW_CUSTOMER",AG286),"; introduce Make-an-Offer on items already browsed","")</f>
        <v>Scalable automated engagement matched to nurture sub-context</v>
      </c>
      <c r="AQ286" s="2" t="str">
        <f aca="false">INDEX('NBA Library'!$F$4:$F$21,MATCH(AJ286,'NBA Library'!$A$4:$A$21,0))</f>
        <v>Any repeat order within 90 days</v>
      </c>
      <c r="AR286" s="2" t="str">
        <f aca="false">IF(AND(F286="Low",OR(G286="Growing",G286="Stable"),P286="Recently Active",U286&lt;&gt;"Mixed",OR(AK286="Discovery-to-Offer Enablement",AK286="Reinforce Successful Behaviour"),AM286="Ready — Automated",OR(E286&lt;&gt;"Tail",S286)),"Range Expansion Test — trial "&amp;IF(U286="Bundle-only","handpick","bundles")&amp;" (experimental; not proven to lift GMV)","")</f>
        <v/>
      </c>
      <c r="AS286" s="2" t="str">
        <f aca="false">IF(AK286&lt;&gt;"Automated Nurture","",IF(AJ286="DORMANT_LOW_VALUE","Dormant",IF(AJ286="RISING_TAIL_EARLY","Rising tail – early pattern",IF(Q286="New Customer","New customer onboarding",IF(Q286="Returned Customer","Returned customer",IF(G286="Lapsed","Dormant",IF(T286="Engaged, not converting","Engaged, not converting",IF(T286="One-off low-touch buyer","One-off purchaser",IF(T286="Light-touch repeat buyer","Light-touch repeat buyer","Standard long tail")))))))))</f>
        <v>New customer onboarding</v>
      </c>
      <c r="AT286" s="2" t="str">
        <f aca="false">IF(AA286,"CRITICAL_DATA_BLOCKER; ","")&amp;IF(Y286,"KEY_SIGNOFF; ","")&amp;IF(Z286="Manual Review","PHASE1_MANUAL_REVIEW; ","")&amp;IF(AND(LEFT(D286,1)="1",AZ286="Lumpy"),"LUMPY_CADENCE; ","")&amp;IF(AB286,"BORDERLINE_MOMENTUM; ","")&amp;IF(AC286,"FEB_SENSITIVE; ","")&amp;IF(AD286,"MATERIAL_BROKER_INCONSISTENCY"&amp;IF(AE286," (segment would change)","")&amp;"; ","")&amp;IF(AND(I286&gt;=3,O286&gt;0),IF(AI286&gt;=Assumptions!$B$75,"H2_SINGLE_MONTH_SPIKE; ",""),"")&amp;IF(AND(M286&gt;0,N286=0),"NO_FEB_GMV (Feb unconfirmed); ","")&amp;IF(AF286,"LOW_CONFIDENCE; ","")</f>
        <v>FEB_SENSITIVE; LOW_CONFIDENCE; </v>
      </c>
      <c r="AU286" s="2" t="str">
        <f aca="false">IF(LEFT(D286,1)="1",V286,"")</f>
        <v/>
      </c>
      <c r="AV286" s="2" t="str">
        <f aca="false">IF(LEFT(D286,1)="1",V286&gt;=Assumptions!$B$58,"")</f>
        <v/>
      </c>
      <c r="AW286" s="2" t="str">
        <f aca="false">IF(LEFT(D286,1)="1",W286,"")</f>
        <v/>
      </c>
      <c r="AX286" s="2" t="str">
        <f aca="false">IF(LEFT(D286,1)="1",X286,"")</f>
        <v/>
      </c>
      <c r="AY286" s="17" t="str">
        <f aca="false">IF(LEFT(D286,1)="1",J286/I286,"")</f>
        <v/>
      </c>
      <c r="AZ286" s="2" t="str">
        <f aca="false">IF(LEFT(D286,1)="1",IF(AND(K286&gt;=Assumptions!$B$83,I286&gt;=Assumptions!$B$84),"Regular","Lumpy"),"")</f>
        <v/>
      </c>
      <c r="BA286" s="2" t="str">
        <f aca="false">IF(LEFT(D286,1)="1",ROUND(6/K286,0),"")</f>
        <v/>
      </c>
      <c r="BB286" s="2" t="str">
        <f aca="false">IF(LEFT(D286,1)="1",IF(AZ286="Regular","Regular buyer: expected ~£"&amp;TEXT(H286/2,"#,##0")&amp;" per 90 days. At Risk if GMV to date &lt; "&amp;TEXT(Assumptions!$B$81,"0%")&amp;" of pro-rated expectation, checked from day "&amp;Assumptions!$B$82&amp;". Human-reviewed.","Irregular buyer ("&amp;I286&amp;" orders across "&amp;K286&amp;" months): no numeric GMV threshold. At Risk if no order within ~"&amp;BA286&amp;" month(s); AM reviews at day "&amp;Assumptions!$B$82&amp;" and "&amp;Assumptions!$B$85&amp;"."),"")</f>
        <v/>
      </c>
      <c r="BC286" s="2"/>
      <c r="BD286" s="2"/>
      <c r="BE286" s="2"/>
      <c r="BF286" s="2"/>
      <c r="BG286" s="2"/>
      <c r="BH286" s="2"/>
      <c r="BI286" s="2"/>
      <c r="BJ286" s="2" t="str">
        <f aca="false">IF(OR(NOT(LEFT(D286,1)="1"),BC286=""),"",IF(AZ286="Regular",AND(BC286&gt;=Assumptions!$B$82,N(BI286)&lt;Assumptions!$B$81*H286/180*BC286),AND(BC286&gt;=BA286*30,N(BG286)=0)))</f>
        <v/>
      </c>
      <c r="BK286" s="2" t="str">
        <f aca="false">IF(NOT(LEFT(D286,1)="1"),"N/A",IF(BC286="","Baseline",IF(BJ286,"At Risk",IF(AND(N(BD286)&gt;=Assumptions!$B$78,N(BE286)&gt;=Assumptions!$B$79,N(BH286)&gt;=1,N(BH286)/MAX(N(BG286),1)&gt;AY286),"Self-Serve Capability Demonstrated",IF(OR(N(BD286)&gt;=Assumptions!$B$76,N(BE286)&gt;=Assumptions!$B$77),"Progressing",IF(BC286&gt;=Assumptions!$B$85,"At Risk","Baseline"))))))</f>
        <v>N/A</v>
      </c>
      <c r="BL286" s="2" t="n">
        <f aca="false">(AND(C286="Broker-Reliant",OR(AK286="Discovery-to-Offer Enablement",AK286="Reinforce Successful Behaviour")))*1+(AND(G286="Declining",E286&lt;&gt;"Tail",AL286="Automated"))*1+(AND(Y286,AM286&lt;&gt;"Human Sign-Off Required"))*1+(AND(AA286,AM286&lt;&gt;"HOLD — Critical Data Issue"))*1+(AND(P286="Recent Inactivity",OR(AK286="Discovery-to-Offer Enablement",AK286="Reinforce Successful Behaviour")))*1+(AND(OR(LEFT(D286,1)="2",LEFT(D286,1)="3",LEFT(D286,1)="8"),AL286="Automated"))*1+((LEFT(D286,1)="1")&lt;&gt;(AK286="Guided Self-Serve Migration"))*1+(AND(AR286&lt;&gt;"",OR(F286&lt;&gt;"Low",U286="Mixed",AND(G286&lt;&gt;"Growing",G286&lt;&gt;"Stable"))))*1+ISNUMBER(SEARCH("chat",AP286))*1+ISNUMBER(SEARCH("video",AP286))*1+(AND(AA286,AL286="Automated",AM286&lt;&gt;"HOLD — Critical Data Issue"))*1</f>
        <v>0</v>
      </c>
    </row>
    <row r="287" customFormat="false" ht="15" hidden="false" customHeight="false" outlineLevel="0" collapsed="false">
      <c r="A287" s="2" t="s">
        <v>968</v>
      </c>
      <c r="B287" s="2" t="str">
        <f aca="false">INDEX(Segmentation!$B$2:$B$301,MATCH($A287,Segmentation!$A$2:$A$301,0))</f>
        <v>Self Serve</v>
      </c>
      <c r="C287" s="2" t="str">
        <f aca="false">INDEX(Segmentation!$H$2:$H$301,MATCH($A287,Segmentation!$A$2:$A$301,0))</f>
        <v>Self-Serve</v>
      </c>
      <c r="D287" s="2" t="str">
        <f aca="false">INDEX(Segmentation!$T$2:$T$301,MATCH($A287,Segmentation!$A$2:$A$301,0))</f>
        <v>9. Long-Tail Automated Nurture</v>
      </c>
      <c r="E287" s="2" t="str">
        <f aca="false">INDEX(Segmentation!$J$2:$J$301,MATCH($A287,Segmentation!$A$2:$A$301,0))</f>
        <v>Tail</v>
      </c>
      <c r="F287" s="2" t="str">
        <f aca="false">INDEX(Segmentation!$G$2:$G$301,MATCH($A287,Segmentation!$A$2:$A$301,0))</f>
        <v>Low</v>
      </c>
      <c r="G287" s="2" t="str">
        <f aca="false">INDEX(Segmentation!$N$2:$N$301,MATCH($A287,Segmentation!$A$2:$A$301,0))</f>
        <v>Lapsed</v>
      </c>
      <c r="H287" s="9" t="n">
        <f aca="false">INDEX(Segmentation!$I$2:$I$301,MATCH($A287,Segmentation!$A$2:$A$301,0))</f>
        <v>96</v>
      </c>
      <c r="I287" s="2" t="n">
        <f aca="false">INDEX(Segmentation!$O$2:$O$301,MATCH($A287,Segmentation!$A$2:$A$301,0))</f>
        <v>1</v>
      </c>
      <c r="J287" s="2" t="n">
        <f aca="false">INDEX(Segmentation!$Q$2:$Q$301,MATCH($A287,Segmentation!$A$2:$A$301,0))</f>
        <v>1</v>
      </c>
      <c r="K287" s="2" t="n">
        <f aca="false">INDEX(Segmentation!$W$2:$W$301,MATCH($A287,Segmentation!$A$2:$A$301,0))</f>
        <v>1</v>
      </c>
      <c r="L287" s="9" t="n">
        <f aca="false">INDEX('Commercial View'!$L$2:$L$301,MATCH($A287,'Commercial View'!$A$2:$A$301,0))</f>
        <v>0</v>
      </c>
      <c r="M287" s="9" t="n">
        <f aca="false">INDEX('Commercial View'!$M$2:$M$301,MATCH($A287,'Commercial View'!$A$2:$A$301,0))</f>
        <v>0</v>
      </c>
      <c r="N287" s="9" t="n">
        <f aca="false">INDEX('Commercial View'!$N$2:$N$301,MATCH($A287,'Commercial View'!$A$2:$A$301,0))</f>
        <v>0</v>
      </c>
      <c r="O287" s="9" t="n">
        <f aca="false">INDEX(Segmentation!$L$2:$L$301,MATCH($A287,Segmentation!$A$2:$A$301,0))</f>
        <v>0</v>
      </c>
      <c r="P287" s="2" t="str">
        <f aca="false">IF(OR(M287&gt;0,N287&gt;0),"Recently Active",IF(OR(I287&lt;=Assumptions!$B$48,K287&lt;=Assumptions!$B$49),"No Meaningful History","Recent Inactivity"))</f>
        <v>No Meaningful History</v>
      </c>
      <c r="Q287" s="2" t="str">
        <f aca="false">INDEX(Segmentation!$AF$2:$AF$301,MATCH($A287,Segmentation!$A$2:$A$301,0))</f>
        <v>Existing Customer</v>
      </c>
      <c r="R287" s="2" t="str">
        <f aca="false">INDEX(Segmentation!$AL$2:$AL$301,MATCH($A287,Segmentation!$A$2:$A$301,0))</f>
        <v>One-Off / Insufficient History — Verify</v>
      </c>
      <c r="S287" s="10" t="b">
        <f aca="false">INDEX(Segmentation!$AW$2:$AW$301,MATCH($A287,Segmentation!$A$2:$A$301,0))</f>
        <v>0</v>
      </c>
      <c r="T287" s="2" t="str">
        <f aca="false">INDEX('Feature Data'!$AD$2:$AD$301,MATCH($A287,'Feature Data'!$A$2:$A$301,0))</f>
        <v>Engaged, not converting</v>
      </c>
      <c r="U287" s="2" t="str">
        <f aca="false">INDEX('Feature Data'!$W$2:$W$301,MATCH($A287,'Feature Data'!$A$2:$A$301,0))</f>
        <v>Bundle-only</v>
      </c>
      <c r="V287" s="2" t="n">
        <f aca="false">INDEX('Feature Data'!$P$2:$P$301,MATCH($A287,'Feature Data'!$A$2:$A$301,0))</f>
        <v>517</v>
      </c>
      <c r="W287" s="2" t="n">
        <f aca="false">INDEX(Segmentation!$R$2:$R$301,MATCH($A287,Segmentation!$A$2:$A$301,0))</f>
        <v>15</v>
      </c>
      <c r="X287" s="2" t="n">
        <f aca="false">INDEX(Segmentation!$S$2:$S$301,MATCH($A287,Segmentation!$A$2:$A$301,0))</f>
        <v>35</v>
      </c>
      <c r="Y287" s="10" t="b">
        <f aca="false">INDEX(Segmentation!$AG$2:$AG$301,MATCH($A287,Segmentation!$A$2:$A$301,0))</f>
        <v>0</v>
      </c>
      <c r="Z287" s="2" t="str">
        <f aca="false">INDEX(Segmentation!$AU$2:$AU$301,MATCH($A287,Segmentation!$A$2:$A$301,0))</f>
        <v>Not Eligible</v>
      </c>
      <c r="AA287" s="10" t="b">
        <f aca="false">INDEX(Segmentation!$Z$2:$Z$301,MATCH($A287,Segmentation!$A$2:$A$301,0))</f>
        <v>0</v>
      </c>
      <c r="AB287" s="10" t="b">
        <f aca="false">INDEX(Segmentation!$AH$2:$AH$301,MATCH($A287,Segmentation!$A$2:$A$301,0))</f>
        <v>0</v>
      </c>
      <c r="AC287" s="10" t="b">
        <f aca="false">INDEX(Segmentation!$AK$2:$AK$301,MATCH($A287,Segmentation!$A$2:$A$301,0))</f>
        <v>0</v>
      </c>
      <c r="AD287" s="10" t="b">
        <f aca="false">INDEX(Segmentation!$AQ$2:$AQ$301,MATCH($A287,Segmentation!$A$2:$A$301,0))</f>
        <v>0</v>
      </c>
      <c r="AE287" s="10" t="b">
        <f aca="false">INDEX(Segmentation!$AT$2:$AT$301,MATCH($A287,Segmentation!$A$2:$A$301,0))</f>
        <v>0</v>
      </c>
      <c r="AF287" s="10" t="b">
        <f aca="false">INDEX(Segmentation!$X$2:$X$301,MATCH($A287,Segmentation!$A$2:$A$301,0))</f>
        <v>1</v>
      </c>
      <c r="AG287" s="10" t="b">
        <f aca="false">AND(F287="Low",V287&gt;=Assumptions!$B$71,X287&lt;Assumptions!$B$72)</f>
        <v>0</v>
      </c>
      <c r="AH287" s="10" t="b">
        <f aca="false">AND(F287="Low",OR(G287="Growing",G287="Stable"),P287="Recently Active",V287&gt;=Assumptions!$B$58,K287&gt;=Assumptions!$B$73)</f>
        <v>0</v>
      </c>
      <c r="AI287" s="17" t="str">
        <f aca="false">IF(O287&gt;0,MAX(L287:N287)/O287,"")</f>
        <v/>
      </c>
      <c r="AJ287" s="2" t="str">
        <f aca="false">IF(LEFT(D287,1)="1",IF(E287="Key","MIGRATION_KEY_SIGNOFF",IF(Z287="Ready","MIGRATION_PHASE1_READY",IF(Z287="Manual Review","MIGRATION_PHASE1_REVIEW","MIGRATION_PRE_ENTRY"))),IF(LEFT(D287,1)="2","DECLINING_KEY_CORE",IF(LEFT(D287,1)="3",IF(R287="Established Buyer Lapsed","LAPSED_ESTABLISHED","LAPSED_THIN_HISTORY"),IF(LEFT(D287,1)="4",IF(Q287="New Customer","NEW_CUSTOMER","RETURNED_CUSTOMER"),IF(LEFT(D287,1)="5",IF(P287="Recently Active","COST_TO_SERVE_ACTIVE","DORMANT_LOW_VALUE"),IF(LEFT(D287,1)="6",IF(P287="Recent Inactivity","RECENT_INACTIVITY",IF(AG287,"BROWSING_LOW_OFFERS","HEALTHY_STRONG_SELF_SERVE")),IF(LEFT(D287,1)="7",IF(P287="Recent Inactivity","RECENT_INACTIVITY",IF(Q287="New Customer","NEW_CUSTOMER","RETURNED_CUSTOMER")),IF(LEFT(D287,1)="8",IF(G287="Declining",IF(T287="Engaged but shrinking (Key/Core)","ENGAGED_BUT_SHRINKING","DECLINING_KEY_CORE"),IF(R287="Established Buyer Lapsed","LAPSED_ESTABLISHED","LAPSED_THIN_HISTORY")),IF(S287,IF(P287&lt;&gt;"Recently Active","DORMANT_LOW_VALUE",IF(AG287,"BROWSING_LOW_OFFERS",IF(AH287,"RISING_TAIL","RISING_TAIL_EARLY"))),IF(AND(AG287,P287="Recently Active",OR(G287="Growing",G287="Stable",G287="H2 Active / No H1 GMV"),I287&gt;=Assumptions!$B$74),"BROWSING_LOW_OFFERS","LONG_TAIL_STANDARD"))))))))))</f>
        <v>LONG_TAIL_STANDARD</v>
      </c>
      <c r="AK287" s="2" t="str">
        <f aca="false">INDEX('NBA Library'!$B$4:$B$21,MATCH(AJ287,'NBA Library'!$A$4:$A$21,0))</f>
        <v>Automated Nurture</v>
      </c>
      <c r="AL287" s="2" t="str">
        <f aca="false">INDEX('NBA Library'!$C$4:$C$21,MATCH(AJ287,'NBA Library'!$A$4:$A$21,0))</f>
        <v>Automated</v>
      </c>
      <c r="AM287" s="2" t="str">
        <f aca="false">IF(AA287,"HOLD — Critical Data Issue",IF(Y287,"Human Sign-Off Required",IF(Z287="Manual Review","Human Review Required",IF(AND(AL287="Automated",OR(AE287,AND(OR(AK287="Discovery-to-Offer Enablement",AK287="Reinforce Successful Behaviour"),OR(AC287,AB287)))),"Human Review Required",IF(AL287="Human","Ready — Human",IF(AL287="Hybrid","Ready — Hybrid","Ready — Automated"))))))</f>
        <v>Ready — Automated</v>
      </c>
      <c r="AN287" s="2" t="str">
        <f aca="false">IF(AA287,"P0",IF(AND(AJ287="BROWSING_LOW_OFFERS",E287="Tail"),"P3",IF(AND(AM287="Human Review Required",INDEX('NBA Library'!$D$4:$D$21,MATCH(AJ287,'NBA Library'!$A$4:$A$21,0))="P4"),"P3",INDEX('NBA Library'!$D$4:$D$21,MATCH(AJ287,'NBA Library'!$A$4:$A$21,0)))))</f>
        <v>P4</v>
      </c>
      <c r="AO287" s="2" t="str">
        <f aca="false">E287&amp;" "&amp;C287&amp;" account ("&amp;B287&amp;"); "&amp;G287&amp;" momentum; "&amp;P287&amp;"; £"&amp;TEXT(H287,"#,##0")&amp;" 6m GMV. "&amp;INDEX('NBA Library'!$G$4:$G$21,MATCH(AJ287,'NBA Library'!$A$4:$A$21,0))&amp;IF(LEFT(D287,1)="1"," Baseline: "&amp;V287&amp;" PDP views, "&amp;W287&amp;" app days, "&amp;X287&amp;" offers, "&amp;TEXT(J287/I287,"0%")&amp;" of orders self-serve.","")&amp;IF(AA287," Execution on HOLD until the Duplicate status is resolved.","")&amp;IF(Y287," Key account: explicit AM/leadership sign-off required before any migration activity.","")&amp;IF(AE287," Implied broker % from order counts would move this account to a different segment; review before automating.","")</f>
        <v>Tail Self-Serve account (Self Serve); Lapsed momentum; No Meaningful History; £96 6m GMV. Low-value, low-dependency account. Scalable automated engagement.</v>
      </c>
      <c r="AP287" s="2" t="str">
        <f aca="false">INDEX('NBA Library'!$E$4:$E$21,MATCH(AJ287,'NBA Library'!$A$4:$A$21,0))&amp;IF(AND(AJ287="NEW_CUSTOMER",AG287),"; introduce Make-an-Offer on items already browsed","")</f>
        <v>Scalable automated engagement matched to nurture sub-context</v>
      </c>
      <c r="AQ287" s="2" t="str">
        <f aca="false">INDEX('NBA Library'!$F$4:$F$21,MATCH(AJ287,'NBA Library'!$A$4:$A$21,0))</f>
        <v>Any repeat order within 90 days</v>
      </c>
      <c r="AR287" s="2" t="str">
        <f aca="false">IF(AND(F287="Low",OR(G287="Growing",G287="Stable"),P287="Recently Active",U287&lt;&gt;"Mixed",OR(AK287="Discovery-to-Offer Enablement",AK287="Reinforce Successful Behaviour"),AM287="Ready — Automated",OR(E287&lt;&gt;"Tail",S287)),"Range Expansion Test — trial "&amp;IF(U287="Bundle-only","handpick","bundles")&amp;" (experimental; not proven to lift GMV)","")</f>
        <v/>
      </c>
      <c r="AS287" s="2" t="str">
        <f aca="false">IF(AK287&lt;&gt;"Automated Nurture","",IF(AJ287="DORMANT_LOW_VALUE","Dormant",IF(AJ287="RISING_TAIL_EARLY","Rising tail – early pattern",IF(Q287="New Customer","New customer onboarding",IF(Q287="Returned Customer","Returned customer",IF(G287="Lapsed","Dormant",IF(T287="Engaged, not converting","Engaged, not converting",IF(T287="One-off low-touch buyer","One-off purchaser",IF(T287="Light-touch repeat buyer","Light-touch repeat buyer","Standard long tail")))))))))</f>
        <v>Dormant</v>
      </c>
      <c r="AT287" s="2" t="str">
        <f aca="false">IF(AA287,"CRITICAL_DATA_BLOCKER; ","")&amp;IF(Y287,"KEY_SIGNOFF; ","")&amp;IF(Z287="Manual Review","PHASE1_MANUAL_REVIEW; ","")&amp;IF(AND(LEFT(D287,1)="1",AZ287="Lumpy"),"LUMPY_CADENCE; ","")&amp;IF(AB287,"BORDERLINE_MOMENTUM; ","")&amp;IF(AC287,"FEB_SENSITIVE; ","")&amp;IF(AD287,"MATERIAL_BROKER_INCONSISTENCY"&amp;IF(AE287," (segment would change)","")&amp;"; ","")&amp;IF(AND(I287&gt;=3,O287&gt;0),IF(AI287&gt;=Assumptions!$B$75,"H2_SINGLE_MONTH_SPIKE; ",""),"")&amp;IF(AND(M287&gt;0,N287=0),"NO_FEB_GMV (Feb unconfirmed); ","")&amp;IF(AF287,"LOW_CONFIDENCE; ","")</f>
        <v>LOW_CONFIDENCE; </v>
      </c>
      <c r="AU287" s="2" t="str">
        <f aca="false">IF(LEFT(D287,1)="1",V287,"")</f>
        <v/>
      </c>
      <c r="AV287" s="2" t="str">
        <f aca="false">IF(LEFT(D287,1)="1",V287&gt;=Assumptions!$B$58,"")</f>
        <v/>
      </c>
      <c r="AW287" s="2" t="str">
        <f aca="false">IF(LEFT(D287,1)="1",W287,"")</f>
        <v/>
      </c>
      <c r="AX287" s="2" t="str">
        <f aca="false">IF(LEFT(D287,1)="1",X287,"")</f>
        <v/>
      </c>
      <c r="AY287" s="17" t="str">
        <f aca="false">IF(LEFT(D287,1)="1",J287/I287,"")</f>
        <v/>
      </c>
      <c r="AZ287" s="2" t="str">
        <f aca="false">IF(LEFT(D287,1)="1",IF(AND(K287&gt;=Assumptions!$B$83,I287&gt;=Assumptions!$B$84),"Regular","Lumpy"),"")</f>
        <v/>
      </c>
      <c r="BA287" s="2" t="str">
        <f aca="false">IF(LEFT(D287,1)="1",ROUND(6/K287,0),"")</f>
        <v/>
      </c>
      <c r="BB287" s="2" t="str">
        <f aca="false">IF(LEFT(D287,1)="1",IF(AZ287="Regular","Regular buyer: expected ~£"&amp;TEXT(H287/2,"#,##0")&amp;" per 90 days. At Risk if GMV to date &lt; "&amp;TEXT(Assumptions!$B$81,"0%")&amp;" of pro-rated expectation, checked from day "&amp;Assumptions!$B$82&amp;". Human-reviewed.","Irregular buyer ("&amp;I287&amp;" orders across "&amp;K287&amp;" months): no numeric GMV threshold. At Risk if no order within ~"&amp;BA287&amp;" month(s); AM reviews at day "&amp;Assumptions!$B$82&amp;" and "&amp;Assumptions!$B$85&amp;"."),"")</f>
        <v/>
      </c>
      <c r="BC287" s="2"/>
      <c r="BD287" s="2"/>
      <c r="BE287" s="2"/>
      <c r="BF287" s="2"/>
      <c r="BG287" s="2"/>
      <c r="BH287" s="2"/>
      <c r="BI287" s="2"/>
      <c r="BJ287" s="2" t="str">
        <f aca="false">IF(OR(NOT(LEFT(D287,1)="1"),BC287=""),"",IF(AZ287="Regular",AND(BC287&gt;=Assumptions!$B$82,N(BI287)&lt;Assumptions!$B$81*H287/180*BC287),AND(BC287&gt;=BA287*30,N(BG287)=0)))</f>
        <v/>
      </c>
      <c r="BK287" s="2" t="str">
        <f aca="false">IF(NOT(LEFT(D287,1)="1"),"N/A",IF(BC287="","Baseline",IF(BJ287,"At Risk",IF(AND(N(BD287)&gt;=Assumptions!$B$78,N(BE287)&gt;=Assumptions!$B$79,N(BH287)&gt;=1,N(BH287)/MAX(N(BG287),1)&gt;AY287),"Self-Serve Capability Demonstrated",IF(OR(N(BD287)&gt;=Assumptions!$B$76,N(BE287)&gt;=Assumptions!$B$77),"Progressing",IF(BC287&gt;=Assumptions!$B$85,"At Risk","Baseline"))))))</f>
        <v>N/A</v>
      </c>
      <c r="BL287" s="2" t="n">
        <f aca="false">(AND(C287="Broker-Reliant",OR(AK287="Discovery-to-Offer Enablement",AK287="Reinforce Successful Behaviour")))*1+(AND(G287="Declining",E287&lt;&gt;"Tail",AL287="Automated"))*1+(AND(Y287,AM287&lt;&gt;"Human Sign-Off Required"))*1+(AND(AA287,AM287&lt;&gt;"HOLD — Critical Data Issue"))*1+(AND(P287="Recent Inactivity",OR(AK287="Discovery-to-Offer Enablement",AK287="Reinforce Successful Behaviour")))*1+(AND(OR(LEFT(D287,1)="2",LEFT(D287,1)="3",LEFT(D287,1)="8"),AL287="Automated"))*1+((LEFT(D287,1)="1")&lt;&gt;(AK287="Guided Self-Serve Migration"))*1+(AND(AR287&lt;&gt;"",OR(F287&lt;&gt;"Low",U287="Mixed",AND(G287&lt;&gt;"Growing",G287&lt;&gt;"Stable"))))*1+ISNUMBER(SEARCH("chat",AP287))*1+ISNUMBER(SEARCH("video",AP287))*1+(AND(AA287,AL287="Automated",AM287&lt;&gt;"HOLD — Critical Data Issue"))*1</f>
        <v>0</v>
      </c>
    </row>
    <row r="288" customFormat="false" ht="15" hidden="false" customHeight="false" outlineLevel="0" collapsed="false">
      <c r="A288" s="2" t="s">
        <v>972</v>
      </c>
      <c r="B288" s="2" t="str">
        <f aca="false">INDEX(Segmentation!$B$2:$B$301,MATCH($A288,Segmentation!$A$2:$A$301,0))</f>
        <v>Self Serve</v>
      </c>
      <c r="C288" s="2" t="str">
        <f aca="false">INDEX(Segmentation!$H$2:$H$301,MATCH($A288,Segmentation!$A$2:$A$301,0))</f>
        <v>Self-Serve</v>
      </c>
      <c r="D288" s="2" t="str">
        <f aca="false">INDEX(Segmentation!$T$2:$T$301,MATCH($A288,Segmentation!$A$2:$A$301,0))</f>
        <v>9. Long-Tail Automated Nurture</v>
      </c>
      <c r="E288" s="2" t="str">
        <f aca="false">INDEX(Segmentation!$J$2:$J$301,MATCH($A288,Segmentation!$A$2:$A$301,0))</f>
        <v>Tail</v>
      </c>
      <c r="F288" s="2" t="str">
        <f aca="false">INDEX(Segmentation!$G$2:$G$301,MATCH($A288,Segmentation!$A$2:$A$301,0))</f>
        <v>Low</v>
      </c>
      <c r="G288" s="2" t="str">
        <f aca="false">INDEX(Segmentation!$N$2:$N$301,MATCH($A288,Segmentation!$A$2:$A$301,0))</f>
        <v>H2 Active / No H1 GMV</v>
      </c>
      <c r="H288" s="9" t="n">
        <f aca="false">INDEX(Segmentation!$I$2:$I$301,MATCH($A288,Segmentation!$A$2:$A$301,0))</f>
        <v>94</v>
      </c>
      <c r="I288" s="2" t="n">
        <f aca="false">INDEX(Segmentation!$O$2:$O$301,MATCH($A288,Segmentation!$A$2:$A$301,0))</f>
        <v>1</v>
      </c>
      <c r="J288" s="2" t="n">
        <f aca="false">INDEX(Segmentation!$Q$2:$Q$301,MATCH($A288,Segmentation!$A$2:$A$301,0))</f>
        <v>1</v>
      </c>
      <c r="K288" s="2" t="n">
        <f aca="false">INDEX(Segmentation!$W$2:$W$301,MATCH($A288,Segmentation!$A$2:$A$301,0))</f>
        <v>1</v>
      </c>
      <c r="L288" s="9" t="n">
        <f aca="false">INDEX('Commercial View'!$L$2:$L$301,MATCH($A288,'Commercial View'!$A$2:$A$301,0))</f>
        <v>94</v>
      </c>
      <c r="M288" s="9" t="n">
        <f aca="false">INDEX('Commercial View'!$M$2:$M$301,MATCH($A288,'Commercial View'!$A$2:$A$301,0))</f>
        <v>0</v>
      </c>
      <c r="N288" s="9" t="n">
        <f aca="false">INDEX('Commercial View'!$N$2:$N$301,MATCH($A288,'Commercial View'!$A$2:$A$301,0))</f>
        <v>0</v>
      </c>
      <c r="O288" s="9" t="n">
        <f aca="false">INDEX(Segmentation!$L$2:$L$301,MATCH($A288,Segmentation!$A$2:$A$301,0))</f>
        <v>94</v>
      </c>
      <c r="P288" s="2" t="str">
        <f aca="false">IF(OR(M288&gt;0,N288&gt;0),"Recently Active",IF(OR(I288&lt;=Assumptions!$B$48,K288&lt;=Assumptions!$B$49),"No Meaningful History","Recent Inactivity"))</f>
        <v>No Meaningful History</v>
      </c>
      <c r="Q288" s="2" t="str">
        <f aca="false">INDEX(Segmentation!$AF$2:$AF$301,MATCH($A288,Segmentation!$A$2:$A$301,0))</f>
        <v>New Customer</v>
      </c>
      <c r="R288" s="2" t="str">
        <f aca="false">INDEX(Segmentation!$AL$2:$AL$301,MATCH($A288,Segmentation!$A$2:$A$301,0))</f>
        <v>N/A</v>
      </c>
      <c r="S288" s="10" t="b">
        <f aca="false">INDEX(Segmentation!$AW$2:$AW$301,MATCH($A288,Segmentation!$A$2:$A$301,0))</f>
        <v>0</v>
      </c>
      <c r="T288" s="2" t="str">
        <f aca="false">INDEX('Feature Data'!$AD$2:$AD$301,MATCH($A288,'Feature Data'!$A$2:$A$301,0))</f>
        <v>One-off low-touch buyer</v>
      </c>
      <c r="U288" s="2" t="str">
        <f aca="false">INDEX('Feature Data'!$W$2:$W$301,MATCH($A288,'Feature Data'!$A$2:$A$301,0))</f>
        <v>Bundle-only</v>
      </c>
      <c r="V288" s="2" t="n">
        <f aca="false">INDEX('Feature Data'!$P$2:$P$301,MATCH($A288,'Feature Data'!$A$2:$A$301,0))</f>
        <v>191</v>
      </c>
      <c r="W288" s="2" t="n">
        <f aca="false">INDEX(Segmentation!$R$2:$R$301,MATCH($A288,Segmentation!$A$2:$A$301,0))</f>
        <v>15</v>
      </c>
      <c r="X288" s="2" t="n">
        <f aca="false">INDEX(Segmentation!$S$2:$S$301,MATCH($A288,Segmentation!$A$2:$A$301,0))</f>
        <v>0</v>
      </c>
      <c r="Y288" s="10" t="b">
        <f aca="false">INDEX(Segmentation!$AG$2:$AG$301,MATCH($A288,Segmentation!$A$2:$A$301,0))</f>
        <v>0</v>
      </c>
      <c r="Z288" s="2" t="str">
        <f aca="false">INDEX(Segmentation!$AU$2:$AU$301,MATCH($A288,Segmentation!$A$2:$A$301,0))</f>
        <v>Not Eligible</v>
      </c>
      <c r="AA288" s="10" t="b">
        <f aca="false">INDEX(Segmentation!$Z$2:$Z$301,MATCH($A288,Segmentation!$A$2:$A$301,0))</f>
        <v>0</v>
      </c>
      <c r="AB288" s="10" t="b">
        <f aca="false">INDEX(Segmentation!$AH$2:$AH$301,MATCH($A288,Segmentation!$A$2:$A$301,0))</f>
        <v>0</v>
      </c>
      <c r="AC288" s="10" t="b">
        <f aca="false">INDEX(Segmentation!$AK$2:$AK$301,MATCH($A288,Segmentation!$A$2:$A$301,0))</f>
        <v>0</v>
      </c>
      <c r="AD288" s="10" t="b">
        <f aca="false">INDEX(Segmentation!$AQ$2:$AQ$301,MATCH($A288,Segmentation!$A$2:$A$301,0))</f>
        <v>0</v>
      </c>
      <c r="AE288" s="10" t="b">
        <f aca="false">INDEX(Segmentation!$AT$2:$AT$301,MATCH($A288,Segmentation!$A$2:$A$301,0))</f>
        <v>0</v>
      </c>
      <c r="AF288" s="10" t="b">
        <f aca="false">INDEX(Segmentation!$X$2:$X$301,MATCH($A288,Segmentation!$A$2:$A$301,0))</f>
        <v>1</v>
      </c>
      <c r="AG288" s="10" t="b">
        <f aca="false">AND(F288="Low",V288&gt;=Assumptions!$B$71,X288&lt;Assumptions!$B$72)</f>
        <v>1</v>
      </c>
      <c r="AH288" s="10" t="b">
        <f aca="false">AND(F288="Low",OR(G288="Growing",G288="Stable"),P288="Recently Active",V288&gt;=Assumptions!$B$58,K288&gt;=Assumptions!$B$73)</f>
        <v>0</v>
      </c>
      <c r="AI288" s="17" t="n">
        <f aca="false">IF(O288&gt;0,MAX(L288:N288)/O288,"")</f>
        <v>1</v>
      </c>
      <c r="AJ288" s="2" t="str">
        <f aca="false">IF(LEFT(D288,1)="1",IF(E288="Key","MIGRATION_KEY_SIGNOFF",IF(Z288="Ready","MIGRATION_PHASE1_READY",IF(Z288="Manual Review","MIGRATION_PHASE1_REVIEW","MIGRATION_PRE_ENTRY"))),IF(LEFT(D288,1)="2","DECLINING_KEY_CORE",IF(LEFT(D288,1)="3",IF(R288="Established Buyer Lapsed","LAPSED_ESTABLISHED","LAPSED_THIN_HISTORY"),IF(LEFT(D288,1)="4",IF(Q288="New Customer","NEW_CUSTOMER","RETURNED_CUSTOMER"),IF(LEFT(D288,1)="5",IF(P288="Recently Active","COST_TO_SERVE_ACTIVE","DORMANT_LOW_VALUE"),IF(LEFT(D288,1)="6",IF(P288="Recent Inactivity","RECENT_INACTIVITY",IF(AG288,"BROWSING_LOW_OFFERS","HEALTHY_STRONG_SELF_SERVE")),IF(LEFT(D288,1)="7",IF(P288="Recent Inactivity","RECENT_INACTIVITY",IF(Q288="New Customer","NEW_CUSTOMER","RETURNED_CUSTOMER")),IF(LEFT(D288,1)="8",IF(G288="Declining",IF(T288="Engaged but shrinking (Key/Core)","ENGAGED_BUT_SHRINKING","DECLINING_KEY_CORE"),IF(R288="Established Buyer Lapsed","LAPSED_ESTABLISHED","LAPSED_THIN_HISTORY")),IF(S288,IF(P288&lt;&gt;"Recently Active","DORMANT_LOW_VALUE",IF(AG288,"BROWSING_LOW_OFFERS",IF(AH288,"RISING_TAIL","RISING_TAIL_EARLY"))),IF(AND(AG288,P288="Recently Active",OR(G288="Growing",G288="Stable",G288="H2 Active / No H1 GMV"),I288&gt;=Assumptions!$B$74),"BROWSING_LOW_OFFERS","LONG_TAIL_STANDARD"))))))))))</f>
        <v>LONG_TAIL_STANDARD</v>
      </c>
      <c r="AK288" s="2" t="str">
        <f aca="false">INDEX('NBA Library'!$B$4:$B$21,MATCH(AJ288,'NBA Library'!$A$4:$A$21,0))</f>
        <v>Automated Nurture</v>
      </c>
      <c r="AL288" s="2" t="str">
        <f aca="false">INDEX('NBA Library'!$C$4:$C$21,MATCH(AJ288,'NBA Library'!$A$4:$A$21,0))</f>
        <v>Automated</v>
      </c>
      <c r="AM288" s="2" t="str">
        <f aca="false">IF(AA288,"HOLD — Critical Data Issue",IF(Y288,"Human Sign-Off Required",IF(Z288="Manual Review","Human Review Required",IF(AND(AL288="Automated",OR(AE288,AND(OR(AK288="Discovery-to-Offer Enablement",AK288="Reinforce Successful Behaviour"),OR(AC288,AB288)))),"Human Review Required",IF(AL288="Human","Ready — Human",IF(AL288="Hybrid","Ready — Hybrid","Ready — Automated"))))))</f>
        <v>Ready — Automated</v>
      </c>
      <c r="AN288" s="2" t="str">
        <f aca="false">IF(AA288,"P0",IF(AND(AJ288="BROWSING_LOW_OFFERS",E288="Tail"),"P3",IF(AND(AM288="Human Review Required",INDEX('NBA Library'!$D$4:$D$21,MATCH(AJ288,'NBA Library'!$A$4:$A$21,0))="P4"),"P3",INDEX('NBA Library'!$D$4:$D$21,MATCH(AJ288,'NBA Library'!$A$4:$A$21,0)))))</f>
        <v>P4</v>
      </c>
      <c r="AO288" s="2" t="str">
        <f aca="false">E288&amp;" "&amp;C288&amp;" account ("&amp;B288&amp;"); "&amp;G288&amp;" momentum; "&amp;P288&amp;"; £"&amp;TEXT(H288,"#,##0")&amp;" 6m GMV. "&amp;INDEX('NBA Library'!$G$4:$G$21,MATCH(AJ288,'NBA Library'!$A$4:$A$21,0))&amp;IF(LEFT(D288,1)="1"," Baseline: "&amp;V288&amp;" PDP views, "&amp;W288&amp;" app days, "&amp;X288&amp;" offers, "&amp;TEXT(J288/I288,"0%")&amp;" of orders self-serve.","")&amp;IF(AA288," Execution on HOLD until the Duplicate status is resolved.","")&amp;IF(Y288," Key account: explicit AM/leadership sign-off required before any migration activity.","")&amp;IF(AE288," Implied broker % from order counts would move this account to a different segment; review before automating.","")</f>
        <v>Tail Self-Serve account (Self Serve); H2 Active / No H1 GMV momentum; No Meaningful History; £94 6m GMV. Low-value, low-dependency account. Scalable automated engagement.</v>
      </c>
      <c r="AP288" s="2" t="str">
        <f aca="false">INDEX('NBA Library'!$E$4:$E$21,MATCH(AJ288,'NBA Library'!$A$4:$A$21,0))&amp;IF(AND(AJ288="NEW_CUSTOMER",AG288),"; introduce Make-an-Offer on items already browsed","")</f>
        <v>Scalable automated engagement matched to nurture sub-context</v>
      </c>
      <c r="AQ288" s="2" t="str">
        <f aca="false">INDEX('NBA Library'!$F$4:$F$21,MATCH(AJ288,'NBA Library'!$A$4:$A$21,0))</f>
        <v>Any repeat order within 90 days</v>
      </c>
      <c r="AR288" s="2" t="str">
        <f aca="false">IF(AND(F288="Low",OR(G288="Growing",G288="Stable"),P288="Recently Active",U288&lt;&gt;"Mixed",OR(AK288="Discovery-to-Offer Enablement",AK288="Reinforce Successful Behaviour"),AM288="Ready — Automated",OR(E288&lt;&gt;"Tail",S288)),"Range Expansion Test — trial "&amp;IF(U288="Bundle-only","handpick","bundles")&amp;" (experimental; not proven to lift GMV)","")</f>
        <v/>
      </c>
      <c r="AS288" s="2" t="str">
        <f aca="false">IF(AK288&lt;&gt;"Automated Nurture","",IF(AJ288="DORMANT_LOW_VALUE","Dormant",IF(AJ288="RISING_TAIL_EARLY","Rising tail – early pattern",IF(Q288="New Customer","New customer onboarding",IF(Q288="Returned Customer","Returned customer",IF(G288="Lapsed","Dormant",IF(T288="Engaged, not converting","Engaged, not converting",IF(T288="One-off low-touch buyer","One-off purchaser",IF(T288="Light-touch repeat buyer","Light-touch repeat buyer","Standard long tail")))))))))</f>
        <v>New customer onboarding</v>
      </c>
      <c r="AT288" s="2" t="str">
        <f aca="false">IF(AA288,"CRITICAL_DATA_BLOCKER; ","")&amp;IF(Y288,"KEY_SIGNOFF; ","")&amp;IF(Z288="Manual Review","PHASE1_MANUAL_REVIEW; ","")&amp;IF(AND(LEFT(D288,1)="1",AZ288="Lumpy"),"LUMPY_CADENCE; ","")&amp;IF(AB288,"BORDERLINE_MOMENTUM; ","")&amp;IF(AC288,"FEB_SENSITIVE; ","")&amp;IF(AD288,"MATERIAL_BROKER_INCONSISTENCY"&amp;IF(AE288," (segment would change)","")&amp;"; ","")&amp;IF(AND(I288&gt;=3,O288&gt;0),IF(AI288&gt;=Assumptions!$B$75,"H2_SINGLE_MONTH_SPIKE; ",""),"")&amp;IF(AND(M288&gt;0,N288=0),"NO_FEB_GMV (Feb unconfirmed); ","")&amp;IF(AF288,"LOW_CONFIDENCE; ","")</f>
        <v>LOW_CONFIDENCE; </v>
      </c>
      <c r="AU288" s="2" t="str">
        <f aca="false">IF(LEFT(D288,1)="1",V288,"")</f>
        <v/>
      </c>
      <c r="AV288" s="2" t="str">
        <f aca="false">IF(LEFT(D288,1)="1",V288&gt;=Assumptions!$B$58,"")</f>
        <v/>
      </c>
      <c r="AW288" s="2" t="str">
        <f aca="false">IF(LEFT(D288,1)="1",W288,"")</f>
        <v/>
      </c>
      <c r="AX288" s="2" t="str">
        <f aca="false">IF(LEFT(D288,1)="1",X288,"")</f>
        <v/>
      </c>
      <c r="AY288" s="17" t="str">
        <f aca="false">IF(LEFT(D288,1)="1",J288/I288,"")</f>
        <v/>
      </c>
      <c r="AZ288" s="2" t="str">
        <f aca="false">IF(LEFT(D288,1)="1",IF(AND(K288&gt;=Assumptions!$B$83,I288&gt;=Assumptions!$B$84),"Regular","Lumpy"),"")</f>
        <v/>
      </c>
      <c r="BA288" s="2" t="str">
        <f aca="false">IF(LEFT(D288,1)="1",ROUND(6/K288,0),"")</f>
        <v/>
      </c>
      <c r="BB288" s="2" t="str">
        <f aca="false">IF(LEFT(D288,1)="1",IF(AZ288="Regular","Regular buyer: expected ~£"&amp;TEXT(H288/2,"#,##0")&amp;" per 90 days. At Risk if GMV to date &lt; "&amp;TEXT(Assumptions!$B$81,"0%")&amp;" of pro-rated expectation, checked from day "&amp;Assumptions!$B$82&amp;". Human-reviewed.","Irregular buyer ("&amp;I288&amp;" orders across "&amp;K288&amp;" months): no numeric GMV threshold. At Risk if no order within ~"&amp;BA288&amp;" month(s); AM reviews at day "&amp;Assumptions!$B$82&amp;" and "&amp;Assumptions!$B$85&amp;"."),"")</f>
        <v/>
      </c>
      <c r="BC288" s="2"/>
      <c r="BD288" s="2"/>
      <c r="BE288" s="2"/>
      <c r="BF288" s="2"/>
      <c r="BG288" s="2"/>
      <c r="BH288" s="2"/>
      <c r="BI288" s="2"/>
      <c r="BJ288" s="2" t="str">
        <f aca="false">IF(OR(NOT(LEFT(D288,1)="1"),BC288=""),"",IF(AZ288="Regular",AND(BC288&gt;=Assumptions!$B$82,N(BI288)&lt;Assumptions!$B$81*H288/180*BC288),AND(BC288&gt;=BA288*30,N(BG288)=0)))</f>
        <v/>
      </c>
      <c r="BK288" s="2" t="str">
        <f aca="false">IF(NOT(LEFT(D288,1)="1"),"N/A",IF(BC288="","Baseline",IF(BJ288,"At Risk",IF(AND(N(BD288)&gt;=Assumptions!$B$78,N(BE288)&gt;=Assumptions!$B$79,N(BH288)&gt;=1,N(BH288)/MAX(N(BG288),1)&gt;AY288),"Self-Serve Capability Demonstrated",IF(OR(N(BD288)&gt;=Assumptions!$B$76,N(BE288)&gt;=Assumptions!$B$77),"Progressing",IF(BC288&gt;=Assumptions!$B$85,"At Risk","Baseline"))))))</f>
        <v>N/A</v>
      </c>
      <c r="BL288" s="2" t="n">
        <f aca="false">(AND(C288="Broker-Reliant",OR(AK288="Discovery-to-Offer Enablement",AK288="Reinforce Successful Behaviour")))*1+(AND(G288="Declining",E288&lt;&gt;"Tail",AL288="Automated"))*1+(AND(Y288,AM288&lt;&gt;"Human Sign-Off Required"))*1+(AND(AA288,AM288&lt;&gt;"HOLD — Critical Data Issue"))*1+(AND(P288="Recent Inactivity",OR(AK288="Discovery-to-Offer Enablement",AK288="Reinforce Successful Behaviour")))*1+(AND(OR(LEFT(D288,1)="2",LEFT(D288,1)="3",LEFT(D288,1)="8"),AL288="Automated"))*1+((LEFT(D288,1)="1")&lt;&gt;(AK288="Guided Self-Serve Migration"))*1+(AND(AR288&lt;&gt;"",OR(F288&lt;&gt;"Low",U288="Mixed",AND(G288&lt;&gt;"Growing",G288&lt;&gt;"Stable"))))*1+ISNUMBER(SEARCH("chat",AP288))*1+ISNUMBER(SEARCH("video",AP288))*1+(AND(AA288,AL288="Automated",AM288&lt;&gt;"HOLD — Critical Data Issue"))*1</f>
        <v>0</v>
      </c>
    </row>
    <row r="289" customFormat="false" ht="15" hidden="false" customHeight="false" outlineLevel="0" collapsed="false">
      <c r="A289" s="2" t="s">
        <v>976</v>
      </c>
      <c r="B289" s="2" t="str">
        <f aca="false">INDEX(Segmentation!$B$2:$B$301,MATCH($A289,Segmentation!$A$2:$A$301,0))</f>
        <v>Self Serve</v>
      </c>
      <c r="C289" s="2" t="str">
        <f aca="false">INDEX(Segmentation!$H$2:$H$301,MATCH($A289,Segmentation!$A$2:$A$301,0))</f>
        <v>Self-Serve</v>
      </c>
      <c r="D289" s="2" t="str">
        <f aca="false">INDEX(Segmentation!$T$2:$T$301,MATCH($A289,Segmentation!$A$2:$A$301,0))</f>
        <v>9. Long-Tail Automated Nurture</v>
      </c>
      <c r="E289" s="2" t="str">
        <f aca="false">INDEX(Segmentation!$J$2:$J$301,MATCH($A289,Segmentation!$A$2:$A$301,0))</f>
        <v>Tail</v>
      </c>
      <c r="F289" s="2" t="str">
        <f aca="false">INDEX(Segmentation!$G$2:$G$301,MATCH($A289,Segmentation!$A$2:$A$301,0))</f>
        <v>Low</v>
      </c>
      <c r="G289" s="2" t="str">
        <f aca="false">INDEX(Segmentation!$N$2:$N$301,MATCH($A289,Segmentation!$A$2:$A$301,0))</f>
        <v>Lapsed</v>
      </c>
      <c r="H289" s="9" t="n">
        <f aca="false">INDEX(Segmentation!$I$2:$I$301,MATCH($A289,Segmentation!$A$2:$A$301,0))</f>
        <v>88</v>
      </c>
      <c r="I289" s="2" t="n">
        <f aca="false">INDEX(Segmentation!$O$2:$O$301,MATCH($A289,Segmentation!$A$2:$A$301,0))</f>
        <v>1</v>
      </c>
      <c r="J289" s="2" t="n">
        <f aca="false">INDEX(Segmentation!$Q$2:$Q$301,MATCH($A289,Segmentation!$A$2:$A$301,0))</f>
        <v>1</v>
      </c>
      <c r="K289" s="2" t="n">
        <f aca="false">INDEX(Segmentation!$W$2:$W$301,MATCH($A289,Segmentation!$A$2:$A$301,0))</f>
        <v>1</v>
      </c>
      <c r="L289" s="9" t="n">
        <f aca="false">INDEX('Commercial View'!$L$2:$L$301,MATCH($A289,'Commercial View'!$A$2:$A$301,0))</f>
        <v>0</v>
      </c>
      <c r="M289" s="9" t="n">
        <f aca="false">INDEX('Commercial View'!$M$2:$M$301,MATCH($A289,'Commercial View'!$A$2:$A$301,0))</f>
        <v>0</v>
      </c>
      <c r="N289" s="9" t="n">
        <f aca="false">INDEX('Commercial View'!$N$2:$N$301,MATCH($A289,'Commercial View'!$A$2:$A$301,0))</f>
        <v>0</v>
      </c>
      <c r="O289" s="9" t="n">
        <f aca="false">INDEX(Segmentation!$L$2:$L$301,MATCH($A289,Segmentation!$A$2:$A$301,0))</f>
        <v>0</v>
      </c>
      <c r="P289" s="2" t="str">
        <f aca="false">IF(OR(M289&gt;0,N289&gt;0),"Recently Active",IF(OR(I289&lt;=Assumptions!$B$48,K289&lt;=Assumptions!$B$49),"No Meaningful History","Recent Inactivity"))</f>
        <v>No Meaningful History</v>
      </c>
      <c r="Q289" s="2" t="str">
        <f aca="false">INDEX(Segmentation!$AF$2:$AF$301,MATCH($A289,Segmentation!$A$2:$A$301,0))</f>
        <v>Existing Customer</v>
      </c>
      <c r="R289" s="2" t="str">
        <f aca="false">INDEX(Segmentation!$AL$2:$AL$301,MATCH($A289,Segmentation!$A$2:$A$301,0))</f>
        <v>One-Off / Insufficient History — Verify</v>
      </c>
      <c r="S289" s="10" t="b">
        <f aca="false">INDEX(Segmentation!$AW$2:$AW$301,MATCH($A289,Segmentation!$A$2:$A$301,0))</f>
        <v>0</v>
      </c>
      <c r="T289" s="2" t="str">
        <f aca="false">INDEX('Feature Data'!$AD$2:$AD$301,MATCH($A289,'Feature Data'!$A$2:$A$301,0))</f>
        <v>Engaged, not converting</v>
      </c>
      <c r="U289" s="2" t="str">
        <f aca="false">INDEX('Feature Data'!$W$2:$W$301,MATCH($A289,'Feature Data'!$A$2:$A$301,0))</f>
        <v>Bundle-only</v>
      </c>
      <c r="V289" s="2" t="n">
        <f aca="false">INDEX('Feature Data'!$P$2:$P$301,MATCH($A289,'Feature Data'!$A$2:$A$301,0))</f>
        <v>81</v>
      </c>
      <c r="W289" s="2" t="n">
        <f aca="false">INDEX(Segmentation!$R$2:$R$301,MATCH($A289,Segmentation!$A$2:$A$301,0))</f>
        <v>23</v>
      </c>
      <c r="X289" s="2" t="n">
        <f aca="false">INDEX(Segmentation!$S$2:$S$301,MATCH($A289,Segmentation!$A$2:$A$301,0))</f>
        <v>0</v>
      </c>
      <c r="Y289" s="10" t="b">
        <f aca="false">INDEX(Segmentation!$AG$2:$AG$301,MATCH($A289,Segmentation!$A$2:$A$301,0))</f>
        <v>0</v>
      </c>
      <c r="Z289" s="2" t="str">
        <f aca="false">INDEX(Segmentation!$AU$2:$AU$301,MATCH($A289,Segmentation!$A$2:$A$301,0))</f>
        <v>Not Eligible</v>
      </c>
      <c r="AA289" s="10" t="b">
        <f aca="false">INDEX(Segmentation!$Z$2:$Z$301,MATCH($A289,Segmentation!$A$2:$A$301,0))</f>
        <v>0</v>
      </c>
      <c r="AB289" s="10" t="b">
        <f aca="false">INDEX(Segmentation!$AH$2:$AH$301,MATCH($A289,Segmentation!$A$2:$A$301,0))</f>
        <v>0</v>
      </c>
      <c r="AC289" s="10" t="b">
        <f aca="false">INDEX(Segmentation!$AK$2:$AK$301,MATCH($A289,Segmentation!$A$2:$A$301,0))</f>
        <v>0</v>
      </c>
      <c r="AD289" s="10" t="b">
        <f aca="false">INDEX(Segmentation!$AQ$2:$AQ$301,MATCH($A289,Segmentation!$A$2:$A$301,0))</f>
        <v>0</v>
      </c>
      <c r="AE289" s="10" t="b">
        <f aca="false">INDEX(Segmentation!$AT$2:$AT$301,MATCH($A289,Segmentation!$A$2:$A$301,0))</f>
        <v>0</v>
      </c>
      <c r="AF289" s="10" t="b">
        <f aca="false">INDEX(Segmentation!$X$2:$X$301,MATCH($A289,Segmentation!$A$2:$A$301,0))</f>
        <v>1</v>
      </c>
      <c r="AG289" s="10" t="b">
        <f aca="false">AND(F289="Low",V289&gt;=Assumptions!$B$71,X289&lt;Assumptions!$B$72)</f>
        <v>1</v>
      </c>
      <c r="AH289" s="10" t="b">
        <f aca="false">AND(F289="Low",OR(G289="Growing",G289="Stable"),P289="Recently Active",V289&gt;=Assumptions!$B$58,K289&gt;=Assumptions!$B$73)</f>
        <v>0</v>
      </c>
      <c r="AI289" s="17" t="str">
        <f aca="false">IF(O289&gt;0,MAX(L289:N289)/O289,"")</f>
        <v/>
      </c>
      <c r="AJ289" s="2" t="str">
        <f aca="false">IF(LEFT(D289,1)="1",IF(E289="Key","MIGRATION_KEY_SIGNOFF",IF(Z289="Ready","MIGRATION_PHASE1_READY",IF(Z289="Manual Review","MIGRATION_PHASE1_REVIEW","MIGRATION_PRE_ENTRY"))),IF(LEFT(D289,1)="2","DECLINING_KEY_CORE",IF(LEFT(D289,1)="3",IF(R289="Established Buyer Lapsed","LAPSED_ESTABLISHED","LAPSED_THIN_HISTORY"),IF(LEFT(D289,1)="4",IF(Q289="New Customer","NEW_CUSTOMER","RETURNED_CUSTOMER"),IF(LEFT(D289,1)="5",IF(P289="Recently Active","COST_TO_SERVE_ACTIVE","DORMANT_LOW_VALUE"),IF(LEFT(D289,1)="6",IF(P289="Recent Inactivity","RECENT_INACTIVITY",IF(AG289,"BROWSING_LOW_OFFERS","HEALTHY_STRONG_SELF_SERVE")),IF(LEFT(D289,1)="7",IF(P289="Recent Inactivity","RECENT_INACTIVITY",IF(Q289="New Customer","NEW_CUSTOMER","RETURNED_CUSTOMER")),IF(LEFT(D289,1)="8",IF(G289="Declining",IF(T289="Engaged but shrinking (Key/Core)","ENGAGED_BUT_SHRINKING","DECLINING_KEY_CORE"),IF(R289="Established Buyer Lapsed","LAPSED_ESTABLISHED","LAPSED_THIN_HISTORY")),IF(S289,IF(P289&lt;&gt;"Recently Active","DORMANT_LOW_VALUE",IF(AG289,"BROWSING_LOW_OFFERS",IF(AH289,"RISING_TAIL","RISING_TAIL_EARLY"))),IF(AND(AG289,P289="Recently Active",OR(G289="Growing",G289="Stable",G289="H2 Active / No H1 GMV"),I289&gt;=Assumptions!$B$74),"BROWSING_LOW_OFFERS","LONG_TAIL_STANDARD"))))))))))</f>
        <v>LONG_TAIL_STANDARD</v>
      </c>
      <c r="AK289" s="2" t="str">
        <f aca="false">INDEX('NBA Library'!$B$4:$B$21,MATCH(AJ289,'NBA Library'!$A$4:$A$21,0))</f>
        <v>Automated Nurture</v>
      </c>
      <c r="AL289" s="2" t="str">
        <f aca="false">INDEX('NBA Library'!$C$4:$C$21,MATCH(AJ289,'NBA Library'!$A$4:$A$21,0))</f>
        <v>Automated</v>
      </c>
      <c r="AM289" s="2" t="str">
        <f aca="false">IF(AA289,"HOLD — Critical Data Issue",IF(Y289,"Human Sign-Off Required",IF(Z289="Manual Review","Human Review Required",IF(AND(AL289="Automated",OR(AE289,AND(OR(AK289="Discovery-to-Offer Enablement",AK289="Reinforce Successful Behaviour"),OR(AC289,AB289)))),"Human Review Required",IF(AL289="Human","Ready — Human",IF(AL289="Hybrid","Ready — Hybrid","Ready — Automated"))))))</f>
        <v>Ready — Automated</v>
      </c>
      <c r="AN289" s="2" t="str">
        <f aca="false">IF(AA289,"P0",IF(AND(AJ289="BROWSING_LOW_OFFERS",E289="Tail"),"P3",IF(AND(AM289="Human Review Required",INDEX('NBA Library'!$D$4:$D$21,MATCH(AJ289,'NBA Library'!$A$4:$A$21,0))="P4"),"P3",INDEX('NBA Library'!$D$4:$D$21,MATCH(AJ289,'NBA Library'!$A$4:$A$21,0)))))</f>
        <v>P4</v>
      </c>
      <c r="AO289" s="2" t="str">
        <f aca="false">E289&amp;" "&amp;C289&amp;" account ("&amp;B289&amp;"); "&amp;G289&amp;" momentum; "&amp;P289&amp;"; £"&amp;TEXT(H289,"#,##0")&amp;" 6m GMV. "&amp;INDEX('NBA Library'!$G$4:$G$21,MATCH(AJ289,'NBA Library'!$A$4:$A$21,0))&amp;IF(LEFT(D289,1)="1"," Baseline: "&amp;V289&amp;" PDP views, "&amp;W289&amp;" app days, "&amp;X289&amp;" offers, "&amp;TEXT(J289/I289,"0%")&amp;" of orders self-serve.","")&amp;IF(AA289," Execution on HOLD until the Duplicate status is resolved.","")&amp;IF(Y289," Key account: explicit AM/leadership sign-off required before any migration activity.","")&amp;IF(AE289," Implied broker % from order counts would move this account to a different segment; review before automating.","")</f>
        <v>Tail Self-Serve account (Self Serve); Lapsed momentum; No Meaningful History; £88 6m GMV. Low-value, low-dependency account. Scalable automated engagement.</v>
      </c>
      <c r="AP289" s="2" t="str">
        <f aca="false">INDEX('NBA Library'!$E$4:$E$21,MATCH(AJ289,'NBA Library'!$A$4:$A$21,0))&amp;IF(AND(AJ289="NEW_CUSTOMER",AG289),"; introduce Make-an-Offer on items already browsed","")</f>
        <v>Scalable automated engagement matched to nurture sub-context</v>
      </c>
      <c r="AQ289" s="2" t="str">
        <f aca="false">INDEX('NBA Library'!$F$4:$F$21,MATCH(AJ289,'NBA Library'!$A$4:$A$21,0))</f>
        <v>Any repeat order within 90 days</v>
      </c>
      <c r="AR289" s="2" t="str">
        <f aca="false">IF(AND(F289="Low",OR(G289="Growing",G289="Stable"),P289="Recently Active",U289&lt;&gt;"Mixed",OR(AK289="Discovery-to-Offer Enablement",AK289="Reinforce Successful Behaviour"),AM289="Ready — Automated",OR(E289&lt;&gt;"Tail",S289)),"Range Expansion Test — trial "&amp;IF(U289="Bundle-only","handpick","bundles")&amp;" (experimental; not proven to lift GMV)","")</f>
        <v/>
      </c>
      <c r="AS289" s="2" t="str">
        <f aca="false">IF(AK289&lt;&gt;"Automated Nurture","",IF(AJ289="DORMANT_LOW_VALUE","Dormant",IF(AJ289="RISING_TAIL_EARLY","Rising tail – early pattern",IF(Q289="New Customer","New customer onboarding",IF(Q289="Returned Customer","Returned customer",IF(G289="Lapsed","Dormant",IF(T289="Engaged, not converting","Engaged, not converting",IF(T289="One-off low-touch buyer","One-off purchaser",IF(T289="Light-touch repeat buyer","Light-touch repeat buyer","Standard long tail")))))))))</f>
        <v>Dormant</v>
      </c>
      <c r="AT289" s="2" t="str">
        <f aca="false">IF(AA289,"CRITICAL_DATA_BLOCKER; ","")&amp;IF(Y289,"KEY_SIGNOFF; ","")&amp;IF(Z289="Manual Review","PHASE1_MANUAL_REVIEW; ","")&amp;IF(AND(LEFT(D289,1)="1",AZ289="Lumpy"),"LUMPY_CADENCE; ","")&amp;IF(AB289,"BORDERLINE_MOMENTUM; ","")&amp;IF(AC289,"FEB_SENSITIVE; ","")&amp;IF(AD289,"MATERIAL_BROKER_INCONSISTENCY"&amp;IF(AE289," (segment would change)","")&amp;"; ","")&amp;IF(AND(I289&gt;=3,O289&gt;0),IF(AI289&gt;=Assumptions!$B$75,"H2_SINGLE_MONTH_SPIKE; ",""),"")&amp;IF(AND(M289&gt;0,N289=0),"NO_FEB_GMV (Feb unconfirmed); ","")&amp;IF(AF289,"LOW_CONFIDENCE; ","")</f>
        <v>LOW_CONFIDENCE; </v>
      </c>
      <c r="AU289" s="2" t="str">
        <f aca="false">IF(LEFT(D289,1)="1",V289,"")</f>
        <v/>
      </c>
      <c r="AV289" s="2" t="str">
        <f aca="false">IF(LEFT(D289,1)="1",V289&gt;=Assumptions!$B$58,"")</f>
        <v/>
      </c>
      <c r="AW289" s="2" t="str">
        <f aca="false">IF(LEFT(D289,1)="1",W289,"")</f>
        <v/>
      </c>
      <c r="AX289" s="2" t="str">
        <f aca="false">IF(LEFT(D289,1)="1",X289,"")</f>
        <v/>
      </c>
      <c r="AY289" s="17" t="str">
        <f aca="false">IF(LEFT(D289,1)="1",J289/I289,"")</f>
        <v/>
      </c>
      <c r="AZ289" s="2" t="str">
        <f aca="false">IF(LEFT(D289,1)="1",IF(AND(K289&gt;=Assumptions!$B$83,I289&gt;=Assumptions!$B$84),"Regular","Lumpy"),"")</f>
        <v/>
      </c>
      <c r="BA289" s="2" t="str">
        <f aca="false">IF(LEFT(D289,1)="1",ROUND(6/K289,0),"")</f>
        <v/>
      </c>
      <c r="BB289" s="2" t="str">
        <f aca="false">IF(LEFT(D289,1)="1",IF(AZ289="Regular","Regular buyer: expected ~£"&amp;TEXT(H289/2,"#,##0")&amp;" per 90 days. At Risk if GMV to date &lt; "&amp;TEXT(Assumptions!$B$81,"0%")&amp;" of pro-rated expectation, checked from day "&amp;Assumptions!$B$82&amp;". Human-reviewed.","Irregular buyer ("&amp;I289&amp;" orders across "&amp;K289&amp;" months): no numeric GMV threshold. At Risk if no order within ~"&amp;BA289&amp;" month(s); AM reviews at day "&amp;Assumptions!$B$82&amp;" and "&amp;Assumptions!$B$85&amp;"."),"")</f>
        <v/>
      </c>
      <c r="BC289" s="2"/>
      <c r="BD289" s="2"/>
      <c r="BE289" s="2"/>
      <c r="BF289" s="2"/>
      <c r="BG289" s="2"/>
      <c r="BH289" s="2"/>
      <c r="BI289" s="2"/>
      <c r="BJ289" s="2" t="str">
        <f aca="false">IF(OR(NOT(LEFT(D289,1)="1"),BC289=""),"",IF(AZ289="Regular",AND(BC289&gt;=Assumptions!$B$82,N(BI289)&lt;Assumptions!$B$81*H289/180*BC289),AND(BC289&gt;=BA289*30,N(BG289)=0)))</f>
        <v/>
      </c>
      <c r="BK289" s="2" t="str">
        <f aca="false">IF(NOT(LEFT(D289,1)="1"),"N/A",IF(BC289="","Baseline",IF(BJ289,"At Risk",IF(AND(N(BD289)&gt;=Assumptions!$B$78,N(BE289)&gt;=Assumptions!$B$79,N(BH289)&gt;=1,N(BH289)/MAX(N(BG289),1)&gt;AY289),"Self-Serve Capability Demonstrated",IF(OR(N(BD289)&gt;=Assumptions!$B$76,N(BE289)&gt;=Assumptions!$B$77),"Progressing",IF(BC289&gt;=Assumptions!$B$85,"At Risk","Baseline"))))))</f>
        <v>N/A</v>
      </c>
      <c r="BL289" s="2" t="n">
        <f aca="false">(AND(C289="Broker-Reliant",OR(AK289="Discovery-to-Offer Enablement",AK289="Reinforce Successful Behaviour")))*1+(AND(G289="Declining",E289&lt;&gt;"Tail",AL289="Automated"))*1+(AND(Y289,AM289&lt;&gt;"Human Sign-Off Required"))*1+(AND(AA289,AM289&lt;&gt;"HOLD — Critical Data Issue"))*1+(AND(P289="Recent Inactivity",OR(AK289="Discovery-to-Offer Enablement",AK289="Reinforce Successful Behaviour")))*1+(AND(OR(LEFT(D289,1)="2",LEFT(D289,1)="3",LEFT(D289,1)="8"),AL289="Automated"))*1+((LEFT(D289,1)="1")&lt;&gt;(AK289="Guided Self-Serve Migration"))*1+(AND(AR289&lt;&gt;"",OR(F289&lt;&gt;"Low",U289="Mixed",AND(G289&lt;&gt;"Growing",G289&lt;&gt;"Stable"))))*1+ISNUMBER(SEARCH("chat",AP289))*1+ISNUMBER(SEARCH("video",AP289))*1+(AND(AA289,AL289="Automated",AM289&lt;&gt;"HOLD — Critical Data Issue"))*1</f>
        <v>0</v>
      </c>
    </row>
    <row r="290" customFormat="false" ht="15" hidden="false" customHeight="false" outlineLevel="0" collapsed="false">
      <c r="A290" s="2" t="s">
        <v>978</v>
      </c>
      <c r="B290" s="2" t="str">
        <f aca="false">INDEX(Segmentation!$B$2:$B$301,MATCH($A290,Segmentation!$A$2:$A$301,0))</f>
        <v>Self Serve</v>
      </c>
      <c r="C290" s="2" t="str">
        <f aca="false">INDEX(Segmentation!$H$2:$H$301,MATCH($A290,Segmentation!$A$2:$A$301,0))</f>
        <v>Self-Serve</v>
      </c>
      <c r="D290" s="2" t="str">
        <f aca="false">INDEX(Segmentation!$T$2:$T$301,MATCH($A290,Segmentation!$A$2:$A$301,0))</f>
        <v>9. Long-Tail Automated Nurture</v>
      </c>
      <c r="E290" s="2" t="str">
        <f aca="false">INDEX(Segmentation!$J$2:$J$301,MATCH($A290,Segmentation!$A$2:$A$301,0))</f>
        <v>Tail</v>
      </c>
      <c r="F290" s="2" t="str">
        <f aca="false">INDEX(Segmentation!$G$2:$G$301,MATCH($A290,Segmentation!$A$2:$A$301,0))</f>
        <v>Low</v>
      </c>
      <c r="G290" s="2" t="str">
        <f aca="false">INDEX(Segmentation!$N$2:$N$301,MATCH($A290,Segmentation!$A$2:$A$301,0))</f>
        <v>H2 Active / No H1 GMV</v>
      </c>
      <c r="H290" s="9" t="n">
        <f aca="false">INDEX(Segmentation!$I$2:$I$301,MATCH($A290,Segmentation!$A$2:$A$301,0))</f>
        <v>87</v>
      </c>
      <c r="I290" s="2" t="n">
        <f aca="false">INDEX(Segmentation!$O$2:$O$301,MATCH($A290,Segmentation!$A$2:$A$301,0))</f>
        <v>1</v>
      </c>
      <c r="J290" s="2" t="n">
        <f aca="false">INDEX(Segmentation!$Q$2:$Q$301,MATCH($A290,Segmentation!$A$2:$A$301,0))</f>
        <v>1</v>
      </c>
      <c r="K290" s="2" t="n">
        <f aca="false">INDEX(Segmentation!$W$2:$W$301,MATCH($A290,Segmentation!$A$2:$A$301,0))</f>
        <v>1</v>
      </c>
      <c r="L290" s="9" t="n">
        <f aca="false">INDEX('Commercial View'!$L$2:$L$301,MATCH($A290,'Commercial View'!$A$2:$A$301,0))</f>
        <v>0</v>
      </c>
      <c r="M290" s="9" t="n">
        <f aca="false">INDEX('Commercial View'!$M$2:$M$301,MATCH($A290,'Commercial View'!$A$2:$A$301,0))</f>
        <v>0</v>
      </c>
      <c r="N290" s="9" t="n">
        <f aca="false">INDEX('Commercial View'!$N$2:$N$301,MATCH($A290,'Commercial View'!$A$2:$A$301,0))</f>
        <v>87</v>
      </c>
      <c r="O290" s="9" t="n">
        <f aca="false">INDEX(Segmentation!$L$2:$L$301,MATCH($A290,Segmentation!$A$2:$A$301,0))</f>
        <v>87</v>
      </c>
      <c r="P290" s="2" t="str">
        <f aca="false">IF(OR(M290&gt;0,N290&gt;0),"Recently Active",IF(OR(I290&lt;=Assumptions!$B$48,K290&lt;=Assumptions!$B$49),"No Meaningful History","Recent Inactivity"))</f>
        <v>Recently Active</v>
      </c>
      <c r="Q290" s="2" t="str">
        <f aca="false">INDEX(Segmentation!$AF$2:$AF$301,MATCH($A290,Segmentation!$A$2:$A$301,0))</f>
        <v>New Customer</v>
      </c>
      <c r="R290" s="2" t="str">
        <f aca="false">INDEX(Segmentation!$AL$2:$AL$301,MATCH($A290,Segmentation!$A$2:$A$301,0))</f>
        <v>N/A</v>
      </c>
      <c r="S290" s="10" t="b">
        <f aca="false">INDEX(Segmentation!$AW$2:$AW$301,MATCH($A290,Segmentation!$A$2:$A$301,0))</f>
        <v>0</v>
      </c>
      <c r="T290" s="2" t="str">
        <f aca="false">INDEX('Feature Data'!$AD$2:$AD$301,MATCH($A290,'Feature Data'!$A$2:$A$301,0))</f>
        <v>One-off low-touch buyer</v>
      </c>
      <c r="U290" s="2" t="str">
        <f aca="false">INDEX('Feature Data'!$W$2:$W$301,MATCH($A290,'Feature Data'!$A$2:$A$301,0))</f>
        <v>Bundle-only</v>
      </c>
      <c r="V290" s="2" t="n">
        <f aca="false">INDEX('Feature Data'!$P$2:$P$301,MATCH($A290,'Feature Data'!$A$2:$A$301,0))</f>
        <v>0</v>
      </c>
      <c r="W290" s="2" t="n">
        <f aca="false">INDEX(Segmentation!$R$2:$R$301,MATCH($A290,Segmentation!$A$2:$A$301,0))</f>
        <v>1</v>
      </c>
      <c r="X290" s="2" t="n">
        <f aca="false">INDEX(Segmentation!$S$2:$S$301,MATCH($A290,Segmentation!$A$2:$A$301,0))</f>
        <v>0</v>
      </c>
      <c r="Y290" s="10" t="b">
        <f aca="false">INDEX(Segmentation!$AG$2:$AG$301,MATCH($A290,Segmentation!$A$2:$A$301,0))</f>
        <v>0</v>
      </c>
      <c r="Z290" s="2" t="str">
        <f aca="false">INDEX(Segmentation!$AU$2:$AU$301,MATCH($A290,Segmentation!$A$2:$A$301,0))</f>
        <v>Not Eligible</v>
      </c>
      <c r="AA290" s="10" t="b">
        <f aca="false">INDEX(Segmentation!$Z$2:$Z$301,MATCH($A290,Segmentation!$A$2:$A$301,0))</f>
        <v>0</v>
      </c>
      <c r="AB290" s="10" t="b">
        <f aca="false">INDEX(Segmentation!$AH$2:$AH$301,MATCH($A290,Segmentation!$A$2:$A$301,0))</f>
        <v>0</v>
      </c>
      <c r="AC290" s="10" t="b">
        <f aca="false">INDEX(Segmentation!$AK$2:$AK$301,MATCH($A290,Segmentation!$A$2:$A$301,0))</f>
        <v>1</v>
      </c>
      <c r="AD290" s="10" t="b">
        <f aca="false">INDEX(Segmentation!$AQ$2:$AQ$301,MATCH($A290,Segmentation!$A$2:$A$301,0))</f>
        <v>0</v>
      </c>
      <c r="AE290" s="10" t="b">
        <f aca="false">INDEX(Segmentation!$AT$2:$AT$301,MATCH($A290,Segmentation!$A$2:$A$301,0))</f>
        <v>0</v>
      </c>
      <c r="AF290" s="10" t="b">
        <f aca="false">INDEX(Segmentation!$X$2:$X$301,MATCH($A290,Segmentation!$A$2:$A$301,0))</f>
        <v>1</v>
      </c>
      <c r="AG290" s="10" t="b">
        <f aca="false">AND(F290="Low",V290&gt;=Assumptions!$B$71,X290&lt;Assumptions!$B$72)</f>
        <v>0</v>
      </c>
      <c r="AH290" s="10" t="b">
        <f aca="false">AND(F290="Low",OR(G290="Growing",G290="Stable"),P290="Recently Active",V290&gt;=Assumptions!$B$58,K290&gt;=Assumptions!$B$73)</f>
        <v>0</v>
      </c>
      <c r="AI290" s="17" t="n">
        <f aca="false">IF(O290&gt;0,MAX(L290:N290)/O290,"")</f>
        <v>1</v>
      </c>
      <c r="AJ290" s="2" t="str">
        <f aca="false">IF(LEFT(D290,1)="1",IF(E290="Key","MIGRATION_KEY_SIGNOFF",IF(Z290="Ready","MIGRATION_PHASE1_READY",IF(Z290="Manual Review","MIGRATION_PHASE1_REVIEW","MIGRATION_PRE_ENTRY"))),IF(LEFT(D290,1)="2","DECLINING_KEY_CORE",IF(LEFT(D290,1)="3",IF(R290="Established Buyer Lapsed","LAPSED_ESTABLISHED","LAPSED_THIN_HISTORY"),IF(LEFT(D290,1)="4",IF(Q290="New Customer","NEW_CUSTOMER","RETURNED_CUSTOMER"),IF(LEFT(D290,1)="5",IF(P290="Recently Active","COST_TO_SERVE_ACTIVE","DORMANT_LOW_VALUE"),IF(LEFT(D290,1)="6",IF(P290="Recent Inactivity","RECENT_INACTIVITY",IF(AG290,"BROWSING_LOW_OFFERS","HEALTHY_STRONG_SELF_SERVE")),IF(LEFT(D290,1)="7",IF(P290="Recent Inactivity","RECENT_INACTIVITY",IF(Q290="New Customer","NEW_CUSTOMER","RETURNED_CUSTOMER")),IF(LEFT(D290,1)="8",IF(G290="Declining",IF(T290="Engaged but shrinking (Key/Core)","ENGAGED_BUT_SHRINKING","DECLINING_KEY_CORE"),IF(R290="Established Buyer Lapsed","LAPSED_ESTABLISHED","LAPSED_THIN_HISTORY")),IF(S290,IF(P290&lt;&gt;"Recently Active","DORMANT_LOW_VALUE",IF(AG290,"BROWSING_LOW_OFFERS",IF(AH290,"RISING_TAIL","RISING_TAIL_EARLY"))),IF(AND(AG290,P290="Recently Active",OR(G290="Growing",G290="Stable",G290="H2 Active / No H1 GMV"),I290&gt;=Assumptions!$B$74),"BROWSING_LOW_OFFERS","LONG_TAIL_STANDARD"))))))))))</f>
        <v>LONG_TAIL_STANDARD</v>
      </c>
      <c r="AK290" s="2" t="str">
        <f aca="false">INDEX('NBA Library'!$B$4:$B$21,MATCH(AJ290,'NBA Library'!$A$4:$A$21,0))</f>
        <v>Automated Nurture</v>
      </c>
      <c r="AL290" s="2" t="str">
        <f aca="false">INDEX('NBA Library'!$C$4:$C$21,MATCH(AJ290,'NBA Library'!$A$4:$A$21,0))</f>
        <v>Automated</v>
      </c>
      <c r="AM290" s="2" t="str">
        <f aca="false">IF(AA290,"HOLD — Critical Data Issue",IF(Y290,"Human Sign-Off Required",IF(Z290="Manual Review","Human Review Required",IF(AND(AL290="Automated",OR(AE290,AND(OR(AK290="Discovery-to-Offer Enablement",AK290="Reinforce Successful Behaviour"),OR(AC290,AB290)))),"Human Review Required",IF(AL290="Human","Ready — Human",IF(AL290="Hybrid","Ready — Hybrid","Ready — Automated"))))))</f>
        <v>Ready — Automated</v>
      </c>
      <c r="AN290" s="2" t="str">
        <f aca="false">IF(AA290,"P0",IF(AND(AJ290="BROWSING_LOW_OFFERS",E290="Tail"),"P3",IF(AND(AM290="Human Review Required",INDEX('NBA Library'!$D$4:$D$21,MATCH(AJ290,'NBA Library'!$A$4:$A$21,0))="P4"),"P3",INDEX('NBA Library'!$D$4:$D$21,MATCH(AJ290,'NBA Library'!$A$4:$A$21,0)))))</f>
        <v>P4</v>
      </c>
      <c r="AO290" s="2" t="str">
        <f aca="false">E290&amp;" "&amp;C290&amp;" account ("&amp;B290&amp;"); "&amp;G290&amp;" momentum; "&amp;P290&amp;"; £"&amp;TEXT(H290,"#,##0")&amp;" 6m GMV. "&amp;INDEX('NBA Library'!$G$4:$G$21,MATCH(AJ290,'NBA Library'!$A$4:$A$21,0))&amp;IF(LEFT(D290,1)="1"," Baseline: "&amp;V290&amp;" PDP views, "&amp;W290&amp;" app days, "&amp;X290&amp;" offers, "&amp;TEXT(J290/I290,"0%")&amp;" of orders self-serve.","")&amp;IF(AA290," Execution on HOLD until the Duplicate status is resolved.","")&amp;IF(Y290," Key account: explicit AM/leadership sign-off required before any migration activity.","")&amp;IF(AE290," Implied broker % from order counts would move this account to a different segment; review before automating.","")</f>
        <v>Tail Self-Serve account (Self Serve); H2 Active / No H1 GMV momentum; Recently Active; £87 6m GMV. Low-value, low-dependency account. Scalable automated engagement.</v>
      </c>
      <c r="AP290" s="2" t="str">
        <f aca="false">INDEX('NBA Library'!$E$4:$E$21,MATCH(AJ290,'NBA Library'!$A$4:$A$21,0))&amp;IF(AND(AJ290="NEW_CUSTOMER",AG290),"; introduce Make-an-Offer on items already browsed","")</f>
        <v>Scalable automated engagement matched to nurture sub-context</v>
      </c>
      <c r="AQ290" s="2" t="str">
        <f aca="false">INDEX('NBA Library'!$F$4:$F$21,MATCH(AJ290,'NBA Library'!$A$4:$A$21,0))</f>
        <v>Any repeat order within 90 days</v>
      </c>
      <c r="AR290" s="2" t="str">
        <f aca="false">IF(AND(F290="Low",OR(G290="Growing",G290="Stable"),P290="Recently Active",U290&lt;&gt;"Mixed",OR(AK290="Discovery-to-Offer Enablement",AK290="Reinforce Successful Behaviour"),AM290="Ready — Automated",OR(E290&lt;&gt;"Tail",S290)),"Range Expansion Test — trial "&amp;IF(U290="Bundle-only","handpick","bundles")&amp;" (experimental; not proven to lift GMV)","")</f>
        <v/>
      </c>
      <c r="AS290" s="2" t="str">
        <f aca="false">IF(AK290&lt;&gt;"Automated Nurture","",IF(AJ290="DORMANT_LOW_VALUE","Dormant",IF(AJ290="RISING_TAIL_EARLY","Rising tail – early pattern",IF(Q290="New Customer","New customer onboarding",IF(Q290="Returned Customer","Returned customer",IF(G290="Lapsed","Dormant",IF(T290="Engaged, not converting","Engaged, not converting",IF(T290="One-off low-touch buyer","One-off purchaser",IF(T290="Light-touch repeat buyer","Light-touch repeat buyer","Standard long tail")))))))))</f>
        <v>New customer onboarding</v>
      </c>
      <c r="AT290" s="2" t="str">
        <f aca="false">IF(AA290,"CRITICAL_DATA_BLOCKER; ","")&amp;IF(Y290,"KEY_SIGNOFF; ","")&amp;IF(Z290="Manual Review","PHASE1_MANUAL_REVIEW; ","")&amp;IF(AND(LEFT(D290,1)="1",AZ290="Lumpy"),"LUMPY_CADENCE; ","")&amp;IF(AB290,"BORDERLINE_MOMENTUM; ","")&amp;IF(AC290,"FEB_SENSITIVE; ","")&amp;IF(AD290,"MATERIAL_BROKER_INCONSISTENCY"&amp;IF(AE290," (segment would change)","")&amp;"; ","")&amp;IF(AND(I290&gt;=3,O290&gt;0),IF(AI290&gt;=Assumptions!$B$75,"H2_SINGLE_MONTH_SPIKE; ",""),"")&amp;IF(AND(M290&gt;0,N290=0),"NO_FEB_GMV (Feb unconfirmed); ","")&amp;IF(AF290,"LOW_CONFIDENCE; ","")</f>
        <v>FEB_SENSITIVE; LOW_CONFIDENCE; </v>
      </c>
      <c r="AU290" s="2" t="str">
        <f aca="false">IF(LEFT(D290,1)="1",V290,"")</f>
        <v/>
      </c>
      <c r="AV290" s="2" t="str">
        <f aca="false">IF(LEFT(D290,1)="1",V290&gt;=Assumptions!$B$58,"")</f>
        <v/>
      </c>
      <c r="AW290" s="2" t="str">
        <f aca="false">IF(LEFT(D290,1)="1",W290,"")</f>
        <v/>
      </c>
      <c r="AX290" s="2" t="str">
        <f aca="false">IF(LEFT(D290,1)="1",X290,"")</f>
        <v/>
      </c>
      <c r="AY290" s="17" t="str">
        <f aca="false">IF(LEFT(D290,1)="1",J290/I290,"")</f>
        <v/>
      </c>
      <c r="AZ290" s="2" t="str">
        <f aca="false">IF(LEFT(D290,1)="1",IF(AND(K290&gt;=Assumptions!$B$83,I290&gt;=Assumptions!$B$84),"Regular","Lumpy"),"")</f>
        <v/>
      </c>
      <c r="BA290" s="2" t="str">
        <f aca="false">IF(LEFT(D290,1)="1",ROUND(6/K290,0),"")</f>
        <v/>
      </c>
      <c r="BB290" s="2" t="str">
        <f aca="false">IF(LEFT(D290,1)="1",IF(AZ290="Regular","Regular buyer: expected ~£"&amp;TEXT(H290/2,"#,##0")&amp;" per 90 days. At Risk if GMV to date &lt; "&amp;TEXT(Assumptions!$B$81,"0%")&amp;" of pro-rated expectation, checked from day "&amp;Assumptions!$B$82&amp;". Human-reviewed.","Irregular buyer ("&amp;I290&amp;" orders across "&amp;K290&amp;" months): no numeric GMV threshold. At Risk if no order within ~"&amp;BA290&amp;" month(s); AM reviews at day "&amp;Assumptions!$B$82&amp;" and "&amp;Assumptions!$B$85&amp;"."),"")</f>
        <v/>
      </c>
      <c r="BC290" s="2"/>
      <c r="BD290" s="2"/>
      <c r="BE290" s="2"/>
      <c r="BF290" s="2"/>
      <c r="BG290" s="2"/>
      <c r="BH290" s="2"/>
      <c r="BI290" s="2"/>
      <c r="BJ290" s="2" t="str">
        <f aca="false">IF(OR(NOT(LEFT(D290,1)="1"),BC290=""),"",IF(AZ290="Regular",AND(BC290&gt;=Assumptions!$B$82,N(BI290)&lt;Assumptions!$B$81*H290/180*BC290),AND(BC290&gt;=BA290*30,N(BG290)=0)))</f>
        <v/>
      </c>
      <c r="BK290" s="2" t="str">
        <f aca="false">IF(NOT(LEFT(D290,1)="1"),"N/A",IF(BC290="","Baseline",IF(BJ290,"At Risk",IF(AND(N(BD290)&gt;=Assumptions!$B$78,N(BE290)&gt;=Assumptions!$B$79,N(BH290)&gt;=1,N(BH290)/MAX(N(BG290),1)&gt;AY290),"Self-Serve Capability Demonstrated",IF(OR(N(BD290)&gt;=Assumptions!$B$76,N(BE290)&gt;=Assumptions!$B$77),"Progressing",IF(BC290&gt;=Assumptions!$B$85,"At Risk","Baseline"))))))</f>
        <v>N/A</v>
      </c>
      <c r="BL290" s="2" t="n">
        <f aca="false">(AND(C290="Broker-Reliant",OR(AK290="Discovery-to-Offer Enablement",AK290="Reinforce Successful Behaviour")))*1+(AND(G290="Declining",E290&lt;&gt;"Tail",AL290="Automated"))*1+(AND(Y290,AM290&lt;&gt;"Human Sign-Off Required"))*1+(AND(AA290,AM290&lt;&gt;"HOLD — Critical Data Issue"))*1+(AND(P290="Recent Inactivity",OR(AK290="Discovery-to-Offer Enablement",AK290="Reinforce Successful Behaviour")))*1+(AND(OR(LEFT(D290,1)="2",LEFT(D290,1)="3",LEFT(D290,1)="8"),AL290="Automated"))*1+((LEFT(D290,1)="1")&lt;&gt;(AK290="Guided Self-Serve Migration"))*1+(AND(AR290&lt;&gt;"",OR(F290&lt;&gt;"Low",U290="Mixed",AND(G290&lt;&gt;"Growing",G290&lt;&gt;"Stable"))))*1+ISNUMBER(SEARCH("chat",AP290))*1+ISNUMBER(SEARCH("video",AP290))*1+(AND(AA290,AL290="Automated",AM290&lt;&gt;"HOLD — Critical Data Issue"))*1</f>
        <v>0</v>
      </c>
    </row>
    <row r="291" customFormat="false" ht="15" hidden="false" customHeight="false" outlineLevel="0" collapsed="false">
      <c r="A291" s="2" t="s">
        <v>980</v>
      </c>
      <c r="B291" s="2" t="str">
        <f aca="false">INDEX(Segmentation!$B$2:$B$301,MATCH($A291,Segmentation!$A$2:$A$301,0))</f>
        <v>Self Serve</v>
      </c>
      <c r="C291" s="2" t="str">
        <f aca="false">INDEX(Segmentation!$H$2:$H$301,MATCH($A291,Segmentation!$A$2:$A$301,0))</f>
        <v>Self-Serve</v>
      </c>
      <c r="D291" s="2" t="str">
        <f aca="false">INDEX(Segmentation!$T$2:$T$301,MATCH($A291,Segmentation!$A$2:$A$301,0))</f>
        <v>9. Long-Tail Automated Nurture</v>
      </c>
      <c r="E291" s="2" t="str">
        <f aca="false">INDEX(Segmentation!$J$2:$J$301,MATCH($A291,Segmentation!$A$2:$A$301,0))</f>
        <v>Tail</v>
      </c>
      <c r="F291" s="2" t="str">
        <f aca="false">INDEX(Segmentation!$G$2:$G$301,MATCH($A291,Segmentation!$A$2:$A$301,0))</f>
        <v>Low</v>
      </c>
      <c r="G291" s="2" t="str">
        <f aca="false">INDEX(Segmentation!$N$2:$N$301,MATCH($A291,Segmentation!$A$2:$A$301,0))</f>
        <v>H2 Active / No H1 GMV</v>
      </c>
      <c r="H291" s="9" t="n">
        <f aca="false">INDEX(Segmentation!$I$2:$I$301,MATCH($A291,Segmentation!$A$2:$A$301,0))</f>
        <v>86</v>
      </c>
      <c r="I291" s="2" t="n">
        <f aca="false">INDEX(Segmentation!$O$2:$O$301,MATCH($A291,Segmentation!$A$2:$A$301,0))</f>
        <v>1</v>
      </c>
      <c r="J291" s="2" t="n">
        <f aca="false">INDEX(Segmentation!$Q$2:$Q$301,MATCH($A291,Segmentation!$A$2:$A$301,0))</f>
        <v>1</v>
      </c>
      <c r="K291" s="2" t="n">
        <f aca="false">INDEX(Segmentation!$W$2:$W$301,MATCH($A291,Segmentation!$A$2:$A$301,0))</f>
        <v>1</v>
      </c>
      <c r="L291" s="9" t="n">
        <f aca="false">INDEX('Commercial View'!$L$2:$L$301,MATCH($A291,'Commercial View'!$A$2:$A$301,0))</f>
        <v>0</v>
      </c>
      <c r="M291" s="9" t="n">
        <f aca="false">INDEX('Commercial View'!$M$2:$M$301,MATCH($A291,'Commercial View'!$A$2:$A$301,0))</f>
        <v>86</v>
      </c>
      <c r="N291" s="9" t="n">
        <f aca="false">INDEX('Commercial View'!$N$2:$N$301,MATCH($A291,'Commercial View'!$A$2:$A$301,0))</f>
        <v>0</v>
      </c>
      <c r="O291" s="9" t="n">
        <f aca="false">INDEX(Segmentation!$L$2:$L$301,MATCH($A291,Segmentation!$A$2:$A$301,0))</f>
        <v>86</v>
      </c>
      <c r="P291" s="2" t="str">
        <f aca="false">IF(OR(M291&gt;0,N291&gt;0),"Recently Active",IF(OR(I291&lt;=Assumptions!$B$48,K291&lt;=Assumptions!$B$49),"No Meaningful History","Recent Inactivity"))</f>
        <v>Recently Active</v>
      </c>
      <c r="Q291" s="2" t="str">
        <f aca="false">INDEX(Segmentation!$AF$2:$AF$301,MATCH($A291,Segmentation!$A$2:$A$301,0))</f>
        <v>New Customer</v>
      </c>
      <c r="R291" s="2" t="str">
        <f aca="false">INDEX(Segmentation!$AL$2:$AL$301,MATCH($A291,Segmentation!$A$2:$A$301,0))</f>
        <v>N/A</v>
      </c>
      <c r="S291" s="10" t="b">
        <f aca="false">INDEX(Segmentation!$AW$2:$AW$301,MATCH($A291,Segmentation!$A$2:$A$301,0))</f>
        <v>0</v>
      </c>
      <c r="T291" s="2" t="str">
        <f aca="false">INDEX('Feature Data'!$AD$2:$AD$301,MATCH($A291,'Feature Data'!$A$2:$A$301,0))</f>
        <v>One-off low-touch buyer</v>
      </c>
      <c r="U291" s="2" t="str">
        <f aca="false">INDEX('Feature Data'!$W$2:$W$301,MATCH($A291,'Feature Data'!$A$2:$A$301,0))</f>
        <v>Bundle-only</v>
      </c>
      <c r="V291" s="2" t="n">
        <f aca="false">INDEX('Feature Data'!$P$2:$P$301,MATCH($A291,'Feature Data'!$A$2:$A$301,0))</f>
        <v>51</v>
      </c>
      <c r="W291" s="2" t="n">
        <f aca="false">INDEX(Segmentation!$R$2:$R$301,MATCH($A291,Segmentation!$A$2:$A$301,0))</f>
        <v>3</v>
      </c>
      <c r="X291" s="2" t="n">
        <f aca="false">INDEX(Segmentation!$S$2:$S$301,MATCH($A291,Segmentation!$A$2:$A$301,0))</f>
        <v>0</v>
      </c>
      <c r="Y291" s="10" t="b">
        <f aca="false">INDEX(Segmentation!$AG$2:$AG$301,MATCH($A291,Segmentation!$A$2:$A$301,0))</f>
        <v>0</v>
      </c>
      <c r="Z291" s="2" t="str">
        <f aca="false">INDEX(Segmentation!$AU$2:$AU$301,MATCH($A291,Segmentation!$A$2:$A$301,0))</f>
        <v>Not Eligible</v>
      </c>
      <c r="AA291" s="10" t="b">
        <f aca="false">INDEX(Segmentation!$Z$2:$Z$301,MATCH($A291,Segmentation!$A$2:$A$301,0))</f>
        <v>0</v>
      </c>
      <c r="AB291" s="10" t="b">
        <f aca="false">INDEX(Segmentation!$AH$2:$AH$301,MATCH($A291,Segmentation!$A$2:$A$301,0))</f>
        <v>0</v>
      </c>
      <c r="AC291" s="10" t="b">
        <f aca="false">INDEX(Segmentation!$AK$2:$AK$301,MATCH($A291,Segmentation!$A$2:$A$301,0))</f>
        <v>0</v>
      </c>
      <c r="AD291" s="10" t="b">
        <f aca="false">INDEX(Segmentation!$AQ$2:$AQ$301,MATCH($A291,Segmentation!$A$2:$A$301,0))</f>
        <v>0</v>
      </c>
      <c r="AE291" s="10" t="b">
        <f aca="false">INDEX(Segmentation!$AT$2:$AT$301,MATCH($A291,Segmentation!$A$2:$A$301,0))</f>
        <v>0</v>
      </c>
      <c r="AF291" s="10" t="b">
        <f aca="false">INDEX(Segmentation!$X$2:$X$301,MATCH($A291,Segmentation!$A$2:$A$301,0))</f>
        <v>1</v>
      </c>
      <c r="AG291" s="10" t="b">
        <f aca="false">AND(F291="Low",V291&gt;=Assumptions!$B$71,X291&lt;Assumptions!$B$72)</f>
        <v>1</v>
      </c>
      <c r="AH291" s="10" t="b">
        <f aca="false">AND(F291="Low",OR(G291="Growing",G291="Stable"),P291="Recently Active",V291&gt;=Assumptions!$B$58,K291&gt;=Assumptions!$B$73)</f>
        <v>0</v>
      </c>
      <c r="AI291" s="17" t="n">
        <f aca="false">IF(O291&gt;0,MAX(L291:N291)/O291,"")</f>
        <v>1</v>
      </c>
      <c r="AJ291" s="2" t="str">
        <f aca="false">IF(LEFT(D291,1)="1",IF(E291="Key","MIGRATION_KEY_SIGNOFF",IF(Z291="Ready","MIGRATION_PHASE1_READY",IF(Z291="Manual Review","MIGRATION_PHASE1_REVIEW","MIGRATION_PRE_ENTRY"))),IF(LEFT(D291,1)="2","DECLINING_KEY_CORE",IF(LEFT(D291,1)="3",IF(R291="Established Buyer Lapsed","LAPSED_ESTABLISHED","LAPSED_THIN_HISTORY"),IF(LEFT(D291,1)="4",IF(Q291="New Customer","NEW_CUSTOMER","RETURNED_CUSTOMER"),IF(LEFT(D291,1)="5",IF(P291="Recently Active","COST_TO_SERVE_ACTIVE","DORMANT_LOW_VALUE"),IF(LEFT(D291,1)="6",IF(P291="Recent Inactivity","RECENT_INACTIVITY",IF(AG291,"BROWSING_LOW_OFFERS","HEALTHY_STRONG_SELF_SERVE")),IF(LEFT(D291,1)="7",IF(P291="Recent Inactivity","RECENT_INACTIVITY",IF(Q291="New Customer","NEW_CUSTOMER","RETURNED_CUSTOMER")),IF(LEFT(D291,1)="8",IF(G291="Declining",IF(T291="Engaged but shrinking (Key/Core)","ENGAGED_BUT_SHRINKING","DECLINING_KEY_CORE"),IF(R291="Established Buyer Lapsed","LAPSED_ESTABLISHED","LAPSED_THIN_HISTORY")),IF(S291,IF(P291&lt;&gt;"Recently Active","DORMANT_LOW_VALUE",IF(AG291,"BROWSING_LOW_OFFERS",IF(AH291,"RISING_TAIL","RISING_TAIL_EARLY"))),IF(AND(AG291,P291="Recently Active",OR(G291="Growing",G291="Stable",G291="H2 Active / No H1 GMV"),I291&gt;=Assumptions!$B$74),"BROWSING_LOW_OFFERS","LONG_TAIL_STANDARD"))))))))))</f>
        <v>LONG_TAIL_STANDARD</v>
      </c>
      <c r="AK291" s="2" t="str">
        <f aca="false">INDEX('NBA Library'!$B$4:$B$21,MATCH(AJ291,'NBA Library'!$A$4:$A$21,0))</f>
        <v>Automated Nurture</v>
      </c>
      <c r="AL291" s="2" t="str">
        <f aca="false">INDEX('NBA Library'!$C$4:$C$21,MATCH(AJ291,'NBA Library'!$A$4:$A$21,0))</f>
        <v>Automated</v>
      </c>
      <c r="AM291" s="2" t="str">
        <f aca="false">IF(AA291,"HOLD — Critical Data Issue",IF(Y291,"Human Sign-Off Required",IF(Z291="Manual Review","Human Review Required",IF(AND(AL291="Automated",OR(AE291,AND(OR(AK291="Discovery-to-Offer Enablement",AK291="Reinforce Successful Behaviour"),OR(AC291,AB291)))),"Human Review Required",IF(AL291="Human","Ready — Human",IF(AL291="Hybrid","Ready — Hybrid","Ready — Automated"))))))</f>
        <v>Ready — Automated</v>
      </c>
      <c r="AN291" s="2" t="str">
        <f aca="false">IF(AA291,"P0",IF(AND(AJ291="BROWSING_LOW_OFFERS",E291="Tail"),"P3",IF(AND(AM291="Human Review Required",INDEX('NBA Library'!$D$4:$D$21,MATCH(AJ291,'NBA Library'!$A$4:$A$21,0))="P4"),"P3",INDEX('NBA Library'!$D$4:$D$21,MATCH(AJ291,'NBA Library'!$A$4:$A$21,0)))))</f>
        <v>P4</v>
      </c>
      <c r="AO291" s="2" t="str">
        <f aca="false">E291&amp;" "&amp;C291&amp;" account ("&amp;B291&amp;"); "&amp;G291&amp;" momentum; "&amp;P291&amp;"; £"&amp;TEXT(H291,"#,##0")&amp;" 6m GMV. "&amp;INDEX('NBA Library'!$G$4:$G$21,MATCH(AJ291,'NBA Library'!$A$4:$A$21,0))&amp;IF(LEFT(D291,1)="1"," Baseline: "&amp;V291&amp;" PDP views, "&amp;W291&amp;" app days, "&amp;X291&amp;" offers, "&amp;TEXT(J291/I291,"0%")&amp;" of orders self-serve.","")&amp;IF(AA291," Execution on HOLD until the Duplicate status is resolved.","")&amp;IF(Y291," Key account: explicit AM/leadership sign-off required before any migration activity.","")&amp;IF(AE291," Implied broker % from order counts would move this account to a different segment; review before automating.","")</f>
        <v>Tail Self-Serve account (Self Serve); H2 Active / No H1 GMV momentum; Recently Active; £86 6m GMV. Low-value, low-dependency account. Scalable automated engagement.</v>
      </c>
      <c r="AP291" s="2" t="str">
        <f aca="false">INDEX('NBA Library'!$E$4:$E$21,MATCH(AJ291,'NBA Library'!$A$4:$A$21,0))&amp;IF(AND(AJ291="NEW_CUSTOMER",AG291),"; introduce Make-an-Offer on items already browsed","")</f>
        <v>Scalable automated engagement matched to nurture sub-context</v>
      </c>
      <c r="AQ291" s="2" t="str">
        <f aca="false">INDEX('NBA Library'!$F$4:$F$21,MATCH(AJ291,'NBA Library'!$A$4:$A$21,0))</f>
        <v>Any repeat order within 90 days</v>
      </c>
      <c r="AR291" s="2" t="str">
        <f aca="false">IF(AND(F291="Low",OR(G291="Growing",G291="Stable"),P291="Recently Active",U291&lt;&gt;"Mixed",OR(AK291="Discovery-to-Offer Enablement",AK291="Reinforce Successful Behaviour"),AM291="Ready — Automated",OR(E291&lt;&gt;"Tail",S291)),"Range Expansion Test — trial "&amp;IF(U291="Bundle-only","handpick","bundles")&amp;" (experimental; not proven to lift GMV)","")</f>
        <v/>
      </c>
      <c r="AS291" s="2" t="str">
        <f aca="false">IF(AK291&lt;&gt;"Automated Nurture","",IF(AJ291="DORMANT_LOW_VALUE","Dormant",IF(AJ291="RISING_TAIL_EARLY","Rising tail – early pattern",IF(Q291="New Customer","New customer onboarding",IF(Q291="Returned Customer","Returned customer",IF(G291="Lapsed","Dormant",IF(T291="Engaged, not converting","Engaged, not converting",IF(T291="One-off low-touch buyer","One-off purchaser",IF(T291="Light-touch repeat buyer","Light-touch repeat buyer","Standard long tail")))))))))</f>
        <v>New customer onboarding</v>
      </c>
      <c r="AT291" s="2" t="str">
        <f aca="false">IF(AA291,"CRITICAL_DATA_BLOCKER; ","")&amp;IF(Y291,"KEY_SIGNOFF; ","")&amp;IF(Z291="Manual Review","PHASE1_MANUAL_REVIEW; ","")&amp;IF(AND(LEFT(D291,1)="1",AZ291="Lumpy"),"LUMPY_CADENCE; ","")&amp;IF(AB291,"BORDERLINE_MOMENTUM; ","")&amp;IF(AC291,"FEB_SENSITIVE; ","")&amp;IF(AD291,"MATERIAL_BROKER_INCONSISTENCY"&amp;IF(AE291," (segment would change)","")&amp;"; ","")&amp;IF(AND(I291&gt;=3,O291&gt;0),IF(AI291&gt;=Assumptions!$B$75,"H2_SINGLE_MONTH_SPIKE; ",""),"")&amp;IF(AND(M291&gt;0,N291=0),"NO_FEB_GMV (Feb unconfirmed); ","")&amp;IF(AF291,"LOW_CONFIDENCE; ","")</f>
        <v>NO_FEB_GMV (Feb unconfirmed); LOW_CONFIDENCE; </v>
      </c>
      <c r="AU291" s="2" t="str">
        <f aca="false">IF(LEFT(D291,1)="1",V291,"")</f>
        <v/>
      </c>
      <c r="AV291" s="2" t="str">
        <f aca="false">IF(LEFT(D291,1)="1",V291&gt;=Assumptions!$B$58,"")</f>
        <v/>
      </c>
      <c r="AW291" s="2" t="str">
        <f aca="false">IF(LEFT(D291,1)="1",W291,"")</f>
        <v/>
      </c>
      <c r="AX291" s="2" t="str">
        <f aca="false">IF(LEFT(D291,1)="1",X291,"")</f>
        <v/>
      </c>
      <c r="AY291" s="17" t="str">
        <f aca="false">IF(LEFT(D291,1)="1",J291/I291,"")</f>
        <v/>
      </c>
      <c r="AZ291" s="2" t="str">
        <f aca="false">IF(LEFT(D291,1)="1",IF(AND(K291&gt;=Assumptions!$B$83,I291&gt;=Assumptions!$B$84),"Regular","Lumpy"),"")</f>
        <v/>
      </c>
      <c r="BA291" s="2" t="str">
        <f aca="false">IF(LEFT(D291,1)="1",ROUND(6/K291,0),"")</f>
        <v/>
      </c>
      <c r="BB291" s="2" t="str">
        <f aca="false">IF(LEFT(D291,1)="1",IF(AZ291="Regular","Regular buyer: expected ~£"&amp;TEXT(H291/2,"#,##0")&amp;" per 90 days. At Risk if GMV to date &lt; "&amp;TEXT(Assumptions!$B$81,"0%")&amp;" of pro-rated expectation, checked from day "&amp;Assumptions!$B$82&amp;". Human-reviewed.","Irregular buyer ("&amp;I291&amp;" orders across "&amp;K291&amp;" months): no numeric GMV threshold. At Risk if no order within ~"&amp;BA291&amp;" month(s); AM reviews at day "&amp;Assumptions!$B$82&amp;" and "&amp;Assumptions!$B$85&amp;"."),"")</f>
        <v/>
      </c>
      <c r="BC291" s="2"/>
      <c r="BD291" s="2"/>
      <c r="BE291" s="2"/>
      <c r="BF291" s="2"/>
      <c r="BG291" s="2"/>
      <c r="BH291" s="2"/>
      <c r="BI291" s="2"/>
      <c r="BJ291" s="2" t="str">
        <f aca="false">IF(OR(NOT(LEFT(D291,1)="1"),BC291=""),"",IF(AZ291="Regular",AND(BC291&gt;=Assumptions!$B$82,N(BI291)&lt;Assumptions!$B$81*H291/180*BC291),AND(BC291&gt;=BA291*30,N(BG291)=0)))</f>
        <v/>
      </c>
      <c r="BK291" s="2" t="str">
        <f aca="false">IF(NOT(LEFT(D291,1)="1"),"N/A",IF(BC291="","Baseline",IF(BJ291,"At Risk",IF(AND(N(BD291)&gt;=Assumptions!$B$78,N(BE291)&gt;=Assumptions!$B$79,N(BH291)&gt;=1,N(BH291)/MAX(N(BG291),1)&gt;AY291),"Self-Serve Capability Demonstrated",IF(OR(N(BD291)&gt;=Assumptions!$B$76,N(BE291)&gt;=Assumptions!$B$77),"Progressing",IF(BC291&gt;=Assumptions!$B$85,"At Risk","Baseline"))))))</f>
        <v>N/A</v>
      </c>
      <c r="BL291" s="2" t="n">
        <f aca="false">(AND(C291="Broker-Reliant",OR(AK291="Discovery-to-Offer Enablement",AK291="Reinforce Successful Behaviour")))*1+(AND(G291="Declining",E291&lt;&gt;"Tail",AL291="Automated"))*1+(AND(Y291,AM291&lt;&gt;"Human Sign-Off Required"))*1+(AND(AA291,AM291&lt;&gt;"HOLD — Critical Data Issue"))*1+(AND(P291="Recent Inactivity",OR(AK291="Discovery-to-Offer Enablement",AK291="Reinforce Successful Behaviour")))*1+(AND(OR(LEFT(D291,1)="2",LEFT(D291,1)="3",LEFT(D291,1)="8"),AL291="Automated"))*1+((LEFT(D291,1)="1")&lt;&gt;(AK291="Guided Self-Serve Migration"))*1+(AND(AR291&lt;&gt;"",OR(F291&lt;&gt;"Low",U291="Mixed",AND(G291&lt;&gt;"Growing",G291&lt;&gt;"Stable"))))*1+ISNUMBER(SEARCH("chat",AP291))*1+ISNUMBER(SEARCH("video",AP291))*1+(AND(AA291,AL291="Automated",AM291&lt;&gt;"HOLD — Critical Data Issue"))*1</f>
        <v>0</v>
      </c>
    </row>
    <row r="292" customFormat="false" ht="15" hidden="false" customHeight="false" outlineLevel="0" collapsed="false">
      <c r="A292" s="2" t="s">
        <v>990</v>
      </c>
      <c r="B292" s="2" t="str">
        <f aca="false">INDEX(Segmentation!$B$2:$B$301,MATCH($A292,Segmentation!$A$2:$A$301,0))</f>
        <v>Self Serve</v>
      </c>
      <c r="C292" s="2" t="str">
        <f aca="false">INDEX(Segmentation!$H$2:$H$301,MATCH($A292,Segmentation!$A$2:$A$301,0))</f>
        <v>Self-Serve</v>
      </c>
      <c r="D292" s="2" t="str">
        <f aca="false">INDEX(Segmentation!$T$2:$T$301,MATCH($A292,Segmentation!$A$2:$A$301,0))</f>
        <v>9. Long-Tail Automated Nurture</v>
      </c>
      <c r="E292" s="2" t="str">
        <f aca="false">INDEX(Segmentation!$J$2:$J$301,MATCH($A292,Segmentation!$A$2:$A$301,0))</f>
        <v>Tail</v>
      </c>
      <c r="F292" s="2" t="str">
        <f aca="false">INDEX(Segmentation!$G$2:$G$301,MATCH($A292,Segmentation!$A$2:$A$301,0))</f>
        <v>Low</v>
      </c>
      <c r="G292" s="2" t="str">
        <f aca="false">INDEX(Segmentation!$N$2:$N$301,MATCH($A292,Segmentation!$A$2:$A$301,0))</f>
        <v>H2 Active / No H1 GMV</v>
      </c>
      <c r="H292" s="9" t="n">
        <f aca="false">INDEX(Segmentation!$I$2:$I$301,MATCH($A292,Segmentation!$A$2:$A$301,0))</f>
        <v>84</v>
      </c>
      <c r="I292" s="2" t="n">
        <f aca="false">INDEX(Segmentation!$O$2:$O$301,MATCH($A292,Segmentation!$A$2:$A$301,0))</f>
        <v>1</v>
      </c>
      <c r="J292" s="2" t="n">
        <f aca="false">INDEX(Segmentation!$Q$2:$Q$301,MATCH($A292,Segmentation!$A$2:$A$301,0))</f>
        <v>1</v>
      </c>
      <c r="K292" s="2" t="n">
        <f aca="false">INDEX(Segmentation!$W$2:$W$301,MATCH($A292,Segmentation!$A$2:$A$301,0))</f>
        <v>1</v>
      </c>
      <c r="L292" s="9" t="n">
        <f aca="false">INDEX('Commercial View'!$L$2:$L$301,MATCH($A292,'Commercial View'!$A$2:$A$301,0))</f>
        <v>0</v>
      </c>
      <c r="M292" s="9" t="n">
        <f aca="false">INDEX('Commercial View'!$M$2:$M$301,MATCH($A292,'Commercial View'!$A$2:$A$301,0))</f>
        <v>84</v>
      </c>
      <c r="N292" s="9" t="n">
        <f aca="false">INDEX('Commercial View'!$N$2:$N$301,MATCH($A292,'Commercial View'!$A$2:$A$301,0))</f>
        <v>0</v>
      </c>
      <c r="O292" s="9" t="n">
        <f aca="false">INDEX(Segmentation!$L$2:$L$301,MATCH($A292,Segmentation!$A$2:$A$301,0))</f>
        <v>84</v>
      </c>
      <c r="P292" s="2" t="str">
        <f aca="false">IF(OR(M292&gt;0,N292&gt;0),"Recently Active",IF(OR(I292&lt;=Assumptions!$B$48,K292&lt;=Assumptions!$B$49),"No Meaningful History","Recent Inactivity"))</f>
        <v>Recently Active</v>
      </c>
      <c r="Q292" s="2" t="str">
        <f aca="false">INDEX(Segmentation!$AF$2:$AF$301,MATCH($A292,Segmentation!$A$2:$A$301,0))</f>
        <v>New Customer</v>
      </c>
      <c r="R292" s="2" t="str">
        <f aca="false">INDEX(Segmentation!$AL$2:$AL$301,MATCH($A292,Segmentation!$A$2:$A$301,0))</f>
        <v>N/A</v>
      </c>
      <c r="S292" s="10" t="b">
        <f aca="false">INDEX(Segmentation!$AW$2:$AW$301,MATCH($A292,Segmentation!$A$2:$A$301,0))</f>
        <v>0</v>
      </c>
      <c r="T292" s="2" t="str">
        <f aca="false">INDEX('Feature Data'!$AD$2:$AD$301,MATCH($A292,'Feature Data'!$A$2:$A$301,0))</f>
        <v>One-off low-touch buyer</v>
      </c>
      <c r="U292" s="2" t="str">
        <f aca="false">INDEX('Feature Data'!$W$2:$W$301,MATCH($A292,'Feature Data'!$A$2:$A$301,0))</f>
        <v>Bundle-only</v>
      </c>
      <c r="V292" s="2" t="n">
        <f aca="false">INDEX('Feature Data'!$P$2:$P$301,MATCH($A292,'Feature Data'!$A$2:$A$301,0))</f>
        <v>8</v>
      </c>
      <c r="W292" s="2" t="n">
        <f aca="false">INDEX(Segmentation!$R$2:$R$301,MATCH($A292,Segmentation!$A$2:$A$301,0))</f>
        <v>3</v>
      </c>
      <c r="X292" s="2" t="n">
        <f aca="false">INDEX(Segmentation!$S$2:$S$301,MATCH($A292,Segmentation!$A$2:$A$301,0))</f>
        <v>0</v>
      </c>
      <c r="Y292" s="10" t="b">
        <f aca="false">INDEX(Segmentation!$AG$2:$AG$301,MATCH($A292,Segmentation!$A$2:$A$301,0))</f>
        <v>0</v>
      </c>
      <c r="Z292" s="2" t="str">
        <f aca="false">INDEX(Segmentation!$AU$2:$AU$301,MATCH($A292,Segmentation!$A$2:$A$301,0))</f>
        <v>Not Eligible</v>
      </c>
      <c r="AA292" s="10" t="b">
        <f aca="false">INDEX(Segmentation!$Z$2:$Z$301,MATCH($A292,Segmentation!$A$2:$A$301,0))</f>
        <v>0</v>
      </c>
      <c r="AB292" s="10" t="b">
        <f aca="false">INDEX(Segmentation!$AH$2:$AH$301,MATCH($A292,Segmentation!$A$2:$A$301,0))</f>
        <v>0</v>
      </c>
      <c r="AC292" s="10" t="b">
        <f aca="false">INDEX(Segmentation!$AK$2:$AK$301,MATCH($A292,Segmentation!$A$2:$A$301,0))</f>
        <v>0</v>
      </c>
      <c r="AD292" s="10" t="b">
        <f aca="false">INDEX(Segmentation!$AQ$2:$AQ$301,MATCH($A292,Segmentation!$A$2:$A$301,0))</f>
        <v>0</v>
      </c>
      <c r="AE292" s="10" t="b">
        <f aca="false">INDEX(Segmentation!$AT$2:$AT$301,MATCH($A292,Segmentation!$A$2:$A$301,0))</f>
        <v>0</v>
      </c>
      <c r="AF292" s="10" t="b">
        <f aca="false">INDEX(Segmentation!$X$2:$X$301,MATCH($A292,Segmentation!$A$2:$A$301,0))</f>
        <v>1</v>
      </c>
      <c r="AG292" s="10" t="b">
        <f aca="false">AND(F292="Low",V292&gt;=Assumptions!$B$71,X292&lt;Assumptions!$B$72)</f>
        <v>0</v>
      </c>
      <c r="AH292" s="10" t="b">
        <f aca="false">AND(F292="Low",OR(G292="Growing",G292="Stable"),P292="Recently Active",V292&gt;=Assumptions!$B$58,K292&gt;=Assumptions!$B$73)</f>
        <v>0</v>
      </c>
      <c r="AI292" s="17" t="n">
        <f aca="false">IF(O292&gt;0,MAX(L292:N292)/O292,"")</f>
        <v>1</v>
      </c>
      <c r="AJ292" s="2" t="str">
        <f aca="false">IF(LEFT(D292,1)="1",IF(E292="Key","MIGRATION_KEY_SIGNOFF",IF(Z292="Ready","MIGRATION_PHASE1_READY",IF(Z292="Manual Review","MIGRATION_PHASE1_REVIEW","MIGRATION_PRE_ENTRY"))),IF(LEFT(D292,1)="2","DECLINING_KEY_CORE",IF(LEFT(D292,1)="3",IF(R292="Established Buyer Lapsed","LAPSED_ESTABLISHED","LAPSED_THIN_HISTORY"),IF(LEFT(D292,1)="4",IF(Q292="New Customer","NEW_CUSTOMER","RETURNED_CUSTOMER"),IF(LEFT(D292,1)="5",IF(P292="Recently Active","COST_TO_SERVE_ACTIVE","DORMANT_LOW_VALUE"),IF(LEFT(D292,1)="6",IF(P292="Recent Inactivity","RECENT_INACTIVITY",IF(AG292,"BROWSING_LOW_OFFERS","HEALTHY_STRONG_SELF_SERVE")),IF(LEFT(D292,1)="7",IF(P292="Recent Inactivity","RECENT_INACTIVITY",IF(Q292="New Customer","NEW_CUSTOMER","RETURNED_CUSTOMER")),IF(LEFT(D292,1)="8",IF(G292="Declining",IF(T292="Engaged but shrinking (Key/Core)","ENGAGED_BUT_SHRINKING","DECLINING_KEY_CORE"),IF(R292="Established Buyer Lapsed","LAPSED_ESTABLISHED","LAPSED_THIN_HISTORY")),IF(S292,IF(P292&lt;&gt;"Recently Active","DORMANT_LOW_VALUE",IF(AG292,"BROWSING_LOW_OFFERS",IF(AH292,"RISING_TAIL","RISING_TAIL_EARLY"))),IF(AND(AG292,P292="Recently Active",OR(G292="Growing",G292="Stable",G292="H2 Active / No H1 GMV"),I292&gt;=Assumptions!$B$74),"BROWSING_LOW_OFFERS","LONG_TAIL_STANDARD"))))))))))</f>
        <v>LONG_TAIL_STANDARD</v>
      </c>
      <c r="AK292" s="2" t="str">
        <f aca="false">INDEX('NBA Library'!$B$4:$B$21,MATCH(AJ292,'NBA Library'!$A$4:$A$21,0))</f>
        <v>Automated Nurture</v>
      </c>
      <c r="AL292" s="2" t="str">
        <f aca="false">INDEX('NBA Library'!$C$4:$C$21,MATCH(AJ292,'NBA Library'!$A$4:$A$21,0))</f>
        <v>Automated</v>
      </c>
      <c r="AM292" s="2" t="str">
        <f aca="false">IF(AA292,"HOLD — Critical Data Issue",IF(Y292,"Human Sign-Off Required",IF(Z292="Manual Review","Human Review Required",IF(AND(AL292="Automated",OR(AE292,AND(OR(AK292="Discovery-to-Offer Enablement",AK292="Reinforce Successful Behaviour"),OR(AC292,AB292)))),"Human Review Required",IF(AL292="Human","Ready — Human",IF(AL292="Hybrid","Ready — Hybrid","Ready — Automated"))))))</f>
        <v>Ready — Automated</v>
      </c>
      <c r="AN292" s="2" t="str">
        <f aca="false">IF(AA292,"P0",IF(AND(AJ292="BROWSING_LOW_OFFERS",E292="Tail"),"P3",IF(AND(AM292="Human Review Required",INDEX('NBA Library'!$D$4:$D$21,MATCH(AJ292,'NBA Library'!$A$4:$A$21,0))="P4"),"P3",INDEX('NBA Library'!$D$4:$D$21,MATCH(AJ292,'NBA Library'!$A$4:$A$21,0)))))</f>
        <v>P4</v>
      </c>
      <c r="AO292" s="2" t="str">
        <f aca="false">E292&amp;" "&amp;C292&amp;" account ("&amp;B292&amp;"); "&amp;G292&amp;" momentum; "&amp;P292&amp;"; £"&amp;TEXT(H292,"#,##0")&amp;" 6m GMV. "&amp;INDEX('NBA Library'!$G$4:$G$21,MATCH(AJ292,'NBA Library'!$A$4:$A$21,0))&amp;IF(LEFT(D292,1)="1"," Baseline: "&amp;V292&amp;" PDP views, "&amp;W292&amp;" app days, "&amp;X292&amp;" offers, "&amp;TEXT(J292/I292,"0%")&amp;" of orders self-serve.","")&amp;IF(AA292," Execution on HOLD until the Duplicate status is resolved.","")&amp;IF(Y292," Key account: explicit AM/leadership sign-off required before any migration activity.","")&amp;IF(AE292," Implied broker % from order counts would move this account to a different segment; review before automating.","")</f>
        <v>Tail Self-Serve account (Self Serve); H2 Active / No H1 GMV momentum; Recently Active; £84 6m GMV. Low-value, low-dependency account. Scalable automated engagement.</v>
      </c>
      <c r="AP292" s="2" t="str">
        <f aca="false">INDEX('NBA Library'!$E$4:$E$21,MATCH(AJ292,'NBA Library'!$A$4:$A$21,0))&amp;IF(AND(AJ292="NEW_CUSTOMER",AG292),"; introduce Make-an-Offer on items already browsed","")</f>
        <v>Scalable automated engagement matched to nurture sub-context</v>
      </c>
      <c r="AQ292" s="2" t="str">
        <f aca="false">INDEX('NBA Library'!$F$4:$F$21,MATCH(AJ292,'NBA Library'!$A$4:$A$21,0))</f>
        <v>Any repeat order within 90 days</v>
      </c>
      <c r="AR292" s="2" t="str">
        <f aca="false">IF(AND(F292="Low",OR(G292="Growing",G292="Stable"),P292="Recently Active",U292&lt;&gt;"Mixed",OR(AK292="Discovery-to-Offer Enablement",AK292="Reinforce Successful Behaviour"),AM292="Ready — Automated",OR(E292&lt;&gt;"Tail",S292)),"Range Expansion Test — trial "&amp;IF(U292="Bundle-only","handpick","bundles")&amp;" (experimental; not proven to lift GMV)","")</f>
        <v/>
      </c>
      <c r="AS292" s="2" t="str">
        <f aca="false">IF(AK292&lt;&gt;"Automated Nurture","",IF(AJ292="DORMANT_LOW_VALUE","Dormant",IF(AJ292="RISING_TAIL_EARLY","Rising tail – early pattern",IF(Q292="New Customer","New customer onboarding",IF(Q292="Returned Customer","Returned customer",IF(G292="Lapsed","Dormant",IF(T292="Engaged, not converting","Engaged, not converting",IF(T292="One-off low-touch buyer","One-off purchaser",IF(T292="Light-touch repeat buyer","Light-touch repeat buyer","Standard long tail")))))))))</f>
        <v>New customer onboarding</v>
      </c>
      <c r="AT292" s="2" t="str">
        <f aca="false">IF(AA292,"CRITICAL_DATA_BLOCKER; ","")&amp;IF(Y292,"KEY_SIGNOFF; ","")&amp;IF(Z292="Manual Review","PHASE1_MANUAL_REVIEW; ","")&amp;IF(AND(LEFT(D292,1)="1",AZ292="Lumpy"),"LUMPY_CADENCE; ","")&amp;IF(AB292,"BORDERLINE_MOMENTUM; ","")&amp;IF(AC292,"FEB_SENSITIVE; ","")&amp;IF(AD292,"MATERIAL_BROKER_INCONSISTENCY"&amp;IF(AE292," (segment would change)","")&amp;"; ","")&amp;IF(AND(I292&gt;=3,O292&gt;0),IF(AI292&gt;=Assumptions!$B$75,"H2_SINGLE_MONTH_SPIKE; ",""),"")&amp;IF(AND(M292&gt;0,N292=0),"NO_FEB_GMV (Feb unconfirmed); ","")&amp;IF(AF292,"LOW_CONFIDENCE; ","")</f>
        <v>NO_FEB_GMV (Feb unconfirmed); LOW_CONFIDENCE; </v>
      </c>
      <c r="AU292" s="2" t="str">
        <f aca="false">IF(LEFT(D292,1)="1",V292,"")</f>
        <v/>
      </c>
      <c r="AV292" s="2" t="str">
        <f aca="false">IF(LEFT(D292,1)="1",V292&gt;=Assumptions!$B$58,"")</f>
        <v/>
      </c>
      <c r="AW292" s="2" t="str">
        <f aca="false">IF(LEFT(D292,1)="1",W292,"")</f>
        <v/>
      </c>
      <c r="AX292" s="2" t="str">
        <f aca="false">IF(LEFT(D292,1)="1",X292,"")</f>
        <v/>
      </c>
      <c r="AY292" s="17" t="str">
        <f aca="false">IF(LEFT(D292,1)="1",J292/I292,"")</f>
        <v/>
      </c>
      <c r="AZ292" s="2" t="str">
        <f aca="false">IF(LEFT(D292,1)="1",IF(AND(K292&gt;=Assumptions!$B$83,I292&gt;=Assumptions!$B$84),"Regular","Lumpy"),"")</f>
        <v/>
      </c>
      <c r="BA292" s="2" t="str">
        <f aca="false">IF(LEFT(D292,1)="1",ROUND(6/K292,0),"")</f>
        <v/>
      </c>
      <c r="BB292" s="2" t="str">
        <f aca="false">IF(LEFT(D292,1)="1",IF(AZ292="Regular","Regular buyer: expected ~£"&amp;TEXT(H292/2,"#,##0")&amp;" per 90 days. At Risk if GMV to date &lt; "&amp;TEXT(Assumptions!$B$81,"0%")&amp;" of pro-rated expectation, checked from day "&amp;Assumptions!$B$82&amp;". Human-reviewed.","Irregular buyer ("&amp;I292&amp;" orders across "&amp;K292&amp;" months): no numeric GMV threshold. At Risk if no order within ~"&amp;BA292&amp;" month(s); AM reviews at day "&amp;Assumptions!$B$82&amp;" and "&amp;Assumptions!$B$85&amp;"."),"")</f>
        <v/>
      </c>
      <c r="BC292" s="2"/>
      <c r="BD292" s="2"/>
      <c r="BE292" s="2"/>
      <c r="BF292" s="2"/>
      <c r="BG292" s="2"/>
      <c r="BH292" s="2"/>
      <c r="BI292" s="2"/>
      <c r="BJ292" s="2" t="str">
        <f aca="false">IF(OR(NOT(LEFT(D292,1)="1"),BC292=""),"",IF(AZ292="Regular",AND(BC292&gt;=Assumptions!$B$82,N(BI292)&lt;Assumptions!$B$81*H292/180*BC292),AND(BC292&gt;=BA292*30,N(BG292)=0)))</f>
        <v/>
      </c>
      <c r="BK292" s="2" t="str">
        <f aca="false">IF(NOT(LEFT(D292,1)="1"),"N/A",IF(BC292="","Baseline",IF(BJ292,"At Risk",IF(AND(N(BD292)&gt;=Assumptions!$B$78,N(BE292)&gt;=Assumptions!$B$79,N(BH292)&gt;=1,N(BH292)/MAX(N(BG292),1)&gt;AY292),"Self-Serve Capability Demonstrated",IF(OR(N(BD292)&gt;=Assumptions!$B$76,N(BE292)&gt;=Assumptions!$B$77),"Progressing",IF(BC292&gt;=Assumptions!$B$85,"At Risk","Baseline"))))))</f>
        <v>N/A</v>
      </c>
      <c r="BL292" s="2" t="n">
        <f aca="false">(AND(C292="Broker-Reliant",OR(AK292="Discovery-to-Offer Enablement",AK292="Reinforce Successful Behaviour")))*1+(AND(G292="Declining",E292&lt;&gt;"Tail",AL292="Automated"))*1+(AND(Y292,AM292&lt;&gt;"Human Sign-Off Required"))*1+(AND(AA292,AM292&lt;&gt;"HOLD — Critical Data Issue"))*1+(AND(P292="Recent Inactivity",OR(AK292="Discovery-to-Offer Enablement",AK292="Reinforce Successful Behaviour")))*1+(AND(OR(LEFT(D292,1)="2",LEFT(D292,1)="3",LEFT(D292,1)="8"),AL292="Automated"))*1+((LEFT(D292,1)="1")&lt;&gt;(AK292="Guided Self-Serve Migration"))*1+(AND(AR292&lt;&gt;"",OR(F292&lt;&gt;"Low",U292="Mixed",AND(G292&lt;&gt;"Growing",G292&lt;&gt;"Stable"))))*1+ISNUMBER(SEARCH("chat",AP292))*1+ISNUMBER(SEARCH("video",AP292))*1+(AND(AA292,AL292="Automated",AM292&lt;&gt;"HOLD — Critical Data Issue"))*1</f>
        <v>0</v>
      </c>
    </row>
    <row r="293" customFormat="false" ht="15" hidden="false" customHeight="false" outlineLevel="0" collapsed="false">
      <c r="A293" s="2" t="s">
        <v>992</v>
      </c>
      <c r="B293" s="2" t="str">
        <f aca="false">INDEX(Segmentation!$B$2:$B$301,MATCH($A293,Segmentation!$A$2:$A$301,0))</f>
        <v>Self Serve</v>
      </c>
      <c r="C293" s="2" t="str">
        <f aca="false">INDEX(Segmentation!$H$2:$H$301,MATCH($A293,Segmentation!$A$2:$A$301,0))</f>
        <v>Self-Serve</v>
      </c>
      <c r="D293" s="2" t="str">
        <f aca="false">INDEX(Segmentation!$T$2:$T$301,MATCH($A293,Segmentation!$A$2:$A$301,0))</f>
        <v>9. Long-Tail Automated Nurture</v>
      </c>
      <c r="E293" s="2" t="str">
        <f aca="false">INDEX(Segmentation!$J$2:$J$301,MATCH($A293,Segmentation!$A$2:$A$301,0))</f>
        <v>Tail</v>
      </c>
      <c r="F293" s="2" t="str">
        <f aca="false">INDEX(Segmentation!$G$2:$G$301,MATCH($A293,Segmentation!$A$2:$A$301,0))</f>
        <v>Low</v>
      </c>
      <c r="G293" s="2" t="str">
        <f aca="false">INDEX(Segmentation!$N$2:$N$301,MATCH($A293,Segmentation!$A$2:$A$301,0))</f>
        <v>Lapsed</v>
      </c>
      <c r="H293" s="9" t="n">
        <f aca="false">INDEX(Segmentation!$I$2:$I$301,MATCH($A293,Segmentation!$A$2:$A$301,0))</f>
        <v>84</v>
      </c>
      <c r="I293" s="2" t="n">
        <f aca="false">INDEX(Segmentation!$O$2:$O$301,MATCH($A293,Segmentation!$A$2:$A$301,0))</f>
        <v>1</v>
      </c>
      <c r="J293" s="2" t="n">
        <f aca="false">INDEX(Segmentation!$Q$2:$Q$301,MATCH($A293,Segmentation!$A$2:$A$301,0))</f>
        <v>1</v>
      </c>
      <c r="K293" s="2" t="n">
        <f aca="false">INDEX(Segmentation!$W$2:$W$301,MATCH($A293,Segmentation!$A$2:$A$301,0))</f>
        <v>1</v>
      </c>
      <c r="L293" s="9" t="n">
        <f aca="false">INDEX('Commercial View'!$L$2:$L$301,MATCH($A293,'Commercial View'!$A$2:$A$301,0))</f>
        <v>0</v>
      </c>
      <c r="M293" s="9" t="n">
        <f aca="false">INDEX('Commercial View'!$M$2:$M$301,MATCH($A293,'Commercial View'!$A$2:$A$301,0))</f>
        <v>0</v>
      </c>
      <c r="N293" s="9" t="n">
        <f aca="false">INDEX('Commercial View'!$N$2:$N$301,MATCH($A293,'Commercial View'!$A$2:$A$301,0))</f>
        <v>0</v>
      </c>
      <c r="O293" s="9" t="n">
        <f aca="false">INDEX(Segmentation!$L$2:$L$301,MATCH($A293,Segmentation!$A$2:$A$301,0))</f>
        <v>0</v>
      </c>
      <c r="P293" s="2" t="str">
        <f aca="false">IF(OR(M293&gt;0,N293&gt;0),"Recently Active",IF(OR(I293&lt;=Assumptions!$B$48,K293&lt;=Assumptions!$B$49),"No Meaningful History","Recent Inactivity"))</f>
        <v>No Meaningful History</v>
      </c>
      <c r="Q293" s="2" t="str">
        <f aca="false">INDEX(Segmentation!$AF$2:$AF$301,MATCH($A293,Segmentation!$A$2:$A$301,0))</f>
        <v>Existing Customer</v>
      </c>
      <c r="R293" s="2" t="str">
        <f aca="false">INDEX(Segmentation!$AL$2:$AL$301,MATCH($A293,Segmentation!$A$2:$A$301,0))</f>
        <v>One-Off / Insufficient History — Verify</v>
      </c>
      <c r="S293" s="10" t="b">
        <f aca="false">INDEX(Segmentation!$AW$2:$AW$301,MATCH($A293,Segmentation!$A$2:$A$301,0))</f>
        <v>0</v>
      </c>
      <c r="T293" s="2" t="str">
        <f aca="false">INDEX('Feature Data'!$AD$2:$AD$301,MATCH($A293,'Feature Data'!$A$2:$A$301,0))</f>
        <v>One-off low-touch buyer</v>
      </c>
      <c r="U293" s="2" t="str">
        <f aca="false">INDEX('Feature Data'!$W$2:$W$301,MATCH($A293,'Feature Data'!$A$2:$A$301,0))</f>
        <v>Bundle-only</v>
      </c>
      <c r="V293" s="2" t="n">
        <f aca="false">INDEX('Feature Data'!$P$2:$P$301,MATCH($A293,'Feature Data'!$A$2:$A$301,0))</f>
        <v>78</v>
      </c>
      <c r="W293" s="2" t="n">
        <f aca="false">INDEX(Segmentation!$R$2:$R$301,MATCH($A293,Segmentation!$A$2:$A$301,0))</f>
        <v>4</v>
      </c>
      <c r="X293" s="2" t="n">
        <f aca="false">INDEX(Segmentation!$S$2:$S$301,MATCH($A293,Segmentation!$A$2:$A$301,0))</f>
        <v>6</v>
      </c>
      <c r="Y293" s="10" t="b">
        <f aca="false">INDEX(Segmentation!$AG$2:$AG$301,MATCH($A293,Segmentation!$A$2:$A$301,0))</f>
        <v>0</v>
      </c>
      <c r="Z293" s="2" t="str">
        <f aca="false">INDEX(Segmentation!$AU$2:$AU$301,MATCH($A293,Segmentation!$A$2:$A$301,0))</f>
        <v>Not Eligible</v>
      </c>
      <c r="AA293" s="10" t="b">
        <f aca="false">INDEX(Segmentation!$Z$2:$Z$301,MATCH($A293,Segmentation!$A$2:$A$301,0))</f>
        <v>0</v>
      </c>
      <c r="AB293" s="10" t="b">
        <f aca="false">INDEX(Segmentation!$AH$2:$AH$301,MATCH($A293,Segmentation!$A$2:$A$301,0))</f>
        <v>0</v>
      </c>
      <c r="AC293" s="10" t="b">
        <f aca="false">INDEX(Segmentation!$AK$2:$AK$301,MATCH($A293,Segmentation!$A$2:$A$301,0))</f>
        <v>0</v>
      </c>
      <c r="AD293" s="10" t="b">
        <f aca="false">INDEX(Segmentation!$AQ$2:$AQ$301,MATCH($A293,Segmentation!$A$2:$A$301,0))</f>
        <v>0</v>
      </c>
      <c r="AE293" s="10" t="b">
        <f aca="false">INDEX(Segmentation!$AT$2:$AT$301,MATCH($A293,Segmentation!$A$2:$A$301,0))</f>
        <v>0</v>
      </c>
      <c r="AF293" s="10" t="b">
        <f aca="false">INDEX(Segmentation!$X$2:$X$301,MATCH($A293,Segmentation!$A$2:$A$301,0))</f>
        <v>1</v>
      </c>
      <c r="AG293" s="10" t="b">
        <f aca="false">AND(F293="Low",V293&gt;=Assumptions!$B$71,X293&lt;Assumptions!$B$72)</f>
        <v>0</v>
      </c>
      <c r="AH293" s="10" t="b">
        <f aca="false">AND(F293="Low",OR(G293="Growing",G293="Stable"),P293="Recently Active",V293&gt;=Assumptions!$B$58,K293&gt;=Assumptions!$B$73)</f>
        <v>0</v>
      </c>
      <c r="AI293" s="17" t="str">
        <f aca="false">IF(O293&gt;0,MAX(L293:N293)/O293,"")</f>
        <v/>
      </c>
      <c r="AJ293" s="2" t="str">
        <f aca="false">IF(LEFT(D293,1)="1",IF(E293="Key","MIGRATION_KEY_SIGNOFF",IF(Z293="Ready","MIGRATION_PHASE1_READY",IF(Z293="Manual Review","MIGRATION_PHASE1_REVIEW","MIGRATION_PRE_ENTRY"))),IF(LEFT(D293,1)="2","DECLINING_KEY_CORE",IF(LEFT(D293,1)="3",IF(R293="Established Buyer Lapsed","LAPSED_ESTABLISHED","LAPSED_THIN_HISTORY"),IF(LEFT(D293,1)="4",IF(Q293="New Customer","NEW_CUSTOMER","RETURNED_CUSTOMER"),IF(LEFT(D293,1)="5",IF(P293="Recently Active","COST_TO_SERVE_ACTIVE","DORMANT_LOW_VALUE"),IF(LEFT(D293,1)="6",IF(P293="Recent Inactivity","RECENT_INACTIVITY",IF(AG293,"BROWSING_LOW_OFFERS","HEALTHY_STRONG_SELF_SERVE")),IF(LEFT(D293,1)="7",IF(P293="Recent Inactivity","RECENT_INACTIVITY",IF(Q293="New Customer","NEW_CUSTOMER","RETURNED_CUSTOMER")),IF(LEFT(D293,1)="8",IF(G293="Declining",IF(T293="Engaged but shrinking (Key/Core)","ENGAGED_BUT_SHRINKING","DECLINING_KEY_CORE"),IF(R293="Established Buyer Lapsed","LAPSED_ESTABLISHED","LAPSED_THIN_HISTORY")),IF(S293,IF(P293&lt;&gt;"Recently Active","DORMANT_LOW_VALUE",IF(AG293,"BROWSING_LOW_OFFERS",IF(AH293,"RISING_TAIL","RISING_TAIL_EARLY"))),IF(AND(AG293,P293="Recently Active",OR(G293="Growing",G293="Stable",G293="H2 Active / No H1 GMV"),I293&gt;=Assumptions!$B$74),"BROWSING_LOW_OFFERS","LONG_TAIL_STANDARD"))))))))))</f>
        <v>LONG_TAIL_STANDARD</v>
      </c>
      <c r="AK293" s="2" t="str">
        <f aca="false">INDEX('NBA Library'!$B$4:$B$21,MATCH(AJ293,'NBA Library'!$A$4:$A$21,0))</f>
        <v>Automated Nurture</v>
      </c>
      <c r="AL293" s="2" t="str">
        <f aca="false">INDEX('NBA Library'!$C$4:$C$21,MATCH(AJ293,'NBA Library'!$A$4:$A$21,0))</f>
        <v>Automated</v>
      </c>
      <c r="AM293" s="2" t="str">
        <f aca="false">IF(AA293,"HOLD — Critical Data Issue",IF(Y293,"Human Sign-Off Required",IF(Z293="Manual Review","Human Review Required",IF(AND(AL293="Automated",OR(AE293,AND(OR(AK293="Discovery-to-Offer Enablement",AK293="Reinforce Successful Behaviour"),OR(AC293,AB293)))),"Human Review Required",IF(AL293="Human","Ready — Human",IF(AL293="Hybrid","Ready — Hybrid","Ready — Automated"))))))</f>
        <v>Ready — Automated</v>
      </c>
      <c r="AN293" s="2" t="str">
        <f aca="false">IF(AA293,"P0",IF(AND(AJ293="BROWSING_LOW_OFFERS",E293="Tail"),"P3",IF(AND(AM293="Human Review Required",INDEX('NBA Library'!$D$4:$D$21,MATCH(AJ293,'NBA Library'!$A$4:$A$21,0))="P4"),"P3",INDEX('NBA Library'!$D$4:$D$21,MATCH(AJ293,'NBA Library'!$A$4:$A$21,0)))))</f>
        <v>P4</v>
      </c>
      <c r="AO293" s="2" t="str">
        <f aca="false">E293&amp;" "&amp;C293&amp;" account ("&amp;B293&amp;"); "&amp;G293&amp;" momentum; "&amp;P293&amp;"; £"&amp;TEXT(H293,"#,##0")&amp;" 6m GMV. "&amp;INDEX('NBA Library'!$G$4:$G$21,MATCH(AJ293,'NBA Library'!$A$4:$A$21,0))&amp;IF(LEFT(D293,1)="1"," Baseline: "&amp;V293&amp;" PDP views, "&amp;W293&amp;" app days, "&amp;X293&amp;" offers, "&amp;TEXT(J293/I293,"0%")&amp;" of orders self-serve.","")&amp;IF(AA293," Execution on HOLD until the Duplicate status is resolved.","")&amp;IF(Y293," Key account: explicit AM/leadership sign-off required before any migration activity.","")&amp;IF(AE293," Implied broker % from order counts would move this account to a different segment; review before automating.","")</f>
        <v>Tail Self-Serve account (Self Serve); Lapsed momentum; No Meaningful History; £84 6m GMV. Low-value, low-dependency account. Scalable automated engagement.</v>
      </c>
      <c r="AP293" s="2" t="str">
        <f aca="false">INDEX('NBA Library'!$E$4:$E$21,MATCH(AJ293,'NBA Library'!$A$4:$A$21,0))&amp;IF(AND(AJ293="NEW_CUSTOMER",AG293),"; introduce Make-an-Offer on items already browsed","")</f>
        <v>Scalable automated engagement matched to nurture sub-context</v>
      </c>
      <c r="AQ293" s="2" t="str">
        <f aca="false">INDEX('NBA Library'!$F$4:$F$21,MATCH(AJ293,'NBA Library'!$A$4:$A$21,0))</f>
        <v>Any repeat order within 90 days</v>
      </c>
      <c r="AR293" s="2" t="str">
        <f aca="false">IF(AND(F293="Low",OR(G293="Growing",G293="Stable"),P293="Recently Active",U293&lt;&gt;"Mixed",OR(AK293="Discovery-to-Offer Enablement",AK293="Reinforce Successful Behaviour"),AM293="Ready — Automated",OR(E293&lt;&gt;"Tail",S293)),"Range Expansion Test — trial "&amp;IF(U293="Bundle-only","handpick","bundles")&amp;" (experimental; not proven to lift GMV)","")</f>
        <v/>
      </c>
      <c r="AS293" s="2" t="str">
        <f aca="false">IF(AK293&lt;&gt;"Automated Nurture","",IF(AJ293="DORMANT_LOW_VALUE","Dormant",IF(AJ293="RISING_TAIL_EARLY","Rising tail – early pattern",IF(Q293="New Customer","New customer onboarding",IF(Q293="Returned Customer","Returned customer",IF(G293="Lapsed","Dormant",IF(T293="Engaged, not converting","Engaged, not converting",IF(T293="One-off low-touch buyer","One-off purchaser",IF(T293="Light-touch repeat buyer","Light-touch repeat buyer","Standard long tail")))))))))</f>
        <v>Dormant</v>
      </c>
      <c r="AT293" s="2" t="str">
        <f aca="false">IF(AA293,"CRITICAL_DATA_BLOCKER; ","")&amp;IF(Y293,"KEY_SIGNOFF; ","")&amp;IF(Z293="Manual Review","PHASE1_MANUAL_REVIEW; ","")&amp;IF(AND(LEFT(D293,1)="1",AZ293="Lumpy"),"LUMPY_CADENCE; ","")&amp;IF(AB293,"BORDERLINE_MOMENTUM; ","")&amp;IF(AC293,"FEB_SENSITIVE; ","")&amp;IF(AD293,"MATERIAL_BROKER_INCONSISTENCY"&amp;IF(AE293," (segment would change)","")&amp;"; ","")&amp;IF(AND(I293&gt;=3,O293&gt;0),IF(AI293&gt;=Assumptions!$B$75,"H2_SINGLE_MONTH_SPIKE; ",""),"")&amp;IF(AND(M293&gt;0,N293=0),"NO_FEB_GMV (Feb unconfirmed); ","")&amp;IF(AF293,"LOW_CONFIDENCE; ","")</f>
        <v>LOW_CONFIDENCE; </v>
      </c>
      <c r="AU293" s="2" t="str">
        <f aca="false">IF(LEFT(D293,1)="1",V293,"")</f>
        <v/>
      </c>
      <c r="AV293" s="2" t="str">
        <f aca="false">IF(LEFT(D293,1)="1",V293&gt;=Assumptions!$B$58,"")</f>
        <v/>
      </c>
      <c r="AW293" s="2" t="str">
        <f aca="false">IF(LEFT(D293,1)="1",W293,"")</f>
        <v/>
      </c>
      <c r="AX293" s="2" t="str">
        <f aca="false">IF(LEFT(D293,1)="1",X293,"")</f>
        <v/>
      </c>
      <c r="AY293" s="17" t="str">
        <f aca="false">IF(LEFT(D293,1)="1",J293/I293,"")</f>
        <v/>
      </c>
      <c r="AZ293" s="2" t="str">
        <f aca="false">IF(LEFT(D293,1)="1",IF(AND(K293&gt;=Assumptions!$B$83,I293&gt;=Assumptions!$B$84),"Regular","Lumpy"),"")</f>
        <v/>
      </c>
      <c r="BA293" s="2" t="str">
        <f aca="false">IF(LEFT(D293,1)="1",ROUND(6/K293,0),"")</f>
        <v/>
      </c>
      <c r="BB293" s="2" t="str">
        <f aca="false">IF(LEFT(D293,1)="1",IF(AZ293="Regular","Regular buyer: expected ~£"&amp;TEXT(H293/2,"#,##0")&amp;" per 90 days. At Risk if GMV to date &lt; "&amp;TEXT(Assumptions!$B$81,"0%")&amp;" of pro-rated expectation, checked from day "&amp;Assumptions!$B$82&amp;". Human-reviewed.","Irregular buyer ("&amp;I293&amp;" orders across "&amp;K293&amp;" months): no numeric GMV threshold. At Risk if no order within ~"&amp;BA293&amp;" month(s); AM reviews at day "&amp;Assumptions!$B$82&amp;" and "&amp;Assumptions!$B$85&amp;"."),"")</f>
        <v/>
      </c>
      <c r="BC293" s="2"/>
      <c r="BD293" s="2"/>
      <c r="BE293" s="2"/>
      <c r="BF293" s="2"/>
      <c r="BG293" s="2"/>
      <c r="BH293" s="2"/>
      <c r="BI293" s="2"/>
      <c r="BJ293" s="2" t="str">
        <f aca="false">IF(OR(NOT(LEFT(D293,1)="1"),BC293=""),"",IF(AZ293="Regular",AND(BC293&gt;=Assumptions!$B$82,N(BI293)&lt;Assumptions!$B$81*H293/180*BC293),AND(BC293&gt;=BA293*30,N(BG293)=0)))</f>
        <v/>
      </c>
      <c r="BK293" s="2" t="str">
        <f aca="false">IF(NOT(LEFT(D293,1)="1"),"N/A",IF(BC293="","Baseline",IF(BJ293,"At Risk",IF(AND(N(BD293)&gt;=Assumptions!$B$78,N(BE293)&gt;=Assumptions!$B$79,N(BH293)&gt;=1,N(BH293)/MAX(N(BG293),1)&gt;AY293),"Self-Serve Capability Demonstrated",IF(OR(N(BD293)&gt;=Assumptions!$B$76,N(BE293)&gt;=Assumptions!$B$77),"Progressing",IF(BC293&gt;=Assumptions!$B$85,"At Risk","Baseline"))))))</f>
        <v>N/A</v>
      </c>
      <c r="BL293" s="2" t="n">
        <f aca="false">(AND(C293="Broker-Reliant",OR(AK293="Discovery-to-Offer Enablement",AK293="Reinforce Successful Behaviour")))*1+(AND(G293="Declining",E293&lt;&gt;"Tail",AL293="Automated"))*1+(AND(Y293,AM293&lt;&gt;"Human Sign-Off Required"))*1+(AND(AA293,AM293&lt;&gt;"HOLD — Critical Data Issue"))*1+(AND(P293="Recent Inactivity",OR(AK293="Discovery-to-Offer Enablement",AK293="Reinforce Successful Behaviour")))*1+(AND(OR(LEFT(D293,1)="2",LEFT(D293,1)="3",LEFT(D293,1)="8"),AL293="Automated"))*1+((LEFT(D293,1)="1")&lt;&gt;(AK293="Guided Self-Serve Migration"))*1+(AND(AR293&lt;&gt;"",OR(F293&lt;&gt;"Low",U293="Mixed",AND(G293&lt;&gt;"Growing",G293&lt;&gt;"Stable"))))*1+ISNUMBER(SEARCH("chat",AP293))*1+ISNUMBER(SEARCH("video",AP293))*1+(AND(AA293,AL293="Automated",AM293&lt;&gt;"HOLD — Critical Data Issue"))*1</f>
        <v>0</v>
      </c>
    </row>
    <row r="294" customFormat="false" ht="15" hidden="false" customHeight="false" outlineLevel="0" collapsed="false">
      <c r="A294" s="2" t="s">
        <v>994</v>
      </c>
      <c r="B294" s="2" t="str">
        <f aca="false">INDEX(Segmentation!$B$2:$B$301,MATCH($A294,Segmentation!$A$2:$A$301,0))</f>
        <v>Self Serve</v>
      </c>
      <c r="C294" s="2" t="str">
        <f aca="false">INDEX(Segmentation!$H$2:$H$301,MATCH($A294,Segmentation!$A$2:$A$301,0))</f>
        <v>Self-Serve</v>
      </c>
      <c r="D294" s="2" t="str">
        <f aca="false">INDEX(Segmentation!$T$2:$T$301,MATCH($A294,Segmentation!$A$2:$A$301,0))</f>
        <v>9. Long-Tail Automated Nurture</v>
      </c>
      <c r="E294" s="2" t="str">
        <f aca="false">INDEX(Segmentation!$J$2:$J$301,MATCH($A294,Segmentation!$A$2:$A$301,0))</f>
        <v>Tail</v>
      </c>
      <c r="F294" s="2" t="str">
        <f aca="false">INDEX(Segmentation!$G$2:$G$301,MATCH($A294,Segmentation!$A$2:$A$301,0))</f>
        <v>Low</v>
      </c>
      <c r="G294" s="2" t="str">
        <f aca="false">INDEX(Segmentation!$N$2:$N$301,MATCH($A294,Segmentation!$A$2:$A$301,0))</f>
        <v>H2 Active / No H1 GMV</v>
      </c>
      <c r="H294" s="9" t="n">
        <f aca="false">INDEX(Segmentation!$I$2:$I$301,MATCH($A294,Segmentation!$A$2:$A$301,0))</f>
        <v>82</v>
      </c>
      <c r="I294" s="2" t="n">
        <f aca="false">INDEX(Segmentation!$O$2:$O$301,MATCH($A294,Segmentation!$A$2:$A$301,0))</f>
        <v>1</v>
      </c>
      <c r="J294" s="2" t="n">
        <f aca="false">INDEX(Segmentation!$Q$2:$Q$301,MATCH($A294,Segmentation!$A$2:$A$301,0))</f>
        <v>1</v>
      </c>
      <c r="K294" s="2" t="n">
        <f aca="false">INDEX(Segmentation!$W$2:$W$301,MATCH($A294,Segmentation!$A$2:$A$301,0))</f>
        <v>1</v>
      </c>
      <c r="L294" s="9" t="n">
        <f aca="false">INDEX('Commercial View'!$L$2:$L$301,MATCH($A294,'Commercial View'!$A$2:$A$301,0))</f>
        <v>0</v>
      </c>
      <c r="M294" s="9" t="n">
        <f aca="false">INDEX('Commercial View'!$M$2:$M$301,MATCH($A294,'Commercial View'!$A$2:$A$301,0))</f>
        <v>0</v>
      </c>
      <c r="N294" s="9" t="n">
        <f aca="false">INDEX('Commercial View'!$N$2:$N$301,MATCH($A294,'Commercial View'!$A$2:$A$301,0))</f>
        <v>82</v>
      </c>
      <c r="O294" s="9" t="n">
        <f aca="false">INDEX(Segmentation!$L$2:$L$301,MATCH($A294,Segmentation!$A$2:$A$301,0))</f>
        <v>82</v>
      </c>
      <c r="P294" s="2" t="str">
        <f aca="false">IF(OR(M294&gt;0,N294&gt;0),"Recently Active",IF(OR(I294&lt;=Assumptions!$B$48,K294&lt;=Assumptions!$B$49),"No Meaningful History","Recent Inactivity"))</f>
        <v>Recently Active</v>
      </c>
      <c r="Q294" s="2" t="str">
        <f aca="false">INDEX(Segmentation!$AF$2:$AF$301,MATCH($A294,Segmentation!$A$2:$A$301,0))</f>
        <v>New Customer</v>
      </c>
      <c r="R294" s="2" t="str">
        <f aca="false">INDEX(Segmentation!$AL$2:$AL$301,MATCH($A294,Segmentation!$A$2:$A$301,0))</f>
        <v>N/A</v>
      </c>
      <c r="S294" s="10" t="b">
        <f aca="false">INDEX(Segmentation!$AW$2:$AW$301,MATCH($A294,Segmentation!$A$2:$A$301,0))</f>
        <v>0</v>
      </c>
      <c r="T294" s="2" t="str">
        <f aca="false">INDEX('Feature Data'!$AD$2:$AD$301,MATCH($A294,'Feature Data'!$A$2:$A$301,0))</f>
        <v>One-off low-touch buyer</v>
      </c>
      <c r="U294" s="2" t="str">
        <f aca="false">INDEX('Feature Data'!$W$2:$W$301,MATCH($A294,'Feature Data'!$A$2:$A$301,0))</f>
        <v>Handpick-only</v>
      </c>
      <c r="V294" s="2" t="n">
        <f aca="false">INDEX('Feature Data'!$P$2:$P$301,MATCH($A294,'Feature Data'!$A$2:$A$301,0))</f>
        <v>57</v>
      </c>
      <c r="W294" s="2" t="n">
        <f aca="false">INDEX(Segmentation!$R$2:$R$301,MATCH($A294,Segmentation!$A$2:$A$301,0))</f>
        <v>14</v>
      </c>
      <c r="X294" s="2" t="n">
        <f aca="false">INDEX(Segmentation!$S$2:$S$301,MATCH($A294,Segmentation!$A$2:$A$301,0))</f>
        <v>0</v>
      </c>
      <c r="Y294" s="10" t="b">
        <f aca="false">INDEX(Segmentation!$AG$2:$AG$301,MATCH($A294,Segmentation!$A$2:$A$301,0))</f>
        <v>0</v>
      </c>
      <c r="Z294" s="2" t="str">
        <f aca="false">INDEX(Segmentation!$AU$2:$AU$301,MATCH($A294,Segmentation!$A$2:$A$301,0))</f>
        <v>Not Eligible</v>
      </c>
      <c r="AA294" s="10" t="b">
        <f aca="false">INDEX(Segmentation!$Z$2:$Z$301,MATCH($A294,Segmentation!$A$2:$A$301,0))</f>
        <v>0</v>
      </c>
      <c r="AB294" s="10" t="b">
        <f aca="false">INDEX(Segmentation!$AH$2:$AH$301,MATCH($A294,Segmentation!$A$2:$A$301,0))</f>
        <v>0</v>
      </c>
      <c r="AC294" s="10" t="b">
        <f aca="false">INDEX(Segmentation!$AK$2:$AK$301,MATCH($A294,Segmentation!$A$2:$A$301,0))</f>
        <v>1</v>
      </c>
      <c r="AD294" s="10" t="b">
        <f aca="false">INDEX(Segmentation!$AQ$2:$AQ$301,MATCH($A294,Segmentation!$A$2:$A$301,0))</f>
        <v>0</v>
      </c>
      <c r="AE294" s="10" t="b">
        <f aca="false">INDEX(Segmentation!$AT$2:$AT$301,MATCH($A294,Segmentation!$A$2:$A$301,0))</f>
        <v>0</v>
      </c>
      <c r="AF294" s="10" t="b">
        <f aca="false">INDEX(Segmentation!$X$2:$X$301,MATCH($A294,Segmentation!$A$2:$A$301,0))</f>
        <v>1</v>
      </c>
      <c r="AG294" s="10" t="b">
        <f aca="false">AND(F294="Low",V294&gt;=Assumptions!$B$71,X294&lt;Assumptions!$B$72)</f>
        <v>1</v>
      </c>
      <c r="AH294" s="10" t="b">
        <f aca="false">AND(F294="Low",OR(G294="Growing",G294="Stable"),P294="Recently Active",V294&gt;=Assumptions!$B$58,K294&gt;=Assumptions!$B$73)</f>
        <v>0</v>
      </c>
      <c r="AI294" s="17" t="n">
        <f aca="false">IF(O294&gt;0,MAX(L294:N294)/O294,"")</f>
        <v>1</v>
      </c>
      <c r="AJ294" s="2" t="str">
        <f aca="false">IF(LEFT(D294,1)="1",IF(E294="Key","MIGRATION_KEY_SIGNOFF",IF(Z294="Ready","MIGRATION_PHASE1_READY",IF(Z294="Manual Review","MIGRATION_PHASE1_REVIEW","MIGRATION_PRE_ENTRY"))),IF(LEFT(D294,1)="2","DECLINING_KEY_CORE",IF(LEFT(D294,1)="3",IF(R294="Established Buyer Lapsed","LAPSED_ESTABLISHED","LAPSED_THIN_HISTORY"),IF(LEFT(D294,1)="4",IF(Q294="New Customer","NEW_CUSTOMER","RETURNED_CUSTOMER"),IF(LEFT(D294,1)="5",IF(P294="Recently Active","COST_TO_SERVE_ACTIVE","DORMANT_LOW_VALUE"),IF(LEFT(D294,1)="6",IF(P294="Recent Inactivity","RECENT_INACTIVITY",IF(AG294,"BROWSING_LOW_OFFERS","HEALTHY_STRONG_SELF_SERVE")),IF(LEFT(D294,1)="7",IF(P294="Recent Inactivity","RECENT_INACTIVITY",IF(Q294="New Customer","NEW_CUSTOMER","RETURNED_CUSTOMER")),IF(LEFT(D294,1)="8",IF(G294="Declining",IF(T294="Engaged but shrinking (Key/Core)","ENGAGED_BUT_SHRINKING","DECLINING_KEY_CORE"),IF(R294="Established Buyer Lapsed","LAPSED_ESTABLISHED","LAPSED_THIN_HISTORY")),IF(S294,IF(P294&lt;&gt;"Recently Active","DORMANT_LOW_VALUE",IF(AG294,"BROWSING_LOW_OFFERS",IF(AH294,"RISING_TAIL","RISING_TAIL_EARLY"))),IF(AND(AG294,P294="Recently Active",OR(G294="Growing",G294="Stable",G294="H2 Active / No H1 GMV"),I294&gt;=Assumptions!$B$74),"BROWSING_LOW_OFFERS","LONG_TAIL_STANDARD"))))))))))</f>
        <v>LONG_TAIL_STANDARD</v>
      </c>
      <c r="AK294" s="2" t="str">
        <f aca="false">INDEX('NBA Library'!$B$4:$B$21,MATCH(AJ294,'NBA Library'!$A$4:$A$21,0))</f>
        <v>Automated Nurture</v>
      </c>
      <c r="AL294" s="2" t="str">
        <f aca="false">INDEX('NBA Library'!$C$4:$C$21,MATCH(AJ294,'NBA Library'!$A$4:$A$21,0))</f>
        <v>Automated</v>
      </c>
      <c r="AM294" s="2" t="str">
        <f aca="false">IF(AA294,"HOLD — Critical Data Issue",IF(Y294,"Human Sign-Off Required",IF(Z294="Manual Review","Human Review Required",IF(AND(AL294="Automated",OR(AE294,AND(OR(AK294="Discovery-to-Offer Enablement",AK294="Reinforce Successful Behaviour"),OR(AC294,AB294)))),"Human Review Required",IF(AL294="Human","Ready — Human",IF(AL294="Hybrid","Ready — Hybrid","Ready — Automated"))))))</f>
        <v>Ready — Automated</v>
      </c>
      <c r="AN294" s="2" t="str">
        <f aca="false">IF(AA294,"P0",IF(AND(AJ294="BROWSING_LOW_OFFERS",E294="Tail"),"P3",IF(AND(AM294="Human Review Required",INDEX('NBA Library'!$D$4:$D$21,MATCH(AJ294,'NBA Library'!$A$4:$A$21,0))="P4"),"P3",INDEX('NBA Library'!$D$4:$D$21,MATCH(AJ294,'NBA Library'!$A$4:$A$21,0)))))</f>
        <v>P4</v>
      </c>
      <c r="AO294" s="2" t="str">
        <f aca="false">E294&amp;" "&amp;C294&amp;" account ("&amp;B294&amp;"); "&amp;G294&amp;" momentum; "&amp;P294&amp;"; £"&amp;TEXT(H294,"#,##0")&amp;" 6m GMV. "&amp;INDEX('NBA Library'!$G$4:$G$21,MATCH(AJ294,'NBA Library'!$A$4:$A$21,0))&amp;IF(LEFT(D294,1)="1"," Baseline: "&amp;V294&amp;" PDP views, "&amp;W294&amp;" app days, "&amp;X294&amp;" offers, "&amp;TEXT(J294/I294,"0%")&amp;" of orders self-serve.","")&amp;IF(AA294," Execution on HOLD until the Duplicate status is resolved.","")&amp;IF(Y294," Key account: explicit AM/leadership sign-off required before any migration activity.","")&amp;IF(AE294," Implied broker % from order counts would move this account to a different segment; review before automating.","")</f>
        <v>Tail Self-Serve account (Self Serve); H2 Active / No H1 GMV momentum; Recently Active; £82 6m GMV. Low-value, low-dependency account. Scalable automated engagement.</v>
      </c>
      <c r="AP294" s="2" t="str">
        <f aca="false">INDEX('NBA Library'!$E$4:$E$21,MATCH(AJ294,'NBA Library'!$A$4:$A$21,0))&amp;IF(AND(AJ294="NEW_CUSTOMER",AG294),"; introduce Make-an-Offer on items already browsed","")</f>
        <v>Scalable automated engagement matched to nurture sub-context</v>
      </c>
      <c r="AQ294" s="2" t="str">
        <f aca="false">INDEX('NBA Library'!$F$4:$F$21,MATCH(AJ294,'NBA Library'!$A$4:$A$21,0))</f>
        <v>Any repeat order within 90 days</v>
      </c>
      <c r="AR294" s="2" t="str">
        <f aca="false">IF(AND(F294="Low",OR(G294="Growing",G294="Stable"),P294="Recently Active",U294&lt;&gt;"Mixed",OR(AK294="Discovery-to-Offer Enablement",AK294="Reinforce Successful Behaviour"),AM294="Ready — Automated",OR(E294&lt;&gt;"Tail",S294)),"Range Expansion Test — trial "&amp;IF(U294="Bundle-only","handpick","bundles")&amp;" (experimental; not proven to lift GMV)","")</f>
        <v/>
      </c>
      <c r="AS294" s="2" t="str">
        <f aca="false">IF(AK294&lt;&gt;"Automated Nurture","",IF(AJ294="DORMANT_LOW_VALUE","Dormant",IF(AJ294="RISING_TAIL_EARLY","Rising tail – early pattern",IF(Q294="New Customer","New customer onboarding",IF(Q294="Returned Customer","Returned customer",IF(G294="Lapsed","Dormant",IF(T294="Engaged, not converting","Engaged, not converting",IF(T294="One-off low-touch buyer","One-off purchaser",IF(T294="Light-touch repeat buyer","Light-touch repeat buyer","Standard long tail")))))))))</f>
        <v>New customer onboarding</v>
      </c>
      <c r="AT294" s="2" t="str">
        <f aca="false">IF(AA294,"CRITICAL_DATA_BLOCKER; ","")&amp;IF(Y294,"KEY_SIGNOFF; ","")&amp;IF(Z294="Manual Review","PHASE1_MANUAL_REVIEW; ","")&amp;IF(AND(LEFT(D294,1)="1",AZ294="Lumpy"),"LUMPY_CADENCE; ","")&amp;IF(AB294,"BORDERLINE_MOMENTUM; ","")&amp;IF(AC294,"FEB_SENSITIVE; ","")&amp;IF(AD294,"MATERIAL_BROKER_INCONSISTENCY"&amp;IF(AE294," (segment would change)","")&amp;"; ","")&amp;IF(AND(I294&gt;=3,O294&gt;0),IF(AI294&gt;=Assumptions!$B$75,"H2_SINGLE_MONTH_SPIKE; ",""),"")&amp;IF(AND(M294&gt;0,N294=0),"NO_FEB_GMV (Feb unconfirmed); ","")&amp;IF(AF294,"LOW_CONFIDENCE; ","")</f>
        <v>FEB_SENSITIVE; LOW_CONFIDENCE; </v>
      </c>
      <c r="AU294" s="2" t="str">
        <f aca="false">IF(LEFT(D294,1)="1",V294,"")</f>
        <v/>
      </c>
      <c r="AV294" s="2" t="str">
        <f aca="false">IF(LEFT(D294,1)="1",V294&gt;=Assumptions!$B$58,"")</f>
        <v/>
      </c>
      <c r="AW294" s="2" t="str">
        <f aca="false">IF(LEFT(D294,1)="1",W294,"")</f>
        <v/>
      </c>
      <c r="AX294" s="2" t="str">
        <f aca="false">IF(LEFT(D294,1)="1",X294,"")</f>
        <v/>
      </c>
      <c r="AY294" s="17" t="str">
        <f aca="false">IF(LEFT(D294,1)="1",J294/I294,"")</f>
        <v/>
      </c>
      <c r="AZ294" s="2" t="str">
        <f aca="false">IF(LEFT(D294,1)="1",IF(AND(K294&gt;=Assumptions!$B$83,I294&gt;=Assumptions!$B$84),"Regular","Lumpy"),"")</f>
        <v/>
      </c>
      <c r="BA294" s="2" t="str">
        <f aca="false">IF(LEFT(D294,1)="1",ROUND(6/K294,0),"")</f>
        <v/>
      </c>
      <c r="BB294" s="2" t="str">
        <f aca="false">IF(LEFT(D294,1)="1",IF(AZ294="Regular","Regular buyer: expected ~£"&amp;TEXT(H294/2,"#,##0")&amp;" per 90 days. At Risk if GMV to date &lt; "&amp;TEXT(Assumptions!$B$81,"0%")&amp;" of pro-rated expectation, checked from day "&amp;Assumptions!$B$82&amp;". Human-reviewed.","Irregular buyer ("&amp;I294&amp;" orders across "&amp;K294&amp;" months): no numeric GMV threshold. At Risk if no order within ~"&amp;BA294&amp;" month(s); AM reviews at day "&amp;Assumptions!$B$82&amp;" and "&amp;Assumptions!$B$85&amp;"."),"")</f>
        <v/>
      </c>
      <c r="BC294" s="2"/>
      <c r="BD294" s="2"/>
      <c r="BE294" s="2"/>
      <c r="BF294" s="2"/>
      <c r="BG294" s="2"/>
      <c r="BH294" s="2"/>
      <c r="BI294" s="2"/>
      <c r="BJ294" s="2" t="str">
        <f aca="false">IF(OR(NOT(LEFT(D294,1)="1"),BC294=""),"",IF(AZ294="Regular",AND(BC294&gt;=Assumptions!$B$82,N(BI294)&lt;Assumptions!$B$81*H294/180*BC294),AND(BC294&gt;=BA294*30,N(BG294)=0)))</f>
        <v/>
      </c>
      <c r="BK294" s="2" t="str">
        <f aca="false">IF(NOT(LEFT(D294,1)="1"),"N/A",IF(BC294="","Baseline",IF(BJ294,"At Risk",IF(AND(N(BD294)&gt;=Assumptions!$B$78,N(BE294)&gt;=Assumptions!$B$79,N(BH294)&gt;=1,N(BH294)/MAX(N(BG294),1)&gt;AY294),"Self-Serve Capability Demonstrated",IF(OR(N(BD294)&gt;=Assumptions!$B$76,N(BE294)&gt;=Assumptions!$B$77),"Progressing",IF(BC294&gt;=Assumptions!$B$85,"At Risk","Baseline"))))))</f>
        <v>N/A</v>
      </c>
      <c r="BL294" s="2" t="n">
        <f aca="false">(AND(C294="Broker-Reliant",OR(AK294="Discovery-to-Offer Enablement",AK294="Reinforce Successful Behaviour")))*1+(AND(G294="Declining",E294&lt;&gt;"Tail",AL294="Automated"))*1+(AND(Y294,AM294&lt;&gt;"Human Sign-Off Required"))*1+(AND(AA294,AM294&lt;&gt;"HOLD — Critical Data Issue"))*1+(AND(P294="Recent Inactivity",OR(AK294="Discovery-to-Offer Enablement",AK294="Reinforce Successful Behaviour")))*1+(AND(OR(LEFT(D294,1)="2",LEFT(D294,1)="3",LEFT(D294,1)="8"),AL294="Automated"))*1+((LEFT(D294,1)="1")&lt;&gt;(AK294="Guided Self-Serve Migration"))*1+(AND(AR294&lt;&gt;"",OR(F294&lt;&gt;"Low",U294="Mixed",AND(G294&lt;&gt;"Growing",G294&lt;&gt;"Stable"))))*1+ISNUMBER(SEARCH("chat",AP294))*1+ISNUMBER(SEARCH("video",AP294))*1+(AND(AA294,AL294="Automated",AM294&lt;&gt;"HOLD — Critical Data Issue"))*1</f>
        <v>0</v>
      </c>
    </row>
    <row r="295" customFormat="false" ht="15" hidden="false" customHeight="false" outlineLevel="0" collapsed="false">
      <c r="A295" s="2" t="s">
        <v>998</v>
      </c>
      <c r="B295" s="2" t="str">
        <f aca="false">INDEX(Segmentation!$B$2:$B$301,MATCH($A295,Segmentation!$A$2:$A$301,0))</f>
        <v>Self Serve</v>
      </c>
      <c r="C295" s="2" t="str">
        <f aca="false">INDEX(Segmentation!$H$2:$H$301,MATCH($A295,Segmentation!$A$2:$A$301,0))</f>
        <v>Self-Serve</v>
      </c>
      <c r="D295" s="2" t="str">
        <f aca="false">INDEX(Segmentation!$T$2:$T$301,MATCH($A295,Segmentation!$A$2:$A$301,0))</f>
        <v>9. Long-Tail Automated Nurture</v>
      </c>
      <c r="E295" s="2" t="str">
        <f aca="false">INDEX(Segmentation!$J$2:$J$301,MATCH($A295,Segmentation!$A$2:$A$301,0))</f>
        <v>Tail</v>
      </c>
      <c r="F295" s="2" t="str">
        <f aca="false">INDEX(Segmentation!$G$2:$G$301,MATCH($A295,Segmentation!$A$2:$A$301,0))</f>
        <v>Low</v>
      </c>
      <c r="G295" s="2" t="str">
        <f aca="false">INDEX(Segmentation!$N$2:$N$301,MATCH($A295,Segmentation!$A$2:$A$301,0))</f>
        <v>Lapsed</v>
      </c>
      <c r="H295" s="9" t="n">
        <f aca="false">INDEX(Segmentation!$I$2:$I$301,MATCH($A295,Segmentation!$A$2:$A$301,0))</f>
        <v>78</v>
      </c>
      <c r="I295" s="2" t="n">
        <f aca="false">INDEX(Segmentation!$O$2:$O$301,MATCH($A295,Segmentation!$A$2:$A$301,0))</f>
        <v>1</v>
      </c>
      <c r="J295" s="2" t="n">
        <f aca="false">INDEX(Segmentation!$Q$2:$Q$301,MATCH($A295,Segmentation!$A$2:$A$301,0))</f>
        <v>1</v>
      </c>
      <c r="K295" s="2" t="n">
        <f aca="false">INDEX(Segmentation!$W$2:$W$301,MATCH($A295,Segmentation!$A$2:$A$301,0))</f>
        <v>1</v>
      </c>
      <c r="L295" s="9" t="n">
        <f aca="false">INDEX('Commercial View'!$L$2:$L$301,MATCH($A295,'Commercial View'!$A$2:$A$301,0))</f>
        <v>0</v>
      </c>
      <c r="M295" s="9" t="n">
        <f aca="false">INDEX('Commercial View'!$M$2:$M$301,MATCH($A295,'Commercial View'!$A$2:$A$301,0))</f>
        <v>0</v>
      </c>
      <c r="N295" s="9" t="n">
        <f aca="false">INDEX('Commercial View'!$N$2:$N$301,MATCH($A295,'Commercial View'!$A$2:$A$301,0))</f>
        <v>0</v>
      </c>
      <c r="O295" s="9" t="n">
        <f aca="false">INDEX(Segmentation!$L$2:$L$301,MATCH($A295,Segmentation!$A$2:$A$301,0))</f>
        <v>0</v>
      </c>
      <c r="P295" s="2" t="str">
        <f aca="false">IF(OR(M295&gt;0,N295&gt;0),"Recently Active",IF(OR(I295&lt;=Assumptions!$B$48,K295&lt;=Assumptions!$B$49),"No Meaningful History","Recent Inactivity"))</f>
        <v>No Meaningful History</v>
      </c>
      <c r="Q295" s="2" t="str">
        <f aca="false">INDEX(Segmentation!$AF$2:$AF$301,MATCH($A295,Segmentation!$A$2:$A$301,0))</f>
        <v>Existing Customer</v>
      </c>
      <c r="R295" s="2" t="str">
        <f aca="false">INDEX(Segmentation!$AL$2:$AL$301,MATCH($A295,Segmentation!$A$2:$A$301,0))</f>
        <v>One-Off / Insufficient History — Verify</v>
      </c>
      <c r="S295" s="10" t="b">
        <f aca="false">INDEX(Segmentation!$AW$2:$AW$301,MATCH($A295,Segmentation!$A$2:$A$301,0))</f>
        <v>0</v>
      </c>
      <c r="T295" s="2" t="str">
        <f aca="false">INDEX('Feature Data'!$AD$2:$AD$301,MATCH($A295,'Feature Data'!$A$2:$A$301,0))</f>
        <v>One-off low-touch buyer</v>
      </c>
      <c r="U295" s="2" t="str">
        <f aca="false">INDEX('Feature Data'!$W$2:$W$301,MATCH($A295,'Feature Data'!$A$2:$A$301,0))</f>
        <v>Bundle-only</v>
      </c>
      <c r="V295" s="2" t="n">
        <f aca="false">INDEX('Feature Data'!$P$2:$P$301,MATCH($A295,'Feature Data'!$A$2:$A$301,0))</f>
        <v>103</v>
      </c>
      <c r="W295" s="2" t="n">
        <f aca="false">INDEX(Segmentation!$R$2:$R$301,MATCH($A295,Segmentation!$A$2:$A$301,0))</f>
        <v>2</v>
      </c>
      <c r="X295" s="2" t="n">
        <f aca="false">INDEX(Segmentation!$S$2:$S$301,MATCH($A295,Segmentation!$A$2:$A$301,0))</f>
        <v>0</v>
      </c>
      <c r="Y295" s="10" t="b">
        <f aca="false">INDEX(Segmentation!$AG$2:$AG$301,MATCH($A295,Segmentation!$A$2:$A$301,0))</f>
        <v>0</v>
      </c>
      <c r="Z295" s="2" t="str">
        <f aca="false">INDEX(Segmentation!$AU$2:$AU$301,MATCH($A295,Segmentation!$A$2:$A$301,0))</f>
        <v>Not Eligible</v>
      </c>
      <c r="AA295" s="10" t="b">
        <f aca="false">INDEX(Segmentation!$Z$2:$Z$301,MATCH($A295,Segmentation!$A$2:$A$301,0))</f>
        <v>0</v>
      </c>
      <c r="AB295" s="10" t="b">
        <f aca="false">INDEX(Segmentation!$AH$2:$AH$301,MATCH($A295,Segmentation!$A$2:$A$301,0))</f>
        <v>0</v>
      </c>
      <c r="AC295" s="10" t="b">
        <f aca="false">INDEX(Segmentation!$AK$2:$AK$301,MATCH($A295,Segmentation!$A$2:$A$301,0))</f>
        <v>0</v>
      </c>
      <c r="AD295" s="10" t="b">
        <f aca="false">INDEX(Segmentation!$AQ$2:$AQ$301,MATCH($A295,Segmentation!$A$2:$A$301,0))</f>
        <v>0</v>
      </c>
      <c r="AE295" s="10" t="b">
        <f aca="false">INDEX(Segmentation!$AT$2:$AT$301,MATCH($A295,Segmentation!$A$2:$A$301,0))</f>
        <v>0</v>
      </c>
      <c r="AF295" s="10" t="b">
        <f aca="false">INDEX(Segmentation!$X$2:$X$301,MATCH($A295,Segmentation!$A$2:$A$301,0))</f>
        <v>1</v>
      </c>
      <c r="AG295" s="10" t="b">
        <f aca="false">AND(F295="Low",V295&gt;=Assumptions!$B$71,X295&lt;Assumptions!$B$72)</f>
        <v>1</v>
      </c>
      <c r="AH295" s="10" t="b">
        <f aca="false">AND(F295="Low",OR(G295="Growing",G295="Stable"),P295="Recently Active",V295&gt;=Assumptions!$B$58,K295&gt;=Assumptions!$B$73)</f>
        <v>0</v>
      </c>
      <c r="AI295" s="17" t="str">
        <f aca="false">IF(O295&gt;0,MAX(L295:N295)/O295,"")</f>
        <v/>
      </c>
      <c r="AJ295" s="2" t="str">
        <f aca="false">IF(LEFT(D295,1)="1",IF(E295="Key","MIGRATION_KEY_SIGNOFF",IF(Z295="Ready","MIGRATION_PHASE1_READY",IF(Z295="Manual Review","MIGRATION_PHASE1_REVIEW","MIGRATION_PRE_ENTRY"))),IF(LEFT(D295,1)="2","DECLINING_KEY_CORE",IF(LEFT(D295,1)="3",IF(R295="Established Buyer Lapsed","LAPSED_ESTABLISHED","LAPSED_THIN_HISTORY"),IF(LEFT(D295,1)="4",IF(Q295="New Customer","NEW_CUSTOMER","RETURNED_CUSTOMER"),IF(LEFT(D295,1)="5",IF(P295="Recently Active","COST_TO_SERVE_ACTIVE","DORMANT_LOW_VALUE"),IF(LEFT(D295,1)="6",IF(P295="Recent Inactivity","RECENT_INACTIVITY",IF(AG295,"BROWSING_LOW_OFFERS","HEALTHY_STRONG_SELF_SERVE")),IF(LEFT(D295,1)="7",IF(P295="Recent Inactivity","RECENT_INACTIVITY",IF(Q295="New Customer","NEW_CUSTOMER","RETURNED_CUSTOMER")),IF(LEFT(D295,1)="8",IF(G295="Declining",IF(T295="Engaged but shrinking (Key/Core)","ENGAGED_BUT_SHRINKING","DECLINING_KEY_CORE"),IF(R295="Established Buyer Lapsed","LAPSED_ESTABLISHED","LAPSED_THIN_HISTORY")),IF(S295,IF(P295&lt;&gt;"Recently Active","DORMANT_LOW_VALUE",IF(AG295,"BROWSING_LOW_OFFERS",IF(AH295,"RISING_TAIL","RISING_TAIL_EARLY"))),IF(AND(AG295,P295="Recently Active",OR(G295="Growing",G295="Stable",G295="H2 Active / No H1 GMV"),I295&gt;=Assumptions!$B$74),"BROWSING_LOW_OFFERS","LONG_TAIL_STANDARD"))))))))))</f>
        <v>LONG_TAIL_STANDARD</v>
      </c>
      <c r="AK295" s="2" t="str">
        <f aca="false">INDEX('NBA Library'!$B$4:$B$21,MATCH(AJ295,'NBA Library'!$A$4:$A$21,0))</f>
        <v>Automated Nurture</v>
      </c>
      <c r="AL295" s="2" t="str">
        <f aca="false">INDEX('NBA Library'!$C$4:$C$21,MATCH(AJ295,'NBA Library'!$A$4:$A$21,0))</f>
        <v>Automated</v>
      </c>
      <c r="AM295" s="2" t="str">
        <f aca="false">IF(AA295,"HOLD — Critical Data Issue",IF(Y295,"Human Sign-Off Required",IF(Z295="Manual Review","Human Review Required",IF(AND(AL295="Automated",OR(AE295,AND(OR(AK295="Discovery-to-Offer Enablement",AK295="Reinforce Successful Behaviour"),OR(AC295,AB295)))),"Human Review Required",IF(AL295="Human","Ready — Human",IF(AL295="Hybrid","Ready — Hybrid","Ready — Automated"))))))</f>
        <v>Ready — Automated</v>
      </c>
      <c r="AN295" s="2" t="str">
        <f aca="false">IF(AA295,"P0",IF(AND(AJ295="BROWSING_LOW_OFFERS",E295="Tail"),"P3",IF(AND(AM295="Human Review Required",INDEX('NBA Library'!$D$4:$D$21,MATCH(AJ295,'NBA Library'!$A$4:$A$21,0))="P4"),"P3",INDEX('NBA Library'!$D$4:$D$21,MATCH(AJ295,'NBA Library'!$A$4:$A$21,0)))))</f>
        <v>P4</v>
      </c>
      <c r="AO295" s="2" t="str">
        <f aca="false">E295&amp;" "&amp;C295&amp;" account ("&amp;B295&amp;"); "&amp;G295&amp;" momentum; "&amp;P295&amp;"; £"&amp;TEXT(H295,"#,##0")&amp;" 6m GMV. "&amp;INDEX('NBA Library'!$G$4:$G$21,MATCH(AJ295,'NBA Library'!$A$4:$A$21,0))&amp;IF(LEFT(D295,1)="1"," Baseline: "&amp;V295&amp;" PDP views, "&amp;W295&amp;" app days, "&amp;X295&amp;" offers, "&amp;TEXT(J295/I295,"0%")&amp;" of orders self-serve.","")&amp;IF(AA295," Execution on HOLD until the Duplicate status is resolved.","")&amp;IF(Y295," Key account: explicit AM/leadership sign-off required before any migration activity.","")&amp;IF(AE295," Implied broker % from order counts would move this account to a different segment; review before automating.","")</f>
        <v>Tail Self-Serve account (Self Serve); Lapsed momentum; No Meaningful History; £78 6m GMV. Low-value, low-dependency account. Scalable automated engagement.</v>
      </c>
      <c r="AP295" s="2" t="str">
        <f aca="false">INDEX('NBA Library'!$E$4:$E$21,MATCH(AJ295,'NBA Library'!$A$4:$A$21,0))&amp;IF(AND(AJ295="NEW_CUSTOMER",AG295),"; introduce Make-an-Offer on items already browsed","")</f>
        <v>Scalable automated engagement matched to nurture sub-context</v>
      </c>
      <c r="AQ295" s="2" t="str">
        <f aca="false">INDEX('NBA Library'!$F$4:$F$21,MATCH(AJ295,'NBA Library'!$A$4:$A$21,0))</f>
        <v>Any repeat order within 90 days</v>
      </c>
      <c r="AR295" s="2" t="str">
        <f aca="false">IF(AND(F295="Low",OR(G295="Growing",G295="Stable"),P295="Recently Active",U295&lt;&gt;"Mixed",OR(AK295="Discovery-to-Offer Enablement",AK295="Reinforce Successful Behaviour"),AM295="Ready — Automated",OR(E295&lt;&gt;"Tail",S295)),"Range Expansion Test — trial "&amp;IF(U295="Bundle-only","handpick","bundles")&amp;" (experimental; not proven to lift GMV)","")</f>
        <v/>
      </c>
      <c r="AS295" s="2" t="str">
        <f aca="false">IF(AK295&lt;&gt;"Automated Nurture","",IF(AJ295="DORMANT_LOW_VALUE","Dormant",IF(AJ295="RISING_TAIL_EARLY","Rising tail – early pattern",IF(Q295="New Customer","New customer onboarding",IF(Q295="Returned Customer","Returned customer",IF(G295="Lapsed","Dormant",IF(T295="Engaged, not converting","Engaged, not converting",IF(T295="One-off low-touch buyer","One-off purchaser",IF(T295="Light-touch repeat buyer","Light-touch repeat buyer","Standard long tail")))))))))</f>
        <v>Dormant</v>
      </c>
      <c r="AT295" s="2" t="str">
        <f aca="false">IF(AA295,"CRITICAL_DATA_BLOCKER; ","")&amp;IF(Y295,"KEY_SIGNOFF; ","")&amp;IF(Z295="Manual Review","PHASE1_MANUAL_REVIEW; ","")&amp;IF(AND(LEFT(D295,1)="1",AZ295="Lumpy"),"LUMPY_CADENCE; ","")&amp;IF(AB295,"BORDERLINE_MOMENTUM; ","")&amp;IF(AC295,"FEB_SENSITIVE; ","")&amp;IF(AD295,"MATERIAL_BROKER_INCONSISTENCY"&amp;IF(AE295," (segment would change)","")&amp;"; ","")&amp;IF(AND(I295&gt;=3,O295&gt;0),IF(AI295&gt;=Assumptions!$B$75,"H2_SINGLE_MONTH_SPIKE; ",""),"")&amp;IF(AND(M295&gt;0,N295=0),"NO_FEB_GMV (Feb unconfirmed); ","")&amp;IF(AF295,"LOW_CONFIDENCE; ","")</f>
        <v>LOW_CONFIDENCE; </v>
      </c>
      <c r="AU295" s="2" t="str">
        <f aca="false">IF(LEFT(D295,1)="1",V295,"")</f>
        <v/>
      </c>
      <c r="AV295" s="2" t="str">
        <f aca="false">IF(LEFT(D295,1)="1",V295&gt;=Assumptions!$B$58,"")</f>
        <v/>
      </c>
      <c r="AW295" s="2" t="str">
        <f aca="false">IF(LEFT(D295,1)="1",W295,"")</f>
        <v/>
      </c>
      <c r="AX295" s="2" t="str">
        <f aca="false">IF(LEFT(D295,1)="1",X295,"")</f>
        <v/>
      </c>
      <c r="AY295" s="17" t="str">
        <f aca="false">IF(LEFT(D295,1)="1",J295/I295,"")</f>
        <v/>
      </c>
      <c r="AZ295" s="2" t="str">
        <f aca="false">IF(LEFT(D295,1)="1",IF(AND(K295&gt;=Assumptions!$B$83,I295&gt;=Assumptions!$B$84),"Regular","Lumpy"),"")</f>
        <v/>
      </c>
      <c r="BA295" s="2" t="str">
        <f aca="false">IF(LEFT(D295,1)="1",ROUND(6/K295,0),"")</f>
        <v/>
      </c>
      <c r="BB295" s="2" t="str">
        <f aca="false">IF(LEFT(D295,1)="1",IF(AZ295="Regular","Regular buyer: expected ~£"&amp;TEXT(H295/2,"#,##0")&amp;" per 90 days. At Risk if GMV to date &lt; "&amp;TEXT(Assumptions!$B$81,"0%")&amp;" of pro-rated expectation, checked from day "&amp;Assumptions!$B$82&amp;". Human-reviewed.","Irregular buyer ("&amp;I295&amp;" orders across "&amp;K295&amp;" months): no numeric GMV threshold. At Risk if no order within ~"&amp;BA295&amp;" month(s); AM reviews at day "&amp;Assumptions!$B$82&amp;" and "&amp;Assumptions!$B$85&amp;"."),"")</f>
        <v/>
      </c>
      <c r="BC295" s="2"/>
      <c r="BD295" s="2"/>
      <c r="BE295" s="2"/>
      <c r="BF295" s="2"/>
      <c r="BG295" s="2"/>
      <c r="BH295" s="2"/>
      <c r="BI295" s="2"/>
      <c r="BJ295" s="2" t="str">
        <f aca="false">IF(OR(NOT(LEFT(D295,1)="1"),BC295=""),"",IF(AZ295="Regular",AND(BC295&gt;=Assumptions!$B$82,N(BI295)&lt;Assumptions!$B$81*H295/180*BC295),AND(BC295&gt;=BA295*30,N(BG295)=0)))</f>
        <v/>
      </c>
      <c r="BK295" s="2" t="str">
        <f aca="false">IF(NOT(LEFT(D295,1)="1"),"N/A",IF(BC295="","Baseline",IF(BJ295,"At Risk",IF(AND(N(BD295)&gt;=Assumptions!$B$78,N(BE295)&gt;=Assumptions!$B$79,N(BH295)&gt;=1,N(BH295)/MAX(N(BG295),1)&gt;AY295),"Self-Serve Capability Demonstrated",IF(OR(N(BD295)&gt;=Assumptions!$B$76,N(BE295)&gt;=Assumptions!$B$77),"Progressing",IF(BC295&gt;=Assumptions!$B$85,"At Risk","Baseline"))))))</f>
        <v>N/A</v>
      </c>
      <c r="BL295" s="2" t="n">
        <f aca="false">(AND(C295="Broker-Reliant",OR(AK295="Discovery-to-Offer Enablement",AK295="Reinforce Successful Behaviour")))*1+(AND(G295="Declining",E295&lt;&gt;"Tail",AL295="Automated"))*1+(AND(Y295,AM295&lt;&gt;"Human Sign-Off Required"))*1+(AND(AA295,AM295&lt;&gt;"HOLD — Critical Data Issue"))*1+(AND(P295="Recent Inactivity",OR(AK295="Discovery-to-Offer Enablement",AK295="Reinforce Successful Behaviour")))*1+(AND(OR(LEFT(D295,1)="2",LEFT(D295,1)="3",LEFT(D295,1)="8"),AL295="Automated"))*1+((LEFT(D295,1)="1")&lt;&gt;(AK295="Guided Self-Serve Migration"))*1+(AND(AR295&lt;&gt;"",OR(F295&lt;&gt;"Low",U295="Mixed",AND(G295&lt;&gt;"Growing",G295&lt;&gt;"Stable"))))*1+ISNUMBER(SEARCH("chat",AP295))*1+ISNUMBER(SEARCH("video",AP295))*1+(AND(AA295,AL295="Automated",AM295&lt;&gt;"HOLD — Critical Data Issue"))*1</f>
        <v>0</v>
      </c>
    </row>
    <row r="296" customFormat="false" ht="15" hidden="false" customHeight="false" outlineLevel="0" collapsed="false">
      <c r="A296" s="2" t="s">
        <v>1002</v>
      </c>
      <c r="B296" s="2" t="str">
        <f aca="false">INDEX(Segmentation!$B$2:$B$301,MATCH($A296,Segmentation!$A$2:$A$301,0))</f>
        <v>Self Serve</v>
      </c>
      <c r="C296" s="2" t="str">
        <f aca="false">INDEX(Segmentation!$H$2:$H$301,MATCH($A296,Segmentation!$A$2:$A$301,0))</f>
        <v>Self-Serve</v>
      </c>
      <c r="D296" s="2" t="str">
        <f aca="false">INDEX(Segmentation!$T$2:$T$301,MATCH($A296,Segmentation!$A$2:$A$301,0))</f>
        <v>9. Long-Tail Automated Nurture</v>
      </c>
      <c r="E296" s="2" t="str">
        <f aca="false">INDEX(Segmentation!$J$2:$J$301,MATCH($A296,Segmentation!$A$2:$A$301,0))</f>
        <v>Tail</v>
      </c>
      <c r="F296" s="2" t="str">
        <f aca="false">INDEX(Segmentation!$G$2:$G$301,MATCH($A296,Segmentation!$A$2:$A$301,0))</f>
        <v>Low</v>
      </c>
      <c r="G296" s="2" t="str">
        <f aca="false">INDEX(Segmentation!$N$2:$N$301,MATCH($A296,Segmentation!$A$2:$A$301,0))</f>
        <v>Lapsed</v>
      </c>
      <c r="H296" s="9" t="n">
        <f aca="false">INDEX(Segmentation!$I$2:$I$301,MATCH($A296,Segmentation!$A$2:$A$301,0))</f>
        <v>75</v>
      </c>
      <c r="I296" s="2" t="n">
        <f aca="false">INDEX(Segmentation!$O$2:$O$301,MATCH($A296,Segmentation!$A$2:$A$301,0))</f>
        <v>1</v>
      </c>
      <c r="J296" s="2" t="n">
        <f aca="false">INDEX(Segmentation!$Q$2:$Q$301,MATCH($A296,Segmentation!$A$2:$A$301,0))</f>
        <v>1</v>
      </c>
      <c r="K296" s="2" t="n">
        <f aca="false">INDEX(Segmentation!$W$2:$W$301,MATCH($A296,Segmentation!$A$2:$A$301,0))</f>
        <v>1</v>
      </c>
      <c r="L296" s="9" t="n">
        <f aca="false">INDEX('Commercial View'!$L$2:$L$301,MATCH($A296,'Commercial View'!$A$2:$A$301,0))</f>
        <v>0</v>
      </c>
      <c r="M296" s="9" t="n">
        <f aca="false">INDEX('Commercial View'!$M$2:$M$301,MATCH($A296,'Commercial View'!$A$2:$A$301,0))</f>
        <v>0</v>
      </c>
      <c r="N296" s="9" t="n">
        <f aca="false">INDEX('Commercial View'!$N$2:$N$301,MATCH($A296,'Commercial View'!$A$2:$A$301,0))</f>
        <v>0</v>
      </c>
      <c r="O296" s="9" t="n">
        <f aca="false">INDEX(Segmentation!$L$2:$L$301,MATCH($A296,Segmentation!$A$2:$A$301,0))</f>
        <v>0</v>
      </c>
      <c r="P296" s="2" t="str">
        <f aca="false">IF(OR(M296&gt;0,N296&gt;0),"Recently Active",IF(OR(I296&lt;=Assumptions!$B$48,K296&lt;=Assumptions!$B$49),"No Meaningful History","Recent Inactivity"))</f>
        <v>No Meaningful History</v>
      </c>
      <c r="Q296" s="2" t="str">
        <f aca="false">INDEX(Segmentation!$AF$2:$AF$301,MATCH($A296,Segmentation!$A$2:$A$301,0))</f>
        <v>Existing Customer</v>
      </c>
      <c r="R296" s="2" t="str">
        <f aca="false">INDEX(Segmentation!$AL$2:$AL$301,MATCH($A296,Segmentation!$A$2:$A$301,0))</f>
        <v>One-Off / Insufficient History — Verify</v>
      </c>
      <c r="S296" s="10" t="b">
        <f aca="false">INDEX(Segmentation!$AW$2:$AW$301,MATCH($A296,Segmentation!$A$2:$A$301,0))</f>
        <v>0</v>
      </c>
      <c r="T296" s="2" t="str">
        <f aca="false">INDEX('Feature Data'!$AD$2:$AD$301,MATCH($A296,'Feature Data'!$A$2:$A$301,0))</f>
        <v>One-off low-touch buyer</v>
      </c>
      <c r="U296" s="2" t="str">
        <f aca="false">INDEX('Feature Data'!$W$2:$W$301,MATCH($A296,'Feature Data'!$A$2:$A$301,0))</f>
        <v>Bundle-only</v>
      </c>
      <c r="V296" s="2" t="n">
        <f aca="false">INDEX('Feature Data'!$P$2:$P$301,MATCH($A296,'Feature Data'!$A$2:$A$301,0))</f>
        <v>105</v>
      </c>
      <c r="W296" s="2" t="n">
        <f aca="false">INDEX(Segmentation!$R$2:$R$301,MATCH($A296,Segmentation!$A$2:$A$301,0))</f>
        <v>10</v>
      </c>
      <c r="X296" s="2" t="n">
        <f aca="false">INDEX(Segmentation!$S$2:$S$301,MATCH($A296,Segmentation!$A$2:$A$301,0))</f>
        <v>0</v>
      </c>
      <c r="Y296" s="10" t="b">
        <f aca="false">INDEX(Segmentation!$AG$2:$AG$301,MATCH($A296,Segmentation!$A$2:$A$301,0))</f>
        <v>0</v>
      </c>
      <c r="Z296" s="2" t="str">
        <f aca="false">INDEX(Segmentation!$AU$2:$AU$301,MATCH($A296,Segmentation!$A$2:$A$301,0))</f>
        <v>Not Eligible</v>
      </c>
      <c r="AA296" s="10" t="b">
        <f aca="false">INDEX(Segmentation!$Z$2:$Z$301,MATCH($A296,Segmentation!$A$2:$A$301,0))</f>
        <v>0</v>
      </c>
      <c r="AB296" s="10" t="b">
        <f aca="false">INDEX(Segmentation!$AH$2:$AH$301,MATCH($A296,Segmentation!$A$2:$A$301,0))</f>
        <v>0</v>
      </c>
      <c r="AC296" s="10" t="b">
        <f aca="false">INDEX(Segmentation!$AK$2:$AK$301,MATCH($A296,Segmentation!$A$2:$A$301,0))</f>
        <v>0</v>
      </c>
      <c r="AD296" s="10" t="b">
        <f aca="false">INDEX(Segmentation!$AQ$2:$AQ$301,MATCH($A296,Segmentation!$A$2:$A$301,0))</f>
        <v>0</v>
      </c>
      <c r="AE296" s="10" t="b">
        <f aca="false">INDEX(Segmentation!$AT$2:$AT$301,MATCH($A296,Segmentation!$A$2:$A$301,0))</f>
        <v>0</v>
      </c>
      <c r="AF296" s="10" t="b">
        <f aca="false">INDEX(Segmentation!$X$2:$X$301,MATCH($A296,Segmentation!$A$2:$A$301,0))</f>
        <v>1</v>
      </c>
      <c r="AG296" s="10" t="b">
        <f aca="false">AND(F296="Low",V296&gt;=Assumptions!$B$71,X296&lt;Assumptions!$B$72)</f>
        <v>1</v>
      </c>
      <c r="AH296" s="10" t="b">
        <f aca="false">AND(F296="Low",OR(G296="Growing",G296="Stable"),P296="Recently Active",V296&gt;=Assumptions!$B$58,K296&gt;=Assumptions!$B$73)</f>
        <v>0</v>
      </c>
      <c r="AI296" s="17" t="str">
        <f aca="false">IF(O296&gt;0,MAX(L296:N296)/O296,"")</f>
        <v/>
      </c>
      <c r="AJ296" s="2" t="str">
        <f aca="false">IF(LEFT(D296,1)="1",IF(E296="Key","MIGRATION_KEY_SIGNOFF",IF(Z296="Ready","MIGRATION_PHASE1_READY",IF(Z296="Manual Review","MIGRATION_PHASE1_REVIEW","MIGRATION_PRE_ENTRY"))),IF(LEFT(D296,1)="2","DECLINING_KEY_CORE",IF(LEFT(D296,1)="3",IF(R296="Established Buyer Lapsed","LAPSED_ESTABLISHED","LAPSED_THIN_HISTORY"),IF(LEFT(D296,1)="4",IF(Q296="New Customer","NEW_CUSTOMER","RETURNED_CUSTOMER"),IF(LEFT(D296,1)="5",IF(P296="Recently Active","COST_TO_SERVE_ACTIVE","DORMANT_LOW_VALUE"),IF(LEFT(D296,1)="6",IF(P296="Recent Inactivity","RECENT_INACTIVITY",IF(AG296,"BROWSING_LOW_OFFERS","HEALTHY_STRONG_SELF_SERVE")),IF(LEFT(D296,1)="7",IF(P296="Recent Inactivity","RECENT_INACTIVITY",IF(Q296="New Customer","NEW_CUSTOMER","RETURNED_CUSTOMER")),IF(LEFT(D296,1)="8",IF(G296="Declining",IF(T296="Engaged but shrinking (Key/Core)","ENGAGED_BUT_SHRINKING","DECLINING_KEY_CORE"),IF(R296="Established Buyer Lapsed","LAPSED_ESTABLISHED","LAPSED_THIN_HISTORY")),IF(S296,IF(P296&lt;&gt;"Recently Active","DORMANT_LOW_VALUE",IF(AG296,"BROWSING_LOW_OFFERS",IF(AH296,"RISING_TAIL","RISING_TAIL_EARLY"))),IF(AND(AG296,P296="Recently Active",OR(G296="Growing",G296="Stable",G296="H2 Active / No H1 GMV"),I296&gt;=Assumptions!$B$74),"BROWSING_LOW_OFFERS","LONG_TAIL_STANDARD"))))))))))</f>
        <v>LONG_TAIL_STANDARD</v>
      </c>
      <c r="AK296" s="2" t="str">
        <f aca="false">INDEX('NBA Library'!$B$4:$B$21,MATCH(AJ296,'NBA Library'!$A$4:$A$21,0))</f>
        <v>Automated Nurture</v>
      </c>
      <c r="AL296" s="2" t="str">
        <f aca="false">INDEX('NBA Library'!$C$4:$C$21,MATCH(AJ296,'NBA Library'!$A$4:$A$21,0))</f>
        <v>Automated</v>
      </c>
      <c r="AM296" s="2" t="str">
        <f aca="false">IF(AA296,"HOLD — Critical Data Issue",IF(Y296,"Human Sign-Off Required",IF(Z296="Manual Review","Human Review Required",IF(AND(AL296="Automated",OR(AE296,AND(OR(AK296="Discovery-to-Offer Enablement",AK296="Reinforce Successful Behaviour"),OR(AC296,AB296)))),"Human Review Required",IF(AL296="Human","Ready — Human",IF(AL296="Hybrid","Ready — Hybrid","Ready — Automated"))))))</f>
        <v>Ready — Automated</v>
      </c>
      <c r="AN296" s="2" t="str">
        <f aca="false">IF(AA296,"P0",IF(AND(AJ296="BROWSING_LOW_OFFERS",E296="Tail"),"P3",IF(AND(AM296="Human Review Required",INDEX('NBA Library'!$D$4:$D$21,MATCH(AJ296,'NBA Library'!$A$4:$A$21,0))="P4"),"P3",INDEX('NBA Library'!$D$4:$D$21,MATCH(AJ296,'NBA Library'!$A$4:$A$21,0)))))</f>
        <v>P4</v>
      </c>
      <c r="AO296" s="2" t="str">
        <f aca="false">E296&amp;" "&amp;C296&amp;" account ("&amp;B296&amp;"); "&amp;G296&amp;" momentum; "&amp;P296&amp;"; £"&amp;TEXT(H296,"#,##0")&amp;" 6m GMV. "&amp;INDEX('NBA Library'!$G$4:$G$21,MATCH(AJ296,'NBA Library'!$A$4:$A$21,0))&amp;IF(LEFT(D296,1)="1"," Baseline: "&amp;V296&amp;" PDP views, "&amp;W296&amp;" app days, "&amp;X296&amp;" offers, "&amp;TEXT(J296/I296,"0%")&amp;" of orders self-serve.","")&amp;IF(AA296," Execution on HOLD until the Duplicate status is resolved.","")&amp;IF(Y296," Key account: explicit AM/leadership sign-off required before any migration activity.","")&amp;IF(AE296," Implied broker % from order counts would move this account to a different segment; review before automating.","")</f>
        <v>Tail Self-Serve account (Self Serve); Lapsed momentum; No Meaningful History; £75 6m GMV. Low-value, low-dependency account. Scalable automated engagement.</v>
      </c>
      <c r="AP296" s="2" t="str">
        <f aca="false">INDEX('NBA Library'!$E$4:$E$21,MATCH(AJ296,'NBA Library'!$A$4:$A$21,0))&amp;IF(AND(AJ296="NEW_CUSTOMER",AG296),"; introduce Make-an-Offer on items already browsed","")</f>
        <v>Scalable automated engagement matched to nurture sub-context</v>
      </c>
      <c r="AQ296" s="2" t="str">
        <f aca="false">INDEX('NBA Library'!$F$4:$F$21,MATCH(AJ296,'NBA Library'!$A$4:$A$21,0))</f>
        <v>Any repeat order within 90 days</v>
      </c>
      <c r="AR296" s="2" t="str">
        <f aca="false">IF(AND(F296="Low",OR(G296="Growing",G296="Stable"),P296="Recently Active",U296&lt;&gt;"Mixed",OR(AK296="Discovery-to-Offer Enablement",AK296="Reinforce Successful Behaviour"),AM296="Ready — Automated",OR(E296&lt;&gt;"Tail",S296)),"Range Expansion Test — trial "&amp;IF(U296="Bundle-only","handpick","bundles")&amp;" (experimental; not proven to lift GMV)","")</f>
        <v/>
      </c>
      <c r="AS296" s="2" t="str">
        <f aca="false">IF(AK296&lt;&gt;"Automated Nurture","",IF(AJ296="DORMANT_LOW_VALUE","Dormant",IF(AJ296="RISING_TAIL_EARLY","Rising tail – early pattern",IF(Q296="New Customer","New customer onboarding",IF(Q296="Returned Customer","Returned customer",IF(G296="Lapsed","Dormant",IF(T296="Engaged, not converting","Engaged, not converting",IF(T296="One-off low-touch buyer","One-off purchaser",IF(T296="Light-touch repeat buyer","Light-touch repeat buyer","Standard long tail")))))))))</f>
        <v>Dormant</v>
      </c>
      <c r="AT296" s="2" t="str">
        <f aca="false">IF(AA296,"CRITICAL_DATA_BLOCKER; ","")&amp;IF(Y296,"KEY_SIGNOFF; ","")&amp;IF(Z296="Manual Review","PHASE1_MANUAL_REVIEW; ","")&amp;IF(AND(LEFT(D296,1)="1",AZ296="Lumpy"),"LUMPY_CADENCE; ","")&amp;IF(AB296,"BORDERLINE_MOMENTUM; ","")&amp;IF(AC296,"FEB_SENSITIVE; ","")&amp;IF(AD296,"MATERIAL_BROKER_INCONSISTENCY"&amp;IF(AE296," (segment would change)","")&amp;"; ","")&amp;IF(AND(I296&gt;=3,O296&gt;0),IF(AI296&gt;=Assumptions!$B$75,"H2_SINGLE_MONTH_SPIKE; ",""),"")&amp;IF(AND(M296&gt;0,N296=0),"NO_FEB_GMV (Feb unconfirmed); ","")&amp;IF(AF296,"LOW_CONFIDENCE; ","")</f>
        <v>LOW_CONFIDENCE; </v>
      </c>
      <c r="AU296" s="2" t="str">
        <f aca="false">IF(LEFT(D296,1)="1",V296,"")</f>
        <v/>
      </c>
      <c r="AV296" s="2" t="str">
        <f aca="false">IF(LEFT(D296,1)="1",V296&gt;=Assumptions!$B$58,"")</f>
        <v/>
      </c>
      <c r="AW296" s="2" t="str">
        <f aca="false">IF(LEFT(D296,1)="1",W296,"")</f>
        <v/>
      </c>
      <c r="AX296" s="2" t="str">
        <f aca="false">IF(LEFT(D296,1)="1",X296,"")</f>
        <v/>
      </c>
      <c r="AY296" s="17" t="str">
        <f aca="false">IF(LEFT(D296,1)="1",J296/I296,"")</f>
        <v/>
      </c>
      <c r="AZ296" s="2" t="str">
        <f aca="false">IF(LEFT(D296,1)="1",IF(AND(K296&gt;=Assumptions!$B$83,I296&gt;=Assumptions!$B$84),"Regular","Lumpy"),"")</f>
        <v/>
      </c>
      <c r="BA296" s="2" t="str">
        <f aca="false">IF(LEFT(D296,1)="1",ROUND(6/K296,0),"")</f>
        <v/>
      </c>
      <c r="BB296" s="2" t="str">
        <f aca="false">IF(LEFT(D296,1)="1",IF(AZ296="Regular","Regular buyer: expected ~£"&amp;TEXT(H296/2,"#,##0")&amp;" per 90 days. At Risk if GMV to date &lt; "&amp;TEXT(Assumptions!$B$81,"0%")&amp;" of pro-rated expectation, checked from day "&amp;Assumptions!$B$82&amp;". Human-reviewed.","Irregular buyer ("&amp;I296&amp;" orders across "&amp;K296&amp;" months): no numeric GMV threshold. At Risk if no order within ~"&amp;BA296&amp;" month(s); AM reviews at day "&amp;Assumptions!$B$82&amp;" and "&amp;Assumptions!$B$85&amp;"."),"")</f>
        <v/>
      </c>
      <c r="BC296" s="2"/>
      <c r="BD296" s="2"/>
      <c r="BE296" s="2"/>
      <c r="BF296" s="2"/>
      <c r="BG296" s="2"/>
      <c r="BH296" s="2"/>
      <c r="BI296" s="2"/>
      <c r="BJ296" s="2" t="str">
        <f aca="false">IF(OR(NOT(LEFT(D296,1)="1"),BC296=""),"",IF(AZ296="Regular",AND(BC296&gt;=Assumptions!$B$82,N(BI296)&lt;Assumptions!$B$81*H296/180*BC296),AND(BC296&gt;=BA296*30,N(BG296)=0)))</f>
        <v/>
      </c>
      <c r="BK296" s="2" t="str">
        <f aca="false">IF(NOT(LEFT(D296,1)="1"),"N/A",IF(BC296="","Baseline",IF(BJ296,"At Risk",IF(AND(N(BD296)&gt;=Assumptions!$B$78,N(BE296)&gt;=Assumptions!$B$79,N(BH296)&gt;=1,N(BH296)/MAX(N(BG296),1)&gt;AY296),"Self-Serve Capability Demonstrated",IF(OR(N(BD296)&gt;=Assumptions!$B$76,N(BE296)&gt;=Assumptions!$B$77),"Progressing",IF(BC296&gt;=Assumptions!$B$85,"At Risk","Baseline"))))))</f>
        <v>N/A</v>
      </c>
      <c r="BL296" s="2" t="n">
        <f aca="false">(AND(C296="Broker-Reliant",OR(AK296="Discovery-to-Offer Enablement",AK296="Reinforce Successful Behaviour")))*1+(AND(G296="Declining",E296&lt;&gt;"Tail",AL296="Automated"))*1+(AND(Y296,AM296&lt;&gt;"Human Sign-Off Required"))*1+(AND(AA296,AM296&lt;&gt;"HOLD — Critical Data Issue"))*1+(AND(P296="Recent Inactivity",OR(AK296="Discovery-to-Offer Enablement",AK296="Reinforce Successful Behaviour")))*1+(AND(OR(LEFT(D296,1)="2",LEFT(D296,1)="3",LEFT(D296,1)="8"),AL296="Automated"))*1+((LEFT(D296,1)="1")&lt;&gt;(AK296="Guided Self-Serve Migration"))*1+(AND(AR296&lt;&gt;"",OR(F296&lt;&gt;"Low",U296="Mixed",AND(G296&lt;&gt;"Growing",G296&lt;&gt;"Stable"))))*1+ISNUMBER(SEARCH("chat",AP296))*1+ISNUMBER(SEARCH("video",AP296))*1+(AND(AA296,AL296="Automated",AM296&lt;&gt;"HOLD — Critical Data Issue"))*1</f>
        <v>0</v>
      </c>
    </row>
    <row r="297" customFormat="false" ht="15" hidden="false" customHeight="false" outlineLevel="0" collapsed="false">
      <c r="A297" s="2" t="s">
        <v>1004</v>
      </c>
      <c r="B297" s="2" t="str">
        <f aca="false">INDEX(Segmentation!$B$2:$B$301,MATCH($A297,Segmentation!$A$2:$A$301,0))</f>
        <v>Self Serve</v>
      </c>
      <c r="C297" s="2" t="str">
        <f aca="false">INDEX(Segmentation!$H$2:$H$301,MATCH($A297,Segmentation!$A$2:$A$301,0))</f>
        <v>Self-Serve</v>
      </c>
      <c r="D297" s="2" t="str">
        <f aca="false">INDEX(Segmentation!$T$2:$T$301,MATCH($A297,Segmentation!$A$2:$A$301,0))</f>
        <v>9. Long-Tail Automated Nurture</v>
      </c>
      <c r="E297" s="2" t="str">
        <f aca="false">INDEX(Segmentation!$J$2:$J$301,MATCH($A297,Segmentation!$A$2:$A$301,0))</f>
        <v>Tail</v>
      </c>
      <c r="F297" s="2" t="str">
        <f aca="false">INDEX(Segmentation!$G$2:$G$301,MATCH($A297,Segmentation!$A$2:$A$301,0))</f>
        <v>Low</v>
      </c>
      <c r="G297" s="2" t="str">
        <f aca="false">INDEX(Segmentation!$N$2:$N$301,MATCH($A297,Segmentation!$A$2:$A$301,0))</f>
        <v>H2 Active / No H1 GMV</v>
      </c>
      <c r="H297" s="9" t="n">
        <f aca="false">INDEX(Segmentation!$I$2:$I$301,MATCH($A297,Segmentation!$A$2:$A$301,0))</f>
        <v>67</v>
      </c>
      <c r="I297" s="2" t="n">
        <f aca="false">INDEX(Segmentation!$O$2:$O$301,MATCH($A297,Segmentation!$A$2:$A$301,0))</f>
        <v>1</v>
      </c>
      <c r="J297" s="2" t="n">
        <f aca="false">INDEX(Segmentation!$Q$2:$Q$301,MATCH($A297,Segmentation!$A$2:$A$301,0))</f>
        <v>1</v>
      </c>
      <c r="K297" s="2" t="n">
        <f aca="false">INDEX(Segmentation!$W$2:$W$301,MATCH($A297,Segmentation!$A$2:$A$301,0))</f>
        <v>1</v>
      </c>
      <c r="L297" s="9" t="n">
        <f aca="false">INDEX('Commercial View'!$L$2:$L$301,MATCH($A297,'Commercial View'!$A$2:$A$301,0))</f>
        <v>0</v>
      </c>
      <c r="M297" s="9" t="n">
        <f aca="false">INDEX('Commercial View'!$M$2:$M$301,MATCH($A297,'Commercial View'!$A$2:$A$301,0))</f>
        <v>0</v>
      </c>
      <c r="N297" s="9" t="n">
        <f aca="false">INDEX('Commercial View'!$N$2:$N$301,MATCH($A297,'Commercial View'!$A$2:$A$301,0))</f>
        <v>67</v>
      </c>
      <c r="O297" s="9" t="n">
        <f aca="false">INDEX(Segmentation!$L$2:$L$301,MATCH($A297,Segmentation!$A$2:$A$301,0))</f>
        <v>67</v>
      </c>
      <c r="P297" s="2" t="str">
        <f aca="false">IF(OR(M297&gt;0,N297&gt;0),"Recently Active",IF(OR(I297&lt;=Assumptions!$B$48,K297&lt;=Assumptions!$B$49),"No Meaningful History","Recent Inactivity"))</f>
        <v>Recently Active</v>
      </c>
      <c r="Q297" s="2" t="str">
        <f aca="false">INDEX(Segmentation!$AF$2:$AF$301,MATCH($A297,Segmentation!$A$2:$A$301,0))</f>
        <v>New Customer</v>
      </c>
      <c r="R297" s="2" t="str">
        <f aca="false">INDEX(Segmentation!$AL$2:$AL$301,MATCH($A297,Segmentation!$A$2:$A$301,0))</f>
        <v>N/A</v>
      </c>
      <c r="S297" s="10" t="b">
        <f aca="false">INDEX(Segmentation!$AW$2:$AW$301,MATCH($A297,Segmentation!$A$2:$A$301,0))</f>
        <v>0</v>
      </c>
      <c r="T297" s="2" t="str">
        <f aca="false">INDEX('Feature Data'!$AD$2:$AD$301,MATCH($A297,'Feature Data'!$A$2:$A$301,0))</f>
        <v>One-off low-touch buyer</v>
      </c>
      <c r="U297" s="2" t="str">
        <f aca="false">INDEX('Feature Data'!$W$2:$W$301,MATCH($A297,'Feature Data'!$A$2:$A$301,0))</f>
        <v>Bundle-only</v>
      </c>
      <c r="V297" s="2" t="n">
        <f aca="false">INDEX('Feature Data'!$P$2:$P$301,MATCH($A297,'Feature Data'!$A$2:$A$301,0))</f>
        <v>0</v>
      </c>
      <c r="W297" s="2" t="n">
        <f aca="false">INDEX(Segmentation!$R$2:$R$301,MATCH($A297,Segmentation!$A$2:$A$301,0))</f>
        <v>1</v>
      </c>
      <c r="X297" s="2" t="n">
        <f aca="false">INDEX(Segmentation!$S$2:$S$301,MATCH($A297,Segmentation!$A$2:$A$301,0))</f>
        <v>0</v>
      </c>
      <c r="Y297" s="10" t="b">
        <f aca="false">INDEX(Segmentation!$AG$2:$AG$301,MATCH($A297,Segmentation!$A$2:$A$301,0))</f>
        <v>0</v>
      </c>
      <c r="Z297" s="2" t="str">
        <f aca="false">INDEX(Segmentation!$AU$2:$AU$301,MATCH($A297,Segmentation!$A$2:$A$301,0))</f>
        <v>Not Eligible</v>
      </c>
      <c r="AA297" s="10" t="b">
        <f aca="false">INDEX(Segmentation!$Z$2:$Z$301,MATCH($A297,Segmentation!$A$2:$A$301,0))</f>
        <v>0</v>
      </c>
      <c r="AB297" s="10" t="b">
        <f aca="false">INDEX(Segmentation!$AH$2:$AH$301,MATCH($A297,Segmentation!$A$2:$A$301,0))</f>
        <v>0</v>
      </c>
      <c r="AC297" s="10" t="b">
        <f aca="false">INDEX(Segmentation!$AK$2:$AK$301,MATCH($A297,Segmentation!$A$2:$A$301,0))</f>
        <v>1</v>
      </c>
      <c r="AD297" s="10" t="b">
        <f aca="false">INDEX(Segmentation!$AQ$2:$AQ$301,MATCH($A297,Segmentation!$A$2:$A$301,0))</f>
        <v>0</v>
      </c>
      <c r="AE297" s="10" t="b">
        <f aca="false">INDEX(Segmentation!$AT$2:$AT$301,MATCH($A297,Segmentation!$A$2:$A$301,0))</f>
        <v>0</v>
      </c>
      <c r="AF297" s="10" t="b">
        <f aca="false">INDEX(Segmentation!$X$2:$X$301,MATCH($A297,Segmentation!$A$2:$A$301,0))</f>
        <v>1</v>
      </c>
      <c r="AG297" s="10" t="b">
        <f aca="false">AND(F297="Low",V297&gt;=Assumptions!$B$71,X297&lt;Assumptions!$B$72)</f>
        <v>0</v>
      </c>
      <c r="AH297" s="10" t="b">
        <f aca="false">AND(F297="Low",OR(G297="Growing",G297="Stable"),P297="Recently Active",V297&gt;=Assumptions!$B$58,K297&gt;=Assumptions!$B$73)</f>
        <v>0</v>
      </c>
      <c r="AI297" s="17" t="n">
        <f aca="false">IF(O297&gt;0,MAX(L297:N297)/O297,"")</f>
        <v>1</v>
      </c>
      <c r="AJ297" s="2" t="str">
        <f aca="false">IF(LEFT(D297,1)="1",IF(E297="Key","MIGRATION_KEY_SIGNOFF",IF(Z297="Ready","MIGRATION_PHASE1_READY",IF(Z297="Manual Review","MIGRATION_PHASE1_REVIEW","MIGRATION_PRE_ENTRY"))),IF(LEFT(D297,1)="2","DECLINING_KEY_CORE",IF(LEFT(D297,1)="3",IF(R297="Established Buyer Lapsed","LAPSED_ESTABLISHED","LAPSED_THIN_HISTORY"),IF(LEFT(D297,1)="4",IF(Q297="New Customer","NEW_CUSTOMER","RETURNED_CUSTOMER"),IF(LEFT(D297,1)="5",IF(P297="Recently Active","COST_TO_SERVE_ACTIVE","DORMANT_LOW_VALUE"),IF(LEFT(D297,1)="6",IF(P297="Recent Inactivity","RECENT_INACTIVITY",IF(AG297,"BROWSING_LOW_OFFERS","HEALTHY_STRONG_SELF_SERVE")),IF(LEFT(D297,1)="7",IF(P297="Recent Inactivity","RECENT_INACTIVITY",IF(Q297="New Customer","NEW_CUSTOMER","RETURNED_CUSTOMER")),IF(LEFT(D297,1)="8",IF(G297="Declining",IF(T297="Engaged but shrinking (Key/Core)","ENGAGED_BUT_SHRINKING","DECLINING_KEY_CORE"),IF(R297="Established Buyer Lapsed","LAPSED_ESTABLISHED","LAPSED_THIN_HISTORY")),IF(S297,IF(P297&lt;&gt;"Recently Active","DORMANT_LOW_VALUE",IF(AG297,"BROWSING_LOW_OFFERS",IF(AH297,"RISING_TAIL","RISING_TAIL_EARLY"))),IF(AND(AG297,P297="Recently Active",OR(G297="Growing",G297="Stable",G297="H2 Active / No H1 GMV"),I297&gt;=Assumptions!$B$74),"BROWSING_LOW_OFFERS","LONG_TAIL_STANDARD"))))))))))</f>
        <v>LONG_TAIL_STANDARD</v>
      </c>
      <c r="AK297" s="2" t="str">
        <f aca="false">INDEX('NBA Library'!$B$4:$B$21,MATCH(AJ297,'NBA Library'!$A$4:$A$21,0))</f>
        <v>Automated Nurture</v>
      </c>
      <c r="AL297" s="2" t="str">
        <f aca="false">INDEX('NBA Library'!$C$4:$C$21,MATCH(AJ297,'NBA Library'!$A$4:$A$21,0))</f>
        <v>Automated</v>
      </c>
      <c r="AM297" s="2" t="str">
        <f aca="false">IF(AA297,"HOLD — Critical Data Issue",IF(Y297,"Human Sign-Off Required",IF(Z297="Manual Review","Human Review Required",IF(AND(AL297="Automated",OR(AE297,AND(OR(AK297="Discovery-to-Offer Enablement",AK297="Reinforce Successful Behaviour"),OR(AC297,AB297)))),"Human Review Required",IF(AL297="Human","Ready — Human",IF(AL297="Hybrid","Ready — Hybrid","Ready — Automated"))))))</f>
        <v>Ready — Automated</v>
      </c>
      <c r="AN297" s="2" t="str">
        <f aca="false">IF(AA297,"P0",IF(AND(AJ297="BROWSING_LOW_OFFERS",E297="Tail"),"P3",IF(AND(AM297="Human Review Required",INDEX('NBA Library'!$D$4:$D$21,MATCH(AJ297,'NBA Library'!$A$4:$A$21,0))="P4"),"P3",INDEX('NBA Library'!$D$4:$D$21,MATCH(AJ297,'NBA Library'!$A$4:$A$21,0)))))</f>
        <v>P4</v>
      </c>
      <c r="AO297" s="2" t="str">
        <f aca="false">E297&amp;" "&amp;C297&amp;" account ("&amp;B297&amp;"); "&amp;G297&amp;" momentum; "&amp;P297&amp;"; £"&amp;TEXT(H297,"#,##0")&amp;" 6m GMV. "&amp;INDEX('NBA Library'!$G$4:$G$21,MATCH(AJ297,'NBA Library'!$A$4:$A$21,0))&amp;IF(LEFT(D297,1)="1"," Baseline: "&amp;V297&amp;" PDP views, "&amp;W297&amp;" app days, "&amp;X297&amp;" offers, "&amp;TEXT(J297/I297,"0%")&amp;" of orders self-serve.","")&amp;IF(AA297," Execution on HOLD until the Duplicate status is resolved.","")&amp;IF(Y297," Key account: explicit AM/leadership sign-off required before any migration activity.","")&amp;IF(AE297," Implied broker % from order counts would move this account to a different segment; review before automating.","")</f>
        <v>Tail Self-Serve account (Self Serve); H2 Active / No H1 GMV momentum; Recently Active; £67 6m GMV. Low-value, low-dependency account. Scalable automated engagement.</v>
      </c>
      <c r="AP297" s="2" t="str">
        <f aca="false">INDEX('NBA Library'!$E$4:$E$21,MATCH(AJ297,'NBA Library'!$A$4:$A$21,0))&amp;IF(AND(AJ297="NEW_CUSTOMER",AG297),"; introduce Make-an-Offer on items already browsed","")</f>
        <v>Scalable automated engagement matched to nurture sub-context</v>
      </c>
      <c r="AQ297" s="2" t="str">
        <f aca="false">INDEX('NBA Library'!$F$4:$F$21,MATCH(AJ297,'NBA Library'!$A$4:$A$21,0))</f>
        <v>Any repeat order within 90 days</v>
      </c>
      <c r="AR297" s="2" t="str">
        <f aca="false">IF(AND(F297="Low",OR(G297="Growing",G297="Stable"),P297="Recently Active",U297&lt;&gt;"Mixed",OR(AK297="Discovery-to-Offer Enablement",AK297="Reinforce Successful Behaviour"),AM297="Ready — Automated",OR(E297&lt;&gt;"Tail",S297)),"Range Expansion Test — trial "&amp;IF(U297="Bundle-only","handpick","bundles")&amp;" (experimental; not proven to lift GMV)","")</f>
        <v/>
      </c>
      <c r="AS297" s="2" t="str">
        <f aca="false">IF(AK297&lt;&gt;"Automated Nurture","",IF(AJ297="DORMANT_LOW_VALUE","Dormant",IF(AJ297="RISING_TAIL_EARLY","Rising tail – early pattern",IF(Q297="New Customer","New customer onboarding",IF(Q297="Returned Customer","Returned customer",IF(G297="Lapsed","Dormant",IF(T297="Engaged, not converting","Engaged, not converting",IF(T297="One-off low-touch buyer","One-off purchaser",IF(T297="Light-touch repeat buyer","Light-touch repeat buyer","Standard long tail")))))))))</f>
        <v>New customer onboarding</v>
      </c>
      <c r="AT297" s="2" t="str">
        <f aca="false">IF(AA297,"CRITICAL_DATA_BLOCKER; ","")&amp;IF(Y297,"KEY_SIGNOFF; ","")&amp;IF(Z297="Manual Review","PHASE1_MANUAL_REVIEW; ","")&amp;IF(AND(LEFT(D297,1)="1",AZ297="Lumpy"),"LUMPY_CADENCE; ","")&amp;IF(AB297,"BORDERLINE_MOMENTUM; ","")&amp;IF(AC297,"FEB_SENSITIVE; ","")&amp;IF(AD297,"MATERIAL_BROKER_INCONSISTENCY"&amp;IF(AE297," (segment would change)","")&amp;"; ","")&amp;IF(AND(I297&gt;=3,O297&gt;0),IF(AI297&gt;=Assumptions!$B$75,"H2_SINGLE_MONTH_SPIKE; ",""),"")&amp;IF(AND(M297&gt;0,N297=0),"NO_FEB_GMV (Feb unconfirmed); ","")&amp;IF(AF297,"LOW_CONFIDENCE; ","")</f>
        <v>FEB_SENSITIVE; LOW_CONFIDENCE; </v>
      </c>
      <c r="AU297" s="2" t="str">
        <f aca="false">IF(LEFT(D297,1)="1",V297,"")</f>
        <v/>
      </c>
      <c r="AV297" s="2" t="str">
        <f aca="false">IF(LEFT(D297,1)="1",V297&gt;=Assumptions!$B$58,"")</f>
        <v/>
      </c>
      <c r="AW297" s="2" t="str">
        <f aca="false">IF(LEFT(D297,1)="1",W297,"")</f>
        <v/>
      </c>
      <c r="AX297" s="2" t="str">
        <f aca="false">IF(LEFT(D297,1)="1",X297,"")</f>
        <v/>
      </c>
      <c r="AY297" s="17" t="str">
        <f aca="false">IF(LEFT(D297,1)="1",J297/I297,"")</f>
        <v/>
      </c>
      <c r="AZ297" s="2" t="str">
        <f aca="false">IF(LEFT(D297,1)="1",IF(AND(K297&gt;=Assumptions!$B$83,I297&gt;=Assumptions!$B$84),"Regular","Lumpy"),"")</f>
        <v/>
      </c>
      <c r="BA297" s="2" t="str">
        <f aca="false">IF(LEFT(D297,1)="1",ROUND(6/K297,0),"")</f>
        <v/>
      </c>
      <c r="BB297" s="2" t="str">
        <f aca="false">IF(LEFT(D297,1)="1",IF(AZ297="Regular","Regular buyer: expected ~£"&amp;TEXT(H297/2,"#,##0")&amp;" per 90 days. At Risk if GMV to date &lt; "&amp;TEXT(Assumptions!$B$81,"0%")&amp;" of pro-rated expectation, checked from day "&amp;Assumptions!$B$82&amp;". Human-reviewed.","Irregular buyer ("&amp;I297&amp;" orders across "&amp;K297&amp;" months): no numeric GMV threshold. At Risk if no order within ~"&amp;BA297&amp;" month(s); AM reviews at day "&amp;Assumptions!$B$82&amp;" and "&amp;Assumptions!$B$85&amp;"."),"")</f>
        <v/>
      </c>
      <c r="BC297" s="2"/>
      <c r="BD297" s="2"/>
      <c r="BE297" s="2"/>
      <c r="BF297" s="2"/>
      <c r="BG297" s="2"/>
      <c r="BH297" s="2"/>
      <c r="BI297" s="2"/>
      <c r="BJ297" s="2" t="str">
        <f aca="false">IF(OR(NOT(LEFT(D297,1)="1"),BC297=""),"",IF(AZ297="Regular",AND(BC297&gt;=Assumptions!$B$82,N(BI297)&lt;Assumptions!$B$81*H297/180*BC297),AND(BC297&gt;=BA297*30,N(BG297)=0)))</f>
        <v/>
      </c>
      <c r="BK297" s="2" t="str">
        <f aca="false">IF(NOT(LEFT(D297,1)="1"),"N/A",IF(BC297="","Baseline",IF(BJ297,"At Risk",IF(AND(N(BD297)&gt;=Assumptions!$B$78,N(BE297)&gt;=Assumptions!$B$79,N(BH297)&gt;=1,N(BH297)/MAX(N(BG297),1)&gt;AY297),"Self-Serve Capability Demonstrated",IF(OR(N(BD297)&gt;=Assumptions!$B$76,N(BE297)&gt;=Assumptions!$B$77),"Progressing",IF(BC297&gt;=Assumptions!$B$85,"At Risk","Baseline"))))))</f>
        <v>N/A</v>
      </c>
      <c r="BL297" s="2" t="n">
        <f aca="false">(AND(C297="Broker-Reliant",OR(AK297="Discovery-to-Offer Enablement",AK297="Reinforce Successful Behaviour")))*1+(AND(G297="Declining",E297&lt;&gt;"Tail",AL297="Automated"))*1+(AND(Y297,AM297&lt;&gt;"Human Sign-Off Required"))*1+(AND(AA297,AM297&lt;&gt;"HOLD — Critical Data Issue"))*1+(AND(P297="Recent Inactivity",OR(AK297="Discovery-to-Offer Enablement",AK297="Reinforce Successful Behaviour")))*1+(AND(OR(LEFT(D297,1)="2",LEFT(D297,1)="3",LEFT(D297,1)="8"),AL297="Automated"))*1+((LEFT(D297,1)="1")&lt;&gt;(AK297="Guided Self-Serve Migration"))*1+(AND(AR297&lt;&gt;"",OR(F297&lt;&gt;"Low",U297="Mixed",AND(G297&lt;&gt;"Growing",G297&lt;&gt;"Stable"))))*1+ISNUMBER(SEARCH("chat",AP297))*1+ISNUMBER(SEARCH("video",AP297))*1+(AND(AA297,AL297="Automated",AM297&lt;&gt;"HOLD — Critical Data Issue"))*1</f>
        <v>0</v>
      </c>
    </row>
    <row r="298" customFormat="false" ht="15" hidden="false" customHeight="false" outlineLevel="0" collapsed="false">
      <c r="A298" s="2" t="s">
        <v>1006</v>
      </c>
      <c r="B298" s="2" t="str">
        <f aca="false">INDEX(Segmentation!$B$2:$B$301,MATCH($A298,Segmentation!$A$2:$A$301,0))</f>
        <v>Self Serve</v>
      </c>
      <c r="C298" s="2" t="str">
        <f aca="false">INDEX(Segmentation!$H$2:$H$301,MATCH($A298,Segmentation!$A$2:$A$301,0))</f>
        <v>Self-Serve</v>
      </c>
      <c r="D298" s="2" t="str">
        <f aca="false">INDEX(Segmentation!$T$2:$T$301,MATCH($A298,Segmentation!$A$2:$A$301,0))</f>
        <v>9. Long-Tail Automated Nurture</v>
      </c>
      <c r="E298" s="2" t="str">
        <f aca="false">INDEX(Segmentation!$J$2:$J$301,MATCH($A298,Segmentation!$A$2:$A$301,0))</f>
        <v>Tail</v>
      </c>
      <c r="F298" s="2" t="str">
        <f aca="false">INDEX(Segmentation!$G$2:$G$301,MATCH($A298,Segmentation!$A$2:$A$301,0))</f>
        <v>Low</v>
      </c>
      <c r="G298" s="2" t="str">
        <f aca="false">INDEX(Segmentation!$N$2:$N$301,MATCH($A298,Segmentation!$A$2:$A$301,0))</f>
        <v>Lapsed</v>
      </c>
      <c r="H298" s="9" t="n">
        <f aca="false">INDEX(Segmentation!$I$2:$I$301,MATCH($A298,Segmentation!$A$2:$A$301,0))</f>
        <v>61</v>
      </c>
      <c r="I298" s="2" t="n">
        <f aca="false">INDEX(Segmentation!$O$2:$O$301,MATCH($A298,Segmentation!$A$2:$A$301,0))</f>
        <v>1</v>
      </c>
      <c r="J298" s="2" t="n">
        <f aca="false">INDEX(Segmentation!$Q$2:$Q$301,MATCH($A298,Segmentation!$A$2:$A$301,0))</f>
        <v>1</v>
      </c>
      <c r="K298" s="2" t="n">
        <f aca="false">INDEX(Segmentation!$W$2:$W$301,MATCH($A298,Segmentation!$A$2:$A$301,0))</f>
        <v>1</v>
      </c>
      <c r="L298" s="9" t="n">
        <f aca="false">INDEX('Commercial View'!$L$2:$L$301,MATCH($A298,'Commercial View'!$A$2:$A$301,0))</f>
        <v>0</v>
      </c>
      <c r="M298" s="9" t="n">
        <f aca="false">INDEX('Commercial View'!$M$2:$M$301,MATCH($A298,'Commercial View'!$A$2:$A$301,0))</f>
        <v>0</v>
      </c>
      <c r="N298" s="9" t="n">
        <f aca="false">INDEX('Commercial View'!$N$2:$N$301,MATCH($A298,'Commercial View'!$A$2:$A$301,0))</f>
        <v>0</v>
      </c>
      <c r="O298" s="9" t="n">
        <f aca="false">INDEX(Segmentation!$L$2:$L$301,MATCH($A298,Segmentation!$A$2:$A$301,0))</f>
        <v>0</v>
      </c>
      <c r="P298" s="2" t="str">
        <f aca="false">IF(OR(M298&gt;0,N298&gt;0),"Recently Active",IF(OR(I298&lt;=Assumptions!$B$48,K298&lt;=Assumptions!$B$49),"No Meaningful History","Recent Inactivity"))</f>
        <v>No Meaningful History</v>
      </c>
      <c r="Q298" s="2" t="str">
        <f aca="false">INDEX(Segmentation!$AF$2:$AF$301,MATCH($A298,Segmentation!$A$2:$A$301,0))</f>
        <v>Existing Customer</v>
      </c>
      <c r="R298" s="2" t="str">
        <f aca="false">INDEX(Segmentation!$AL$2:$AL$301,MATCH($A298,Segmentation!$A$2:$A$301,0))</f>
        <v>One-Off / Insufficient History — Verify</v>
      </c>
      <c r="S298" s="10" t="b">
        <f aca="false">INDEX(Segmentation!$AW$2:$AW$301,MATCH($A298,Segmentation!$A$2:$A$301,0))</f>
        <v>0</v>
      </c>
      <c r="T298" s="2" t="str">
        <f aca="false">INDEX('Feature Data'!$AD$2:$AD$301,MATCH($A298,'Feature Data'!$A$2:$A$301,0))</f>
        <v>One-off low-touch buyer</v>
      </c>
      <c r="U298" s="2" t="str">
        <f aca="false">INDEX('Feature Data'!$W$2:$W$301,MATCH($A298,'Feature Data'!$A$2:$A$301,0))</f>
        <v>Bundle-only</v>
      </c>
      <c r="V298" s="2" t="n">
        <f aca="false">INDEX('Feature Data'!$P$2:$P$301,MATCH($A298,'Feature Data'!$A$2:$A$301,0))</f>
        <v>76</v>
      </c>
      <c r="W298" s="2" t="n">
        <f aca="false">INDEX(Segmentation!$R$2:$R$301,MATCH($A298,Segmentation!$A$2:$A$301,0))</f>
        <v>7</v>
      </c>
      <c r="X298" s="2" t="n">
        <f aca="false">INDEX(Segmentation!$S$2:$S$301,MATCH($A298,Segmentation!$A$2:$A$301,0))</f>
        <v>1</v>
      </c>
      <c r="Y298" s="10" t="b">
        <f aca="false">INDEX(Segmentation!$AG$2:$AG$301,MATCH($A298,Segmentation!$A$2:$A$301,0))</f>
        <v>0</v>
      </c>
      <c r="Z298" s="2" t="str">
        <f aca="false">INDEX(Segmentation!$AU$2:$AU$301,MATCH($A298,Segmentation!$A$2:$A$301,0))</f>
        <v>Not Eligible</v>
      </c>
      <c r="AA298" s="10" t="b">
        <f aca="false">INDEX(Segmentation!$Z$2:$Z$301,MATCH($A298,Segmentation!$A$2:$A$301,0))</f>
        <v>0</v>
      </c>
      <c r="AB298" s="10" t="b">
        <f aca="false">INDEX(Segmentation!$AH$2:$AH$301,MATCH($A298,Segmentation!$A$2:$A$301,0))</f>
        <v>0</v>
      </c>
      <c r="AC298" s="10" t="b">
        <f aca="false">INDEX(Segmentation!$AK$2:$AK$301,MATCH($A298,Segmentation!$A$2:$A$301,0))</f>
        <v>0</v>
      </c>
      <c r="AD298" s="10" t="b">
        <f aca="false">INDEX(Segmentation!$AQ$2:$AQ$301,MATCH($A298,Segmentation!$A$2:$A$301,0))</f>
        <v>0</v>
      </c>
      <c r="AE298" s="10" t="b">
        <f aca="false">INDEX(Segmentation!$AT$2:$AT$301,MATCH($A298,Segmentation!$A$2:$A$301,0))</f>
        <v>0</v>
      </c>
      <c r="AF298" s="10" t="b">
        <f aca="false">INDEX(Segmentation!$X$2:$X$301,MATCH($A298,Segmentation!$A$2:$A$301,0))</f>
        <v>1</v>
      </c>
      <c r="AG298" s="10" t="b">
        <f aca="false">AND(F298="Low",V298&gt;=Assumptions!$B$71,X298&lt;Assumptions!$B$72)</f>
        <v>1</v>
      </c>
      <c r="AH298" s="10" t="b">
        <f aca="false">AND(F298="Low",OR(G298="Growing",G298="Stable"),P298="Recently Active",V298&gt;=Assumptions!$B$58,K298&gt;=Assumptions!$B$73)</f>
        <v>0</v>
      </c>
      <c r="AI298" s="17" t="str">
        <f aca="false">IF(O298&gt;0,MAX(L298:N298)/O298,"")</f>
        <v/>
      </c>
      <c r="AJ298" s="2" t="str">
        <f aca="false">IF(LEFT(D298,1)="1",IF(E298="Key","MIGRATION_KEY_SIGNOFF",IF(Z298="Ready","MIGRATION_PHASE1_READY",IF(Z298="Manual Review","MIGRATION_PHASE1_REVIEW","MIGRATION_PRE_ENTRY"))),IF(LEFT(D298,1)="2","DECLINING_KEY_CORE",IF(LEFT(D298,1)="3",IF(R298="Established Buyer Lapsed","LAPSED_ESTABLISHED","LAPSED_THIN_HISTORY"),IF(LEFT(D298,1)="4",IF(Q298="New Customer","NEW_CUSTOMER","RETURNED_CUSTOMER"),IF(LEFT(D298,1)="5",IF(P298="Recently Active","COST_TO_SERVE_ACTIVE","DORMANT_LOW_VALUE"),IF(LEFT(D298,1)="6",IF(P298="Recent Inactivity","RECENT_INACTIVITY",IF(AG298,"BROWSING_LOW_OFFERS","HEALTHY_STRONG_SELF_SERVE")),IF(LEFT(D298,1)="7",IF(P298="Recent Inactivity","RECENT_INACTIVITY",IF(Q298="New Customer","NEW_CUSTOMER","RETURNED_CUSTOMER")),IF(LEFT(D298,1)="8",IF(G298="Declining",IF(T298="Engaged but shrinking (Key/Core)","ENGAGED_BUT_SHRINKING","DECLINING_KEY_CORE"),IF(R298="Established Buyer Lapsed","LAPSED_ESTABLISHED","LAPSED_THIN_HISTORY")),IF(S298,IF(P298&lt;&gt;"Recently Active","DORMANT_LOW_VALUE",IF(AG298,"BROWSING_LOW_OFFERS",IF(AH298,"RISING_TAIL","RISING_TAIL_EARLY"))),IF(AND(AG298,P298="Recently Active",OR(G298="Growing",G298="Stable",G298="H2 Active / No H1 GMV"),I298&gt;=Assumptions!$B$74),"BROWSING_LOW_OFFERS","LONG_TAIL_STANDARD"))))))))))</f>
        <v>LONG_TAIL_STANDARD</v>
      </c>
      <c r="AK298" s="2" t="str">
        <f aca="false">INDEX('NBA Library'!$B$4:$B$21,MATCH(AJ298,'NBA Library'!$A$4:$A$21,0))</f>
        <v>Automated Nurture</v>
      </c>
      <c r="AL298" s="2" t="str">
        <f aca="false">INDEX('NBA Library'!$C$4:$C$21,MATCH(AJ298,'NBA Library'!$A$4:$A$21,0))</f>
        <v>Automated</v>
      </c>
      <c r="AM298" s="2" t="str">
        <f aca="false">IF(AA298,"HOLD — Critical Data Issue",IF(Y298,"Human Sign-Off Required",IF(Z298="Manual Review","Human Review Required",IF(AND(AL298="Automated",OR(AE298,AND(OR(AK298="Discovery-to-Offer Enablement",AK298="Reinforce Successful Behaviour"),OR(AC298,AB298)))),"Human Review Required",IF(AL298="Human","Ready — Human",IF(AL298="Hybrid","Ready — Hybrid","Ready — Automated"))))))</f>
        <v>Ready — Automated</v>
      </c>
      <c r="AN298" s="2" t="str">
        <f aca="false">IF(AA298,"P0",IF(AND(AJ298="BROWSING_LOW_OFFERS",E298="Tail"),"P3",IF(AND(AM298="Human Review Required",INDEX('NBA Library'!$D$4:$D$21,MATCH(AJ298,'NBA Library'!$A$4:$A$21,0))="P4"),"P3",INDEX('NBA Library'!$D$4:$D$21,MATCH(AJ298,'NBA Library'!$A$4:$A$21,0)))))</f>
        <v>P4</v>
      </c>
      <c r="AO298" s="2" t="str">
        <f aca="false">E298&amp;" "&amp;C298&amp;" account ("&amp;B298&amp;"); "&amp;G298&amp;" momentum; "&amp;P298&amp;"; £"&amp;TEXT(H298,"#,##0")&amp;" 6m GMV. "&amp;INDEX('NBA Library'!$G$4:$G$21,MATCH(AJ298,'NBA Library'!$A$4:$A$21,0))&amp;IF(LEFT(D298,1)="1"," Baseline: "&amp;V298&amp;" PDP views, "&amp;W298&amp;" app days, "&amp;X298&amp;" offers, "&amp;TEXT(J298/I298,"0%")&amp;" of orders self-serve.","")&amp;IF(AA298," Execution on HOLD until the Duplicate status is resolved.","")&amp;IF(Y298," Key account: explicit AM/leadership sign-off required before any migration activity.","")&amp;IF(AE298," Implied broker % from order counts would move this account to a different segment; review before automating.","")</f>
        <v>Tail Self-Serve account (Self Serve); Lapsed momentum; No Meaningful History; £61 6m GMV. Low-value, low-dependency account. Scalable automated engagement.</v>
      </c>
      <c r="AP298" s="2" t="str">
        <f aca="false">INDEX('NBA Library'!$E$4:$E$21,MATCH(AJ298,'NBA Library'!$A$4:$A$21,0))&amp;IF(AND(AJ298="NEW_CUSTOMER",AG298),"; introduce Make-an-Offer on items already browsed","")</f>
        <v>Scalable automated engagement matched to nurture sub-context</v>
      </c>
      <c r="AQ298" s="2" t="str">
        <f aca="false">INDEX('NBA Library'!$F$4:$F$21,MATCH(AJ298,'NBA Library'!$A$4:$A$21,0))</f>
        <v>Any repeat order within 90 days</v>
      </c>
      <c r="AR298" s="2" t="str">
        <f aca="false">IF(AND(F298="Low",OR(G298="Growing",G298="Stable"),P298="Recently Active",U298&lt;&gt;"Mixed",OR(AK298="Discovery-to-Offer Enablement",AK298="Reinforce Successful Behaviour"),AM298="Ready — Automated",OR(E298&lt;&gt;"Tail",S298)),"Range Expansion Test — trial "&amp;IF(U298="Bundle-only","handpick","bundles")&amp;" (experimental; not proven to lift GMV)","")</f>
        <v/>
      </c>
      <c r="AS298" s="2" t="str">
        <f aca="false">IF(AK298&lt;&gt;"Automated Nurture","",IF(AJ298="DORMANT_LOW_VALUE","Dormant",IF(AJ298="RISING_TAIL_EARLY","Rising tail – early pattern",IF(Q298="New Customer","New customer onboarding",IF(Q298="Returned Customer","Returned customer",IF(G298="Lapsed","Dormant",IF(T298="Engaged, not converting","Engaged, not converting",IF(T298="One-off low-touch buyer","One-off purchaser",IF(T298="Light-touch repeat buyer","Light-touch repeat buyer","Standard long tail")))))))))</f>
        <v>Dormant</v>
      </c>
      <c r="AT298" s="2" t="str">
        <f aca="false">IF(AA298,"CRITICAL_DATA_BLOCKER; ","")&amp;IF(Y298,"KEY_SIGNOFF; ","")&amp;IF(Z298="Manual Review","PHASE1_MANUAL_REVIEW; ","")&amp;IF(AND(LEFT(D298,1)="1",AZ298="Lumpy"),"LUMPY_CADENCE; ","")&amp;IF(AB298,"BORDERLINE_MOMENTUM; ","")&amp;IF(AC298,"FEB_SENSITIVE; ","")&amp;IF(AD298,"MATERIAL_BROKER_INCONSISTENCY"&amp;IF(AE298," (segment would change)","")&amp;"; ","")&amp;IF(AND(I298&gt;=3,O298&gt;0),IF(AI298&gt;=Assumptions!$B$75,"H2_SINGLE_MONTH_SPIKE; ",""),"")&amp;IF(AND(M298&gt;0,N298=0),"NO_FEB_GMV (Feb unconfirmed); ","")&amp;IF(AF298,"LOW_CONFIDENCE; ","")</f>
        <v>LOW_CONFIDENCE; </v>
      </c>
      <c r="AU298" s="2" t="str">
        <f aca="false">IF(LEFT(D298,1)="1",V298,"")</f>
        <v/>
      </c>
      <c r="AV298" s="2" t="str">
        <f aca="false">IF(LEFT(D298,1)="1",V298&gt;=Assumptions!$B$58,"")</f>
        <v/>
      </c>
      <c r="AW298" s="2" t="str">
        <f aca="false">IF(LEFT(D298,1)="1",W298,"")</f>
        <v/>
      </c>
      <c r="AX298" s="2" t="str">
        <f aca="false">IF(LEFT(D298,1)="1",X298,"")</f>
        <v/>
      </c>
      <c r="AY298" s="17" t="str">
        <f aca="false">IF(LEFT(D298,1)="1",J298/I298,"")</f>
        <v/>
      </c>
      <c r="AZ298" s="2" t="str">
        <f aca="false">IF(LEFT(D298,1)="1",IF(AND(K298&gt;=Assumptions!$B$83,I298&gt;=Assumptions!$B$84),"Regular","Lumpy"),"")</f>
        <v/>
      </c>
      <c r="BA298" s="2" t="str">
        <f aca="false">IF(LEFT(D298,1)="1",ROUND(6/K298,0),"")</f>
        <v/>
      </c>
      <c r="BB298" s="2" t="str">
        <f aca="false">IF(LEFT(D298,1)="1",IF(AZ298="Regular","Regular buyer: expected ~£"&amp;TEXT(H298/2,"#,##0")&amp;" per 90 days. At Risk if GMV to date &lt; "&amp;TEXT(Assumptions!$B$81,"0%")&amp;" of pro-rated expectation, checked from day "&amp;Assumptions!$B$82&amp;". Human-reviewed.","Irregular buyer ("&amp;I298&amp;" orders across "&amp;K298&amp;" months): no numeric GMV threshold. At Risk if no order within ~"&amp;BA298&amp;" month(s); AM reviews at day "&amp;Assumptions!$B$82&amp;" and "&amp;Assumptions!$B$85&amp;"."),"")</f>
        <v/>
      </c>
      <c r="BC298" s="2"/>
      <c r="BD298" s="2"/>
      <c r="BE298" s="2"/>
      <c r="BF298" s="2"/>
      <c r="BG298" s="2"/>
      <c r="BH298" s="2"/>
      <c r="BI298" s="2"/>
      <c r="BJ298" s="2" t="str">
        <f aca="false">IF(OR(NOT(LEFT(D298,1)="1"),BC298=""),"",IF(AZ298="Regular",AND(BC298&gt;=Assumptions!$B$82,N(BI298)&lt;Assumptions!$B$81*H298/180*BC298),AND(BC298&gt;=BA298*30,N(BG298)=0)))</f>
        <v/>
      </c>
      <c r="BK298" s="2" t="str">
        <f aca="false">IF(NOT(LEFT(D298,1)="1"),"N/A",IF(BC298="","Baseline",IF(BJ298,"At Risk",IF(AND(N(BD298)&gt;=Assumptions!$B$78,N(BE298)&gt;=Assumptions!$B$79,N(BH298)&gt;=1,N(BH298)/MAX(N(BG298),1)&gt;AY298),"Self-Serve Capability Demonstrated",IF(OR(N(BD298)&gt;=Assumptions!$B$76,N(BE298)&gt;=Assumptions!$B$77),"Progressing",IF(BC298&gt;=Assumptions!$B$85,"At Risk","Baseline"))))))</f>
        <v>N/A</v>
      </c>
      <c r="BL298" s="2" t="n">
        <f aca="false">(AND(C298="Broker-Reliant",OR(AK298="Discovery-to-Offer Enablement",AK298="Reinforce Successful Behaviour")))*1+(AND(G298="Declining",E298&lt;&gt;"Tail",AL298="Automated"))*1+(AND(Y298,AM298&lt;&gt;"Human Sign-Off Required"))*1+(AND(AA298,AM298&lt;&gt;"HOLD — Critical Data Issue"))*1+(AND(P298="Recent Inactivity",OR(AK298="Discovery-to-Offer Enablement",AK298="Reinforce Successful Behaviour")))*1+(AND(OR(LEFT(D298,1)="2",LEFT(D298,1)="3",LEFT(D298,1)="8"),AL298="Automated"))*1+((LEFT(D298,1)="1")&lt;&gt;(AK298="Guided Self-Serve Migration"))*1+(AND(AR298&lt;&gt;"",OR(F298&lt;&gt;"Low",U298="Mixed",AND(G298&lt;&gt;"Growing",G298&lt;&gt;"Stable"))))*1+ISNUMBER(SEARCH("chat",AP298))*1+ISNUMBER(SEARCH("video",AP298))*1+(AND(AA298,AL298="Automated",AM298&lt;&gt;"HOLD — Critical Data Issue"))*1</f>
        <v>0</v>
      </c>
    </row>
    <row r="299" customFormat="false" ht="15" hidden="false" customHeight="false" outlineLevel="0" collapsed="false">
      <c r="A299" s="2" t="s">
        <v>1008</v>
      </c>
      <c r="B299" s="2" t="str">
        <f aca="false">INDEX(Segmentation!$B$2:$B$301,MATCH($A299,Segmentation!$A$2:$A$301,0))</f>
        <v>Self Serve</v>
      </c>
      <c r="C299" s="2" t="str">
        <f aca="false">INDEX(Segmentation!$H$2:$H$301,MATCH($A299,Segmentation!$A$2:$A$301,0))</f>
        <v>Self-Serve</v>
      </c>
      <c r="D299" s="2" t="str">
        <f aca="false">INDEX(Segmentation!$T$2:$T$301,MATCH($A299,Segmentation!$A$2:$A$301,0))</f>
        <v>9. Long-Tail Automated Nurture</v>
      </c>
      <c r="E299" s="2" t="str">
        <f aca="false">INDEX(Segmentation!$J$2:$J$301,MATCH($A299,Segmentation!$A$2:$A$301,0))</f>
        <v>Tail</v>
      </c>
      <c r="F299" s="2" t="str">
        <f aca="false">INDEX(Segmentation!$G$2:$G$301,MATCH($A299,Segmentation!$A$2:$A$301,0))</f>
        <v>Low</v>
      </c>
      <c r="G299" s="2" t="str">
        <f aca="false">INDEX(Segmentation!$N$2:$N$301,MATCH($A299,Segmentation!$A$2:$A$301,0))</f>
        <v>H2 Active / No H1 GMV</v>
      </c>
      <c r="H299" s="9" t="n">
        <f aca="false">INDEX(Segmentation!$I$2:$I$301,MATCH($A299,Segmentation!$A$2:$A$301,0))</f>
        <v>61</v>
      </c>
      <c r="I299" s="2" t="n">
        <f aca="false">INDEX(Segmentation!$O$2:$O$301,MATCH($A299,Segmentation!$A$2:$A$301,0))</f>
        <v>1</v>
      </c>
      <c r="J299" s="2" t="n">
        <f aca="false">INDEX(Segmentation!$Q$2:$Q$301,MATCH($A299,Segmentation!$A$2:$A$301,0))</f>
        <v>1</v>
      </c>
      <c r="K299" s="2" t="n">
        <f aca="false">INDEX(Segmentation!$W$2:$W$301,MATCH($A299,Segmentation!$A$2:$A$301,0))</f>
        <v>1</v>
      </c>
      <c r="L299" s="9" t="n">
        <f aca="false">INDEX('Commercial View'!$L$2:$L$301,MATCH($A299,'Commercial View'!$A$2:$A$301,0))</f>
        <v>0</v>
      </c>
      <c r="M299" s="9" t="n">
        <f aca="false">INDEX('Commercial View'!$M$2:$M$301,MATCH($A299,'Commercial View'!$A$2:$A$301,0))</f>
        <v>0</v>
      </c>
      <c r="N299" s="9" t="n">
        <f aca="false">INDEX('Commercial View'!$N$2:$N$301,MATCH($A299,'Commercial View'!$A$2:$A$301,0))</f>
        <v>61</v>
      </c>
      <c r="O299" s="9" t="n">
        <f aca="false">INDEX(Segmentation!$L$2:$L$301,MATCH($A299,Segmentation!$A$2:$A$301,0))</f>
        <v>61</v>
      </c>
      <c r="P299" s="2" t="str">
        <f aca="false">IF(OR(M299&gt;0,N299&gt;0),"Recently Active",IF(OR(I299&lt;=Assumptions!$B$48,K299&lt;=Assumptions!$B$49),"No Meaningful History","Recent Inactivity"))</f>
        <v>Recently Active</v>
      </c>
      <c r="Q299" s="2" t="str">
        <f aca="false">INDEX(Segmentation!$AF$2:$AF$301,MATCH($A299,Segmentation!$A$2:$A$301,0))</f>
        <v>New Customer</v>
      </c>
      <c r="R299" s="2" t="str">
        <f aca="false">INDEX(Segmentation!$AL$2:$AL$301,MATCH($A299,Segmentation!$A$2:$A$301,0))</f>
        <v>N/A</v>
      </c>
      <c r="S299" s="10" t="b">
        <f aca="false">INDEX(Segmentation!$AW$2:$AW$301,MATCH($A299,Segmentation!$A$2:$A$301,0))</f>
        <v>0</v>
      </c>
      <c r="T299" s="2" t="str">
        <f aca="false">INDEX('Feature Data'!$AD$2:$AD$301,MATCH($A299,'Feature Data'!$A$2:$A$301,0))</f>
        <v>One-off low-touch buyer</v>
      </c>
      <c r="U299" s="2" t="str">
        <f aca="false">INDEX('Feature Data'!$W$2:$W$301,MATCH($A299,'Feature Data'!$A$2:$A$301,0))</f>
        <v>Bundle-only</v>
      </c>
      <c r="V299" s="2" t="n">
        <f aca="false">INDEX('Feature Data'!$P$2:$P$301,MATCH($A299,'Feature Data'!$A$2:$A$301,0))</f>
        <v>0</v>
      </c>
      <c r="W299" s="2" t="n">
        <f aca="false">INDEX(Segmentation!$R$2:$R$301,MATCH($A299,Segmentation!$A$2:$A$301,0))</f>
        <v>1</v>
      </c>
      <c r="X299" s="2" t="n">
        <f aca="false">INDEX(Segmentation!$S$2:$S$301,MATCH($A299,Segmentation!$A$2:$A$301,0))</f>
        <v>0</v>
      </c>
      <c r="Y299" s="10" t="b">
        <f aca="false">INDEX(Segmentation!$AG$2:$AG$301,MATCH($A299,Segmentation!$A$2:$A$301,0))</f>
        <v>0</v>
      </c>
      <c r="Z299" s="2" t="str">
        <f aca="false">INDEX(Segmentation!$AU$2:$AU$301,MATCH($A299,Segmentation!$A$2:$A$301,0))</f>
        <v>Not Eligible</v>
      </c>
      <c r="AA299" s="10" t="b">
        <f aca="false">INDEX(Segmentation!$Z$2:$Z$301,MATCH($A299,Segmentation!$A$2:$A$301,0))</f>
        <v>0</v>
      </c>
      <c r="AB299" s="10" t="b">
        <f aca="false">INDEX(Segmentation!$AH$2:$AH$301,MATCH($A299,Segmentation!$A$2:$A$301,0))</f>
        <v>0</v>
      </c>
      <c r="AC299" s="10" t="b">
        <f aca="false">INDEX(Segmentation!$AK$2:$AK$301,MATCH($A299,Segmentation!$A$2:$A$301,0))</f>
        <v>1</v>
      </c>
      <c r="AD299" s="10" t="b">
        <f aca="false">INDEX(Segmentation!$AQ$2:$AQ$301,MATCH($A299,Segmentation!$A$2:$A$301,0))</f>
        <v>0</v>
      </c>
      <c r="AE299" s="10" t="b">
        <f aca="false">INDEX(Segmentation!$AT$2:$AT$301,MATCH($A299,Segmentation!$A$2:$A$301,0))</f>
        <v>0</v>
      </c>
      <c r="AF299" s="10" t="b">
        <f aca="false">INDEX(Segmentation!$X$2:$X$301,MATCH($A299,Segmentation!$A$2:$A$301,0))</f>
        <v>1</v>
      </c>
      <c r="AG299" s="10" t="b">
        <f aca="false">AND(F299="Low",V299&gt;=Assumptions!$B$71,X299&lt;Assumptions!$B$72)</f>
        <v>0</v>
      </c>
      <c r="AH299" s="10" t="b">
        <f aca="false">AND(F299="Low",OR(G299="Growing",G299="Stable"),P299="Recently Active",V299&gt;=Assumptions!$B$58,K299&gt;=Assumptions!$B$73)</f>
        <v>0</v>
      </c>
      <c r="AI299" s="17" t="n">
        <f aca="false">IF(O299&gt;0,MAX(L299:N299)/O299,"")</f>
        <v>1</v>
      </c>
      <c r="AJ299" s="2" t="str">
        <f aca="false">IF(LEFT(D299,1)="1",IF(E299="Key","MIGRATION_KEY_SIGNOFF",IF(Z299="Ready","MIGRATION_PHASE1_READY",IF(Z299="Manual Review","MIGRATION_PHASE1_REVIEW","MIGRATION_PRE_ENTRY"))),IF(LEFT(D299,1)="2","DECLINING_KEY_CORE",IF(LEFT(D299,1)="3",IF(R299="Established Buyer Lapsed","LAPSED_ESTABLISHED","LAPSED_THIN_HISTORY"),IF(LEFT(D299,1)="4",IF(Q299="New Customer","NEW_CUSTOMER","RETURNED_CUSTOMER"),IF(LEFT(D299,1)="5",IF(P299="Recently Active","COST_TO_SERVE_ACTIVE","DORMANT_LOW_VALUE"),IF(LEFT(D299,1)="6",IF(P299="Recent Inactivity","RECENT_INACTIVITY",IF(AG299,"BROWSING_LOW_OFFERS","HEALTHY_STRONG_SELF_SERVE")),IF(LEFT(D299,1)="7",IF(P299="Recent Inactivity","RECENT_INACTIVITY",IF(Q299="New Customer","NEW_CUSTOMER","RETURNED_CUSTOMER")),IF(LEFT(D299,1)="8",IF(G299="Declining",IF(T299="Engaged but shrinking (Key/Core)","ENGAGED_BUT_SHRINKING","DECLINING_KEY_CORE"),IF(R299="Established Buyer Lapsed","LAPSED_ESTABLISHED","LAPSED_THIN_HISTORY")),IF(S299,IF(P299&lt;&gt;"Recently Active","DORMANT_LOW_VALUE",IF(AG299,"BROWSING_LOW_OFFERS",IF(AH299,"RISING_TAIL","RISING_TAIL_EARLY"))),IF(AND(AG299,P299="Recently Active",OR(G299="Growing",G299="Stable",G299="H2 Active / No H1 GMV"),I299&gt;=Assumptions!$B$74),"BROWSING_LOW_OFFERS","LONG_TAIL_STANDARD"))))))))))</f>
        <v>LONG_TAIL_STANDARD</v>
      </c>
      <c r="AK299" s="2" t="str">
        <f aca="false">INDEX('NBA Library'!$B$4:$B$21,MATCH(AJ299,'NBA Library'!$A$4:$A$21,0))</f>
        <v>Automated Nurture</v>
      </c>
      <c r="AL299" s="2" t="str">
        <f aca="false">INDEX('NBA Library'!$C$4:$C$21,MATCH(AJ299,'NBA Library'!$A$4:$A$21,0))</f>
        <v>Automated</v>
      </c>
      <c r="AM299" s="2" t="str">
        <f aca="false">IF(AA299,"HOLD — Critical Data Issue",IF(Y299,"Human Sign-Off Required",IF(Z299="Manual Review","Human Review Required",IF(AND(AL299="Automated",OR(AE299,AND(OR(AK299="Discovery-to-Offer Enablement",AK299="Reinforce Successful Behaviour"),OR(AC299,AB299)))),"Human Review Required",IF(AL299="Human","Ready — Human",IF(AL299="Hybrid","Ready — Hybrid","Ready — Automated"))))))</f>
        <v>Ready — Automated</v>
      </c>
      <c r="AN299" s="2" t="str">
        <f aca="false">IF(AA299,"P0",IF(AND(AJ299="BROWSING_LOW_OFFERS",E299="Tail"),"P3",IF(AND(AM299="Human Review Required",INDEX('NBA Library'!$D$4:$D$21,MATCH(AJ299,'NBA Library'!$A$4:$A$21,0))="P4"),"P3",INDEX('NBA Library'!$D$4:$D$21,MATCH(AJ299,'NBA Library'!$A$4:$A$21,0)))))</f>
        <v>P4</v>
      </c>
      <c r="AO299" s="2" t="str">
        <f aca="false">E299&amp;" "&amp;C299&amp;" account ("&amp;B299&amp;"); "&amp;G299&amp;" momentum; "&amp;P299&amp;"; £"&amp;TEXT(H299,"#,##0")&amp;" 6m GMV. "&amp;INDEX('NBA Library'!$G$4:$G$21,MATCH(AJ299,'NBA Library'!$A$4:$A$21,0))&amp;IF(LEFT(D299,1)="1"," Baseline: "&amp;V299&amp;" PDP views, "&amp;W299&amp;" app days, "&amp;X299&amp;" offers, "&amp;TEXT(J299/I299,"0%")&amp;" of orders self-serve.","")&amp;IF(AA299," Execution on HOLD until the Duplicate status is resolved.","")&amp;IF(Y299," Key account: explicit AM/leadership sign-off required before any migration activity.","")&amp;IF(AE299," Implied broker % from order counts would move this account to a different segment; review before automating.","")</f>
        <v>Tail Self-Serve account (Self Serve); H2 Active / No H1 GMV momentum; Recently Active; £61 6m GMV. Low-value, low-dependency account. Scalable automated engagement.</v>
      </c>
      <c r="AP299" s="2" t="str">
        <f aca="false">INDEX('NBA Library'!$E$4:$E$21,MATCH(AJ299,'NBA Library'!$A$4:$A$21,0))&amp;IF(AND(AJ299="NEW_CUSTOMER",AG299),"; introduce Make-an-Offer on items already browsed","")</f>
        <v>Scalable automated engagement matched to nurture sub-context</v>
      </c>
      <c r="AQ299" s="2" t="str">
        <f aca="false">INDEX('NBA Library'!$F$4:$F$21,MATCH(AJ299,'NBA Library'!$A$4:$A$21,0))</f>
        <v>Any repeat order within 90 days</v>
      </c>
      <c r="AR299" s="2" t="str">
        <f aca="false">IF(AND(F299="Low",OR(G299="Growing",G299="Stable"),P299="Recently Active",U299&lt;&gt;"Mixed",OR(AK299="Discovery-to-Offer Enablement",AK299="Reinforce Successful Behaviour"),AM299="Ready — Automated",OR(E299&lt;&gt;"Tail",S299)),"Range Expansion Test — trial "&amp;IF(U299="Bundle-only","handpick","bundles")&amp;" (experimental; not proven to lift GMV)","")</f>
        <v/>
      </c>
      <c r="AS299" s="2" t="str">
        <f aca="false">IF(AK299&lt;&gt;"Automated Nurture","",IF(AJ299="DORMANT_LOW_VALUE","Dormant",IF(AJ299="RISING_TAIL_EARLY","Rising tail – early pattern",IF(Q299="New Customer","New customer onboarding",IF(Q299="Returned Customer","Returned customer",IF(G299="Lapsed","Dormant",IF(T299="Engaged, not converting","Engaged, not converting",IF(T299="One-off low-touch buyer","One-off purchaser",IF(T299="Light-touch repeat buyer","Light-touch repeat buyer","Standard long tail")))))))))</f>
        <v>New customer onboarding</v>
      </c>
      <c r="AT299" s="2" t="str">
        <f aca="false">IF(AA299,"CRITICAL_DATA_BLOCKER; ","")&amp;IF(Y299,"KEY_SIGNOFF; ","")&amp;IF(Z299="Manual Review","PHASE1_MANUAL_REVIEW; ","")&amp;IF(AND(LEFT(D299,1)="1",AZ299="Lumpy"),"LUMPY_CADENCE; ","")&amp;IF(AB299,"BORDERLINE_MOMENTUM; ","")&amp;IF(AC299,"FEB_SENSITIVE; ","")&amp;IF(AD299,"MATERIAL_BROKER_INCONSISTENCY"&amp;IF(AE299," (segment would change)","")&amp;"; ","")&amp;IF(AND(I299&gt;=3,O299&gt;0),IF(AI299&gt;=Assumptions!$B$75,"H2_SINGLE_MONTH_SPIKE; ",""),"")&amp;IF(AND(M299&gt;0,N299=0),"NO_FEB_GMV (Feb unconfirmed); ","")&amp;IF(AF299,"LOW_CONFIDENCE; ","")</f>
        <v>FEB_SENSITIVE; LOW_CONFIDENCE; </v>
      </c>
      <c r="AU299" s="2" t="str">
        <f aca="false">IF(LEFT(D299,1)="1",V299,"")</f>
        <v/>
      </c>
      <c r="AV299" s="2" t="str">
        <f aca="false">IF(LEFT(D299,1)="1",V299&gt;=Assumptions!$B$58,"")</f>
        <v/>
      </c>
      <c r="AW299" s="2" t="str">
        <f aca="false">IF(LEFT(D299,1)="1",W299,"")</f>
        <v/>
      </c>
      <c r="AX299" s="2" t="str">
        <f aca="false">IF(LEFT(D299,1)="1",X299,"")</f>
        <v/>
      </c>
      <c r="AY299" s="17" t="str">
        <f aca="false">IF(LEFT(D299,1)="1",J299/I299,"")</f>
        <v/>
      </c>
      <c r="AZ299" s="2" t="str">
        <f aca="false">IF(LEFT(D299,1)="1",IF(AND(K299&gt;=Assumptions!$B$83,I299&gt;=Assumptions!$B$84),"Regular","Lumpy"),"")</f>
        <v/>
      </c>
      <c r="BA299" s="2" t="str">
        <f aca="false">IF(LEFT(D299,1)="1",ROUND(6/K299,0),"")</f>
        <v/>
      </c>
      <c r="BB299" s="2" t="str">
        <f aca="false">IF(LEFT(D299,1)="1",IF(AZ299="Regular","Regular buyer: expected ~£"&amp;TEXT(H299/2,"#,##0")&amp;" per 90 days. At Risk if GMV to date &lt; "&amp;TEXT(Assumptions!$B$81,"0%")&amp;" of pro-rated expectation, checked from day "&amp;Assumptions!$B$82&amp;". Human-reviewed.","Irregular buyer ("&amp;I299&amp;" orders across "&amp;K299&amp;" months): no numeric GMV threshold. At Risk if no order within ~"&amp;BA299&amp;" month(s); AM reviews at day "&amp;Assumptions!$B$82&amp;" and "&amp;Assumptions!$B$85&amp;"."),"")</f>
        <v/>
      </c>
      <c r="BC299" s="2"/>
      <c r="BD299" s="2"/>
      <c r="BE299" s="2"/>
      <c r="BF299" s="2"/>
      <c r="BG299" s="2"/>
      <c r="BH299" s="2"/>
      <c r="BI299" s="2"/>
      <c r="BJ299" s="2" t="str">
        <f aca="false">IF(OR(NOT(LEFT(D299,1)="1"),BC299=""),"",IF(AZ299="Regular",AND(BC299&gt;=Assumptions!$B$82,N(BI299)&lt;Assumptions!$B$81*H299/180*BC299),AND(BC299&gt;=BA299*30,N(BG299)=0)))</f>
        <v/>
      </c>
      <c r="BK299" s="2" t="str">
        <f aca="false">IF(NOT(LEFT(D299,1)="1"),"N/A",IF(BC299="","Baseline",IF(BJ299,"At Risk",IF(AND(N(BD299)&gt;=Assumptions!$B$78,N(BE299)&gt;=Assumptions!$B$79,N(BH299)&gt;=1,N(BH299)/MAX(N(BG299),1)&gt;AY299),"Self-Serve Capability Demonstrated",IF(OR(N(BD299)&gt;=Assumptions!$B$76,N(BE299)&gt;=Assumptions!$B$77),"Progressing",IF(BC299&gt;=Assumptions!$B$85,"At Risk","Baseline"))))))</f>
        <v>N/A</v>
      </c>
      <c r="BL299" s="2" t="n">
        <f aca="false">(AND(C299="Broker-Reliant",OR(AK299="Discovery-to-Offer Enablement",AK299="Reinforce Successful Behaviour")))*1+(AND(G299="Declining",E299&lt;&gt;"Tail",AL299="Automated"))*1+(AND(Y299,AM299&lt;&gt;"Human Sign-Off Required"))*1+(AND(AA299,AM299&lt;&gt;"HOLD — Critical Data Issue"))*1+(AND(P299="Recent Inactivity",OR(AK299="Discovery-to-Offer Enablement",AK299="Reinforce Successful Behaviour")))*1+(AND(OR(LEFT(D299,1)="2",LEFT(D299,1)="3",LEFT(D299,1)="8"),AL299="Automated"))*1+((LEFT(D299,1)="1")&lt;&gt;(AK299="Guided Self-Serve Migration"))*1+(AND(AR299&lt;&gt;"",OR(F299&lt;&gt;"Low",U299="Mixed",AND(G299&lt;&gt;"Growing",G299&lt;&gt;"Stable"))))*1+ISNUMBER(SEARCH("chat",AP299))*1+ISNUMBER(SEARCH("video",AP299))*1+(AND(AA299,AL299="Automated",AM299&lt;&gt;"HOLD — Critical Data Issue"))*1</f>
        <v>0</v>
      </c>
    </row>
    <row r="300" customFormat="false" ht="15" hidden="false" customHeight="false" outlineLevel="0" collapsed="false">
      <c r="A300" s="2" t="s">
        <v>1010</v>
      </c>
      <c r="B300" s="2" t="str">
        <f aca="false">INDEX(Segmentation!$B$2:$B$301,MATCH($A300,Segmentation!$A$2:$A$301,0))</f>
        <v>Self Serve</v>
      </c>
      <c r="C300" s="2" t="str">
        <f aca="false">INDEX(Segmentation!$H$2:$H$301,MATCH($A300,Segmentation!$A$2:$A$301,0))</f>
        <v>Self-Serve</v>
      </c>
      <c r="D300" s="2" t="str">
        <f aca="false">INDEX(Segmentation!$T$2:$T$301,MATCH($A300,Segmentation!$A$2:$A$301,0))</f>
        <v>9. Long-Tail Automated Nurture</v>
      </c>
      <c r="E300" s="2" t="str">
        <f aca="false">INDEX(Segmentation!$J$2:$J$301,MATCH($A300,Segmentation!$A$2:$A$301,0))</f>
        <v>Tail</v>
      </c>
      <c r="F300" s="2" t="str">
        <f aca="false">INDEX(Segmentation!$G$2:$G$301,MATCH($A300,Segmentation!$A$2:$A$301,0))</f>
        <v>Low</v>
      </c>
      <c r="G300" s="2" t="str">
        <f aca="false">INDEX(Segmentation!$N$2:$N$301,MATCH($A300,Segmentation!$A$2:$A$301,0))</f>
        <v>Lapsed</v>
      </c>
      <c r="H300" s="9" t="n">
        <f aca="false">INDEX(Segmentation!$I$2:$I$301,MATCH($A300,Segmentation!$A$2:$A$301,0))</f>
        <v>58</v>
      </c>
      <c r="I300" s="2" t="n">
        <f aca="false">INDEX(Segmentation!$O$2:$O$301,MATCH($A300,Segmentation!$A$2:$A$301,0))</f>
        <v>1</v>
      </c>
      <c r="J300" s="2" t="n">
        <f aca="false">INDEX(Segmentation!$Q$2:$Q$301,MATCH($A300,Segmentation!$A$2:$A$301,0))</f>
        <v>1</v>
      </c>
      <c r="K300" s="2" t="n">
        <f aca="false">INDEX(Segmentation!$W$2:$W$301,MATCH($A300,Segmentation!$A$2:$A$301,0))</f>
        <v>1</v>
      </c>
      <c r="L300" s="9" t="n">
        <f aca="false">INDEX('Commercial View'!$L$2:$L$301,MATCH($A300,'Commercial View'!$A$2:$A$301,0))</f>
        <v>0</v>
      </c>
      <c r="M300" s="9" t="n">
        <f aca="false">INDEX('Commercial View'!$M$2:$M$301,MATCH($A300,'Commercial View'!$A$2:$A$301,0))</f>
        <v>0</v>
      </c>
      <c r="N300" s="9" t="n">
        <f aca="false">INDEX('Commercial View'!$N$2:$N$301,MATCH($A300,'Commercial View'!$A$2:$A$301,0))</f>
        <v>0</v>
      </c>
      <c r="O300" s="9" t="n">
        <f aca="false">INDEX(Segmentation!$L$2:$L$301,MATCH($A300,Segmentation!$A$2:$A$301,0))</f>
        <v>0</v>
      </c>
      <c r="P300" s="2" t="str">
        <f aca="false">IF(OR(M300&gt;0,N300&gt;0),"Recently Active",IF(OR(I300&lt;=Assumptions!$B$48,K300&lt;=Assumptions!$B$49),"No Meaningful History","Recent Inactivity"))</f>
        <v>No Meaningful History</v>
      </c>
      <c r="Q300" s="2" t="str">
        <f aca="false">INDEX(Segmentation!$AF$2:$AF$301,MATCH($A300,Segmentation!$A$2:$A$301,0))</f>
        <v>Existing Customer</v>
      </c>
      <c r="R300" s="2" t="str">
        <f aca="false">INDEX(Segmentation!$AL$2:$AL$301,MATCH($A300,Segmentation!$A$2:$A$301,0))</f>
        <v>One-Off / Insufficient History — Verify</v>
      </c>
      <c r="S300" s="10" t="b">
        <f aca="false">INDEX(Segmentation!$AW$2:$AW$301,MATCH($A300,Segmentation!$A$2:$A$301,0))</f>
        <v>0</v>
      </c>
      <c r="T300" s="2" t="str">
        <f aca="false">INDEX('Feature Data'!$AD$2:$AD$301,MATCH($A300,'Feature Data'!$A$2:$A$301,0))</f>
        <v>One-off low-touch buyer</v>
      </c>
      <c r="U300" s="2" t="str">
        <f aca="false">INDEX('Feature Data'!$W$2:$W$301,MATCH($A300,'Feature Data'!$A$2:$A$301,0))</f>
        <v>Bundle-only</v>
      </c>
      <c r="V300" s="2" t="n">
        <f aca="false">INDEX('Feature Data'!$P$2:$P$301,MATCH($A300,'Feature Data'!$A$2:$A$301,0))</f>
        <v>75</v>
      </c>
      <c r="W300" s="2" t="n">
        <f aca="false">INDEX(Segmentation!$R$2:$R$301,MATCH($A300,Segmentation!$A$2:$A$301,0))</f>
        <v>4</v>
      </c>
      <c r="X300" s="2" t="n">
        <f aca="false">INDEX(Segmentation!$S$2:$S$301,MATCH($A300,Segmentation!$A$2:$A$301,0))</f>
        <v>0</v>
      </c>
      <c r="Y300" s="10" t="b">
        <f aca="false">INDEX(Segmentation!$AG$2:$AG$301,MATCH($A300,Segmentation!$A$2:$A$301,0))</f>
        <v>0</v>
      </c>
      <c r="Z300" s="2" t="str">
        <f aca="false">INDEX(Segmentation!$AU$2:$AU$301,MATCH($A300,Segmentation!$A$2:$A$301,0))</f>
        <v>Not Eligible</v>
      </c>
      <c r="AA300" s="10" t="b">
        <f aca="false">INDEX(Segmentation!$Z$2:$Z$301,MATCH($A300,Segmentation!$A$2:$A$301,0))</f>
        <v>0</v>
      </c>
      <c r="AB300" s="10" t="b">
        <f aca="false">INDEX(Segmentation!$AH$2:$AH$301,MATCH($A300,Segmentation!$A$2:$A$301,0))</f>
        <v>0</v>
      </c>
      <c r="AC300" s="10" t="b">
        <f aca="false">INDEX(Segmentation!$AK$2:$AK$301,MATCH($A300,Segmentation!$A$2:$A$301,0))</f>
        <v>0</v>
      </c>
      <c r="AD300" s="10" t="b">
        <f aca="false">INDEX(Segmentation!$AQ$2:$AQ$301,MATCH($A300,Segmentation!$A$2:$A$301,0))</f>
        <v>0</v>
      </c>
      <c r="AE300" s="10" t="b">
        <f aca="false">INDEX(Segmentation!$AT$2:$AT$301,MATCH($A300,Segmentation!$A$2:$A$301,0))</f>
        <v>0</v>
      </c>
      <c r="AF300" s="10" t="b">
        <f aca="false">INDEX(Segmentation!$X$2:$X$301,MATCH($A300,Segmentation!$A$2:$A$301,0))</f>
        <v>1</v>
      </c>
      <c r="AG300" s="10" t="b">
        <f aca="false">AND(F300="Low",V300&gt;=Assumptions!$B$71,X300&lt;Assumptions!$B$72)</f>
        <v>1</v>
      </c>
      <c r="AH300" s="10" t="b">
        <f aca="false">AND(F300="Low",OR(G300="Growing",G300="Stable"),P300="Recently Active",V300&gt;=Assumptions!$B$58,K300&gt;=Assumptions!$B$73)</f>
        <v>0</v>
      </c>
      <c r="AI300" s="17" t="str">
        <f aca="false">IF(O300&gt;0,MAX(L300:N300)/O300,"")</f>
        <v/>
      </c>
      <c r="AJ300" s="2" t="str">
        <f aca="false">IF(LEFT(D300,1)="1",IF(E300="Key","MIGRATION_KEY_SIGNOFF",IF(Z300="Ready","MIGRATION_PHASE1_READY",IF(Z300="Manual Review","MIGRATION_PHASE1_REVIEW","MIGRATION_PRE_ENTRY"))),IF(LEFT(D300,1)="2","DECLINING_KEY_CORE",IF(LEFT(D300,1)="3",IF(R300="Established Buyer Lapsed","LAPSED_ESTABLISHED","LAPSED_THIN_HISTORY"),IF(LEFT(D300,1)="4",IF(Q300="New Customer","NEW_CUSTOMER","RETURNED_CUSTOMER"),IF(LEFT(D300,1)="5",IF(P300="Recently Active","COST_TO_SERVE_ACTIVE","DORMANT_LOW_VALUE"),IF(LEFT(D300,1)="6",IF(P300="Recent Inactivity","RECENT_INACTIVITY",IF(AG300,"BROWSING_LOW_OFFERS","HEALTHY_STRONG_SELF_SERVE")),IF(LEFT(D300,1)="7",IF(P300="Recent Inactivity","RECENT_INACTIVITY",IF(Q300="New Customer","NEW_CUSTOMER","RETURNED_CUSTOMER")),IF(LEFT(D300,1)="8",IF(G300="Declining",IF(T300="Engaged but shrinking (Key/Core)","ENGAGED_BUT_SHRINKING","DECLINING_KEY_CORE"),IF(R300="Established Buyer Lapsed","LAPSED_ESTABLISHED","LAPSED_THIN_HISTORY")),IF(S300,IF(P300&lt;&gt;"Recently Active","DORMANT_LOW_VALUE",IF(AG300,"BROWSING_LOW_OFFERS",IF(AH300,"RISING_TAIL","RISING_TAIL_EARLY"))),IF(AND(AG300,P300="Recently Active",OR(G300="Growing",G300="Stable",G300="H2 Active / No H1 GMV"),I300&gt;=Assumptions!$B$74),"BROWSING_LOW_OFFERS","LONG_TAIL_STANDARD"))))))))))</f>
        <v>LONG_TAIL_STANDARD</v>
      </c>
      <c r="AK300" s="2" t="str">
        <f aca="false">INDEX('NBA Library'!$B$4:$B$21,MATCH(AJ300,'NBA Library'!$A$4:$A$21,0))</f>
        <v>Automated Nurture</v>
      </c>
      <c r="AL300" s="2" t="str">
        <f aca="false">INDEX('NBA Library'!$C$4:$C$21,MATCH(AJ300,'NBA Library'!$A$4:$A$21,0))</f>
        <v>Automated</v>
      </c>
      <c r="AM300" s="2" t="str">
        <f aca="false">IF(AA300,"HOLD — Critical Data Issue",IF(Y300,"Human Sign-Off Required",IF(Z300="Manual Review","Human Review Required",IF(AND(AL300="Automated",OR(AE300,AND(OR(AK300="Discovery-to-Offer Enablement",AK300="Reinforce Successful Behaviour"),OR(AC300,AB300)))),"Human Review Required",IF(AL300="Human","Ready — Human",IF(AL300="Hybrid","Ready — Hybrid","Ready — Automated"))))))</f>
        <v>Ready — Automated</v>
      </c>
      <c r="AN300" s="2" t="str">
        <f aca="false">IF(AA300,"P0",IF(AND(AJ300="BROWSING_LOW_OFFERS",E300="Tail"),"P3",IF(AND(AM300="Human Review Required",INDEX('NBA Library'!$D$4:$D$21,MATCH(AJ300,'NBA Library'!$A$4:$A$21,0))="P4"),"P3",INDEX('NBA Library'!$D$4:$D$21,MATCH(AJ300,'NBA Library'!$A$4:$A$21,0)))))</f>
        <v>P4</v>
      </c>
      <c r="AO300" s="2" t="str">
        <f aca="false">E300&amp;" "&amp;C300&amp;" account ("&amp;B300&amp;"); "&amp;G300&amp;" momentum; "&amp;P300&amp;"; £"&amp;TEXT(H300,"#,##0")&amp;" 6m GMV. "&amp;INDEX('NBA Library'!$G$4:$G$21,MATCH(AJ300,'NBA Library'!$A$4:$A$21,0))&amp;IF(LEFT(D300,1)="1"," Baseline: "&amp;V300&amp;" PDP views, "&amp;W300&amp;" app days, "&amp;X300&amp;" offers, "&amp;TEXT(J300/I300,"0%")&amp;" of orders self-serve.","")&amp;IF(AA300," Execution on HOLD until the Duplicate status is resolved.","")&amp;IF(Y300," Key account: explicit AM/leadership sign-off required before any migration activity.","")&amp;IF(AE300," Implied broker % from order counts would move this account to a different segment; review before automating.","")</f>
        <v>Tail Self-Serve account (Self Serve); Lapsed momentum; No Meaningful History; £58 6m GMV. Low-value, low-dependency account. Scalable automated engagement.</v>
      </c>
      <c r="AP300" s="2" t="str">
        <f aca="false">INDEX('NBA Library'!$E$4:$E$21,MATCH(AJ300,'NBA Library'!$A$4:$A$21,0))&amp;IF(AND(AJ300="NEW_CUSTOMER",AG300),"; introduce Make-an-Offer on items already browsed","")</f>
        <v>Scalable automated engagement matched to nurture sub-context</v>
      </c>
      <c r="AQ300" s="2" t="str">
        <f aca="false">INDEX('NBA Library'!$F$4:$F$21,MATCH(AJ300,'NBA Library'!$A$4:$A$21,0))</f>
        <v>Any repeat order within 90 days</v>
      </c>
      <c r="AR300" s="2" t="str">
        <f aca="false">IF(AND(F300="Low",OR(G300="Growing",G300="Stable"),P300="Recently Active",U300&lt;&gt;"Mixed",OR(AK300="Discovery-to-Offer Enablement",AK300="Reinforce Successful Behaviour"),AM300="Ready — Automated",OR(E300&lt;&gt;"Tail",S300)),"Range Expansion Test — trial "&amp;IF(U300="Bundle-only","handpick","bundles")&amp;" (experimental; not proven to lift GMV)","")</f>
        <v/>
      </c>
      <c r="AS300" s="2" t="str">
        <f aca="false">IF(AK300&lt;&gt;"Automated Nurture","",IF(AJ300="DORMANT_LOW_VALUE","Dormant",IF(AJ300="RISING_TAIL_EARLY","Rising tail – early pattern",IF(Q300="New Customer","New customer onboarding",IF(Q300="Returned Customer","Returned customer",IF(G300="Lapsed","Dormant",IF(T300="Engaged, not converting","Engaged, not converting",IF(T300="One-off low-touch buyer","One-off purchaser",IF(T300="Light-touch repeat buyer","Light-touch repeat buyer","Standard long tail")))))))))</f>
        <v>Dormant</v>
      </c>
      <c r="AT300" s="2" t="str">
        <f aca="false">IF(AA300,"CRITICAL_DATA_BLOCKER; ","")&amp;IF(Y300,"KEY_SIGNOFF; ","")&amp;IF(Z300="Manual Review","PHASE1_MANUAL_REVIEW; ","")&amp;IF(AND(LEFT(D300,1)="1",AZ300="Lumpy"),"LUMPY_CADENCE; ","")&amp;IF(AB300,"BORDERLINE_MOMENTUM; ","")&amp;IF(AC300,"FEB_SENSITIVE; ","")&amp;IF(AD300,"MATERIAL_BROKER_INCONSISTENCY"&amp;IF(AE300," (segment would change)","")&amp;"; ","")&amp;IF(AND(I300&gt;=3,O300&gt;0),IF(AI300&gt;=Assumptions!$B$75,"H2_SINGLE_MONTH_SPIKE; ",""),"")&amp;IF(AND(M300&gt;0,N300=0),"NO_FEB_GMV (Feb unconfirmed); ","")&amp;IF(AF300,"LOW_CONFIDENCE; ","")</f>
        <v>LOW_CONFIDENCE; </v>
      </c>
      <c r="AU300" s="2" t="str">
        <f aca="false">IF(LEFT(D300,1)="1",V300,"")</f>
        <v/>
      </c>
      <c r="AV300" s="2" t="str">
        <f aca="false">IF(LEFT(D300,1)="1",V300&gt;=Assumptions!$B$58,"")</f>
        <v/>
      </c>
      <c r="AW300" s="2" t="str">
        <f aca="false">IF(LEFT(D300,1)="1",W300,"")</f>
        <v/>
      </c>
      <c r="AX300" s="2" t="str">
        <f aca="false">IF(LEFT(D300,1)="1",X300,"")</f>
        <v/>
      </c>
      <c r="AY300" s="17" t="str">
        <f aca="false">IF(LEFT(D300,1)="1",J300/I300,"")</f>
        <v/>
      </c>
      <c r="AZ300" s="2" t="str">
        <f aca="false">IF(LEFT(D300,1)="1",IF(AND(K300&gt;=Assumptions!$B$83,I300&gt;=Assumptions!$B$84),"Regular","Lumpy"),"")</f>
        <v/>
      </c>
      <c r="BA300" s="2" t="str">
        <f aca="false">IF(LEFT(D300,1)="1",ROUND(6/K300,0),"")</f>
        <v/>
      </c>
      <c r="BB300" s="2" t="str">
        <f aca="false">IF(LEFT(D300,1)="1",IF(AZ300="Regular","Regular buyer: expected ~£"&amp;TEXT(H300/2,"#,##0")&amp;" per 90 days. At Risk if GMV to date &lt; "&amp;TEXT(Assumptions!$B$81,"0%")&amp;" of pro-rated expectation, checked from day "&amp;Assumptions!$B$82&amp;". Human-reviewed.","Irregular buyer ("&amp;I300&amp;" orders across "&amp;K300&amp;" months): no numeric GMV threshold. At Risk if no order within ~"&amp;BA300&amp;" month(s); AM reviews at day "&amp;Assumptions!$B$82&amp;" and "&amp;Assumptions!$B$85&amp;"."),"")</f>
        <v/>
      </c>
      <c r="BC300" s="2"/>
      <c r="BD300" s="2"/>
      <c r="BE300" s="2"/>
      <c r="BF300" s="2"/>
      <c r="BG300" s="2"/>
      <c r="BH300" s="2"/>
      <c r="BI300" s="2"/>
      <c r="BJ300" s="2" t="str">
        <f aca="false">IF(OR(NOT(LEFT(D300,1)="1"),BC300=""),"",IF(AZ300="Regular",AND(BC300&gt;=Assumptions!$B$82,N(BI300)&lt;Assumptions!$B$81*H300/180*BC300),AND(BC300&gt;=BA300*30,N(BG300)=0)))</f>
        <v/>
      </c>
      <c r="BK300" s="2" t="str">
        <f aca="false">IF(NOT(LEFT(D300,1)="1"),"N/A",IF(BC300="","Baseline",IF(BJ300,"At Risk",IF(AND(N(BD300)&gt;=Assumptions!$B$78,N(BE300)&gt;=Assumptions!$B$79,N(BH300)&gt;=1,N(BH300)/MAX(N(BG300),1)&gt;AY300),"Self-Serve Capability Demonstrated",IF(OR(N(BD300)&gt;=Assumptions!$B$76,N(BE300)&gt;=Assumptions!$B$77),"Progressing",IF(BC300&gt;=Assumptions!$B$85,"At Risk","Baseline"))))))</f>
        <v>N/A</v>
      </c>
      <c r="BL300" s="2" t="n">
        <f aca="false">(AND(C300="Broker-Reliant",OR(AK300="Discovery-to-Offer Enablement",AK300="Reinforce Successful Behaviour")))*1+(AND(G300="Declining",E300&lt;&gt;"Tail",AL300="Automated"))*1+(AND(Y300,AM300&lt;&gt;"Human Sign-Off Required"))*1+(AND(AA300,AM300&lt;&gt;"HOLD — Critical Data Issue"))*1+(AND(P300="Recent Inactivity",OR(AK300="Discovery-to-Offer Enablement",AK300="Reinforce Successful Behaviour")))*1+(AND(OR(LEFT(D300,1)="2",LEFT(D300,1)="3",LEFT(D300,1)="8"),AL300="Automated"))*1+((LEFT(D300,1)="1")&lt;&gt;(AK300="Guided Self-Serve Migration"))*1+(AND(AR300&lt;&gt;"",OR(F300&lt;&gt;"Low",U300="Mixed",AND(G300&lt;&gt;"Growing",G300&lt;&gt;"Stable"))))*1+ISNUMBER(SEARCH("chat",AP300))*1+ISNUMBER(SEARCH("video",AP300))*1+(AND(AA300,AL300="Automated",AM300&lt;&gt;"HOLD — Critical Data Issue"))*1</f>
        <v>0</v>
      </c>
    </row>
    <row r="301" customFormat="false" ht="15" hidden="false" customHeight="false" outlineLevel="0" collapsed="false">
      <c r="A301" s="2" t="s">
        <v>1016</v>
      </c>
      <c r="B301" s="2" t="str">
        <f aca="false">INDEX(Segmentation!$B$2:$B$301,MATCH($A301,Segmentation!$A$2:$A$301,0))</f>
        <v>Self Serve</v>
      </c>
      <c r="C301" s="2" t="str">
        <f aca="false">INDEX(Segmentation!$H$2:$H$301,MATCH($A301,Segmentation!$A$2:$A$301,0))</f>
        <v>Self-Serve</v>
      </c>
      <c r="D301" s="2" t="str">
        <f aca="false">INDEX(Segmentation!$T$2:$T$301,MATCH($A301,Segmentation!$A$2:$A$301,0))</f>
        <v>9. Long-Tail Automated Nurture</v>
      </c>
      <c r="E301" s="2" t="str">
        <f aca="false">INDEX(Segmentation!$J$2:$J$301,MATCH($A301,Segmentation!$A$2:$A$301,0))</f>
        <v>Tail</v>
      </c>
      <c r="F301" s="2" t="str">
        <f aca="false">INDEX(Segmentation!$G$2:$G$301,MATCH($A301,Segmentation!$A$2:$A$301,0))</f>
        <v>Low</v>
      </c>
      <c r="G301" s="2" t="str">
        <f aca="false">INDEX(Segmentation!$N$2:$N$301,MATCH($A301,Segmentation!$A$2:$A$301,0))</f>
        <v>H2 Active / No H1 GMV</v>
      </c>
      <c r="H301" s="9" t="n">
        <f aca="false">INDEX(Segmentation!$I$2:$I$301,MATCH($A301,Segmentation!$A$2:$A$301,0))</f>
        <v>34</v>
      </c>
      <c r="I301" s="2" t="n">
        <f aca="false">INDEX(Segmentation!$O$2:$O$301,MATCH($A301,Segmentation!$A$2:$A$301,0))</f>
        <v>1</v>
      </c>
      <c r="J301" s="2" t="n">
        <f aca="false">INDEX(Segmentation!$Q$2:$Q$301,MATCH($A301,Segmentation!$A$2:$A$301,0))</f>
        <v>1</v>
      </c>
      <c r="K301" s="2" t="n">
        <f aca="false">INDEX(Segmentation!$W$2:$W$301,MATCH($A301,Segmentation!$A$2:$A$301,0))</f>
        <v>1</v>
      </c>
      <c r="L301" s="9" t="n">
        <f aca="false">INDEX('Commercial View'!$L$2:$L$301,MATCH($A301,'Commercial View'!$A$2:$A$301,0))</f>
        <v>0</v>
      </c>
      <c r="M301" s="9" t="n">
        <f aca="false">INDEX('Commercial View'!$M$2:$M$301,MATCH($A301,'Commercial View'!$A$2:$A$301,0))</f>
        <v>0</v>
      </c>
      <c r="N301" s="9" t="n">
        <f aca="false">INDEX('Commercial View'!$N$2:$N$301,MATCH($A301,'Commercial View'!$A$2:$A$301,0))</f>
        <v>34</v>
      </c>
      <c r="O301" s="9" t="n">
        <f aca="false">INDEX(Segmentation!$L$2:$L$301,MATCH($A301,Segmentation!$A$2:$A$301,0))</f>
        <v>34</v>
      </c>
      <c r="P301" s="2" t="str">
        <f aca="false">IF(OR(M301&gt;0,N301&gt;0),"Recently Active",IF(OR(I301&lt;=Assumptions!$B$48,K301&lt;=Assumptions!$B$49),"No Meaningful History","Recent Inactivity"))</f>
        <v>Recently Active</v>
      </c>
      <c r="Q301" s="2" t="str">
        <f aca="false">INDEX(Segmentation!$AF$2:$AF$301,MATCH($A301,Segmentation!$A$2:$A$301,0))</f>
        <v>New Customer</v>
      </c>
      <c r="R301" s="2" t="str">
        <f aca="false">INDEX(Segmentation!$AL$2:$AL$301,MATCH($A301,Segmentation!$A$2:$A$301,0))</f>
        <v>N/A</v>
      </c>
      <c r="S301" s="10" t="b">
        <f aca="false">INDEX(Segmentation!$AW$2:$AW$301,MATCH($A301,Segmentation!$A$2:$A$301,0))</f>
        <v>0</v>
      </c>
      <c r="T301" s="2" t="str">
        <f aca="false">INDEX('Feature Data'!$AD$2:$AD$301,MATCH($A301,'Feature Data'!$A$2:$A$301,0))</f>
        <v>One-off low-touch buyer</v>
      </c>
      <c r="U301" s="2" t="str">
        <f aca="false">INDEX('Feature Data'!$W$2:$W$301,MATCH($A301,'Feature Data'!$A$2:$A$301,0))</f>
        <v>Bundle-only</v>
      </c>
      <c r="V301" s="2" t="n">
        <f aca="false">INDEX('Feature Data'!$P$2:$P$301,MATCH($A301,'Feature Data'!$A$2:$A$301,0))</f>
        <v>71</v>
      </c>
      <c r="W301" s="2" t="n">
        <f aca="false">INDEX(Segmentation!$R$2:$R$301,MATCH($A301,Segmentation!$A$2:$A$301,0))</f>
        <v>3</v>
      </c>
      <c r="X301" s="2" t="n">
        <f aca="false">INDEX(Segmentation!$S$2:$S$301,MATCH($A301,Segmentation!$A$2:$A$301,0))</f>
        <v>2</v>
      </c>
      <c r="Y301" s="10" t="b">
        <f aca="false">INDEX(Segmentation!$AG$2:$AG$301,MATCH($A301,Segmentation!$A$2:$A$301,0))</f>
        <v>0</v>
      </c>
      <c r="Z301" s="2" t="str">
        <f aca="false">INDEX(Segmentation!$AU$2:$AU$301,MATCH($A301,Segmentation!$A$2:$A$301,0))</f>
        <v>Not Eligible</v>
      </c>
      <c r="AA301" s="10" t="b">
        <f aca="false">INDEX(Segmentation!$Z$2:$Z$301,MATCH($A301,Segmentation!$A$2:$A$301,0))</f>
        <v>0</v>
      </c>
      <c r="AB301" s="10" t="b">
        <f aca="false">INDEX(Segmentation!$AH$2:$AH$301,MATCH($A301,Segmentation!$A$2:$A$301,0))</f>
        <v>0</v>
      </c>
      <c r="AC301" s="10" t="b">
        <f aca="false">INDEX(Segmentation!$AK$2:$AK$301,MATCH($A301,Segmentation!$A$2:$A$301,0))</f>
        <v>1</v>
      </c>
      <c r="AD301" s="10" t="b">
        <f aca="false">INDEX(Segmentation!$AQ$2:$AQ$301,MATCH($A301,Segmentation!$A$2:$A$301,0))</f>
        <v>0</v>
      </c>
      <c r="AE301" s="10" t="b">
        <f aca="false">INDEX(Segmentation!$AT$2:$AT$301,MATCH($A301,Segmentation!$A$2:$A$301,0))</f>
        <v>0</v>
      </c>
      <c r="AF301" s="10" t="b">
        <f aca="false">INDEX(Segmentation!$X$2:$X$301,MATCH($A301,Segmentation!$A$2:$A$301,0))</f>
        <v>1</v>
      </c>
      <c r="AG301" s="10" t="b">
        <f aca="false">AND(F301="Low",V301&gt;=Assumptions!$B$71,X301&lt;Assumptions!$B$72)</f>
        <v>1</v>
      </c>
      <c r="AH301" s="10" t="b">
        <f aca="false">AND(F301="Low",OR(G301="Growing",G301="Stable"),P301="Recently Active",V301&gt;=Assumptions!$B$58,K301&gt;=Assumptions!$B$73)</f>
        <v>0</v>
      </c>
      <c r="AI301" s="17" t="n">
        <f aca="false">IF(O301&gt;0,MAX(L301:N301)/O301,"")</f>
        <v>1</v>
      </c>
      <c r="AJ301" s="2" t="str">
        <f aca="false">IF(LEFT(D301,1)="1",IF(E301="Key","MIGRATION_KEY_SIGNOFF",IF(Z301="Ready","MIGRATION_PHASE1_READY",IF(Z301="Manual Review","MIGRATION_PHASE1_REVIEW","MIGRATION_PRE_ENTRY"))),IF(LEFT(D301,1)="2","DECLINING_KEY_CORE",IF(LEFT(D301,1)="3",IF(R301="Established Buyer Lapsed","LAPSED_ESTABLISHED","LAPSED_THIN_HISTORY"),IF(LEFT(D301,1)="4",IF(Q301="New Customer","NEW_CUSTOMER","RETURNED_CUSTOMER"),IF(LEFT(D301,1)="5",IF(P301="Recently Active","COST_TO_SERVE_ACTIVE","DORMANT_LOW_VALUE"),IF(LEFT(D301,1)="6",IF(P301="Recent Inactivity","RECENT_INACTIVITY",IF(AG301,"BROWSING_LOW_OFFERS","HEALTHY_STRONG_SELF_SERVE")),IF(LEFT(D301,1)="7",IF(P301="Recent Inactivity","RECENT_INACTIVITY",IF(Q301="New Customer","NEW_CUSTOMER","RETURNED_CUSTOMER")),IF(LEFT(D301,1)="8",IF(G301="Declining",IF(T301="Engaged but shrinking (Key/Core)","ENGAGED_BUT_SHRINKING","DECLINING_KEY_CORE"),IF(R301="Established Buyer Lapsed","LAPSED_ESTABLISHED","LAPSED_THIN_HISTORY")),IF(S301,IF(P301&lt;&gt;"Recently Active","DORMANT_LOW_VALUE",IF(AG301,"BROWSING_LOW_OFFERS",IF(AH301,"RISING_TAIL","RISING_TAIL_EARLY"))),IF(AND(AG301,P301="Recently Active",OR(G301="Growing",G301="Stable",G301="H2 Active / No H1 GMV"),I301&gt;=Assumptions!$B$74),"BROWSING_LOW_OFFERS","LONG_TAIL_STANDARD"))))))))))</f>
        <v>LONG_TAIL_STANDARD</v>
      </c>
      <c r="AK301" s="2" t="str">
        <f aca="false">INDEX('NBA Library'!$B$4:$B$21,MATCH(AJ301,'NBA Library'!$A$4:$A$21,0))</f>
        <v>Automated Nurture</v>
      </c>
      <c r="AL301" s="2" t="str">
        <f aca="false">INDEX('NBA Library'!$C$4:$C$21,MATCH(AJ301,'NBA Library'!$A$4:$A$21,0))</f>
        <v>Automated</v>
      </c>
      <c r="AM301" s="2" t="str">
        <f aca="false">IF(AA301,"HOLD — Critical Data Issue",IF(Y301,"Human Sign-Off Required",IF(Z301="Manual Review","Human Review Required",IF(AND(AL301="Automated",OR(AE301,AND(OR(AK301="Discovery-to-Offer Enablement",AK301="Reinforce Successful Behaviour"),OR(AC301,AB301)))),"Human Review Required",IF(AL301="Human","Ready — Human",IF(AL301="Hybrid","Ready — Hybrid","Ready — Automated"))))))</f>
        <v>Ready — Automated</v>
      </c>
      <c r="AN301" s="2" t="str">
        <f aca="false">IF(AA301,"P0",IF(AND(AJ301="BROWSING_LOW_OFFERS",E301="Tail"),"P3",IF(AND(AM301="Human Review Required",INDEX('NBA Library'!$D$4:$D$21,MATCH(AJ301,'NBA Library'!$A$4:$A$21,0))="P4"),"P3",INDEX('NBA Library'!$D$4:$D$21,MATCH(AJ301,'NBA Library'!$A$4:$A$21,0)))))</f>
        <v>P4</v>
      </c>
      <c r="AO301" s="2" t="str">
        <f aca="false">E301&amp;" "&amp;C301&amp;" account ("&amp;B301&amp;"); "&amp;G301&amp;" momentum; "&amp;P301&amp;"; £"&amp;TEXT(H301,"#,##0")&amp;" 6m GMV. "&amp;INDEX('NBA Library'!$G$4:$G$21,MATCH(AJ301,'NBA Library'!$A$4:$A$21,0))&amp;IF(LEFT(D301,1)="1"," Baseline: "&amp;V301&amp;" PDP views, "&amp;W301&amp;" app days, "&amp;X301&amp;" offers, "&amp;TEXT(J301/I301,"0%")&amp;" of orders self-serve.","")&amp;IF(AA301," Execution on HOLD until the Duplicate status is resolved.","")&amp;IF(Y301," Key account: explicit AM/leadership sign-off required before any migration activity.","")&amp;IF(AE301," Implied broker % from order counts would move this account to a different segment; review before automating.","")</f>
        <v>Tail Self-Serve account (Self Serve); H2 Active / No H1 GMV momentum; Recently Active; £34 6m GMV. Low-value, low-dependency account. Scalable automated engagement.</v>
      </c>
      <c r="AP301" s="2" t="str">
        <f aca="false">INDEX('NBA Library'!$E$4:$E$21,MATCH(AJ301,'NBA Library'!$A$4:$A$21,0))&amp;IF(AND(AJ301="NEW_CUSTOMER",AG301),"; introduce Make-an-Offer on items already browsed","")</f>
        <v>Scalable automated engagement matched to nurture sub-context</v>
      </c>
      <c r="AQ301" s="2" t="str">
        <f aca="false">INDEX('NBA Library'!$F$4:$F$21,MATCH(AJ301,'NBA Library'!$A$4:$A$21,0))</f>
        <v>Any repeat order within 90 days</v>
      </c>
      <c r="AR301" s="2" t="str">
        <f aca="false">IF(AND(F301="Low",OR(G301="Growing",G301="Stable"),P301="Recently Active",U301&lt;&gt;"Mixed",OR(AK301="Discovery-to-Offer Enablement",AK301="Reinforce Successful Behaviour"),AM301="Ready — Automated",OR(E301&lt;&gt;"Tail",S301)),"Range Expansion Test — trial "&amp;IF(U301="Bundle-only","handpick","bundles")&amp;" (experimental; not proven to lift GMV)","")</f>
        <v/>
      </c>
      <c r="AS301" s="2" t="str">
        <f aca="false">IF(AK301&lt;&gt;"Automated Nurture","",IF(AJ301="DORMANT_LOW_VALUE","Dormant",IF(AJ301="RISING_TAIL_EARLY","Rising tail – early pattern",IF(Q301="New Customer","New customer onboarding",IF(Q301="Returned Customer","Returned customer",IF(G301="Lapsed","Dormant",IF(T301="Engaged, not converting","Engaged, not converting",IF(T301="One-off low-touch buyer","One-off purchaser",IF(T301="Light-touch repeat buyer","Light-touch repeat buyer","Standard long tail")))))))))</f>
        <v>New customer onboarding</v>
      </c>
      <c r="AT301" s="2" t="str">
        <f aca="false">IF(AA301,"CRITICAL_DATA_BLOCKER; ","")&amp;IF(Y301,"KEY_SIGNOFF; ","")&amp;IF(Z301="Manual Review","PHASE1_MANUAL_REVIEW; ","")&amp;IF(AND(LEFT(D301,1)="1",AZ301="Lumpy"),"LUMPY_CADENCE; ","")&amp;IF(AB301,"BORDERLINE_MOMENTUM; ","")&amp;IF(AC301,"FEB_SENSITIVE; ","")&amp;IF(AD301,"MATERIAL_BROKER_INCONSISTENCY"&amp;IF(AE301," (segment would change)","")&amp;"; ","")&amp;IF(AND(I301&gt;=3,O301&gt;0),IF(AI301&gt;=Assumptions!$B$75,"H2_SINGLE_MONTH_SPIKE; ",""),"")&amp;IF(AND(M301&gt;0,N301=0),"NO_FEB_GMV (Feb unconfirmed); ","")&amp;IF(AF301,"LOW_CONFIDENCE; ","")</f>
        <v>FEB_SENSITIVE; LOW_CONFIDENCE; </v>
      </c>
      <c r="AU301" s="2" t="str">
        <f aca="false">IF(LEFT(D301,1)="1",V301,"")</f>
        <v/>
      </c>
      <c r="AV301" s="2" t="str">
        <f aca="false">IF(LEFT(D301,1)="1",V301&gt;=Assumptions!$B$58,"")</f>
        <v/>
      </c>
      <c r="AW301" s="2" t="str">
        <f aca="false">IF(LEFT(D301,1)="1",W301,"")</f>
        <v/>
      </c>
      <c r="AX301" s="2" t="str">
        <f aca="false">IF(LEFT(D301,1)="1",X301,"")</f>
        <v/>
      </c>
      <c r="AY301" s="17" t="str">
        <f aca="false">IF(LEFT(D301,1)="1",J301/I301,"")</f>
        <v/>
      </c>
      <c r="AZ301" s="2" t="str">
        <f aca="false">IF(LEFT(D301,1)="1",IF(AND(K301&gt;=Assumptions!$B$83,I301&gt;=Assumptions!$B$84),"Regular","Lumpy"),"")</f>
        <v/>
      </c>
      <c r="BA301" s="2" t="str">
        <f aca="false">IF(LEFT(D301,1)="1",ROUND(6/K301,0),"")</f>
        <v/>
      </c>
      <c r="BB301" s="2" t="str">
        <f aca="false">IF(LEFT(D301,1)="1",IF(AZ301="Regular","Regular buyer: expected ~£"&amp;TEXT(H301/2,"#,##0")&amp;" per 90 days. At Risk if GMV to date &lt; "&amp;TEXT(Assumptions!$B$81,"0%")&amp;" of pro-rated expectation, checked from day "&amp;Assumptions!$B$82&amp;". Human-reviewed.","Irregular buyer ("&amp;I301&amp;" orders across "&amp;K301&amp;" months): no numeric GMV threshold. At Risk if no order within ~"&amp;BA301&amp;" month(s); AM reviews at day "&amp;Assumptions!$B$82&amp;" and "&amp;Assumptions!$B$85&amp;"."),"")</f>
        <v/>
      </c>
      <c r="BC301" s="2"/>
      <c r="BD301" s="2"/>
      <c r="BE301" s="2"/>
      <c r="BF301" s="2"/>
      <c r="BG301" s="2"/>
      <c r="BH301" s="2"/>
      <c r="BI301" s="2"/>
      <c r="BJ301" s="2" t="str">
        <f aca="false">IF(OR(NOT(LEFT(D301,1)="1"),BC301=""),"",IF(AZ301="Regular",AND(BC301&gt;=Assumptions!$B$82,N(BI301)&lt;Assumptions!$B$81*H301/180*BC301),AND(BC301&gt;=BA301*30,N(BG301)=0)))</f>
        <v/>
      </c>
      <c r="BK301" s="2" t="str">
        <f aca="false">IF(NOT(LEFT(D301,1)="1"),"N/A",IF(BC301="","Baseline",IF(BJ301,"At Risk",IF(AND(N(BD301)&gt;=Assumptions!$B$78,N(BE301)&gt;=Assumptions!$B$79,N(BH301)&gt;=1,N(BH301)/MAX(N(BG301),1)&gt;AY301),"Self-Serve Capability Demonstrated",IF(OR(N(BD301)&gt;=Assumptions!$B$76,N(BE301)&gt;=Assumptions!$B$77),"Progressing",IF(BC301&gt;=Assumptions!$B$85,"At Risk","Baseline"))))))</f>
        <v>N/A</v>
      </c>
      <c r="BL301" s="2" t="n">
        <f aca="false">(AND(C301="Broker-Reliant",OR(AK301="Discovery-to-Offer Enablement",AK301="Reinforce Successful Behaviour")))*1+(AND(G301="Declining",E301&lt;&gt;"Tail",AL301="Automated"))*1+(AND(Y301,AM301&lt;&gt;"Human Sign-Off Required"))*1+(AND(AA301,AM301&lt;&gt;"HOLD — Critical Data Issue"))*1+(AND(P301="Recent Inactivity",OR(AK301="Discovery-to-Offer Enablement",AK301="Reinforce Successful Behaviour")))*1+(AND(OR(LEFT(D301,1)="2",LEFT(D301,1)="3",LEFT(D301,1)="8"),AL301="Automated"))*1+((LEFT(D301,1)="1")&lt;&gt;(AK301="Guided Self-Serve Migration"))*1+(AND(AR301&lt;&gt;"",OR(F301&lt;&gt;"Low",U301="Mixed",AND(G301&lt;&gt;"Growing",G301&lt;&gt;"Stable"))))*1+ISNUMBER(SEARCH("chat",AP301))*1+ISNUMBER(SEARCH("video",AP301))*1+(AND(AA301,AL301="Automated",AM301&lt;&gt;"HOLD — Critical Data Issue"))*1</f>
        <v>0</v>
      </c>
    </row>
  </sheetData>
  <autoFilter ref="A1:BL3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4" min="3" style="0" width="12"/>
    <col collapsed="false" customWidth="true" hidden="false" outlineLevel="0" max="7" min="5" style="0" width="55"/>
  </cols>
  <sheetData>
    <row r="1" customFormat="false" ht="15" hidden="false" customHeight="false" outlineLevel="0" collapsed="false">
      <c r="A1" s="1" t="s">
        <v>1400</v>
      </c>
      <c r="B1" s="7"/>
      <c r="C1" s="7"/>
      <c r="D1" s="7"/>
      <c r="E1" s="7"/>
      <c r="F1" s="7"/>
      <c r="G1" s="7"/>
    </row>
    <row r="2" customFormat="false" ht="15" hidden="false" customHeight="false" outlineLevel="0" collapsed="false">
      <c r="A2" s="2"/>
      <c r="B2" s="2"/>
      <c r="C2" s="2"/>
      <c r="D2" s="2"/>
      <c r="E2" s="2"/>
      <c r="F2" s="2"/>
      <c r="G2" s="2"/>
    </row>
    <row r="3" customFormat="false" ht="15" hidden="false" customHeight="false" outlineLevel="0" collapsed="false">
      <c r="A3" s="12" t="s">
        <v>81</v>
      </c>
      <c r="B3" s="12" t="s">
        <v>80</v>
      </c>
      <c r="C3" s="12" t="s">
        <v>1022</v>
      </c>
      <c r="D3" s="12" t="s">
        <v>1401</v>
      </c>
      <c r="E3" s="12" t="s">
        <v>1381</v>
      </c>
      <c r="F3" s="12" t="s">
        <v>1382</v>
      </c>
      <c r="G3" s="12" t="s">
        <v>1402</v>
      </c>
    </row>
    <row r="4" customFormat="false" ht="35.05" hidden="false" customHeight="false" outlineLevel="0" collapsed="false">
      <c r="A4" s="11" t="s">
        <v>118</v>
      </c>
      <c r="B4" s="11" t="s">
        <v>117</v>
      </c>
      <c r="C4" s="11" t="s">
        <v>1029</v>
      </c>
      <c r="D4" s="11" t="s">
        <v>140</v>
      </c>
      <c r="E4" s="11" t="s">
        <v>1403</v>
      </c>
      <c r="F4" s="11" t="s">
        <v>1404</v>
      </c>
      <c r="G4" s="11" t="s">
        <v>1405</v>
      </c>
    </row>
    <row r="5" customFormat="false" ht="23.85" hidden="false" customHeight="false" outlineLevel="0" collapsed="false">
      <c r="A5" s="11" t="s">
        <v>180</v>
      </c>
      <c r="B5" s="11" t="s">
        <v>117</v>
      </c>
      <c r="C5" s="11" t="s">
        <v>1029</v>
      </c>
      <c r="D5" s="11" t="s">
        <v>140</v>
      </c>
      <c r="E5" s="11" t="s">
        <v>1406</v>
      </c>
      <c r="F5" s="11" t="s">
        <v>1407</v>
      </c>
      <c r="G5" s="11" t="s">
        <v>1408</v>
      </c>
    </row>
    <row r="6" customFormat="false" ht="23.85" hidden="false" customHeight="false" outlineLevel="0" collapsed="false">
      <c r="A6" s="11" t="s">
        <v>193</v>
      </c>
      <c r="B6" s="11" t="s">
        <v>142</v>
      </c>
      <c r="C6" s="11" t="s">
        <v>1029</v>
      </c>
      <c r="D6" s="11" t="s">
        <v>140</v>
      </c>
      <c r="E6" s="11" t="s">
        <v>1409</v>
      </c>
      <c r="F6" s="11" t="s">
        <v>1410</v>
      </c>
      <c r="G6" s="11" t="s">
        <v>1411</v>
      </c>
    </row>
    <row r="7" customFormat="false" ht="23.85" hidden="false" customHeight="false" outlineLevel="0" collapsed="false">
      <c r="A7" s="11" t="s">
        <v>143</v>
      </c>
      <c r="B7" s="11" t="s">
        <v>142</v>
      </c>
      <c r="C7" s="11" t="s">
        <v>1029</v>
      </c>
      <c r="D7" s="11" t="s">
        <v>140</v>
      </c>
      <c r="E7" s="11" t="s">
        <v>1412</v>
      </c>
      <c r="F7" s="11" t="s">
        <v>1413</v>
      </c>
      <c r="G7" s="11" t="s">
        <v>1414</v>
      </c>
    </row>
    <row r="8" customFormat="false" ht="35.05" hidden="false" customHeight="false" outlineLevel="0" collapsed="false">
      <c r="A8" s="11" t="s">
        <v>254</v>
      </c>
      <c r="B8" s="11" t="s">
        <v>142</v>
      </c>
      <c r="C8" s="11" t="s">
        <v>1029</v>
      </c>
      <c r="D8" s="11" t="s">
        <v>140</v>
      </c>
      <c r="E8" s="11" t="s">
        <v>1415</v>
      </c>
      <c r="F8" s="11" t="s">
        <v>1416</v>
      </c>
      <c r="G8" s="11" t="s">
        <v>1417</v>
      </c>
    </row>
    <row r="9" customFormat="false" ht="35.05" hidden="false" customHeight="false" outlineLevel="0" collapsed="false">
      <c r="A9" s="11" t="s">
        <v>381</v>
      </c>
      <c r="B9" s="11" t="s">
        <v>311</v>
      </c>
      <c r="C9" s="11" t="s">
        <v>1044</v>
      </c>
      <c r="D9" s="11" t="s">
        <v>309</v>
      </c>
      <c r="E9" s="11" t="s">
        <v>1418</v>
      </c>
      <c r="F9" s="11" t="s">
        <v>1419</v>
      </c>
      <c r="G9" s="11" t="s">
        <v>1420</v>
      </c>
    </row>
    <row r="10" customFormat="false" ht="35.05" hidden="false" customHeight="false" outlineLevel="0" collapsed="false">
      <c r="A10" s="11" t="s">
        <v>390</v>
      </c>
      <c r="B10" s="11" t="s">
        <v>311</v>
      </c>
      <c r="C10" s="11" t="s">
        <v>1044</v>
      </c>
      <c r="D10" s="11" t="s">
        <v>309</v>
      </c>
      <c r="E10" s="11" t="s">
        <v>1421</v>
      </c>
      <c r="F10" s="11" t="s">
        <v>1422</v>
      </c>
      <c r="G10" s="11" t="s">
        <v>1423</v>
      </c>
    </row>
    <row r="11" customFormat="false" ht="35.05" hidden="false" customHeight="false" outlineLevel="0" collapsed="false">
      <c r="A11" s="11" t="s">
        <v>312</v>
      </c>
      <c r="B11" s="11" t="s">
        <v>311</v>
      </c>
      <c r="C11" s="11" t="s">
        <v>1044</v>
      </c>
      <c r="D11" s="11" t="s">
        <v>309</v>
      </c>
      <c r="E11" s="11" t="s">
        <v>1424</v>
      </c>
      <c r="F11" s="11" t="s">
        <v>1425</v>
      </c>
      <c r="G11" s="11" t="s">
        <v>1426</v>
      </c>
    </row>
    <row r="12" customFormat="false" ht="23.85" hidden="false" customHeight="false" outlineLevel="0" collapsed="false">
      <c r="A12" s="11" t="s">
        <v>452</v>
      </c>
      <c r="B12" s="11" t="s">
        <v>311</v>
      </c>
      <c r="C12" s="11" t="s">
        <v>1029</v>
      </c>
      <c r="D12" s="11" t="s">
        <v>451</v>
      </c>
      <c r="E12" s="11" t="s">
        <v>1427</v>
      </c>
      <c r="F12" s="11" t="s">
        <v>1428</v>
      </c>
      <c r="G12" s="11" t="s">
        <v>1429</v>
      </c>
    </row>
    <row r="13" customFormat="false" ht="23.85" hidden="false" customHeight="false" outlineLevel="0" collapsed="false">
      <c r="A13" s="11" t="s">
        <v>345</v>
      </c>
      <c r="B13" s="11" t="s">
        <v>344</v>
      </c>
      <c r="C13" s="11" t="s">
        <v>1029</v>
      </c>
      <c r="D13" s="11" t="s">
        <v>309</v>
      </c>
      <c r="E13" s="11" t="s">
        <v>1430</v>
      </c>
      <c r="F13" s="11" t="s">
        <v>1431</v>
      </c>
      <c r="G13" s="11" t="s">
        <v>1432</v>
      </c>
    </row>
    <row r="14" customFormat="false" ht="23.85" hidden="false" customHeight="false" outlineLevel="0" collapsed="false">
      <c r="A14" s="11" t="s">
        <v>436</v>
      </c>
      <c r="B14" s="11" t="s">
        <v>344</v>
      </c>
      <c r="C14" s="11" t="s">
        <v>1058</v>
      </c>
      <c r="D14" s="11" t="s">
        <v>309</v>
      </c>
      <c r="E14" s="11" t="s">
        <v>1433</v>
      </c>
      <c r="F14" s="11" t="s">
        <v>1434</v>
      </c>
      <c r="G14" s="11" t="s">
        <v>1435</v>
      </c>
    </row>
    <row r="15" customFormat="false" ht="23.85" hidden="false" customHeight="false" outlineLevel="0" collapsed="false">
      <c r="A15" s="11" t="s">
        <v>367</v>
      </c>
      <c r="B15" s="11" t="s">
        <v>366</v>
      </c>
      <c r="C15" s="11" t="s">
        <v>1058</v>
      </c>
      <c r="D15" s="11" t="s">
        <v>309</v>
      </c>
      <c r="E15" s="11" t="s">
        <v>1436</v>
      </c>
      <c r="F15" s="11" t="s">
        <v>1437</v>
      </c>
      <c r="G15" s="11" t="s">
        <v>1438</v>
      </c>
    </row>
    <row r="16" customFormat="false" ht="23.85" hidden="false" customHeight="false" outlineLevel="0" collapsed="false">
      <c r="A16" s="11" t="s">
        <v>543</v>
      </c>
      <c r="B16" s="11" t="s">
        <v>542</v>
      </c>
      <c r="C16" s="11" t="s">
        <v>1058</v>
      </c>
      <c r="D16" s="11" t="s">
        <v>309</v>
      </c>
      <c r="E16" s="11" t="s">
        <v>1439</v>
      </c>
      <c r="F16" s="11" t="s">
        <v>1440</v>
      </c>
      <c r="G16" s="11" t="s">
        <v>1441</v>
      </c>
    </row>
    <row r="17" customFormat="false" ht="23.85" hidden="false" customHeight="false" outlineLevel="0" collapsed="false">
      <c r="A17" s="11" t="s">
        <v>508</v>
      </c>
      <c r="B17" s="11" t="s">
        <v>366</v>
      </c>
      <c r="C17" s="11" t="s">
        <v>1058</v>
      </c>
      <c r="D17" s="11" t="s">
        <v>451</v>
      </c>
      <c r="E17" s="11" t="s">
        <v>1442</v>
      </c>
      <c r="F17" s="11" t="s">
        <v>1443</v>
      </c>
      <c r="G17" s="11" t="s">
        <v>1444</v>
      </c>
    </row>
    <row r="18" customFormat="false" ht="23.85" hidden="false" customHeight="false" outlineLevel="0" collapsed="false">
      <c r="A18" s="11" t="s">
        <v>493</v>
      </c>
      <c r="B18" s="11" t="s">
        <v>492</v>
      </c>
      <c r="C18" s="11" t="s">
        <v>1058</v>
      </c>
      <c r="D18" s="11" t="s">
        <v>451</v>
      </c>
      <c r="E18" s="11" t="s">
        <v>1445</v>
      </c>
      <c r="F18" s="11" t="s">
        <v>1446</v>
      </c>
      <c r="G18" s="11" t="s">
        <v>1447</v>
      </c>
    </row>
    <row r="19" customFormat="false" ht="23.85" hidden="false" customHeight="false" outlineLevel="0" collapsed="false">
      <c r="A19" s="11" t="s">
        <v>477</v>
      </c>
      <c r="B19" s="11" t="s">
        <v>476</v>
      </c>
      <c r="C19" s="11" t="s">
        <v>1029</v>
      </c>
      <c r="D19" s="11" t="s">
        <v>451</v>
      </c>
      <c r="E19" s="11" t="s">
        <v>1448</v>
      </c>
      <c r="F19" s="11" t="s">
        <v>1449</v>
      </c>
      <c r="G19" s="11" t="s">
        <v>1450</v>
      </c>
    </row>
    <row r="20" customFormat="false" ht="15" hidden="false" customHeight="false" outlineLevel="0" collapsed="false">
      <c r="A20" s="11" t="s">
        <v>595</v>
      </c>
      <c r="B20" s="11" t="s">
        <v>492</v>
      </c>
      <c r="C20" s="11" t="s">
        <v>1058</v>
      </c>
      <c r="D20" s="11" t="s">
        <v>569</v>
      </c>
      <c r="E20" s="11" t="s">
        <v>1451</v>
      </c>
      <c r="F20" s="11" t="s">
        <v>1452</v>
      </c>
      <c r="G20" s="11" t="s">
        <v>1453</v>
      </c>
    </row>
    <row r="21" customFormat="false" ht="23.85" hidden="false" customHeight="false" outlineLevel="0" collapsed="false">
      <c r="A21" s="11" t="s">
        <v>524</v>
      </c>
      <c r="B21" s="11" t="s">
        <v>492</v>
      </c>
      <c r="C21" s="11" t="s">
        <v>1058</v>
      </c>
      <c r="D21" s="11" t="s">
        <v>569</v>
      </c>
      <c r="E21" s="11" t="s">
        <v>1454</v>
      </c>
      <c r="F21" s="11" t="s">
        <v>1455</v>
      </c>
      <c r="G21" s="11" t="s">
        <v>1456</v>
      </c>
    </row>
    <row r="22" customFormat="false" ht="15" hidden="false" customHeight="false" outlineLevel="0" collapsed="false">
      <c r="A22" s="2"/>
      <c r="B22" s="2"/>
      <c r="C22" s="2"/>
      <c r="D22" s="2"/>
      <c r="E22" s="2"/>
      <c r="F22" s="2"/>
      <c r="G22" s="2"/>
    </row>
    <row r="23" customFormat="false" ht="15" hidden="false" customHeight="false" outlineLevel="0" collapsed="false">
      <c r="A23" s="7" t="s">
        <v>1457</v>
      </c>
      <c r="B23" s="2"/>
      <c r="C23" s="2"/>
      <c r="D23" s="2"/>
      <c r="E23" s="2"/>
      <c r="F23" s="2"/>
      <c r="G23" s="2"/>
    </row>
    <row r="24" customFormat="false" ht="15" hidden="false" customHeight="false" outlineLevel="0" collapsed="false">
      <c r="A24" s="2" t="s">
        <v>368</v>
      </c>
      <c r="B24" s="2" t="s">
        <v>1458</v>
      </c>
      <c r="C24" s="2"/>
      <c r="D24" s="2"/>
      <c r="E24" s="2"/>
      <c r="F24" s="2"/>
      <c r="G24" s="2"/>
    </row>
    <row r="25" customFormat="false" ht="15" hidden="false" customHeight="false" outlineLevel="0" collapsed="false">
      <c r="A25" s="2" t="s">
        <v>144</v>
      </c>
      <c r="B25" s="2" t="s">
        <v>1459</v>
      </c>
      <c r="C25" s="2"/>
      <c r="D25" s="2"/>
      <c r="E25" s="2"/>
      <c r="F25" s="2"/>
      <c r="G25" s="2"/>
    </row>
    <row r="26" customFormat="false" ht="15" hidden="false" customHeight="false" outlineLevel="0" collapsed="false">
      <c r="A26" s="2" t="s">
        <v>382</v>
      </c>
      <c r="B26" s="2" t="s">
        <v>1460</v>
      </c>
      <c r="C26" s="2"/>
      <c r="D26" s="2"/>
      <c r="E26" s="2"/>
      <c r="F26" s="2"/>
      <c r="G26" s="2"/>
    </row>
    <row r="27" customFormat="false" ht="15" hidden="false" customHeight="false" outlineLevel="0" collapsed="false">
      <c r="A27" s="2" t="s">
        <v>391</v>
      </c>
      <c r="B27" s="2" t="s">
        <v>1461</v>
      </c>
      <c r="C27" s="2"/>
      <c r="D27" s="2"/>
      <c r="E27" s="2"/>
      <c r="F27" s="2"/>
      <c r="G27" s="2"/>
    </row>
    <row r="28" customFormat="false" ht="15" hidden="false" customHeight="false" outlineLevel="0" collapsed="false">
      <c r="A28" s="2" t="s">
        <v>313</v>
      </c>
      <c r="B28" s="2" t="s">
        <v>1462</v>
      </c>
      <c r="C28" s="2"/>
      <c r="D28" s="2"/>
      <c r="E28" s="2"/>
      <c r="F28" s="2"/>
      <c r="G28" s="2"/>
    </row>
    <row r="29" customFormat="false" ht="15" hidden="false" customHeight="false" outlineLevel="0" collapsed="false">
      <c r="A29" s="2" t="s">
        <v>119</v>
      </c>
      <c r="B29" s="2" t="s">
        <v>1463</v>
      </c>
      <c r="C29" s="2"/>
      <c r="D29" s="2"/>
      <c r="E29" s="2"/>
      <c r="F29" s="2"/>
      <c r="G29" s="2"/>
    </row>
    <row r="30" customFormat="false" ht="15" hidden="false" customHeight="false" outlineLevel="0" collapsed="false">
      <c r="A30" s="2"/>
      <c r="B30" s="2"/>
      <c r="C30" s="2"/>
      <c r="D30" s="2"/>
      <c r="E30" s="2"/>
      <c r="F30" s="2"/>
      <c r="G30" s="2"/>
    </row>
    <row r="31" customFormat="false" ht="15" hidden="false" customHeight="false" outlineLevel="0" collapsed="false">
      <c r="A31" s="7" t="s">
        <v>1464</v>
      </c>
      <c r="B31" s="2"/>
      <c r="C31" s="2"/>
      <c r="D31" s="2"/>
      <c r="E31" s="2"/>
      <c r="F31" s="2"/>
      <c r="G31" s="2"/>
    </row>
    <row r="32" customFormat="false" ht="15" hidden="false" customHeight="false" outlineLevel="0" collapsed="false">
      <c r="A32" s="2" t="s">
        <v>114</v>
      </c>
      <c r="B32" s="2" t="s">
        <v>1465</v>
      </c>
      <c r="C32" s="2"/>
      <c r="D32" s="2"/>
      <c r="E32" s="2"/>
      <c r="F32" s="2"/>
      <c r="G32" s="2"/>
    </row>
    <row r="33" customFormat="false" ht="15" hidden="false" customHeight="false" outlineLevel="0" collapsed="false">
      <c r="A33" s="2" t="s">
        <v>140</v>
      </c>
      <c r="B33" s="2" t="s">
        <v>1466</v>
      </c>
      <c r="C33" s="2"/>
      <c r="D33" s="2"/>
      <c r="E33" s="2"/>
      <c r="F33" s="2"/>
      <c r="G33" s="2"/>
    </row>
    <row r="34" customFormat="false" ht="15" hidden="false" customHeight="false" outlineLevel="0" collapsed="false">
      <c r="A34" s="2" t="s">
        <v>309</v>
      </c>
      <c r="B34" s="2" t="s">
        <v>1467</v>
      </c>
      <c r="C34" s="2"/>
      <c r="D34" s="2"/>
      <c r="E34" s="2"/>
      <c r="F34" s="2"/>
      <c r="G34" s="2"/>
    </row>
    <row r="35" customFormat="false" ht="15" hidden="false" customHeight="false" outlineLevel="0" collapsed="false">
      <c r="A35" s="2" t="s">
        <v>451</v>
      </c>
      <c r="B35" s="2" t="s">
        <v>1468</v>
      </c>
      <c r="C35" s="2"/>
      <c r="D35" s="2"/>
      <c r="E35" s="2"/>
      <c r="F35" s="2"/>
      <c r="G35" s="2"/>
    </row>
    <row r="36" customFormat="false" ht="15" hidden="false" customHeight="false" outlineLevel="0" collapsed="false">
      <c r="A36" s="2" t="s">
        <v>569</v>
      </c>
      <c r="B36" s="2" t="s">
        <v>1469</v>
      </c>
      <c r="C36" s="2"/>
      <c r="D36" s="2"/>
      <c r="E36" s="2"/>
      <c r="F36" s="2"/>
      <c r="G36" s="2"/>
    </row>
    <row r="37" customFormat="false" ht="15" hidden="false" customHeight="false" outlineLevel="0" collapsed="false">
      <c r="A37" s="2"/>
      <c r="B37" s="2"/>
      <c r="C37" s="2"/>
      <c r="D37" s="2"/>
      <c r="E37" s="2"/>
      <c r="F37" s="2"/>
      <c r="G37" s="2"/>
    </row>
    <row r="38" customFormat="false" ht="15" hidden="false" customHeight="false" outlineLevel="0" collapsed="false">
      <c r="A38" s="2"/>
      <c r="B38" s="2"/>
      <c r="C38" s="2"/>
      <c r="D38" s="2"/>
      <c r="E38" s="2"/>
      <c r="F38" s="2"/>
      <c r="G38" s="2"/>
    </row>
    <row r="39" customFormat="false" ht="15" hidden="false" customHeight="false" outlineLevel="0" collapsed="false">
      <c r="A39" s="7" t="s">
        <v>1470</v>
      </c>
      <c r="B39" s="2"/>
      <c r="C39" s="2"/>
      <c r="D39" s="2"/>
      <c r="E39" s="2"/>
      <c r="F39" s="2"/>
      <c r="G39" s="2"/>
    </row>
    <row r="40" customFormat="false" ht="15" hidden="false" customHeight="false" outlineLevel="0" collapsed="false">
      <c r="A40" s="2" t="s">
        <v>128</v>
      </c>
      <c r="B40" s="2" t="s">
        <v>1371</v>
      </c>
      <c r="C40" s="2"/>
      <c r="D40" s="2"/>
      <c r="E40" s="2"/>
      <c r="F40" s="2"/>
      <c r="G40" s="2"/>
    </row>
    <row r="41" customFormat="false" ht="15" hidden="false" customHeight="false" outlineLevel="0" collapsed="false">
      <c r="A41" s="2" t="s">
        <v>336</v>
      </c>
      <c r="B41" s="2" t="s">
        <v>1471</v>
      </c>
      <c r="C41" s="2"/>
      <c r="D41" s="2"/>
      <c r="E41" s="2"/>
      <c r="F41" s="2"/>
      <c r="G41" s="2"/>
    </row>
    <row r="42" customFormat="false" ht="15" hidden="false" customHeight="false" outlineLevel="0" collapsed="false">
      <c r="A42" s="2" t="s">
        <v>1472</v>
      </c>
      <c r="B42" s="2" t="s">
        <v>1473</v>
      </c>
      <c r="C42" s="2"/>
      <c r="D42" s="2"/>
      <c r="E42" s="2"/>
      <c r="F42" s="2"/>
      <c r="G42" s="2"/>
    </row>
    <row r="43" customFormat="false" ht="15" hidden="false" customHeight="false" outlineLevel="0" collapsed="false">
      <c r="A43" s="2" t="s">
        <v>1474</v>
      </c>
      <c r="B43" s="2" t="s">
        <v>1475</v>
      </c>
      <c r="C43" s="2"/>
      <c r="D43" s="2"/>
      <c r="E43" s="2"/>
      <c r="F43" s="2"/>
      <c r="G43" s="2"/>
    </row>
    <row r="44" customFormat="false" ht="15" hidden="false" customHeight="false" outlineLevel="0" collapsed="false">
      <c r="A44" s="2" t="s">
        <v>1289</v>
      </c>
      <c r="B44" s="2" t="s">
        <v>1476</v>
      </c>
      <c r="C44" s="2"/>
      <c r="D44" s="2"/>
      <c r="E44" s="2"/>
      <c r="F44" s="2"/>
      <c r="G44" s="2"/>
    </row>
    <row r="45" customFormat="false" ht="15" hidden="false" customHeight="false" outlineLevel="0" collapsed="false">
      <c r="A45" s="2" t="s">
        <v>298</v>
      </c>
      <c r="B45" s="2" t="s">
        <v>1477</v>
      </c>
      <c r="C45" s="2"/>
      <c r="D45" s="2"/>
      <c r="E45" s="2"/>
      <c r="F45" s="2"/>
      <c r="G45" s="2"/>
    </row>
    <row r="46" customFormat="false" ht="15" hidden="false" customHeight="false" outlineLevel="0" collapsed="false">
      <c r="A46" s="2" t="s">
        <v>163</v>
      </c>
      <c r="B46" s="2" t="s">
        <v>1478</v>
      </c>
      <c r="C46" s="2"/>
      <c r="D46" s="2"/>
      <c r="E46" s="2"/>
      <c r="F46" s="2"/>
      <c r="G46" s="2"/>
    </row>
    <row r="47" customFormat="false" ht="15" hidden="false" customHeight="false" outlineLevel="0" collapsed="false">
      <c r="A47" s="2" t="s">
        <v>406</v>
      </c>
      <c r="B47" s="2" t="s">
        <v>1479</v>
      </c>
      <c r="C47" s="2"/>
      <c r="D47" s="2"/>
      <c r="E47" s="2"/>
      <c r="F47" s="2"/>
      <c r="G47" s="2"/>
    </row>
    <row r="48" customFormat="false" ht="15" hidden="false" customHeight="false" outlineLevel="0" collapsed="false">
      <c r="A48" s="2" t="s">
        <v>219</v>
      </c>
      <c r="B48" s="2" t="s">
        <v>1480</v>
      </c>
      <c r="C48" s="2"/>
      <c r="D48" s="2"/>
      <c r="E48" s="2"/>
      <c r="F48" s="2"/>
      <c r="G48" s="2"/>
    </row>
    <row r="49" customFormat="false" ht="15" hidden="false" customHeight="false" outlineLevel="0" collapsed="false">
      <c r="A49" s="2"/>
      <c r="B49" s="2"/>
      <c r="C49" s="2"/>
      <c r="D49" s="2"/>
      <c r="E49" s="2"/>
      <c r="F49" s="2"/>
      <c r="G49" s="2"/>
    </row>
    <row r="50" customFormat="false" ht="15" hidden="false" customHeight="false" outlineLevel="0" collapsed="false">
      <c r="A50" s="7" t="s">
        <v>1481</v>
      </c>
      <c r="B50" s="2"/>
      <c r="C50" s="2"/>
      <c r="D50" s="2"/>
      <c r="E50" s="2"/>
      <c r="F50" s="2"/>
      <c r="G50"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3" min="2" style="0" width="14"/>
    <col collapsed="false" customWidth="true" hidden="false" outlineLevel="0" max="20" min="4" style="0" width="12"/>
  </cols>
  <sheetData>
    <row r="1" customFormat="false" ht="15" hidden="false" customHeight="false" outlineLevel="0" collapsed="false">
      <c r="A1" s="1" t="s">
        <v>1482</v>
      </c>
      <c r="B1" s="7"/>
      <c r="C1" s="7"/>
      <c r="D1" s="7"/>
      <c r="E1" s="7"/>
      <c r="F1" s="7"/>
      <c r="G1" s="7"/>
      <c r="H1" s="7"/>
      <c r="I1" s="7"/>
      <c r="J1" s="7"/>
      <c r="K1" s="7"/>
      <c r="L1" s="7"/>
      <c r="M1" s="7"/>
      <c r="N1" s="7"/>
      <c r="O1" s="7"/>
      <c r="P1" s="7"/>
      <c r="Q1" s="7"/>
      <c r="R1" s="7"/>
      <c r="S1" s="7"/>
      <c r="T1" s="7"/>
    </row>
    <row r="2" customFormat="false" ht="15" hidden="false" customHeight="false" outlineLevel="0" collapsed="false">
      <c r="A2" s="2"/>
      <c r="B2" s="2"/>
      <c r="C2" s="2"/>
      <c r="D2" s="2"/>
      <c r="E2" s="2"/>
      <c r="F2" s="2"/>
      <c r="G2" s="2"/>
      <c r="H2" s="2"/>
      <c r="I2" s="2"/>
      <c r="J2" s="2"/>
      <c r="K2" s="2"/>
      <c r="L2" s="2"/>
      <c r="M2" s="2"/>
      <c r="N2" s="2"/>
      <c r="O2" s="2"/>
      <c r="P2" s="2"/>
      <c r="Q2" s="2"/>
      <c r="R2" s="2"/>
      <c r="S2" s="2"/>
      <c r="T2" s="2"/>
    </row>
    <row r="3" customFormat="false" ht="15" hidden="false" customHeight="false" outlineLevel="0" collapsed="false">
      <c r="A3" s="3" t="s">
        <v>1483</v>
      </c>
      <c r="B3" s="2"/>
      <c r="C3" s="7" t="s">
        <v>1303</v>
      </c>
      <c r="D3" s="2"/>
      <c r="E3" s="2"/>
      <c r="F3" s="2"/>
      <c r="G3" s="2"/>
      <c r="H3" s="2"/>
      <c r="I3" s="2"/>
      <c r="J3" s="2"/>
      <c r="K3" s="2"/>
      <c r="L3" s="2"/>
      <c r="M3" s="2"/>
      <c r="N3" s="2"/>
      <c r="O3" s="2"/>
      <c r="P3" s="2"/>
      <c r="Q3" s="2"/>
      <c r="R3" s="2"/>
      <c r="S3" s="2"/>
      <c r="T3" s="2"/>
    </row>
    <row r="4" customFormat="false" ht="15" hidden="false" customHeight="false" outlineLevel="0" collapsed="false">
      <c r="A4" s="2" t="s">
        <v>1484</v>
      </c>
      <c r="B4" s="19" t="n">
        <v>300</v>
      </c>
      <c r="C4" s="2"/>
      <c r="D4" s="2"/>
      <c r="E4" s="2"/>
      <c r="F4" s="2"/>
      <c r="G4" s="2"/>
      <c r="H4" s="2"/>
      <c r="I4" s="2"/>
      <c r="J4" s="2"/>
      <c r="K4" s="2"/>
      <c r="L4" s="2"/>
      <c r="M4" s="2"/>
      <c r="N4" s="2"/>
      <c r="O4" s="2"/>
      <c r="P4" s="2"/>
      <c r="Q4" s="2"/>
      <c r="R4" s="2"/>
      <c r="S4" s="2"/>
      <c r="T4" s="2"/>
    </row>
    <row r="5" customFormat="false" ht="15" hidden="false" customHeight="false" outlineLevel="0" collapsed="false">
      <c r="A5" s="2" t="s">
        <v>1485</v>
      </c>
      <c r="B5" s="2" t="n">
        <f aca="false">COUNTA(Segmentation!$A$2:$A$301)</f>
        <v>300</v>
      </c>
      <c r="C5" s="10" t="b">
        <f aca="false">B5=B4</f>
        <v>1</v>
      </c>
      <c r="D5" s="2"/>
      <c r="E5" s="2"/>
      <c r="F5" s="2"/>
      <c r="G5" s="2"/>
      <c r="H5" s="2"/>
      <c r="I5" s="2"/>
      <c r="J5" s="2"/>
      <c r="K5" s="2"/>
      <c r="L5" s="2"/>
      <c r="M5" s="2"/>
      <c r="N5" s="2"/>
      <c r="O5" s="2"/>
      <c r="P5" s="2"/>
      <c r="Q5" s="2"/>
      <c r="R5" s="2"/>
      <c r="S5" s="2"/>
      <c r="T5" s="2"/>
    </row>
    <row r="6" customFormat="false" ht="15" hidden="false" customHeight="false" outlineLevel="0" collapsed="false">
      <c r="A6" s="2" t="s">
        <v>1486</v>
      </c>
      <c r="B6" s="2" t="n">
        <f aca="false">SUMPRODUCT(1/COUNTIF(Segmentation!$A$2:$A$301,Segmentation!$A$2:$A$301))</f>
        <v>300</v>
      </c>
      <c r="C6" s="10" t="b">
        <f aca="false">B6=B4</f>
        <v>1</v>
      </c>
      <c r="D6" s="2"/>
      <c r="E6" s="2"/>
      <c r="F6" s="2"/>
      <c r="G6" s="2"/>
      <c r="H6" s="2"/>
      <c r="I6" s="2"/>
      <c r="J6" s="2"/>
      <c r="K6" s="2"/>
      <c r="L6" s="2"/>
      <c r="M6" s="2"/>
      <c r="N6" s="2"/>
      <c r="O6" s="2"/>
      <c r="P6" s="2"/>
      <c r="Q6" s="2"/>
      <c r="R6" s="2"/>
      <c r="S6" s="2"/>
      <c r="T6" s="2"/>
    </row>
    <row r="7" customFormat="false" ht="15" hidden="false" customHeight="false" outlineLevel="0" collapsed="false">
      <c r="A7" s="2" t="s">
        <v>1487</v>
      </c>
      <c r="B7" s="2" t="n">
        <f aca="false">COUNTBLANK(Segmentation!$T$2:$T$301)+COUNTIF(Segmentation!$T$2:$T$301,"UNASSIGNED")</f>
        <v>0</v>
      </c>
      <c r="C7" s="10" t="b">
        <f aca="false">B7=0</f>
        <v>1</v>
      </c>
      <c r="D7" s="2"/>
      <c r="E7" s="2"/>
      <c r="F7" s="2"/>
      <c r="G7" s="2"/>
      <c r="H7" s="2"/>
      <c r="I7" s="2"/>
      <c r="J7" s="2"/>
      <c r="K7" s="2"/>
      <c r="L7" s="2"/>
      <c r="M7" s="2"/>
      <c r="N7" s="2"/>
      <c r="O7" s="2"/>
      <c r="P7" s="2"/>
      <c r="Q7" s="2"/>
      <c r="R7" s="2"/>
      <c r="S7" s="2"/>
      <c r="T7" s="2"/>
    </row>
    <row r="8" customFormat="false" ht="15" hidden="false" customHeight="false" outlineLevel="0" collapsed="false">
      <c r="A8" s="2" t="s">
        <v>1488</v>
      </c>
      <c r="B8" s="2" t="n">
        <f aca="false">COUNTIF(Segmentation!$H$2:$H$301,"UNASSIGNED")</f>
        <v>0</v>
      </c>
      <c r="C8" s="10" t="b">
        <f aca="false">B8=0</f>
        <v>1</v>
      </c>
      <c r="D8" s="2"/>
      <c r="E8" s="2"/>
      <c r="F8" s="2"/>
      <c r="G8" s="2"/>
      <c r="H8" s="2"/>
      <c r="I8" s="2"/>
      <c r="J8" s="2"/>
      <c r="K8" s="2"/>
      <c r="L8" s="2"/>
      <c r="M8" s="2"/>
      <c r="N8" s="2"/>
      <c r="O8" s="2"/>
      <c r="P8" s="2"/>
      <c r="Q8" s="2"/>
      <c r="R8" s="2"/>
      <c r="S8" s="2"/>
      <c r="T8" s="2"/>
    </row>
    <row r="9" customFormat="false" ht="15" hidden="false" customHeight="false" outlineLevel="0" collapsed="false">
      <c r="A9" s="2" t="s">
        <v>1489</v>
      </c>
      <c r="B9" s="2" t="n">
        <f aca="false">COUNTIF(Segmentation!$V$2:$V$301,1)</f>
        <v>300</v>
      </c>
      <c r="C9" s="10" t="b">
        <f aca="false">B9=B4</f>
        <v>1</v>
      </c>
      <c r="D9" s="2"/>
      <c r="E9" s="2"/>
      <c r="F9" s="2"/>
      <c r="G9" s="2"/>
      <c r="H9" s="2"/>
      <c r="I9" s="2"/>
      <c r="J9" s="2"/>
      <c r="K9" s="2"/>
      <c r="L9" s="2"/>
      <c r="M9" s="2"/>
      <c r="N9" s="2"/>
      <c r="O9" s="2"/>
      <c r="P9" s="2"/>
      <c r="Q9" s="2"/>
      <c r="R9" s="2"/>
      <c r="S9" s="2"/>
      <c r="T9" s="2"/>
    </row>
    <row r="10" customFormat="false" ht="15" hidden="false" customHeight="false" outlineLevel="0" collapsed="false">
      <c r="A10" s="2" t="s">
        <v>1490</v>
      </c>
      <c r="B10" s="2" t="n">
        <f aca="false">SUM(B32:B40)</f>
        <v>300</v>
      </c>
      <c r="C10" s="10" t="b">
        <f aca="false">B10=B4</f>
        <v>1</v>
      </c>
      <c r="D10" s="2"/>
      <c r="E10" s="2"/>
      <c r="F10" s="2"/>
      <c r="G10" s="2"/>
      <c r="H10" s="2"/>
      <c r="I10" s="2"/>
      <c r="J10" s="2"/>
      <c r="K10" s="2"/>
      <c r="L10" s="2"/>
      <c r="M10" s="2"/>
      <c r="N10" s="2"/>
      <c r="O10" s="2"/>
      <c r="P10" s="2"/>
      <c r="Q10" s="2"/>
      <c r="R10" s="2"/>
      <c r="S10" s="2"/>
      <c r="T10" s="2"/>
    </row>
    <row r="11" customFormat="false" ht="15" hidden="false" customHeight="false" outlineLevel="0" collapsed="false">
      <c r="A11" s="2" t="s">
        <v>1491</v>
      </c>
      <c r="B11" s="9" t="n">
        <f aca="false">SUM('Commercial View'!$O$2:$O$301)</f>
        <v>845401</v>
      </c>
      <c r="C11" s="2"/>
      <c r="D11" s="2"/>
      <c r="E11" s="2"/>
      <c r="F11" s="2"/>
      <c r="G11" s="2"/>
      <c r="H11" s="2"/>
      <c r="I11" s="2"/>
      <c r="J11" s="2"/>
      <c r="K11" s="2"/>
      <c r="L11" s="2"/>
      <c r="M11" s="2"/>
      <c r="N11" s="2"/>
      <c r="O11" s="2"/>
      <c r="P11" s="2"/>
      <c r="Q11" s="2"/>
      <c r="R11" s="2"/>
      <c r="S11" s="2"/>
      <c r="T11" s="2"/>
    </row>
    <row r="12" customFormat="false" ht="15" hidden="false" customHeight="false" outlineLevel="0" collapsed="false">
      <c r="A12" s="2" t="s">
        <v>1492</v>
      </c>
      <c r="B12" s="9" t="n">
        <f aca="false">SUM(C32:C40)</f>
        <v>845401</v>
      </c>
      <c r="C12" s="10" t="b">
        <f aca="false">B12=B11</f>
        <v>1</v>
      </c>
      <c r="D12" s="2"/>
      <c r="E12" s="2"/>
      <c r="F12" s="2"/>
      <c r="G12" s="2"/>
      <c r="H12" s="2"/>
      <c r="I12" s="2"/>
      <c r="J12" s="2"/>
      <c r="K12" s="2"/>
      <c r="L12" s="2"/>
      <c r="M12" s="2"/>
      <c r="N12" s="2"/>
      <c r="O12" s="2"/>
      <c r="P12" s="2"/>
      <c r="Q12" s="2"/>
      <c r="R12" s="2"/>
      <c r="S12" s="2"/>
      <c r="T12" s="2"/>
    </row>
    <row r="13" customFormat="false" ht="15" hidden="false" customHeight="false" outlineLevel="0" collapsed="false">
      <c r="A13" s="3" t="s">
        <v>1316</v>
      </c>
      <c r="B13" s="10" t="b">
        <f aca="false">AND(C5:C10,C12)</f>
        <v>1</v>
      </c>
      <c r="C13" s="2"/>
      <c r="D13" s="2"/>
      <c r="E13" s="2"/>
      <c r="F13" s="2"/>
      <c r="G13" s="2"/>
      <c r="H13" s="2"/>
      <c r="I13" s="2"/>
      <c r="J13" s="2"/>
      <c r="K13" s="2"/>
      <c r="L13" s="2"/>
      <c r="M13" s="2"/>
      <c r="N13" s="2"/>
      <c r="O13" s="2"/>
      <c r="P13" s="2"/>
      <c r="Q13" s="2"/>
      <c r="R13" s="2"/>
      <c r="S13" s="2"/>
      <c r="T13" s="2"/>
    </row>
    <row r="14" customFormat="false" ht="15" hidden="false" customHeight="false" outlineLevel="0" collapsed="false">
      <c r="A14" s="2" t="s">
        <v>1493</v>
      </c>
      <c r="B14" s="2"/>
      <c r="C14" s="2"/>
      <c r="D14" s="2"/>
      <c r="E14" s="2"/>
      <c r="F14" s="2"/>
      <c r="G14" s="2"/>
      <c r="H14" s="2"/>
      <c r="I14" s="2"/>
      <c r="J14" s="2"/>
      <c r="K14" s="2"/>
      <c r="L14" s="2"/>
      <c r="M14" s="2"/>
      <c r="N14" s="2"/>
      <c r="O14" s="2"/>
      <c r="P14" s="2"/>
      <c r="Q14" s="2"/>
      <c r="R14" s="2"/>
      <c r="S14" s="2"/>
      <c r="T14" s="2"/>
    </row>
    <row r="15" customFormat="false" ht="15" hidden="false" customHeight="false" outlineLevel="0" collapsed="false">
      <c r="A15" s="2"/>
      <c r="B15" s="2"/>
      <c r="C15" s="2"/>
      <c r="D15" s="2"/>
      <c r="E15" s="2"/>
      <c r="F15" s="2"/>
      <c r="G15" s="2"/>
      <c r="H15" s="2"/>
      <c r="I15" s="2"/>
      <c r="J15" s="2"/>
      <c r="K15" s="2"/>
      <c r="L15" s="2"/>
      <c r="M15" s="2"/>
      <c r="N15" s="2"/>
      <c r="O15" s="2"/>
      <c r="P15" s="2"/>
      <c r="Q15" s="2"/>
      <c r="R15" s="2"/>
      <c r="S15" s="2"/>
      <c r="T15" s="2"/>
    </row>
    <row r="16" customFormat="false" ht="15" hidden="false" customHeight="false" outlineLevel="0" collapsed="false">
      <c r="A16" s="3" t="s">
        <v>1494</v>
      </c>
      <c r="B16" s="2"/>
      <c r="C16" s="2"/>
      <c r="D16" s="2"/>
      <c r="E16" s="2"/>
      <c r="F16" s="2"/>
      <c r="G16" s="2"/>
      <c r="H16" s="2"/>
      <c r="I16" s="2"/>
      <c r="J16" s="2"/>
      <c r="K16" s="2"/>
      <c r="L16" s="2"/>
      <c r="M16" s="2"/>
      <c r="N16" s="2"/>
      <c r="O16" s="2"/>
      <c r="P16" s="2"/>
      <c r="Q16" s="2"/>
      <c r="R16" s="2"/>
      <c r="S16" s="2"/>
      <c r="T16" s="2"/>
    </row>
    <row r="17" customFormat="false" ht="15" hidden="false" customHeight="false" outlineLevel="0" collapsed="false">
      <c r="A17" s="12" t="s">
        <v>1495</v>
      </c>
      <c r="B17" s="12" t="s">
        <v>1319</v>
      </c>
      <c r="C17" s="12" t="s">
        <v>1320</v>
      </c>
      <c r="D17" s="12" t="s">
        <v>1496</v>
      </c>
      <c r="E17" s="12" t="s">
        <v>1321</v>
      </c>
      <c r="F17" s="12" t="s">
        <v>1497</v>
      </c>
      <c r="G17" s="3"/>
      <c r="H17" s="3"/>
      <c r="I17" s="3"/>
      <c r="J17" s="3"/>
      <c r="K17" s="3"/>
      <c r="L17" s="3"/>
      <c r="M17" s="3"/>
      <c r="N17" s="3"/>
      <c r="O17" s="3"/>
      <c r="P17" s="3"/>
      <c r="Q17" s="3"/>
      <c r="R17" s="3"/>
      <c r="S17" s="3"/>
      <c r="T17" s="3"/>
    </row>
    <row r="18" customFormat="false" ht="15" hidden="false" customHeight="false" outlineLevel="0" collapsed="false">
      <c r="A18" s="2" t="s">
        <v>1498</v>
      </c>
      <c r="B18" s="2" t="n">
        <f aca="false">COUNTIF(Segmentation!$H$2:$H$301,A18)</f>
        <v>78</v>
      </c>
      <c r="C18" s="9" t="n">
        <f aca="false">SUMIF(Segmentation!$H$2:$H$301,A18,Segmentation!$I$2:$I$301)</f>
        <v>701881</v>
      </c>
      <c r="D18" s="13" t="n">
        <f aca="false">B18/$B$4</f>
        <v>0.26</v>
      </c>
      <c r="E18" s="13" t="n">
        <f aca="false">C18/$B$11</f>
        <v>0.830234409469589</v>
      </c>
      <c r="F18" s="9" t="n">
        <f aca="false" t="array" ref="F18:F18">MEDIAN(IF(Segmentation!$H$2:$H$301=A18,Segmentation!$I$2:$I$301))</f>
        <v>3491.5</v>
      </c>
      <c r="G18" s="2"/>
      <c r="H18" s="2"/>
      <c r="I18" s="2"/>
      <c r="J18" s="2"/>
      <c r="K18" s="2"/>
      <c r="L18" s="2"/>
      <c r="M18" s="2"/>
      <c r="N18" s="2"/>
      <c r="O18" s="2"/>
      <c r="P18" s="2"/>
      <c r="Q18" s="2"/>
      <c r="R18" s="2"/>
      <c r="S18" s="2"/>
      <c r="T18" s="2"/>
    </row>
    <row r="19" customFormat="false" ht="15" hidden="false" customHeight="false" outlineLevel="0" collapsed="false">
      <c r="A19" s="2" t="s">
        <v>1499</v>
      </c>
      <c r="B19" s="2" t="n">
        <f aca="false">COUNTIF(Segmentation!$H$2:$H$301,A19)</f>
        <v>132</v>
      </c>
      <c r="C19" s="9" t="n">
        <f aca="false">SUMIF(Segmentation!$H$2:$H$301,A19,Segmentation!$I$2:$I$301)</f>
        <v>78472</v>
      </c>
      <c r="D19" s="13" t="n">
        <f aca="false">B19/$B$4</f>
        <v>0.44</v>
      </c>
      <c r="E19" s="13" t="n">
        <f aca="false">C19/$B$11</f>
        <v>0.0928222228268005</v>
      </c>
      <c r="F19" s="9" t="n">
        <f aca="false" t="array" ref="F19:F19">MEDIAN(IF(Segmentation!$H$2:$H$301=A19,Segmentation!$I$2:$I$301))</f>
        <v>305.5</v>
      </c>
      <c r="G19" s="2"/>
      <c r="H19" s="2"/>
      <c r="I19" s="2"/>
      <c r="J19" s="2"/>
      <c r="K19" s="2"/>
      <c r="L19" s="2"/>
      <c r="M19" s="2"/>
      <c r="N19" s="2"/>
      <c r="O19" s="2"/>
      <c r="P19" s="2"/>
      <c r="Q19" s="2"/>
      <c r="R19" s="2"/>
      <c r="S19" s="2"/>
      <c r="T19" s="2"/>
    </row>
    <row r="20" customFormat="false" ht="15" hidden="false" customHeight="false" outlineLevel="0" collapsed="false">
      <c r="A20" s="2" t="s">
        <v>1500</v>
      </c>
      <c r="B20" s="2" t="n">
        <f aca="false">COUNTIF(Segmentation!$H$2:$H$301,A20)</f>
        <v>90</v>
      </c>
      <c r="C20" s="9" t="n">
        <f aca="false">SUMIF(Segmentation!$H$2:$H$301,A20,Segmentation!$I$2:$I$301)</f>
        <v>65048</v>
      </c>
      <c r="D20" s="13" t="n">
        <f aca="false">B20/$B$4</f>
        <v>0.3</v>
      </c>
      <c r="E20" s="13" t="n">
        <f aca="false">C20/$B$11</f>
        <v>0.0769433677036105</v>
      </c>
      <c r="F20" s="9" t="n">
        <f aca="false" t="array" ref="F20:F20">MEDIAN(IF(Segmentation!$H$2:$H$301=A20,Segmentation!$I$2:$I$301))</f>
        <v>266</v>
      </c>
      <c r="G20" s="2"/>
      <c r="H20" s="2"/>
      <c r="I20" s="2"/>
      <c r="J20" s="2"/>
      <c r="K20" s="2"/>
      <c r="L20" s="2"/>
      <c r="M20" s="2"/>
      <c r="N20" s="2"/>
      <c r="O20" s="2"/>
      <c r="P20" s="2"/>
      <c r="Q20" s="2"/>
      <c r="R20" s="2"/>
      <c r="S20" s="2"/>
      <c r="T20" s="2"/>
    </row>
    <row r="21" customFormat="false" ht="15" hidden="false" customHeight="false" outlineLevel="0" collapsed="false">
      <c r="A21" s="3" t="s">
        <v>1331</v>
      </c>
      <c r="B21" s="2" t="n">
        <f aca="false">SUM(B18:B20)</f>
        <v>300</v>
      </c>
      <c r="C21" s="9" t="n">
        <f aca="false">SUM(C18:C20)</f>
        <v>845401</v>
      </c>
      <c r="D21" s="13" t="n">
        <f aca="false">SUM(D18:D20)</f>
        <v>1</v>
      </c>
      <c r="E21" s="13" t="n">
        <f aca="false">SUM(E18:E20)</f>
        <v>1</v>
      </c>
      <c r="F21" s="2"/>
      <c r="G21" s="2"/>
      <c r="H21" s="2"/>
      <c r="I21" s="2"/>
      <c r="J21" s="2"/>
      <c r="K21" s="2"/>
      <c r="L21" s="2"/>
      <c r="M21" s="2"/>
      <c r="N21" s="2"/>
      <c r="O21" s="2"/>
      <c r="P21" s="2"/>
      <c r="Q21" s="2"/>
      <c r="R21" s="2"/>
      <c r="S21" s="2"/>
      <c r="T21" s="2"/>
    </row>
    <row r="22" customFormat="false" ht="15" hidden="false" customHeight="false" outlineLevel="0" collapsed="false">
      <c r="A22" s="2"/>
      <c r="B22" s="2"/>
      <c r="C22" s="2"/>
      <c r="D22" s="2"/>
      <c r="E22" s="2"/>
      <c r="F22" s="2"/>
      <c r="G22" s="2"/>
      <c r="H22" s="2"/>
      <c r="I22" s="2"/>
      <c r="J22" s="2"/>
      <c r="K22" s="2"/>
      <c r="L22" s="2"/>
      <c r="M22" s="2"/>
      <c r="N22" s="2"/>
      <c r="O22" s="2"/>
      <c r="P22" s="2"/>
      <c r="Q22" s="2"/>
      <c r="R22" s="2"/>
      <c r="S22" s="2"/>
      <c r="T22" s="2"/>
    </row>
    <row r="23" customFormat="false" ht="15" hidden="false" customHeight="false" outlineLevel="0" collapsed="false">
      <c r="A23" s="3" t="s">
        <v>1501</v>
      </c>
      <c r="B23" s="2"/>
      <c r="C23" s="2"/>
      <c r="D23" s="2"/>
      <c r="E23" s="2"/>
      <c r="F23" s="2"/>
      <c r="G23" s="2"/>
      <c r="H23" s="2"/>
      <c r="I23" s="2"/>
      <c r="J23" s="2"/>
      <c r="K23" s="2"/>
      <c r="L23" s="2"/>
      <c r="M23" s="2"/>
      <c r="N23" s="2"/>
      <c r="O23" s="2"/>
      <c r="P23" s="2"/>
      <c r="Q23" s="2"/>
      <c r="R23" s="2"/>
      <c r="S23" s="2"/>
      <c r="T23" s="2"/>
    </row>
    <row r="24" customFormat="false" ht="15" hidden="false" customHeight="false" outlineLevel="0" collapsed="false">
      <c r="A24" s="12" t="s">
        <v>1495</v>
      </c>
      <c r="B24" s="12" t="s">
        <v>115</v>
      </c>
      <c r="C24" s="12" t="s">
        <v>203</v>
      </c>
      <c r="D24" s="12" t="s">
        <v>474</v>
      </c>
      <c r="E24" s="3"/>
      <c r="F24" s="3"/>
      <c r="G24" s="3"/>
      <c r="H24" s="3"/>
      <c r="I24" s="3"/>
      <c r="J24" s="3"/>
      <c r="K24" s="3"/>
      <c r="L24" s="3"/>
      <c r="M24" s="3"/>
      <c r="N24" s="3"/>
      <c r="O24" s="3"/>
      <c r="P24" s="3"/>
      <c r="Q24" s="3"/>
      <c r="R24" s="3"/>
      <c r="S24" s="3"/>
      <c r="T24" s="3"/>
    </row>
    <row r="25" customFormat="false" ht="15" hidden="false" customHeight="false" outlineLevel="0" collapsed="false">
      <c r="A25" s="2" t="s">
        <v>1498</v>
      </c>
      <c r="B25" s="2" t="n">
        <f aca="false">COUNTIFS(Segmentation!$H$2:$H$301,$A25,Segmentation!$J$2:$J$301,"Key")</f>
        <v>17</v>
      </c>
      <c r="C25" s="2" t="n">
        <f aca="false">COUNTIFS(Segmentation!$H$2:$H$301,$A25,Segmentation!$J$2:$J$301,"Core")</f>
        <v>40</v>
      </c>
      <c r="D25" s="2" t="n">
        <f aca="false">COUNTIFS(Segmentation!$H$2:$H$301,$A25,Segmentation!$J$2:$J$301,"Tail")</f>
        <v>21</v>
      </c>
      <c r="E25" s="2"/>
      <c r="F25" s="2"/>
      <c r="G25" s="2"/>
      <c r="H25" s="2"/>
      <c r="I25" s="2"/>
      <c r="J25" s="2"/>
      <c r="K25" s="2"/>
      <c r="L25" s="2"/>
      <c r="M25" s="2"/>
      <c r="N25" s="2"/>
      <c r="O25" s="2"/>
      <c r="P25" s="2"/>
      <c r="Q25" s="2"/>
      <c r="R25" s="2"/>
      <c r="S25" s="2"/>
      <c r="T25" s="2"/>
    </row>
    <row r="26" customFormat="false" ht="15" hidden="false" customHeight="false" outlineLevel="0" collapsed="false">
      <c r="A26" s="2" t="s">
        <v>1499</v>
      </c>
      <c r="B26" s="2" t="n">
        <f aca="false">COUNTIFS(Segmentation!$H$2:$H$301,$A26,Segmentation!$J$2:$J$301,"Key")</f>
        <v>0</v>
      </c>
      <c r="C26" s="2" t="n">
        <f aca="false">COUNTIFS(Segmentation!$H$2:$H$301,$A26,Segmentation!$J$2:$J$301,"Core")</f>
        <v>5</v>
      </c>
      <c r="D26" s="2" t="n">
        <f aca="false">COUNTIFS(Segmentation!$H$2:$H$301,$A26,Segmentation!$J$2:$J$301,"Tail")</f>
        <v>127</v>
      </c>
      <c r="E26" s="2"/>
      <c r="F26" s="2"/>
      <c r="G26" s="2"/>
      <c r="H26" s="2"/>
      <c r="I26" s="2"/>
      <c r="J26" s="2"/>
      <c r="K26" s="2"/>
      <c r="L26" s="2"/>
      <c r="M26" s="2"/>
      <c r="N26" s="2"/>
      <c r="O26" s="2"/>
      <c r="P26" s="2"/>
      <c r="Q26" s="2"/>
      <c r="R26" s="2"/>
      <c r="S26" s="2"/>
      <c r="T26" s="2"/>
    </row>
    <row r="27" customFormat="false" ht="15" hidden="false" customHeight="false" outlineLevel="0" collapsed="false">
      <c r="A27" s="2" t="s">
        <v>1500</v>
      </c>
      <c r="B27" s="2" t="n">
        <f aca="false">COUNTIFS(Segmentation!$H$2:$H$301,$A27,Segmentation!$J$2:$J$301,"Key")</f>
        <v>1</v>
      </c>
      <c r="C27" s="2" t="n">
        <f aca="false">COUNTIFS(Segmentation!$H$2:$H$301,$A27,Segmentation!$J$2:$J$301,"Core")</f>
        <v>6</v>
      </c>
      <c r="D27" s="2" t="n">
        <f aca="false">COUNTIFS(Segmentation!$H$2:$H$301,$A27,Segmentation!$J$2:$J$301,"Tail")</f>
        <v>83</v>
      </c>
      <c r="E27" s="2"/>
      <c r="F27" s="2"/>
      <c r="G27" s="2"/>
      <c r="H27" s="2"/>
      <c r="I27" s="2"/>
      <c r="J27" s="2"/>
      <c r="K27" s="2"/>
      <c r="L27" s="2"/>
      <c r="M27" s="2"/>
      <c r="N27" s="2"/>
      <c r="O27" s="2"/>
      <c r="P27" s="2"/>
      <c r="Q27" s="2"/>
      <c r="R27" s="2"/>
      <c r="S27" s="2"/>
      <c r="T27" s="2"/>
    </row>
    <row r="28" customFormat="false" ht="15" hidden="false" customHeight="false" outlineLevel="0" collapsed="false">
      <c r="A28" s="2"/>
      <c r="B28" s="2"/>
      <c r="C28" s="2"/>
      <c r="D28" s="2"/>
      <c r="E28" s="2"/>
      <c r="F28" s="2"/>
      <c r="G28" s="2"/>
      <c r="H28" s="2"/>
      <c r="I28" s="2"/>
      <c r="J28" s="2"/>
      <c r="K28" s="2"/>
      <c r="L28" s="2"/>
      <c r="M28" s="2"/>
      <c r="N28" s="2"/>
      <c r="O28" s="2"/>
      <c r="P28" s="2"/>
      <c r="Q28" s="2"/>
      <c r="R28" s="2"/>
      <c r="S28" s="2"/>
      <c r="T28" s="2"/>
    </row>
    <row r="29" customFormat="false" ht="15" hidden="false" customHeight="false" outlineLevel="0" collapsed="false">
      <c r="A29" s="3" t="s">
        <v>1502</v>
      </c>
      <c r="B29" s="2"/>
      <c r="C29" s="2"/>
      <c r="D29" s="2"/>
      <c r="E29" s="2"/>
      <c r="F29" s="2"/>
      <c r="G29" s="2"/>
      <c r="H29" s="2"/>
      <c r="I29" s="2"/>
      <c r="J29" s="2"/>
      <c r="K29" s="2"/>
      <c r="L29" s="2"/>
      <c r="M29" s="2"/>
      <c r="N29" s="2"/>
      <c r="O29" s="2"/>
      <c r="P29" s="2"/>
      <c r="Q29" s="2"/>
      <c r="R29" s="2"/>
      <c r="S29" s="2"/>
      <c r="T29" s="2"/>
    </row>
    <row r="30" customFormat="false" ht="15" hidden="false" customHeight="false" outlineLevel="0" collapsed="false">
      <c r="A30" s="2"/>
      <c r="B30" s="2"/>
      <c r="C30" s="2"/>
      <c r="D30" s="2"/>
      <c r="E30" s="2"/>
      <c r="F30" s="2"/>
      <c r="G30" s="2"/>
      <c r="H30" s="2"/>
      <c r="I30" s="2"/>
      <c r="J30" s="2"/>
      <c r="K30" s="2"/>
      <c r="L30" s="2"/>
      <c r="M30" s="2"/>
      <c r="N30" s="2"/>
      <c r="O30" s="2"/>
      <c r="P30" s="2"/>
      <c r="Q30" s="2"/>
      <c r="R30" s="2"/>
      <c r="S30" s="2"/>
      <c r="T30" s="2"/>
    </row>
    <row r="31" customFormat="false" ht="45" hidden="false" customHeight="true" outlineLevel="0" collapsed="false">
      <c r="A31" s="14" t="s">
        <v>1503</v>
      </c>
      <c r="B31" s="14" t="s">
        <v>1319</v>
      </c>
      <c r="C31" s="14" t="s">
        <v>1504</v>
      </c>
      <c r="D31" s="14" t="s">
        <v>1496</v>
      </c>
      <c r="E31" s="14" t="s">
        <v>1321</v>
      </c>
      <c r="F31" s="14" t="s">
        <v>1497</v>
      </c>
      <c r="G31" s="14" t="s">
        <v>1505</v>
      </c>
      <c r="H31" s="14" t="s">
        <v>1498</v>
      </c>
      <c r="I31" s="14" t="s">
        <v>1499</v>
      </c>
      <c r="J31" s="14" t="s">
        <v>1500</v>
      </c>
      <c r="K31" s="14" t="s">
        <v>115</v>
      </c>
      <c r="L31" s="14" t="s">
        <v>203</v>
      </c>
      <c r="M31" s="14" t="s">
        <v>474</v>
      </c>
      <c r="N31" s="14" t="s">
        <v>1506</v>
      </c>
      <c r="O31" s="14" t="s">
        <v>1507</v>
      </c>
      <c r="P31" s="14" t="s">
        <v>1508</v>
      </c>
      <c r="Q31" s="14" t="s">
        <v>1509</v>
      </c>
      <c r="R31" s="14" t="s">
        <v>1510</v>
      </c>
      <c r="S31" s="14" t="s">
        <v>1511</v>
      </c>
      <c r="T31" s="14" t="s">
        <v>1512</v>
      </c>
    </row>
    <row r="32" customFormat="false" ht="15" hidden="false" customHeight="false" outlineLevel="0" collapsed="false">
      <c r="A32" s="2" t="s">
        <v>310</v>
      </c>
      <c r="B32" s="2" t="n">
        <f aca="false">COUNTIF(Segmentation!$T$2:$T$301,A32)</f>
        <v>22</v>
      </c>
      <c r="C32" s="9" t="n">
        <f aca="false">SUMIF(Segmentation!$T$2:$T$301,A32,Segmentation!$I$2:$I$301)</f>
        <v>372264</v>
      </c>
      <c r="D32" s="13" t="n">
        <f aca="false">B32/$B$4</f>
        <v>0.0733333333333333</v>
      </c>
      <c r="E32" s="13" t="n">
        <f aca="false">C32/$B$11</f>
        <v>0.44034014627378</v>
      </c>
      <c r="F32" s="9" t="n">
        <f aca="false" t="array" ref="F32:F32">MEDIAN(IF(Segmentation!$T$2:$T$301=A32,Segmentation!$I$2:$I$301))</f>
        <v>4595.5</v>
      </c>
      <c r="G32" s="2" t="n">
        <f aca="false" t="array" ref="G32:G32">MEDIAN(IF(Segmentation!$T$2:$T$301=A32,Segmentation!$O$2:$O$301))</f>
        <v>8</v>
      </c>
      <c r="H32" s="2" t="n">
        <f aca="false">COUNTIFS(Segmentation!$T$2:$T$301,$A32,Segmentation!$H$2:$H$301,"Broker-Reliant")</f>
        <v>22</v>
      </c>
      <c r="I32" s="2" t="n">
        <f aca="false">COUNTIFS(Segmentation!$T$2:$T$301,$A32,Segmentation!$H$2:$H$301,"AM-Owned / Self-Serving")</f>
        <v>0</v>
      </c>
      <c r="J32" s="2" t="n">
        <f aca="false">COUNTIFS(Segmentation!$T$2:$T$301,$A32,Segmentation!$H$2:$H$301,"Self-Serve")</f>
        <v>0</v>
      </c>
      <c r="K32" s="2" t="n">
        <f aca="false">COUNTIFS(Segmentation!$T$2:$T$301,$A32,Segmentation!$J$2:$J$301,"Key")</f>
        <v>7</v>
      </c>
      <c r="L32" s="2" t="n">
        <f aca="false">COUNTIFS(Segmentation!$T$2:$T$301,$A32,Segmentation!$J$2:$J$301,"Core")</f>
        <v>15</v>
      </c>
      <c r="M32" s="2" t="n">
        <f aca="false">COUNTIFS(Segmentation!$T$2:$T$301,$A32,Segmentation!$J$2:$J$301,"Tail")</f>
        <v>0</v>
      </c>
      <c r="N32" s="2" t="n">
        <f aca="false">COUNTIFS(Segmentation!$T$2:$T$301,$A32,Segmentation!$N$2:$N$301,"Growing")</f>
        <v>12</v>
      </c>
      <c r="O32" s="2" t="n">
        <f aca="false">COUNTIFS(Segmentation!$T$2:$T$301,$A32,Segmentation!$N$2:$N$301,"Stable")</f>
        <v>10</v>
      </c>
      <c r="P32" s="2" t="n">
        <f aca="false">COUNTIFS(Segmentation!$T$2:$T$301,$A32,Segmentation!$N$2:$N$301,"Declining")</f>
        <v>0</v>
      </c>
      <c r="Q32" s="2" t="n">
        <f aca="false">COUNTIFS(Segmentation!$T$2:$T$301,$A32,Segmentation!$N$2:$N$301,"Lapsed")</f>
        <v>0</v>
      </c>
      <c r="R32" s="2" t="n">
        <f aca="false">COUNTIFS(Segmentation!$T$2:$T$301,$A32,Segmentation!$N$2:$N$301,"H2 Active / No H1 GMV")</f>
        <v>0</v>
      </c>
      <c r="S32" s="2" t="n">
        <f aca="false">COUNTIFS(Segmentation!$T$2:$T$301,$A32,Segmentation!$U$2:$U$301,TRUE())</f>
        <v>10</v>
      </c>
      <c r="T32" s="2" t="n">
        <f aca="false">COUNTIFS(Segmentation!$T$2:$T$301,$A32,Segmentation!$X$2:$X$301,TRUE())</f>
        <v>0</v>
      </c>
    </row>
    <row r="33" customFormat="false" ht="15" hidden="false" customHeight="false" outlineLevel="0" collapsed="false">
      <c r="A33" s="2" t="s">
        <v>116</v>
      </c>
      <c r="B33" s="2" t="n">
        <f aca="false">COUNTIF(Segmentation!$T$2:$T$301,A33)</f>
        <v>25</v>
      </c>
      <c r="C33" s="9" t="n">
        <f aca="false">SUMIF(Segmentation!$T$2:$T$301,A33,Segmentation!$I$2:$I$301)</f>
        <v>187688</v>
      </c>
      <c r="D33" s="13" t="n">
        <f aca="false">B33/$B$4</f>
        <v>0.0833333333333333</v>
      </c>
      <c r="E33" s="13" t="n">
        <f aca="false">C33/$B$11</f>
        <v>0.222010619812373</v>
      </c>
      <c r="F33" s="9" t="n">
        <f aca="false" t="array" ref="F33:F33">MEDIAN(IF(Segmentation!$T$2:$T$301=A33,Segmentation!$I$2:$I$301))</f>
        <v>3906</v>
      </c>
      <c r="G33" s="2" t="n">
        <f aca="false" t="array" ref="G33:G33">MEDIAN(IF(Segmentation!$T$2:$T$301=A33,Segmentation!$O$2:$O$301))</f>
        <v>8</v>
      </c>
      <c r="H33" s="2" t="n">
        <f aca="false">COUNTIFS(Segmentation!$T$2:$T$301,$A33,Segmentation!$H$2:$H$301,"Broker-Reliant")</f>
        <v>25</v>
      </c>
      <c r="I33" s="2" t="n">
        <f aca="false">COUNTIFS(Segmentation!$T$2:$T$301,$A33,Segmentation!$H$2:$H$301,"AM-Owned / Self-Serving")</f>
        <v>0</v>
      </c>
      <c r="J33" s="2" t="n">
        <f aca="false">COUNTIFS(Segmentation!$T$2:$T$301,$A33,Segmentation!$H$2:$H$301,"Self-Serve")</f>
        <v>0</v>
      </c>
      <c r="K33" s="2" t="n">
        <f aca="false">COUNTIFS(Segmentation!$T$2:$T$301,$A33,Segmentation!$J$2:$J$301,"Key")</f>
        <v>7</v>
      </c>
      <c r="L33" s="2" t="n">
        <f aca="false">COUNTIFS(Segmentation!$T$2:$T$301,$A33,Segmentation!$J$2:$J$301,"Core")</f>
        <v>18</v>
      </c>
      <c r="M33" s="2" t="n">
        <f aca="false">COUNTIFS(Segmentation!$T$2:$T$301,$A33,Segmentation!$J$2:$J$301,"Tail")</f>
        <v>0</v>
      </c>
      <c r="N33" s="2" t="n">
        <f aca="false">COUNTIFS(Segmentation!$T$2:$T$301,$A33,Segmentation!$N$2:$N$301,"Growing")</f>
        <v>0</v>
      </c>
      <c r="O33" s="2" t="n">
        <f aca="false">COUNTIFS(Segmentation!$T$2:$T$301,$A33,Segmentation!$N$2:$N$301,"Stable")</f>
        <v>0</v>
      </c>
      <c r="P33" s="2" t="n">
        <f aca="false">COUNTIFS(Segmentation!$T$2:$T$301,$A33,Segmentation!$N$2:$N$301,"Declining")</f>
        <v>25</v>
      </c>
      <c r="Q33" s="2" t="n">
        <f aca="false">COUNTIFS(Segmentation!$T$2:$T$301,$A33,Segmentation!$N$2:$N$301,"Lapsed")</f>
        <v>0</v>
      </c>
      <c r="R33" s="2" t="n">
        <f aca="false">COUNTIFS(Segmentation!$T$2:$T$301,$A33,Segmentation!$N$2:$N$301,"H2 Active / No H1 GMV")</f>
        <v>0</v>
      </c>
      <c r="S33" s="2" t="n">
        <f aca="false">COUNTIFS(Segmentation!$T$2:$T$301,$A33,Segmentation!$U$2:$U$301,TRUE())</f>
        <v>0</v>
      </c>
      <c r="T33" s="2" t="n">
        <f aca="false">COUNTIFS(Segmentation!$T$2:$T$301,$A33,Segmentation!$X$2:$X$301,TRUE())</f>
        <v>0</v>
      </c>
    </row>
    <row r="34" customFormat="false" ht="15" hidden="false" customHeight="false" outlineLevel="0" collapsed="false">
      <c r="A34" s="2" t="s">
        <v>141</v>
      </c>
      <c r="B34" s="2" t="n">
        <f aca="false">COUNTIF(Segmentation!$T$2:$T$301,A34)</f>
        <v>8</v>
      </c>
      <c r="C34" s="9" t="n">
        <f aca="false">SUMIF(Segmentation!$T$2:$T$301,A34,Segmentation!$I$2:$I$301)</f>
        <v>101754</v>
      </c>
      <c r="D34" s="13" t="n">
        <f aca="false">B34/$B$4</f>
        <v>0.0266666666666667</v>
      </c>
      <c r="E34" s="13" t="n">
        <f aca="false">C34/$B$11</f>
        <v>0.12036181646343</v>
      </c>
      <c r="F34" s="9" t="n">
        <f aca="false" t="array" ref="F34:F34">MEDIAN(IF(Segmentation!$T$2:$T$301=A34,Segmentation!$I$2:$I$301))</f>
        <v>3781</v>
      </c>
      <c r="G34" s="2" t="n">
        <f aca="false" t="array" ref="G34:G34">MEDIAN(IF(Segmentation!$T$2:$T$301=A34,Segmentation!$O$2:$O$301))</f>
        <v>3</v>
      </c>
      <c r="H34" s="2" t="n">
        <f aca="false">COUNTIFS(Segmentation!$T$2:$T$301,$A34,Segmentation!$H$2:$H$301,"Broker-Reliant")</f>
        <v>8</v>
      </c>
      <c r="I34" s="2" t="n">
        <f aca="false">COUNTIFS(Segmentation!$T$2:$T$301,$A34,Segmentation!$H$2:$H$301,"AM-Owned / Self-Serving")</f>
        <v>0</v>
      </c>
      <c r="J34" s="2" t="n">
        <f aca="false">COUNTIFS(Segmentation!$T$2:$T$301,$A34,Segmentation!$H$2:$H$301,"Self-Serve")</f>
        <v>0</v>
      </c>
      <c r="K34" s="2" t="n">
        <f aca="false">COUNTIFS(Segmentation!$T$2:$T$301,$A34,Segmentation!$J$2:$J$301,"Key")</f>
        <v>2</v>
      </c>
      <c r="L34" s="2" t="n">
        <f aca="false">COUNTIFS(Segmentation!$T$2:$T$301,$A34,Segmentation!$J$2:$J$301,"Core")</f>
        <v>6</v>
      </c>
      <c r="M34" s="2" t="n">
        <f aca="false">COUNTIFS(Segmentation!$T$2:$T$301,$A34,Segmentation!$J$2:$J$301,"Tail")</f>
        <v>0</v>
      </c>
      <c r="N34" s="2" t="n">
        <f aca="false">COUNTIFS(Segmentation!$T$2:$T$301,$A34,Segmentation!$N$2:$N$301,"Growing")</f>
        <v>0</v>
      </c>
      <c r="O34" s="2" t="n">
        <f aca="false">COUNTIFS(Segmentation!$T$2:$T$301,$A34,Segmentation!$N$2:$N$301,"Stable")</f>
        <v>0</v>
      </c>
      <c r="P34" s="2" t="n">
        <f aca="false">COUNTIFS(Segmentation!$T$2:$T$301,$A34,Segmentation!$N$2:$N$301,"Declining")</f>
        <v>0</v>
      </c>
      <c r="Q34" s="2" t="n">
        <f aca="false">COUNTIFS(Segmentation!$T$2:$T$301,$A34,Segmentation!$N$2:$N$301,"Lapsed")</f>
        <v>8</v>
      </c>
      <c r="R34" s="2" t="n">
        <f aca="false">COUNTIFS(Segmentation!$T$2:$T$301,$A34,Segmentation!$N$2:$N$301,"H2 Active / No H1 GMV")</f>
        <v>0</v>
      </c>
      <c r="S34" s="2" t="n">
        <f aca="false">COUNTIFS(Segmentation!$T$2:$T$301,$A34,Segmentation!$U$2:$U$301,TRUE())</f>
        <v>0</v>
      </c>
      <c r="T34" s="2" t="n">
        <f aca="false">COUNTIFS(Segmentation!$T$2:$T$301,$A34,Segmentation!$X$2:$X$301,TRUE())</f>
        <v>3</v>
      </c>
    </row>
    <row r="35" customFormat="false" ht="15" hidden="false" customHeight="false" outlineLevel="0" collapsed="false">
      <c r="A35" s="2" t="s">
        <v>343</v>
      </c>
      <c r="B35" s="2" t="n">
        <f aca="false">COUNTIF(Segmentation!$T$2:$T$301,A35)</f>
        <v>2</v>
      </c>
      <c r="C35" s="9" t="n">
        <f aca="false">SUMIF(Segmentation!$T$2:$T$301,A35,Segmentation!$I$2:$I$301)</f>
        <v>18800</v>
      </c>
      <c r="D35" s="13" t="n">
        <f aca="false">B35/$B$4</f>
        <v>0.00666666666666667</v>
      </c>
      <c r="E35" s="13" t="n">
        <f aca="false">C35/$B$11</f>
        <v>0.0222379675443961</v>
      </c>
      <c r="F35" s="9" t="n">
        <f aca="false" t="array" ref="F35:F35">MEDIAN(IF(Segmentation!$T$2:$T$301=A35,Segmentation!$I$2:$I$301))</f>
        <v>9400</v>
      </c>
      <c r="G35" s="2" t="n">
        <f aca="false" t="array" ref="G35:G35">MEDIAN(IF(Segmentation!$T$2:$T$301=A35,Segmentation!$O$2:$O$301))</f>
        <v>3.5</v>
      </c>
      <c r="H35" s="2" t="n">
        <f aca="false">COUNTIFS(Segmentation!$T$2:$T$301,$A35,Segmentation!$H$2:$H$301,"Broker-Reliant")</f>
        <v>2</v>
      </c>
      <c r="I35" s="2" t="n">
        <f aca="false">COUNTIFS(Segmentation!$T$2:$T$301,$A35,Segmentation!$H$2:$H$301,"AM-Owned / Self-Serving")</f>
        <v>0</v>
      </c>
      <c r="J35" s="2" t="n">
        <f aca="false">COUNTIFS(Segmentation!$T$2:$T$301,$A35,Segmentation!$H$2:$H$301,"Self-Serve")</f>
        <v>0</v>
      </c>
      <c r="K35" s="2" t="n">
        <f aca="false">COUNTIFS(Segmentation!$T$2:$T$301,$A35,Segmentation!$J$2:$J$301,"Key")</f>
        <v>1</v>
      </c>
      <c r="L35" s="2" t="n">
        <f aca="false">COUNTIFS(Segmentation!$T$2:$T$301,$A35,Segmentation!$J$2:$J$301,"Core")</f>
        <v>1</v>
      </c>
      <c r="M35" s="2" t="n">
        <f aca="false">COUNTIFS(Segmentation!$T$2:$T$301,$A35,Segmentation!$J$2:$J$301,"Tail")</f>
        <v>0</v>
      </c>
      <c r="N35" s="2" t="n">
        <f aca="false">COUNTIFS(Segmentation!$T$2:$T$301,$A35,Segmentation!$N$2:$N$301,"Growing")</f>
        <v>0</v>
      </c>
      <c r="O35" s="2" t="n">
        <f aca="false">COUNTIFS(Segmentation!$T$2:$T$301,$A35,Segmentation!$N$2:$N$301,"Stable")</f>
        <v>0</v>
      </c>
      <c r="P35" s="2" t="n">
        <f aca="false">COUNTIFS(Segmentation!$T$2:$T$301,$A35,Segmentation!$N$2:$N$301,"Declining")</f>
        <v>0</v>
      </c>
      <c r="Q35" s="2" t="n">
        <f aca="false">COUNTIFS(Segmentation!$T$2:$T$301,$A35,Segmentation!$N$2:$N$301,"Lapsed")</f>
        <v>0</v>
      </c>
      <c r="R35" s="2" t="n">
        <f aca="false">COUNTIFS(Segmentation!$T$2:$T$301,$A35,Segmentation!$N$2:$N$301,"H2 Active / No H1 GMV")</f>
        <v>2</v>
      </c>
      <c r="S35" s="2" t="n">
        <f aca="false">COUNTIFS(Segmentation!$T$2:$T$301,$A35,Segmentation!$U$2:$U$301,TRUE())</f>
        <v>0</v>
      </c>
      <c r="T35" s="2" t="n">
        <f aca="false">COUNTIFS(Segmentation!$T$2:$T$301,$A35,Segmentation!$X$2:$X$301,TRUE())</f>
        <v>1</v>
      </c>
    </row>
    <row r="36" customFormat="false" ht="15" hidden="false" customHeight="false" outlineLevel="0" collapsed="false">
      <c r="A36" s="2" t="s">
        <v>475</v>
      </c>
      <c r="B36" s="2" t="n">
        <f aca="false">COUNTIF(Segmentation!$T$2:$T$301,A36)</f>
        <v>21</v>
      </c>
      <c r="C36" s="9" t="n">
        <f aca="false">SUMIF(Segmentation!$T$2:$T$301,A36,Segmentation!$I$2:$I$301)</f>
        <v>21375</v>
      </c>
      <c r="D36" s="13" t="n">
        <f aca="false">B36/$B$4</f>
        <v>0.07</v>
      </c>
      <c r="E36" s="13" t="n">
        <f aca="false">C36/$B$11</f>
        <v>0.0252838593756099</v>
      </c>
      <c r="F36" s="9" t="n">
        <f aca="false" t="array" ref="F36:F36">MEDIAN(IF(Segmentation!$T$2:$T$301=A36,Segmentation!$I$2:$I$301))</f>
        <v>1071</v>
      </c>
      <c r="G36" s="2" t="n">
        <f aca="false" t="array" ref="G36:G36">MEDIAN(IF(Segmentation!$T$2:$T$301=A36,Segmentation!$O$2:$O$301))</f>
        <v>2</v>
      </c>
      <c r="H36" s="2" t="n">
        <f aca="false">COUNTIFS(Segmentation!$T$2:$T$301,$A36,Segmentation!$H$2:$H$301,"Broker-Reliant")</f>
        <v>21</v>
      </c>
      <c r="I36" s="2" t="n">
        <f aca="false">COUNTIFS(Segmentation!$T$2:$T$301,$A36,Segmentation!$H$2:$H$301,"AM-Owned / Self-Serving")</f>
        <v>0</v>
      </c>
      <c r="J36" s="2" t="n">
        <f aca="false">COUNTIFS(Segmentation!$T$2:$T$301,$A36,Segmentation!$H$2:$H$301,"Self-Serve")</f>
        <v>0</v>
      </c>
      <c r="K36" s="2" t="n">
        <f aca="false">COUNTIFS(Segmentation!$T$2:$T$301,$A36,Segmentation!$J$2:$J$301,"Key")</f>
        <v>0</v>
      </c>
      <c r="L36" s="2" t="n">
        <f aca="false">COUNTIFS(Segmentation!$T$2:$T$301,$A36,Segmentation!$J$2:$J$301,"Core")</f>
        <v>0</v>
      </c>
      <c r="M36" s="2" t="n">
        <f aca="false">COUNTIFS(Segmentation!$T$2:$T$301,$A36,Segmentation!$J$2:$J$301,"Tail")</f>
        <v>21</v>
      </c>
      <c r="N36" s="2" t="n">
        <f aca="false">COUNTIFS(Segmentation!$T$2:$T$301,$A36,Segmentation!$N$2:$N$301,"Growing")</f>
        <v>2</v>
      </c>
      <c r="O36" s="2" t="n">
        <f aca="false">COUNTIFS(Segmentation!$T$2:$T$301,$A36,Segmentation!$N$2:$N$301,"Stable")</f>
        <v>3</v>
      </c>
      <c r="P36" s="2" t="n">
        <f aca="false">COUNTIFS(Segmentation!$T$2:$T$301,$A36,Segmentation!$N$2:$N$301,"Declining")</f>
        <v>1</v>
      </c>
      <c r="Q36" s="2" t="n">
        <f aca="false">COUNTIFS(Segmentation!$T$2:$T$301,$A36,Segmentation!$N$2:$N$301,"Lapsed")</f>
        <v>12</v>
      </c>
      <c r="R36" s="2" t="n">
        <f aca="false">COUNTIFS(Segmentation!$T$2:$T$301,$A36,Segmentation!$N$2:$N$301,"H2 Active / No H1 GMV")</f>
        <v>3</v>
      </c>
      <c r="S36" s="2" t="n">
        <f aca="false">COUNTIFS(Segmentation!$T$2:$T$301,$A36,Segmentation!$U$2:$U$301,TRUE())</f>
        <v>0</v>
      </c>
      <c r="T36" s="2" t="n">
        <f aca="false">COUNTIFS(Segmentation!$T$2:$T$301,$A36,Segmentation!$X$2:$X$301,TRUE())</f>
        <v>11</v>
      </c>
    </row>
    <row r="37" customFormat="false" ht="15" hidden="false" customHeight="false" outlineLevel="0" collapsed="false">
      <c r="A37" s="2" t="s">
        <v>253</v>
      </c>
      <c r="B37" s="2" t="n">
        <f aca="false">COUNTIF(Segmentation!$T$2:$T$301,A37)</f>
        <v>4</v>
      </c>
      <c r="C37" s="9" t="n">
        <f aca="false">SUMIF(Segmentation!$T$2:$T$301,A37,Segmentation!$I$2:$I$301)</f>
        <v>21991</v>
      </c>
      <c r="D37" s="13" t="n">
        <f aca="false">B37/$B$4</f>
        <v>0.0133333333333333</v>
      </c>
      <c r="E37" s="13" t="n">
        <f aca="false">C37/$B$11</f>
        <v>0.0260125076738731</v>
      </c>
      <c r="F37" s="9" t="n">
        <f aca="false" t="array" ref="F37:F37">MEDIAN(IF(Segmentation!$T$2:$T$301=A37,Segmentation!$I$2:$I$301))</f>
        <v>4956.5</v>
      </c>
      <c r="G37" s="2" t="n">
        <f aca="false" t="array" ref="G37:G37">MEDIAN(IF(Segmentation!$T$2:$T$301=A37,Segmentation!$O$2:$O$301))</f>
        <v>8</v>
      </c>
      <c r="H37" s="2" t="n">
        <f aca="false">COUNTIFS(Segmentation!$T$2:$T$301,$A37,Segmentation!$H$2:$H$301,"Broker-Reliant")</f>
        <v>0</v>
      </c>
      <c r="I37" s="2" t="n">
        <f aca="false">COUNTIFS(Segmentation!$T$2:$T$301,$A37,Segmentation!$H$2:$H$301,"AM-Owned / Self-Serving")</f>
        <v>1</v>
      </c>
      <c r="J37" s="2" t="n">
        <f aca="false">COUNTIFS(Segmentation!$T$2:$T$301,$A37,Segmentation!$H$2:$H$301,"Self-Serve")</f>
        <v>3</v>
      </c>
      <c r="K37" s="2" t="n">
        <f aca="false">COUNTIFS(Segmentation!$T$2:$T$301,$A37,Segmentation!$J$2:$J$301,"Key")</f>
        <v>0</v>
      </c>
      <c r="L37" s="2" t="n">
        <f aca="false">COUNTIFS(Segmentation!$T$2:$T$301,$A37,Segmentation!$J$2:$J$301,"Core")</f>
        <v>4</v>
      </c>
      <c r="M37" s="2" t="n">
        <f aca="false">COUNTIFS(Segmentation!$T$2:$T$301,$A37,Segmentation!$J$2:$J$301,"Tail")</f>
        <v>0</v>
      </c>
      <c r="N37" s="2" t="n">
        <f aca="false">COUNTIFS(Segmentation!$T$2:$T$301,$A37,Segmentation!$N$2:$N$301,"Growing")</f>
        <v>4</v>
      </c>
      <c r="O37" s="2" t="n">
        <f aca="false">COUNTIFS(Segmentation!$T$2:$T$301,$A37,Segmentation!$N$2:$N$301,"Stable")</f>
        <v>0</v>
      </c>
      <c r="P37" s="2" t="n">
        <f aca="false">COUNTIFS(Segmentation!$T$2:$T$301,$A37,Segmentation!$N$2:$N$301,"Declining")</f>
        <v>0</v>
      </c>
      <c r="Q37" s="2" t="n">
        <f aca="false">COUNTIFS(Segmentation!$T$2:$T$301,$A37,Segmentation!$N$2:$N$301,"Lapsed")</f>
        <v>0</v>
      </c>
      <c r="R37" s="2" t="n">
        <f aca="false">COUNTIFS(Segmentation!$T$2:$T$301,$A37,Segmentation!$N$2:$N$301,"H2 Active / No H1 GMV")</f>
        <v>0</v>
      </c>
      <c r="S37" s="2" t="n">
        <f aca="false">COUNTIFS(Segmentation!$T$2:$T$301,$A37,Segmentation!$U$2:$U$301,TRUE())</f>
        <v>0</v>
      </c>
      <c r="T37" s="2" t="n">
        <f aca="false">COUNTIFS(Segmentation!$T$2:$T$301,$A37,Segmentation!$X$2:$X$301,TRUE())</f>
        <v>0</v>
      </c>
    </row>
    <row r="38" customFormat="false" ht="15" hidden="false" customHeight="false" outlineLevel="0" collapsed="false">
      <c r="A38" s="2" t="s">
        <v>431</v>
      </c>
      <c r="B38" s="2" t="n">
        <f aca="false">COUNTIF(Segmentation!$T$2:$T$301,A38)</f>
        <v>2</v>
      </c>
      <c r="C38" s="9" t="n">
        <f aca="false">SUMIF(Segmentation!$T$2:$T$301,A38,Segmentation!$I$2:$I$301)</f>
        <v>5515</v>
      </c>
      <c r="D38" s="13" t="n">
        <f aca="false">B38/$B$4</f>
        <v>0.00666666666666667</v>
      </c>
      <c r="E38" s="13" t="n">
        <f aca="false">C38/$B$11</f>
        <v>0.00652353143656088</v>
      </c>
      <c r="F38" s="9" t="n">
        <f aca="false" t="array" ref="F38:F38">MEDIAN(IF(Segmentation!$T$2:$T$301=A38,Segmentation!$I$2:$I$301))</f>
        <v>2757.5</v>
      </c>
      <c r="G38" s="2" t="n">
        <f aca="false" t="array" ref="G38:G38">MEDIAN(IF(Segmentation!$T$2:$T$301=A38,Segmentation!$O$2:$O$301))</f>
        <v>6.5</v>
      </c>
      <c r="H38" s="2" t="n">
        <f aca="false">COUNTIFS(Segmentation!$T$2:$T$301,$A38,Segmentation!$H$2:$H$301,"Broker-Reliant")</f>
        <v>0</v>
      </c>
      <c r="I38" s="2" t="n">
        <f aca="false">COUNTIFS(Segmentation!$T$2:$T$301,$A38,Segmentation!$H$2:$H$301,"AM-Owned / Self-Serving")</f>
        <v>1</v>
      </c>
      <c r="J38" s="2" t="n">
        <f aca="false">COUNTIFS(Segmentation!$T$2:$T$301,$A38,Segmentation!$H$2:$H$301,"Self-Serve")</f>
        <v>1</v>
      </c>
      <c r="K38" s="2" t="n">
        <f aca="false">COUNTIFS(Segmentation!$T$2:$T$301,$A38,Segmentation!$J$2:$J$301,"Key")</f>
        <v>0</v>
      </c>
      <c r="L38" s="2" t="n">
        <f aca="false">COUNTIFS(Segmentation!$T$2:$T$301,$A38,Segmentation!$J$2:$J$301,"Core")</f>
        <v>2</v>
      </c>
      <c r="M38" s="2" t="n">
        <f aca="false">COUNTIFS(Segmentation!$T$2:$T$301,$A38,Segmentation!$J$2:$J$301,"Tail")</f>
        <v>0</v>
      </c>
      <c r="N38" s="2" t="n">
        <f aca="false">COUNTIFS(Segmentation!$T$2:$T$301,$A38,Segmentation!$N$2:$N$301,"Growing")</f>
        <v>0</v>
      </c>
      <c r="O38" s="2" t="n">
        <f aca="false">COUNTIFS(Segmentation!$T$2:$T$301,$A38,Segmentation!$N$2:$N$301,"Stable")</f>
        <v>0</v>
      </c>
      <c r="P38" s="2" t="n">
        <f aca="false">COUNTIFS(Segmentation!$T$2:$T$301,$A38,Segmentation!$N$2:$N$301,"Declining")</f>
        <v>0</v>
      </c>
      <c r="Q38" s="2" t="n">
        <f aca="false">COUNTIFS(Segmentation!$T$2:$T$301,$A38,Segmentation!$N$2:$N$301,"Lapsed")</f>
        <v>0</v>
      </c>
      <c r="R38" s="2" t="n">
        <f aca="false">COUNTIFS(Segmentation!$T$2:$T$301,$A38,Segmentation!$N$2:$N$301,"H2 Active / No H1 GMV")</f>
        <v>2</v>
      </c>
      <c r="S38" s="2" t="n">
        <f aca="false">COUNTIFS(Segmentation!$T$2:$T$301,$A38,Segmentation!$U$2:$U$301,TRUE())</f>
        <v>0</v>
      </c>
      <c r="T38" s="2" t="n">
        <f aca="false">COUNTIFS(Segmentation!$T$2:$T$301,$A38,Segmentation!$X$2:$X$301,TRUE())</f>
        <v>0</v>
      </c>
    </row>
    <row r="39" customFormat="false" ht="15" hidden="false" customHeight="false" outlineLevel="0" collapsed="false">
      <c r="A39" s="2" t="s">
        <v>179</v>
      </c>
      <c r="B39" s="2" t="n">
        <f aca="false">COUNTIF(Segmentation!$T$2:$T$301,A39)</f>
        <v>6</v>
      </c>
      <c r="C39" s="9" t="n">
        <f aca="false">SUMIF(Segmentation!$T$2:$T$301,A39,Segmentation!$I$2:$I$301)</f>
        <v>32123</v>
      </c>
      <c r="D39" s="13" t="n">
        <f aca="false">B39/$B$4</f>
        <v>0.02</v>
      </c>
      <c r="E39" s="13" t="n">
        <f aca="false">C39/$B$11</f>
        <v>0.0379973527355657</v>
      </c>
      <c r="F39" s="9" t="n">
        <f aca="false" t="array" ref="F39:F39">MEDIAN(IF(Segmentation!$T$2:$T$301=A39,Segmentation!$I$2:$I$301))</f>
        <v>3804.5</v>
      </c>
      <c r="G39" s="2" t="n">
        <f aca="false" t="array" ref="G39:G39">MEDIAN(IF(Segmentation!$T$2:$T$301=A39,Segmentation!$O$2:$O$301))</f>
        <v>4.5</v>
      </c>
      <c r="H39" s="2" t="n">
        <f aca="false">COUNTIFS(Segmentation!$T$2:$T$301,$A39,Segmentation!$H$2:$H$301,"Broker-Reliant")</f>
        <v>0</v>
      </c>
      <c r="I39" s="2" t="n">
        <f aca="false">COUNTIFS(Segmentation!$T$2:$T$301,$A39,Segmentation!$H$2:$H$301,"AM-Owned / Self-Serving")</f>
        <v>3</v>
      </c>
      <c r="J39" s="2" t="n">
        <f aca="false">COUNTIFS(Segmentation!$T$2:$T$301,$A39,Segmentation!$H$2:$H$301,"Self-Serve")</f>
        <v>3</v>
      </c>
      <c r="K39" s="2" t="n">
        <f aca="false">COUNTIFS(Segmentation!$T$2:$T$301,$A39,Segmentation!$J$2:$J$301,"Key")</f>
        <v>1</v>
      </c>
      <c r="L39" s="2" t="n">
        <f aca="false">COUNTIFS(Segmentation!$T$2:$T$301,$A39,Segmentation!$J$2:$J$301,"Core")</f>
        <v>5</v>
      </c>
      <c r="M39" s="2" t="n">
        <f aca="false">COUNTIFS(Segmentation!$T$2:$T$301,$A39,Segmentation!$J$2:$J$301,"Tail")</f>
        <v>0</v>
      </c>
      <c r="N39" s="2" t="n">
        <f aca="false">COUNTIFS(Segmentation!$T$2:$T$301,$A39,Segmentation!$N$2:$N$301,"Growing")</f>
        <v>0</v>
      </c>
      <c r="O39" s="2" t="n">
        <f aca="false">COUNTIFS(Segmentation!$T$2:$T$301,$A39,Segmentation!$N$2:$N$301,"Stable")</f>
        <v>0</v>
      </c>
      <c r="P39" s="2" t="n">
        <f aca="false">COUNTIFS(Segmentation!$T$2:$T$301,$A39,Segmentation!$N$2:$N$301,"Declining")</f>
        <v>3</v>
      </c>
      <c r="Q39" s="2" t="n">
        <f aca="false">COUNTIFS(Segmentation!$T$2:$T$301,$A39,Segmentation!$N$2:$N$301,"Lapsed")</f>
        <v>3</v>
      </c>
      <c r="R39" s="2" t="n">
        <f aca="false">COUNTIFS(Segmentation!$T$2:$T$301,$A39,Segmentation!$N$2:$N$301,"H2 Active / No H1 GMV")</f>
        <v>0</v>
      </c>
      <c r="S39" s="2" t="n">
        <f aca="false">COUNTIFS(Segmentation!$T$2:$T$301,$A39,Segmentation!$U$2:$U$301,TRUE())</f>
        <v>0</v>
      </c>
      <c r="T39" s="2" t="n">
        <f aca="false">COUNTIFS(Segmentation!$T$2:$T$301,$A39,Segmentation!$X$2:$X$301,TRUE())</f>
        <v>3</v>
      </c>
    </row>
    <row r="40" customFormat="false" ht="15" hidden="false" customHeight="false" outlineLevel="0" collapsed="false">
      <c r="A40" s="2" t="s">
        <v>491</v>
      </c>
      <c r="B40" s="2" t="n">
        <f aca="false">COUNTIF(Segmentation!$T$2:$T$301,A40)</f>
        <v>210</v>
      </c>
      <c r="C40" s="9" t="n">
        <f aca="false">SUMIF(Segmentation!$T$2:$T$301,A40,Segmentation!$I$2:$I$301)</f>
        <v>83891</v>
      </c>
      <c r="D40" s="13" t="n">
        <f aca="false">B40/$B$4</f>
        <v>0.7</v>
      </c>
      <c r="E40" s="13" t="n">
        <f aca="false">C40/$B$11</f>
        <v>0.0992321986844113</v>
      </c>
      <c r="F40" s="9" t="n">
        <f aca="false" t="array" ref="F40:F40">MEDIAN(IF(Segmentation!$T$2:$T$301=A40,Segmentation!$I$2:$I$301))</f>
        <v>272.5</v>
      </c>
      <c r="G40" s="2" t="n">
        <f aca="false" t="array" ref="G40:G40">MEDIAN(IF(Segmentation!$T$2:$T$301=A40,Segmentation!$O$2:$O$301))</f>
        <v>1</v>
      </c>
      <c r="H40" s="2" t="n">
        <f aca="false">COUNTIFS(Segmentation!$T$2:$T$301,$A40,Segmentation!$H$2:$H$301,"Broker-Reliant")</f>
        <v>0</v>
      </c>
      <c r="I40" s="2" t="n">
        <f aca="false">COUNTIFS(Segmentation!$T$2:$T$301,$A40,Segmentation!$H$2:$H$301,"AM-Owned / Self-Serving")</f>
        <v>127</v>
      </c>
      <c r="J40" s="2" t="n">
        <f aca="false">COUNTIFS(Segmentation!$T$2:$T$301,$A40,Segmentation!$H$2:$H$301,"Self-Serve")</f>
        <v>83</v>
      </c>
      <c r="K40" s="2" t="n">
        <f aca="false">COUNTIFS(Segmentation!$T$2:$T$301,$A40,Segmentation!$J$2:$J$301,"Key")</f>
        <v>0</v>
      </c>
      <c r="L40" s="2" t="n">
        <f aca="false">COUNTIFS(Segmentation!$T$2:$T$301,$A40,Segmentation!$J$2:$J$301,"Core")</f>
        <v>0</v>
      </c>
      <c r="M40" s="2" t="n">
        <f aca="false">COUNTIFS(Segmentation!$T$2:$T$301,$A40,Segmentation!$J$2:$J$301,"Tail")</f>
        <v>210</v>
      </c>
      <c r="N40" s="2" t="n">
        <f aca="false">COUNTIFS(Segmentation!$T$2:$T$301,$A40,Segmentation!$N$2:$N$301,"Growing")</f>
        <v>11</v>
      </c>
      <c r="O40" s="2" t="n">
        <f aca="false">COUNTIFS(Segmentation!$T$2:$T$301,$A40,Segmentation!$N$2:$N$301,"Stable")</f>
        <v>2</v>
      </c>
      <c r="P40" s="2" t="n">
        <f aca="false">COUNTIFS(Segmentation!$T$2:$T$301,$A40,Segmentation!$N$2:$N$301,"Declining")</f>
        <v>5</v>
      </c>
      <c r="Q40" s="2" t="n">
        <f aca="false">COUNTIFS(Segmentation!$T$2:$T$301,$A40,Segmentation!$N$2:$N$301,"Lapsed")</f>
        <v>126</v>
      </c>
      <c r="R40" s="2" t="n">
        <f aca="false">COUNTIFS(Segmentation!$T$2:$T$301,$A40,Segmentation!$N$2:$N$301,"H2 Active / No H1 GMV")</f>
        <v>66</v>
      </c>
      <c r="S40" s="2" t="n">
        <f aca="false">COUNTIFS(Segmentation!$T$2:$T$301,$A40,Segmentation!$U$2:$U$301,TRUE())</f>
        <v>0</v>
      </c>
      <c r="T40" s="2" t="n">
        <f aca="false">COUNTIFS(Segmentation!$T$2:$T$301,$A40,Segmentation!$X$2:$X$301,TRUE())</f>
        <v>182</v>
      </c>
    </row>
    <row r="41" customFormat="false" ht="15" hidden="false" customHeight="false" outlineLevel="0" collapsed="false">
      <c r="A41" s="3" t="s">
        <v>1331</v>
      </c>
      <c r="B41" s="2" t="n">
        <f aca="false">SUM(B32:B40)</f>
        <v>300</v>
      </c>
      <c r="C41" s="9" t="n">
        <f aca="false">SUM(C32:C40)</f>
        <v>845401</v>
      </c>
      <c r="D41" s="13" t="n">
        <f aca="false">SUM(D32:D40)</f>
        <v>1</v>
      </c>
      <c r="E41" s="13" t="n">
        <f aca="false">SUM(E32:E40)</f>
        <v>1</v>
      </c>
      <c r="F41" s="2"/>
      <c r="G41" s="2"/>
      <c r="H41" s="2" t="n">
        <f aca="false">SUM(H32:H40)</f>
        <v>78</v>
      </c>
      <c r="I41" s="2" t="n">
        <f aca="false">SUM(I32:I40)</f>
        <v>132</v>
      </c>
      <c r="J41" s="2" t="n">
        <f aca="false">SUM(J32:J40)</f>
        <v>90</v>
      </c>
      <c r="K41" s="2" t="n">
        <f aca="false">SUM(K32:K40)</f>
        <v>18</v>
      </c>
      <c r="L41" s="2" t="n">
        <f aca="false">SUM(L32:L40)</f>
        <v>51</v>
      </c>
      <c r="M41" s="2" t="n">
        <f aca="false">SUM(M32:M40)</f>
        <v>231</v>
      </c>
      <c r="N41" s="2" t="n">
        <f aca="false">SUM(N32:N40)</f>
        <v>29</v>
      </c>
      <c r="O41" s="2" t="n">
        <f aca="false">SUM(O32:O40)</f>
        <v>15</v>
      </c>
      <c r="P41" s="2" t="n">
        <f aca="false">SUM(P32:P40)</f>
        <v>34</v>
      </c>
      <c r="Q41" s="2" t="n">
        <f aca="false">SUM(Q32:Q40)</f>
        <v>149</v>
      </c>
      <c r="R41" s="2" t="n">
        <f aca="false">SUM(R32:R40)</f>
        <v>73</v>
      </c>
      <c r="S41" s="2" t="n">
        <f aca="false">SUM(S32:S40)</f>
        <v>10</v>
      </c>
      <c r="T41" s="2" t="n">
        <f aca="false">SUM(T32:T40)</f>
        <v>200</v>
      </c>
    </row>
    <row r="42" customFormat="false" ht="15" hidden="false" customHeight="false" outlineLevel="0" collapsed="false">
      <c r="A42" s="2"/>
      <c r="B42" s="2"/>
      <c r="C42" s="2"/>
      <c r="D42" s="2"/>
      <c r="E42" s="2"/>
      <c r="F42" s="2"/>
      <c r="G42" s="2"/>
      <c r="H42" s="2"/>
      <c r="I42" s="2"/>
      <c r="J42" s="2"/>
      <c r="K42" s="2"/>
      <c r="L42" s="2"/>
      <c r="M42" s="2"/>
      <c r="N42" s="2"/>
      <c r="O42" s="2"/>
      <c r="P42" s="2"/>
      <c r="Q42" s="2"/>
      <c r="R42" s="2"/>
      <c r="S42" s="2"/>
      <c r="T42" s="2"/>
    </row>
    <row r="43" customFormat="false" ht="15" hidden="false" customHeight="false" outlineLevel="0" collapsed="false">
      <c r="A43" s="3" t="s">
        <v>1513</v>
      </c>
      <c r="B43" s="2"/>
      <c r="C43" s="2"/>
      <c r="D43" s="2"/>
      <c r="E43" s="2"/>
      <c r="F43" s="2"/>
      <c r="G43" s="2"/>
      <c r="H43" s="2"/>
      <c r="I43" s="2"/>
      <c r="J43" s="2"/>
      <c r="K43" s="2"/>
      <c r="L43" s="2"/>
      <c r="M43" s="2"/>
      <c r="N43" s="2"/>
      <c r="O43" s="2"/>
      <c r="P43" s="2"/>
      <c r="Q43" s="2"/>
      <c r="R43" s="2"/>
      <c r="S43" s="2"/>
      <c r="T43" s="2"/>
    </row>
    <row r="44" customFormat="false" ht="15" hidden="false" customHeight="false" outlineLevel="0" collapsed="false">
      <c r="A44" s="2" t="s">
        <v>1514</v>
      </c>
      <c r="B44" s="2" t="n">
        <f aca="false">COUNTIF(Segmentation!$U$2:$U$301,TRUE())</f>
        <v>10</v>
      </c>
      <c r="C44" s="2"/>
      <c r="D44" s="2"/>
      <c r="E44" s="2"/>
      <c r="F44" s="2"/>
      <c r="G44" s="2"/>
      <c r="H44" s="2"/>
      <c r="I44" s="2"/>
      <c r="J44" s="2"/>
      <c r="K44" s="2"/>
      <c r="L44" s="2"/>
      <c r="M44" s="2"/>
      <c r="N44" s="2"/>
      <c r="O44" s="2"/>
      <c r="P44" s="2"/>
      <c r="Q44" s="2"/>
      <c r="R44" s="2"/>
      <c r="S44" s="2"/>
      <c r="T44" s="2"/>
    </row>
    <row r="45" customFormat="false" ht="15" hidden="false" customHeight="false" outlineLevel="0" collapsed="false">
      <c r="A45" s="2" t="s">
        <v>1515</v>
      </c>
      <c r="B45" s="9" t="n">
        <f aca="false">SUMIF(Segmentation!$U$2:$U$301,TRUE(),Segmentation!$I$2:$I$301)</f>
        <v>45308</v>
      </c>
      <c r="C45" s="2"/>
      <c r="D45" s="2"/>
      <c r="E45" s="2"/>
      <c r="F45" s="2"/>
      <c r="G45" s="2"/>
      <c r="H45" s="2"/>
      <c r="I45" s="2"/>
      <c r="J45" s="2"/>
      <c r="K45" s="2"/>
      <c r="L45" s="2"/>
      <c r="M45" s="2"/>
      <c r="N45" s="2"/>
      <c r="O45" s="2"/>
      <c r="P45" s="2"/>
      <c r="Q45" s="2"/>
      <c r="R45" s="2"/>
      <c r="S45" s="2"/>
      <c r="T45" s="2"/>
    </row>
    <row r="46" customFormat="false" ht="15" hidden="false" customHeight="false" outlineLevel="0" collapsed="false">
      <c r="A46" s="2" t="s">
        <v>1516</v>
      </c>
      <c r="B46" s="13" t="n">
        <f aca="false">B45/$B$11</f>
        <v>0.0535935017819946</v>
      </c>
      <c r="C46" s="2"/>
      <c r="D46" s="2"/>
      <c r="E46" s="2"/>
      <c r="F46" s="2"/>
      <c r="G46" s="2"/>
      <c r="H46" s="2"/>
      <c r="I46" s="2"/>
      <c r="J46" s="2"/>
      <c r="K46" s="2"/>
      <c r="L46" s="2"/>
      <c r="M46" s="2"/>
      <c r="N46" s="2"/>
      <c r="O46" s="2"/>
      <c r="P46" s="2"/>
      <c r="Q46" s="2"/>
      <c r="R46" s="2"/>
      <c r="S46" s="2"/>
      <c r="T46" s="2"/>
    </row>
    <row r="47" customFormat="false" ht="15" hidden="false" customHeight="false" outlineLevel="0" collapsed="false">
      <c r="A47" s="2"/>
      <c r="B47" s="2"/>
      <c r="C47" s="2"/>
      <c r="D47" s="2"/>
      <c r="E47" s="2"/>
      <c r="F47" s="2"/>
      <c r="G47" s="2"/>
      <c r="H47" s="2"/>
      <c r="I47" s="2"/>
      <c r="J47" s="2"/>
      <c r="K47" s="2"/>
      <c r="L47" s="2"/>
      <c r="M47" s="2"/>
      <c r="N47" s="2"/>
      <c r="O47" s="2"/>
      <c r="P47" s="2"/>
      <c r="Q47" s="2"/>
      <c r="R47" s="2"/>
      <c r="S47" s="2"/>
      <c r="T47" s="2"/>
    </row>
    <row r="48" customFormat="false" ht="15" hidden="false" customHeight="false" outlineLevel="0" collapsed="false">
      <c r="A48" s="3" t="s">
        <v>1517</v>
      </c>
      <c r="B48" s="2"/>
      <c r="C48" s="2"/>
      <c r="D48" s="2"/>
      <c r="E48" s="2"/>
      <c r="F48" s="2"/>
      <c r="G48" s="2"/>
      <c r="H48" s="2"/>
      <c r="I48" s="2"/>
      <c r="J48" s="2"/>
      <c r="K48" s="2"/>
      <c r="L48" s="2"/>
      <c r="M48" s="2"/>
      <c r="N48" s="2"/>
      <c r="O48" s="2"/>
      <c r="P48" s="2"/>
      <c r="Q48" s="2"/>
      <c r="R48" s="2"/>
      <c r="S48" s="2"/>
      <c r="T48" s="2"/>
    </row>
    <row r="49" customFormat="false" ht="15" hidden="false" customHeight="false" outlineLevel="0" collapsed="false">
      <c r="A49" s="2" t="s">
        <v>1518</v>
      </c>
      <c r="B49" s="2" t="n">
        <f aca="false">COUNTIF(Segmentation!$X$2:$X$301,TRUE())</f>
        <v>200</v>
      </c>
      <c r="C49" s="2"/>
      <c r="D49" s="2"/>
      <c r="E49" s="2"/>
      <c r="F49" s="2"/>
      <c r="G49" s="2"/>
      <c r="H49" s="2"/>
      <c r="I49" s="2"/>
      <c r="J49" s="2"/>
      <c r="K49" s="2"/>
      <c r="L49" s="2"/>
      <c r="M49" s="2"/>
      <c r="N49" s="2"/>
      <c r="O49" s="2"/>
      <c r="P49" s="2"/>
      <c r="Q49" s="2"/>
      <c r="R49" s="2"/>
      <c r="S49" s="2"/>
      <c r="T49" s="2"/>
    </row>
    <row r="50" customFormat="false" ht="15" hidden="false" customHeight="false" outlineLevel="0" collapsed="false">
      <c r="A50" s="2" t="s">
        <v>1519</v>
      </c>
      <c r="B50" s="2" t="n">
        <f aca="false">COUNTIF(Segmentation!$Y$2:$Y$301,TRUE())</f>
        <v>180</v>
      </c>
      <c r="C50" s="2"/>
      <c r="D50" s="2"/>
      <c r="E50" s="2"/>
      <c r="F50" s="2"/>
      <c r="G50" s="2"/>
      <c r="H50" s="2"/>
      <c r="I50" s="2"/>
      <c r="J50" s="2"/>
      <c r="K50" s="2"/>
      <c r="L50" s="2"/>
      <c r="M50" s="2"/>
      <c r="N50" s="2"/>
      <c r="O50" s="2"/>
      <c r="P50" s="2"/>
      <c r="Q50" s="2"/>
      <c r="R50" s="2"/>
      <c r="S50" s="2"/>
      <c r="T50" s="2"/>
    </row>
    <row r="51" customFormat="false" ht="15" hidden="false" customHeight="false" outlineLevel="0" collapsed="false">
      <c r="A51" s="2" t="s">
        <v>1520</v>
      </c>
      <c r="B51" s="2" t="n">
        <f aca="false">COUNTIF(Segmentation!$Z$2:$Z$301,TRUE())</f>
        <v>1</v>
      </c>
      <c r="C51" s="2"/>
      <c r="D51" s="2"/>
      <c r="E51" s="2"/>
      <c r="F51" s="2"/>
      <c r="G51" s="2"/>
      <c r="H51" s="2"/>
      <c r="I51" s="2"/>
      <c r="J51" s="2"/>
      <c r="K51" s="2"/>
      <c r="L51" s="2"/>
      <c r="M51" s="2"/>
      <c r="N51" s="2"/>
      <c r="O51" s="2"/>
      <c r="P51" s="2"/>
      <c r="Q51" s="2"/>
      <c r="R51" s="2"/>
      <c r="S51" s="2"/>
      <c r="T51" s="2"/>
    </row>
    <row r="52" customFormat="false" ht="15" hidden="false" customHeight="false" outlineLevel="0" collapsed="false">
      <c r="A52" s="2" t="s">
        <v>1521</v>
      </c>
      <c r="B52" s="2" t="n">
        <f aca="false">COUNTIF(Segmentation!$AA$2:$AA$301,TRUE())</f>
        <v>134</v>
      </c>
      <c r="C52" s="2"/>
      <c r="D52" s="2"/>
      <c r="E52" s="2"/>
      <c r="F52" s="2"/>
      <c r="G52" s="2"/>
      <c r="H52" s="2"/>
      <c r="I52" s="2"/>
      <c r="J52" s="2"/>
      <c r="K52" s="2"/>
      <c r="L52" s="2"/>
      <c r="M52" s="2"/>
      <c r="N52" s="2"/>
      <c r="O52" s="2"/>
      <c r="P52" s="2"/>
      <c r="Q52" s="2"/>
      <c r="R52" s="2"/>
      <c r="S52" s="2"/>
      <c r="T52" s="2"/>
    </row>
    <row r="53" customFormat="false" ht="15" hidden="false" customHeight="false" outlineLevel="0" collapsed="false">
      <c r="A53" s="2" t="s">
        <v>1522</v>
      </c>
      <c r="B53" s="2" t="n">
        <f aca="false">COUNTIF(Segmentation!$AD$2:$AD$301,TRUE())</f>
        <v>85</v>
      </c>
      <c r="C53" s="2"/>
      <c r="D53" s="2"/>
      <c r="E53" s="2"/>
      <c r="F53" s="2"/>
      <c r="G53" s="2"/>
      <c r="H53" s="2"/>
      <c r="I53" s="2"/>
      <c r="J53" s="2"/>
      <c r="K53" s="2"/>
      <c r="L53" s="2"/>
      <c r="M53" s="2"/>
      <c r="N53" s="2"/>
      <c r="O53" s="2"/>
      <c r="P53" s="2"/>
      <c r="Q53" s="2"/>
      <c r="R53" s="2"/>
      <c r="S53" s="2"/>
      <c r="T53" s="2"/>
    </row>
    <row r="54" customFormat="false" ht="15" hidden="false" customHeight="false" outlineLevel="0" collapsed="false">
      <c r="A54" s="2"/>
      <c r="B54" s="2"/>
      <c r="C54" s="2"/>
      <c r="D54" s="2"/>
      <c r="E54" s="2"/>
      <c r="F54" s="2"/>
      <c r="G54" s="2"/>
      <c r="H54" s="2"/>
      <c r="I54" s="2"/>
      <c r="J54" s="2"/>
      <c r="K54" s="2"/>
      <c r="L54" s="2"/>
      <c r="M54" s="2"/>
      <c r="N54" s="2"/>
      <c r="O54" s="2"/>
      <c r="P54" s="2"/>
      <c r="Q54" s="2"/>
      <c r="R54" s="2"/>
      <c r="S54" s="2"/>
      <c r="T54" s="2"/>
    </row>
    <row r="55" customFormat="false" ht="15" hidden="false" customHeight="false" outlineLevel="0" collapsed="false">
      <c r="A55" s="2"/>
      <c r="B55" s="2"/>
      <c r="C55" s="2"/>
      <c r="D55" s="2"/>
      <c r="E55" s="2"/>
      <c r="F55" s="2"/>
      <c r="G55" s="2"/>
      <c r="H55" s="2"/>
      <c r="I55" s="2"/>
      <c r="J55" s="2"/>
      <c r="K55" s="2"/>
      <c r="L55" s="2"/>
      <c r="M55" s="2"/>
      <c r="N55" s="2"/>
      <c r="O55" s="2"/>
      <c r="P55" s="2"/>
      <c r="Q55" s="2"/>
      <c r="R55" s="2"/>
      <c r="S55" s="2"/>
      <c r="T55" s="2"/>
    </row>
    <row r="56" customFormat="false" ht="15" hidden="false" customHeight="false" outlineLevel="0" collapsed="false">
      <c r="A56" s="1" t="s">
        <v>1523</v>
      </c>
      <c r="B56" s="2"/>
      <c r="C56" s="2"/>
      <c r="D56" s="2"/>
      <c r="E56" s="2"/>
      <c r="F56" s="2"/>
      <c r="G56" s="2"/>
      <c r="H56" s="2"/>
      <c r="I56" s="2"/>
      <c r="J56" s="2"/>
      <c r="K56" s="2"/>
      <c r="L56" s="2"/>
      <c r="M56" s="2"/>
      <c r="N56" s="2"/>
      <c r="O56" s="2"/>
      <c r="P56" s="2"/>
      <c r="Q56" s="2"/>
      <c r="R56" s="2"/>
      <c r="S56" s="2"/>
      <c r="T56" s="2"/>
    </row>
    <row r="57" customFormat="false" ht="15" hidden="false" customHeight="false" outlineLevel="0" collapsed="false">
      <c r="A57" s="2"/>
      <c r="B57" s="2"/>
      <c r="C57" s="2"/>
      <c r="D57" s="2"/>
      <c r="E57" s="2"/>
      <c r="F57" s="2"/>
      <c r="G57" s="2"/>
      <c r="H57" s="2"/>
      <c r="I57" s="2"/>
      <c r="J57" s="2"/>
      <c r="K57" s="2"/>
      <c r="L57" s="2"/>
      <c r="M57" s="2"/>
      <c r="N57" s="2"/>
      <c r="O57" s="2"/>
      <c r="P57" s="2"/>
      <c r="Q57" s="2"/>
      <c r="R57" s="2"/>
      <c r="S57" s="2"/>
      <c r="T57" s="2"/>
    </row>
    <row r="58" customFormat="false" ht="15" hidden="false" customHeight="false" outlineLevel="0" collapsed="false">
      <c r="A58" s="3" t="s">
        <v>1524</v>
      </c>
      <c r="B58" s="2"/>
      <c r="C58" s="2"/>
      <c r="D58" s="2"/>
      <c r="E58" s="2"/>
      <c r="F58" s="2"/>
      <c r="G58" s="2"/>
      <c r="H58" s="2"/>
      <c r="I58" s="2"/>
      <c r="J58" s="2"/>
      <c r="K58" s="2"/>
      <c r="L58" s="2"/>
      <c r="M58" s="2"/>
      <c r="N58" s="2"/>
      <c r="O58" s="2"/>
      <c r="P58" s="2"/>
      <c r="Q58" s="2"/>
      <c r="R58" s="2"/>
      <c r="S58" s="2"/>
      <c r="T58" s="2"/>
    </row>
    <row r="59" customFormat="false" ht="15" hidden="false" customHeight="false" outlineLevel="0" collapsed="false">
      <c r="A59" s="12" t="s">
        <v>1524</v>
      </c>
      <c r="B59" s="12" t="s">
        <v>1319</v>
      </c>
      <c r="C59" s="12" t="s">
        <v>1320</v>
      </c>
      <c r="D59" s="3"/>
      <c r="E59" s="3"/>
      <c r="F59" s="3"/>
      <c r="G59" s="3"/>
      <c r="H59" s="3"/>
      <c r="I59" s="3"/>
      <c r="J59" s="3"/>
      <c r="K59" s="3"/>
      <c r="L59" s="3"/>
      <c r="M59" s="3"/>
      <c r="N59" s="3"/>
      <c r="O59" s="3"/>
      <c r="P59" s="3"/>
      <c r="Q59" s="3"/>
      <c r="R59" s="3"/>
      <c r="S59" s="3"/>
      <c r="T59" s="3"/>
    </row>
    <row r="60" customFormat="false" ht="15" hidden="false" customHeight="false" outlineLevel="0" collapsed="false">
      <c r="A60" s="2" t="s">
        <v>440</v>
      </c>
      <c r="B60" s="2" t="n">
        <f aca="false">COUNTIF(Segmentation!$AF$2:$AF$301,A60)</f>
        <v>49</v>
      </c>
      <c r="C60" s="9" t="n">
        <f aca="false">SUMIF(Segmentation!$AF$2:$AF$301,A60,Segmentation!$I$2:$I$301)</f>
        <v>16411</v>
      </c>
      <c r="D60" s="2"/>
      <c r="E60" s="2"/>
      <c r="F60" s="2"/>
      <c r="G60" s="2"/>
      <c r="H60" s="2"/>
      <c r="I60" s="2"/>
      <c r="J60" s="2"/>
      <c r="K60" s="2"/>
      <c r="L60" s="2"/>
      <c r="M60" s="2"/>
      <c r="N60" s="2"/>
      <c r="O60" s="2"/>
      <c r="P60" s="2"/>
      <c r="Q60" s="2"/>
      <c r="R60" s="2"/>
      <c r="S60" s="2"/>
      <c r="T60" s="2"/>
    </row>
    <row r="61" customFormat="false" ht="15" hidden="false" customHeight="false" outlineLevel="0" collapsed="false">
      <c r="A61" s="2" t="s">
        <v>354</v>
      </c>
      <c r="B61" s="2" t="n">
        <f aca="false">COUNTIF(Segmentation!$AF$2:$AF$301,A61)</f>
        <v>24</v>
      </c>
      <c r="C61" s="9" t="n">
        <f aca="false">SUMIF(Segmentation!$AF$2:$AF$301,A61,Segmentation!$I$2:$I$301)</f>
        <v>33051</v>
      </c>
      <c r="D61" s="2"/>
      <c r="E61" s="2"/>
      <c r="F61" s="2"/>
      <c r="G61" s="2"/>
      <c r="H61" s="2"/>
      <c r="I61" s="2"/>
      <c r="J61" s="2"/>
      <c r="K61" s="2"/>
      <c r="L61" s="2"/>
      <c r="M61" s="2"/>
      <c r="N61" s="2"/>
      <c r="O61" s="2"/>
      <c r="P61" s="2"/>
      <c r="Q61" s="2"/>
      <c r="R61" s="2"/>
      <c r="S61" s="2"/>
      <c r="T61" s="2"/>
    </row>
    <row r="62" customFormat="false" ht="15" hidden="false" customHeight="false" outlineLevel="0" collapsed="false">
      <c r="A62" s="2" t="s">
        <v>132</v>
      </c>
      <c r="B62" s="2" t="n">
        <f aca="false">COUNTIF(Segmentation!$AF$2:$AF$301,A62)</f>
        <v>227</v>
      </c>
      <c r="C62" s="9" t="n">
        <f aca="false">SUMIF(Segmentation!$AF$2:$AF$301,A62,Segmentation!$I$2:$I$301)</f>
        <v>795939</v>
      </c>
      <c r="D62" s="2"/>
      <c r="E62" s="2"/>
      <c r="F62" s="2"/>
      <c r="G62" s="2"/>
      <c r="H62" s="2"/>
      <c r="I62" s="2"/>
      <c r="J62" s="2"/>
      <c r="K62" s="2"/>
      <c r="L62" s="2"/>
      <c r="M62" s="2"/>
      <c r="N62" s="2"/>
      <c r="O62" s="2"/>
      <c r="P62" s="2"/>
      <c r="Q62" s="2"/>
      <c r="R62" s="2"/>
      <c r="S62" s="2"/>
      <c r="T62" s="2"/>
    </row>
    <row r="63" customFormat="false" ht="15" hidden="false" customHeight="false" outlineLevel="0" collapsed="false">
      <c r="A63" s="2"/>
      <c r="B63" s="2"/>
      <c r="C63" s="2"/>
      <c r="D63" s="2"/>
      <c r="E63" s="2"/>
      <c r="F63" s="2"/>
      <c r="G63" s="2"/>
      <c r="H63" s="2"/>
      <c r="I63" s="2"/>
      <c r="J63" s="2"/>
      <c r="K63" s="2"/>
      <c r="L63" s="2"/>
      <c r="M63" s="2"/>
      <c r="N63" s="2"/>
      <c r="O63" s="2"/>
      <c r="P63" s="2"/>
      <c r="Q63" s="2"/>
      <c r="R63" s="2"/>
      <c r="S63" s="2"/>
      <c r="T63" s="2"/>
    </row>
    <row r="64" customFormat="false" ht="15" hidden="false" customHeight="false" outlineLevel="0" collapsed="false">
      <c r="A64" s="3" t="s">
        <v>1525</v>
      </c>
      <c r="B64" s="2"/>
      <c r="C64" s="2"/>
      <c r="D64" s="2"/>
      <c r="E64" s="2"/>
      <c r="F64" s="2"/>
      <c r="G64" s="2"/>
      <c r="H64" s="2"/>
      <c r="I64" s="2"/>
      <c r="J64" s="2"/>
      <c r="K64" s="2"/>
      <c r="L64" s="2"/>
      <c r="M64" s="2"/>
      <c r="N64" s="2"/>
      <c r="O64" s="2"/>
      <c r="P64" s="2"/>
      <c r="Q64" s="2"/>
      <c r="R64" s="2"/>
      <c r="S64" s="2"/>
      <c r="T64" s="2"/>
    </row>
    <row r="65" customFormat="false" ht="45" hidden="false" customHeight="true" outlineLevel="0" collapsed="false">
      <c r="A65" s="14" t="s">
        <v>1526</v>
      </c>
      <c r="B65" s="14" t="s">
        <v>1319</v>
      </c>
      <c r="C65" s="14" t="s">
        <v>1320</v>
      </c>
      <c r="D65" s="14" t="s">
        <v>1321</v>
      </c>
      <c r="E65" s="14" t="s">
        <v>1527</v>
      </c>
      <c r="F65" s="14" t="s">
        <v>1528</v>
      </c>
      <c r="G65" s="14" t="s">
        <v>1529</v>
      </c>
      <c r="H65" s="3"/>
      <c r="I65" s="3"/>
      <c r="J65" s="3"/>
      <c r="K65" s="3"/>
      <c r="L65" s="3"/>
      <c r="M65" s="3"/>
      <c r="N65" s="3"/>
      <c r="O65" s="3"/>
      <c r="P65" s="3"/>
      <c r="Q65" s="3"/>
      <c r="R65" s="3"/>
      <c r="S65" s="3"/>
      <c r="T65" s="3"/>
    </row>
    <row r="66" customFormat="false" ht="15" hidden="false" customHeight="false" outlineLevel="0" collapsed="false">
      <c r="A66" s="2" t="s">
        <v>1530</v>
      </c>
      <c r="B66" s="2" t="n">
        <f aca="false">COUNTIF(Segmentation!$AG$2:$AG$301,TRUE())</f>
        <v>7</v>
      </c>
      <c r="C66" s="9" t="n">
        <f aca="false">SUMIF(Segmentation!$AG$2:$AG$301,TRUE(),Segmentation!$I$2:$I$301)</f>
        <v>309427</v>
      </c>
      <c r="D66" s="13" t="n">
        <f aca="false">C66/$B$11</f>
        <v>0.366012105497864</v>
      </c>
      <c r="E66" s="2" t="n">
        <f aca="false">COUNTIFS(Segmentation!$AG$2:$AG$301,TRUE(),Segmentation!$T$2:$T$301,"1. Migration Candidate")</f>
        <v>7</v>
      </c>
      <c r="F66" s="2" t="n">
        <f aca="false">COUNTIFS(Segmentation!$AG$2:$AG$301,TRUE(),Segmentation!$J$2:$J$301,"&lt;&gt;Tail")</f>
        <v>7</v>
      </c>
      <c r="G66" s="2" t="n">
        <f aca="false">COUNTIFS(Segmentation!$AG$2:$AG$301,TRUE(),Segmentation!$U$2:$U$301,TRUE())</f>
        <v>0</v>
      </c>
      <c r="H66" s="2"/>
      <c r="I66" s="2"/>
      <c r="J66" s="2"/>
      <c r="K66" s="2"/>
      <c r="L66" s="2"/>
      <c r="M66" s="2"/>
      <c r="N66" s="2"/>
      <c r="O66" s="2"/>
      <c r="P66" s="2"/>
      <c r="Q66" s="2"/>
      <c r="R66" s="2"/>
      <c r="S66" s="2"/>
      <c r="T66" s="2"/>
    </row>
    <row r="67" customFormat="false" ht="15" hidden="false" customHeight="false" outlineLevel="0" collapsed="false">
      <c r="A67" s="2" t="s">
        <v>1531</v>
      </c>
      <c r="B67" s="2" t="n">
        <f aca="false">COUNTIF(Segmentation!$AH$2:$AH$301,TRUE())</f>
        <v>9</v>
      </c>
      <c r="C67" s="9" t="n">
        <f aca="false">SUMIF(Segmentation!$AH$2:$AH$301,TRUE(),Segmentation!$I$2:$I$301)</f>
        <v>254384</v>
      </c>
      <c r="D67" s="13" t="n">
        <f aca="false">C67/$B$11</f>
        <v>0.30090335828796</v>
      </c>
      <c r="E67" s="2" t="n">
        <f aca="false">COUNTIFS(Segmentation!$AH$2:$AH$301,TRUE(),Segmentation!$T$2:$T$301,"1. Migration Candidate")</f>
        <v>6</v>
      </c>
      <c r="F67" s="2" t="n">
        <f aca="false">COUNTIFS(Segmentation!$AH$2:$AH$301,TRUE(),Segmentation!$J$2:$J$301,"&lt;&gt;Tail")</f>
        <v>7</v>
      </c>
      <c r="G67" s="2" t="n">
        <f aca="false">COUNTIFS(Segmentation!$AH$2:$AH$301,TRUE(),Segmentation!$U$2:$U$301,TRUE())</f>
        <v>3</v>
      </c>
      <c r="H67" s="2"/>
      <c r="I67" s="2"/>
      <c r="J67" s="2"/>
      <c r="K67" s="2"/>
      <c r="L67" s="2"/>
      <c r="M67" s="2"/>
      <c r="N67" s="2"/>
      <c r="O67" s="2"/>
      <c r="P67" s="2"/>
      <c r="Q67" s="2"/>
      <c r="R67" s="2"/>
      <c r="S67" s="2"/>
      <c r="T67" s="2"/>
    </row>
    <row r="68" customFormat="false" ht="15" hidden="false" customHeight="false" outlineLevel="0" collapsed="false">
      <c r="A68" s="2" t="s">
        <v>1532</v>
      </c>
      <c r="B68" s="2" t="n">
        <f aca="false">COUNTIF(Segmentation!$AK$2:$AK$301,TRUE())</f>
        <v>36</v>
      </c>
      <c r="C68" s="9" t="n">
        <f aca="false">SUMIF(Segmentation!$AK$2:$AK$301,TRUE(),Segmentation!$I$2:$I$301)</f>
        <v>253661</v>
      </c>
      <c r="D68" s="13" t="n">
        <f aca="false">C68/$B$11</f>
        <v>0.300048142833992</v>
      </c>
      <c r="E68" s="2" t="n">
        <f aca="false">COUNTIFS(Segmentation!$AK$2:$AK$301,TRUE(),Segmentation!$T$2:$T$301,"1. Migration Candidate")</f>
        <v>4</v>
      </c>
      <c r="F68" s="2" t="n">
        <f aca="false">COUNTIFS(Segmentation!$AK$2:$AK$301,TRUE(),Segmentation!$J$2:$J$301,"&lt;&gt;Tail")</f>
        <v>10</v>
      </c>
      <c r="G68" s="2" t="n">
        <f aca="false">COUNTIFS(Segmentation!$AK$2:$AK$301,TRUE(),Segmentation!$U$2:$U$301,TRUE())</f>
        <v>1</v>
      </c>
      <c r="H68" s="2"/>
      <c r="I68" s="2"/>
      <c r="J68" s="2"/>
      <c r="K68" s="2"/>
      <c r="L68" s="2"/>
      <c r="M68" s="2"/>
      <c r="N68" s="2"/>
      <c r="O68" s="2"/>
      <c r="P68" s="2"/>
      <c r="Q68" s="2"/>
      <c r="R68" s="2"/>
      <c r="S68" s="2"/>
      <c r="T68" s="2"/>
    </row>
    <row r="69" customFormat="false" ht="15" hidden="false" customHeight="false" outlineLevel="0" collapsed="false">
      <c r="A69" s="2" t="s">
        <v>1533</v>
      </c>
      <c r="B69" s="2" t="n">
        <f aca="false">COUNTIF(Segmentation!$AL$2:$AL$301,"Established Buyer Lapsed")</f>
        <v>14</v>
      </c>
      <c r="C69" s="9" t="n">
        <f aca="false">SUMIF(Segmentation!$AL$2:$AL$301,"Established Buyer Lapsed",Segmentation!$I$2:$I$301)</f>
        <v>23708</v>
      </c>
      <c r="D69" s="13" t="n">
        <f aca="false">C69/$B$11</f>
        <v>0.0280434965182203</v>
      </c>
      <c r="E69" s="2" t="n">
        <f aca="false">COUNTIFS(Segmentation!$AL$2:$AL$301,"Established Buyer Lapsed",Segmentation!$T$2:$T$301,"1. Migration Candidate")</f>
        <v>0</v>
      </c>
      <c r="F69" s="2" t="n">
        <f aca="false">COUNTIFS(Segmentation!$AL$2:$AL$301,"Established Buyer Lapsed",Segmentation!$J$2:$J$301,"&lt;&gt;Tail")</f>
        <v>2</v>
      </c>
      <c r="G69" s="2" t="n">
        <f aca="false">COUNTIFS(Segmentation!$AL$2:$AL$301,"Established Buyer Lapsed",Segmentation!$U$2:$U$301,TRUE())</f>
        <v>0</v>
      </c>
      <c r="H69" s="2"/>
      <c r="I69" s="2"/>
      <c r="J69" s="2"/>
      <c r="K69" s="2"/>
      <c r="L69" s="2"/>
      <c r="M69" s="2"/>
      <c r="N69" s="2"/>
      <c r="O69" s="2"/>
      <c r="P69" s="2"/>
      <c r="Q69" s="2"/>
      <c r="R69" s="2"/>
      <c r="S69" s="2"/>
      <c r="T69" s="2"/>
    </row>
    <row r="70" customFormat="false" ht="15" hidden="false" customHeight="false" outlineLevel="0" collapsed="false">
      <c r="A70" s="2" t="s">
        <v>1534</v>
      </c>
      <c r="B70" s="2" t="n">
        <f aca="false">COUNTIF(Segmentation!$AL$2:$AL$301,"One-Off / Insufficient History — Verify")</f>
        <v>135</v>
      </c>
      <c r="C70" s="9" t="n">
        <f aca="false">SUMIF(Segmentation!$AL$2:$AL$301,"One-Off / Insufficient History — Verify",Segmentation!$I$2:$I$301)</f>
        <v>144523</v>
      </c>
      <c r="D70" s="13" t="n">
        <f aca="false">C70/$B$11</f>
        <v>0.170952009756317</v>
      </c>
      <c r="E70" s="2" t="n">
        <f aca="false">COUNTIFS(Segmentation!$AL$2:$AL$301,"One-Off / Insufficient History — Verify",Segmentation!$T$2:$T$301,"1. Migration Candidate")</f>
        <v>0</v>
      </c>
      <c r="F70" s="2" t="n">
        <f aca="false">COUNTIFS(Segmentation!$AL$2:$AL$301,"One-Off / Insufficient History — Verify",Segmentation!$J$2:$J$301,"&lt;&gt;Tail")</f>
        <v>9</v>
      </c>
      <c r="G70" s="2" t="n">
        <f aca="false">COUNTIFS(Segmentation!$AL$2:$AL$301,"One-Off / Insufficient History — Verify",Segmentation!$U$2:$U$301,TRUE())</f>
        <v>0</v>
      </c>
      <c r="H70" s="2"/>
      <c r="I70" s="2"/>
      <c r="J70" s="2"/>
      <c r="K70" s="2"/>
      <c r="L70" s="2"/>
      <c r="M70" s="2"/>
      <c r="N70" s="2"/>
      <c r="O70" s="2"/>
      <c r="P70" s="2"/>
      <c r="Q70" s="2"/>
      <c r="R70" s="2"/>
      <c r="S70" s="2"/>
      <c r="T70" s="2"/>
    </row>
    <row r="71" customFormat="false" ht="15" hidden="false" customHeight="false" outlineLevel="0" collapsed="false">
      <c r="A71" s="2" t="s">
        <v>1535</v>
      </c>
      <c r="B71" s="2" t="n">
        <f aca="false">COUNTIF(Segmentation!$AQ$2:$AQ$301,TRUE())</f>
        <v>18</v>
      </c>
      <c r="C71" s="9" t="n">
        <f aca="false">SUMIF(Segmentation!$AQ$2:$AQ$301,TRUE(),Segmentation!$I$2:$I$301)</f>
        <v>137086</v>
      </c>
      <c r="D71" s="13" t="n">
        <f aca="false">C71/$B$11</f>
        <v>0.162155000999526</v>
      </c>
      <c r="E71" s="2" t="n">
        <f aca="false">COUNTIFS(Segmentation!$AQ$2:$AQ$301,TRUE(),Segmentation!$T$2:$T$301,"1. Migration Candidate")</f>
        <v>5</v>
      </c>
      <c r="F71" s="2" t="n">
        <f aca="false">COUNTIFS(Segmentation!$AQ$2:$AQ$301,TRUE(),Segmentation!$J$2:$J$301,"&lt;&gt;Tail")</f>
        <v>11</v>
      </c>
      <c r="G71" s="2" t="n">
        <f aca="false">COUNTIFS(Segmentation!$AQ$2:$AQ$301,TRUE(),Segmentation!$U$2:$U$301,TRUE())</f>
        <v>2</v>
      </c>
      <c r="H71" s="2"/>
      <c r="I71" s="2"/>
      <c r="J71" s="2"/>
      <c r="K71" s="2"/>
      <c r="L71" s="2"/>
      <c r="M71" s="2"/>
      <c r="N71" s="2"/>
      <c r="O71" s="2"/>
      <c r="P71" s="2"/>
      <c r="Q71" s="2"/>
      <c r="R71" s="2"/>
      <c r="S71" s="2"/>
      <c r="T71" s="2"/>
    </row>
    <row r="72" customFormat="false" ht="15" hidden="false" customHeight="false" outlineLevel="0" collapsed="false">
      <c r="A72" s="2" t="s">
        <v>1536</v>
      </c>
      <c r="B72" s="2" t="n">
        <f aca="false">COUNTIF(Segmentation!$AT$2:$AT$301,TRUE())</f>
        <v>2</v>
      </c>
      <c r="C72" s="9" t="n">
        <f aca="false">SUMIF(Segmentation!$AT$2:$AT$301,TRUE(),Segmentation!$I$2:$I$301)</f>
        <v>1958</v>
      </c>
      <c r="D72" s="13" t="n">
        <f aca="false">C72/$B$11</f>
        <v>0.00231606066233657</v>
      </c>
      <c r="E72" s="2" t="n">
        <f aca="false">COUNTIFS(Segmentation!$AT$2:$AT$301,TRUE(),Segmentation!$T$2:$T$301,"1. Migration Candidate")</f>
        <v>0</v>
      </c>
      <c r="F72" s="2" t="n">
        <f aca="false">COUNTIFS(Segmentation!$AT$2:$AT$301,TRUE(),Segmentation!$J$2:$J$301,"&lt;&gt;Tail")</f>
        <v>0</v>
      </c>
      <c r="G72" s="2" t="n">
        <f aca="false">COUNTIFS(Segmentation!$AT$2:$AT$301,TRUE(),Segmentation!$U$2:$U$301,TRUE())</f>
        <v>0</v>
      </c>
      <c r="H72" s="2"/>
      <c r="I72" s="2"/>
      <c r="J72" s="2"/>
      <c r="K72" s="2"/>
      <c r="L72" s="2"/>
      <c r="M72" s="2"/>
      <c r="N72" s="2"/>
      <c r="O72" s="2"/>
      <c r="P72" s="2"/>
      <c r="Q72" s="2"/>
      <c r="R72" s="2"/>
      <c r="S72" s="2"/>
      <c r="T72" s="2"/>
    </row>
    <row r="73" customFormat="false" ht="15" hidden="false" customHeight="false" outlineLevel="0" collapsed="false">
      <c r="A73" s="2"/>
      <c r="B73" s="2"/>
      <c r="C73" s="2"/>
      <c r="D73" s="2"/>
      <c r="E73" s="2"/>
      <c r="F73" s="2"/>
      <c r="G73" s="2"/>
      <c r="H73" s="2"/>
      <c r="I73" s="2"/>
      <c r="J73" s="2"/>
      <c r="K73" s="2"/>
      <c r="L73" s="2"/>
      <c r="M73" s="2"/>
      <c r="N73" s="2"/>
      <c r="O73" s="2"/>
      <c r="P73" s="2"/>
      <c r="Q73" s="2"/>
      <c r="R73" s="2"/>
      <c r="S73" s="2"/>
      <c r="T73" s="2"/>
    </row>
    <row r="74" customFormat="false" ht="15" hidden="false" customHeight="false" outlineLevel="0" collapsed="false">
      <c r="A74" s="3" t="s">
        <v>1537</v>
      </c>
      <c r="B74" s="2"/>
      <c r="C74" s="2"/>
      <c r="D74" s="2"/>
      <c r="E74" s="2"/>
      <c r="F74" s="2"/>
      <c r="G74" s="2"/>
      <c r="H74" s="2"/>
      <c r="I74" s="2"/>
      <c r="J74" s="2"/>
      <c r="K74" s="2"/>
      <c r="L74" s="2"/>
      <c r="M74" s="2"/>
      <c r="N74" s="2"/>
      <c r="O74" s="2"/>
      <c r="P74" s="2"/>
      <c r="Q74" s="2"/>
      <c r="R74" s="2"/>
      <c r="S74" s="2"/>
      <c r="T74" s="2"/>
    </row>
    <row r="75" customFormat="false" ht="15" hidden="false" customHeight="false" outlineLevel="0" collapsed="false">
      <c r="A75" s="12" t="s">
        <v>1538</v>
      </c>
      <c r="B75" s="12" t="s">
        <v>1319</v>
      </c>
      <c r="C75" s="12" t="s">
        <v>1320</v>
      </c>
      <c r="D75" s="12" t="s">
        <v>1321</v>
      </c>
      <c r="E75" s="3"/>
      <c r="F75" s="3"/>
      <c r="G75" s="3"/>
      <c r="H75" s="3"/>
      <c r="I75" s="3"/>
      <c r="J75" s="3"/>
      <c r="K75" s="3"/>
      <c r="L75" s="3"/>
      <c r="M75" s="3"/>
      <c r="N75" s="3"/>
      <c r="O75" s="3"/>
      <c r="P75" s="3"/>
      <c r="Q75" s="3"/>
      <c r="R75" s="3"/>
      <c r="S75" s="3"/>
      <c r="T75" s="3"/>
    </row>
    <row r="76" customFormat="false" ht="15" hidden="false" customHeight="false" outlineLevel="0" collapsed="false">
      <c r="A76" s="2" t="s">
        <v>387</v>
      </c>
      <c r="B76" s="2" t="n">
        <f aca="false">COUNTIFS(Segmentation!$AU$2:$AU$301,A76,Segmentation!$T$2:$T$301,"1. Migration Candidate")</f>
        <v>4</v>
      </c>
      <c r="C76" s="9" t="n">
        <f aca="false">SUMIFS(Segmentation!$I$2:$I$301,Segmentation!$AU$2:$AU$301,A76,Segmentation!$T$2:$T$301,"1. Migration Candidate")</f>
        <v>21181</v>
      </c>
      <c r="D76" s="13" t="n">
        <f aca="false">C76/$B$11</f>
        <v>0.0250543824764816</v>
      </c>
      <c r="E76" s="2"/>
      <c r="F76" s="2"/>
      <c r="G76" s="2"/>
      <c r="H76" s="2"/>
      <c r="I76" s="2"/>
      <c r="J76" s="2"/>
      <c r="K76" s="2"/>
      <c r="L76" s="2"/>
      <c r="M76" s="2"/>
      <c r="N76" s="2"/>
      <c r="O76" s="2"/>
      <c r="P76" s="2"/>
      <c r="Q76" s="2"/>
      <c r="R76" s="2"/>
      <c r="S76" s="2"/>
      <c r="T76" s="2"/>
    </row>
    <row r="77" customFormat="false" ht="15" hidden="false" customHeight="false" outlineLevel="0" collapsed="false">
      <c r="A77" s="2" t="s">
        <v>397</v>
      </c>
      <c r="B77" s="2" t="n">
        <f aca="false">COUNTIFS(Segmentation!$AU$2:$AU$301,A77,Segmentation!$T$2:$T$301,"1. Migration Candidate")</f>
        <v>6</v>
      </c>
      <c r="C77" s="9" t="n">
        <f aca="false">SUMIFS(Segmentation!$I$2:$I$301,Segmentation!$AU$2:$AU$301,A77,Segmentation!$T$2:$T$301,"1. Migration Candidate")</f>
        <v>24127</v>
      </c>
      <c r="D77" s="13" t="n">
        <f aca="false">C77/$B$11</f>
        <v>0.028539119305513</v>
      </c>
      <c r="E77" s="2"/>
      <c r="F77" s="2"/>
      <c r="G77" s="2"/>
      <c r="H77" s="2"/>
      <c r="I77" s="2"/>
      <c r="J77" s="2"/>
      <c r="K77" s="2"/>
      <c r="L77" s="2"/>
      <c r="M77" s="2"/>
      <c r="N77" s="2"/>
      <c r="O77" s="2"/>
      <c r="P77" s="2"/>
      <c r="Q77" s="2"/>
      <c r="R77" s="2"/>
      <c r="S77" s="2"/>
      <c r="T77" s="2"/>
    </row>
    <row r="78" customFormat="false" ht="15" hidden="false" customHeight="false" outlineLevel="0" collapsed="false">
      <c r="A78" s="2" t="s">
        <v>133</v>
      </c>
      <c r="B78" s="2" t="n">
        <f aca="false">COUNTIFS(Segmentation!$AU$2:$AU$301,A78,Segmentation!$T$2:$T$301,"1. Migration Candidate")</f>
        <v>12</v>
      </c>
      <c r="C78" s="9" t="n">
        <f aca="false">SUMIFS(Segmentation!$I$2:$I$301,Segmentation!$AU$2:$AU$301,A78,Segmentation!$T$2:$T$301,"1. Migration Candidate")</f>
        <v>326956</v>
      </c>
      <c r="D78" s="13" t="n">
        <f aca="false">C78/$B$11</f>
        <v>0.386746644491786</v>
      </c>
      <c r="E78" s="2"/>
      <c r="F78" s="2"/>
      <c r="G78" s="2"/>
      <c r="H78" s="2"/>
      <c r="I78" s="2"/>
      <c r="J78" s="2"/>
      <c r="K78" s="2"/>
      <c r="L78" s="2"/>
      <c r="M78" s="2"/>
      <c r="N78" s="2"/>
      <c r="O78" s="2"/>
      <c r="P78" s="2"/>
      <c r="Q78" s="2"/>
      <c r="R78" s="2"/>
      <c r="S78" s="2"/>
      <c r="T78" s="2"/>
    </row>
    <row r="79" customFormat="false" ht="15" hidden="false" customHeight="false" outlineLevel="0" collapsed="false">
      <c r="A79" s="3" t="s">
        <v>1539</v>
      </c>
      <c r="B79" s="2" t="n">
        <f aca="false">SUM(B76:B78)</f>
        <v>22</v>
      </c>
      <c r="C79" s="9" t="n">
        <f aca="false">SUM(C76:C78)</f>
        <v>372264</v>
      </c>
      <c r="D79" s="2"/>
      <c r="E79" s="2"/>
      <c r="F79" s="2"/>
      <c r="G79" s="2"/>
      <c r="H79" s="2"/>
      <c r="I79" s="2"/>
      <c r="J79" s="2"/>
      <c r="K79" s="2"/>
      <c r="L79" s="2"/>
      <c r="M79" s="2"/>
      <c r="N79" s="2"/>
      <c r="O79" s="2"/>
      <c r="P79" s="2"/>
      <c r="Q79" s="2"/>
      <c r="R79" s="2"/>
      <c r="S79" s="2"/>
      <c r="T79" s="2"/>
    </row>
    <row r="80" customFormat="false" ht="15" hidden="false" customHeight="false" outlineLevel="0" collapsed="false">
      <c r="A80" s="2"/>
      <c r="B80" s="2"/>
      <c r="C80" s="2"/>
      <c r="D80" s="2"/>
      <c r="E80" s="2"/>
      <c r="F80" s="2"/>
      <c r="G80" s="2"/>
      <c r="H80" s="2"/>
      <c r="I80" s="2"/>
      <c r="J80" s="2"/>
      <c r="K80" s="2"/>
      <c r="L80" s="2"/>
      <c r="M80" s="2"/>
      <c r="N80" s="2"/>
      <c r="O80" s="2"/>
      <c r="P80" s="2"/>
      <c r="Q80" s="2"/>
      <c r="R80" s="2"/>
      <c r="S80" s="2"/>
      <c r="T80" s="2"/>
    </row>
    <row r="81" customFormat="false" ht="15" hidden="false" customHeight="false" outlineLevel="0" collapsed="false">
      <c r="A81" s="3" t="s">
        <v>1540</v>
      </c>
      <c r="B81" s="2"/>
      <c r="C81" s="2"/>
      <c r="D81" s="2"/>
      <c r="E81" s="2"/>
      <c r="F81" s="2"/>
      <c r="G81" s="2"/>
      <c r="H81" s="2"/>
      <c r="I81" s="2"/>
      <c r="J81" s="2"/>
      <c r="K81" s="2"/>
      <c r="L81" s="2"/>
      <c r="M81" s="2"/>
      <c r="N81" s="2"/>
      <c r="O81" s="2"/>
      <c r="P81" s="2"/>
      <c r="Q81" s="2"/>
      <c r="R81" s="2"/>
      <c r="S81" s="2"/>
      <c r="T81" s="2"/>
    </row>
    <row r="82" customFormat="false" ht="45" hidden="false" customHeight="true" outlineLevel="0" collapsed="false">
      <c r="A82" s="12" t="s">
        <v>1503</v>
      </c>
      <c r="B82" s="14" t="s">
        <v>440</v>
      </c>
      <c r="C82" s="14" t="s">
        <v>354</v>
      </c>
      <c r="D82" s="14" t="s">
        <v>1346</v>
      </c>
      <c r="E82" s="14" t="s">
        <v>1531</v>
      </c>
      <c r="F82" s="14" t="s">
        <v>1532</v>
      </c>
      <c r="G82" s="14" t="s">
        <v>1541</v>
      </c>
      <c r="H82" s="14" t="s">
        <v>1542</v>
      </c>
      <c r="I82" s="14" t="s">
        <v>1535</v>
      </c>
      <c r="J82" s="14" t="s">
        <v>1375</v>
      </c>
      <c r="K82" s="14" t="s">
        <v>1344</v>
      </c>
      <c r="L82" s="14" t="s">
        <v>1345</v>
      </c>
      <c r="M82" s="3"/>
      <c r="N82" s="3"/>
      <c r="O82" s="3"/>
      <c r="P82" s="3"/>
      <c r="Q82" s="3"/>
      <c r="R82" s="3"/>
      <c r="S82" s="3"/>
      <c r="T82" s="3"/>
    </row>
    <row r="83" customFormat="false" ht="15" hidden="false" customHeight="false" outlineLevel="0" collapsed="false">
      <c r="A83" s="2" t="s">
        <v>310</v>
      </c>
      <c r="B83" s="2" t="n">
        <f aca="false">COUNTIFS(Segmentation!$T$2:$T$301,$A83,Segmentation!$AF$2:$AF$301,"New Customer")</f>
        <v>0</v>
      </c>
      <c r="C83" s="2" t="n">
        <f aca="false">COUNTIFS(Segmentation!$T$2:$T$301,$A83,Segmentation!$AF$2:$AF$301,"Returned Customer")</f>
        <v>0</v>
      </c>
      <c r="D83" s="2" t="n">
        <f aca="false">COUNTIFS(Segmentation!$T$2:$T$301,$A83,Segmentation!$AG$2:$AG$301,TRUE())</f>
        <v>7</v>
      </c>
      <c r="E83" s="2" t="n">
        <f aca="false">COUNTIFS(Segmentation!$T$2:$T$301,$A83,Segmentation!$AH$2:$AH$301,TRUE())</f>
        <v>6</v>
      </c>
      <c r="F83" s="2" t="n">
        <f aca="false">COUNTIFS(Segmentation!$T$2:$T$301,$A83,Segmentation!$AK$2:$AK$301,TRUE())</f>
        <v>4</v>
      </c>
      <c r="G83" s="2" t="n">
        <f aca="false">COUNTIFS(Segmentation!$T$2:$T$301,$A83,Segmentation!$AL$2:$AL$301,"Established Buyer Lapsed")</f>
        <v>0</v>
      </c>
      <c r="H83" s="2" t="n">
        <f aca="false">COUNTIFS(Segmentation!$T$2:$T$301,$A83,Segmentation!$AL$2:$AL$301,"One-Off / Insufficient History — Verify")</f>
        <v>0</v>
      </c>
      <c r="I83" s="2" t="n">
        <f aca="false">COUNTIFS(Segmentation!$T$2:$T$301,$A83,Segmentation!$AQ$2:$AQ$301,TRUE())</f>
        <v>5</v>
      </c>
      <c r="J83" s="2" t="n">
        <f aca="false">COUNTIFS(Segmentation!$T$2:$T$301,$A83,Segmentation!$AT$2:$AT$301,TRUE())</f>
        <v>0</v>
      </c>
      <c r="K83" s="2" t="n">
        <f aca="false">COUNTIFS(Segmentation!$T$2:$T$301,$A83,Segmentation!$AU$2:$AU$301,"Ready")</f>
        <v>4</v>
      </c>
      <c r="L83" s="2" t="n">
        <f aca="false">COUNTIFS(Segmentation!$T$2:$T$301,$A83,Segmentation!$AU$2:$AU$301,"Manual Review")</f>
        <v>6</v>
      </c>
      <c r="M83" s="2"/>
      <c r="N83" s="2"/>
      <c r="O83" s="2"/>
      <c r="P83" s="2"/>
      <c r="Q83" s="2"/>
      <c r="R83" s="2"/>
      <c r="S83" s="2"/>
      <c r="T83" s="2"/>
    </row>
    <row r="84" customFormat="false" ht="15" hidden="false" customHeight="false" outlineLevel="0" collapsed="false">
      <c r="A84" s="2" t="s">
        <v>116</v>
      </c>
      <c r="B84" s="2" t="n">
        <f aca="false">COUNTIFS(Segmentation!$T$2:$T$301,$A84,Segmentation!$AF$2:$AF$301,"New Customer")</f>
        <v>0</v>
      </c>
      <c r="C84" s="2" t="n">
        <f aca="false">COUNTIFS(Segmentation!$T$2:$T$301,$A84,Segmentation!$AF$2:$AF$301,"Returned Customer")</f>
        <v>0</v>
      </c>
      <c r="D84" s="2" t="n">
        <f aca="false">COUNTIFS(Segmentation!$T$2:$T$301,$A84,Segmentation!$AG$2:$AG$301,TRUE())</f>
        <v>0</v>
      </c>
      <c r="E84" s="2" t="n">
        <f aca="false">COUNTIFS(Segmentation!$T$2:$T$301,$A84,Segmentation!$AH$2:$AH$301,TRUE())</f>
        <v>1</v>
      </c>
      <c r="F84" s="2" t="n">
        <f aca="false">COUNTIFS(Segmentation!$T$2:$T$301,$A84,Segmentation!$AK$2:$AK$301,TRUE())</f>
        <v>6</v>
      </c>
      <c r="G84" s="2" t="n">
        <f aca="false">COUNTIFS(Segmentation!$T$2:$T$301,$A84,Segmentation!$AL$2:$AL$301,"Established Buyer Lapsed")</f>
        <v>0</v>
      </c>
      <c r="H84" s="2" t="n">
        <f aca="false">COUNTIFS(Segmentation!$T$2:$T$301,$A84,Segmentation!$AL$2:$AL$301,"One-Off / Insufficient History — Verify")</f>
        <v>0</v>
      </c>
      <c r="I84" s="2" t="n">
        <f aca="false">COUNTIFS(Segmentation!$T$2:$T$301,$A84,Segmentation!$AQ$2:$AQ$301,TRUE())</f>
        <v>2</v>
      </c>
      <c r="J84" s="2" t="n">
        <f aca="false">COUNTIFS(Segmentation!$T$2:$T$301,$A84,Segmentation!$AT$2:$AT$301,TRUE())</f>
        <v>0</v>
      </c>
      <c r="K84" s="2" t="n">
        <f aca="false">COUNTIFS(Segmentation!$T$2:$T$301,$A84,Segmentation!$AU$2:$AU$301,"Ready")</f>
        <v>0</v>
      </c>
      <c r="L84" s="2" t="n">
        <f aca="false">COUNTIFS(Segmentation!$T$2:$T$301,$A84,Segmentation!$AU$2:$AU$301,"Manual Review")</f>
        <v>0</v>
      </c>
      <c r="M84" s="2"/>
      <c r="N84" s="2"/>
      <c r="O84" s="2"/>
      <c r="P84" s="2"/>
      <c r="Q84" s="2"/>
      <c r="R84" s="2"/>
      <c r="S84" s="2"/>
      <c r="T84" s="2"/>
    </row>
    <row r="85" customFormat="false" ht="15" hidden="false" customHeight="false" outlineLevel="0" collapsed="false">
      <c r="A85" s="2" t="s">
        <v>141</v>
      </c>
      <c r="B85" s="2" t="n">
        <f aca="false">COUNTIFS(Segmentation!$T$2:$T$301,$A85,Segmentation!$AF$2:$AF$301,"New Customer")</f>
        <v>0</v>
      </c>
      <c r="C85" s="2" t="n">
        <f aca="false">COUNTIFS(Segmentation!$T$2:$T$301,$A85,Segmentation!$AF$2:$AF$301,"Returned Customer")</f>
        <v>0</v>
      </c>
      <c r="D85" s="2" t="n">
        <f aca="false">COUNTIFS(Segmentation!$T$2:$T$301,$A85,Segmentation!$AG$2:$AG$301,TRUE())</f>
        <v>0</v>
      </c>
      <c r="E85" s="2" t="n">
        <f aca="false">COUNTIFS(Segmentation!$T$2:$T$301,$A85,Segmentation!$AH$2:$AH$301,TRUE())</f>
        <v>0</v>
      </c>
      <c r="F85" s="2" t="n">
        <f aca="false">COUNTIFS(Segmentation!$T$2:$T$301,$A85,Segmentation!$AK$2:$AK$301,TRUE())</f>
        <v>0</v>
      </c>
      <c r="G85" s="2" t="n">
        <f aca="false">COUNTIFS(Segmentation!$T$2:$T$301,$A85,Segmentation!$AL$2:$AL$301,"Established Buyer Lapsed")</f>
        <v>2</v>
      </c>
      <c r="H85" s="2" t="n">
        <f aca="false">COUNTIFS(Segmentation!$T$2:$T$301,$A85,Segmentation!$AL$2:$AL$301,"One-Off / Insufficient History — Verify")</f>
        <v>6</v>
      </c>
      <c r="I85" s="2" t="n">
        <f aca="false">COUNTIFS(Segmentation!$T$2:$T$301,$A85,Segmentation!$AQ$2:$AQ$301,TRUE())</f>
        <v>2</v>
      </c>
      <c r="J85" s="2" t="n">
        <f aca="false">COUNTIFS(Segmentation!$T$2:$T$301,$A85,Segmentation!$AT$2:$AT$301,TRUE())</f>
        <v>0</v>
      </c>
      <c r="K85" s="2" t="n">
        <f aca="false">COUNTIFS(Segmentation!$T$2:$T$301,$A85,Segmentation!$AU$2:$AU$301,"Ready")</f>
        <v>0</v>
      </c>
      <c r="L85" s="2" t="n">
        <f aca="false">COUNTIFS(Segmentation!$T$2:$T$301,$A85,Segmentation!$AU$2:$AU$301,"Manual Review")</f>
        <v>0</v>
      </c>
      <c r="M85" s="2"/>
      <c r="N85" s="2"/>
      <c r="O85" s="2"/>
      <c r="P85" s="2"/>
      <c r="Q85" s="2"/>
      <c r="R85" s="2"/>
      <c r="S85" s="2"/>
      <c r="T85" s="2"/>
    </row>
    <row r="86" customFormat="false" ht="15" hidden="false" customHeight="false" outlineLevel="0" collapsed="false">
      <c r="A86" s="2" t="s">
        <v>343</v>
      </c>
      <c r="B86" s="2" t="n">
        <f aca="false">COUNTIFS(Segmentation!$T$2:$T$301,$A86,Segmentation!$AF$2:$AF$301,"New Customer")</f>
        <v>0</v>
      </c>
      <c r="C86" s="2" t="n">
        <f aca="false">COUNTIFS(Segmentation!$T$2:$T$301,$A86,Segmentation!$AF$2:$AF$301,"Returned Customer")</f>
        <v>2</v>
      </c>
      <c r="D86" s="2" t="n">
        <f aca="false">COUNTIFS(Segmentation!$T$2:$T$301,$A86,Segmentation!$AG$2:$AG$301,TRUE())</f>
        <v>0</v>
      </c>
      <c r="E86" s="2" t="n">
        <f aca="false">COUNTIFS(Segmentation!$T$2:$T$301,$A86,Segmentation!$AH$2:$AH$301,TRUE())</f>
        <v>0</v>
      </c>
      <c r="F86" s="2" t="n">
        <f aca="false">COUNTIFS(Segmentation!$T$2:$T$301,$A86,Segmentation!$AK$2:$AK$301,TRUE())</f>
        <v>0</v>
      </c>
      <c r="G86" s="2" t="n">
        <f aca="false">COUNTIFS(Segmentation!$T$2:$T$301,$A86,Segmentation!$AL$2:$AL$301,"Established Buyer Lapsed")</f>
        <v>0</v>
      </c>
      <c r="H86" s="2" t="n">
        <f aca="false">COUNTIFS(Segmentation!$T$2:$T$301,$A86,Segmentation!$AL$2:$AL$301,"One-Off / Insufficient History — Verify")</f>
        <v>0</v>
      </c>
      <c r="I86" s="2" t="n">
        <f aca="false">COUNTIFS(Segmentation!$T$2:$T$301,$A86,Segmentation!$AQ$2:$AQ$301,TRUE())</f>
        <v>1</v>
      </c>
      <c r="J86" s="2" t="n">
        <f aca="false">COUNTIFS(Segmentation!$T$2:$T$301,$A86,Segmentation!$AT$2:$AT$301,TRUE())</f>
        <v>0</v>
      </c>
      <c r="K86" s="2" t="n">
        <f aca="false">COUNTIFS(Segmentation!$T$2:$T$301,$A86,Segmentation!$AU$2:$AU$301,"Ready")</f>
        <v>0</v>
      </c>
      <c r="L86" s="2" t="n">
        <f aca="false">COUNTIFS(Segmentation!$T$2:$T$301,$A86,Segmentation!$AU$2:$AU$301,"Manual Review")</f>
        <v>0</v>
      </c>
      <c r="M86" s="2"/>
      <c r="N86" s="2"/>
      <c r="O86" s="2"/>
      <c r="P86" s="2"/>
      <c r="Q86" s="2"/>
      <c r="R86" s="2"/>
      <c r="S86" s="2"/>
      <c r="T86" s="2"/>
    </row>
    <row r="87" customFormat="false" ht="15" hidden="false" customHeight="false" outlineLevel="0" collapsed="false">
      <c r="A87" s="2" t="s">
        <v>475</v>
      </c>
      <c r="B87" s="2" t="n">
        <f aca="false">COUNTIFS(Segmentation!$T$2:$T$301,$A87,Segmentation!$AF$2:$AF$301,"New Customer")</f>
        <v>0</v>
      </c>
      <c r="C87" s="2" t="n">
        <f aca="false">COUNTIFS(Segmentation!$T$2:$T$301,$A87,Segmentation!$AF$2:$AF$301,"Returned Customer")</f>
        <v>3</v>
      </c>
      <c r="D87" s="2" t="n">
        <f aca="false">COUNTIFS(Segmentation!$T$2:$T$301,$A87,Segmentation!$AG$2:$AG$301,TRUE())</f>
        <v>0</v>
      </c>
      <c r="E87" s="2" t="n">
        <f aca="false">COUNTIFS(Segmentation!$T$2:$T$301,$A87,Segmentation!$AH$2:$AH$301,TRUE())</f>
        <v>1</v>
      </c>
      <c r="F87" s="2" t="n">
        <f aca="false">COUNTIFS(Segmentation!$T$2:$T$301,$A87,Segmentation!$AK$2:$AK$301,TRUE())</f>
        <v>2</v>
      </c>
      <c r="G87" s="2" t="n">
        <f aca="false">COUNTIFS(Segmentation!$T$2:$T$301,$A87,Segmentation!$AL$2:$AL$301,"Established Buyer Lapsed")</f>
        <v>2</v>
      </c>
      <c r="H87" s="2" t="n">
        <f aca="false">COUNTIFS(Segmentation!$T$2:$T$301,$A87,Segmentation!$AL$2:$AL$301,"One-Off / Insufficient History — Verify")</f>
        <v>10</v>
      </c>
      <c r="I87" s="2" t="n">
        <f aca="false">COUNTIFS(Segmentation!$T$2:$T$301,$A87,Segmentation!$AQ$2:$AQ$301,TRUE())</f>
        <v>4</v>
      </c>
      <c r="J87" s="2" t="n">
        <f aca="false">COUNTIFS(Segmentation!$T$2:$T$301,$A87,Segmentation!$AT$2:$AT$301,TRUE())</f>
        <v>0</v>
      </c>
      <c r="K87" s="2" t="n">
        <f aca="false">COUNTIFS(Segmentation!$T$2:$T$301,$A87,Segmentation!$AU$2:$AU$301,"Ready")</f>
        <v>0</v>
      </c>
      <c r="L87" s="2" t="n">
        <f aca="false">COUNTIFS(Segmentation!$T$2:$T$301,$A87,Segmentation!$AU$2:$AU$301,"Manual Review")</f>
        <v>0</v>
      </c>
      <c r="M87" s="2"/>
      <c r="N87" s="2"/>
      <c r="O87" s="2"/>
      <c r="P87" s="2"/>
      <c r="Q87" s="2"/>
      <c r="R87" s="2"/>
      <c r="S87" s="2"/>
      <c r="T87" s="2"/>
    </row>
    <row r="88" customFormat="false" ht="15" hidden="false" customHeight="false" outlineLevel="0" collapsed="false">
      <c r="A88" s="2" t="s">
        <v>253</v>
      </c>
      <c r="B88" s="2" t="n">
        <f aca="false">COUNTIFS(Segmentation!$T$2:$T$301,$A88,Segmentation!$AF$2:$AF$301,"New Customer")</f>
        <v>0</v>
      </c>
      <c r="C88" s="2" t="n">
        <f aca="false">COUNTIFS(Segmentation!$T$2:$T$301,$A88,Segmentation!$AF$2:$AF$301,"Returned Customer")</f>
        <v>0</v>
      </c>
      <c r="D88" s="2" t="n">
        <f aca="false">COUNTIFS(Segmentation!$T$2:$T$301,$A88,Segmentation!$AG$2:$AG$301,TRUE())</f>
        <v>0</v>
      </c>
      <c r="E88" s="2" t="n">
        <f aca="false">COUNTIFS(Segmentation!$T$2:$T$301,$A88,Segmentation!$AH$2:$AH$301,TRUE())</f>
        <v>0</v>
      </c>
      <c r="F88" s="2" t="n">
        <f aca="false">COUNTIFS(Segmentation!$T$2:$T$301,$A88,Segmentation!$AK$2:$AK$301,TRUE())</f>
        <v>0</v>
      </c>
      <c r="G88" s="2" t="n">
        <f aca="false">COUNTIFS(Segmentation!$T$2:$T$301,$A88,Segmentation!$AL$2:$AL$301,"Established Buyer Lapsed")</f>
        <v>0</v>
      </c>
      <c r="H88" s="2" t="n">
        <f aca="false">COUNTIFS(Segmentation!$T$2:$T$301,$A88,Segmentation!$AL$2:$AL$301,"One-Off / Insufficient History — Verify")</f>
        <v>0</v>
      </c>
      <c r="I88" s="2" t="n">
        <f aca="false">COUNTIFS(Segmentation!$T$2:$T$301,$A88,Segmentation!$AQ$2:$AQ$301,TRUE())</f>
        <v>0</v>
      </c>
      <c r="J88" s="2" t="n">
        <f aca="false">COUNTIFS(Segmentation!$T$2:$T$301,$A88,Segmentation!$AT$2:$AT$301,TRUE())</f>
        <v>0</v>
      </c>
      <c r="K88" s="2" t="n">
        <f aca="false">COUNTIFS(Segmentation!$T$2:$T$301,$A88,Segmentation!$AU$2:$AU$301,"Ready")</f>
        <v>0</v>
      </c>
      <c r="L88" s="2" t="n">
        <f aca="false">COUNTIFS(Segmentation!$T$2:$T$301,$A88,Segmentation!$AU$2:$AU$301,"Manual Review")</f>
        <v>0</v>
      </c>
      <c r="M88" s="2"/>
      <c r="N88" s="2"/>
      <c r="O88" s="2"/>
      <c r="P88" s="2"/>
      <c r="Q88" s="2"/>
      <c r="R88" s="2"/>
      <c r="S88" s="2"/>
      <c r="T88" s="2"/>
    </row>
    <row r="89" customFormat="false" ht="15" hidden="false" customHeight="false" outlineLevel="0" collapsed="false">
      <c r="A89" s="2" t="s">
        <v>431</v>
      </c>
      <c r="B89" s="2" t="n">
        <f aca="false">COUNTIFS(Segmentation!$T$2:$T$301,$A89,Segmentation!$AF$2:$AF$301,"New Customer")</f>
        <v>1</v>
      </c>
      <c r="C89" s="2" t="n">
        <f aca="false">COUNTIFS(Segmentation!$T$2:$T$301,$A89,Segmentation!$AF$2:$AF$301,"Returned Customer")</f>
        <v>1</v>
      </c>
      <c r="D89" s="2" t="n">
        <f aca="false">COUNTIFS(Segmentation!$T$2:$T$301,$A89,Segmentation!$AG$2:$AG$301,TRUE())</f>
        <v>0</v>
      </c>
      <c r="E89" s="2" t="n">
        <f aca="false">COUNTIFS(Segmentation!$T$2:$T$301,$A89,Segmentation!$AH$2:$AH$301,TRUE())</f>
        <v>0</v>
      </c>
      <c r="F89" s="2" t="n">
        <f aca="false">COUNTIFS(Segmentation!$T$2:$T$301,$A89,Segmentation!$AK$2:$AK$301,TRUE())</f>
        <v>0</v>
      </c>
      <c r="G89" s="2" t="n">
        <f aca="false">COUNTIFS(Segmentation!$T$2:$T$301,$A89,Segmentation!$AL$2:$AL$301,"Established Buyer Lapsed")</f>
        <v>0</v>
      </c>
      <c r="H89" s="2" t="n">
        <f aca="false">COUNTIFS(Segmentation!$T$2:$T$301,$A89,Segmentation!$AL$2:$AL$301,"One-Off / Insufficient History — Verify")</f>
        <v>0</v>
      </c>
      <c r="I89" s="2" t="n">
        <f aca="false">COUNTIFS(Segmentation!$T$2:$T$301,$A89,Segmentation!$AQ$2:$AQ$301,TRUE())</f>
        <v>1</v>
      </c>
      <c r="J89" s="2" t="n">
        <f aca="false">COUNTIFS(Segmentation!$T$2:$T$301,$A89,Segmentation!$AT$2:$AT$301,TRUE())</f>
        <v>0</v>
      </c>
      <c r="K89" s="2" t="n">
        <f aca="false">COUNTIFS(Segmentation!$T$2:$T$301,$A89,Segmentation!$AU$2:$AU$301,"Ready")</f>
        <v>0</v>
      </c>
      <c r="L89" s="2" t="n">
        <f aca="false">COUNTIFS(Segmentation!$T$2:$T$301,$A89,Segmentation!$AU$2:$AU$301,"Manual Review")</f>
        <v>0</v>
      </c>
      <c r="M89" s="2"/>
      <c r="N89" s="2"/>
      <c r="O89" s="2"/>
      <c r="P89" s="2"/>
      <c r="Q89" s="2"/>
      <c r="R89" s="2"/>
      <c r="S89" s="2"/>
      <c r="T89" s="2"/>
    </row>
    <row r="90" customFormat="false" ht="15" hidden="false" customHeight="false" outlineLevel="0" collapsed="false">
      <c r="A90" s="2" t="s">
        <v>179</v>
      </c>
      <c r="B90" s="2" t="n">
        <f aca="false">COUNTIFS(Segmentation!$T$2:$T$301,$A90,Segmentation!$AF$2:$AF$301,"New Customer")</f>
        <v>0</v>
      </c>
      <c r="C90" s="2" t="n">
        <f aca="false">COUNTIFS(Segmentation!$T$2:$T$301,$A90,Segmentation!$AF$2:$AF$301,"Returned Customer")</f>
        <v>0</v>
      </c>
      <c r="D90" s="2" t="n">
        <f aca="false">COUNTIFS(Segmentation!$T$2:$T$301,$A90,Segmentation!$AG$2:$AG$301,TRUE())</f>
        <v>0</v>
      </c>
      <c r="E90" s="2" t="n">
        <f aca="false">COUNTIFS(Segmentation!$T$2:$T$301,$A90,Segmentation!$AH$2:$AH$301,TRUE())</f>
        <v>0</v>
      </c>
      <c r="F90" s="2" t="n">
        <f aca="false">COUNTIFS(Segmentation!$T$2:$T$301,$A90,Segmentation!$AK$2:$AK$301,TRUE())</f>
        <v>0</v>
      </c>
      <c r="G90" s="2" t="n">
        <f aca="false">COUNTIFS(Segmentation!$T$2:$T$301,$A90,Segmentation!$AL$2:$AL$301,"Established Buyer Lapsed")</f>
        <v>0</v>
      </c>
      <c r="H90" s="2" t="n">
        <f aca="false">COUNTIFS(Segmentation!$T$2:$T$301,$A90,Segmentation!$AL$2:$AL$301,"One-Off / Insufficient History — Verify")</f>
        <v>3</v>
      </c>
      <c r="I90" s="2" t="n">
        <f aca="false">COUNTIFS(Segmentation!$T$2:$T$301,$A90,Segmentation!$AQ$2:$AQ$301,TRUE())</f>
        <v>0</v>
      </c>
      <c r="J90" s="2" t="n">
        <f aca="false">COUNTIFS(Segmentation!$T$2:$T$301,$A90,Segmentation!$AT$2:$AT$301,TRUE())</f>
        <v>0</v>
      </c>
      <c r="K90" s="2" t="n">
        <f aca="false">COUNTIFS(Segmentation!$T$2:$T$301,$A90,Segmentation!$AU$2:$AU$301,"Ready")</f>
        <v>0</v>
      </c>
      <c r="L90" s="2" t="n">
        <f aca="false">COUNTIFS(Segmentation!$T$2:$T$301,$A90,Segmentation!$AU$2:$AU$301,"Manual Review")</f>
        <v>0</v>
      </c>
      <c r="M90" s="2"/>
      <c r="N90" s="2"/>
      <c r="O90" s="2"/>
      <c r="P90" s="2"/>
      <c r="Q90" s="2"/>
      <c r="R90" s="2"/>
      <c r="S90" s="2"/>
      <c r="T90" s="2"/>
    </row>
    <row r="91" customFormat="false" ht="15" hidden="false" customHeight="false" outlineLevel="0" collapsed="false">
      <c r="A91" s="2" t="s">
        <v>491</v>
      </c>
      <c r="B91" s="2" t="n">
        <f aca="false">COUNTIFS(Segmentation!$T$2:$T$301,$A91,Segmentation!$AF$2:$AF$301,"New Customer")</f>
        <v>48</v>
      </c>
      <c r="C91" s="2" t="n">
        <f aca="false">COUNTIFS(Segmentation!$T$2:$T$301,$A91,Segmentation!$AF$2:$AF$301,"Returned Customer")</f>
        <v>18</v>
      </c>
      <c r="D91" s="2" t="n">
        <f aca="false">COUNTIFS(Segmentation!$T$2:$T$301,$A91,Segmentation!$AG$2:$AG$301,TRUE())</f>
        <v>0</v>
      </c>
      <c r="E91" s="2" t="n">
        <f aca="false">COUNTIFS(Segmentation!$T$2:$T$301,$A91,Segmentation!$AH$2:$AH$301,TRUE())</f>
        <v>1</v>
      </c>
      <c r="F91" s="2" t="n">
        <f aca="false">COUNTIFS(Segmentation!$T$2:$T$301,$A91,Segmentation!$AK$2:$AK$301,TRUE())</f>
        <v>24</v>
      </c>
      <c r="G91" s="2" t="n">
        <f aca="false">COUNTIFS(Segmentation!$T$2:$T$301,$A91,Segmentation!$AL$2:$AL$301,"Established Buyer Lapsed")</f>
        <v>10</v>
      </c>
      <c r="H91" s="2" t="n">
        <f aca="false">COUNTIFS(Segmentation!$T$2:$T$301,$A91,Segmentation!$AL$2:$AL$301,"One-Off / Insufficient History — Verify")</f>
        <v>116</v>
      </c>
      <c r="I91" s="2" t="n">
        <f aca="false">COUNTIFS(Segmentation!$T$2:$T$301,$A91,Segmentation!$AQ$2:$AQ$301,TRUE())</f>
        <v>3</v>
      </c>
      <c r="J91" s="2" t="n">
        <f aca="false">COUNTIFS(Segmentation!$T$2:$T$301,$A91,Segmentation!$AT$2:$AT$301,TRUE())</f>
        <v>2</v>
      </c>
      <c r="K91" s="2" t="n">
        <f aca="false">COUNTIFS(Segmentation!$T$2:$T$301,$A91,Segmentation!$AU$2:$AU$301,"Ready")</f>
        <v>0</v>
      </c>
      <c r="L91" s="2" t="n">
        <f aca="false">COUNTIFS(Segmentation!$T$2:$T$301,$A91,Segmentation!$AU$2:$AU$301,"Manual Review")</f>
        <v>0</v>
      </c>
      <c r="M91" s="2"/>
      <c r="N91" s="2"/>
      <c r="O91" s="2"/>
      <c r="P91" s="2"/>
      <c r="Q91" s="2"/>
      <c r="R91" s="2"/>
      <c r="S91" s="2"/>
      <c r="T91" s="2"/>
    </row>
    <row r="92" customFormat="false" ht="15" hidden="false" customHeight="false" outlineLevel="0" collapsed="false">
      <c r="A92" s="3" t="s">
        <v>1331</v>
      </c>
      <c r="B92" s="2" t="n">
        <f aca="false">SUM(B83:B91)</f>
        <v>49</v>
      </c>
      <c r="C92" s="2" t="n">
        <f aca="false">SUM(C83:C91)</f>
        <v>24</v>
      </c>
      <c r="D92" s="2" t="n">
        <f aca="false">SUM(D83:D91)</f>
        <v>7</v>
      </c>
      <c r="E92" s="2" t="n">
        <f aca="false">SUM(E83:E91)</f>
        <v>9</v>
      </c>
      <c r="F92" s="2" t="n">
        <f aca="false">SUM(F83:F91)</f>
        <v>36</v>
      </c>
      <c r="G92" s="2" t="n">
        <f aca="false">SUM(G83:G91)</f>
        <v>14</v>
      </c>
      <c r="H92" s="2" t="n">
        <f aca="false">SUM(H83:H91)</f>
        <v>135</v>
      </c>
      <c r="I92" s="2" t="n">
        <f aca="false">SUM(I83:I91)</f>
        <v>18</v>
      </c>
      <c r="J92" s="2" t="n">
        <f aca="false">SUM(J83:J91)</f>
        <v>2</v>
      </c>
      <c r="K92" s="2" t="n">
        <f aca="false">SUM(K83:K91)</f>
        <v>4</v>
      </c>
      <c r="L92" s="2" t="n">
        <f aca="false">SUM(L83:L91)</f>
        <v>6</v>
      </c>
      <c r="M92" s="2"/>
      <c r="N92" s="2"/>
      <c r="O92" s="2"/>
      <c r="P92" s="2"/>
      <c r="Q92" s="2"/>
      <c r="R92" s="2"/>
      <c r="S92" s="2"/>
      <c r="T92"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W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7" min="1" style="0" width="13"/>
    <col collapsed="false" customWidth="true" hidden="false" outlineLevel="0" max="8" min="8" style="0" width="22"/>
    <col collapsed="false" customWidth="true" hidden="false" outlineLevel="0" max="19" min="9" style="0" width="13"/>
    <col collapsed="false" customWidth="true" hidden="false" outlineLevel="0" max="20" min="20" style="0" width="28"/>
    <col collapsed="false" customWidth="true" hidden="false" outlineLevel="0" max="30" min="21" style="0" width="13"/>
    <col collapsed="false" customWidth="true" hidden="false" outlineLevel="0" max="31" min="31" style="0" width="60"/>
    <col collapsed="false" customWidth="true" hidden="false" outlineLevel="0" max="32" min="32" style="0" width="16"/>
    <col collapsed="false" customWidth="true" hidden="false" outlineLevel="0" max="37" min="33" style="0" width="14"/>
    <col collapsed="false" customWidth="true" hidden="false" outlineLevel="0" max="38" min="38" style="0" width="24"/>
    <col collapsed="false" customWidth="true" hidden="false" outlineLevel="0" max="43" min="39" style="0" width="14"/>
    <col collapsed="false" customWidth="true" hidden="false" outlineLevel="0" max="44" min="44" style="0" width="22"/>
    <col collapsed="false" customWidth="true" hidden="false" outlineLevel="0" max="45" min="45" style="0" width="28"/>
    <col collapsed="false" customWidth="true" hidden="false" outlineLevel="0" max="46" min="46" style="0" width="14"/>
    <col collapsed="false" customWidth="true" hidden="false" outlineLevel="0" max="47" min="47" style="0" width="15"/>
    <col collapsed="false" customWidth="true" hidden="false" outlineLevel="0" max="48" min="48" style="0" width="60"/>
    <col collapsed="false" customWidth="true" hidden="false" outlineLevel="0" max="49" min="49" style="0" width="14"/>
  </cols>
  <sheetData>
    <row r="1" customFormat="false" ht="57.75" hidden="false" customHeight="true" outlineLevel="0" collapsed="false">
      <c r="A1" s="14" t="s">
        <v>75</v>
      </c>
      <c r="B1" s="14" t="s">
        <v>1353</v>
      </c>
      <c r="C1" s="14" t="s">
        <v>1543</v>
      </c>
      <c r="D1" s="14" t="s">
        <v>1544</v>
      </c>
      <c r="E1" s="14" t="s">
        <v>1545</v>
      </c>
      <c r="F1" s="14" t="s">
        <v>1546</v>
      </c>
      <c r="G1" s="14" t="s">
        <v>1355</v>
      </c>
      <c r="H1" s="14" t="s">
        <v>1354</v>
      </c>
      <c r="I1" s="14" t="s">
        <v>78</v>
      </c>
      <c r="J1" s="14" t="s">
        <v>1352</v>
      </c>
      <c r="K1" s="14" t="s">
        <v>1547</v>
      </c>
      <c r="L1" s="14" t="s">
        <v>1548</v>
      </c>
      <c r="M1" s="14" t="s">
        <v>1549</v>
      </c>
      <c r="N1" s="14" t="s">
        <v>1356</v>
      </c>
      <c r="O1" s="14" t="s">
        <v>1357</v>
      </c>
      <c r="P1" s="14" t="s">
        <v>1550</v>
      </c>
      <c r="Q1" s="14" t="s">
        <v>1358</v>
      </c>
      <c r="R1" s="14" t="s">
        <v>1368</v>
      </c>
      <c r="S1" s="14" t="s">
        <v>1369</v>
      </c>
      <c r="T1" s="14" t="s">
        <v>79</v>
      </c>
      <c r="U1" s="14" t="s">
        <v>1551</v>
      </c>
      <c r="V1" s="14" t="s">
        <v>1552</v>
      </c>
      <c r="W1" s="14" t="s">
        <v>1359</v>
      </c>
      <c r="X1" s="14" t="s">
        <v>1553</v>
      </c>
      <c r="Y1" s="14" t="s">
        <v>1554</v>
      </c>
      <c r="Z1" s="14" t="s">
        <v>1555</v>
      </c>
      <c r="AA1" s="14" t="s">
        <v>1556</v>
      </c>
      <c r="AB1" s="14" t="s">
        <v>1557</v>
      </c>
      <c r="AC1" s="14" t="s">
        <v>1558</v>
      </c>
      <c r="AD1" s="14" t="s">
        <v>1559</v>
      </c>
      <c r="AE1" s="14" t="s">
        <v>1560</v>
      </c>
      <c r="AF1" s="20" t="s">
        <v>104</v>
      </c>
      <c r="AG1" s="20" t="s">
        <v>1370</v>
      </c>
      <c r="AH1" s="20" t="s">
        <v>1372</v>
      </c>
      <c r="AI1" s="20" t="s">
        <v>1561</v>
      </c>
      <c r="AJ1" s="20" t="s">
        <v>1562</v>
      </c>
      <c r="AK1" s="20" t="s">
        <v>1373</v>
      </c>
      <c r="AL1" s="20" t="s">
        <v>1364</v>
      </c>
      <c r="AM1" s="20" t="s">
        <v>1563</v>
      </c>
      <c r="AN1" s="20" t="s">
        <v>1564</v>
      </c>
      <c r="AO1" s="20" t="s">
        <v>1565</v>
      </c>
      <c r="AP1" s="20" t="s">
        <v>1566</v>
      </c>
      <c r="AQ1" s="20" t="s">
        <v>1374</v>
      </c>
      <c r="AR1" s="20" t="s">
        <v>1567</v>
      </c>
      <c r="AS1" s="20" t="s">
        <v>1568</v>
      </c>
      <c r="AT1" s="20" t="s">
        <v>1569</v>
      </c>
      <c r="AU1" s="20" t="s">
        <v>106</v>
      </c>
      <c r="AV1" s="20" t="s">
        <v>1570</v>
      </c>
      <c r="AW1" s="20" t="s">
        <v>105</v>
      </c>
    </row>
    <row r="2" customFormat="false" ht="15" hidden="false" customHeight="false" outlineLevel="0" collapsed="false">
      <c r="A2" s="2" t="s">
        <v>308</v>
      </c>
      <c r="B2" s="2" t="s">
        <v>1571</v>
      </c>
      <c r="C2" s="2" t="s">
        <v>1572</v>
      </c>
      <c r="D2" s="2" t="n">
        <v>26</v>
      </c>
      <c r="E2" s="2" t="n">
        <v>69</v>
      </c>
      <c r="F2" s="21" t="n">
        <f aca="false">INDEX('Scored Accounts'!$Q$2:$Q$301,MATCH($A2,'Scored Accounts'!$A$2:$A$301,0))</f>
        <v>87.5</v>
      </c>
      <c r="G2" s="2" t="str">
        <f aca="false">INDEX('Scored Accounts'!$R$2:$R$301,MATCH($A2,'Scored Accounts'!$A$2:$A$301,0))</f>
        <v>High</v>
      </c>
      <c r="H2" s="2" t="str">
        <f aca="false">IF(OR(G2="High",G2="Medium"),"Broker-Reliant",IF(AND(G2="Low",B2="Account Managed"),"AM-Owned / Self-Serving",IF(AND(G2="Low",B2="Self Serve"),"Self-Serve","UNASSIGNED")))</f>
        <v>Broker-Reliant</v>
      </c>
      <c r="I2" s="9" t="n">
        <v>170132</v>
      </c>
      <c r="J2" s="2" t="str">
        <f aca="false">IF(I2&gt;=Assumptions!$B$35,"Key",IF(I2&gt;=Assumptions!$B$34,"Core","Tail"))</f>
        <v>Key</v>
      </c>
      <c r="K2" s="9" t="n">
        <f aca="false">INDEX('Commercial View'!$R$2:$R$301,MATCH($A2,'Commercial View'!$A$2:$A$301,0))</f>
        <v>93545</v>
      </c>
      <c r="L2" s="9" t="n">
        <f aca="false">INDEX('Commercial View'!$S$2:$S$301,MATCH($A2,'Commercial View'!$A$2:$A$301,0))</f>
        <v>76587</v>
      </c>
      <c r="M2" s="17" t="n">
        <f aca="false">INDEX('Commercial View'!$T$2:$T$301,MATCH($A2,'Commercial View'!$A$2:$A$301,0))</f>
        <v>-0.181281736062857</v>
      </c>
      <c r="N2" s="2" t="str">
        <f aca="false">INDEX('Commercial View'!$U$2:$U$301,MATCH($A2,'Commercial View'!$A$2:$A$301,0))</f>
        <v>Stable</v>
      </c>
      <c r="O2" s="2" t="n">
        <v>46</v>
      </c>
      <c r="P2" s="2" t="n">
        <v>32</v>
      </c>
      <c r="Q2" s="2" t="n">
        <v>14</v>
      </c>
      <c r="R2" s="2" t="n">
        <v>3</v>
      </c>
      <c r="S2" s="2" t="n">
        <v>0</v>
      </c>
      <c r="T2" s="2" t="str">
        <f aca="false">IF(H2="Broker-Reliant",IF(J2="Tail","5. Cost-to-Serve / Low-Touch",IF(OR(N2="Growing",N2="Stable"),"1. Migration Candidate",IF(N2="Declining","2. Protect / Retain First",IF(N2="Lapsed","3. Win-Back / Verify",IF(N2="H2 Active / No H1 GMV","4. Establish / Re-establish / Observe","UNASSIGNED"))))),IF(G2="Low",IF(J2="Tail","9. Long-Tail Automated Nurture",IF(OR(N2="Growing",N2="Stable"),"6. Growth Opportunity",IF(N2="H2 Active / No H1 GMV","7. Onboard / Re-engage / Learn",IF(OR(N2="Declining",N2="Lapsed"),"8. Retention / Reactivation","UNASSIGNED")))),"UNASSIGNED"))</f>
        <v>1. Migration Candidate</v>
      </c>
      <c r="U2" s="10" t="b">
        <f aca="false">AND(T2="1. Migration Candidate",J2="Core",O2&gt;=Assumptions!$B$39,Q2&gt;=Assumptions!$B$40,NOT(Z2))</f>
        <v>0</v>
      </c>
      <c r="V2" s="2" t="n">
        <f aca="false">(AND(H2="Broker-Reliant",J2&lt;&gt;"Tail",OR(N2="Growing",N2="Stable")))*1+(AND(H2="Broker-Reliant",J2&lt;&gt;"Tail",N2="Declining"))*1+(AND(H2="Broker-Reliant",J2&lt;&gt;"Tail",N2="Lapsed"))*1+(AND(H2="Broker-Reliant",J2&lt;&gt;"Tail",N2="H2 Active / No H1 GMV"))*1+(AND(H2="Broker-Reliant",J2="Tail"))*1+(AND(G2="Low",J2&lt;&gt;"Tail",OR(N2="Growing",N2="Stable")))*1+(AND(G2="Low",J2&lt;&gt;"Tail",N2="H2 Active / No H1 GMV"))*1+(AND(G2="Low",J2&lt;&gt;"Tail",OR(N2="Declining",N2="Lapsed")))*1+(AND(G2="Low",J2="Tail"))*1</f>
        <v>1</v>
      </c>
      <c r="W2" s="2" t="n">
        <f aca="false">INDEX('Commercial View'!$V$2:$V$301,MATCH($A2,'Commercial View'!$A$2:$A$301,0))</f>
        <v>6</v>
      </c>
      <c r="X2" s="10" t="b">
        <f aca="false">O2&lt;=Assumptions!$B$30</f>
        <v>0</v>
      </c>
      <c r="Y2" s="10" t="b">
        <f aca="false">W2&lt;=1</f>
        <v>0</v>
      </c>
      <c r="Z2" s="10" t="b">
        <f aca="false">C2="Duplicate"</f>
        <v>0</v>
      </c>
      <c r="AA2" s="10" t="b">
        <f aca="false">C2=""</f>
        <v>0</v>
      </c>
      <c r="AB2" s="2" t="n">
        <f aca="false">IF(P2+Q2&gt;0,ROUND(P2/(P2+Q2)*100,0),"")</f>
        <v>70</v>
      </c>
      <c r="AC2" s="2" t="n">
        <f aca="false">IF(P2+Q2&gt;0,ROUND(E2-P2/(P2+Q2)*100,0),"")</f>
        <v>-1</v>
      </c>
      <c r="AD2" s="10" t="b">
        <f aca="false">IF(AC2="",FALSE(),ABS(AC2)&gt;Assumptions!$B$41)</f>
        <v>0</v>
      </c>
      <c r="AE2" s="2" t="str">
        <f aca="false">IF(X2,"Low confidence (&lt;=2 orders); ","")&amp;IF(Y2,"Single-month history; ","")&amp;IF(Z2,"CRITICAL: Duplicate status; ","")&amp;IF(AA2,"Missing status; ","")&amp;IF(AD2,"Broker % vs counts gap "&amp;TEXT(AC2,"+0;-0")&amp;"pts; ","")</f>
        <v/>
      </c>
      <c r="AF2" s="2" t="str">
        <f aca="false">IF(AND(K2=0,L2&gt;0),IF(D2&lt;=Assumptions!$B$47,"New Customer","Returned Customer"),"Existing Customer")</f>
        <v>Existing Customer</v>
      </c>
      <c r="AG2" s="10" t="b">
        <f aca="false">AND(T2="1. Migration Candidate",J2="Key")</f>
        <v>1</v>
      </c>
      <c r="AH2" s="10" t="b">
        <f aca="false">IF(AND(K2&gt;0,L2&gt;0),OR(ABS(M2-Assumptions!$B$36)&lt;=Assumptions!$B$46,ABS(M2+Assumptions!$B$36)&lt;=Assumptions!$B$46),FALSE())</f>
        <v>1</v>
      </c>
      <c r="AI2" s="9" t="n">
        <f aca="false">INDEX('Commercial View'!$L$2:$L$301,MATCH($A2,'Commercial View'!$A$2:$A$301,0))+INDEX('Commercial View'!$M$2:$M$301,MATCH($A2,'Commercial View'!$A$2:$A$301,0))</f>
        <v>30763</v>
      </c>
      <c r="AJ2" s="2" t="str">
        <f aca="false">IF(AND(K2=0,AI2=0),"No activity ex-Feb",IF(AI2=0,"Lapsed",IF(K2=0,"H2 Active / No H1 GMV",IF((AI2/2)/(K2/3)-1&gt;=Assumptions!$B$36,"Growing",IF((AI2/2)/(K2/3)-1&lt;-Assumptions!$B$36,"Declining","Stable")))))</f>
        <v>Declining</v>
      </c>
      <c r="AK2" s="10" t="b">
        <f aca="false">IF(OR(N2="Growing",N2="Stable"),"Healthy",N2)&lt;&gt;IF(OR(AJ2="Growing",AJ2="Stable"),"Healthy",AJ2)</f>
        <v>1</v>
      </c>
      <c r="AL2" s="2" t="str">
        <f aca="false">IF(N2="Lapsed",IF(OR(O2&lt;=Assumptions!$B$48,W2&lt;=Assumptions!$B$49),"One-Off / Insufficient History — Verify","Established Buyer Lapsed"),"N/A")</f>
        <v>N/A</v>
      </c>
      <c r="AM2" s="2" t="n">
        <f aca="false">INDEX('Scored Accounts'!$M$2:$M$301,MATCH($A2,'Scored Accounts'!$A$2:$A$301,0))</f>
        <v>75</v>
      </c>
      <c r="AN2" s="2" t="n">
        <f aca="false">IF((P2/(P2+Q2)*100)&lt;=Assumptions!$B$13,0,IF((P2/(P2+Q2)*100)&lt;Assumptions!$B$14,25,IF((P2/(P2+Q2)*100)&lt;Assumptions!$B$15,50,IF((P2/(P2+Q2)*100)&lt;Assumptions!$B$16,75,100))))</f>
        <v>75</v>
      </c>
      <c r="AO2" s="21" t="n">
        <f aca="false">IF((P2/(P2+Q2)*100)&lt;=Assumptions!$B$8,0,AN2*Assumptions!$B$4+INDEX('Scored Accounts'!$N$2:$N$301,MATCH($A2,'Scored Accounts'!$A$2:$A$301,0))*Assumptions!$B$5+INDEX('Scored Accounts'!$O$2:$O$301,MATCH($A2,'Scored Accounts'!$A$2:$A$301,0))*Assumptions!$B$6)</f>
        <v>87.5</v>
      </c>
      <c r="AP2" s="2" t="str">
        <f aca="false">IF(AO2&gt;=Assumptions!$B$9,"High",IF(AO2&gt;=Assumptions!$B$10,"Medium","Low"))</f>
        <v>High</v>
      </c>
      <c r="AQ2" s="10" t="b">
        <f aca="false">OR((E2&lt;=Assumptions!$B$8)&lt;&gt;((P2/(P2+Q2)*100)&lt;=Assumptions!$B$8),AM2&lt;&gt;AN2,G2&lt;&gt;AP2)</f>
        <v>0</v>
      </c>
      <c r="AR2" s="2" t="str">
        <f aca="false">IF(AP2&lt;&gt;"Low","Broker-Reliant",IF(B2="Account Managed","AM-Owned / Self-Serving","Self-Serve"))</f>
        <v>Broker-Reliant</v>
      </c>
      <c r="AS2" s="2" t="str">
        <f aca="false">IF(AR2="Broker-Reliant",IF(J2="Tail","5. Cost-to-Serve / Low-Touch",IF(OR(N2="Growing",N2="Stable"),"1. Migration Candidate",IF(N2="Declining","2. Protect / Retain First",IF(N2="Lapsed","3. Win-Back / Verify",IF(N2="H2 Active / No H1 GMV","4. Establish / Re-establish / Observe","UNASSIGNED"))))),IF(AP2="Low",IF(J2="Tail","9. Long-Tail Automated Nurture",IF(OR(N2="Growing",N2="Stable"),"6. Growth Opportunity",IF(N2="H2 Active / No H1 GMV","7. Onboard / Re-engage / Learn",IF(OR(N2="Declining",N2="Lapsed"),"8. Retention / Reactivation","UNASSIGNED")))),"UNASSIGNED"))</f>
        <v>1. Migration Candidate</v>
      </c>
      <c r="AT2" s="10" t="b">
        <f aca="false">AS2&lt;&gt;T2</f>
        <v>0</v>
      </c>
      <c r="AU2" s="2" t="str">
        <f aca="false">IF(NOT(U2),"Not Eligible",IF(OR(AQ2,AH2,AK2,NOT(AND(W2&gt;=Assumptions!$B$83,O2&gt;=Assumptions!$B$84))),"Manual Review","Ready"))</f>
        <v>Not Eligible</v>
      </c>
      <c r="AV2" s="2" t="str">
        <f aca="false">IF(AG2,"Key account - human sign-off required; ","")&amp;IF(AH2,"Borderline momentum; ","")&amp;IF(AK2,"February-sensitive ("&amp;N2&amp;" -&gt; "&amp;AJ2&amp;"); ","")&amp;IF(AL2="One-Off / Insufficient History — Verify","Lapsed on thin history - verify; ","")&amp;IF(AQ2,"Material broker % inconsistency (implied tier "&amp;AP2&amp;"); ","")&amp;IF(AT2,"Implied broker % would move segment to "&amp;AS2&amp;"; ","")</f>
        <v>Key account - human sign-off required; Borderline momentum; February-sensitive (Stable -&gt; Declining); </v>
      </c>
      <c r="AW2" s="10" t="b">
        <f aca="false">AND(G2="Low",J2="Tail",I2&gt;=Assumptions!$B$64,O2&gt;=Assumptions!$B$65,OR(N2="Growing",N2="Stable",AND(N2="H2 Active / No H1 GMV",W2&gt;=2)),OR(R2&gt;=Assumptions!$B$66,S2&gt;=Assumptions!$B$67))</f>
        <v>0</v>
      </c>
    </row>
    <row r="3" customFormat="false" ht="15" hidden="false" customHeight="false" outlineLevel="0" collapsed="false">
      <c r="A3" s="2" t="s">
        <v>139</v>
      </c>
      <c r="B3" s="2" t="s">
        <v>1571</v>
      </c>
      <c r="C3" s="2" t="s">
        <v>1572</v>
      </c>
      <c r="D3" s="2" t="n">
        <v>10</v>
      </c>
      <c r="E3" s="2" t="n">
        <v>70</v>
      </c>
      <c r="F3" s="21" t="n">
        <f aca="false">INDEX('Scored Accounts'!$Q$2:$Q$301,MATCH($A3,'Scored Accounts'!$A$2:$A$301,0))</f>
        <v>77.5</v>
      </c>
      <c r="G3" s="2" t="str">
        <f aca="false">INDEX('Scored Accounts'!$R$2:$R$301,MATCH($A3,'Scored Accounts'!$A$2:$A$301,0))</f>
        <v>High</v>
      </c>
      <c r="H3" s="2" t="str">
        <f aca="false">IF(OR(G3="High",G3="Medium"),"Broker-Reliant",IF(AND(G3="Low",B3="Account Managed"),"AM-Owned / Self-Serving",IF(AND(G3="Low",B3="Self Serve"),"Self-Serve","UNASSIGNED")))</f>
        <v>Broker-Reliant</v>
      </c>
      <c r="I3" s="9" t="n">
        <v>70650</v>
      </c>
      <c r="J3" s="2" t="str">
        <f aca="false">IF(I3&gt;=Assumptions!$B$35,"Key",IF(I3&gt;=Assumptions!$B$34,"Core","Tail"))</f>
        <v>Key</v>
      </c>
      <c r="K3" s="9" t="n">
        <f aca="false">INDEX('Commercial View'!$R$2:$R$301,MATCH($A3,'Commercial View'!$A$2:$A$301,0))</f>
        <v>70650</v>
      </c>
      <c r="L3" s="9" t="n">
        <f aca="false">INDEX('Commercial View'!$S$2:$S$301,MATCH($A3,'Commercial View'!$A$2:$A$301,0))</f>
        <v>0</v>
      </c>
      <c r="M3" s="17" t="n">
        <f aca="false">INDEX('Commercial View'!$T$2:$T$301,MATCH($A3,'Commercial View'!$A$2:$A$301,0))</f>
        <v>-1</v>
      </c>
      <c r="N3" s="2" t="str">
        <f aca="false">INDEX('Commercial View'!$U$2:$U$301,MATCH($A3,'Commercial View'!$A$2:$A$301,0))</f>
        <v>Lapsed</v>
      </c>
      <c r="O3" s="2" t="n">
        <v>2</v>
      </c>
      <c r="P3" s="2" t="n">
        <v>1</v>
      </c>
      <c r="Q3" s="2" t="n">
        <v>1</v>
      </c>
      <c r="R3" s="2" t="n">
        <v>2</v>
      </c>
      <c r="S3" s="2" t="n">
        <v>2</v>
      </c>
      <c r="T3" s="2" t="str">
        <f aca="false">IF(H3="Broker-Reliant",IF(J3="Tail","5. Cost-to-Serve / Low-Touch",IF(OR(N3="Growing",N3="Stable"),"1. Migration Candidate",IF(N3="Declining","2. Protect / Retain First",IF(N3="Lapsed","3. Win-Back / Verify",IF(N3="H2 Active / No H1 GMV","4. Establish / Re-establish / Observe","UNASSIGNED"))))),IF(G3="Low",IF(J3="Tail","9. Long-Tail Automated Nurture",IF(OR(N3="Growing",N3="Stable"),"6. Growth Opportunity",IF(N3="H2 Active / No H1 GMV","7. Onboard / Re-engage / Learn",IF(OR(N3="Declining",N3="Lapsed"),"8. Retention / Reactivation","UNASSIGNED")))),"UNASSIGNED"))</f>
        <v>3. Win-Back / Verify</v>
      </c>
      <c r="U3" s="10" t="b">
        <f aca="false">AND(T3="1. Migration Candidate",J3="Core",O3&gt;=Assumptions!$B$39,Q3&gt;=Assumptions!$B$40,NOT(Z3))</f>
        <v>0</v>
      </c>
      <c r="V3" s="2" t="n">
        <f aca="false">(AND(H3="Broker-Reliant",J3&lt;&gt;"Tail",OR(N3="Growing",N3="Stable")))*1+(AND(H3="Broker-Reliant",J3&lt;&gt;"Tail",N3="Declining"))*1+(AND(H3="Broker-Reliant",J3&lt;&gt;"Tail",N3="Lapsed"))*1+(AND(H3="Broker-Reliant",J3&lt;&gt;"Tail",N3="H2 Active / No H1 GMV"))*1+(AND(H3="Broker-Reliant",J3="Tail"))*1+(AND(G3="Low",J3&lt;&gt;"Tail",OR(N3="Growing",N3="Stable")))*1+(AND(G3="Low",J3&lt;&gt;"Tail",N3="H2 Active / No H1 GMV"))*1+(AND(G3="Low",J3&lt;&gt;"Tail",OR(N3="Declining",N3="Lapsed")))*1+(AND(G3="Low",J3="Tail"))*1</f>
        <v>1</v>
      </c>
      <c r="W3" s="2" t="n">
        <f aca="false">INDEX('Commercial View'!$V$2:$V$301,MATCH($A3,'Commercial View'!$A$2:$A$301,0))</f>
        <v>2</v>
      </c>
      <c r="X3" s="10" t="b">
        <f aca="false">O3&lt;=Assumptions!$B$30</f>
        <v>1</v>
      </c>
      <c r="Y3" s="10" t="b">
        <f aca="false">W3&lt;=1</f>
        <v>0</v>
      </c>
      <c r="Z3" s="10" t="b">
        <f aca="false">C3="Duplicate"</f>
        <v>0</v>
      </c>
      <c r="AA3" s="10" t="b">
        <f aca="false">C3=""</f>
        <v>0</v>
      </c>
      <c r="AB3" s="2" t="n">
        <f aca="false">IF(P3+Q3&gt;0,ROUND(P3/(P3+Q3)*100,0),"")</f>
        <v>50</v>
      </c>
      <c r="AC3" s="2" t="n">
        <f aca="false">IF(P3+Q3&gt;0,ROUND(E3-P3/(P3+Q3)*100,0),"")</f>
        <v>20</v>
      </c>
      <c r="AD3" s="10" t="b">
        <f aca="false">IF(AC3="",FALSE(),ABS(AC3)&gt;Assumptions!$B$41)</f>
        <v>1</v>
      </c>
      <c r="AE3" s="2" t="str">
        <f aca="false">IF(X3,"Low confidence (&lt;=2 orders); ","")&amp;IF(Y3,"Single-month history; ","")&amp;IF(Z3,"CRITICAL: Duplicate status; ","")&amp;IF(AA3,"Missing status; ","")&amp;IF(AD3,"Broker % vs counts gap "&amp;TEXT(AC3,"+0;-0")&amp;"pts; ","")</f>
        <v>Low confidence (&lt;=2 orders); Broker % vs counts gap +20pts; </v>
      </c>
      <c r="AF3" s="2" t="str">
        <f aca="false">IF(AND(K3=0,L3&gt;0),IF(D3&lt;=Assumptions!$B$47,"New Customer","Returned Customer"),"Existing Customer")</f>
        <v>Existing Customer</v>
      </c>
      <c r="AG3" s="10" t="b">
        <f aca="false">AND(T3="1. Migration Candidate",J3="Key")</f>
        <v>0</v>
      </c>
      <c r="AH3" s="10" t="b">
        <f aca="false">IF(AND(K3&gt;0,L3&gt;0),OR(ABS(M3-Assumptions!$B$36)&lt;=Assumptions!$B$46,ABS(M3+Assumptions!$B$36)&lt;=Assumptions!$B$46),FALSE())</f>
        <v>0</v>
      </c>
      <c r="AI3" s="9" t="n">
        <f aca="false">INDEX('Commercial View'!$L$2:$L$301,MATCH($A3,'Commercial View'!$A$2:$A$301,0))+INDEX('Commercial View'!$M$2:$M$301,MATCH($A3,'Commercial View'!$A$2:$A$301,0))</f>
        <v>0</v>
      </c>
      <c r="AJ3" s="2" t="str">
        <f aca="false">IF(AND(K3=0,AI3=0),"No activity ex-Feb",IF(AI3=0,"Lapsed",IF(K3=0,"H2 Active / No H1 GMV",IF((AI3/2)/(K3/3)-1&gt;=Assumptions!$B$36,"Growing",IF((AI3/2)/(K3/3)-1&lt;-Assumptions!$B$36,"Declining","Stable")))))</f>
        <v>Lapsed</v>
      </c>
      <c r="AK3" s="10" t="b">
        <f aca="false">IF(OR(N3="Growing",N3="Stable"),"Healthy",N3)&lt;&gt;IF(OR(AJ3="Growing",AJ3="Stable"),"Healthy",AJ3)</f>
        <v>0</v>
      </c>
      <c r="AL3" s="2" t="str">
        <f aca="false">IF(N3="Lapsed",IF(OR(O3&lt;=Assumptions!$B$48,W3&lt;=Assumptions!$B$49),"One-Off / Insufficient History — Verify","Established Buyer Lapsed"),"N/A")</f>
        <v>One-Off / Insufficient History — Verify</v>
      </c>
      <c r="AM3" s="2" t="n">
        <f aca="false">INDEX('Scored Accounts'!$M$2:$M$301,MATCH($A3,'Scored Accounts'!$A$2:$A$301,0))</f>
        <v>75</v>
      </c>
      <c r="AN3" s="2" t="n">
        <f aca="false">IF((P3/(P3+Q3)*100)&lt;=Assumptions!$B$13,0,IF((P3/(P3+Q3)*100)&lt;Assumptions!$B$14,25,IF((P3/(P3+Q3)*100)&lt;Assumptions!$B$15,50,IF((P3/(P3+Q3)*100)&lt;Assumptions!$B$16,75,100))))</f>
        <v>50</v>
      </c>
      <c r="AO3" s="21" t="n">
        <f aca="false">IF((P3/(P3+Q3)*100)&lt;=Assumptions!$B$8,0,AN3*Assumptions!$B$4+INDEX('Scored Accounts'!$N$2:$N$301,MATCH($A3,'Scored Accounts'!$A$2:$A$301,0))*Assumptions!$B$5+INDEX('Scored Accounts'!$O$2:$O$301,MATCH($A3,'Scored Accounts'!$A$2:$A$301,0))*Assumptions!$B$6)</f>
        <v>65</v>
      </c>
      <c r="AP3" s="2" t="str">
        <f aca="false">IF(AO3&gt;=Assumptions!$B$9,"High",IF(AO3&gt;=Assumptions!$B$10,"Medium","Low"))</f>
        <v>Medium</v>
      </c>
      <c r="AQ3" s="10" t="b">
        <f aca="false">OR((E3&lt;=Assumptions!$B$8)&lt;&gt;((P3/(P3+Q3)*100)&lt;=Assumptions!$B$8),AM3&lt;&gt;AN3,G3&lt;&gt;AP3)</f>
        <v>1</v>
      </c>
      <c r="AR3" s="2" t="str">
        <f aca="false">IF(AP3&lt;&gt;"Low","Broker-Reliant",IF(B3="Account Managed","AM-Owned / Self-Serving","Self-Serve"))</f>
        <v>Broker-Reliant</v>
      </c>
      <c r="AS3" s="2" t="str">
        <f aca="false">IF(AR3="Broker-Reliant",IF(J3="Tail","5. Cost-to-Serve / Low-Touch",IF(OR(N3="Growing",N3="Stable"),"1. Migration Candidate",IF(N3="Declining","2. Protect / Retain First",IF(N3="Lapsed","3. Win-Back / Verify",IF(N3="H2 Active / No H1 GMV","4. Establish / Re-establish / Observe","UNASSIGNED"))))),IF(AP3="Low",IF(J3="Tail","9. Long-Tail Automated Nurture",IF(OR(N3="Growing",N3="Stable"),"6. Growth Opportunity",IF(N3="H2 Active / No H1 GMV","7. Onboard / Re-engage / Learn",IF(OR(N3="Declining",N3="Lapsed"),"8. Retention / Reactivation","UNASSIGNED")))),"UNASSIGNED"))</f>
        <v>3. Win-Back / Verify</v>
      </c>
      <c r="AT3" s="10" t="b">
        <f aca="false">AS3&lt;&gt;T3</f>
        <v>0</v>
      </c>
      <c r="AU3" s="2" t="str">
        <f aca="false">IF(NOT(U3),"Not Eligible",IF(OR(AQ3,AH3,AK3,NOT(AND(W3&gt;=Assumptions!$B$83,O3&gt;=Assumptions!$B$84))),"Manual Review","Ready"))</f>
        <v>Not Eligible</v>
      </c>
      <c r="AV3" s="2" t="str">
        <f aca="false">IF(AG3,"Key account - human sign-off required; ","")&amp;IF(AH3,"Borderline momentum; ","")&amp;IF(AK3,"February-sensitive ("&amp;N3&amp;" -&gt; "&amp;AJ3&amp;"); ","")&amp;IF(AL3="One-Off / Insufficient History — Verify","Lapsed on thin history - verify; ","")&amp;IF(AQ3,"Material broker % inconsistency (implied tier "&amp;AP3&amp;"); ","")&amp;IF(AT3,"Implied broker % would move segment to "&amp;AS3&amp;"; ","")</f>
        <v>Lapsed on thin history - verify; Material broker % inconsistency (implied tier Medium); </v>
      </c>
      <c r="AW3" s="10" t="b">
        <f aca="false">AND(G3="Low",J3="Tail",I3&gt;=Assumptions!$B$64,O3&gt;=Assumptions!$B$65,OR(N3="Growing",N3="Stable",AND(N3="H2 Active / No H1 GMV",W3&gt;=2)),OR(R3&gt;=Assumptions!$B$66,S3&gt;=Assumptions!$B$67))</f>
        <v>0</v>
      </c>
    </row>
    <row r="4" customFormat="false" ht="15" hidden="false" customHeight="false" outlineLevel="0" collapsed="false">
      <c r="A4" s="2" t="s">
        <v>328</v>
      </c>
      <c r="B4" s="2" t="s">
        <v>1571</v>
      </c>
      <c r="C4" s="2" t="s">
        <v>1572</v>
      </c>
      <c r="D4" s="2" t="n">
        <v>16</v>
      </c>
      <c r="E4" s="2" t="n">
        <v>74</v>
      </c>
      <c r="F4" s="21" t="n">
        <f aca="false">INDEX('Scored Accounts'!$Q$2:$Q$301,MATCH($A4,'Scored Accounts'!$A$2:$A$301,0))</f>
        <v>77.5</v>
      </c>
      <c r="G4" s="2" t="str">
        <f aca="false">INDEX('Scored Accounts'!$R$2:$R$301,MATCH($A4,'Scored Accounts'!$A$2:$A$301,0))</f>
        <v>High</v>
      </c>
      <c r="H4" s="2" t="str">
        <f aca="false">IF(OR(G4="High",G4="Medium"),"Broker-Reliant",IF(AND(G4="Low",B4="Account Managed"),"AM-Owned / Self-Serving",IF(AND(G4="Low",B4="Self Serve"),"Self-Serve","UNASSIGNED")))</f>
        <v>Broker-Reliant</v>
      </c>
      <c r="I4" s="9" t="n">
        <v>41039</v>
      </c>
      <c r="J4" s="2" t="str">
        <f aca="false">IF(I4&gt;=Assumptions!$B$35,"Key",IF(I4&gt;=Assumptions!$B$34,"Core","Tail"))</f>
        <v>Key</v>
      </c>
      <c r="K4" s="9" t="n">
        <f aca="false">INDEX('Commercial View'!$R$2:$R$301,MATCH($A4,'Commercial View'!$A$2:$A$301,0))</f>
        <v>22792</v>
      </c>
      <c r="L4" s="9" t="n">
        <f aca="false">INDEX('Commercial View'!$S$2:$S$301,MATCH($A4,'Commercial View'!$A$2:$A$301,0))</f>
        <v>18249</v>
      </c>
      <c r="M4" s="17" t="n">
        <f aca="false">INDEX('Commercial View'!$T$2:$T$301,MATCH($A4,'Commercial View'!$A$2:$A$301,0))</f>
        <v>-0.199324324324324</v>
      </c>
      <c r="N4" s="2" t="str">
        <f aca="false">INDEX('Commercial View'!$U$2:$U$301,MATCH($A4,'Commercial View'!$A$2:$A$301,0))</f>
        <v>Stable</v>
      </c>
      <c r="O4" s="2" t="n">
        <v>36</v>
      </c>
      <c r="P4" s="2" t="n">
        <v>27</v>
      </c>
      <c r="Q4" s="2" t="n">
        <v>9</v>
      </c>
      <c r="R4" s="2" t="n">
        <v>1</v>
      </c>
      <c r="S4" s="2" t="n">
        <v>2</v>
      </c>
      <c r="T4" s="2" t="str">
        <f aca="false">IF(H4="Broker-Reliant",IF(J4="Tail","5. Cost-to-Serve / Low-Touch",IF(OR(N4="Growing",N4="Stable"),"1. Migration Candidate",IF(N4="Declining","2. Protect / Retain First",IF(N4="Lapsed","3. Win-Back / Verify",IF(N4="H2 Active / No H1 GMV","4. Establish / Re-establish / Observe","UNASSIGNED"))))),IF(G4="Low",IF(J4="Tail","9. Long-Tail Automated Nurture",IF(OR(N4="Growing",N4="Stable"),"6. Growth Opportunity",IF(N4="H2 Active / No H1 GMV","7. Onboard / Re-engage / Learn",IF(OR(N4="Declining",N4="Lapsed"),"8. Retention / Reactivation","UNASSIGNED")))),"UNASSIGNED"))</f>
        <v>1. Migration Candidate</v>
      </c>
      <c r="U4" s="10" t="b">
        <f aca="false">AND(T4="1. Migration Candidate",J4="Core",O4&gt;=Assumptions!$B$39,Q4&gt;=Assumptions!$B$40,NOT(Z4))</f>
        <v>0</v>
      </c>
      <c r="V4" s="2" t="n">
        <f aca="false">(AND(H4="Broker-Reliant",J4&lt;&gt;"Tail",OR(N4="Growing",N4="Stable")))*1+(AND(H4="Broker-Reliant",J4&lt;&gt;"Tail",N4="Declining"))*1+(AND(H4="Broker-Reliant",J4&lt;&gt;"Tail",N4="Lapsed"))*1+(AND(H4="Broker-Reliant",J4&lt;&gt;"Tail",N4="H2 Active / No H1 GMV"))*1+(AND(H4="Broker-Reliant",J4="Tail"))*1+(AND(G4="Low",J4&lt;&gt;"Tail",OR(N4="Growing",N4="Stable")))*1+(AND(G4="Low",J4&lt;&gt;"Tail",N4="H2 Active / No H1 GMV"))*1+(AND(G4="Low",J4&lt;&gt;"Tail",OR(N4="Declining",N4="Lapsed")))*1+(AND(G4="Low",J4="Tail"))*1</f>
        <v>1</v>
      </c>
      <c r="W4" s="2" t="n">
        <f aca="false">INDEX('Commercial View'!$V$2:$V$301,MATCH($A4,'Commercial View'!$A$2:$A$301,0))</f>
        <v>6</v>
      </c>
      <c r="X4" s="10" t="b">
        <f aca="false">O4&lt;=Assumptions!$B$30</f>
        <v>0</v>
      </c>
      <c r="Y4" s="10" t="b">
        <f aca="false">W4&lt;=1</f>
        <v>0</v>
      </c>
      <c r="Z4" s="10" t="b">
        <f aca="false">C4="Duplicate"</f>
        <v>0</v>
      </c>
      <c r="AA4" s="10" t="b">
        <f aca="false">C4=""</f>
        <v>0</v>
      </c>
      <c r="AB4" s="2" t="n">
        <f aca="false">IF(P4+Q4&gt;0,ROUND(P4/(P4+Q4)*100,0),"")</f>
        <v>75</v>
      </c>
      <c r="AC4" s="2" t="n">
        <f aca="false">IF(P4+Q4&gt;0,ROUND(E4-P4/(P4+Q4)*100,0),"")</f>
        <v>-1</v>
      </c>
      <c r="AD4" s="10" t="b">
        <f aca="false">IF(AC4="",FALSE(),ABS(AC4)&gt;Assumptions!$B$41)</f>
        <v>0</v>
      </c>
      <c r="AE4" s="2" t="str">
        <f aca="false">IF(X4,"Low confidence (&lt;=2 orders); ","")&amp;IF(Y4,"Single-month history; ","")&amp;IF(Z4,"CRITICAL: Duplicate status; ","")&amp;IF(AA4,"Missing status; ","")&amp;IF(AD4,"Broker % vs counts gap "&amp;TEXT(AC4,"+0;-0")&amp;"pts; ","")</f>
        <v/>
      </c>
      <c r="AF4" s="2" t="str">
        <f aca="false">IF(AND(K4=0,L4&gt;0),IF(D4&lt;=Assumptions!$B$47,"New Customer","Returned Customer"),"Existing Customer")</f>
        <v>Existing Customer</v>
      </c>
      <c r="AG4" s="10" t="b">
        <f aca="false">AND(T4="1. Migration Candidate",J4="Key")</f>
        <v>1</v>
      </c>
      <c r="AH4" s="10" t="b">
        <f aca="false">IF(AND(K4&gt;0,L4&gt;0),OR(ABS(M4-Assumptions!$B$36)&lt;=Assumptions!$B$46,ABS(M4+Assumptions!$B$36)&lt;=Assumptions!$B$46),FALSE())</f>
        <v>1</v>
      </c>
      <c r="AI4" s="9" t="n">
        <f aca="false">INDEX('Commercial View'!$L$2:$L$301,MATCH($A4,'Commercial View'!$A$2:$A$301,0))+INDEX('Commercial View'!$M$2:$M$301,MATCH($A4,'Commercial View'!$A$2:$A$301,0))</f>
        <v>11179</v>
      </c>
      <c r="AJ4" s="2" t="str">
        <f aca="false">IF(AND(K4=0,AI4=0),"No activity ex-Feb",IF(AI4=0,"Lapsed",IF(K4=0,"H2 Active / No H1 GMV",IF((AI4/2)/(K4/3)-1&gt;=Assumptions!$B$36,"Growing",IF((AI4/2)/(K4/3)-1&lt;-Assumptions!$B$36,"Declining","Stable")))))</f>
        <v>Declining</v>
      </c>
      <c r="AK4" s="10" t="b">
        <f aca="false">IF(OR(N4="Growing",N4="Stable"),"Healthy",N4)&lt;&gt;IF(OR(AJ4="Growing",AJ4="Stable"),"Healthy",AJ4)</f>
        <v>1</v>
      </c>
      <c r="AL4" s="2" t="str">
        <f aca="false">IF(N4="Lapsed",IF(OR(O4&lt;=Assumptions!$B$48,W4&lt;=Assumptions!$B$49),"One-Off / Insufficient History — Verify","Established Buyer Lapsed"),"N/A")</f>
        <v>N/A</v>
      </c>
      <c r="AM4" s="2" t="n">
        <f aca="false">INDEX('Scored Accounts'!$M$2:$M$301,MATCH($A4,'Scored Accounts'!$A$2:$A$301,0))</f>
        <v>75</v>
      </c>
      <c r="AN4" s="2" t="n">
        <f aca="false">IF((P4/(P4+Q4)*100)&lt;=Assumptions!$B$13,0,IF((P4/(P4+Q4)*100)&lt;Assumptions!$B$14,25,IF((P4/(P4+Q4)*100)&lt;Assumptions!$B$15,50,IF((P4/(P4+Q4)*100)&lt;Assumptions!$B$16,75,100))))</f>
        <v>75</v>
      </c>
      <c r="AO4" s="21" t="n">
        <f aca="false">IF((P4/(P4+Q4)*100)&lt;=Assumptions!$B$8,0,AN4*Assumptions!$B$4+INDEX('Scored Accounts'!$N$2:$N$301,MATCH($A4,'Scored Accounts'!$A$2:$A$301,0))*Assumptions!$B$5+INDEX('Scored Accounts'!$O$2:$O$301,MATCH($A4,'Scored Accounts'!$A$2:$A$301,0))*Assumptions!$B$6)</f>
        <v>77.5</v>
      </c>
      <c r="AP4" s="2" t="str">
        <f aca="false">IF(AO4&gt;=Assumptions!$B$9,"High",IF(AO4&gt;=Assumptions!$B$10,"Medium","Low"))</f>
        <v>High</v>
      </c>
      <c r="AQ4" s="10" t="b">
        <f aca="false">OR((E4&lt;=Assumptions!$B$8)&lt;&gt;((P4/(P4+Q4)*100)&lt;=Assumptions!$B$8),AM4&lt;&gt;AN4,G4&lt;&gt;AP4)</f>
        <v>0</v>
      </c>
      <c r="AR4" s="2" t="str">
        <f aca="false">IF(AP4&lt;&gt;"Low","Broker-Reliant",IF(B4="Account Managed","AM-Owned / Self-Serving","Self-Serve"))</f>
        <v>Broker-Reliant</v>
      </c>
      <c r="AS4" s="2" t="str">
        <f aca="false">IF(AR4="Broker-Reliant",IF(J4="Tail","5. Cost-to-Serve / Low-Touch",IF(OR(N4="Growing",N4="Stable"),"1. Migration Candidate",IF(N4="Declining","2. Protect / Retain First",IF(N4="Lapsed","3. Win-Back / Verify",IF(N4="H2 Active / No H1 GMV","4. Establish / Re-establish / Observe","UNASSIGNED"))))),IF(AP4="Low",IF(J4="Tail","9. Long-Tail Automated Nurture",IF(OR(N4="Growing",N4="Stable"),"6. Growth Opportunity",IF(N4="H2 Active / No H1 GMV","7. Onboard / Re-engage / Learn",IF(OR(N4="Declining",N4="Lapsed"),"8. Retention / Reactivation","UNASSIGNED")))),"UNASSIGNED"))</f>
        <v>1. Migration Candidate</v>
      </c>
      <c r="AT4" s="10" t="b">
        <f aca="false">AS4&lt;&gt;T4</f>
        <v>0</v>
      </c>
      <c r="AU4" s="2" t="str">
        <f aca="false">IF(NOT(U4),"Not Eligible",IF(OR(AQ4,AH4,AK4,NOT(AND(W4&gt;=Assumptions!$B$83,O4&gt;=Assumptions!$B$84))),"Manual Review","Ready"))</f>
        <v>Not Eligible</v>
      </c>
      <c r="AV4" s="2" t="str">
        <f aca="false">IF(AG4,"Key account - human sign-off required; ","")&amp;IF(AH4,"Borderline momentum; ","")&amp;IF(AK4,"February-sensitive ("&amp;N4&amp;" -&gt; "&amp;AJ4&amp;"); ","")&amp;IF(AL4="One-Off / Insufficient History — Verify","Lapsed on thin history - verify; ","")&amp;IF(AQ4,"Material broker % inconsistency (implied tier "&amp;AP4&amp;"); ","")&amp;IF(AT4,"Implied broker % would move segment to "&amp;AS4&amp;"; ","")</f>
        <v>Key account - human sign-off required; Borderline momentum; February-sensitive (Stable -&gt; Declining); </v>
      </c>
      <c r="AW4" s="10" t="b">
        <f aca="false">AND(G4="Low",J4="Tail",I4&gt;=Assumptions!$B$64,O4&gt;=Assumptions!$B$65,OR(N4="Growing",N4="Stable",AND(N4="H2 Active / No H1 GMV",W4&gt;=2)),OR(R4&gt;=Assumptions!$B$66,S4&gt;=Assumptions!$B$67))</f>
        <v>0</v>
      </c>
    </row>
    <row r="5" customFormat="false" ht="15" hidden="false" customHeight="false" outlineLevel="0" collapsed="false">
      <c r="A5" s="2" t="s">
        <v>331</v>
      </c>
      <c r="B5" s="2" t="s">
        <v>1571</v>
      </c>
      <c r="C5" s="2" t="s">
        <v>1572</v>
      </c>
      <c r="D5" s="2" t="n">
        <v>22</v>
      </c>
      <c r="E5" s="2" t="n">
        <v>62</v>
      </c>
      <c r="F5" s="21" t="n">
        <f aca="false">INDEX('Scored Accounts'!$Q$2:$Q$301,MATCH($A5,'Scored Accounts'!$A$2:$A$301,0))</f>
        <v>70</v>
      </c>
      <c r="G5" s="2" t="str">
        <f aca="false">INDEX('Scored Accounts'!$R$2:$R$301,MATCH($A5,'Scored Accounts'!$A$2:$A$301,0))</f>
        <v>High</v>
      </c>
      <c r="H5" s="2" t="str">
        <f aca="false">IF(OR(G5="High",G5="Medium"),"Broker-Reliant",IF(AND(G5="Low",B5="Account Managed"),"AM-Owned / Self-Serving",IF(AND(G5="Low",B5="Self Serve"),"Self-Serve","UNASSIGNED")))</f>
        <v>Broker-Reliant</v>
      </c>
      <c r="I5" s="9" t="n">
        <v>27099</v>
      </c>
      <c r="J5" s="2" t="str">
        <f aca="false">IF(I5&gt;=Assumptions!$B$35,"Key",IF(I5&gt;=Assumptions!$B$34,"Core","Tail"))</f>
        <v>Key</v>
      </c>
      <c r="K5" s="9" t="n">
        <f aca="false">INDEX('Commercial View'!$R$2:$R$301,MATCH($A5,'Commercial View'!$A$2:$A$301,0))</f>
        <v>14705</v>
      </c>
      <c r="L5" s="9" t="n">
        <f aca="false">INDEX('Commercial View'!$S$2:$S$301,MATCH($A5,'Commercial View'!$A$2:$A$301,0))</f>
        <v>12395</v>
      </c>
      <c r="M5" s="17" t="n">
        <f aca="false">INDEX('Commercial View'!$T$2:$T$301,MATCH($A5,'Commercial View'!$A$2:$A$301,0))</f>
        <v>-0.157089425365522</v>
      </c>
      <c r="N5" s="2" t="str">
        <f aca="false">INDEX('Commercial View'!$U$2:$U$301,MATCH($A5,'Commercial View'!$A$2:$A$301,0))</f>
        <v>Stable</v>
      </c>
      <c r="O5" s="2" t="n">
        <v>19</v>
      </c>
      <c r="P5" s="2" t="n">
        <v>12</v>
      </c>
      <c r="Q5" s="2" t="n">
        <v>7</v>
      </c>
      <c r="R5" s="2" t="n">
        <v>8</v>
      </c>
      <c r="S5" s="2" t="n">
        <v>2</v>
      </c>
      <c r="T5" s="2" t="str">
        <f aca="false">IF(H5="Broker-Reliant",IF(J5="Tail","5. Cost-to-Serve / Low-Touch",IF(OR(N5="Growing",N5="Stable"),"1. Migration Candidate",IF(N5="Declining","2. Protect / Retain First",IF(N5="Lapsed","3. Win-Back / Verify",IF(N5="H2 Active / No H1 GMV","4. Establish / Re-establish / Observe","UNASSIGNED"))))),IF(G5="Low",IF(J5="Tail","9. Long-Tail Automated Nurture",IF(OR(N5="Growing",N5="Stable"),"6. Growth Opportunity",IF(N5="H2 Active / No H1 GMV","7. Onboard / Re-engage / Learn",IF(OR(N5="Declining",N5="Lapsed"),"8. Retention / Reactivation","UNASSIGNED")))),"UNASSIGNED"))</f>
        <v>1. Migration Candidate</v>
      </c>
      <c r="U5" s="10" t="b">
        <f aca="false">AND(T5="1. Migration Candidate",J5="Core",O5&gt;=Assumptions!$B$39,Q5&gt;=Assumptions!$B$40,NOT(Z5))</f>
        <v>0</v>
      </c>
      <c r="V5" s="2" t="n">
        <f aca="false">(AND(H5="Broker-Reliant",J5&lt;&gt;"Tail",OR(N5="Growing",N5="Stable")))*1+(AND(H5="Broker-Reliant",J5&lt;&gt;"Tail",N5="Declining"))*1+(AND(H5="Broker-Reliant",J5&lt;&gt;"Tail",N5="Lapsed"))*1+(AND(H5="Broker-Reliant",J5&lt;&gt;"Tail",N5="H2 Active / No H1 GMV"))*1+(AND(H5="Broker-Reliant",J5="Tail"))*1+(AND(G5="Low",J5&lt;&gt;"Tail",OR(N5="Growing",N5="Stable")))*1+(AND(G5="Low",J5&lt;&gt;"Tail",N5="H2 Active / No H1 GMV"))*1+(AND(G5="Low",J5&lt;&gt;"Tail",OR(N5="Declining",N5="Lapsed")))*1+(AND(G5="Low",J5="Tail"))*1</f>
        <v>1</v>
      </c>
      <c r="W5" s="2" t="n">
        <f aca="false">INDEX('Commercial View'!$V$2:$V$301,MATCH($A5,'Commercial View'!$A$2:$A$301,0))</f>
        <v>6</v>
      </c>
      <c r="X5" s="10" t="b">
        <f aca="false">O5&lt;=Assumptions!$B$30</f>
        <v>0</v>
      </c>
      <c r="Y5" s="10" t="b">
        <f aca="false">W5&lt;=1</f>
        <v>0</v>
      </c>
      <c r="Z5" s="10" t="b">
        <f aca="false">C5="Duplicate"</f>
        <v>0</v>
      </c>
      <c r="AA5" s="10" t="b">
        <f aca="false">C5=""</f>
        <v>0</v>
      </c>
      <c r="AB5" s="2" t="n">
        <f aca="false">IF(P5+Q5&gt;0,ROUND(P5/(P5+Q5)*100,0),"")</f>
        <v>63</v>
      </c>
      <c r="AC5" s="2" t="n">
        <f aca="false">IF(P5+Q5&gt;0,ROUND(E5-P5/(P5+Q5)*100,0),"")</f>
        <v>-1</v>
      </c>
      <c r="AD5" s="10" t="b">
        <f aca="false">IF(AC5="",FALSE(),ABS(AC5)&gt;Assumptions!$B$41)</f>
        <v>0</v>
      </c>
      <c r="AE5" s="2" t="str">
        <f aca="false">IF(X5,"Low confidence (&lt;=2 orders); ","")&amp;IF(Y5,"Single-month history; ","")&amp;IF(Z5,"CRITICAL: Duplicate status; ","")&amp;IF(AA5,"Missing status; ","")&amp;IF(AD5,"Broker % vs counts gap "&amp;TEXT(AC5,"+0;-0")&amp;"pts; ","")</f>
        <v/>
      </c>
      <c r="AF5" s="2" t="str">
        <f aca="false">IF(AND(K5=0,L5&gt;0),IF(D5&lt;=Assumptions!$B$47,"New Customer","Returned Customer"),"Existing Customer")</f>
        <v>Existing Customer</v>
      </c>
      <c r="AG5" s="10" t="b">
        <f aca="false">AND(T5="1. Migration Candidate",J5="Key")</f>
        <v>1</v>
      </c>
      <c r="AH5" s="10" t="b">
        <f aca="false">IF(AND(K5&gt;0,L5&gt;0),OR(ABS(M5-Assumptions!$B$36)&lt;=Assumptions!$B$46,ABS(M5+Assumptions!$B$36)&lt;=Assumptions!$B$46),FALSE())</f>
        <v>1</v>
      </c>
      <c r="AI5" s="9" t="n">
        <f aca="false">INDEX('Commercial View'!$L$2:$L$301,MATCH($A5,'Commercial View'!$A$2:$A$301,0))+INDEX('Commercial View'!$M$2:$M$301,MATCH($A5,'Commercial View'!$A$2:$A$301,0))</f>
        <v>8911</v>
      </c>
      <c r="AJ5" s="2" t="str">
        <f aca="false">IF(AND(K5=0,AI5=0),"No activity ex-Feb",IF(AI5=0,"Lapsed",IF(K5=0,"H2 Active / No H1 GMV",IF((AI5/2)/(K5/3)-1&gt;=Assumptions!$B$36,"Growing",IF((AI5/2)/(K5/3)-1&lt;-Assumptions!$B$36,"Declining","Stable")))))</f>
        <v>Stable</v>
      </c>
      <c r="AK5" s="10" t="b">
        <f aca="false">IF(OR(N5="Growing",N5="Stable"),"Healthy",N5)&lt;&gt;IF(OR(AJ5="Growing",AJ5="Stable"),"Healthy",AJ5)</f>
        <v>0</v>
      </c>
      <c r="AL5" s="2" t="str">
        <f aca="false">IF(N5="Lapsed",IF(OR(O5&lt;=Assumptions!$B$48,W5&lt;=Assumptions!$B$49),"One-Off / Insufficient History — Verify","Established Buyer Lapsed"),"N/A")</f>
        <v>N/A</v>
      </c>
      <c r="AM5" s="2" t="n">
        <f aca="false">INDEX('Scored Accounts'!$M$2:$M$301,MATCH($A5,'Scored Accounts'!$A$2:$A$301,0))</f>
        <v>75</v>
      </c>
      <c r="AN5" s="2" t="n">
        <f aca="false">IF((P5/(P5+Q5)*100)&lt;=Assumptions!$B$13,0,IF((P5/(P5+Q5)*100)&lt;Assumptions!$B$14,25,IF((P5/(P5+Q5)*100)&lt;Assumptions!$B$15,50,IF((P5/(P5+Q5)*100)&lt;Assumptions!$B$16,75,100))))</f>
        <v>75</v>
      </c>
      <c r="AO5" s="21" t="n">
        <f aca="false">IF((P5/(P5+Q5)*100)&lt;=Assumptions!$B$8,0,AN5*Assumptions!$B$4+INDEX('Scored Accounts'!$N$2:$N$301,MATCH($A5,'Scored Accounts'!$A$2:$A$301,0))*Assumptions!$B$5+INDEX('Scored Accounts'!$O$2:$O$301,MATCH($A5,'Scored Accounts'!$A$2:$A$301,0))*Assumptions!$B$6)</f>
        <v>70</v>
      </c>
      <c r="AP5" s="2" t="str">
        <f aca="false">IF(AO5&gt;=Assumptions!$B$9,"High",IF(AO5&gt;=Assumptions!$B$10,"Medium","Low"))</f>
        <v>High</v>
      </c>
      <c r="AQ5" s="10" t="b">
        <f aca="false">OR((E5&lt;=Assumptions!$B$8)&lt;&gt;((P5/(P5+Q5)*100)&lt;=Assumptions!$B$8),AM5&lt;&gt;AN5,G5&lt;&gt;AP5)</f>
        <v>0</v>
      </c>
      <c r="AR5" s="2" t="str">
        <f aca="false">IF(AP5&lt;&gt;"Low","Broker-Reliant",IF(B5="Account Managed","AM-Owned / Self-Serving","Self-Serve"))</f>
        <v>Broker-Reliant</v>
      </c>
      <c r="AS5" s="2" t="str">
        <f aca="false">IF(AR5="Broker-Reliant",IF(J5="Tail","5. Cost-to-Serve / Low-Touch",IF(OR(N5="Growing",N5="Stable"),"1. Migration Candidate",IF(N5="Declining","2. Protect / Retain First",IF(N5="Lapsed","3. Win-Back / Verify",IF(N5="H2 Active / No H1 GMV","4. Establish / Re-establish / Observe","UNASSIGNED"))))),IF(AP5="Low",IF(J5="Tail","9. Long-Tail Automated Nurture",IF(OR(N5="Growing",N5="Stable"),"6. Growth Opportunity",IF(N5="H2 Active / No H1 GMV","7. Onboard / Re-engage / Learn",IF(OR(N5="Declining",N5="Lapsed"),"8. Retention / Reactivation","UNASSIGNED")))),"UNASSIGNED"))</f>
        <v>1. Migration Candidate</v>
      </c>
      <c r="AT5" s="10" t="b">
        <f aca="false">AS5&lt;&gt;T5</f>
        <v>0</v>
      </c>
      <c r="AU5" s="2" t="str">
        <f aca="false">IF(NOT(U5),"Not Eligible",IF(OR(AQ5,AH5,AK5,NOT(AND(W5&gt;=Assumptions!$B$83,O5&gt;=Assumptions!$B$84))),"Manual Review","Ready"))</f>
        <v>Not Eligible</v>
      </c>
      <c r="AV5" s="2" t="str">
        <f aca="false">IF(AG5,"Key account - human sign-off required; ","")&amp;IF(AH5,"Borderline momentum; ","")&amp;IF(AK5,"February-sensitive ("&amp;N5&amp;" -&gt; "&amp;AJ5&amp;"); ","")&amp;IF(AL5="One-Off / Insufficient History — Verify","Lapsed on thin history - verify; ","")&amp;IF(AQ5,"Material broker % inconsistency (implied tier "&amp;AP5&amp;"); ","")&amp;IF(AT5,"Implied broker % would move segment to "&amp;AS5&amp;"; ","")</f>
        <v>Key account - human sign-off required; Borderline momentum; </v>
      </c>
      <c r="AW5" s="10" t="b">
        <f aca="false">AND(G5="Low",J5="Tail",I5&gt;=Assumptions!$B$64,O5&gt;=Assumptions!$B$65,OR(N5="Growing",N5="Stable",AND(N5="H2 Active / No H1 GMV",W5&gt;=2)),OR(R5&gt;=Assumptions!$B$66,S5&gt;=Assumptions!$B$67))</f>
        <v>0</v>
      </c>
    </row>
    <row r="6" customFormat="false" ht="15" hidden="false" customHeight="false" outlineLevel="0" collapsed="false">
      <c r="A6" s="2" t="s">
        <v>113</v>
      </c>
      <c r="B6" s="2" t="s">
        <v>1571</v>
      </c>
      <c r="C6" s="2" t="s">
        <v>1573</v>
      </c>
      <c r="D6" s="2" t="n">
        <v>41</v>
      </c>
      <c r="E6" s="2" t="n">
        <v>50</v>
      </c>
      <c r="F6" s="21" t="n">
        <f aca="false">INDEX('Scored Accounts'!$Q$2:$Q$301,MATCH($A6,'Scored Accounts'!$A$2:$A$301,0))</f>
        <v>62.5</v>
      </c>
      <c r="G6" s="2" t="str">
        <f aca="false">INDEX('Scored Accounts'!$R$2:$R$301,MATCH($A6,'Scored Accounts'!$A$2:$A$301,0))</f>
        <v>Medium</v>
      </c>
      <c r="H6" s="2" t="str">
        <f aca="false">IF(OR(G6="High",G6="Medium"),"Broker-Reliant",IF(AND(G6="Low",B6="Account Managed"),"AM-Owned / Self-Serving",IF(AND(G6="Low",B6="Self Serve"),"Self-Serve","UNASSIGNED")))</f>
        <v>Broker-Reliant</v>
      </c>
      <c r="I6" s="9" t="n">
        <v>24555</v>
      </c>
      <c r="J6" s="2" t="str">
        <f aca="false">IF(I6&gt;=Assumptions!$B$35,"Key",IF(I6&gt;=Assumptions!$B$34,"Core","Tail"))</f>
        <v>Key</v>
      </c>
      <c r="K6" s="9" t="n">
        <f aca="false">INDEX('Commercial View'!$R$2:$R$301,MATCH($A6,'Commercial View'!$A$2:$A$301,0))</f>
        <v>17529</v>
      </c>
      <c r="L6" s="9" t="n">
        <f aca="false">INDEX('Commercial View'!$S$2:$S$301,MATCH($A6,'Commercial View'!$A$2:$A$301,0))</f>
        <v>7025</v>
      </c>
      <c r="M6" s="17" t="n">
        <f aca="false">INDEX('Commercial View'!$T$2:$T$301,MATCH($A6,'Commercial View'!$A$2:$A$301,0))</f>
        <v>-0.599235552512978</v>
      </c>
      <c r="N6" s="2" t="str">
        <f aca="false">INDEX('Commercial View'!$U$2:$U$301,MATCH($A6,'Commercial View'!$A$2:$A$301,0))</f>
        <v>Declining</v>
      </c>
      <c r="O6" s="2" t="n">
        <v>14</v>
      </c>
      <c r="P6" s="2" t="n">
        <v>7</v>
      </c>
      <c r="Q6" s="2" t="n">
        <v>7</v>
      </c>
      <c r="R6" s="2" t="n">
        <v>8</v>
      </c>
      <c r="S6" s="2" t="n">
        <v>1</v>
      </c>
      <c r="T6" s="2" t="str">
        <f aca="false">IF(H6="Broker-Reliant",IF(J6="Tail","5. Cost-to-Serve / Low-Touch",IF(OR(N6="Growing",N6="Stable"),"1. Migration Candidate",IF(N6="Declining","2. Protect / Retain First",IF(N6="Lapsed","3. Win-Back / Verify",IF(N6="H2 Active / No H1 GMV","4. Establish / Re-establish / Observe","UNASSIGNED"))))),IF(G6="Low",IF(J6="Tail","9. Long-Tail Automated Nurture",IF(OR(N6="Growing",N6="Stable"),"6. Growth Opportunity",IF(N6="H2 Active / No H1 GMV","7. Onboard / Re-engage / Learn",IF(OR(N6="Declining",N6="Lapsed"),"8. Retention / Reactivation","UNASSIGNED")))),"UNASSIGNED"))</f>
        <v>2. Protect / Retain First</v>
      </c>
      <c r="U6" s="10" t="b">
        <f aca="false">AND(T6="1. Migration Candidate",J6="Core",O6&gt;=Assumptions!$B$39,Q6&gt;=Assumptions!$B$40,NOT(Z6))</f>
        <v>0</v>
      </c>
      <c r="V6" s="2" t="n">
        <f aca="false">(AND(H6="Broker-Reliant",J6&lt;&gt;"Tail",OR(N6="Growing",N6="Stable")))*1+(AND(H6="Broker-Reliant",J6&lt;&gt;"Tail",N6="Declining"))*1+(AND(H6="Broker-Reliant",J6&lt;&gt;"Tail",N6="Lapsed"))*1+(AND(H6="Broker-Reliant",J6&lt;&gt;"Tail",N6="H2 Active / No H1 GMV"))*1+(AND(H6="Broker-Reliant",J6="Tail"))*1+(AND(G6="Low",J6&lt;&gt;"Tail",OR(N6="Growing",N6="Stable")))*1+(AND(G6="Low",J6&lt;&gt;"Tail",N6="H2 Active / No H1 GMV"))*1+(AND(G6="Low",J6&lt;&gt;"Tail",OR(N6="Declining",N6="Lapsed")))*1+(AND(G6="Low",J6="Tail"))*1</f>
        <v>1</v>
      </c>
      <c r="W6" s="2" t="n">
        <f aca="false">INDEX('Commercial View'!$V$2:$V$301,MATCH($A6,'Commercial View'!$A$2:$A$301,0))</f>
        <v>5</v>
      </c>
      <c r="X6" s="10" t="b">
        <f aca="false">O6&lt;=Assumptions!$B$30</f>
        <v>0</v>
      </c>
      <c r="Y6" s="10" t="b">
        <f aca="false">W6&lt;=1</f>
        <v>0</v>
      </c>
      <c r="Z6" s="10" t="b">
        <f aca="false">C6="Duplicate"</f>
        <v>1</v>
      </c>
      <c r="AA6" s="10" t="b">
        <f aca="false">C6=""</f>
        <v>0</v>
      </c>
      <c r="AB6" s="2" t="n">
        <f aca="false">IF(P6+Q6&gt;0,ROUND(P6/(P6+Q6)*100,0),"")</f>
        <v>50</v>
      </c>
      <c r="AC6" s="2" t="n">
        <f aca="false">IF(P6+Q6&gt;0,ROUND(E6-P6/(P6+Q6)*100,0),"")</f>
        <v>0</v>
      </c>
      <c r="AD6" s="10" t="b">
        <f aca="false">IF(AC6="",FALSE(),ABS(AC6)&gt;Assumptions!$B$41)</f>
        <v>0</v>
      </c>
      <c r="AE6" s="2" t="str">
        <f aca="false">IF(X6,"Low confidence (&lt;=2 orders); ","")&amp;IF(Y6,"Single-month history; ","")&amp;IF(Z6,"CRITICAL: Duplicate status; ","")&amp;IF(AA6,"Missing status; ","")&amp;IF(AD6,"Broker % vs counts gap "&amp;TEXT(AC6,"+0;-0")&amp;"pts; ","")</f>
        <v>CRITICAL: Duplicate status; </v>
      </c>
      <c r="AF6" s="2" t="str">
        <f aca="false">IF(AND(K6=0,L6&gt;0),IF(D6&lt;=Assumptions!$B$47,"New Customer","Returned Customer"),"Existing Customer")</f>
        <v>Existing Customer</v>
      </c>
      <c r="AG6" s="10" t="b">
        <f aca="false">AND(T6="1. Migration Candidate",J6="Key")</f>
        <v>0</v>
      </c>
      <c r="AH6" s="10" t="b">
        <f aca="false">IF(AND(K6&gt;0,L6&gt;0),OR(ABS(M6-Assumptions!$B$36)&lt;=Assumptions!$B$46,ABS(M6+Assumptions!$B$36)&lt;=Assumptions!$B$46),FALSE())</f>
        <v>0</v>
      </c>
      <c r="AI6" s="9" t="n">
        <f aca="false">INDEX('Commercial View'!$L$2:$L$301,MATCH($A6,'Commercial View'!$A$2:$A$301,0))+INDEX('Commercial View'!$M$2:$M$301,MATCH($A6,'Commercial View'!$A$2:$A$301,0))</f>
        <v>2886</v>
      </c>
      <c r="AJ6" s="2" t="str">
        <f aca="false">IF(AND(K6=0,AI6=0),"No activity ex-Feb",IF(AI6=0,"Lapsed",IF(K6=0,"H2 Active / No H1 GMV",IF((AI6/2)/(K6/3)-1&gt;=Assumptions!$B$36,"Growing",IF((AI6/2)/(K6/3)-1&lt;-Assumptions!$B$36,"Declining","Stable")))))</f>
        <v>Declining</v>
      </c>
      <c r="AK6" s="10" t="b">
        <f aca="false">IF(OR(N6="Growing",N6="Stable"),"Healthy",N6)&lt;&gt;IF(OR(AJ6="Growing",AJ6="Stable"),"Healthy",AJ6)</f>
        <v>0</v>
      </c>
      <c r="AL6" s="2" t="str">
        <f aca="false">IF(N6="Lapsed",IF(OR(O6&lt;=Assumptions!$B$48,W6&lt;=Assumptions!$B$49),"One-Off / Insufficient History — Verify","Established Buyer Lapsed"),"N/A")</f>
        <v>N/A</v>
      </c>
      <c r="AM6" s="2" t="n">
        <f aca="false">INDEX('Scored Accounts'!$M$2:$M$301,MATCH($A6,'Scored Accounts'!$A$2:$A$301,0))</f>
        <v>50</v>
      </c>
      <c r="AN6" s="2" t="n">
        <f aca="false">IF((P6/(P6+Q6)*100)&lt;=Assumptions!$B$13,0,IF((P6/(P6+Q6)*100)&lt;Assumptions!$B$14,25,IF((P6/(P6+Q6)*100)&lt;Assumptions!$B$15,50,IF((P6/(P6+Q6)*100)&lt;Assumptions!$B$16,75,100))))</f>
        <v>50</v>
      </c>
      <c r="AO6" s="21" t="n">
        <f aca="false">IF((P6/(P6+Q6)*100)&lt;=Assumptions!$B$8,0,AN6*Assumptions!$B$4+INDEX('Scored Accounts'!$N$2:$N$301,MATCH($A6,'Scored Accounts'!$A$2:$A$301,0))*Assumptions!$B$5+INDEX('Scored Accounts'!$O$2:$O$301,MATCH($A6,'Scored Accounts'!$A$2:$A$301,0))*Assumptions!$B$6)</f>
        <v>62.5</v>
      </c>
      <c r="AP6" s="2" t="str">
        <f aca="false">IF(AO6&gt;=Assumptions!$B$9,"High",IF(AO6&gt;=Assumptions!$B$10,"Medium","Low"))</f>
        <v>Medium</v>
      </c>
      <c r="AQ6" s="10" t="b">
        <f aca="false">OR((E6&lt;=Assumptions!$B$8)&lt;&gt;((P6/(P6+Q6)*100)&lt;=Assumptions!$B$8),AM6&lt;&gt;AN6,G6&lt;&gt;AP6)</f>
        <v>0</v>
      </c>
      <c r="AR6" s="2" t="str">
        <f aca="false">IF(AP6&lt;&gt;"Low","Broker-Reliant",IF(B6="Account Managed","AM-Owned / Self-Serving","Self-Serve"))</f>
        <v>Broker-Reliant</v>
      </c>
      <c r="AS6" s="2" t="str">
        <f aca="false">IF(AR6="Broker-Reliant",IF(J6="Tail","5. Cost-to-Serve / Low-Touch",IF(OR(N6="Growing",N6="Stable"),"1. Migration Candidate",IF(N6="Declining","2. Protect / Retain First",IF(N6="Lapsed","3. Win-Back / Verify",IF(N6="H2 Active / No H1 GMV","4. Establish / Re-establish / Observe","UNASSIGNED"))))),IF(AP6="Low",IF(J6="Tail","9. Long-Tail Automated Nurture",IF(OR(N6="Growing",N6="Stable"),"6. Growth Opportunity",IF(N6="H2 Active / No H1 GMV","7. Onboard / Re-engage / Learn",IF(OR(N6="Declining",N6="Lapsed"),"8. Retention / Reactivation","UNASSIGNED")))),"UNASSIGNED"))</f>
        <v>2. Protect / Retain First</v>
      </c>
      <c r="AT6" s="10" t="b">
        <f aca="false">AS6&lt;&gt;T6</f>
        <v>0</v>
      </c>
      <c r="AU6" s="2" t="str">
        <f aca="false">IF(NOT(U6),"Not Eligible",IF(OR(AQ6,AH6,AK6,NOT(AND(W6&gt;=Assumptions!$B$83,O6&gt;=Assumptions!$B$84))),"Manual Review","Ready"))</f>
        <v>Not Eligible</v>
      </c>
      <c r="AV6" s="2" t="str">
        <f aca="false">IF(AG6,"Key account - human sign-off required; ","")&amp;IF(AH6,"Borderline momentum; ","")&amp;IF(AK6,"February-sensitive ("&amp;N6&amp;" -&gt; "&amp;AJ6&amp;"); ","")&amp;IF(AL6="One-Off / Insufficient History — Verify","Lapsed on thin history - verify; ","")&amp;IF(AQ6,"Material broker % inconsistency (implied tier "&amp;AP6&amp;"); ","")&amp;IF(AT6,"Implied broker % would move segment to "&amp;AS6&amp;"; ","")</f>
        <v/>
      </c>
      <c r="AW6" s="10" t="b">
        <f aca="false">AND(G6="Low",J6="Tail",I6&gt;=Assumptions!$B$64,O6&gt;=Assumptions!$B$65,OR(N6="Growing",N6="Stable",AND(N6="H2 Active / No H1 GMV",W6&gt;=2)),OR(R6&gt;=Assumptions!$B$66,S6&gt;=Assumptions!$B$67))</f>
        <v>0</v>
      </c>
    </row>
    <row r="7" customFormat="false" ht="15" hidden="false" customHeight="false" outlineLevel="0" collapsed="false">
      <c r="A7" s="2" t="s">
        <v>335</v>
      </c>
      <c r="B7" s="2" t="s">
        <v>1571</v>
      </c>
      <c r="C7" s="2" t="s">
        <v>1572</v>
      </c>
      <c r="D7" s="2" t="n">
        <v>7</v>
      </c>
      <c r="E7" s="2" t="n">
        <v>84</v>
      </c>
      <c r="F7" s="21" t="n">
        <f aca="false">INDEX('Scored Accounts'!$Q$2:$Q$301,MATCH($A7,'Scored Accounts'!$A$2:$A$301,0))</f>
        <v>95</v>
      </c>
      <c r="G7" s="2" t="str">
        <f aca="false">INDEX('Scored Accounts'!$R$2:$R$301,MATCH($A7,'Scored Accounts'!$A$2:$A$301,0))</f>
        <v>High</v>
      </c>
      <c r="H7" s="2" t="str">
        <f aca="false">IF(OR(G7="High",G7="Medium"),"Broker-Reliant",IF(AND(G7="Low",B7="Account Managed"),"AM-Owned / Self-Serving",IF(AND(G7="Low",B7="Self Serve"),"Self-Serve","UNASSIGNED")))</f>
        <v>Broker-Reliant</v>
      </c>
      <c r="I7" s="9" t="n">
        <v>23205</v>
      </c>
      <c r="J7" s="2" t="str">
        <f aca="false">IF(I7&gt;=Assumptions!$B$35,"Key",IF(I7&gt;=Assumptions!$B$34,"Core","Tail"))</f>
        <v>Key</v>
      </c>
      <c r="K7" s="9" t="n">
        <f aca="false">INDEX('Commercial View'!$R$2:$R$301,MATCH($A7,'Commercial View'!$A$2:$A$301,0))</f>
        <v>8249</v>
      </c>
      <c r="L7" s="9" t="n">
        <f aca="false">INDEX('Commercial View'!$S$2:$S$301,MATCH($A7,'Commercial View'!$A$2:$A$301,0))</f>
        <v>14956</v>
      </c>
      <c r="M7" s="17" t="n">
        <f aca="false">INDEX('Commercial View'!$T$2:$T$301,MATCH($A7,'Commercial View'!$A$2:$A$301,0))</f>
        <v>0.813068250697054</v>
      </c>
      <c r="N7" s="2" t="str">
        <f aca="false">INDEX('Commercial View'!$U$2:$U$301,MATCH($A7,'Commercial View'!$A$2:$A$301,0))</f>
        <v>Growing</v>
      </c>
      <c r="O7" s="2" t="n">
        <v>14</v>
      </c>
      <c r="P7" s="2" t="n">
        <v>12</v>
      </c>
      <c r="Q7" s="2" t="n">
        <v>2</v>
      </c>
      <c r="R7" s="2" t="n">
        <v>3</v>
      </c>
      <c r="S7" s="2" t="n">
        <v>1</v>
      </c>
      <c r="T7" s="2" t="str">
        <f aca="false">IF(H7="Broker-Reliant",IF(J7="Tail","5. Cost-to-Serve / Low-Touch",IF(OR(N7="Growing",N7="Stable"),"1. Migration Candidate",IF(N7="Declining","2. Protect / Retain First",IF(N7="Lapsed","3. Win-Back / Verify",IF(N7="H2 Active / No H1 GMV","4. Establish / Re-establish / Observe","UNASSIGNED"))))),IF(G7="Low",IF(J7="Tail","9. Long-Tail Automated Nurture",IF(OR(N7="Growing",N7="Stable"),"6. Growth Opportunity",IF(N7="H2 Active / No H1 GMV","7. Onboard / Re-engage / Learn",IF(OR(N7="Declining",N7="Lapsed"),"8. Retention / Reactivation","UNASSIGNED")))),"UNASSIGNED"))</f>
        <v>1. Migration Candidate</v>
      </c>
      <c r="U7" s="10" t="b">
        <f aca="false">AND(T7="1. Migration Candidate",J7="Core",O7&gt;=Assumptions!$B$39,Q7&gt;=Assumptions!$B$40,NOT(Z7))</f>
        <v>0</v>
      </c>
      <c r="V7" s="2" t="n">
        <f aca="false">(AND(H7="Broker-Reliant",J7&lt;&gt;"Tail",OR(N7="Growing",N7="Stable")))*1+(AND(H7="Broker-Reliant",J7&lt;&gt;"Tail",N7="Declining"))*1+(AND(H7="Broker-Reliant",J7&lt;&gt;"Tail",N7="Lapsed"))*1+(AND(H7="Broker-Reliant",J7&lt;&gt;"Tail",N7="H2 Active / No H1 GMV"))*1+(AND(H7="Broker-Reliant",J7="Tail"))*1+(AND(G7="Low",J7&lt;&gt;"Tail",OR(N7="Growing",N7="Stable")))*1+(AND(G7="Low",J7&lt;&gt;"Tail",N7="H2 Active / No H1 GMV"))*1+(AND(G7="Low",J7&lt;&gt;"Tail",OR(N7="Declining",N7="Lapsed")))*1+(AND(G7="Low",J7="Tail"))*1</f>
        <v>1</v>
      </c>
      <c r="W7" s="2" t="n">
        <f aca="false">INDEX('Commercial View'!$V$2:$V$301,MATCH($A7,'Commercial View'!$A$2:$A$301,0))</f>
        <v>5</v>
      </c>
      <c r="X7" s="10" t="b">
        <f aca="false">O7&lt;=Assumptions!$B$30</f>
        <v>0</v>
      </c>
      <c r="Y7" s="10" t="b">
        <f aca="false">W7&lt;=1</f>
        <v>0</v>
      </c>
      <c r="Z7" s="10" t="b">
        <f aca="false">C7="Duplicate"</f>
        <v>0</v>
      </c>
      <c r="AA7" s="10" t="b">
        <f aca="false">C7=""</f>
        <v>0</v>
      </c>
      <c r="AB7" s="2" t="n">
        <f aca="false">IF(P7+Q7&gt;0,ROUND(P7/(P7+Q7)*100,0),"")</f>
        <v>86</v>
      </c>
      <c r="AC7" s="2" t="n">
        <f aca="false">IF(P7+Q7&gt;0,ROUND(E7-P7/(P7+Q7)*100,0),"")</f>
        <v>-2</v>
      </c>
      <c r="AD7" s="10" t="b">
        <f aca="false">IF(AC7="",FALSE(),ABS(AC7)&gt;Assumptions!$B$41)</f>
        <v>0</v>
      </c>
      <c r="AE7" s="2" t="str">
        <f aca="false">IF(X7,"Low confidence (&lt;=2 orders); ","")&amp;IF(Y7,"Single-month history; ","")&amp;IF(Z7,"CRITICAL: Duplicate status; ","")&amp;IF(AA7,"Missing status; ","")&amp;IF(AD7,"Broker % vs counts gap "&amp;TEXT(AC7,"+0;-0")&amp;"pts; ","")</f>
        <v/>
      </c>
      <c r="AF7" s="2" t="str">
        <f aca="false">IF(AND(K7=0,L7&gt;0),IF(D7&lt;=Assumptions!$B$47,"New Customer","Returned Customer"),"Existing Customer")</f>
        <v>Existing Customer</v>
      </c>
      <c r="AG7" s="10" t="b">
        <f aca="false">AND(T7="1. Migration Candidate",J7="Key")</f>
        <v>1</v>
      </c>
      <c r="AH7" s="10" t="b">
        <f aca="false">IF(AND(K7&gt;0,L7&gt;0),OR(ABS(M7-Assumptions!$B$36)&lt;=Assumptions!$B$46,ABS(M7+Assumptions!$B$36)&lt;=Assumptions!$B$46),FALSE())</f>
        <v>0</v>
      </c>
      <c r="AI7" s="9" t="n">
        <f aca="false">INDEX('Commercial View'!$L$2:$L$301,MATCH($A7,'Commercial View'!$A$2:$A$301,0))+INDEX('Commercial View'!$M$2:$M$301,MATCH($A7,'Commercial View'!$A$2:$A$301,0))</f>
        <v>9054</v>
      </c>
      <c r="AJ7" s="2" t="str">
        <f aca="false">IF(AND(K7=0,AI7=0),"No activity ex-Feb",IF(AI7=0,"Lapsed",IF(K7=0,"H2 Active / No H1 GMV",IF((AI7/2)/(K7/3)-1&gt;=Assumptions!$B$36,"Growing",IF((AI7/2)/(K7/3)-1&lt;-Assumptions!$B$36,"Declining","Stable")))))</f>
        <v>Growing</v>
      </c>
      <c r="AK7" s="10" t="b">
        <f aca="false">IF(OR(N7="Growing",N7="Stable"),"Healthy",N7)&lt;&gt;IF(OR(AJ7="Growing",AJ7="Stable"),"Healthy",AJ7)</f>
        <v>0</v>
      </c>
      <c r="AL7" s="2" t="str">
        <f aca="false">IF(N7="Lapsed",IF(OR(O7&lt;=Assumptions!$B$48,W7&lt;=Assumptions!$B$49),"One-Off / Insufficient History — Verify","Established Buyer Lapsed"),"N/A")</f>
        <v>N/A</v>
      </c>
      <c r="AM7" s="2" t="n">
        <f aca="false">INDEX('Scored Accounts'!$M$2:$M$301,MATCH($A7,'Scored Accounts'!$A$2:$A$301,0))</f>
        <v>100</v>
      </c>
      <c r="AN7" s="2" t="n">
        <f aca="false">IF((P7/(P7+Q7)*100)&lt;=Assumptions!$B$13,0,IF((P7/(P7+Q7)*100)&lt;Assumptions!$B$14,25,IF((P7/(P7+Q7)*100)&lt;Assumptions!$B$15,50,IF((P7/(P7+Q7)*100)&lt;Assumptions!$B$16,75,100))))</f>
        <v>100</v>
      </c>
      <c r="AO7" s="21" t="n">
        <f aca="false">IF((P7/(P7+Q7)*100)&lt;=Assumptions!$B$8,0,AN7*Assumptions!$B$4+INDEX('Scored Accounts'!$N$2:$N$301,MATCH($A7,'Scored Accounts'!$A$2:$A$301,0))*Assumptions!$B$5+INDEX('Scored Accounts'!$O$2:$O$301,MATCH($A7,'Scored Accounts'!$A$2:$A$301,0))*Assumptions!$B$6)</f>
        <v>95</v>
      </c>
      <c r="AP7" s="2" t="str">
        <f aca="false">IF(AO7&gt;=Assumptions!$B$9,"High",IF(AO7&gt;=Assumptions!$B$10,"Medium","Low"))</f>
        <v>High</v>
      </c>
      <c r="AQ7" s="10" t="b">
        <f aca="false">OR((E7&lt;=Assumptions!$B$8)&lt;&gt;((P7/(P7+Q7)*100)&lt;=Assumptions!$B$8),AM7&lt;&gt;AN7,G7&lt;&gt;AP7)</f>
        <v>0</v>
      </c>
      <c r="AR7" s="2" t="str">
        <f aca="false">IF(AP7&lt;&gt;"Low","Broker-Reliant",IF(B7="Account Managed","AM-Owned / Self-Serving","Self-Serve"))</f>
        <v>Broker-Reliant</v>
      </c>
      <c r="AS7" s="2" t="str">
        <f aca="false">IF(AR7="Broker-Reliant",IF(J7="Tail","5. Cost-to-Serve / Low-Touch",IF(OR(N7="Growing",N7="Stable"),"1. Migration Candidate",IF(N7="Declining","2. Protect / Retain First",IF(N7="Lapsed","3. Win-Back / Verify",IF(N7="H2 Active / No H1 GMV","4. Establish / Re-establish / Observe","UNASSIGNED"))))),IF(AP7="Low",IF(J7="Tail","9. Long-Tail Automated Nurture",IF(OR(N7="Growing",N7="Stable"),"6. Growth Opportunity",IF(N7="H2 Active / No H1 GMV","7. Onboard / Re-engage / Learn",IF(OR(N7="Declining",N7="Lapsed"),"8. Retention / Reactivation","UNASSIGNED")))),"UNASSIGNED"))</f>
        <v>1. Migration Candidate</v>
      </c>
      <c r="AT7" s="10" t="b">
        <f aca="false">AS7&lt;&gt;T7</f>
        <v>0</v>
      </c>
      <c r="AU7" s="2" t="str">
        <f aca="false">IF(NOT(U7),"Not Eligible",IF(OR(AQ7,AH7,AK7,NOT(AND(W7&gt;=Assumptions!$B$83,O7&gt;=Assumptions!$B$84))),"Manual Review","Ready"))</f>
        <v>Not Eligible</v>
      </c>
      <c r="AV7" s="2" t="str">
        <f aca="false">IF(AG7,"Key account - human sign-off required; ","")&amp;IF(AH7,"Borderline momentum; ","")&amp;IF(AK7,"February-sensitive ("&amp;N7&amp;" -&gt; "&amp;AJ7&amp;"); ","")&amp;IF(AL7="One-Off / Insufficient History — Verify","Lapsed on thin history - verify; ","")&amp;IF(AQ7,"Material broker % inconsistency (implied tier "&amp;AP7&amp;"); ","")&amp;IF(AT7,"Implied broker % would move segment to "&amp;AS7&amp;"; ","")</f>
        <v>Key account - human sign-off required; </v>
      </c>
      <c r="AW7" s="10" t="b">
        <f aca="false">AND(G7="Low",J7="Tail",I7&gt;=Assumptions!$B$64,O7&gt;=Assumptions!$B$65,OR(N7="Growing",N7="Stable",AND(N7="H2 Active / No H1 GMV",W7&gt;=2)),OR(R7&gt;=Assumptions!$B$66,S7&gt;=Assumptions!$B$67))</f>
        <v>0</v>
      </c>
    </row>
    <row r="8" customFormat="false" ht="15" hidden="false" customHeight="false" outlineLevel="0" collapsed="false">
      <c r="A8" s="2" t="s">
        <v>339</v>
      </c>
      <c r="B8" s="2" t="s">
        <v>1571</v>
      </c>
      <c r="C8" s="2" t="s">
        <v>1572</v>
      </c>
      <c r="D8" s="2" t="n">
        <v>10</v>
      </c>
      <c r="E8" s="2" t="n">
        <v>72</v>
      </c>
      <c r="F8" s="21" t="n">
        <f aca="false">INDEX('Scored Accounts'!$Q$2:$Q$301,MATCH($A8,'Scored Accounts'!$A$2:$A$301,0))</f>
        <v>87.5</v>
      </c>
      <c r="G8" s="2" t="str">
        <f aca="false">INDEX('Scored Accounts'!$R$2:$R$301,MATCH($A8,'Scored Accounts'!$A$2:$A$301,0))</f>
        <v>High</v>
      </c>
      <c r="H8" s="2" t="str">
        <f aca="false">IF(OR(G8="High",G8="Medium"),"Broker-Reliant",IF(AND(G8="Low",B8="Account Managed"),"AM-Owned / Self-Serving",IF(AND(G8="Low",B8="Self Serve"),"Self-Serve","UNASSIGNED")))</f>
        <v>Broker-Reliant</v>
      </c>
      <c r="I8" s="9" t="n">
        <v>22089</v>
      </c>
      <c r="J8" s="2" t="str">
        <f aca="false">IF(I8&gt;=Assumptions!$B$35,"Key",IF(I8&gt;=Assumptions!$B$34,"Core","Tail"))</f>
        <v>Key</v>
      </c>
      <c r="K8" s="9" t="n">
        <f aca="false">INDEX('Commercial View'!$R$2:$R$301,MATCH($A8,'Commercial View'!$A$2:$A$301,0))</f>
        <v>5524</v>
      </c>
      <c r="L8" s="9" t="n">
        <f aca="false">INDEX('Commercial View'!$S$2:$S$301,MATCH($A8,'Commercial View'!$A$2:$A$301,0))</f>
        <v>16565</v>
      </c>
      <c r="M8" s="17" t="n">
        <f aca="false">INDEX('Commercial View'!$T$2:$T$301,MATCH($A8,'Commercial View'!$A$2:$A$301,0))</f>
        <v>1.99873280231716</v>
      </c>
      <c r="N8" s="2" t="str">
        <f aca="false">INDEX('Commercial View'!$U$2:$U$301,MATCH($A8,'Commercial View'!$A$2:$A$301,0))</f>
        <v>Growing</v>
      </c>
      <c r="O8" s="2" t="n">
        <v>23</v>
      </c>
      <c r="P8" s="2" t="n">
        <v>17</v>
      </c>
      <c r="Q8" s="2" t="n">
        <v>6</v>
      </c>
      <c r="R8" s="2" t="n">
        <v>1</v>
      </c>
      <c r="S8" s="2" t="n">
        <v>0</v>
      </c>
      <c r="T8" s="2" t="str">
        <f aca="false">IF(H8="Broker-Reliant",IF(J8="Tail","5. Cost-to-Serve / Low-Touch",IF(OR(N8="Growing",N8="Stable"),"1. Migration Candidate",IF(N8="Declining","2. Protect / Retain First",IF(N8="Lapsed","3. Win-Back / Verify",IF(N8="H2 Active / No H1 GMV","4. Establish / Re-establish / Observe","UNASSIGNED"))))),IF(G8="Low",IF(J8="Tail","9. Long-Tail Automated Nurture",IF(OR(N8="Growing",N8="Stable"),"6. Growth Opportunity",IF(N8="H2 Active / No H1 GMV","7. Onboard / Re-engage / Learn",IF(OR(N8="Declining",N8="Lapsed"),"8. Retention / Reactivation","UNASSIGNED")))),"UNASSIGNED"))</f>
        <v>1. Migration Candidate</v>
      </c>
      <c r="U8" s="10" t="b">
        <f aca="false">AND(T8="1. Migration Candidate",J8="Core",O8&gt;=Assumptions!$B$39,Q8&gt;=Assumptions!$B$40,NOT(Z8))</f>
        <v>0</v>
      </c>
      <c r="V8" s="2" t="n">
        <f aca="false">(AND(H8="Broker-Reliant",J8&lt;&gt;"Tail",OR(N8="Growing",N8="Stable")))*1+(AND(H8="Broker-Reliant",J8&lt;&gt;"Tail",N8="Declining"))*1+(AND(H8="Broker-Reliant",J8&lt;&gt;"Tail",N8="Lapsed"))*1+(AND(H8="Broker-Reliant",J8&lt;&gt;"Tail",N8="H2 Active / No H1 GMV"))*1+(AND(H8="Broker-Reliant",J8="Tail"))*1+(AND(G8="Low",J8&lt;&gt;"Tail",OR(N8="Growing",N8="Stable")))*1+(AND(G8="Low",J8&lt;&gt;"Tail",N8="H2 Active / No H1 GMV"))*1+(AND(G8="Low",J8&lt;&gt;"Tail",OR(N8="Declining",N8="Lapsed")))*1+(AND(G8="Low",J8="Tail"))*1</f>
        <v>1</v>
      </c>
      <c r="W8" s="2" t="n">
        <f aca="false">INDEX('Commercial View'!$V$2:$V$301,MATCH($A8,'Commercial View'!$A$2:$A$301,0))</f>
        <v>5</v>
      </c>
      <c r="X8" s="10" t="b">
        <f aca="false">O8&lt;=Assumptions!$B$30</f>
        <v>0</v>
      </c>
      <c r="Y8" s="10" t="b">
        <f aca="false">W8&lt;=1</f>
        <v>0</v>
      </c>
      <c r="Z8" s="10" t="b">
        <f aca="false">C8="Duplicate"</f>
        <v>0</v>
      </c>
      <c r="AA8" s="10" t="b">
        <f aca="false">C8=""</f>
        <v>0</v>
      </c>
      <c r="AB8" s="2" t="n">
        <f aca="false">IF(P8+Q8&gt;0,ROUND(P8/(P8+Q8)*100,0),"")</f>
        <v>74</v>
      </c>
      <c r="AC8" s="2" t="n">
        <f aca="false">IF(P8+Q8&gt;0,ROUND(E8-P8/(P8+Q8)*100,0),"")</f>
        <v>-2</v>
      </c>
      <c r="AD8" s="10" t="b">
        <f aca="false">IF(AC8="",FALSE(),ABS(AC8)&gt;Assumptions!$B$41)</f>
        <v>0</v>
      </c>
      <c r="AE8" s="2" t="str">
        <f aca="false">IF(X8,"Low confidence (&lt;=2 orders); ","")&amp;IF(Y8,"Single-month history; ","")&amp;IF(Z8,"CRITICAL: Duplicate status; ","")&amp;IF(AA8,"Missing status; ","")&amp;IF(AD8,"Broker % vs counts gap "&amp;TEXT(AC8,"+0;-0")&amp;"pts; ","")</f>
        <v/>
      </c>
      <c r="AF8" s="2" t="str">
        <f aca="false">IF(AND(K8=0,L8&gt;0),IF(D8&lt;=Assumptions!$B$47,"New Customer","Returned Customer"),"Existing Customer")</f>
        <v>Existing Customer</v>
      </c>
      <c r="AG8" s="10" t="b">
        <f aca="false">AND(T8="1. Migration Candidate",J8="Key")</f>
        <v>1</v>
      </c>
      <c r="AH8" s="10" t="b">
        <f aca="false">IF(AND(K8&gt;0,L8&gt;0),OR(ABS(M8-Assumptions!$B$36)&lt;=Assumptions!$B$46,ABS(M8+Assumptions!$B$36)&lt;=Assumptions!$B$46),FALSE())</f>
        <v>0</v>
      </c>
      <c r="AI8" s="9" t="n">
        <f aca="false">INDEX('Commercial View'!$L$2:$L$301,MATCH($A8,'Commercial View'!$A$2:$A$301,0))+INDEX('Commercial View'!$M$2:$M$301,MATCH($A8,'Commercial View'!$A$2:$A$301,0))</f>
        <v>11150</v>
      </c>
      <c r="AJ8" s="2" t="str">
        <f aca="false">IF(AND(K8=0,AI8=0),"No activity ex-Feb",IF(AI8=0,"Lapsed",IF(K8=0,"H2 Active / No H1 GMV",IF((AI8/2)/(K8/3)-1&gt;=Assumptions!$B$36,"Growing",IF((AI8/2)/(K8/3)-1&lt;-Assumptions!$B$36,"Declining","Stable")))))</f>
        <v>Growing</v>
      </c>
      <c r="AK8" s="10" t="b">
        <f aca="false">IF(OR(N8="Growing",N8="Stable"),"Healthy",N8)&lt;&gt;IF(OR(AJ8="Growing",AJ8="Stable"),"Healthy",AJ8)</f>
        <v>0</v>
      </c>
      <c r="AL8" s="2" t="str">
        <f aca="false">IF(N8="Lapsed",IF(OR(O8&lt;=Assumptions!$B$48,W8&lt;=Assumptions!$B$49),"One-Off / Insufficient History — Verify","Established Buyer Lapsed"),"N/A")</f>
        <v>N/A</v>
      </c>
      <c r="AM8" s="2" t="n">
        <f aca="false">INDEX('Scored Accounts'!$M$2:$M$301,MATCH($A8,'Scored Accounts'!$A$2:$A$301,0))</f>
        <v>75</v>
      </c>
      <c r="AN8" s="2" t="n">
        <f aca="false">IF((P8/(P8+Q8)*100)&lt;=Assumptions!$B$13,0,IF((P8/(P8+Q8)*100)&lt;Assumptions!$B$14,25,IF((P8/(P8+Q8)*100)&lt;Assumptions!$B$15,50,IF((P8/(P8+Q8)*100)&lt;Assumptions!$B$16,75,100))))</f>
        <v>75</v>
      </c>
      <c r="AO8" s="21" t="n">
        <f aca="false">IF((P8/(P8+Q8)*100)&lt;=Assumptions!$B$8,0,AN8*Assumptions!$B$4+INDEX('Scored Accounts'!$N$2:$N$301,MATCH($A8,'Scored Accounts'!$A$2:$A$301,0))*Assumptions!$B$5+INDEX('Scored Accounts'!$O$2:$O$301,MATCH($A8,'Scored Accounts'!$A$2:$A$301,0))*Assumptions!$B$6)</f>
        <v>87.5</v>
      </c>
      <c r="AP8" s="2" t="str">
        <f aca="false">IF(AO8&gt;=Assumptions!$B$9,"High",IF(AO8&gt;=Assumptions!$B$10,"Medium","Low"))</f>
        <v>High</v>
      </c>
      <c r="AQ8" s="10" t="b">
        <f aca="false">OR((E8&lt;=Assumptions!$B$8)&lt;&gt;((P8/(P8+Q8)*100)&lt;=Assumptions!$B$8),AM8&lt;&gt;AN8,G8&lt;&gt;AP8)</f>
        <v>0</v>
      </c>
      <c r="AR8" s="2" t="str">
        <f aca="false">IF(AP8&lt;&gt;"Low","Broker-Reliant",IF(B8="Account Managed","AM-Owned / Self-Serving","Self-Serve"))</f>
        <v>Broker-Reliant</v>
      </c>
      <c r="AS8" s="2" t="str">
        <f aca="false">IF(AR8="Broker-Reliant",IF(J8="Tail","5. Cost-to-Serve / Low-Touch",IF(OR(N8="Growing",N8="Stable"),"1. Migration Candidate",IF(N8="Declining","2. Protect / Retain First",IF(N8="Lapsed","3. Win-Back / Verify",IF(N8="H2 Active / No H1 GMV","4. Establish / Re-establish / Observe","UNASSIGNED"))))),IF(AP8="Low",IF(J8="Tail","9. Long-Tail Automated Nurture",IF(OR(N8="Growing",N8="Stable"),"6. Growth Opportunity",IF(N8="H2 Active / No H1 GMV","7. Onboard / Re-engage / Learn",IF(OR(N8="Declining",N8="Lapsed"),"8. Retention / Reactivation","UNASSIGNED")))),"UNASSIGNED"))</f>
        <v>1. Migration Candidate</v>
      </c>
      <c r="AT8" s="10" t="b">
        <f aca="false">AS8&lt;&gt;T8</f>
        <v>0</v>
      </c>
      <c r="AU8" s="2" t="str">
        <f aca="false">IF(NOT(U8),"Not Eligible",IF(OR(AQ8,AH8,AK8,NOT(AND(W8&gt;=Assumptions!$B$83,O8&gt;=Assumptions!$B$84))),"Manual Review","Ready"))</f>
        <v>Not Eligible</v>
      </c>
      <c r="AV8" s="2" t="str">
        <f aca="false">IF(AG8,"Key account - human sign-off required; ","")&amp;IF(AH8,"Borderline momentum; ","")&amp;IF(AK8,"February-sensitive ("&amp;N8&amp;" -&gt; "&amp;AJ8&amp;"); ","")&amp;IF(AL8="One-Off / Insufficient History — Verify","Lapsed on thin history - verify; ","")&amp;IF(AQ8,"Material broker % inconsistency (implied tier "&amp;AP8&amp;"); ","")&amp;IF(AT8,"Implied broker % would move segment to "&amp;AS8&amp;"; ","")</f>
        <v>Key account - human sign-off required; </v>
      </c>
      <c r="AW8" s="10" t="b">
        <f aca="false">AND(G8="Low",J8="Tail",I8&gt;=Assumptions!$B$64,O8&gt;=Assumptions!$B$65,OR(N8="Growing",N8="Stable",AND(N8="H2 Active / No H1 GMV",W8&gt;=2)),OR(R8&gt;=Assumptions!$B$66,S8&gt;=Assumptions!$B$67))</f>
        <v>0</v>
      </c>
    </row>
    <row r="9" customFormat="false" ht="15" hidden="false" customHeight="false" outlineLevel="0" collapsed="false">
      <c r="A9" s="2" t="s">
        <v>161</v>
      </c>
      <c r="B9" s="2" t="s">
        <v>1571</v>
      </c>
      <c r="C9" s="2" t="s">
        <v>1572</v>
      </c>
      <c r="D9" s="2" t="n">
        <v>15</v>
      </c>
      <c r="E9" s="2" t="n">
        <v>84</v>
      </c>
      <c r="F9" s="21" t="n">
        <f aca="false">INDEX('Scored Accounts'!$Q$2:$Q$301,MATCH($A9,'Scored Accounts'!$A$2:$A$301,0))</f>
        <v>100</v>
      </c>
      <c r="G9" s="2" t="str">
        <f aca="false">INDEX('Scored Accounts'!$R$2:$R$301,MATCH($A9,'Scored Accounts'!$A$2:$A$301,0))</f>
        <v>High</v>
      </c>
      <c r="H9" s="2" t="str">
        <f aca="false">IF(OR(G9="High",G9="Medium"),"Broker-Reliant",IF(AND(G9="Low",B9="Account Managed"),"AM-Owned / Self-Serving",IF(AND(G9="Low",B9="Self Serve"),"Self-Serve","UNASSIGNED")))</f>
        <v>Broker-Reliant</v>
      </c>
      <c r="I9" s="9" t="n">
        <v>19265</v>
      </c>
      <c r="J9" s="2" t="str">
        <f aca="false">IF(I9&gt;=Assumptions!$B$35,"Key",IF(I9&gt;=Assumptions!$B$34,"Core","Tail"))</f>
        <v>Key</v>
      </c>
      <c r="K9" s="9" t="n">
        <f aca="false">INDEX('Commercial View'!$R$2:$R$301,MATCH($A9,'Commercial View'!$A$2:$A$301,0))</f>
        <v>12458</v>
      </c>
      <c r="L9" s="9" t="n">
        <f aca="false">INDEX('Commercial View'!$S$2:$S$301,MATCH($A9,'Commercial View'!$A$2:$A$301,0))</f>
        <v>6808</v>
      </c>
      <c r="M9" s="17" t="n">
        <f aca="false">INDEX('Commercial View'!$T$2:$T$301,MATCH($A9,'Commercial View'!$A$2:$A$301,0))</f>
        <v>-0.453523840102745</v>
      </c>
      <c r="N9" s="2" t="str">
        <f aca="false">INDEX('Commercial View'!$U$2:$U$301,MATCH($A9,'Commercial View'!$A$2:$A$301,0))</f>
        <v>Declining</v>
      </c>
      <c r="O9" s="2" t="n">
        <v>16</v>
      </c>
      <c r="P9" s="2" t="n">
        <v>13</v>
      </c>
      <c r="Q9" s="2" t="n">
        <v>3</v>
      </c>
      <c r="R9" s="2" t="n">
        <v>4</v>
      </c>
      <c r="S9" s="2" t="n">
        <v>0</v>
      </c>
      <c r="T9" s="2" t="str">
        <f aca="false">IF(H9="Broker-Reliant",IF(J9="Tail","5. Cost-to-Serve / Low-Touch",IF(OR(N9="Growing",N9="Stable"),"1. Migration Candidate",IF(N9="Declining","2. Protect / Retain First",IF(N9="Lapsed","3. Win-Back / Verify",IF(N9="H2 Active / No H1 GMV","4. Establish / Re-establish / Observe","UNASSIGNED"))))),IF(G9="Low",IF(J9="Tail","9. Long-Tail Automated Nurture",IF(OR(N9="Growing",N9="Stable"),"6. Growth Opportunity",IF(N9="H2 Active / No H1 GMV","7. Onboard / Re-engage / Learn",IF(OR(N9="Declining",N9="Lapsed"),"8. Retention / Reactivation","UNASSIGNED")))),"UNASSIGNED"))</f>
        <v>2. Protect / Retain First</v>
      </c>
      <c r="U9" s="10" t="b">
        <f aca="false">AND(T9="1. Migration Candidate",J9="Core",O9&gt;=Assumptions!$B$39,Q9&gt;=Assumptions!$B$40,NOT(Z9))</f>
        <v>0</v>
      </c>
      <c r="V9" s="2" t="n">
        <f aca="false">(AND(H9="Broker-Reliant",J9&lt;&gt;"Tail",OR(N9="Growing",N9="Stable")))*1+(AND(H9="Broker-Reliant",J9&lt;&gt;"Tail",N9="Declining"))*1+(AND(H9="Broker-Reliant",J9&lt;&gt;"Tail",N9="Lapsed"))*1+(AND(H9="Broker-Reliant",J9&lt;&gt;"Tail",N9="H2 Active / No H1 GMV"))*1+(AND(H9="Broker-Reliant",J9="Tail"))*1+(AND(G9="Low",J9&lt;&gt;"Tail",OR(N9="Growing",N9="Stable")))*1+(AND(G9="Low",J9&lt;&gt;"Tail",N9="H2 Active / No H1 GMV"))*1+(AND(G9="Low",J9&lt;&gt;"Tail",OR(N9="Declining",N9="Lapsed")))*1+(AND(G9="Low",J9="Tail"))*1</f>
        <v>1</v>
      </c>
      <c r="W9" s="2" t="n">
        <f aca="false">INDEX('Commercial View'!$V$2:$V$301,MATCH($A9,'Commercial View'!$A$2:$A$301,0))</f>
        <v>5</v>
      </c>
      <c r="X9" s="10" t="b">
        <f aca="false">O9&lt;=Assumptions!$B$30</f>
        <v>0</v>
      </c>
      <c r="Y9" s="10" t="b">
        <f aca="false">W9&lt;=1</f>
        <v>0</v>
      </c>
      <c r="Z9" s="10" t="b">
        <f aca="false">C9="Duplicate"</f>
        <v>0</v>
      </c>
      <c r="AA9" s="10" t="b">
        <f aca="false">C9=""</f>
        <v>0</v>
      </c>
      <c r="AB9" s="2" t="n">
        <f aca="false">IF(P9+Q9&gt;0,ROUND(P9/(P9+Q9)*100,0),"")</f>
        <v>81</v>
      </c>
      <c r="AC9" s="2" t="n">
        <f aca="false">IF(P9+Q9&gt;0,ROUND(E9-P9/(P9+Q9)*100,0),"")</f>
        <v>3</v>
      </c>
      <c r="AD9" s="10" t="b">
        <f aca="false">IF(AC9="",FALSE(),ABS(AC9)&gt;Assumptions!$B$41)</f>
        <v>0</v>
      </c>
      <c r="AE9" s="2" t="str">
        <f aca="false">IF(X9,"Low confidence (&lt;=2 orders); ","")&amp;IF(Y9,"Single-month history; ","")&amp;IF(Z9,"CRITICAL: Duplicate status; ","")&amp;IF(AA9,"Missing status; ","")&amp;IF(AD9,"Broker % vs counts gap "&amp;TEXT(AC9,"+0;-0")&amp;"pts; ","")</f>
        <v/>
      </c>
      <c r="AF9" s="2" t="str">
        <f aca="false">IF(AND(K9=0,L9&gt;0),IF(D9&lt;=Assumptions!$B$47,"New Customer","Returned Customer"),"Existing Customer")</f>
        <v>Existing Customer</v>
      </c>
      <c r="AG9" s="10" t="b">
        <f aca="false">AND(T9="1. Migration Candidate",J9="Key")</f>
        <v>0</v>
      </c>
      <c r="AH9" s="10" t="b">
        <f aca="false">IF(AND(K9&gt;0,L9&gt;0),OR(ABS(M9-Assumptions!$B$36)&lt;=Assumptions!$B$46,ABS(M9+Assumptions!$B$36)&lt;=Assumptions!$B$46),FALSE())</f>
        <v>0</v>
      </c>
      <c r="AI9" s="9" t="n">
        <f aca="false">INDEX('Commercial View'!$L$2:$L$301,MATCH($A9,'Commercial View'!$A$2:$A$301,0))+INDEX('Commercial View'!$M$2:$M$301,MATCH($A9,'Commercial View'!$A$2:$A$301,0))</f>
        <v>6095</v>
      </c>
      <c r="AJ9" s="2" t="str">
        <f aca="false">IF(AND(K9=0,AI9=0),"No activity ex-Feb",IF(AI9=0,"Lapsed",IF(K9=0,"H2 Active / No H1 GMV",IF((AI9/2)/(K9/3)-1&gt;=Assumptions!$B$36,"Growing",IF((AI9/2)/(K9/3)-1&lt;-Assumptions!$B$36,"Declining","Stable")))))</f>
        <v>Declining</v>
      </c>
      <c r="AK9" s="10" t="b">
        <f aca="false">IF(OR(N9="Growing",N9="Stable"),"Healthy",N9)&lt;&gt;IF(OR(AJ9="Growing",AJ9="Stable"),"Healthy",AJ9)</f>
        <v>0</v>
      </c>
      <c r="AL9" s="2" t="str">
        <f aca="false">IF(N9="Lapsed",IF(OR(O9&lt;=Assumptions!$B$48,W9&lt;=Assumptions!$B$49),"One-Off / Insufficient History — Verify","Established Buyer Lapsed"),"N/A")</f>
        <v>N/A</v>
      </c>
      <c r="AM9" s="2" t="n">
        <f aca="false">INDEX('Scored Accounts'!$M$2:$M$301,MATCH($A9,'Scored Accounts'!$A$2:$A$301,0))</f>
        <v>100</v>
      </c>
      <c r="AN9" s="2" t="n">
        <f aca="false">IF((P9/(P9+Q9)*100)&lt;=Assumptions!$B$13,0,IF((P9/(P9+Q9)*100)&lt;Assumptions!$B$14,25,IF((P9/(P9+Q9)*100)&lt;Assumptions!$B$15,50,IF((P9/(P9+Q9)*100)&lt;Assumptions!$B$16,75,100))))</f>
        <v>100</v>
      </c>
      <c r="AO9" s="21" t="n">
        <f aca="false">IF((P9/(P9+Q9)*100)&lt;=Assumptions!$B$8,0,AN9*Assumptions!$B$4+INDEX('Scored Accounts'!$N$2:$N$301,MATCH($A9,'Scored Accounts'!$A$2:$A$301,0))*Assumptions!$B$5+INDEX('Scored Accounts'!$O$2:$O$301,MATCH($A9,'Scored Accounts'!$A$2:$A$301,0))*Assumptions!$B$6)</f>
        <v>100</v>
      </c>
      <c r="AP9" s="2" t="str">
        <f aca="false">IF(AO9&gt;=Assumptions!$B$9,"High",IF(AO9&gt;=Assumptions!$B$10,"Medium","Low"))</f>
        <v>High</v>
      </c>
      <c r="AQ9" s="10" t="b">
        <f aca="false">OR((E9&lt;=Assumptions!$B$8)&lt;&gt;((P9/(P9+Q9)*100)&lt;=Assumptions!$B$8),AM9&lt;&gt;AN9,G9&lt;&gt;AP9)</f>
        <v>0</v>
      </c>
      <c r="AR9" s="2" t="str">
        <f aca="false">IF(AP9&lt;&gt;"Low","Broker-Reliant",IF(B9="Account Managed","AM-Owned / Self-Serving","Self-Serve"))</f>
        <v>Broker-Reliant</v>
      </c>
      <c r="AS9" s="2" t="str">
        <f aca="false">IF(AR9="Broker-Reliant",IF(J9="Tail","5. Cost-to-Serve / Low-Touch",IF(OR(N9="Growing",N9="Stable"),"1. Migration Candidate",IF(N9="Declining","2. Protect / Retain First",IF(N9="Lapsed","3. Win-Back / Verify",IF(N9="H2 Active / No H1 GMV","4. Establish / Re-establish / Observe","UNASSIGNED"))))),IF(AP9="Low",IF(J9="Tail","9. Long-Tail Automated Nurture",IF(OR(N9="Growing",N9="Stable"),"6. Growth Opportunity",IF(N9="H2 Active / No H1 GMV","7. Onboard / Re-engage / Learn",IF(OR(N9="Declining",N9="Lapsed"),"8. Retention / Reactivation","UNASSIGNED")))),"UNASSIGNED"))</f>
        <v>2. Protect / Retain First</v>
      </c>
      <c r="AT9" s="10" t="b">
        <f aca="false">AS9&lt;&gt;T9</f>
        <v>0</v>
      </c>
      <c r="AU9" s="2" t="str">
        <f aca="false">IF(NOT(U9),"Not Eligible",IF(OR(AQ9,AH9,AK9,NOT(AND(W9&gt;=Assumptions!$B$83,O9&gt;=Assumptions!$B$84))),"Manual Review","Ready"))</f>
        <v>Not Eligible</v>
      </c>
      <c r="AV9" s="2" t="str">
        <f aca="false">IF(AG9,"Key account - human sign-off required; ","")&amp;IF(AH9,"Borderline momentum; ","")&amp;IF(AK9,"February-sensitive ("&amp;N9&amp;" -&gt; "&amp;AJ9&amp;"); ","")&amp;IF(AL9="One-Off / Insufficient History — Verify","Lapsed on thin history - verify; ","")&amp;IF(AQ9,"Material broker % inconsistency (implied tier "&amp;AP9&amp;"); ","")&amp;IF(AT9,"Implied broker % would move segment to "&amp;AS9&amp;"; ","")</f>
        <v/>
      </c>
      <c r="AW9" s="10" t="b">
        <f aca="false">AND(G9="Low",J9="Tail",I9&gt;=Assumptions!$B$64,O9&gt;=Assumptions!$B$65,OR(N9="Growing",N9="Stable",AND(N9="H2 Active / No H1 GMV",W9&gt;=2)),OR(R9&gt;=Assumptions!$B$66,S9&gt;=Assumptions!$B$67))</f>
        <v>0</v>
      </c>
    </row>
    <row r="10" customFormat="false" ht="15" hidden="false" customHeight="false" outlineLevel="0" collapsed="false">
      <c r="A10" s="2" t="s">
        <v>168</v>
      </c>
      <c r="B10" s="2" t="s">
        <v>1571</v>
      </c>
      <c r="C10" s="2" t="s">
        <v>1572</v>
      </c>
      <c r="D10" s="2" t="n">
        <v>8</v>
      </c>
      <c r="E10" s="2" t="n">
        <v>68</v>
      </c>
      <c r="F10" s="21" t="n">
        <f aca="false">INDEX('Scored Accounts'!$Q$2:$Q$301,MATCH($A10,'Scored Accounts'!$A$2:$A$301,0))</f>
        <v>82.5</v>
      </c>
      <c r="G10" s="2" t="str">
        <f aca="false">INDEX('Scored Accounts'!$R$2:$R$301,MATCH($A10,'Scored Accounts'!$A$2:$A$301,0))</f>
        <v>High</v>
      </c>
      <c r="H10" s="2" t="str">
        <f aca="false">IF(OR(G10="High",G10="Medium"),"Broker-Reliant",IF(AND(G10="Low",B10="Account Managed"),"AM-Owned / Self-Serving",IF(AND(G10="Low",B10="Self Serve"),"Self-Serve","UNASSIGNED")))</f>
        <v>Broker-Reliant</v>
      </c>
      <c r="I10" s="9" t="n">
        <v>18652</v>
      </c>
      <c r="J10" s="2" t="str">
        <f aca="false">IF(I10&gt;=Assumptions!$B$35,"Key",IF(I10&gt;=Assumptions!$B$34,"Core","Tail"))</f>
        <v>Key</v>
      </c>
      <c r="K10" s="9" t="n">
        <f aca="false">INDEX('Commercial View'!$R$2:$R$301,MATCH($A10,'Commercial View'!$A$2:$A$301,0))</f>
        <v>12807</v>
      </c>
      <c r="L10" s="9" t="n">
        <f aca="false">INDEX('Commercial View'!$S$2:$S$301,MATCH($A10,'Commercial View'!$A$2:$A$301,0))</f>
        <v>5845</v>
      </c>
      <c r="M10" s="17" t="n">
        <f aca="false">INDEX('Commercial View'!$T$2:$T$301,MATCH($A10,'Commercial View'!$A$2:$A$301,0))</f>
        <v>-0.543608963847896</v>
      </c>
      <c r="N10" s="2" t="str">
        <f aca="false">INDEX('Commercial View'!$U$2:$U$301,MATCH($A10,'Commercial View'!$A$2:$A$301,0))</f>
        <v>Declining</v>
      </c>
      <c r="O10" s="2" t="n">
        <v>35</v>
      </c>
      <c r="P10" s="2" t="n">
        <v>24</v>
      </c>
      <c r="Q10" s="2" t="n">
        <v>11</v>
      </c>
      <c r="R10" s="2" t="n">
        <v>1</v>
      </c>
      <c r="S10" s="2" t="n">
        <v>1</v>
      </c>
      <c r="T10" s="2" t="str">
        <f aca="false">IF(H10="Broker-Reliant",IF(J10="Tail","5. Cost-to-Serve / Low-Touch",IF(OR(N10="Growing",N10="Stable"),"1. Migration Candidate",IF(N10="Declining","2. Protect / Retain First",IF(N10="Lapsed","3. Win-Back / Verify",IF(N10="H2 Active / No H1 GMV","4. Establish / Re-establish / Observe","UNASSIGNED"))))),IF(G10="Low",IF(J10="Tail","9. Long-Tail Automated Nurture",IF(OR(N10="Growing",N10="Stable"),"6. Growth Opportunity",IF(N10="H2 Active / No H1 GMV","7. Onboard / Re-engage / Learn",IF(OR(N10="Declining",N10="Lapsed"),"8. Retention / Reactivation","UNASSIGNED")))),"UNASSIGNED"))</f>
        <v>2. Protect / Retain First</v>
      </c>
      <c r="U10" s="10" t="b">
        <f aca="false">AND(T10="1. Migration Candidate",J10="Core",O10&gt;=Assumptions!$B$39,Q10&gt;=Assumptions!$B$40,NOT(Z10))</f>
        <v>0</v>
      </c>
      <c r="V10" s="2" t="n">
        <f aca="false">(AND(H10="Broker-Reliant",J10&lt;&gt;"Tail",OR(N10="Growing",N10="Stable")))*1+(AND(H10="Broker-Reliant",J10&lt;&gt;"Tail",N10="Declining"))*1+(AND(H10="Broker-Reliant",J10&lt;&gt;"Tail",N10="Lapsed"))*1+(AND(H10="Broker-Reliant",J10&lt;&gt;"Tail",N10="H2 Active / No H1 GMV"))*1+(AND(H10="Broker-Reliant",J10="Tail"))*1+(AND(G10="Low",J10&lt;&gt;"Tail",OR(N10="Growing",N10="Stable")))*1+(AND(G10="Low",J10&lt;&gt;"Tail",N10="H2 Active / No H1 GMV"))*1+(AND(G10="Low",J10&lt;&gt;"Tail",OR(N10="Declining",N10="Lapsed")))*1+(AND(G10="Low",J10="Tail"))*1</f>
        <v>1</v>
      </c>
      <c r="W10" s="2" t="n">
        <f aca="false">INDEX('Commercial View'!$V$2:$V$301,MATCH($A10,'Commercial View'!$A$2:$A$301,0))</f>
        <v>6</v>
      </c>
      <c r="X10" s="10" t="b">
        <f aca="false">O10&lt;=Assumptions!$B$30</f>
        <v>0</v>
      </c>
      <c r="Y10" s="10" t="b">
        <f aca="false">W10&lt;=1</f>
        <v>0</v>
      </c>
      <c r="Z10" s="10" t="b">
        <f aca="false">C10="Duplicate"</f>
        <v>0</v>
      </c>
      <c r="AA10" s="10" t="b">
        <f aca="false">C10=""</f>
        <v>0</v>
      </c>
      <c r="AB10" s="2" t="n">
        <f aca="false">IF(P10+Q10&gt;0,ROUND(P10/(P10+Q10)*100,0),"")</f>
        <v>69</v>
      </c>
      <c r="AC10" s="2" t="n">
        <f aca="false">IF(P10+Q10&gt;0,ROUND(E10-P10/(P10+Q10)*100,0),"")</f>
        <v>-1</v>
      </c>
      <c r="AD10" s="10" t="b">
        <f aca="false">IF(AC10="",FALSE(),ABS(AC10)&gt;Assumptions!$B$41)</f>
        <v>0</v>
      </c>
      <c r="AE10" s="2" t="str">
        <f aca="false">IF(X10,"Low confidence (&lt;=2 orders); ","")&amp;IF(Y10,"Single-month history; ","")&amp;IF(Z10,"CRITICAL: Duplicate status; ","")&amp;IF(AA10,"Missing status; ","")&amp;IF(AD10,"Broker % vs counts gap "&amp;TEXT(AC10,"+0;-0")&amp;"pts; ","")</f>
        <v/>
      </c>
      <c r="AF10" s="2" t="str">
        <f aca="false">IF(AND(K10=0,L10&gt;0),IF(D10&lt;=Assumptions!$B$47,"New Customer","Returned Customer"),"Existing Customer")</f>
        <v>Existing Customer</v>
      </c>
      <c r="AG10" s="10" t="b">
        <f aca="false">AND(T10="1. Migration Candidate",J10="Key")</f>
        <v>0</v>
      </c>
      <c r="AH10" s="10" t="b">
        <f aca="false">IF(AND(K10&gt;0,L10&gt;0),OR(ABS(M10-Assumptions!$B$36)&lt;=Assumptions!$B$46,ABS(M10+Assumptions!$B$36)&lt;=Assumptions!$B$46),FALSE())</f>
        <v>0</v>
      </c>
      <c r="AI10" s="9" t="n">
        <f aca="false">INDEX('Commercial View'!$L$2:$L$301,MATCH($A10,'Commercial View'!$A$2:$A$301,0))+INDEX('Commercial View'!$M$2:$M$301,MATCH($A10,'Commercial View'!$A$2:$A$301,0))</f>
        <v>4065</v>
      </c>
      <c r="AJ10" s="2" t="str">
        <f aca="false">IF(AND(K10=0,AI10=0),"No activity ex-Feb",IF(AI10=0,"Lapsed",IF(K10=0,"H2 Active / No H1 GMV",IF((AI10/2)/(K10/3)-1&gt;=Assumptions!$B$36,"Growing",IF((AI10/2)/(K10/3)-1&lt;-Assumptions!$B$36,"Declining","Stable")))))</f>
        <v>Declining</v>
      </c>
      <c r="AK10" s="10" t="b">
        <f aca="false">IF(OR(N10="Growing",N10="Stable"),"Healthy",N10)&lt;&gt;IF(OR(AJ10="Growing",AJ10="Stable"),"Healthy",AJ10)</f>
        <v>0</v>
      </c>
      <c r="AL10" s="2" t="str">
        <f aca="false">IF(N10="Lapsed",IF(OR(O10&lt;=Assumptions!$B$48,W10&lt;=Assumptions!$B$49),"One-Off / Insufficient History — Verify","Established Buyer Lapsed"),"N/A")</f>
        <v>N/A</v>
      </c>
      <c r="AM10" s="2" t="n">
        <f aca="false">INDEX('Scored Accounts'!$M$2:$M$301,MATCH($A10,'Scored Accounts'!$A$2:$A$301,0))</f>
        <v>75</v>
      </c>
      <c r="AN10" s="2" t="n">
        <f aca="false">IF((P10/(P10+Q10)*100)&lt;=Assumptions!$B$13,0,IF((P10/(P10+Q10)*100)&lt;Assumptions!$B$14,25,IF((P10/(P10+Q10)*100)&lt;Assumptions!$B$15,50,IF((P10/(P10+Q10)*100)&lt;Assumptions!$B$16,75,100))))</f>
        <v>75</v>
      </c>
      <c r="AO10" s="21" t="n">
        <f aca="false">IF((P10/(P10+Q10)*100)&lt;=Assumptions!$B$8,0,AN10*Assumptions!$B$4+INDEX('Scored Accounts'!$N$2:$N$301,MATCH($A10,'Scored Accounts'!$A$2:$A$301,0))*Assumptions!$B$5+INDEX('Scored Accounts'!$O$2:$O$301,MATCH($A10,'Scored Accounts'!$A$2:$A$301,0))*Assumptions!$B$6)</f>
        <v>82.5</v>
      </c>
      <c r="AP10" s="2" t="str">
        <f aca="false">IF(AO10&gt;=Assumptions!$B$9,"High",IF(AO10&gt;=Assumptions!$B$10,"Medium","Low"))</f>
        <v>High</v>
      </c>
      <c r="AQ10" s="10" t="b">
        <f aca="false">OR((E10&lt;=Assumptions!$B$8)&lt;&gt;((P10/(P10+Q10)*100)&lt;=Assumptions!$B$8),AM10&lt;&gt;AN10,G10&lt;&gt;AP10)</f>
        <v>0</v>
      </c>
      <c r="AR10" s="2" t="str">
        <f aca="false">IF(AP10&lt;&gt;"Low","Broker-Reliant",IF(B10="Account Managed","AM-Owned / Self-Serving","Self-Serve"))</f>
        <v>Broker-Reliant</v>
      </c>
      <c r="AS10" s="2" t="str">
        <f aca="false">IF(AR10="Broker-Reliant",IF(J10="Tail","5. Cost-to-Serve / Low-Touch",IF(OR(N10="Growing",N10="Stable"),"1. Migration Candidate",IF(N10="Declining","2. Protect / Retain First",IF(N10="Lapsed","3. Win-Back / Verify",IF(N10="H2 Active / No H1 GMV","4. Establish / Re-establish / Observe","UNASSIGNED"))))),IF(AP10="Low",IF(J10="Tail","9. Long-Tail Automated Nurture",IF(OR(N10="Growing",N10="Stable"),"6. Growth Opportunity",IF(N10="H2 Active / No H1 GMV","7. Onboard / Re-engage / Learn",IF(OR(N10="Declining",N10="Lapsed"),"8. Retention / Reactivation","UNASSIGNED")))),"UNASSIGNED"))</f>
        <v>2. Protect / Retain First</v>
      </c>
      <c r="AT10" s="10" t="b">
        <f aca="false">AS10&lt;&gt;T10</f>
        <v>0</v>
      </c>
      <c r="AU10" s="2" t="str">
        <f aca="false">IF(NOT(U10),"Not Eligible",IF(OR(AQ10,AH10,AK10,NOT(AND(W10&gt;=Assumptions!$B$83,O10&gt;=Assumptions!$B$84))),"Manual Review","Ready"))</f>
        <v>Not Eligible</v>
      </c>
      <c r="AV10" s="2" t="str">
        <f aca="false">IF(AG10,"Key account - human sign-off required; ","")&amp;IF(AH10,"Borderline momentum; ","")&amp;IF(AK10,"February-sensitive ("&amp;N10&amp;" -&gt; "&amp;AJ10&amp;"); ","")&amp;IF(AL10="One-Off / Insufficient History — Verify","Lapsed on thin history - verify; ","")&amp;IF(AQ10,"Material broker % inconsistency (implied tier "&amp;AP10&amp;"); ","")&amp;IF(AT10,"Implied broker % would move segment to "&amp;AS10&amp;"; ","")</f>
        <v/>
      </c>
      <c r="AW10" s="10" t="b">
        <f aca="false">AND(G10="Low",J10="Tail",I10&gt;=Assumptions!$B$64,O10&gt;=Assumptions!$B$65,OR(N10="Growing",N10="Stable",AND(N10="H2 Active / No H1 GMV",W10&gt;=2)),OR(R10&gt;=Assumptions!$B$66,S10&gt;=Assumptions!$B$67))</f>
        <v>0</v>
      </c>
    </row>
    <row r="11" customFormat="false" ht="15" hidden="false" customHeight="false" outlineLevel="0" collapsed="false">
      <c r="A11" s="2" t="s">
        <v>171</v>
      </c>
      <c r="B11" s="2" t="s">
        <v>1571</v>
      </c>
      <c r="C11" s="2" t="s">
        <v>1572</v>
      </c>
      <c r="D11" s="2" t="n">
        <v>10</v>
      </c>
      <c r="E11" s="2" t="n">
        <v>69</v>
      </c>
      <c r="F11" s="21" t="n">
        <f aca="false">INDEX('Scored Accounts'!$Q$2:$Q$301,MATCH($A11,'Scored Accounts'!$A$2:$A$301,0))</f>
        <v>87.5</v>
      </c>
      <c r="G11" s="2" t="str">
        <f aca="false">INDEX('Scored Accounts'!$R$2:$R$301,MATCH($A11,'Scored Accounts'!$A$2:$A$301,0))</f>
        <v>High</v>
      </c>
      <c r="H11" s="2" t="str">
        <f aca="false">IF(OR(G11="High",G11="Medium"),"Broker-Reliant",IF(AND(G11="Low",B11="Account Managed"),"AM-Owned / Self-Serving",IF(AND(G11="Low",B11="Self Serve"),"Self-Serve","UNASSIGNED")))</f>
        <v>Broker-Reliant</v>
      </c>
      <c r="I11" s="9" t="n">
        <v>17026</v>
      </c>
      <c r="J11" s="2" t="str">
        <f aca="false">IF(I11&gt;=Assumptions!$B$35,"Key",IF(I11&gt;=Assumptions!$B$34,"Core","Tail"))</f>
        <v>Key</v>
      </c>
      <c r="K11" s="9" t="n">
        <f aca="false">INDEX('Commercial View'!$R$2:$R$301,MATCH($A11,'Commercial View'!$A$2:$A$301,0))</f>
        <v>11150</v>
      </c>
      <c r="L11" s="9" t="n">
        <f aca="false">INDEX('Commercial View'!$S$2:$S$301,MATCH($A11,'Commercial View'!$A$2:$A$301,0))</f>
        <v>5876</v>
      </c>
      <c r="M11" s="17" t="n">
        <f aca="false">INDEX('Commercial View'!$T$2:$T$301,MATCH($A11,'Commercial View'!$A$2:$A$301,0))</f>
        <v>-0.473004484304933</v>
      </c>
      <c r="N11" s="2" t="str">
        <f aca="false">INDEX('Commercial View'!$U$2:$U$301,MATCH($A11,'Commercial View'!$A$2:$A$301,0))</f>
        <v>Declining</v>
      </c>
      <c r="O11" s="2" t="n">
        <v>13</v>
      </c>
      <c r="P11" s="2" t="n">
        <v>9</v>
      </c>
      <c r="Q11" s="2" t="n">
        <v>4</v>
      </c>
      <c r="R11" s="2" t="n">
        <v>1</v>
      </c>
      <c r="S11" s="2" t="n">
        <v>0</v>
      </c>
      <c r="T11" s="2" t="str">
        <f aca="false">IF(H11="Broker-Reliant",IF(J11="Tail","5. Cost-to-Serve / Low-Touch",IF(OR(N11="Growing",N11="Stable"),"1. Migration Candidate",IF(N11="Declining","2. Protect / Retain First",IF(N11="Lapsed","3. Win-Back / Verify",IF(N11="H2 Active / No H1 GMV","4. Establish / Re-establish / Observe","UNASSIGNED"))))),IF(G11="Low",IF(J11="Tail","9. Long-Tail Automated Nurture",IF(OR(N11="Growing",N11="Stable"),"6. Growth Opportunity",IF(N11="H2 Active / No H1 GMV","7. Onboard / Re-engage / Learn",IF(OR(N11="Declining",N11="Lapsed"),"8. Retention / Reactivation","UNASSIGNED")))),"UNASSIGNED"))</f>
        <v>2. Protect / Retain First</v>
      </c>
      <c r="U11" s="10" t="b">
        <f aca="false">AND(T11="1. Migration Candidate",J11="Core",O11&gt;=Assumptions!$B$39,Q11&gt;=Assumptions!$B$40,NOT(Z11))</f>
        <v>0</v>
      </c>
      <c r="V11" s="2" t="n">
        <f aca="false">(AND(H11="Broker-Reliant",J11&lt;&gt;"Tail",OR(N11="Growing",N11="Stable")))*1+(AND(H11="Broker-Reliant",J11&lt;&gt;"Tail",N11="Declining"))*1+(AND(H11="Broker-Reliant",J11&lt;&gt;"Tail",N11="Lapsed"))*1+(AND(H11="Broker-Reliant",J11&lt;&gt;"Tail",N11="H2 Active / No H1 GMV"))*1+(AND(H11="Broker-Reliant",J11="Tail"))*1+(AND(G11="Low",J11&lt;&gt;"Tail",OR(N11="Growing",N11="Stable")))*1+(AND(G11="Low",J11&lt;&gt;"Tail",N11="H2 Active / No H1 GMV"))*1+(AND(G11="Low",J11&lt;&gt;"Tail",OR(N11="Declining",N11="Lapsed")))*1+(AND(G11="Low",J11="Tail"))*1</f>
        <v>1</v>
      </c>
      <c r="W11" s="2" t="n">
        <f aca="false">INDEX('Commercial View'!$V$2:$V$301,MATCH($A11,'Commercial View'!$A$2:$A$301,0))</f>
        <v>6</v>
      </c>
      <c r="X11" s="10" t="b">
        <f aca="false">O11&lt;=Assumptions!$B$30</f>
        <v>0</v>
      </c>
      <c r="Y11" s="10" t="b">
        <f aca="false">W11&lt;=1</f>
        <v>0</v>
      </c>
      <c r="Z11" s="10" t="b">
        <f aca="false">C11="Duplicate"</f>
        <v>0</v>
      </c>
      <c r="AA11" s="10" t="b">
        <f aca="false">C11=""</f>
        <v>0</v>
      </c>
      <c r="AB11" s="2" t="n">
        <f aca="false">IF(P11+Q11&gt;0,ROUND(P11/(P11+Q11)*100,0),"")</f>
        <v>69</v>
      </c>
      <c r="AC11" s="2" t="n">
        <f aca="false">IF(P11+Q11&gt;0,ROUND(E11-P11/(P11+Q11)*100,0),"")</f>
        <v>-0</v>
      </c>
      <c r="AD11" s="10" t="b">
        <f aca="false">IF(AC11="",FALSE(),ABS(AC11)&gt;Assumptions!$B$41)</f>
        <v>0</v>
      </c>
      <c r="AE11" s="2" t="str">
        <f aca="false">IF(X11,"Low confidence (&lt;=2 orders); ","")&amp;IF(Y11,"Single-month history; ","")&amp;IF(Z11,"CRITICAL: Duplicate status; ","")&amp;IF(AA11,"Missing status; ","")&amp;IF(AD11,"Broker % vs counts gap "&amp;TEXT(AC11,"+0;-0")&amp;"pts; ","")</f>
        <v/>
      </c>
      <c r="AF11" s="2" t="str">
        <f aca="false">IF(AND(K11=0,L11&gt;0),IF(D11&lt;=Assumptions!$B$47,"New Customer","Returned Customer"),"Existing Customer")</f>
        <v>Existing Customer</v>
      </c>
      <c r="AG11" s="10" t="b">
        <f aca="false">AND(T11="1. Migration Candidate",J11="Key")</f>
        <v>0</v>
      </c>
      <c r="AH11" s="10" t="b">
        <f aca="false">IF(AND(K11&gt;0,L11&gt;0),OR(ABS(M11-Assumptions!$B$36)&lt;=Assumptions!$B$46,ABS(M11+Assumptions!$B$36)&lt;=Assumptions!$B$46),FALSE())</f>
        <v>0</v>
      </c>
      <c r="AI11" s="9" t="n">
        <f aca="false">INDEX('Commercial View'!$L$2:$L$301,MATCH($A11,'Commercial View'!$A$2:$A$301,0))+INDEX('Commercial View'!$M$2:$M$301,MATCH($A11,'Commercial View'!$A$2:$A$301,0))</f>
        <v>4278</v>
      </c>
      <c r="AJ11" s="2" t="str">
        <f aca="false">IF(AND(K11=0,AI11=0),"No activity ex-Feb",IF(AI11=0,"Lapsed",IF(K11=0,"H2 Active / No H1 GMV",IF((AI11/2)/(K11/3)-1&gt;=Assumptions!$B$36,"Growing",IF((AI11/2)/(K11/3)-1&lt;-Assumptions!$B$36,"Declining","Stable")))))</f>
        <v>Declining</v>
      </c>
      <c r="AK11" s="10" t="b">
        <f aca="false">IF(OR(N11="Growing",N11="Stable"),"Healthy",N11)&lt;&gt;IF(OR(AJ11="Growing",AJ11="Stable"),"Healthy",AJ11)</f>
        <v>0</v>
      </c>
      <c r="AL11" s="2" t="str">
        <f aca="false">IF(N11="Lapsed",IF(OR(O11&lt;=Assumptions!$B$48,W11&lt;=Assumptions!$B$49),"One-Off / Insufficient History — Verify","Established Buyer Lapsed"),"N/A")</f>
        <v>N/A</v>
      </c>
      <c r="AM11" s="2" t="n">
        <f aca="false">INDEX('Scored Accounts'!$M$2:$M$301,MATCH($A11,'Scored Accounts'!$A$2:$A$301,0))</f>
        <v>75</v>
      </c>
      <c r="AN11" s="2" t="n">
        <f aca="false">IF((P11/(P11+Q11)*100)&lt;=Assumptions!$B$13,0,IF((P11/(P11+Q11)*100)&lt;Assumptions!$B$14,25,IF((P11/(P11+Q11)*100)&lt;Assumptions!$B$15,50,IF((P11/(P11+Q11)*100)&lt;Assumptions!$B$16,75,100))))</f>
        <v>75</v>
      </c>
      <c r="AO11" s="21" t="n">
        <f aca="false">IF((P11/(P11+Q11)*100)&lt;=Assumptions!$B$8,0,AN11*Assumptions!$B$4+INDEX('Scored Accounts'!$N$2:$N$301,MATCH($A11,'Scored Accounts'!$A$2:$A$301,0))*Assumptions!$B$5+INDEX('Scored Accounts'!$O$2:$O$301,MATCH($A11,'Scored Accounts'!$A$2:$A$301,0))*Assumptions!$B$6)</f>
        <v>87.5</v>
      </c>
      <c r="AP11" s="2" t="str">
        <f aca="false">IF(AO11&gt;=Assumptions!$B$9,"High",IF(AO11&gt;=Assumptions!$B$10,"Medium","Low"))</f>
        <v>High</v>
      </c>
      <c r="AQ11" s="10" t="b">
        <f aca="false">OR((E11&lt;=Assumptions!$B$8)&lt;&gt;((P11/(P11+Q11)*100)&lt;=Assumptions!$B$8),AM11&lt;&gt;AN11,G11&lt;&gt;AP11)</f>
        <v>0</v>
      </c>
      <c r="AR11" s="2" t="str">
        <f aca="false">IF(AP11&lt;&gt;"Low","Broker-Reliant",IF(B11="Account Managed","AM-Owned / Self-Serving","Self-Serve"))</f>
        <v>Broker-Reliant</v>
      </c>
      <c r="AS11" s="2" t="str">
        <f aca="false">IF(AR11="Broker-Reliant",IF(J11="Tail","5. Cost-to-Serve / Low-Touch",IF(OR(N11="Growing",N11="Stable"),"1. Migration Candidate",IF(N11="Declining","2. Protect / Retain First",IF(N11="Lapsed","3. Win-Back / Verify",IF(N11="H2 Active / No H1 GMV","4. Establish / Re-establish / Observe","UNASSIGNED"))))),IF(AP11="Low",IF(J11="Tail","9. Long-Tail Automated Nurture",IF(OR(N11="Growing",N11="Stable"),"6. Growth Opportunity",IF(N11="H2 Active / No H1 GMV","7. Onboard / Re-engage / Learn",IF(OR(N11="Declining",N11="Lapsed"),"8. Retention / Reactivation","UNASSIGNED")))),"UNASSIGNED"))</f>
        <v>2. Protect / Retain First</v>
      </c>
      <c r="AT11" s="10" t="b">
        <f aca="false">AS11&lt;&gt;T11</f>
        <v>0</v>
      </c>
      <c r="AU11" s="2" t="str">
        <f aca="false">IF(NOT(U11),"Not Eligible",IF(OR(AQ11,AH11,AK11,NOT(AND(W11&gt;=Assumptions!$B$83,O11&gt;=Assumptions!$B$84))),"Manual Review","Ready"))</f>
        <v>Not Eligible</v>
      </c>
      <c r="AV11" s="2" t="str">
        <f aca="false">IF(AG11,"Key account - human sign-off required; ","")&amp;IF(AH11,"Borderline momentum; ","")&amp;IF(AK11,"February-sensitive ("&amp;N11&amp;" -&gt; "&amp;AJ11&amp;"); ","")&amp;IF(AL11="One-Off / Insufficient History — Verify","Lapsed on thin history - verify; ","")&amp;IF(AQ11,"Material broker % inconsistency (implied tier "&amp;AP11&amp;"); ","")&amp;IF(AT11,"Implied broker % would move segment to "&amp;AS11&amp;"; ","")</f>
        <v/>
      </c>
      <c r="AW11" s="10" t="b">
        <f aca="false">AND(G11="Low",J11="Tail",I11&gt;=Assumptions!$B$64,O11&gt;=Assumptions!$B$65,OR(N11="Growing",N11="Stable",AND(N11="H2 Active / No H1 GMV",W11&gt;=2)),OR(R11&gt;=Assumptions!$B$66,S11&gt;=Assumptions!$B$67))</f>
        <v>0</v>
      </c>
    </row>
    <row r="12" customFormat="false" ht="15" hidden="false" customHeight="false" outlineLevel="0" collapsed="false">
      <c r="A12" s="2" t="s">
        <v>342</v>
      </c>
      <c r="B12" s="2" t="s">
        <v>1571</v>
      </c>
      <c r="C12" s="2" t="s">
        <v>1572</v>
      </c>
      <c r="D12" s="2" t="n">
        <v>34</v>
      </c>
      <c r="E12" s="2" t="n">
        <v>50</v>
      </c>
      <c r="F12" s="21" t="n">
        <f aca="false">INDEX('Scored Accounts'!$Q$2:$Q$301,MATCH($A12,'Scored Accounts'!$A$2:$A$301,0))</f>
        <v>62.5</v>
      </c>
      <c r="G12" s="2" t="str">
        <f aca="false">INDEX('Scored Accounts'!$R$2:$R$301,MATCH($A12,'Scored Accounts'!$A$2:$A$301,0))</f>
        <v>Medium</v>
      </c>
      <c r="H12" s="2" t="str">
        <f aca="false">IF(OR(G12="High",G12="Medium"),"Broker-Reliant",IF(AND(G12="Low",B12="Account Managed"),"AM-Owned / Self-Serving",IF(AND(G12="Low",B12="Self Serve"),"Self-Serve","UNASSIGNED")))</f>
        <v>Broker-Reliant</v>
      </c>
      <c r="I12" s="9" t="n">
        <v>15600</v>
      </c>
      <c r="J12" s="2" t="str">
        <f aca="false">IF(I12&gt;=Assumptions!$B$35,"Key",IF(I12&gt;=Assumptions!$B$34,"Core","Tail"))</f>
        <v>Key</v>
      </c>
      <c r="K12" s="9" t="n">
        <f aca="false">INDEX('Commercial View'!$R$2:$R$301,MATCH($A12,'Commercial View'!$A$2:$A$301,0))</f>
        <v>0</v>
      </c>
      <c r="L12" s="9" t="n">
        <f aca="false">INDEX('Commercial View'!$S$2:$S$301,MATCH($A12,'Commercial View'!$A$2:$A$301,0))</f>
        <v>15600</v>
      </c>
      <c r="M12" s="17" t="str">
        <f aca="false">INDEX('Commercial View'!$T$2:$T$301,MATCH($A12,'Commercial View'!$A$2:$A$301,0))</f>
        <v/>
      </c>
      <c r="N12" s="2" t="str">
        <f aca="false">INDEX('Commercial View'!$U$2:$U$301,MATCH($A12,'Commercial View'!$A$2:$A$301,0))</f>
        <v>H2 Active / No H1 GMV</v>
      </c>
      <c r="O12" s="2" t="n">
        <v>1</v>
      </c>
      <c r="P12" s="2" t="n">
        <v>1</v>
      </c>
      <c r="Q12" s="2" t="n">
        <v>0</v>
      </c>
      <c r="R12" s="2" t="n">
        <v>6</v>
      </c>
      <c r="S12" s="2" t="n">
        <v>1</v>
      </c>
      <c r="T12" s="2" t="str">
        <f aca="false">IF(H12="Broker-Reliant",IF(J12="Tail","5. Cost-to-Serve / Low-Touch",IF(OR(N12="Growing",N12="Stable"),"1. Migration Candidate",IF(N12="Declining","2. Protect / Retain First",IF(N12="Lapsed","3. Win-Back / Verify",IF(N12="H2 Active / No H1 GMV","4. Establish / Re-establish / Observe","UNASSIGNED"))))),IF(G12="Low",IF(J12="Tail","9. Long-Tail Automated Nurture",IF(OR(N12="Growing",N12="Stable"),"6. Growth Opportunity",IF(N12="H2 Active / No H1 GMV","7. Onboard / Re-engage / Learn",IF(OR(N12="Declining",N12="Lapsed"),"8. Retention / Reactivation","UNASSIGNED")))),"UNASSIGNED"))</f>
        <v>4. Establish / Re-establish / Observe</v>
      </c>
      <c r="U12" s="10" t="b">
        <f aca="false">AND(T12="1. Migration Candidate",J12="Core",O12&gt;=Assumptions!$B$39,Q12&gt;=Assumptions!$B$40,NOT(Z12))</f>
        <v>0</v>
      </c>
      <c r="V12" s="2" t="n">
        <f aca="false">(AND(H12="Broker-Reliant",J12&lt;&gt;"Tail",OR(N12="Growing",N12="Stable")))*1+(AND(H12="Broker-Reliant",J12&lt;&gt;"Tail",N12="Declining"))*1+(AND(H12="Broker-Reliant",J12&lt;&gt;"Tail",N12="Lapsed"))*1+(AND(H12="Broker-Reliant",J12&lt;&gt;"Tail",N12="H2 Active / No H1 GMV"))*1+(AND(H12="Broker-Reliant",J12="Tail"))*1+(AND(G12="Low",J12&lt;&gt;"Tail",OR(N12="Growing",N12="Stable")))*1+(AND(G12="Low",J12&lt;&gt;"Tail",N12="H2 Active / No H1 GMV"))*1+(AND(G12="Low",J12&lt;&gt;"Tail",OR(N12="Declining",N12="Lapsed")))*1+(AND(G12="Low",J12="Tail"))*1</f>
        <v>1</v>
      </c>
      <c r="W12" s="2" t="n">
        <f aca="false">INDEX('Commercial View'!$V$2:$V$301,MATCH($A12,'Commercial View'!$A$2:$A$301,0))</f>
        <v>1</v>
      </c>
      <c r="X12" s="10" t="b">
        <f aca="false">O12&lt;=Assumptions!$B$30</f>
        <v>1</v>
      </c>
      <c r="Y12" s="10" t="b">
        <f aca="false">W12&lt;=1</f>
        <v>1</v>
      </c>
      <c r="Z12" s="10" t="b">
        <f aca="false">C12="Duplicate"</f>
        <v>0</v>
      </c>
      <c r="AA12" s="10" t="b">
        <f aca="false">C12=""</f>
        <v>0</v>
      </c>
      <c r="AB12" s="2" t="n">
        <f aca="false">IF(P12+Q12&gt;0,ROUND(P12/(P12+Q12)*100,0),"")</f>
        <v>100</v>
      </c>
      <c r="AC12" s="2" t="n">
        <f aca="false">IF(P12+Q12&gt;0,ROUND(E12-P12/(P12+Q12)*100,0),"")</f>
        <v>-50</v>
      </c>
      <c r="AD12" s="10" t="b">
        <f aca="false">IF(AC12="",FALSE(),ABS(AC12)&gt;Assumptions!$B$41)</f>
        <v>1</v>
      </c>
      <c r="AE12" s="2" t="str">
        <f aca="false">IF(X12,"Low confidence (&lt;=2 orders); ","")&amp;IF(Y12,"Single-month history; ","")&amp;IF(Z12,"CRITICAL: Duplicate status; ","")&amp;IF(AA12,"Missing status; ","")&amp;IF(AD12,"Broker % vs counts gap "&amp;TEXT(AC12,"+0;-0")&amp;"pts; ","")</f>
        <v>Low confidence (&lt;=2 orders); Single-month history; Broker % vs counts gap -50pts; </v>
      </c>
      <c r="AF12" s="2" t="str">
        <f aca="false">IF(AND(K12=0,L12&gt;0),IF(D12&lt;=Assumptions!$B$47,"New Customer","Returned Customer"),"Existing Customer")</f>
        <v>Returned Customer</v>
      </c>
      <c r="AG12" s="10" t="b">
        <f aca="false">AND(T12="1. Migration Candidate",J12="Key")</f>
        <v>0</v>
      </c>
      <c r="AH12" s="10" t="b">
        <f aca="false">IF(AND(K12&gt;0,L12&gt;0),OR(ABS(M12-Assumptions!$B$36)&lt;=Assumptions!$B$46,ABS(M12+Assumptions!$B$36)&lt;=Assumptions!$B$46),FALSE())</f>
        <v>0</v>
      </c>
      <c r="AI12" s="9" t="n">
        <f aca="false">INDEX('Commercial View'!$L$2:$L$301,MATCH($A12,'Commercial View'!$A$2:$A$301,0))+INDEX('Commercial View'!$M$2:$M$301,MATCH($A12,'Commercial View'!$A$2:$A$301,0))</f>
        <v>15600</v>
      </c>
      <c r="AJ12" s="2" t="str">
        <f aca="false">IF(AND(K12=0,AI12=0),"No activity ex-Feb",IF(AI12=0,"Lapsed",IF(K12=0,"H2 Active / No H1 GMV",IF((AI12/2)/(K12/3)-1&gt;=Assumptions!$B$36,"Growing",IF((AI12/2)/(K12/3)-1&lt;-Assumptions!$B$36,"Declining","Stable")))))</f>
        <v>H2 Active / No H1 GMV</v>
      </c>
      <c r="AK12" s="10" t="b">
        <f aca="false">IF(OR(N12="Growing",N12="Stable"),"Healthy",N12)&lt;&gt;IF(OR(AJ12="Growing",AJ12="Stable"),"Healthy",AJ12)</f>
        <v>0</v>
      </c>
      <c r="AL12" s="2" t="str">
        <f aca="false">IF(N12="Lapsed",IF(OR(O12&lt;=Assumptions!$B$48,W12&lt;=Assumptions!$B$49),"One-Off / Insufficient History — Verify","Established Buyer Lapsed"),"N/A")</f>
        <v>N/A</v>
      </c>
      <c r="AM12" s="2" t="n">
        <f aca="false">INDEX('Scored Accounts'!$M$2:$M$301,MATCH($A12,'Scored Accounts'!$A$2:$A$301,0))</f>
        <v>50</v>
      </c>
      <c r="AN12" s="2" t="n">
        <f aca="false">IF((P12/(P12+Q12)*100)&lt;=Assumptions!$B$13,0,IF((P12/(P12+Q12)*100)&lt;Assumptions!$B$14,25,IF((P12/(P12+Q12)*100)&lt;Assumptions!$B$15,50,IF((P12/(P12+Q12)*100)&lt;Assumptions!$B$16,75,100))))</f>
        <v>100</v>
      </c>
      <c r="AO12" s="21" t="n">
        <f aca="false">IF((P12/(P12+Q12)*100)&lt;=Assumptions!$B$8,0,AN12*Assumptions!$B$4+INDEX('Scored Accounts'!$N$2:$N$301,MATCH($A12,'Scored Accounts'!$A$2:$A$301,0))*Assumptions!$B$5+INDEX('Scored Accounts'!$O$2:$O$301,MATCH($A12,'Scored Accounts'!$A$2:$A$301,0))*Assumptions!$B$6)</f>
        <v>87.5</v>
      </c>
      <c r="AP12" s="2" t="str">
        <f aca="false">IF(AO12&gt;=Assumptions!$B$9,"High",IF(AO12&gt;=Assumptions!$B$10,"Medium","Low"))</f>
        <v>High</v>
      </c>
      <c r="AQ12" s="10" t="b">
        <f aca="false">OR((E12&lt;=Assumptions!$B$8)&lt;&gt;((P12/(P12+Q12)*100)&lt;=Assumptions!$B$8),AM12&lt;&gt;AN12,G12&lt;&gt;AP12)</f>
        <v>1</v>
      </c>
      <c r="AR12" s="2" t="str">
        <f aca="false">IF(AP12&lt;&gt;"Low","Broker-Reliant",IF(B12="Account Managed","AM-Owned / Self-Serving","Self-Serve"))</f>
        <v>Broker-Reliant</v>
      </c>
      <c r="AS12" s="2" t="str">
        <f aca="false">IF(AR12="Broker-Reliant",IF(J12="Tail","5. Cost-to-Serve / Low-Touch",IF(OR(N12="Growing",N12="Stable"),"1. Migration Candidate",IF(N12="Declining","2. Protect / Retain First",IF(N12="Lapsed","3. Win-Back / Verify",IF(N12="H2 Active / No H1 GMV","4. Establish / Re-establish / Observe","UNASSIGNED"))))),IF(AP12="Low",IF(J12="Tail","9. Long-Tail Automated Nurture",IF(OR(N12="Growing",N12="Stable"),"6. Growth Opportunity",IF(N12="H2 Active / No H1 GMV","7. Onboard / Re-engage / Learn",IF(OR(N12="Declining",N12="Lapsed"),"8. Retention / Reactivation","UNASSIGNED")))),"UNASSIGNED"))</f>
        <v>4. Establish / Re-establish / Observe</v>
      </c>
      <c r="AT12" s="10" t="b">
        <f aca="false">AS12&lt;&gt;T12</f>
        <v>0</v>
      </c>
      <c r="AU12" s="2" t="str">
        <f aca="false">IF(NOT(U12),"Not Eligible",IF(OR(AQ12,AH12,AK12,NOT(AND(W12&gt;=Assumptions!$B$83,O12&gt;=Assumptions!$B$84))),"Manual Review","Ready"))</f>
        <v>Not Eligible</v>
      </c>
      <c r="AV12" s="2" t="str">
        <f aca="false">IF(AG12,"Key account - human sign-off required; ","")&amp;IF(AH12,"Borderline momentum; ","")&amp;IF(AK12,"February-sensitive ("&amp;N12&amp;" -&gt; "&amp;AJ12&amp;"); ","")&amp;IF(AL12="One-Off / Insufficient History — Verify","Lapsed on thin history - verify; ","")&amp;IF(AQ12,"Material broker % inconsistency (implied tier "&amp;AP12&amp;"); ","")&amp;IF(AT12,"Implied broker % would move segment to "&amp;AS12&amp;"; ","")</f>
        <v>Material broker % inconsistency (implied tier High); </v>
      </c>
      <c r="AW12" s="10" t="b">
        <f aca="false">AND(G12="Low",J12="Tail",I12&gt;=Assumptions!$B$64,O12&gt;=Assumptions!$B$65,OR(N12="Growing",N12="Stable",AND(N12="H2 Active / No H1 GMV",W12&gt;=2)),OR(R12&gt;=Assumptions!$B$66,S12&gt;=Assumptions!$B$67))</f>
        <v>0</v>
      </c>
    </row>
    <row r="13" customFormat="false" ht="15" hidden="false" customHeight="false" outlineLevel="0" collapsed="false">
      <c r="A13" s="2" t="s">
        <v>357</v>
      </c>
      <c r="B13" s="2" t="s">
        <v>1571</v>
      </c>
      <c r="C13" s="2" t="s">
        <v>1572</v>
      </c>
      <c r="D13" s="2" t="n">
        <v>17</v>
      </c>
      <c r="E13" s="2" t="n">
        <v>59</v>
      </c>
      <c r="F13" s="21" t="n">
        <f aca="false">INDEX('Scored Accounts'!$Q$2:$Q$301,MATCH($A13,'Scored Accounts'!$A$2:$A$301,0))</f>
        <v>75</v>
      </c>
      <c r="G13" s="2" t="str">
        <f aca="false">INDEX('Scored Accounts'!$R$2:$R$301,MATCH($A13,'Scored Accounts'!$A$2:$A$301,0))</f>
        <v>High</v>
      </c>
      <c r="H13" s="2" t="str">
        <f aca="false">IF(OR(G13="High",G13="Medium"),"Broker-Reliant",IF(AND(G13="Low",B13="Account Managed"),"AM-Owned / Self-Serving",IF(AND(G13="Low",B13="Self Serve"),"Self-Serve","UNASSIGNED")))</f>
        <v>Broker-Reliant</v>
      </c>
      <c r="I13" s="9" t="n">
        <v>14611</v>
      </c>
      <c r="J13" s="2" t="str">
        <f aca="false">IF(I13&gt;=Assumptions!$B$35,"Key",IF(I13&gt;=Assumptions!$B$34,"Core","Tail"))</f>
        <v>Key</v>
      </c>
      <c r="K13" s="9" t="n">
        <f aca="false">INDEX('Commercial View'!$R$2:$R$301,MATCH($A13,'Commercial View'!$A$2:$A$301,0))</f>
        <v>6126</v>
      </c>
      <c r="L13" s="9" t="n">
        <f aca="false">INDEX('Commercial View'!$S$2:$S$301,MATCH($A13,'Commercial View'!$A$2:$A$301,0))</f>
        <v>8485</v>
      </c>
      <c r="M13" s="17" t="n">
        <f aca="false">INDEX('Commercial View'!$T$2:$T$301,MATCH($A13,'Commercial View'!$A$2:$A$301,0))</f>
        <v>0.385079986940908</v>
      </c>
      <c r="N13" s="2" t="str">
        <f aca="false">INDEX('Commercial View'!$U$2:$U$301,MATCH($A13,'Commercial View'!$A$2:$A$301,0))</f>
        <v>Growing</v>
      </c>
      <c r="O13" s="2" t="n">
        <v>28</v>
      </c>
      <c r="P13" s="2" t="n">
        <v>17</v>
      </c>
      <c r="Q13" s="2" t="n">
        <v>11</v>
      </c>
      <c r="R13" s="2" t="n">
        <v>2</v>
      </c>
      <c r="S13" s="2" t="n">
        <v>0</v>
      </c>
      <c r="T13" s="2" t="str">
        <f aca="false">IF(H13="Broker-Reliant",IF(J13="Tail","5. Cost-to-Serve / Low-Touch",IF(OR(N13="Growing",N13="Stable"),"1. Migration Candidate",IF(N13="Declining","2. Protect / Retain First",IF(N13="Lapsed","3. Win-Back / Verify",IF(N13="H2 Active / No H1 GMV","4. Establish / Re-establish / Observe","UNASSIGNED"))))),IF(G13="Low",IF(J13="Tail","9. Long-Tail Automated Nurture",IF(OR(N13="Growing",N13="Stable"),"6. Growth Opportunity",IF(N13="H2 Active / No H1 GMV","7. Onboard / Re-engage / Learn",IF(OR(N13="Declining",N13="Lapsed"),"8. Retention / Reactivation","UNASSIGNED")))),"UNASSIGNED"))</f>
        <v>1. Migration Candidate</v>
      </c>
      <c r="U13" s="10" t="b">
        <f aca="false">AND(T13="1. Migration Candidate",J13="Core",O13&gt;=Assumptions!$B$39,Q13&gt;=Assumptions!$B$40,NOT(Z13))</f>
        <v>0</v>
      </c>
      <c r="V13" s="2" t="n">
        <f aca="false">(AND(H13="Broker-Reliant",J13&lt;&gt;"Tail",OR(N13="Growing",N13="Stable")))*1+(AND(H13="Broker-Reliant",J13&lt;&gt;"Tail",N13="Declining"))*1+(AND(H13="Broker-Reliant",J13&lt;&gt;"Tail",N13="Lapsed"))*1+(AND(H13="Broker-Reliant",J13&lt;&gt;"Tail",N13="H2 Active / No H1 GMV"))*1+(AND(H13="Broker-Reliant",J13="Tail"))*1+(AND(G13="Low",J13&lt;&gt;"Tail",OR(N13="Growing",N13="Stable")))*1+(AND(G13="Low",J13&lt;&gt;"Tail",N13="H2 Active / No H1 GMV"))*1+(AND(G13="Low",J13&lt;&gt;"Tail",OR(N13="Declining",N13="Lapsed")))*1+(AND(G13="Low",J13="Tail"))*1</f>
        <v>1</v>
      </c>
      <c r="W13" s="2" t="n">
        <f aca="false">INDEX('Commercial View'!$V$2:$V$301,MATCH($A13,'Commercial View'!$A$2:$A$301,0))</f>
        <v>6</v>
      </c>
      <c r="X13" s="10" t="b">
        <f aca="false">O13&lt;=Assumptions!$B$30</f>
        <v>0</v>
      </c>
      <c r="Y13" s="10" t="b">
        <f aca="false">W13&lt;=1</f>
        <v>0</v>
      </c>
      <c r="Z13" s="10" t="b">
        <f aca="false">C13="Duplicate"</f>
        <v>0</v>
      </c>
      <c r="AA13" s="10" t="b">
        <f aca="false">C13=""</f>
        <v>0</v>
      </c>
      <c r="AB13" s="2" t="n">
        <f aca="false">IF(P13+Q13&gt;0,ROUND(P13/(P13+Q13)*100,0),"")</f>
        <v>61</v>
      </c>
      <c r="AC13" s="2" t="n">
        <f aca="false">IF(P13+Q13&gt;0,ROUND(E13-P13/(P13+Q13)*100,0),"")</f>
        <v>-2</v>
      </c>
      <c r="AD13" s="10" t="b">
        <f aca="false">IF(AC13="",FALSE(),ABS(AC13)&gt;Assumptions!$B$41)</f>
        <v>0</v>
      </c>
      <c r="AE13" s="2" t="str">
        <f aca="false">IF(X13,"Low confidence (&lt;=2 orders); ","")&amp;IF(Y13,"Single-month history; ","")&amp;IF(Z13,"CRITICAL: Duplicate status; ","")&amp;IF(AA13,"Missing status; ","")&amp;IF(AD13,"Broker % vs counts gap "&amp;TEXT(AC13,"+0;-0")&amp;"pts; ","")</f>
        <v/>
      </c>
      <c r="AF13" s="2" t="str">
        <f aca="false">IF(AND(K13=0,L13&gt;0),IF(D13&lt;=Assumptions!$B$47,"New Customer","Returned Customer"),"Existing Customer")</f>
        <v>Existing Customer</v>
      </c>
      <c r="AG13" s="10" t="b">
        <f aca="false">AND(T13="1. Migration Candidate",J13="Key")</f>
        <v>1</v>
      </c>
      <c r="AH13" s="10" t="b">
        <f aca="false">IF(AND(K13&gt;0,L13&gt;0),OR(ABS(M13-Assumptions!$B$36)&lt;=Assumptions!$B$46,ABS(M13+Assumptions!$B$36)&lt;=Assumptions!$B$46),FALSE())</f>
        <v>0</v>
      </c>
      <c r="AI13" s="9" t="n">
        <f aca="false">INDEX('Commercial View'!$L$2:$L$301,MATCH($A13,'Commercial View'!$A$2:$A$301,0))+INDEX('Commercial View'!$M$2:$M$301,MATCH($A13,'Commercial View'!$A$2:$A$301,0))</f>
        <v>6112</v>
      </c>
      <c r="AJ13" s="2" t="str">
        <f aca="false">IF(AND(K13=0,AI13=0),"No activity ex-Feb",IF(AI13=0,"Lapsed",IF(K13=0,"H2 Active / No H1 GMV",IF((AI13/2)/(K13/3)-1&gt;=Assumptions!$B$36,"Growing",IF((AI13/2)/(K13/3)-1&lt;-Assumptions!$B$36,"Declining","Stable")))))</f>
        <v>Growing</v>
      </c>
      <c r="AK13" s="10" t="b">
        <f aca="false">IF(OR(N13="Growing",N13="Stable"),"Healthy",N13)&lt;&gt;IF(OR(AJ13="Growing",AJ13="Stable"),"Healthy",AJ13)</f>
        <v>0</v>
      </c>
      <c r="AL13" s="2" t="str">
        <f aca="false">IF(N13="Lapsed",IF(OR(O13&lt;=Assumptions!$B$48,W13&lt;=Assumptions!$B$49),"One-Off / Insufficient History — Verify","Established Buyer Lapsed"),"N/A")</f>
        <v>N/A</v>
      </c>
      <c r="AM13" s="2" t="n">
        <f aca="false">INDEX('Scored Accounts'!$M$2:$M$301,MATCH($A13,'Scored Accounts'!$A$2:$A$301,0))</f>
        <v>50</v>
      </c>
      <c r="AN13" s="2" t="n">
        <f aca="false">IF((P13/(P13+Q13)*100)&lt;=Assumptions!$B$13,0,IF((P13/(P13+Q13)*100)&lt;Assumptions!$B$14,25,IF((P13/(P13+Q13)*100)&lt;Assumptions!$B$15,50,IF((P13/(P13+Q13)*100)&lt;Assumptions!$B$16,75,100))))</f>
        <v>75</v>
      </c>
      <c r="AO13" s="21" t="n">
        <f aca="false">IF((P13/(P13+Q13)*100)&lt;=Assumptions!$B$8,0,AN13*Assumptions!$B$4+INDEX('Scored Accounts'!$N$2:$N$301,MATCH($A13,'Scored Accounts'!$A$2:$A$301,0))*Assumptions!$B$5+INDEX('Scored Accounts'!$O$2:$O$301,MATCH($A13,'Scored Accounts'!$A$2:$A$301,0))*Assumptions!$B$6)</f>
        <v>87.5</v>
      </c>
      <c r="AP13" s="2" t="str">
        <f aca="false">IF(AO13&gt;=Assumptions!$B$9,"High",IF(AO13&gt;=Assumptions!$B$10,"Medium","Low"))</f>
        <v>High</v>
      </c>
      <c r="AQ13" s="10" t="b">
        <f aca="false">OR((E13&lt;=Assumptions!$B$8)&lt;&gt;((P13/(P13+Q13)*100)&lt;=Assumptions!$B$8),AM13&lt;&gt;AN13,G13&lt;&gt;AP13)</f>
        <v>1</v>
      </c>
      <c r="AR13" s="2" t="str">
        <f aca="false">IF(AP13&lt;&gt;"Low","Broker-Reliant",IF(B13="Account Managed","AM-Owned / Self-Serving","Self-Serve"))</f>
        <v>Broker-Reliant</v>
      </c>
      <c r="AS13" s="2" t="str">
        <f aca="false">IF(AR13="Broker-Reliant",IF(J13="Tail","5. Cost-to-Serve / Low-Touch",IF(OR(N13="Growing",N13="Stable"),"1. Migration Candidate",IF(N13="Declining","2. Protect / Retain First",IF(N13="Lapsed","3. Win-Back / Verify",IF(N13="H2 Active / No H1 GMV","4. Establish / Re-establish / Observe","UNASSIGNED"))))),IF(AP13="Low",IF(J13="Tail","9. Long-Tail Automated Nurture",IF(OR(N13="Growing",N13="Stable"),"6. Growth Opportunity",IF(N13="H2 Active / No H1 GMV","7. Onboard / Re-engage / Learn",IF(OR(N13="Declining",N13="Lapsed"),"8. Retention / Reactivation","UNASSIGNED")))),"UNASSIGNED"))</f>
        <v>1. Migration Candidate</v>
      </c>
      <c r="AT13" s="10" t="b">
        <f aca="false">AS13&lt;&gt;T13</f>
        <v>0</v>
      </c>
      <c r="AU13" s="2" t="str">
        <f aca="false">IF(NOT(U13),"Not Eligible",IF(OR(AQ13,AH13,AK13,NOT(AND(W13&gt;=Assumptions!$B$83,O13&gt;=Assumptions!$B$84))),"Manual Review","Ready"))</f>
        <v>Not Eligible</v>
      </c>
      <c r="AV13" s="2" t="str">
        <f aca="false">IF(AG13,"Key account - human sign-off required; ","")&amp;IF(AH13,"Borderline momentum; ","")&amp;IF(AK13,"February-sensitive ("&amp;N13&amp;" -&gt; "&amp;AJ13&amp;"); ","")&amp;IF(AL13="One-Off / Insufficient History — Verify","Lapsed on thin history - verify; ","")&amp;IF(AQ13,"Material broker % inconsistency (implied tier "&amp;AP13&amp;"); ","")&amp;IF(AT13,"Implied broker % would move segment to "&amp;AS13&amp;"; ","")</f>
        <v>Key account - human sign-off required; Material broker % inconsistency (implied tier High); </v>
      </c>
      <c r="AW13" s="10" t="b">
        <f aca="false">AND(G13="Low",J13="Tail",I13&gt;=Assumptions!$B$64,O13&gt;=Assumptions!$B$65,OR(N13="Growing",N13="Stable",AND(N13="H2 Active / No H1 GMV",W13&gt;=2)),OR(R13&gt;=Assumptions!$B$66,S13&gt;=Assumptions!$B$67))</f>
        <v>0</v>
      </c>
    </row>
    <row r="14" customFormat="false" ht="15" hidden="false" customHeight="false" outlineLevel="0" collapsed="false">
      <c r="A14" s="2" t="s">
        <v>175</v>
      </c>
      <c r="B14" s="2" t="s">
        <v>1571</v>
      </c>
      <c r="C14" s="2" t="s">
        <v>1572</v>
      </c>
      <c r="D14" s="2" t="n">
        <v>17</v>
      </c>
      <c r="E14" s="2" t="n">
        <v>59</v>
      </c>
      <c r="F14" s="21" t="n">
        <f aca="false">INDEX('Scored Accounts'!$Q$2:$Q$301,MATCH($A14,'Scored Accounts'!$A$2:$A$301,0))</f>
        <v>62.5</v>
      </c>
      <c r="G14" s="2" t="str">
        <f aca="false">INDEX('Scored Accounts'!$R$2:$R$301,MATCH($A14,'Scored Accounts'!$A$2:$A$301,0))</f>
        <v>Medium</v>
      </c>
      <c r="H14" s="2" t="str">
        <f aca="false">IF(OR(G14="High",G14="Medium"),"Broker-Reliant",IF(AND(G14="Low",B14="Account Managed"),"AM-Owned / Self-Serving",IF(AND(G14="Low",B14="Self Serve"),"Self-Serve","UNASSIGNED")))</f>
        <v>Broker-Reliant</v>
      </c>
      <c r="I14" s="9" t="n">
        <v>14315</v>
      </c>
      <c r="J14" s="2" t="str">
        <f aca="false">IF(I14&gt;=Assumptions!$B$35,"Key",IF(I14&gt;=Assumptions!$B$34,"Core","Tail"))</f>
        <v>Key</v>
      </c>
      <c r="K14" s="9" t="n">
        <f aca="false">INDEX('Commercial View'!$R$2:$R$301,MATCH($A14,'Commercial View'!$A$2:$A$301,0))</f>
        <v>9966</v>
      </c>
      <c r="L14" s="9" t="n">
        <f aca="false">INDEX('Commercial View'!$S$2:$S$301,MATCH($A14,'Commercial View'!$A$2:$A$301,0))</f>
        <v>4350</v>
      </c>
      <c r="M14" s="17" t="n">
        <f aca="false">INDEX('Commercial View'!$T$2:$T$301,MATCH($A14,'Commercial View'!$A$2:$A$301,0))</f>
        <v>-0.563515954244431</v>
      </c>
      <c r="N14" s="2" t="str">
        <f aca="false">INDEX('Commercial View'!$U$2:$U$301,MATCH($A14,'Commercial View'!$A$2:$A$301,0))</f>
        <v>Declining</v>
      </c>
      <c r="O14" s="2" t="n">
        <v>21</v>
      </c>
      <c r="P14" s="2" t="n">
        <v>12</v>
      </c>
      <c r="Q14" s="2" t="n">
        <v>9</v>
      </c>
      <c r="R14" s="2" t="n">
        <v>8</v>
      </c>
      <c r="S14" s="2" t="n">
        <v>1</v>
      </c>
      <c r="T14" s="2" t="str">
        <f aca="false">IF(H14="Broker-Reliant",IF(J14="Tail","5. Cost-to-Serve / Low-Touch",IF(OR(N14="Growing",N14="Stable"),"1. Migration Candidate",IF(N14="Declining","2. Protect / Retain First",IF(N14="Lapsed","3. Win-Back / Verify",IF(N14="H2 Active / No H1 GMV","4. Establish / Re-establish / Observe","UNASSIGNED"))))),IF(G14="Low",IF(J14="Tail","9. Long-Tail Automated Nurture",IF(OR(N14="Growing",N14="Stable"),"6. Growth Opportunity",IF(N14="H2 Active / No H1 GMV","7. Onboard / Re-engage / Learn",IF(OR(N14="Declining",N14="Lapsed"),"8. Retention / Reactivation","UNASSIGNED")))),"UNASSIGNED"))</f>
        <v>2. Protect / Retain First</v>
      </c>
      <c r="U14" s="10" t="b">
        <f aca="false">AND(T14="1. Migration Candidate",J14="Core",O14&gt;=Assumptions!$B$39,Q14&gt;=Assumptions!$B$40,NOT(Z14))</f>
        <v>0</v>
      </c>
      <c r="V14" s="2" t="n">
        <f aca="false">(AND(H14="Broker-Reliant",J14&lt;&gt;"Tail",OR(N14="Growing",N14="Stable")))*1+(AND(H14="Broker-Reliant",J14&lt;&gt;"Tail",N14="Declining"))*1+(AND(H14="Broker-Reliant",J14&lt;&gt;"Tail",N14="Lapsed"))*1+(AND(H14="Broker-Reliant",J14&lt;&gt;"Tail",N14="H2 Active / No H1 GMV"))*1+(AND(H14="Broker-Reliant",J14="Tail"))*1+(AND(G14="Low",J14&lt;&gt;"Tail",OR(N14="Growing",N14="Stable")))*1+(AND(G14="Low",J14&lt;&gt;"Tail",N14="H2 Active / No H1 GMV"))*1+(AND(G14="Low",J14&lt;&gt;"Tail",OR(N14="Declining",N14="Lapsed")))*1+(AND(G14="Low",J14="Tail"))*1</f>
        <v>1</v>
      </c>
      <c r="W14" s="2" t="n">
        <f aca="false">INDEX('Commercial View'!$V$2:$V$301,MATCH($A14,'Commercial View'!$A$2:$A$301,0))</f>
        <v>5</v>
      </c>
      <c r="X14" s="10" t="b">
        <f aca="false">O14&lt;=Assumptions!$B$30</f>
        <v>0</v>
      </c>
      <c r="Y14" s="10" t="b">
        <f aca="false">W14&lt;=1</f>
        <v>0</v>
      </c>
      <c r="Z14" s="10" t="b">
        <f aca="false">C14="Duplicate"</f>
        <v>0</v>
      </c>
      <c r="AA14" s="10" t="b">
        <f aca="false">C14=""</f>
        <v>0</v>
      </c>
      <c r="AB14" s="2" t="n">
        <f aca="false">IF(P14+Q14&gt;0,ROUND(P14/(P14+Q14)*100,0),"")</f>
        <v>57</v>
      </c>
      <c r="AC14" s="2" t="n">
        <f aca="false">IF(P14+Q14&gt;0,ROUND(E14-P14/(P14+Q14)*100,0),"")</f>
        <v>2</v>
      </c>
      <c r="AD14" s="10" t="b">
        <f aca="false">IF(AC14="",FALSE(),ABS(AC14)&gt;Assumptions!$B$41)</f>
        <v>0</v>
      </c>
      <c r="AE14" s="2" t="str">
        <f aca="false">IF(X14,"Low confidence (&lt;=2 orders); ","")&amp;IF(Y14,"Single-month history; ","")&amp;IF(Z14,"CRITICAL: Duplicate status; ","")&amp;IF(AA14,"Missing status; ","")&amp;IF(AD14,"Broker % vs counts gap "&amp;TEXT(AC14,"+0;-0")&amp;"pts; ","")</f>
        <v/>
      </c>
      <c r="AF14" s="2" t="str">
        <f aca="false">IF(AND(K14=0,L14&gt;0),IF(D14&lt;=Assumptions!$B$47,"New Customer","Returned Customer"),"Existing Customer")</f>
        <v>Existing Customer</v>
      </c>
      <c r="AG14" s="10" t="b">
        <f aca="false">AND(T14="1. Migration Candidate",J14="Key")</f>
        <v>0</v>
      </c>
      <c r="AH14" s="10" t="b">
        <f aca="false">IF(AND(K14&gt;0,L14&gt;0),OR(ABS(M14-Assumptions!$B$36)&lt;=Assumptions!$B$46,ABS(M14+Assumptions!$B$36)&lt;=Assumptions!$B$46),FALSE())</f>
        <v>0</v>
      </c>
      <c r="AI14" s="9" t="n">
        <f aca="false">INDEX('Commercial View'!$L$2:$L$301,MATCH($A14,'Commercial View'!$A$2:$A$301,0))+INDEX('Commercial View'!$M$2:$M$301,MATCH($A14,'Commercial View'!$A$2:$A$301,0))</f>
        <v>1703</v>
      </c>
      <c r="AJ14" s="2" t="str">
        <f aca="false">IF(AND(K14=0,AI14=0),"No activity ex-Feb",IF(AI14=0,"Lapsed",IF(K14=0,"H2 Active / No H1 GMV",IF((AI14/2)/(K14/3)-1&gt;=Assumptions!$B$36,"Growing",IF((AI14/2)/(K14/3)-1&lt;-Assumptions!$B$36,"Declining","Stable")))))</f>
        <v>Declining</v>
      </c>
      <c r="AK14" s="10" t="b">
        <f aca="false">IF(OR(N14="Growing",N14="Stable"),"Healthy",N14)&lt;&gt;IF(OR(AJ14="Growing",AJ14="Stable"),"Healthy",AJ14)</f>
        <v>0</v>
      </c>
      <c r="AL14" s="2" t="str">
        <f aca="false">IF(N14="Lapsed",IF(OR(O14&lt;=Assumptions!$B$48,W14&lt;=Assumptions!$B$49),"One-Off / Insufficient History — Verify","Established Buyer Lapsed"),"N/A")</f>
        <v>N/A</v>
      </c>
      <c r="AM14" s="2" t="n">
        <f aca="false">INDEX('Scored Accounts'!$M$2:$M$301,MATCH($A14,'Scored Accounts'!$A$2:$A$301,0))</f>
        <v>50</v>
      </c>
      <c r="AN14" s="2" t="n">
        <f aca="false">IF((P14/(P14+Q14)*100)&lt;=Assumptions!$B$13,0,IF((P14/(P14+Q14)*100)&lt;Assumptions!$B$14,25,IF((P14/(P14+Q14)*100)&lt;Assumptions!$B$15,50,IF((P14/(P14+Q14)*100)&lt;Assumptions!$B$16,75,100))))</f>
        <v>50</v>
      </c>
      <c r="AO14" s="21" t="n">
        <f aca="false">IF((P14/(P14+Q14)*100)&lt;=Assumptions!$B$8,0,AN14*Assumptions!$B$4+INDEX('Scored Accounts'!$N$2:$N$301,MATCH($A14,'Scored Accounts'!$A$2:$A$301,0))*Assumptions!$B$5+INDEX('Scored Accounts'!$O$2:$O$301,MATCH($A14,'Scored Accounts'!$A$2:$A$301,0))*Assumptions!$B$6)</f>
        <v>62.5</v>
      </c>
      <c r="AP14" s="2" t="str">
        <f aca="false">IF(AO14&gt;=Assumptions!$B$9,"High",IF(AO14&gt;=Assumptions!$B$10,"Medium","Low"))</f>
        <v>Medium</v>
      </c>
      <c r="AQ14" s="10" t="b">
        <f aca="false">OR((E14&lt;=Assumptions!$B$8)&lt;&gt;((P14/(P14+Q14)*100)&lt;=Assumptions!$B$8),AM14&lt;&gt;AN14,G14&lt;&gt;AP14)</f>
        <v>0</v>
      </c>
      <c r="AR14" s="2" t="str">
        <f aca="false">IF(AP14&lt;&gt;"Low","Broker-Reliant",IF(B14="Account Managed","AM-Owned / Self-Serving","Self-Serve"))</f>
        <v>Broker-Reliant</v>
      </c>
      <c r="AS14" s="2" t="str">
        <f aca="false">IF(AR14="Broker-Reliant",IF(J14="Tail","5. Cost-to-Serve / Low-Touch",IF(OR(N14="Growing",N14="Stable"),"1. Migration Candidate",IF(N14="Declining","2. Protect / Retain First",IF(N14="Lapsed","3. Win-Back / Verify",IF(N14="H2 Active / No H1 GMV","4. Establish / Re-establish / Observe","UNASSIGNED"))))),IF(AP14="Low",IF(J14="Tail","9. Long-Tail Automated Nurture",IF(OR(N14="Growing",N14="Stable"),"6. Growth Opportunity",IF(N14="H2 Active / No H1 GMV","7. Onboard / Re-engage / Learn",IF(OR(N14="Declining",N14="Lapsed"),"8. Retention / Reactivation","UNASSIGNED")))),"UNASSIGNED"))</f>
        <v>2. Protect / Retain First</v>
      </c>
      <c r="AT14" s="10" t="b">
        <f aca="false">AS14&lt;&gt;T14</f>
        <v>0</v>
      </c>
      <c r="AU14" s="2" t="str">
        <f aca="false">IF(NOT(U14),"Not Eligible",IF(OR(AQ14,AH14,AK14,NOT(AND(W14&gt;=Assumptions!$B$83,O14&gt;=Assumptions!$B$84))),"Manual Review","Ready"))</f>
        <v>Not Eligible</v>
      </c>
      <c r="AV14" s="2" t="str">
        <f aca="false">IF(AG14,"Key account - human sign-off required; ","")&amp;IF(AH14,"Borderline momentum; ","")&amp;IF(AK14,"February-sensitive ("&amp;N14&amp;" -&gt; "&amp;AJ14&amp;"); ","")&amp;IF(AL14="One-Off / Insufficient History — Verify","Lapsed on thin history - verify; ","")&amp;IF(AQ14,"Material broker % inconsistency (implied tier "&amp;AP14&amp;"); ","")&amp;IF(AT14,"Implied broker % would move segment to "&amp;AS14&amp;"; ","")</f>
        <v/>
      </c>
      <c r="AW14" s="10" t="b">
        <f aca="false">AND(G14="Low",J14="Tail",I14&gt;=Assumptions!$B$64,O14&gt;=Assumptions!$B$65,OR(N14="Growing",N14="Stable",AND(N14="H2 Active / No H1 GMV",W14&gt;=2)),OR(R14&gt;=Assumptions!$B$66,S14&gt;=Assumptions!$B$67))</f>
        <v>0</v>
      </c>
    </row>
    <row r="15" customFormat="false" ht="15" hidden="false" customHeight="false" outlineLevel="0" collapsed="false">
      <c r="A15" s="2" t="s">
        <v>189</v>
      </c>
      <c r="B15" s="2" t="s">
        <v>1571</v>
      </c>
      <c r="C15" s="2" t="s">
        <v>1572</v>
      </c>
      <c r="D15" s="2" t="n">
        <v>8</v>
      </c>
      <c r="E15" s="2" t="n">
        <v>81</v>
      </c>
      <c r="F15" s="21" t="n">
        <f aca="false">INDEX('Scored Accounts'!$Q$2:$Q$301,MATCH($A15,'Scored Accounts'!$A$2:$A$301,0))</f>
        <v>92.5</v>
      </c>
      <c r="G15" s="2" t="str">
        <f aca="false">INDEX('Scored Accounts'!$R$2:$R$301,MATCH($A15,'Scored Accounts'!$A$2:$A$301,0))</f>
        <v>High</v>
      </c>
      <c r="H15" s="2" t="str">
        <f aca="false">IF(OR(G15="High",G15="Medium"),"Broker-Reliant",IF(AND(G15="Low",B15="Account Managed"),"AM-Owned / Self-Serving",IF(AND(G15="Low",B15="Self Serve"),"Self-Serve","UNASSIGNED")))</f>
        <v>Broker-Reliant</v>
      </c>
      <c r="I15" s="9" t="n">
        <v>11721</v>
      </c>
      <c r="J15" s="2" t="str">
        <f aca="false">IF(I15&gt;=Assumptions!$B$35,"Key",IF(I15&gt;=Assumptions!$B$34,"Core","Tail"))</f>
        <v>Key</v>
      </c>
      <c r="K15" s="9" t="n">
        <f aca="false">INDEX('Commercial View'!$R$2:$R$301,MATCH($A15,'Commercial View'!$A$2:$A$301,0))</f>
        <v>7060</v>
      </c>
      <c r="L15" s="9" t="n">
        <f aca="false">INDEX('Commercial View'!$S$2:$S$301,MATCH($A15,'Commercial View'!$A$2:$A$301,0))</f>
        <v>4661</v>
      </c>
      <c r="M15" s="17" t="n">
        <f aca="false">INDEX('Commercial View'!$T$2:$T$301,MATCH($A15,'Commercial View'!$A$2:$A$301,0))</f>
        <v>-0.339801699716714</v>
      </c>
      <c r="N15" s="2" t="str">
        <f aca="false">INDEX('Commercial View'!$U$2:$U$301,MATCH($A15,'Commercial View'!$A$2:$A$301,0))</f>
        <v>Declining</v>
      </c>
      <c r="O15" s="2" t="n">
        <v>27</v>
      </c>
      <c r="P15" s="2" t="n">
        <v>22</v>
      </c>
      <c r="Q15" s="2" t="n">
        <v>5</v>
      </c>
      <c r="R15" s="2" t="n">
        <v>5</v>
      </c>
      <c r="S15" s="2" t="n">
        <v>0</v>
      </c>
      <c r="T15" s="2" t="str">
        <f aca="false">IF(H15="Broker-Reliant",IF(J15="Tail","5. Cost-to-Serve / Low-Touch",IF(OR(N15="Growing",N15="Stable"),"1. Migration Candidate",IF(N15="Declining","2. Protect / Retain First",IF(N15="Lapsed","3. Win-Back / Verify",IF(N15="H2 Active / No H1 GMV","4. Establish / Re-establish / Observe","UNASSIGNED"))))),IF(G15="Low",IF(J15="Tail","9. Long-Tail Automated Nurture",IF(OR(N15="Growing",N15="Stable"),"6. Growth Opportunity",IF(N15="H2 Active / No H1 GMV","7. Onboard / Re-engage / Learn",IF(OR(N15="Declining",N15="Lapsed"),"8. Retention / Reactivation","UNASSIGNED")))),"UNASSIGNED"))</f>
        <v>2. Protect / Retain First</v>
      </c>
      <c r="U15" s="10" t="b">
        <f aca="false">AND(T15="1. Migration Candidate",J15="Core",O15&gt;=Assumptions!$B$39,Q15&gt;=Assumptions!$B$40,NOT(Z15))</f>
        <v>0</v>
      </c>
      <c r="V15" s="2" t="n">
        <f aca="false">(AND(H15="Broker-Reliant",J15&lt;&gt;"Tail",OR(N15="Growing",N15="Stable")))*1+(AND(H15="Broker-Reliant",J15&lt;&gt;"Tail",N15="Declining"))*1+(AND(H15="Broker-Reliant",J15&lt;&gt;"Tail",N15="Lapsed"))*1+(AND(H15="Broker-Reliant",J15&lt;&gt;"Tail",N15="H2 Active / No H1 GMV"))*1+(AND(H15="Broker-Reliant",J15="Tail"))*1+(AND(G15="Low",J15&lt;&gt;"Tail",OR(N15="Growing",N15="Stable")))*1+(AND(G15="Low",J15&lt;&gt;"Tail",N15="H2 Active / No H1 GMV"))*1+(AND(G15="Low",J15&lt;&gt;"Tail",OR(N15="Declining",N15="Lapsed")))*1+(AND(G15="Low",J15="Tail"))*1</f>
        <v>1</v>
      </c>
      <c r="W15" s="2" t="n">
        <f aca="false">INDEX('Commercial View'!$V$2:$V$301,MATCH($A15,'Commercial View'!$A$2:$A$301,0))</f>
        <v>6</v>
      </c>
      <c r="X15" s="10" t="b">
        <f aca="false">O15&lt;=Assumptions!$B$30</f>
        <v>0</v>
      </c>
      <c r="Y15" s="10" t="b">
        <f aca="false">W15&lt;=1</f>
        <v>0</v>
      </c>
      <c r="Z15" s="10" t="b">
        <f aca="false">C15="Duplicate"</f>
        <v>0</v>
      </c>
      <c r="AA15" s="10" t="b">
        <f aca="false">C15=""</f>
        <v>0</v>
      </c>
      <c r="AB15" s="2" t="n">
        <f aca="false">IF(P15+Q15&gt;0,ROUND(P15/(P15+Q15)*100,0),"")</f>
        <v>81</v>
      </c>
      <c r="AC15" s="2" t="n">
        <f aca="false">IF(P15+Q15&gt;0,ROUND(E15-P15/(P15+Q15)*100,0),"")</f>
        <v>-0</v>
      </c>
      <c r="AD15" s="10" t="b">
        <f aca="false">IF(AC15="",FALSE(),ABS(AC15)&gt;Assumptions!$B$41)</f>
        <v>0</v>
      </c>
      <c r="AE15" s="2" t="str">
        <f aca="false">IF(X15,"Low confidence (&lt;=2 orders); ","")&amp;IF(Y15,"Single-month history; ","")&amp;IF(Z15,"CRITICAL: Duplicate status; ","")&amp;IF(AA15,"Missing status; ","")&amp;IF(AD15,"Broker % vs counts gap "&amp;TEXT(AC15,"+0;-0")&amp;"pts; ","")</f>
        <v/>
      </c>
      <c r="AF15" s="2" t="str">
        <f aca="false">IF(AND(K15=0,L15&gt;0),IF(D15&lt;=Assumptions!$B$47,"New Customer","Returned Customer"),"Existing Customer")</f>
        <v>Existing Customer</v>
      </c>
      <c r="AG15" s="10" t="b">
        <f aca="false">AND(T15="1. Migration Candidate",J15="Key")</f>
        <v>0</v>
      </c>
      <c r="AH15" s="10" t="b">
        <f aca="false">IF(AND(K15&gt;0,L15&gt;0),OR(ABS(M15-Assumptions!$B$36)&lt;=Assumptions!$B$46,ABS(M15+Assumptions!$B$36)&lt;=Assumptions!$B$46),FALSE())</f>
        <v>0</v>
      </c>
      <c r="AI15" s="9" t="n">
        <f aca="false">INDEX('Commercial View'!$L$2:$L$301,MATCH($A15,'Commercial View'!$A$2:$A$301,0))+INDEX('Commercial View'!$M$2:$M$301,MATCH($A15,'Commercial View'!$A$2:$A$301,0))</f>
        <v>3259</v>
      </c>
      <c r="AJ15" s="2" t="str">
        <f aca="false">IF(AND(K15=0,AI15=0),"No activity ex-Feb",IF(AI15=0,"Lapsed",IF(K15=0,"H2 Active / No H1 GMV",IF((AI15/2)/(K15/3)-1&gt;=Assumptions!$B$36,"Growing",IF((AI15/2)/(K15/3)-1&lt;-Assumptions!$B$36,"Declining","Stable")))))</f>
        <v>Declining</v>
      </c>
      <c r="AK15" s="10" t="b">
        <f aca="false">IF(OR(N15="Growing",N15="Stable"),"Healthy",N15)&lt;&gt;IF(OR(AJ15="Growing",AJ15="Stable"),"Healthy",AJ15)</f>
        <v>0</v>
      </c>
      <c r="AL15" s="2" t="str">
        <f aca="false">IF(N15="Lapsed",IF(OR(O15&lt;=Assumptions!$B$48,W15&lt;=Assumptions!$B$49),"One-Off / Insufficient History — Verify","Established Buyer Lapsed"),"N/A")</f>
        <v>N/A</v>
      </c>
      <c r="AM15" s="2" t="n">
        <f aca="false">INDEX('Scored Accounts'!$M$2:$M$301,MATCH($A15,'Scored Accounts'!$A$2:$A$301,0))</f>
        <v>100</v>
      </c>
      <c r="AN15" s="2" t="n">
        <f aca="false">IF((P15/(P15+Q15)*100)&lt;=Assumptions!$B$13,0,IF((P15/(P15+Q15)*100)&lt;Assumptions!$B$14,25,IF((P15/(P15+Q15)*100)&lt;Assumptions!$B$15,50,IF((P15/(P15+Q15)*100)&lt;Assumptions!$B$16,75,100))))</f>
        <v>100</v>
      </c>
      <c r="AO15" s="21" t="n">
        <f aca="false">IF((P15/(P15+Q15)*100)&lt;=Assumptions!$B$8,0,AN15*Assumptions!$B$4+INDEX('Scored Accounts'!$N$2:$N$301,MATCH($A15,'Scored Accounts'!$A$2:$A$301,0))*Assumptions!$B$5+INDEX('Scored Accounts'!$O$2:$O$301,MATCH($A15,'Scored Accounts'!$A$2:$A$301,0))*Assumptions!$B$6)</f>
        <v>92.5</v>
      </c>
      <c r="AP15" s="2" t="str">
        <f aca="false">IF(AO15&gt;=Assumptions!$B$9,"High",IF(AO15&gt;=Assumptions!$B$10,"Medium","Low"))</f>
        <v>High</v>
      </c>
      <c r="AQ15" s="10" t="b">
        <f aca="false">OR((E15&lt;=Assumptions!$B$8)&lt;&gt;((P15/(P15+Q15)*100)&lt;=Assumptions!$B$8),AM15&lt;&gt;AN15,G15&lt;&gt;AP15)</f>
        <v>0</v>
      </c>
      <c r="AR15" s="2" t="str">
        <f aca="false">IF(AP15&lt;&gt;"Low","Broker-Reliant",IF(B15="Account Managed","AM-Owned / Self-Serving","Self-Serve"))</f>
        <v>Broker-Reliant</v>
      </c>
      <c r="AS15" s="2" t="str">
        <f aca="false">IF(AR15="Broker-Reliant",IF(J15="Tail","5. Cost-to-Serve / Low-Touch",IF(OR(N15="Growing",N15="Stable"),"1. Migration Candidate",IF(N15="Declining","2. Protect / Retain First",IF(N15="Lapsed","3. Win-Back / Verify",IF(N15="H2 Active / No H1 GMV","4. Establish / Re-establish / Observe","UNASSIGNED"))))),IF(AP15="Low",IF(J15="Tail","9. Long-Tail Automated Nurture",IF(OR(N15="Growing",N15="Stable"),"6. Growth Opportunity",IF(N15="H2 Active / No H1 GMV","7. Onboard / Re-engage / Learn",IF(OR(N15="Declining",N15="Lapsed"),"8. Retention / Reactivation","UNASSIGNED")))),"UNASSIGNED"))</f>
        <v>2. Protect / Retain First</v>
      </c>
      <c r="AT15" s="10" t="b">
        <f aca="false">AS15&lt;&gt;T15</f>
        <v>0</v>
      </c>
      <c r="AU15" s="2" t="str">
        <f aca="false">IF(NOT(U15),"Not Eligible",IF(OR(AQ15,AH15,AK15,NOT(AND(W15&gt;=Assumptions!$B$83,O15&gt;=Assumptions!$B$84))),"Manual Review","Ready"))</f>
        <v>Not Eligible</v>
      </c>
      <c r="AV15" s="2" t="str">
        <f aca="false">IF(AG15,"Key account - human sign-off required; ","")&amp;IF(AH15,"Borderline momentum; ","")&amp;IF(AK15,"February-sensitive ("&amp;N15&amp;" -&gt; "&amp;AJ15&amp;"); ","")&amp;IF(AL15="One-Off / Insufficient History — Verify","Lapsed on thin history - verify; ","")&amp;IF(AQ15,"Material broker % inconsistency (implied tier "&amp;AP15&amp;"); ","")&amp;IF(AT15,"Implied broker % would move segment to "&amp;AS15&amp;"; ","")</f>
        <v/>
      </c>
      <c r="AW15" s="10" t="b">
        <f aca="false">AND(G15="Low",J15="Tail",I15&gt;=Assumptions!$B$64,O15&gt;=Assumptions!$B$65,OR(N15="Growing",N15="Stable",AND(N15="H2 Active / No H1 GMV",W15&gt;=2)),OR(R15&gt;=Assumptions!$B$66,S15&gt;=Assumptions!$B$67))</f>
        <v>0</v>
      </c>
    </row>
    <row r="16" customFormat="false" ht="15" hidden="false" customHeight="false" outlineLevel="0" collapsed="false">
      <c r="A16" s="2" t="s">
        <v>192</v>
      </c>
      <c r="B16" s="2" t="s">
        <v>1571</v>
      </c>
      <c r="C16" s="2" t="s">
        <v>1572</v>
      </c>
      <c r="D16" s="2" t="n">
        <v>13</v>
      </c>
      <c r="E16" s="2" t="n">
        <v>64</v>
      </c>
      <c r="F16" s="21" t="n">
        <f aca="false">INDEX('Scored Accounts'!$Q$2:$Q$301,MATCH($A16,'Scored Accounts'!$A$2:$A$301,0))</f>
        <v>75</v>
      </c>
      <c r="G16" s="2" t="str">
        <f aca="false">INDEX('Scored Accounts'!$R$2:$R$301,MATCH($A16,'Scored Accounts'!$A$2:$A$301,0))</f>
        <v>High</v>
      </c>
      <c r="H16" s="2" t="str">
        <f aca="false">IF(OR(G16="High",G16="Medium"),"Broker-Reliant",IF(AND(G16="Low",B16="Account Managed"),"AM-Owned / Self-Serving",IF(AND(G16="Low",B16="Self Serve"),"Self-Serve","UNASSIGNED")))</f>
        <v>Broker-Reliant</v>
      </c>
      <c r="I16" s="9" t="n">
        <v>11481</v>
      </c>
      <c r="J16" s="2" t="str">
        <f aca="false">IF(I16&gt;=Assumptions!$B$35,"Key",IF(I16&gt;=Assumptions!$B$34,"Core","Tail"))</f>
        <v>Key</v>
      </c>
      <c r="K16" s="9" t="n">
        <f aca="false">INDEX('Commercial View'!$R$2:$R$301,MATCH($A16,'Commercial View'!$A$2:$A$301,0))</f>
        <v>11481</v>
      </c>
      <c r="L16" s="9" t="n">
        <f aca="false">INDEX('Commercial View'!$S$2:$S$301,MATCH($A16,'Commercial View'!$A$2:$A$301,0))</f>
        <v>0</v>
      </c>
      <c r="M16" s="17" t="n">
        <f aca="false">INDEX('Commercial View'!$T$2:$T$301,MATCH($A16,'Commercial View'!$A$2:$A$301,0))</f>
        <v>-1</v>
      </c>
      <c r="N16" s="2" t="str">
        <f aca="false">INDEX('Commercial View'!$U$2:$U$301,MATCH($A16,'Commercial View'!$A$2:$A$301,0))</f>
        <v>Lapsed</v>
      </c>
      <c r="O16" s="2" t="n">
        <v>8</v>
      </c>
      <c r="P16" s="2" t="n">
        <v>5</v>
      </c>
      <c r="Q16" s="2" t="n">
        <v>3</v>
      </c>
      <c r="R16" s="2" t="n">
        <v>6</v>
      </c>
      <c r="S16" s="2" t="n">
        <v>1</v>
      </c>
      <c r="T16" s="2" t="str">
        <f aca="false">IF(H16="Broker-Reliant",IF(J16="Tail","5. Cost-to-Serve / Low-Touch",IF(OR(N16="Growing",N16="Stable"),"1. Migration Candidate",IF(N16="Declining","2. Protect / Retain First",IF(N16="Lapsed","3. Win-Back / Verify",IF(N16="H2 Active / No H1 GMV","4. Establish / Re-establish / Observe","UNASSIGNED"))))),IF(G16="Low",IF(J16="Tail","9. Long-Tail Automated Nurture",IF(OR(N16="Growing",N16="Stable"),"6. Growth Opportunity",IF(N16="H2 Active / No H1 GMV","7. Onboard / Re-engage / Learn",IF(OR(N16="Declining",N16="Lapsed"),"8. Retention / Reactivation","UNASSIGNED")))),"UNASSIGNED"))</f>
        <v>3. Win-Back / Verify</v>
      </c>
      <c r="U16" s="10" t="b">
        <f aca="false">AND(T16="1. Migration Candidate",J16="Core",O16&gt;=Assumptions!$B$39,Q16&gt;=Assumptions!$B$40,NOT(Z16))</f>
        <v>0</v>
      </c>
      <c r="V16" s="2" t="n">
        <f aca="false">(AND(H16="Broker-Reliant",J16&lt;&gt;"Tail",OR(N16="Growing",N16="Stable")))*1+(AND(H16="Broker-Reliant",J16&lt;&gt;"Tail",N16="Declining"))*1+(AND(H16="Broker-Reliant",J16&lt;&gt;"Tail",N16="Lapsed"))*1+(AND(H16="Broker-Reliant",J16&lt;&gt;"Tail",N16="H2 Active / No H1 GMV"))*1+(AND(H16="Broker-Reliant",J16="Tail"))*1+(AND(G16="Low",J16&lt;&gt;"Tail",OR(N16="Growing",N16="Stable")))*1+(AND(G16="Low",J16&lt;&gt;"Tail",N16="H2 Active / No H1 GMV"))*1+(AND(G16="Low",J16&lt;&gt;"Tail",OR(N16="Declining",N16="Lapsed")))*1+(AND(G16="Low",J16="Tail"))*1</f>
        <v>1</v>
      </c>
      <c r="W16" s="2" t="n">
        <f aca="false">INDEX('Commercial View'!$V$2:$V$301,MATCH($A16,'Commercial View'!$A$2:$A$301,0))</f>
        <v>3</v>
      </c>
      <c r="X16" s="10" t="b">
        <f aca="false">O16&lt;=Assumptions!$B$30</f>
        <v>0</v>
      </c>
      <c r="Y16" s="10" t="b">
        <f aca="false">W16&lt;=1</f>
        <v>0</v>
      </c>
      <c r="Z16" s="10" t="b">
        <f aca="false">C16="Duplicate"</f>
        <v>0</v>
      </c>
      <c r="AA16" s="10" t="b">
        <f aca="false">C16=""</f>
        <v>0</v>
      </c>
      <c r="AB16" s="2" t="n">
        <f aca="false">IF(P16+Q16&gt;0,ROUND(P16/(P16+Q16)*100,0),"")</f>
        <v>63</v>
      </c>
      <c r="AC16" s="2" t="n">
        <f aca="false">IF(P16+Q16&gt;0,ROUND(E16-P16/(P16+Q16)*100,0),"")</f>
        <v>2</v>
      </c>
      <c r="AD16" s="10" t="b">
        <f aca="false">IF(AC16="",FALSE(),ABS(AC16)&gt;Assumptions!$B$41)</f>
        <v>0</v>
      </c>
      <c r="AE16" s="2" t="str">
        <f aca="false">IF(X16,"Low confidence (&lt;=2 orders); ","")&amp;IF(Y16,"Single-month history; ","")&amp;IF(Z16,"CRITICAL: Duplicate status; ","")&amp;IF(AA16,"Missing status; ","")&amp;IF(AD16,"Broker % vs counts gap "&amp;TEXT(AC16,"+0;-0")&amp;"pts; ","")</f>
        <v/>
      </c>
      <c r="AF16" s="2" t="str">
        <f aca="false">IF(AND(K16=0,L16&gt;0),IF(D16&lt;=Assumptions!$B$47,"New Customer","Returned Customer"),"Existing Customer")</f>
        <v>Existing Customer</v>
      </c>
      <c r="AG16" s="10" t="b">
        <f aca="false">AND(T16="1. Migration Candidate",J16="Key")</f>
        <v>0</v>
      </c>
      <c r="AH16" s="10" t="b">
        <f aca="false">IF(AND(K16&gt;0,L16&gt;0),OR(ABS(M16-Assumptions!$B$36)&lt;=Assumptions!$B$46,ABS(M16+Assumptions!$B$36)&lt;=Assumptions!$B$46),FALSE())</f>
        <v>0</v>
      </c>
      <c r="AI16" s="9" t="n">
        <f aca="false">INDEX('Commercial View'!$L$2:$L$301,MATCH($A16,'Commercial View'!$A$2:$A$301,0))+INDEX('Commercial View'!$M$2:$M$301,MATCH($A16,'Commercial View'!$A$2:$A$301,0))</f>
        <v>0</v>
      </c>
      <c r="AJ16" s="2" t="str">
        <f aca="false">IF(AND(K16=0,AI16=0),"No activity ex-Feb",IF(AI16=0,"Lapsed",IF(K16=0,"H2 Active / No H1 GMV",IF((AI16/2)/(K16/3)-1&gt;=Assumptions!$B$36,"Growing",IF((AI16/2)/(K16/3)-1&lt;-Assumptions!$B$36,"Declining","Stable")))))</f>
        <v>Lapsed</v>
      </c>
      <c r="AK16" s="10" t="b">
        <f aca="false">IF(OR(N16="Growing",N16="Stable"),"Healthy",N16)&lt;&gt;IF(OR(AJ16="Growing",AJ16="Stable"),"Healthy",AJ16)</f>
        <v>0</v>
      </c>
      <c r="AL16" s="2" t="str">
        <f aca="false">IF(N16="Lapsed",IF(OR(O16&lt;=Assumptions!$B$48,W16&lt;=Assumptions!$B$49),"One-Off / Insufficient History — Verify","Established Buyer Lapsed"),"N/A")</f>
        <v>Established Buyer Lapsed</v>
      </c>
      <c r="AM16" s="2" t="n">
        <f aca="false">INDEX('Scored Accounts'!$M$2:$M$301,MATCH($A16,'Scored Accounts'!$A$2:$A$301,0))</f>
        <v>75</v>
      </c>
      <c r="AN16" s="2" t="n">
        <f aca="false">IF((P16/(P16+Q16)*100)&lt;=Assumptions!$B$13,0,IF((P16/(P16+Q16)*100)&lt;Assumptions!$B$14,25,IF((P16/(P16+Q16)*100)&lt;Assumptions!$B$15,50,IF((P16/(P16+Q16)*100)&lt;Assumptions!$B$16,75,100))))</f>
        <v>75</v>
      </c>
      <c r="AO16" s="21" t="n">
        <f aca="false">IF((P16/(P16+Q16)*100)&lt;=Assumptions!$B$8,0,AN16*Assumptions!$B$4+INDEX('Scored Accounts'!$N$2:$N$301,MATCH($A16,'Scored Accounts'!$A$2:$A$301,0))*Assumptions!$B$5+INDEX('Scored Accounts'!$O$2:$O$301,MATCH($A16,'Scored Accounts'!$A$2:$A$301,0))*Assumptions!$B$6)</f>
        <v>75</v>
      </c>
      <c r="AP16" s="2" t="str">
        <f aca="false">IF(AO16&gt;=Assumptions!$B$9,"High",IF(AO16&gt;=Assumptions!$B$10,"Medium","Low"))</f>
        <v>High</v>
      </c>
      <c r="AQ16" s="10" t="b">
        <f aca="false">OR((E16&lt;=Assumptions!$B$8)&lt;&gt;((P16/(P16+Q16)*100)&lt;=Assumptions!$B$8),AM16&lt;&gt;AN16,G16&lt;&gt;AP16)</f>
        <v>0</v>
      </c>
      <c r="AR16" s="2" t="str">
        <f aca="false">IF(AP16&lt;&gt;"Low","Broker-Reliant",IF(B16="Account Managed","AM-Owned / Self-Serving","Self-Serve"))</f>
        <v>Broker-Reliant</v>
      </c>
      <c r="AS16" s="2" t="str">
        <f aca="false">IF(AR16="Broker-Reliant",IF(J16="Tail","5. Cost-to-Serve / Low-Touch",IF(OR(N16="Growing",N16="Stable"),"1. Migration Candidate",IF(N16="Declining","2. Protect / Retain First",IF(N16="Lapsed","3. Win-Back / Verify",IF(N16="H2 Active / No H1 GMV","4. Establish / Re-establish / Observe","UNASSIGNED"))))),IF(AP16="Low",IF(J16="Tail","9. Long-Tail Automated Nurture",IF(OR(N16="Growing",N16="Stable"),"6. Growth Opportunity",IF(N16="H2 Active / No H1 GMV","7. Onboard / Re-engage / Learn",IF(OR(N16="Declining",N16="Lapsed"),"8. Retention / Reactivation","UNASSIGNED")))),"UNASSIGNED"))</f>
        <v>3. Win-Back / Verify</v>
      </c>
      <c r="AT16" s="10" t="b">
        <f aca="false">AS16&lt;&gt;T16</f>
        <v>0</v>
      </c>
      <c r="AU16" s="2" t="str">
        <f aca="false">IF(NOT(U16),"Not Eligible",IF(OR(AQ16,AH16,AK16,NOT(AND(W16&gt;=Assumptions!$B$83,O16&gt;=Assumptions!$B$84))),"Manual Review","Ready"))</f>
        <v>Not Eligible</v>
      </c>
      <c r="AV16" s="2" t="str">
        <f aca="false">IF(AG16,"Key account - human sign-off required; ","")&amp;IF(AH16,"Borderline momentum; ","")&amp;IF(AK16,"February-sensitive ("&amp;N16&amp;" -&gt; "&amp;AJ16&amp;"); ","")&amp;IF(AL16="One-Off / Insufficient History — Verify","Lapsed on thin history - verify; ","")&amp;IF(AQ16,"Material broker % inconsistency (implied tier "&amp;AP16&amp;"); ","")&amp;IF(AT16,"Implied broker % would move segment to "&amp;AS16&amp;"; ","")</f>
        <v/>
      </c>
      <c r="AW16" s="10" t="b">
        <f aca="false">AND(G16="Low",J16="Tail",I16&gt;=Assumptions!$B$64,O16&gt;=Assumptions!$B$65,OR(N16="Growing",N16="Stable",AND(N16="H2 Active / No H1 GMV",W16&gt;=2)),OR(R16&gt;=Assumptions!$B$66,S16&gt;=Assumptions!$B$67))</f>
        <v>0</v>
      </c>
    </row>
    <row r="17" customFormat="false" ht="15" hidden="false" customHeight="false" outlineLevel="0" collapsed="false">
      <c r="A17" s="2" t="s">
        <v>361</v>
      </c>
      <c r="B17" s="2" t="s">
        <v>1571</v>
      </c>
      <c r="C17" s="2" t="s">
        <v>1572</v>
      </c>
      <c r="D17" s="2" t="n">
        <v>10</v>
      </c>
      <c r="E17" s="2" t="n">
        <v>68</v>
      </c>
      <c r="F17" s="21" t="n">
        <f aca="false">INDEX('Scored Accounts'!$Q$2:$Q$301,MATCH($A17,'Scored Accounts'!$A$2:$A$301,0))</f>
        <v>82.5</v>
      </c>
      <c r="G17" s="2" t="str">
        <f aca="false">INDEX('Scored Accounts'!$R$2:$R$301,MATCH($A17,'Scored Accounts'!$A$2:$A$301,0))</f>
        <v>High</v>
      </c>
      <c r="H17" s="2" t="str">
        <f aca="false">IF(OR(G17="High",G17="Medium"),"Broker-Reliant",IF(AND(G17="Low",B17="Account Managed"),"AM-Owned / Self-Serving",IF(AND(G17="Low",B17="Self Serve"),"Self-Serve","UNASSIGNED")))</f>
        <v>Broker-Reliant</v>
      </c>
      <c r="I17" s="9" t="n">
        <v>11252</v>
      </c>
      <c r="J17" s="2" t="str">
        <f aca="false">IF(I17&gt;=Assumptions!$B$35,"Key",IF(I17&gt;=Assumptions!$B$34,"Core","Tail"))</f>
        <v>Key</v>
      </c>
      <c r="K17" s="9" t="n">
        <f aca="false">INDEX('Commercial View'!$R$2:$R$301,MATCH($A17,'Commercial View'!$A$2:$A$301,0))</f>
        <v>4217</v>
      </c>
      <c r="L17" s="9" t="n">
        <f aca="false">INDEX('Commercial View'!$S$2:$S$301,MATCH($A17,'Commercial View'!$A$2:$A$301,0))</f>
        <v>7035</v>
      </c>
      <c r="M17" s="17" t="n">
        <f aca="false">INDEX('Commercial View'!$T$2:$T$301,MATCH($A17,'Commercial View'!$A$2:$A$301,0))</f>
        <v>0.668247569362106</v>
      </c>
      <c r="N17" s="2" t="str">
        <f aca="false">INDEX('Commercial View'!$U$2:$U$301,MATCH($A17,'Commercial View'!$A$2:$A$301,0))</f>
        <v>Growing</v>
      </c>
      <c r="O17" s="2" t="n">
        <v>26</v>
      </c>
      <c r="P17" s="2" t="n">
        <v>18</v>
      </c>
      <c r="Q17" s="2" t="n">
        <v>8</v>
      </c>
      <c r="R17" s="2" t="n">
        <v>1</v>
      </c>
      <c r="S17" s="2" t="n">
        <v>1</v>
      </c>
      <c r="T17" s="2" t="str">
        <f aca="false">IF(H17="Broker-Reliant",IF(J17="Tail","5. Cost-to-Serve / Low-Touch",IF(OR(N17="Growing",N17="Stable"),"1. Migration Candidate",IF(N17="Declining","2. Protect / Retain First",IF(N17="Lapsed","3. Win-Back / Verify",IF(N17="H2 Active / No H1 GMV","4. Establish / Re-establish / Observe","UNASSIGNED"))))),IF(G17="Low",IF(J17="Tail","9. Long-Tail Automated Nurture",IF(OR(N17="Growing",N17="Stable"),"6. Growth Opportunity",IF(N17="H2 Active / No H1 GMV","7. Onboard / Re-engage / Learn",IF(OR(N17="Declining",N17="Lapsed"),"8. Retention / Reactivation","UNASSIGNED")))),"UNASSIGNED"))</f>
        <v>1. Migration Candidate</v>
      </c>
      <c r="U17" s="10" t="b">
        <f aca="false">AND(T17="1. Migration Candidate",J17="Core",O17&gt;=Assumptions!$B$39,Q17&gt;=Assumptions!$B$40,NOT(Z17))</f>
        <v>0</v>
      </c>
      <c r="V17" s="2" t="n">
        <f aca="false">(AND(H17="Broker-Reliant",J17&lt;&gt;"Tail",OR(N17="Growing",N17="Stable")))*1+(AND(H17="Broker-Reliant",J17&lt;&gt;"Tail",N17="Declining"))*1+(AND(H17="Broker-Reliant",J17&lt;&gt;"Tail",N17="Lapsed"))*1+(AND(H17="Broker-Reliant",J17&lt;&gt;"Tail",N17="H2 Active / No H1 GMV"))*1+(AND(H17="Broker-Reliant",J17="Tail"))*1+(AND(G17="Low",J17&lt;&gt;"Tail",OR(N17="Growing",N17="Stable")))*1+(AND(G17="Low",J17&lt;&gt;"Tail",N17="H2 Active / No H1 GMV"))*1+(AND(G17="Low",J17&lt;&gt;"Tail",OR(N17="Declining",N17="Lapsed")))*1+(AND(G17="Low",J17="Tail"))*1</f>
        <v>1</v>
      </c>
      <c r="W17" s="2" t="n">
        <f aca="false">INDEX('Commercial View'!$V$2:$V$301,MATCH($A17,'Commercial View'!$A$2:$A$301,0))</f>
        <v>5</v>
      </c>
      <c r="X17" s="10" t="b">
        <f aca="false">O17&lt;=Assumptions!$B$30</f>
        <v>0</v>
      </c>
      <c r="Y17" s="10" t="b">
        <f aca="false">W17&lt;=1</f>
        <v>0</v>
      </c>
      <c r="Z17" s="10" t="b">
        <f aca="false">C17="Duplicate"</f>
        <v>0</v>
      </c>
      <c r="AA17" s="10" t="b">
        <f aca="false">C17=""</f>
        <v>0</v>
      </c>
      <c r="AB17" s="2" t="n">
        <f aca="false">IF(P17+Q17&gt;0,ROUND(P17/(P17+Q17)*100,0),"")</f>
        <v>69</v>
      </c>
      <c r="AC17" s="2" t="n">
        <f aca="false">IF(P17+Q17&gt;0,ROUND(E17-P17/(P17+Q17)*100,0),"")</f>
        <v>-1</v>
      </c>
      <c r="AD17" s="10" t="b">
        <f aca="false">IF(AC17="",FALSE(),ABS(AC17)&gt;Assumptions!$B$41)</f>
        <v>0</v>
      </c>
      <c r="AE17" s="2" t="str">
        <f aca="false">IF(X17,"Low confidence (&lt;=2 orders); ","")&amp;IF(Y17,"Single-month history; ","")&amp;IF(Z17,"CRITICAL: Duplicate status; ","")&amp;IF(AA17,"Missing status; ","")&amp;IF(AD17,"Broker % vs counts gap "&amp;TEXT(AC17,"+0;-0")&amp;"pts; ","")</f>
        <v/>
      </c>
      <c r="AF17" s="2" t="str">
        <f aca="false">IF(AND(K17=0,L17&gt;0),IF(D17&lt;=Assumptions!$B$47,"New Customer","Returned Customer"),"Existing Customer")</f>
        <v>Existing Customer</v>
      </c>
      <c r="AG17" s="10" t="b">
        <f aca="false">AND(T17="1. Migration Candidate",J17="Key")</f>
        <v>1</v>
      </c>
      <c r="AH17" s="10" t="b">
        <f aca="false">IF(AND(K17&gt;0,L17&gt;0),OR(ABS(M17-Assumptions!$B$36)&lt;=Assumptions!$B$46,ABS(M17+Assumptions!$B$36)&lt;=Assumptions!$B$46),FALSE())</f>
        <v>0</v>
      </c>
      <c r="AI17" s="9" t="n">
        <f aca="false">INDEX('Commercial View'!$L$2:$L$301,MATCH($A17,'Commercial View'!$A$2:$A$301,0))+INDEX('Commercial View'!$M$2:$M$301,MATCH($A17,'Commercial View'!$A$2:$A$301,0))</f>
        <v>7035</v>
      </c>
      <c r="AJ17" s="2" t="str">
        <f aca="false">IF(AND(K17=0,AI17=0),"No activity ex-Feb",IF(AI17=0,"Lapsed",IF(K17=0,"H2 Active / No H1 GMV",IF((AI17/2)/(K17/3)-1&gt;=Assumptions!$B$36,"Growing",IF((AI17/2)/(K17/3)-1&lt;-Assumptions!$B$36,"Declining","Stable")))))</f>
        <v>Growing</v>
      </c>
      <c r="AK17" s="10" t="b">
        <f aca="false">IF(OR(N17="Growing",N17="Stable"),"Healthy",N17)&lt;&gt;IF(OR(AJ17="Growing",AJ17="Stable"),"Healthy",AJ17)</f>
        <v>0</v>
      </c>
      <c r="AL17" s="2" t="str">
        <f aca="false">IF(N17="Lapsed",IF(OR(O17&lt;=Assumptions!$B$48,W17&lt;=Assumptions!$B$49),"One-Off / Insufficient History — Verify","Established Buyer Lapsed"),"N/A")</f>
        <v>N/A</v>
      </c>
      <c r="AM17" s="2" t="n">
        <f aca="false">INDEX('Scored Accounts'!$M$2:$M$301,MATCH($A17,'Scored Accounts'!$A$2:$A$301,0))</f>
        <v>75</v>
      </c>
      <c r="AN17" s="2" t="n">
        <f aca="false">IF((P17/(P17+Q17)*100)&lt;=Assumptions!$B$13,0,IF((P17/(P17+Q17)*100)&lt;Assumptions!$B$14,25,IF((P17/(P17+Q17)*100)&lt;Assumptions!$B$15,50,IF((P17/(P17+Q17)*100)&lt;Assumptions!$B$16,75,100))))</f>
        <v>75</v>
      </c>
      <c r="AO17" s="21" t="n">
        <f aca="false">IF((P17/(P17+Q17)*100)&lt;=Assumptions!$B$8,0,AN17*Assumptions!$B$4+INDEX('Scored Accounts'!$N$2:$N$301,MATCH($A17,'Scored Accounts'!$A$2:$A$301,0))*Assumptions!$B$5+INDEX('Scored Accounts'!$O$2:$O$301,MATCH($A17,'Scored Accounts'!$A$2:$A$301,0))*Assumptions!$B$6)</f>
        <v>82.5</v>
      </c>
      <c r="AP17" s="2" t="str">
        <f aca="false">IF(AO17&gt;=Assumptions!$B$9,"High",IF(AO17&gt;=Assumptions!$B$10,"Medium","Low"))</f>
        <v>High</v>
      </c>
      <c r="AQ17" s="10" t="b">
        <f aca="false">OR((E17&lt;=Assumptions!$B$8)&lt;&gt;((P17/(P17+Q17)*100)&lt;=Assumptions!$B$8),AM17&lt;&gt;AN17,G17&lt;&gt;AP17)</f>
        <v>0</v>
      </c>
      <c r="AR17" s="2" t="str">
        <f aca="false">IF(AP17&lt;&gt;"Low","Broker-Reliant",IF(B17="Account Managed","AM-Owned / Self-Serving","Self-Serve"))</f>
        <v>Broker-Reliant</v>
      </c>
      <c r="AS17" s="2" t="str">
        <f aca="false">IF(AR17="Broker-Reliant",IF(J17="Tail","5. Cost-to-Serve / Low-Touch",IF(OR(N17="Growing",N17="Stable"),"1. Migration Candidate",IF(N17="Declining","2. Protect / Retain First",IF(N17="Lapsed","3. Win-Back / Verify",IF(N17="H2 Active / No H1 GMV","4. Establish / Re-establish / Observe","UNASSIGNED"))))),IF(AP17="Low",IF(J17="Tail","9. Long-Tail Automated Nurture",IF(OR(N17="Growing",N17="Stable"),"6. Growth Opportunity",IF(N17="H2 Active / No H1 GMV","7. Onboard / Re-engage / Learn",IF(OR(N17="Declining",N17="Lapsed"),"8. Retention / Reactivation","UNASSIGNED")))),"UNASSIGNED"))</f>
        <v>1. Migration Candidate</v>
      </c>
      <c r="AT17" s="10" t="b">
        <f aca="false">AS17&lt;&gt;T17</f>
        <v>0</v>
      </c>
      <c r="AU17" s="2" t="str">
        <f aca="false">IF(NOT(U17),"Not Eligible",IF(OR(AQ17,AH17,AK17,NOT(AND(W17&gt;=Assumptions!$B$83,O17&gt;=Assumptions!$B$84))),"Manual Review","Ready"))</f>
        <v>Not Eligible</v>
      </c>
      <c r="AV17" s="2" t="str">
        <f aca="false">IF(AG17,"Key account - human sign-off required; ","")&amp;IF(AH17,"Borderline momentum; ","")&amp;IF(AK17,"February-sensitive ("&amp;N17&amp;" -&gt; "&amp;AJ17&amp;"); ","")&amp;IF(AL17="One-Off / Insufficient History — Verify","Lapsed on thin history - verify; ","")&amp;IF(AQ17,"Material broker % inconsistency (implied tier "&amp;AP17&amp;"); ","")&amp;IF(AT17,"Implied broker % would move segment to "&amp;AS17&amp;"; ","")</f>
        <v>Key account - human sign-off required; </v>
      </c>
      <c r="AW17" s="10" t="b">
        <f aca="false">AND(G17="Low",J17="Tail",I17&gt;=Assumptions!$B$64,O17&gt;=Assumptions!$B$65,OR(N17="Growing",N17="Stable",AND(N17="H2 Active / No H1 GMV",W17&gt;=2)),OR(R17&gt;=Assumptions!$B$66,S17&gt;=Assumptions!$B$67))</f>
        <v>0</v>
      </c>
    </row>
    <row r="18" customFormat="false" ht="15" hidden="false" customHeight="false" outlineLevel="0" collapsed="false">
      <c r="A18" s="2" t="s">
        <v>199</v>
      </c>
      <c r="B18" s="2" t="s">
        <v>1571</v>
      </c>
      <c r="C18" s="2" t="s">
        <v>1572</v>
      </c>
      <c r="D18" s="2" t="n">
        <v>18</v>
      </c>
      <c r="E18" s="2" t="n">
        <v>78</v>
      </c>
      <c r="F18" s="21" t="n">
        <f aca="false">INDEX('Scored Accounts'!$Q$2:$Q$301,MATCH($A18,'Scored Accounts'!$A$2:$A$301,0))</f>
        <v>82.5</v>
      </c>
      <c r="G18" s="2" t="str">
        <f aca="false">INDEX('Scored Accounts'!$R$2:$R$301,MATCH($A18,'Scored Accounts'!$A$2:$A$301,0))</f>
        <v>High</v>
      </c>
      <c r="H18" s="2" t="str">
        <f aca="false">IF(OR(G18="High",G18="Medium"),"Broker-Reliant",IF(AND(G18="Low",B18="Account Managed"),"AM-Owned / Self-Serving",IF(AND(G18="Low",B18="Self Serve"),"Self-Serve","UNASSIGNED")))</f>
        <v>Broker-Reliant</v>
      </c>
      <c r="I18" s="9" t="n">
        <v>10950</v>
      </c>
      <c r="J18" s="2" t="str">
        <f aca="false">IF(I18&gt;=Assumptions!$B$35,"Key",IF(I18&gt;=Assumptions!$B$34,"Core","Tail"))</f>
        <v>Key</v>
      </c>
      <c r="K18" s="9" t="n">
        <f aca="false">INDEX('Commercial View'!$R$2:$R$301,MATCH($A18,'Commercial View'!$A$2:$A$301,0))</f>
        <v>7711</v>
      </c>
      <c r="L18" s="9" t="n">
        <f aca="false">INDEX('Commercial View'!$S$2:$S$301,MATCH($A18,'Commercial View'!$A$2:$A$301,0))</f>
        <v>3238</v>
      </c>
      <c r="M18" s="17" t="n">
        <f aca="false">INDEX('Commercial View'!$T$2:$T$301,MATCH($A18,'Commercial View'!$A$2:$A$301,0))</f>
        <v>-0.580080404616781</v>
      </c>
      <c r="N18" s="2" t="str">
        <f aca="false">INDEX('Commercial View'!$U$2:$U$301,MATCH($A18,'Commercial View'!$A$2:$A$301,0))</f>
        <v>Declining</v>
      </c>
      <c r="O18" s="2" t="n">
        <v>37</v>
      </c>
      <c r="P18" s="2" t="n">
        <v>29</v>
      </c>
      <c r="Q18" s="2" t="n">
        <v>8</v>
      </c>
      <c r="R18" s="2" t="n">
        <v>4</v>
      </c>
      <c r="S18" s="2" t="n">
        <v>1</v>
      </c>
      <c r="T18" s="2" t="str">
        <f aca="false">IF(H18="Broker-Reliant",IF(J18="Tail","5. Cost-to-Serve / Low-Touch",IF(OR(N18="Growing",N18="Stable"),"1. Migration Candidate",IF(N18="Declining","2. Protect / Retain First",IF(N18="Lapsed","3. Win-Back / Verify",IF(N18="H2 Active / No H1 GMV","4. Establish / Re-establish / Observe","UNASSIGNED"))))),IF(G18="Low",IF(J18="Tail","9. Long-Tail Automated Nurture",IF(OR(N18="Growing",N18="Stable"),"6. Growth Opportunity",IF(N18="H2 Active / No H1 GMV","7. Onboard / Re-engage / Learn",IF(OR(N18="Declining",N18="Lapsed"),"8. Retention / Reactivation","UNASSIGNED")))),"UNASSIGNED"))</f>
        <v>2. Protect / Retain First</v>
      </c>
      <c r="U18" s="10" t="b">
        <f aca="false">AND(T18="1. Migration Candidate",J18="Core",O18&gt;=Assumptions!$B$39,Q18&gt;=Assumptions!$B$40,NOT(Z18))</f>
        <v>0</v>
      </c>
      <c r="V18" s="2" t="n">
        <f aca="false">(AND(H18="Broker-Reliant",J18&lt;&gt;"Tail",OR(N18="Growing",N18="Stable")))*1+(AND(H18="Broker-Reliant",J18&lt;&gt;"Tail",N18="Declining"))*1+(AND(H18="Broker-Reliant",J18&lt;&gt;"Tail",N18="Lapsed"))*1+(AND(H18="Broker-Reliant",J18&lt;&gt;"Tail",N18="H2 Active / No H1 GMV"))*1+(AND(H18="Broker-Reliant",J18="Tail"))*1+(AND(G18="Low",J18&lt;&gt;"Tail",OR(N18="Growing",N18="Stable")))*1+(AND(G18="Low",J18&lt;&gt;"Tail",N18="H2 Active / No H1 GMV"))*1+(AND(G18="Low",J18&lt;&gt;"Tail",OR(N18="Declining",N18="Lapsed")))*1+(AND(G18="Low",J18="Tail"))*1</f>
        <v>1</v>
      </c>
      <c r="W18" s="2" t="n">
        <f aca="false">INDEX('Commercial View'!$V$2:$V$301,MATCH($A18,'Commercial View'!$A$2:$A$301,0))</f>
        <v>5</v>
      </c>
      <c r="X18" s="10" t="b">
        <f aca="false">O18&lt;=Assumptions!$B$30</f>
        <v>0</v>
      </c>
      <c r="Y18" s="10" t="b">
        <f aca="false">W18&lt;=1</f>
        <v>0</v>
      </c>
      <c r="Z18" s="10" t="b">
        <f aca="false">C18="Duplicate"</f>
        <v>0</v>
      </c>
      <c r="AA18" s="10" t="b">
        <f aca="false">C18=""</f>
        <v>0</v>
      </c>
      <c r="AB18" s="2" t="n">
        <f aca="false">IF(P18+Q18&gt;0,ROUND(P18/(P18+Q18)*100,0),"")</f>
        <v>78</v>
      </c>
      <c r="AC18" s="2" t="n">
        <f aca="false">IF(P18+Q18&gt;0,ROUND(E18-P18/(P18+Q18)*100,0),"")</f>
        <v>-0</v>
      </c>
      <c r="AD18" s="10" t="b">
        <f aca="false">IF(AC18="",FALSE(),ABS(AC18)&gt;Assumptions!$B$41)</f>
        <v>0</v>
      </c>
      <c r="AE18" s="2" t="str">
        <f aca="false">IF(X18,"Low confidence (&lt;=2 orders); ","")&amp;IF(Y18,"Single-month history; ","")&amp;IF(Z18,"CRITICAL: Duplicate status; ","")&amp;IF(AA18,"Missing status; ","")&amp;IF(AD18,"Broker % vs counts gap "&amp;TEXT(AC18,"+0;-0")&amp;"pts; ","")</f>
        <v/>
      </c>
      <c r="AF18" s="2" t="str">
        <f aca="false">IF(AND(K18=0,L18&gt;0),IF(D18&lt;=Assumptions!$B$47,"New Customer","Returned Customer"),"Existing Customer")</f>
        <v>Existing Customer</v>
      </c>
      <c r="AG18" s="10" t="b">
        <f aca="false">AND(T18="1. Migration Candidate",J18="Key")</f>
        <v>0</v>
      </c>
      <c r="AH18" s="10" t="b">
        <f aca="false">IF(AND(K18&gt;0,L18&gt;0),OR(ABS(M18-Assumptions!$B$36)&lt;=Assumptions!$B$46,ABS(M18+Assumptions!$B$36)&lt;=Assumptions!$B$46),FALSE())</f>
        <v>0</v>
      </c>
      <c r="AI18" s="9" t="n">
        <f aca="false">INDEX('Commercial View'!$L$2:$L$301,MATCH($A18,'Commercial View'!$A$2:$A$301,0))+INDEX('Commercial View'!$M$2:$M$301,MATCH($A18,'Commercial View'!$A$2:$A$301,0))</f>
        <v>2899</v>
      </c>
      <c r="AJ18" s="2" t="str">
        <f aca="false">IF(AND(K18=0,AI18=0),"No activity ex-Feb",IF(AI18=0,"Lapsed",IF(K18=0,"H2 Active / No H1 GMV",IF((AI18/2)/(K18/3)-1&gt;=Assumptions!$B$36,"Growing",IF((AI18/2)/(K18/3)-1&lt;-Assumptions!$B$36,"Declining","Stable")))))</f>
        <v>Declining</v>
      </c>
      <c r="AK18" s="10" t="b">
        <f aca="false">IF(OR(N18="Growing",N18="Stable"),"Healthy",N18)&lt;&gt;IF(OR(AJ18="Growing",AJ18="Stable"),"Healthy",AJ18)</f>
        <v>0</v>
      </c>
      <c r="AL18" s="2" t="str">
        <f aca="false">IF(N18="Lapsed",IF(OR(O18&lt;=Assumptions!$B$48,W18&lt;=Assumptions!$B$49),"One-Off / Insufficient History — Verify","Established Buyer Lapsed"),"N/A")</f>
        <v>N/A</v>
      </c>
      <c r="AM18" s="2" t="n">
        <f aca="false">INDEX('Scored Accounts'!$M$2:$M$301,MATCH($A18,'Scored Accounts'!$A$2:$A$301,0))</f>
        <v>75</v>
      </c>
      <c r="AN18" s="2" t="n">
        <f aca="false">IF((P18/(P18+Q18)*100)&lt;=Assumptions!$B$13,0,IF((P18/(P18+Q18)*100)&lt;Assumptions!$B$14,25,IF((P18/(P18+Q18)*100)&lt;Assumptions!$B$15,50,IF((P18/(P18+Q18)*100)&lt;Assumptions!$B$16,75,100))))</f>
        <v>75</v>
      </c>
      <c r="AO18" s="21" t="n">
        <f aca="false">IF((P18/(P18+Q18)*100)&lt;=Assumptions!$B$8,0,AN18*Assumptions!$B$4+INDEX('Scored Accounts'!$N$2:$N$301,MATCH($A18,'Scored Accounts'!$A$2:$A$301,0))*Assumptions!$B$5+INDEX('Scored Accounts'!$O$2:$O$301,MATCH($A18,'Scored Accounts'!$A$2:$A$301,0))*Assumptions!$B$6)</f>
        <v>82.5</v>
      </c>
      <c r="AP18" s="2" t="str">
        <f aca="false">IF(AO18&gt;=Assumptions!$B$9,"High",IF(AO18&gt;=Assumptions!$B$10,"Medium","Low"))</f>
        <v>High</v>
      </c>
      <c r="AQ18" s="10" t="b">
        <f aca="false">OR((E18&lt;=Assumptions!$B$8)&lt;&gt;((P18/(P18+Q18)*100)&lt;=Assumptions!$B$8),AM18&lt;&gt;AN18,G18&lt;&gt;AP18)</f>
        <v>0</v>
      </c>
      <c r="AR18" s="2" t="str">
        <f aca="false">IF(AP18&lt;&gt;"Low","Broker-Reliant",IF(B18="Account Managed","AM-Owned / Self-Serving","Self-Serve"))</f>
        <v>Broker-Reliant</v>
      </c>
      <c r="AS18" s="2" t="str">
        <f aca="false">IF(AR18="Broker-Reliant",IF(J18="Tail","5. Cost-to-Serve / Low-Touch",IF(OR(N18="Growing",N18="Stable"),"1. Migration Candidate",IF(N18="Declining","2. Protect / Retain First",IF(N18="Lapsed","3. Win-Back / Verify",IF(N18="H2 Active / No H1 GMV","4. Establish / Re-establish / Observe","UNASSIGNED"))))),IF(AP18="Low",IF(J18="Tail","9. Long-Tail Automated Nurture",IF(OR(N18="Growing",N18="Stable"),"6. Growth Opportunity",IF(N18="H2 Active / No H1 GMV","7. Onboard / Re-engage / Learn",IF(OR(N18="Declining",N18="Lapsed"),"8. Retention / Reactivation","UNASSIGNED")))),"UNASSIGNED"))</f>
        <v>2. Protect / Retain First</v>
      </c>
      <c r="AT18" s="10" t="b">
        <f aca="false">AS18&lt;&gt;T18</f>
        <v>0</v>
      </c>
      <c r="AU18" s="2" t="str">
        <f aca="false">IF(NOT(U18),"Not Eligible",IF(OR(AQ18,AH18,AK18,NOT(AND(W18&gt;=Assumptions!$B$83,O18&gt;=Assumptions!$B$84))),"Manual Review","Ready"))</f>
        <v>Not Eligible</v>
      </c>
      <c r="AV18" s="2" t="str">
        <f aca="false">IF(AG18,"Key account - human sign-off required; ","")&amp;IF(AH18,"Borderline momentum; ","")&amp;IF(AK18,"February-sensitive ("&amp;N18&amp;" -&gt; "&amp;AJ18&amp;"); ","")&amp;IF(AL18="One-Off / Insufficient History — Verify","Lapsed on thin history - verify; ","")&amp;IF(AQ18,"Material broker % inconsistency (implied tier "&amp;AP18&amp;"); ","")&amp;IF(AT18,"Implied broker % would move segment to "&amp;AS18&amp;"; ","")</f>
        <v/>
      </c>
      <c r="AW18" s="10" t="b">
        <f aca="false">AND(G18="Low",J18="Tail",I18&gt;=Assumptions!$B$64,O18&gt;=Assumptions!$B$65,OR(N18="Growing",N18="Stable",AND(N18="H2 Active / No H1 GMV",W18&gt;=2)),OR(R18&gt;=Assumptions!$B$66,S18&gt;=Assumptions!$B$67))</f>
        <v>0</v>
      </c>
    </row>
    <row r="19" customFormat="false" ht="15" hidden="false" customHeight="false" outlineLevel="0" collapsed="false">
      <c r="A19" s="2" t="s">
        <v>202</v>
      </c>
      <c r="B19" s="2" t="s">
        <v>1571</v>
      </c>
      <c r="C19" s="2" t="s">
        <v>1572</v>
      </c>
      <c r="D19" s="2" t="n">
        <v>10</v>
      </c>
      <c r="E19" s="2" t="n">
        <v>74</v>
      </c>
      <c r="F19" s="21" t="n">
        <f aca="false">INDEX('Scored Accounts'!$Q$2:$Q$301,MATCH($A19,'Scored Accounts'!$A$2:$A$301,0))</f>
        <v>87.5</v>
      </c>
      <c r="G19" s="2" t="str">
        <f aca="false">INDEX('Scored Accounts'!$R$2:$R$301,MATCH($A19,'Scored Accounts'!$A$2:$A$301,0))</f>
        <v>High</v>
      </c>
      <c r="H19" s="2" t="str">
        <f aca="false">IF(OR(G19="High",G19="Medium"),"Broker-Reliant",IF(AND(G19="Low",B19="Account Managed"),"AM-Owned / Self-Serving",IF(AND(G19="Low",B19="Self Serve"),"Self-Serve","UNASSIGNED")))</f>
        <v>Broker-Reliant</v>
      </c>
      <c r="I19" s="9" t="n">
        <v>8613</v>
      </c>
      <c r="J19" s="2" t="str">
        <f aca="false">IF(I19&gt;=Assumptions!$B$35,"Key",IF(I19&gt;=Assumptions!$B$34,"Core","Tail"))</f>
        <v>Core</v>
      </c>
      <c r="K19" s="9" t="n">
        <f aca="false">INDEX('Commercial View'!$R$2:$R$301,MATCH($A19,'Commercial View'!$A$2:$A$301,0))</f>
        <v>5605</v>
      </c>
      <c r="L19" s="9" t="n">
        <f aca="false">INDEX('Commercial View'!$S$2:$S$301,MATCH($A19,'Commercial View'!$A$2:$A$301,0))</f>
        <v>3010</v>
      </c>
      <c r="M19" s="17" t="n">
        <f aca="false">INDEX('Commercial View'!$T$2:$T$301,MATCH($A19,'Commercial View'!$A$2:$A$301,0))</f>
        <v>-0.462979482604817</v>
      </c>
      <c r="N19" s="2" t="str">
        <f aca="false">INDEX('Commercial View'!$U$2:$U$301,MATCH($A19,'Commercial View'!$A$2:$A$301,0))</f>
        <v>Declining</v>
      </c>
      <c r="O19" s="2" t="n">
        <v>11</v>
      </c>
      <c r="P19" s="2" t="n">
        <v>8</v>
      </c>
      <c r="Q19" s="2" t="n">
        <v>3</v>
      </c>
      <c r="R19" s="2" t="n">
        <v>3</v>
      </c>
      <c r="S19" s="2" t="n">
        <v>0</v>
      </c>
      <c r="T19" s="2" t="str">
        <f aca="false">IF(H19="Broker-Reliant",IF(J19="Tail","5. Cost-to-Serve / Low-Touch",IF(OR(N19="Growing",N19="Stable"),"1. Migration Candidate",IF(N19="Declining","2. Protect / Retain First",IF(N19="Lapsed","3. Win-Back / Verify",IF(N19="H2 Active / No H1 GMV","4. Establish / Re-establish / Observe","UNASSIGNED"))))),IF(G19="Low",IF(J19="Tail","9. Long-Tail Automated Nurture",IF(OR(N19="Growing",N19="Stable"),"6. Growth Opportunity",IF(N19="H2 Active / No H1 GMV","7. Onboard / Re-engage / Learn",IF(OR(N19="Declining",N19="Lapsed"),"8. Retention / Reactivation","UNASSIGNED")))),"UNASSIGNED"))</f>
        <v>2. Protect / Retain First</v>
      </c>
      <c r="U19" s="10" t="b">
        <f aca="false">AND(T19="1. Migration Candidate",J19="Core",O19&gt;=Assumptions!$B$39,Q19&gt;=Assumptions!$B$40,NOT(Z19))</f>
        <v>0</v>
      </c>
      <c r="V19" s="2" t="n">
        <f aca="false">(AND(H19="Broker-Reliant",J19&lt;&gt;"Tail",OR(N19="Growing",N19="Stable")))*1+(AND(H19="Broker-Reliant",J19&lt;&gt;"Tail",N19="Declining"))*1+(AND(H19="Broker-Reliant",J19&lt;&gt;"Tail",N19="Lapsed"))*1+(AND(H19="Broker-Reliant",J19&lt;&gt;"Tail",N19="H2 Active / No H1 GMV"))*1+(AND(H19="Broker-Reliant",J19="Tail"))*1+(AND(G19="Low",J19&lt;&gt;"Tail",OR(N19="Growing",N19="Stable")))*1+(AND(G19="Low",J19&lt;&gt;"Tail",N19="H2 Active / No H1 GMV"))*1+(AND(G19="Low",J19&lt;&gt;"Tail",OR(N19="Declining",N19="Lapsed")))*1+(AND(G19="Low",J19="Tail"))*1</f>
        <v>1</v>
      </c>
      <c r="W19" s="2" t="n">
        <f aca="false">INDEX('Commercial View'!$V$2:$V$301,MATCH($A19,'Commercial View'!$A$2:$A$301,0))</f>
        <v>5</v>
      </c>
      <c r="X19" s="10" t="b">
        <f aca="false">O19&lt;=Assumptions!$B$30</f>
        <v>0</v>
      </c>
      <c r="Y19" s="10" t="b">
        <f aca="false">W19&lt;=1</f>
        <v>0</v>
      </c>
      <c r="Z19" s="10" t="b">
        <f aca="false">C19="Duplicate"</f>
        <v>0</v>
      </c>
      <c r="AA19" s="10" t="b">
        <f aca="false">C19=""</f>
        <v>0</v>
      </c>
      <c r="AB19" s="2" t="n">
        <f aca="false">IF(P19+Q19&gt;0,ROUND(P19/(P19+Q19)*100,0),"")</f>
        <v>73</v>
      </c>
      <c r="AC19" s="2" t="n">
        <f aca="false">IF(P19+Q19&gt;0,ROUND(E19-P19/(P19+Q19)*100,0),"")</f>
        <v>1</v>
      </c>
      <c r="AD19" s="10" t="b">
        <f aca="false">IF(AC19="",FALSE(),ABS(AC19)&gt;Assumptions!$B$41)</f>
        <v>0</v>
      </c>
      <c r="AE19" s="2" t="str">
        <f aca="false">IF(X19,"Low confidence (&lt;=2 orders); ","")&amp;IF(Y19,"Single-month history; ","")&amp;IF(Z19,"CRITICAL: Duplicate status; ","")&amp;IF(AA19,"Missing status; ","")&amp;IF(AD19,"Broker % vs counts gap "&amp;TEXT(AC19,"+0;-0")&amp;"pts; ","")</f>
        <v/>
      </c>
      <c r="AF19" s="2" t="str">
        <f aca="false">IF(AND(K19=0,L19&gt;0),IF(D19&lt;=Assumptions!$B$47,"New Customer","Returned Customer"),"Existing Customer")</f>
        <v>Existing Customer</v>
      </c>
      <c r="AG19" s="10" t="b">
        <f aca="false">AND(T19="1. Migration Candidate",J19="Key")</f>
        <v>0</v>
      </c>
      <c r="AH19" s="10" t="b">
        <f aca="false">IF(AND(K19&gt;0,L19&gt;0),OR(ABS(M19-Assumptions!$B$36)&lt;=Assumptions!$B$46,ABS(M19+Assumptions!$B$36)&lt;=Assumptions!$B$46),FALSE())</f>
        <v>0</v>
      </c>
      <c r="AI19" s="9" t="n">
        <f aca="false">INDEX('Commercial View'!$L$2:$L$301,MATCH($A19,'Commercial View'!$A$2:$A$301,0))+INDEX('Commercial View'!$M$2:$M$301,MATCH($A19,'Commercial View'!$A$2:$A$301,0))</f>
        <v>3010</v>
      </c>
      <c r="AJ19" s="2" t="str">
        <f aca="false">IF(AND(K19=0,AI19=0),"No activity ex-Feb",IF(AI19=0,"Lapsed",IF(K19=0,"H2 Active / No H1 GMV",IF((AI19/2)/(K19/3)-1&gt;=Assumptions!$B$36,"Growing",IF((AI19/2)/(K19/3)-1&lt;-Assumptions!$B$36,"Declining","Stable")))))</f>
        <v>Stable</v>
      </c>
      <c r="AK19" s="10" t="b">
        <f aca="false">IF(OR(N19="Growing",N19="Stable"),"Healthy",N19)&lt;&gt;IF(OR(AJ19="Growing",AJ19="Stable"),"Healthy",AJ19)</f>
        <v>1</v>
      </c>
      <c r="AL19" s="2" t="str">
        <f aca="false">IF(N19="Lapsed",IF(OR(O19&lt;=Assumptions!$B$48,W19&lt;=Assumptions!$B$49),"One-Off / Insufficient History — Verify","Established Buyer Lapsed"),"N/A")</f>
        <v>N/A</v>
      </c>
      <c r="AM19" s="2" t="n">
        <f aca="false">INDEX('Scored Accounts'!$M$2:$M$301,MATCH($A19,'Scored Accounts'!$A$2:$A$301,0))</f>
        <v>75</v>
      </c>
      <c r="AN19" s="2" t="n">
        <f aca="false">IF((P19/(P19+Q19)*100)&lt;=Assumptions!$B$13,0,IF((P19/(P19+Q19)*100)&lt;Assumptions!$B$14,25,IF((P19/(P19+Q19)*100)&lt;Assumptions!$B$15,50,IF((P19/(P19+Q19)*100)&lt;Assumptions!$B$16,75,100))))</f>
        <v>75</v>
      </c>
      <c r="AO19" s="21" t="n">
        <f aca="false">IF((P19/(P19+Q19)*100)&lt;=Assumptions!$B$8,0,AN19*Assumptions!$B$4+INDEX('Scored Accounts'!$N$2:$N$301,MATCH($A19,'Scored Accounts'!$A$2:$A$301,0))*Assumptions!$B$5+INDEX('Scored Accounts'!$O$2:$O$301,MATCH($A19,'Scored Accounts'!$A$2:$A$301,0))*Assumptions!$B$6)</f>
        <v>87.5</v>
      </c>
      <c r="AP19" s="2" t="str">
        <f aca="false">IF(AO19&gt;=Assumptions!$B$9,"High",IF(AO19&gt;=Assumptions!$B$10,"Medium","Low"))</f>
        <v>High</v>
      </c>
      <c r="AQ19" s="10" t="b">
        <f aca="false">OR((E19&lt;=Assumptions!$B$8)&lt;&gt;((P19/(P19+Q19)*100)&lt;=Assumptions!$B$8),AM19&lt;&gt;AN19,G19&lt;&gt;AP19)</f>
        <v>0</v>
      </c>
      <c r="AR19" s="2" t="str">
        <f aca="false">IF(AP19&lt;&gt;"Low","Broker-Reliant",IF(B19="Account Managed","AM-Owned / Self-Serving","Self-Serve"))</f>
        <v>Broker-Reliant</v>
      </c>
      <c r="AS19" s="2" t="str">
        <f aca="false">IF(AR19="Broker-Reliant",IF(J19="Tail","5. Cost-to-Serve / Low-Touch",IF(OR(N19="Growing",N19="Stable"),"1. Migration Candidate",IF(N19="Declining","2. Protect / Retain First",IF(N19="Lapsed","3. Win-Back / Verify",IF(N19="H2 Active / No H1 GMV","4. Establish / Re-establish / Observe","UNASSIGNED"))))),IF(AP19="Low",IF(J19="Tail","9. Long-Tail Automated Nurture",IF(OR(N19="Growing",N19="Stable"),"6. Growth Opportunity",IF(N19="H2 Active / No H1 GMV","7. Onboard / Re-engage / Learn",IF(OR(N19="Declining",N19="Lapsed"),"8. Retention / Reactivation","UNASSIGNED")))),"UNASSIGNED"))</f>
        <v>2. Protect / Retain First</v>
      </c>
      <c r="AT19" s="10" t="b">
        <f aca="false">AS19&lt;&gt;T19</f>
        <v>0</v>
      </c>
      <c r="AU19" s="2" t="str">
        <f aca="false">IF(NOT(U19),"Not Eligible",IF(OR(AQ19,AH19,AK19,NOT(AND(W19&gt;=Assumptions!$B$83,O19&gt;=Assumptions!$B$84))),"Manual Review","Ready"))</f>
        <v>Not Eligible</v>
      </c>
      <c r="AV19" s="2" t="str">
        <f aca="false">IF(AG19,"Key account - human sign-off required; ","")&amp;IF(AH19,"Borderline momentum; ","")&amp;IF(AK19,"February-sensitive ("&amp;N19&amp;" -&gt; "&amp;AJ19&amp;"); ","")&amp;IF(AL19="One-Off / Insufficient History — Verify","Lapsed on thin history - verify; ","")&amp;IF(AQ19,"Material broker % inconsistency (implied tier "&amp;AP19&amp;"); ","")&amp;IF(AT19,"Implied broker % would move segment to "&amp;AS19&amp;"; ","")</f>
        <v>February-sensitive (Declining -&gt; Stable); </v>
      </c>
      <c r="AW19" s="10" t="b">
        <f aca="false">AND(G19="Low",J19="Tail",I19&gt;=Assumptions!$B$64,O19&gt;=Assumptions!$B$65,OR(N19="Growing",N19="Stable",AND(N19="H2 Active / No H1 GMV",W19&gt;=2)),OR(R19&gt;=Assumptions!$B$66,S19&gt;=Assumptions!$B$67))</f>
        <v>0</v>
      </c>
    </row>
    <row r="20" customFormat="false" ht="15" hidden="false" customHeight="false" outlineLevel="0" collapsed="false">
      <c r="A20" s="2" t="s">
        <v>380</v>
      </c>
      <c r="B20" s="2" t="s">
        <v>1571</v>
      </c>
      <c r="C20" s="2" t="s">
        <v>1572</v>
      </c>
      <c r="D20" s="2" t="n">
        <v>10</v>
      </c>
      <c r="E20" s="2" t="n">
        <v>59</v>
      </c>
      <c r="F20" s="21" t="n">
        <f aca="false">INDEX('Scored Accounts'!$Q$2:$Q$301,MATCH($A20,'Scored Accounts'!$A$2:$A$301,0))</f>
        <v>70</v>
      </c>
      <c r="G20" s="2" t="str">
        <f aca="false">INDEX('Scored Accounts'!$R$2:$R$301,MATCH($A20,'Scored Accounts'!$A$2:$A$301,0))</f>
        <v>High</v>
      </c>
      <c r="H20" s="2" t="str">
        <f aca="false">IF(OR(G20="High",G20="Medium"),"Broker-Reliant",IF(AND(G20="Low",B20="Account Managed"),"AM-Owned / Self-Serving",IF(AND(G20="Low",B20="Self Serve"),"Self-Serve","UNASSIGNED")))</f>
        <v>Broker-Reliant</v>
      </c>
      <c r="I20" s="9" t="n">
        <v>7716</v>
      </c>
      <c r="J20" s="2" t="str">
        <f aca="false">IF(I20&gt;=Assumptions!$B$35,"Key",IF(I20&gt;=Assumptions!$B$34,"Core","Tail"))</f>
        <v>Core</v>
      </c>
      <c r="K20" s="9" t="n">
        <f aca="false">INDEX('Commercial View'!$R$2:$R$301,MATCH($A20,'Commercial View'!$A$2:$A$301,0))</f>
        <v>1446</v>
      </c>
      <c r="L20" s="9" t="n">
        <f aca="false">INDEX('Commercial View'!$S$2:$S$301,MATCH($A20,'Commercial View'!$A$2:$A$301,0))</f>
        <v>6269</v>
      </c>
      <c r="M20" s="17" t="n">
        <f aca="false">INDEX('Commercial View'!$T$2:$T$301,MATCH($A20,'Commercial View'!$A$2:$A$301,0))</f>
        <v>3.33540802213001</v>
      </c>
      <c r="N20" s="2" t="str">
        <f aca="false">INDEX('Commercial View'!$U$2:$U$301,MATCH($A20,'Commercial View'!$A$2:$A$301,0))</f>
        <v>Growing</v>
      </c>
      <c r="O20" s="2" t="n">
        <v>7</v>
      </c>
      <c r="P20" s="2" t="n">
        <v>4</v>
      </c>
      <c r="Q20" s="2" t="n">
        <v>3</v>
      </c>
      <c r="R20" s="2" t="n">
        <v>2</v>
      </c>
      <c r="S20" s="2" t="n">
        <v>1</v>
      </c>
      <c r="T20" s="2" t="str">
        <f aca="false">IF(H20="Broker-Reliant",IF(J20="Tail","5. Cost-to-Serve / Low-Touch",IF(OR(N20="Growing",N20="Stable"),"1. Migration Candidate",IF(N20="Declining","2. Protect / Retain First",IF(N20="Lapsed","3. Win-Back / Verify",IF(N20="H2 Active / No H1 GMV","4. Establish / Re-establish / Observe","UNASSIGNED"))))),IF(G20="Low",IF(J20="Tail","9. Long-Tail Automated Nurture",IF(OR(N20="Growing",N20="Stable"),"6. Growth Opportunity",IF(N20="H2 Active / No H1 GMV","7. Onboard / Re-engage / Learn",IF(OR(N20="Declining",N20="Lapsed"),"8. Retention / Reactivation","UNASSIGNED")))),"UNASSIGNED"))</f>
        <v>1. Migration Candidate</v>
      </c>
      <c r="U20" s="10" t="b">
        <f aca="false">AND(T20="1. Migration Candidate",J20="Core",O20&gt;=Assumptions!$B$39,Q20&gt;=Assumptions!$B$40,NOT(Z20))</f>
        <v>1</v>
      </c>
      <c r="V20" s="2" t="n">
        <f aca="false">(AND(H20="Broker-Reliant",J20&lt;&gt;"Tail",OR(N20="Growing",N20="Stable")))*1+(AND(H20="Broker-Reliant",J20&lt;&gt;"Tail",N20="Declining"))*1+(AND(H20="Broker-Reliant",J20&lt;&gt;"Tail",N20="Lapsed"))*1+(AND(H20="Broker-Reliant",J20&lt;&gt;"Tail",N20="H2 Active / No H1 GMV"))*1+(AND(H20="Broker-Reliant",J20="Tail"))*1+(AND(G20="Low",J20&lt;&gt;"Tail",OR(N20="Growing",N20="Stable")))*1+(AND(G20="Low",J20&lt;&gt;"Tail",N20="H2 Active / No H1 GMV"))*1+(AND(G20="Low",J20&lt;&gt;"Tail",OR(N20="Declining",N20="Lapsed")))*1+(AND(G20="Low",J20="Tail"))*1</f>
        <v>1</v>
      </c>
      <c r="W20" s="2" t="n">
        <f aca="false">INDEX('Commercial View'!$V$2:$V$301,MATCH($A20,'Commercial View'!$A$2:$A$301,0))</f>
        <v>5</v>
      </c>
      <c r="X20" s="10" t="b">
        <f aca="false">O20&lt;=Assumptions!$B$30</f>
        <v>0</v>
      </c>
      <c r="Y20" s="10" t="b">
        <f aca="false">W20&lt;=1</f>
        <v>0</v>
      </c>
      <c r="Z20" s="10" t="b">
        <f aca="false">C20="Duplicate"</f>
        <v>0</v>
      </c>
      <c r="AA20" s="10" t="b">
        <f aca="false">C20=""</f>
        <v>0</v>
      </c>
      <c r="AB20" s="2" t="n">
        <f aca="false">IF(P20+Q20&gt;0,ROUND(P20/(P20+Q20)*100,0),"")</f>
        <v>57</v>
      </c>
      <c r="AC20" s="2" t="n">
        <f aca="false">IF(P20+Q20&gt;0,ROUND(E20-P20/(P20+Q20)*100,0),"")</f>
        <v>2</v>
      </c>
      <c r="AD20" s="10" t="b">
        <f aca="false">IF(AC20="",FALSE(),ABS(AC20)&gt;Assumptions!$B$41)</f>
        <v>0</v>
      </c>
      <c r="AE20" s="2" t="str">
        <f aca="false">IF(X20,"Low confidence (&lt;=2 orders); ","")&amp;IF(Y20,"Single-month history; ","")&amp;IF(Z20,"CRITICAL: Duplicate status; ","")&amp;IF(AA20,"Missing status; ","")&amp;IF(AD20,"Broker % vs counts gap "&amp;TEXT(AC20,"+0;-0")&amp;"pts; ","")</f>
        <v/>
      </c>
      <c r="AF20" s="2" t="str">
        <f aca="false">IF(AND(K20=0,L20&gt;0),IF(D20&lt;=Assumptions!$B$47,"New Customer","Returned Customer"),"Existing Customer")</f>
        <v>Existing Customer</v>
      </c>
      <c r="AG20" s="10" t="b">
        <f aca="false">AND(T20="1. Migration Candidate",J20="Key")</f>
        <v>0</v>
      </c>
      <c r="AH20" s="10" t="b">
        <f aca="false">IF(AND(K20&gt;0,L20&gt;0),OR(ABS(M20-Assumptions!$B$36)&lt;=Assumptions!$B$46,ABS(M20+Assumptions!$B$36)&lt;=Assumptions!$B$46),FALSE())</f>
        <v>0</v>
      </c>
      <c r="AI20" s="9" t="n">
        <f aca="false">INDEX('Commercial View'!$L$2:$L$301,MATCH($A20,'Commercial View'!$A$2:$A$301,0))+INDEX('Commercial View'!$M$2:$M$301,MATCH($A20,'Commercial View'!$A$2:$A$301,0))</f>
        <v>2546</v>
      </c>
      <c r="AJ20" s="2" t="str">
        <f aca="false">IF(AND(K20=0,AI20=0),"No activity ex-Feb",IF(AI20=0,"Lapsed",IF(K20=0,"H2 Active / No H1 GMV",IF((AI20/2)/(K20/3)-1&gt;=Assumptions!$B$36,"Growing",IF((AI20/2)/(K20/3)-1&lt;-Assumptions!$B$36,"Declining","Stable")))))</f>
        <v>Growing</v>
      </c>
      <c r="AK20" s="10" t="b">
        <f aca="false">IF(OR(N20="Growing",N20="Stable"),"Healthy",N20)&lt;&gt;IF(OR(AJ20="Growing",AJ20="Stable"),"Healthy",AJ20)</f>
        <v>0</v>
      </c>
      <c r="AL20" s="2" t="str">
        <f aca="false">IF(N20="Lapsed",IF(OR(O20&lt;=Assumptions!$B$48,W20&lt;=Assumptions!$B$49),"One-Off / Insufficient History — Verify","Established Buyer Lapsed"),"N/A")</f>
        <v>N/A</v>
      </c>
      <c r="AM20" s="2" t="n">
        <f aca="false">INDEX('Scored Accounts'!$M$2:$M$301,MATCH($A20,'Scored Accounts'!$A$2:$A$301,0))</f>
        <v>50</v>
      </c>
      <c r="AN20" s="2" t="n">
        <f aca="false">IF((P20/(P20+Q20)*100)&lt;=Assumptions!$B$13,0,IF((P20/(P20+Q20)*100)&lt;Assumptions!$B$14,25,IF((P20/(P20+Q20)*100)&lt;Assumptions!$B$15,50,IF((P20/(P20+Q20)*100)&lt;Assumptions!$B$16,75,100))))</f>
        <v>50</v>
      </c>
      <c r="AO20" s="21" t="n">
        <f aca="false">IF((P20/(P20+Q20)*100)&lt;=Assumptions!$B$8,0,AN20*Assumptions!$B$4+INDEX('Scored Accounts'!$N$2:$N$301,MATCH($A20,'Scored Accounts'!$A$2:$A$301,0))*Assumptions!$B$5+INDEX('Scored Accounts'!$O$2:$O$301,MATCH($A20,'Scored Accounts'!$A$2:$A$301,0))*Assumptions!$B$6)</f>
        <v>70</v>
      </c>
      <c r="AP20" s="2" t="str">
        <f aca="false">IF(AO20&gt;=Assumptions!$B$9,"High",IF(AO20&gt;=Assumptions!$B$10,"Medium","Low"))</f>
        <v>High</v>
      </c>
      <c r="AQ20" s="10" t="b">
        <f aca="false">OR((E20&lt;=Assumptions!$B$8)&lt;&gt;((P20/(P20+Q20)*100)&lt;=Assumptions!$B$8),AM20&lt;&gt;AN20,G20&lt;&gt;AP20)</f>
        <v>0</v>
      </c>
      <c r="AR20" s="2" t="str">
        <f aca="false">IF(AP20&lt;&gt;"Low","Broker-Reliant",IF(B20="Account Managed","AM-Owned / Self-Serving","Self-Serve"))</f>
        <v>Broker-Reliant</v>
      </c>
      <c r="AS20" s="2" t="str">
        <f aca="false">IF(AR20="Broker-Reliant",IF(J20="Tail","5. Cost-to-Serve / Low-Touch",IF(OR(N20="Growing",N20="Stable"),"1. Migration Candidate",IF(N20="Declining","2. Protect / Retain First",IF(N20="Lapsed","3. Win-Back / Verify",IF(N20="H2 Active / No H1 GMV","4. Establish / Re-establish / Observe","UNASSIGNED"))))),IF(AP20="Low",IF(J20="Tail","9. Long-Tail Automated Nurture",IF(OR(N20="Growing",N20="Stable"),"6. Growth Opportunity",IF(N20="H2 Active / No H1 GMV","7. Onboard / Re-engage / Learn",IF(OR(N20="Declining",N20="Lapsed"),"8. Retention / Reactivation","UNASSIGNED")))),"UNASSIGNED"))</f>
        <v>1. Migration Candidate</v>
      </c>
      <c r="AT20" s="10" t="b">
        <f aca="false">AS20&lt;&gt;T20</f>
        <v>0</v>
      </c>
      <c r="AU20" s="2" t="str">
        <f aca="false">IF(NOT(U20),"Not Eligible",IF(OR(AQ20,AH20,AK20,NOT(AND(W20&gt;=Assumptions!$B$83,O20&gt;=Assumptions!$B$84))),"Manual Review","Ready"))</f>
        <v>Ready</v>
      </c>
      <c r="AV20" s="2" t="str">
        <f aca="false">IF(AG20,"Key account - human sign-off required; ","")&amp;IF(AH20,"Borderline momentum; ","")&amp;IF(AK20,"February-sensitive ("&amp;N20&amp;" -&gt; "&amp;AJ20&amp;"); ","")&amp;IF(AL20="One-Off / Insufficient History — Verify","Lapsed on thin history - verify; ","")&amp;IF(AQ20,"Material broker % inconsistency (implied tier "&amp;AP20&amp;"); ","")&amp;IF(AT20,"Implied broker % would move segment to "&amp;AS20&amp;"; ","")</f>
        <v/>
      </c>
      <c r="AW20" s="10" t="b">
        <f aca="false">AND(G20="Low",J20="Tail",I20&gt;=Assumptions!$B$64,O20&gt;=Assumptions!$B$65,OR(N20="Growing",N20="Stable",AND(N20="H2 Active / No H1 GMV",W20&gt;=2)),OR(R20&gt;=Assumptions!$B$66,S20&gt;=Assumptions!$B$67))</f>
        <v>0</v>
      </c>
    </row>
    <row r="21" customFormat="false" ht="15" hidden="false" customHeight="false" outlineLevel="0" collapsed="false">
      <c r="A21" s="2" t="s">
        <v>389</v>
      </c>
      <c r="B21" s="2" t="s">
        <v>1571</v>
      </c>
      <c r="C21" s="2" t="s">
        <v>1572</v>
      </c>
      <c r="D21" s="2" t="n">
        <v>31</v>
      </c>
      <c r="E21" s="2" t="n">
        <v>48</v>
      </c>
      <c r="F21" s="21" t="n">
        <f aca="false">INDEX('Scored Accounts'!$Q$2:$Q$301,MATCH($A21,'Scored Accounts'!$A$2:$A$301,0))</f>
        <v>67.5</v>
      </c>
      <c r="G21" s="2" t="str">
        <f aca="false">INDEX('Scored Accounts'!$R$2:$R$301,MATCH($A21,'Scored Accounts'!$A$2:$A$301,0))</f>
        <v>Medium</v>
      </c>
      <c r="H21" s="2" t="str">
        <f aca="false">IF(OR(G21="High",G21="Medium"),"Broker-Reliant",IF(AND(G21="Low",B21="Account Managed"),"AM-Owned / Self-Serving",IF(AND(G21="Low",B21="Self Serve"),"Self-Serve","UNASSIGNED")))</f>
        <v>Broker-Reliant</v>
      </c>
      <c r="I21" s="9" t="n">
        <v>6452</v>
      </c>
      <c r="J21" s="2" t="str">
        <f aca="false">IF(I21&gt;=Assumptions!$B$35,"Key",IF(I21&gt;=Assumptions!$B$34,"Core","Tail"))</f>
        <v>Core</v>
      </c>
      <c r="K21" s="9" t="n">
        <f aca="false">INDEX('Commercial View'!$R$2:$R$301,MATCH($A21,'Commercial View'!$A$2:$A$301,0))</f>
        <v>3474</v>
      </c>
      <c r="L21" s="9" t="n">
        <f aca="false">INDEX('Commercial View'!$S$2:$S$301,MATCH($A21,'Commercial View'!$A$2:$A$301,0))</f>
        <v>2978</v>
      </c>
      <c r="M21" s="17" t="n">
        <f aca="false">INDEX('Commercial View'!$T$2:$T$301,MATCH($A21,'Commercial View'!$A$2:$A$301,0))</f>
        <v>-0.142774899251583</v>
      </c>
      <c r="N21" s="2" t="str">
        <f aca="false">INDEX('Commercial View'!$U$2:$U$301,MATCH($A21,'Commercial View'!$A$2:$A$301,0))</f>
        <v>Stable</v>
      </c>
      <c r="O21" s="2" t="n">
        <v>3</v>
      </c>
      <c r="P21" s="2" t="n">
        <v>1</v>
      </c>
      <c r="Q21" s="2" t="n">
        <v>2</v>
      </c>
      <c r="R21" s="2" t="n">
        <v>7</v>
      </c>
      <c r="S21" s="2" t="n">
        <v>0</v>
      </c>
      <c r="T21" s="2" t="str">
        <f aca="false">IF(H21="Broker-Reliant",IF(J21="Tail","5. Cost-to-Serve / Low-Touch",IF(OR(N21="Growing",N21="Stable"),"1. Migration Candidate",IF(N21="Declining","2. Protect / Retain First",IF(N21="Lapsed","3. Win-Back / Verify",IF(N21="H2 Active / No H1 GMV","4. Establish / Re-establish / Observe","UNASSIGNED"))))),IF(G21="Low",IF(J21="Tail","9. Long-Tail Automated Nurture",IF(OR(N21="Growing",N21="Stable"),"6. Growth Opportunity",IF(N21="H2 Active / No H1 GMV","7. Onboard / Re-engage / Learn",IF(OR(N21="Declining",N21="Lapsed"),"8. Retention / Reactivation","UNASSIGNED")))),"UNASSIGNED"))</f>
        <v>1. Migration Candidate</v>
      </c>
      <c r="U21" s="10" t="b">
        <f aca="false">AND(T21="1. Migration Candidate",J21="Core",O21&gt;=Assumptions!$B$39,Q21&gt;=Assumptions!$B$40,NOT(Z21))</f>
        <v>1</v>
      </c>
      <c r="V21" s="2" t="n">
        <f aca="false">(AND(H21="Broker-Reliant",J21&lt;&gt;"Tail",OR(N21="Growing",N21="Stable")))*1+(AND(H21="Broker-Reliant",J21&lt;&gt;"Tail",N21="Declining"))*1+(AND(H21="Broker-Reliant",J21&lt;&gt;"Tail",N21="Lapsed"))*1+(AND(H21="Broker-Reliant",J21&lt;&gt;"Tail",N21="H2 Active / No H1 GMV"))*1+(AND(H21="Broker-Reliant",J21="Tail"))*1+(AND(G21="Low",J21&lt;&gt;"Tail",OR(N21="Growing",N21="Stable")))*1+(AND(G21="Low",J21&lt;&gt;"Tail",N21="H2 Active / No H1 GMV"))*1+(AND(G21="Low",J21&lt;&gt;"Tail",OR(N21="Declining",N21="Lapsed")))*1+(AND(G21="Low",J21="Tail"))*1</f>
        <v>1</v>
      </c>
      <c r="W21" s="2" t="n">
        <f aca="false">INDEX('Commercial View'!$V$2:$V$301,MATCH($A21,'Commercial View'!$A$2:$A$301,0))</f>
        <v>3</v>
      </c>
      <c r="X21" s="10" t="b">
        <f aca="false">O21&lt;=Assumptions!$B$30</f>
        <v>0</v>
      </c>
      <c r="Y21" s="10" t="b">
        <f aca="false">W21&lt;=1</f>
        <v>0</v>
      </c>
      <c r="Z21" s="10" t="b">
        <f aca="false">C21="Duplicate"</f>
        <v>0</v>
      </c>
      <c r="AA21" s="10" t="b">
        <f aca="false">C21=""</f>
        <v>0</v>
      </c>
      <c r="AB21" s="2" t="n">
        <f aca="false">IF(P21+Q21&gt;0,ROUND(P21/(P21+Q21)*100,0),"")</f>
        <v>33</v>
      </c>
      <c r="AC21" s="2" t="n">
        <f aca="false">IF(P21+Q21&gt;0,ROUND(E21-P21/(P21+Q21)*100,0),"")</f>
        <v>15</v>
      </c>
      <c r="AD21" s="10" t="b">
        <f aca="false">IF(AC21="",FALSE(),ABS(AC21)&gt;Assumptions!$B$41)</f>
        <v>1</v>
      </c>
      <c r="AE21" s="2" t="str">
        <f aca="false">IF(X21,"Low confidence (&lt;=2 orders); ","")&amp;IF(Y21,"Single-month history; ","")&amp;IF(Z21,"CRITICAL: Duplicate status; ","")&amp;IF(AA21,"Missing status; ","")&amp;IF(AD21,"Broker % vs counts gap "&amp;TEXT(AC21,"+0;-0")&amp;"pts; ","")</f>
        <v>Broker % vs counts gap +15pts; </v>
      </c>
      <c r="AF21" s="2" t="str">
        <f aca="false">IF(AND(K21=0,L21&gt;0),IF(D21&lt;=Assumptions!$B$47,"New Customer","Returned Customer"),"Existing Customer")</f>
        <v>Existing Customer</v>
      </c>
      <c r="AG21" s="10" t="b">
        <f aca="false">AND(T21="1. Migration Candidate",J21="Key")</f>
        <v>0</v>
      </c>
      <c r="AH21" s="10" t="b">
        <f aca="false">IF(AND(K21&gt;0,L21&gt;0),OR(ABS(M21-Assumptions!$B$36)&lt;=Assumptions!$B$46,ABS(M21+Assumptions!$B$36)&lt;=Assumptions!$B$46),FALSE())</f>
        <v>0</v>
      </c>
      <c r="AI21" s="9" t="n">
        <f aca="false">INDEX('Commercial View'!$L$2:$L$301,MATCH($A21,'Commercial View'!$A$2:$A$301,0))+INDEX('Commercial View'!$M$2:$M$301,MATCH($A21,'Commercial View'!$A$2:$A$301,0))</f>
        <v>2788</v>
      </c>
      <c r="AJ21" s="2" t="str">
        <f aca="false">IF(AND(K21=0,AI21=0),"No activity ex-Feb",IF(AI21=0,"Lapsed",IF(K21=0,"H2 Active / No H1 GMV",IF((AI21/2)/(K21/3)-1&gt;=Assumptions!$B$36,"Growing",IF((AI21/2)/(K21/3)-1&lt;-Assumptions!$B$36,"Declining","Stable")))))</f>
        <v>Growing</v>
      </c>
      <c r="AK21" s="10" t="b">
        <f aca="false">IF(OR(N21="Growing",N21="Stable"),"Healthy",N21)&lt;&gt;IF(OR(AJ21="Growing",AJ21="Stable"),"Healthy",AJ21)</f>
        <v>0</v>
      </c>
      <c r="AL21" s="2" t="str">
        <f aca="false">IF(N21="Lapsed",IF(OR(O21&lt;=Assumptions!$B$48,W21&lt;=Assumptions!$B$49),"One-Off / Insufficient History — Verify","Established Buyer Lapsed"),"N/A")</f>
        <v>N/A</v>
      </c>
      <c r="AM21" s="2" t="n">
        <f aca="false">INDEX('Scored Accounts'!$M$2:$M$301,MATCH($A21,'Scored Accounts'!$A$2:$A$301,0))</f>
        <v>50</v>
      </c>
      <c r="AN21" s="2" t="n">
        <f aca="false">IF((P21/(P21+Q21)*100)&lt;=Assumptions!$B$13,0,IF((P21/(P21+Q21)*100)&lt;Assumptions!$B$14,25,IF((P21/(P21+Q21)*100)&lt;Assumptions!$B$15,50,IF((P21/(P21+Q21)*100)&lt;Assumptions!$B$16,75,100))))</f>
        <v>25</v>
      </c>
      <c r="AO21" s="21" t="n">
        <f aca="false">IF((P21/(P21+Q21)*100)&lt;=Assumptions!$B$8,0,AN21*Assumptions!$B$4+INDEX('Scored Accounts'!$N$2:$N$301,MATCH($A21,'Scored Accounts'!$A$2:$A$301,0))*Assumptions!$B$5+INDEX('Scored Accounts'!$O$2:$O$301,MATCH($A21,'Scored Accounts'!$A$2:$A$301,0))*Assumptions!$B$6)</f>
        <v>55</v>
      </c>
      <c r="AP21" s="2" t="str">
        <f aca="false">IF(AO21&gt;=Assumptions!$B$9,"High",IF(AO21&gt;=Assumptions!$B$10,"Medium","Low"))</f>
        <v>Medium</v>
      </c>
      <c r="AQ21" s="10" t="b">
        <f aca="false">OR((E21&lt;=Assumptions!$B$8)&lt;&gt;((P21/(P21+Q21)*100)&lt;=Assumptions!$B$8),AM21&lt;&gt;AN21,G21&lt;&gt;AP21)</f>
        <v>1</v>
      </c>
      <c r="AR21" s="2" t="str">
        <f aca="false">IF(AP21&lt;&gt;"Low","Broker-Reliant",IF(B21="Account Managed","AM-Owned / Self-Serving","Self-Serve"))</f>
        <v>Broker-Reliant</v>
      </c>
      <c r="AS21" s="2" t="str">
        <f aca="false">IF(AR21="Broker-Reliant",IF(J21="Tail","5. Cost-to-Serve / Low-Touch",IF(OR(N21="Growing",N21="Stable"),"1. Migration Candidate",IF(N21="Declining","2. Protect / Retain First",IF(N21="Lapsed","3. Win-Back / Verify",IF(N21="H2 Active / No H1 GMV","4. Establish / Re-establish / Observe","UNASSIGNED"))))),IF(AP21="Low",IF(J21="Tail","9. Long-Tail Automated Nurture",IF(OR(N21="Growing",N21="Stable"),"6. Growth Opportunity",IF(N21="H2 Active / No H1 GMV","7. Onboard / Re-engage / Learn",IF(OR(N21="Declining",N21="Lapsed"),"8. Retention / Reactivation","UNASSIGNED")))),"UNASSIGNED"))</f>
        <v>1. Migration Candidate</v>
      </c>
      <c r="AT21" s="10" t="b">
        <f aca="false">AS21&lt;&gt;T21</f>
        <v>0</v>
      </c>
      <c r="AU21" s="2" t="str">
        <f aca="false">IF(NOT(U21),"Not Eligible",IF(OR(AQ21,AH21,AK21,NOT(AND(W21&gt;=Assumptions!$B$83,O21&gt;=Assumptions!$B$84))),"Manual Review","Ready"))</f>
        <v>Manual Review</v>
      </c>
      <c r="AV21" s="2" t="str">
        <f aca="false">IF(AG21,"Key account - human sign-off required; ","")&amp;IF(AH21,"Borderline momentum; ","")&amp;IF(AK21,"February-sensitive ("&amp;N21&amp;" -&gt; "&amp;AJ21&amp;"); ","")&amp;IF(AL21="One-Off / Insufficient History — Verify","Lapsed on thin history - verify; ","")&amp;IF(AQ21,"Material broker % inconsistency (implied tier "&amp;AP21&amp;"); ","")&amp;IF(AT21,"Implied broker % would move segment to "&amp;AS21&amp;"; ","")</f>
        <v>Material broker % inconsistency (implied tier Medium); </v>
      </c>
      <c r="AW21" s="10" t="b">
        <f aca="false">AND(G21="Low",J21="Tail",I21&gt;=Assumptions!$B$64,O21&gt;=Assumptions!$B$65,OR(N21="Growing",N21="Stable",AND(N21="H2 Active / No H1 GMV",W21&gt;=2)),OR(R21&gt;=Assumptions!$B$66,S21&gt;=Assumptions!$B$67))</f>
        <v>0</v>
      </c>
    </row>
    <row r="22" customFormat="false" ht="15" hidden="false" customHeight="false" outlineLevel="0" collapsed="false">
      <c r="A22" s="2" t="s">
        <v>208</v>
      </c>
      <c r="B22" s="2" t="s">
        <v>1571</v>
      </c>
      <c r="C22" s="2" t="s">
        <v>1572</v>
      </c>
      <c r="D22" s="2" t="n">
        <v>7</v>
      </c>
      <c r="E22" s="2" t="n">
        <v>64</v>
      </c>
      <c r="F22" s="21" t="n">
        <f aca="false">INDEX('Scored Accounts'!$Q$2:$Q$301,MATCH($A22,'Scored Accounts'!$A$2:$A$301,0))</f>
        <v>75</v>
      </c>
      <c r="G22" s="2" t="str">
        <f aca="false">INDEX('Scored Accounts'!$R$2:$R$301,MATCH($A22,'Scored Accounts'!$A$2:$A$301,0))</f>
        <v>High</v>
      </c>
      <c r="H22" s="2" t="str">
        <f aca="false">IF(OR(G22="High",G22="Medium"),"Broker-Reliant",IF(AND(G22="Low",B22="Account Managed"),"AM-Owned / Self-Serving",IF(AND(G22="Low",B22="Self Serve"),"Self-Serve","UNASSIGNED")))</f>
        <v>Broker-Reliant</v>
      </c>
      <c r="I22" s="9" t="n">
        <v>6199</v>
      </c>
      <c r="J22" s="2" t="str">
        <f aca="false">IF(I22&gt;=Assumptions!$B$35,"Key",IF(I22&gt;=Assumptions!$B$34,"Core","Tail"))</f>
        <v>Core</v>
      </c>
      <c r="K22" s="9" t="n">
        <f aca="false">INDEX('Commercial View'!$R$2:$R$301,MATCH($A22,'Commercial View'!$A$2:$A$301,0))</f>
        <v>3866</v>
      </c>
      <c r="L22" s="9" t="n">
        <f aca="false">INDEX('Commercial View'!$S$2:$S$301,MATCH($A22,'Commercial View'!$A$2:$A$301,0))</f>
        <v>2332</v>
      </c>
      <c r="M22" s="17" t="n">
        <f aca="false">INDEX('Commercial View'!$T$2:$T$301,MATCH($A22,'Commercial View'!$A$2:$A$301,0))</f>
        <v>-0.396792550439731</v>
      </c>
      <c r="N22" s="2" t="str">
        <f aca="false">INDEX('Commercial View'!$U$2:$U$301,MATCH($A22,'Commercial View'!$A$2:$A$301,0))</f>
        <v>Declining</v>
      </c>
      <c r="O22" s="2" t="n">
        <v>19</v>
      </c>
      <c r="P22" s="2" t="n">
        <v>12</v>
      </c>
      <c r="Q22" s="2" t="n">
        <v>7</v>
      </c>
      <c r="R22" s="2" t="n">
        <v>6</v>
      </c>
      <c r="S22" s="2" t="n">
        <v>1</v>
      </c>
      <c r="T22" s="2" t="str">
        <f aca="false">IF(H22="Broker-Reliant",IF(J22="Tail","5. Cost-to-Serve / Low-Touch",IF(OR(N22="Growing",N22="Stable"),"1. Migration Candidate",IF(N22="Declining","2. Protect / Retain First",IF(N22="Lapsed","3. Win-Back / Verify",IF(N22="H2 Active / No H1 GMV","4. Establish / Re-establish / Observe","UNASSIGNED"))))),IF(G22="Low",IF(J22="Tail","9. Long-Tail Automated Nurture",IF(OR(N22="Growing",N22="Stable"),"6. Growth Opportunity",IF(N22="H2 Active / No H1 GMV","7. Onboard / Re-engage / Learn",IF(OR(N22="Declining",N22="Lapsed"),"8. Retention / Reactivation","UNASSIGNED")))),"UNASSIGNED"))</f>
        <v>2. Protect / Retain First</v>
      </c>
      <c r="U22" s="10" t="b">
        <f aca="false">AND(T22="1. Migration Candidate",J22="Core",O22&gt;=Assumptions!$B$39,Q22&gt;=Assumptions!$B$40,NOT(Z22))</f>
        <v>0</v>
      </c>
      <c r="V22" s="2" t="n">
        <f aca="false">(AND(H22="Broker-Reliant",J22&lt;&gt;"Tail",OR(N22="Growing",N22="Stable")))*1+(AND(H22="Broker-Reliant",J22&lt;&gt;"Tail",N22="Declining"))*1+(AND(H22="Broker-Reliant",J22&lt;&gt;"Tail",N22="Lapsed"))*1+(AND(H22="Broker-Reliant",J22&lt;&gt;"Tail",N22="H2 Active / No H1 GMV"))*1+(AND(H22="Broker-Reliant",J22="Tail"))*1+(AND(G22="Low",J22&lt;&gt;"Tail",OR(N22="Growing",N22="Stable")))*1+(AND(G22="Low",J22&lt;&gt;"Tail",N22="H2 Active / No H1 GMV"))*1+(AND(G22="Low",J22&lt;&gt;"Tail",OR(N22="Declining",N22="Lapsed")))*1+(AND(G22="Low",J22="Tail"))*1</f>
        <v>1</v>
      </c>
      <c r="W22" s="2" t="n">
        <f aca="false">INDEX('Commercial View'!$V$2:$V$301,MATCH($A22,'Commercial View'!$A$2:$A$301,0))</f>
        <v>6</v>
      </c>
      <c r="X22" s="10" t="b">
        <f aca="false">O22&lt;=Assumptions!$B$30</f>
        <v>0</v>
      </c>
      <c r="Y22" s="10" t="b">
        <f aca="false">W22&lt;=1</f>
        <v>0</v>
      </c>
      <c r="Z22" s="10" t="b">
        <f aca="false">C22="Duplicate"</f>
        <v>0</v>
      </c>
      <c r="AA22" s="10" t="b">
        <f aca="false">C22=""</f>
        <v>0</v>
      </c>
      <c r="AB22" s="2" t="n">
        <f aca="false">IF(P22+Q22&gt;0,ROUND(P22/(P22+Q22)*100,0),"")</f>
        <v>63</v>
      </c>
      <c r="AC22" s="2" t="n">
        <f aca="false">IF(P22+Q22&gt;0,ROUND(E22-P22/(P22+Q22)*100,0),"")</f>
        <v>1</v>
      </c>
      <c r="AD22" s="10" t="b">
        <f aca="false">IF(AC22="",FALSE(),ABS(AC22)&gt;Assumptions!$B$41)</f>
        <v>0</v>
      </c>
      <c r="AE22" s="2" t="str">
        <f aca="false">IF(X22,"Low confidence (&lt;=2 orders); ","")&amp;IF(Y22,"Single-month history; ","")&amp;IF(Z22,"CRITICAL: Duplicate status; ","")&amp;IF(AA22,"Missing status; ","")&amp;IF(AD22,"Broker % vs counts gap "&amp;TEXT(AC22,"+0;-0")&amp;"pts; ","")</f>
        <v/>
      </c>
      <c r="AF22" s="2" t="str">
        <f aca="false">IF(AND(K22=0,L22&gt;0),IF(D22&lt;=Assumptions!$B$47,"New Customer","Returned Customer"),"Existing Customer")</f>
        <v>Existing Customer</v>
      </c>
      <c r="AG22" s="10" t="b">
        <f aca="false">AND(T22="1. Migration Candidate",J22="Key")</f>
        <v>0</v>
      </c>
      <c r="AH22" s="10" t="b">
        <f aca="false">IF(AND(K22&gt;0,L22&gt;0),OR(ABS(M22-Assumptions!$B$36)&lt;=Assumptions!$B$46,ABS(M22+Assumptions!$B$36)&lt;=Assumptions!$B$46),FALSE())</f>
        <v>0</v>
      </c>
      <c r="AI22" s="9" t="n">
        <f aca="false">INDEX('Commercial View'!$L$2:$L$301,MATCH($A22,'Commercial View'!$A$2:$A$301,0))+INDEX('Commercial View'!$M$2:$M$301,MATCH($A22,'Commercial View'!$A$2:$A$301,0))</f>
        <v>1215</v>
      </c>
      <c r="AJ22" s="2" t="str">
        <f aca="false">IF(AND(K22=0,AI22=0),"No activity ex-Feb",IF(AI22=0,"Lapsed",IF(K22=0,"H2 Active / No H1 GMV",IF((AI22/2)/(K22/3)-1&gt;=Assumptions!$B$36,"Growing",IF((AI22/2)/(K22/3)-1&lt;-Assumptions!$B$36,"Declining","Stable")))))</f>
        <v>Declining</v>
      </c>
      <c r="AK22" s="10" t="b">
        <f aca="false">IF(OR(N22="Growing",N22="Stable"),"Healthy",N22)&lt;&gt;IF(OR(AJ22="Growing",AJ22="Stable"),"Healthy",AJ22)</f>
        <v>0</v>
      </c>
      <c r="AL22" s="2" t="str">
        <f aca="false">IF(N22="Lapsed",IF(OR(O22&lt;=Assumptions!$B$48,W22&lt;=Assumptions!$B$49),"One-Off / Insufficient History — Verify","Established Buyer Lapsed"),"N/A")</f>
        <v>N/A</v>
      </c>
      <c r="AM22" s="2" t="n">
        <f aca="false">INDEX('Scored Accounts'!$M$2:$M$301,MATCH($A22,'Scored Accounts'!$A$2:$A$301,0))</f>
        <v>75</v>
      </c>
      <c r="AN22" s="2" t="n">
        <f aca="false">IF((P22/(P22+Q22)*100)&lt;=Assumptions!$B$13,0,IF((P22/(P22+Q22)*100)&lt;Assumptions!$B$14,25,IF((P22/(P22+Q22)*100)&lt;Assumptions!$B$15,50,IF((P22/(P22+Q22)*100)&lt;Assumptions!$B$16,75,100))))</f>
        <v>75</v>
      </c>
      <c r="AO22" s="21" t="n">
        <f aca="false">IF((P22/(P22+Q22)*100)&lt;=Assumptions!$B$8,0,AN22*Assumptions!$B$4+INDEX('Scored Accounts'!$N$2:$N$301,MATCH($A22,'Scored Accounts'!$A$2:$A$301,0))*Assumptions!$B$5+INDEX('Scored Accounts'!$O$2:$O$301,MATCH($A22,'Scored Accounts'!$A$2:$A$301,0))*Assumptions!$B$6)</f>
        <v>75</v>
      </c>
      <c r="AP22" s="2" t="str">
        <f aca="false">IF(AO22&gt;=Assumptions!$B$9,"High",IF(AO22&gt;=Assumptions!$B$10,"Medium","Low"))</f>
        <v>High</v>
      </c>
      <c r="AQ22" s="10" t="b">
        <f aca="false">OR((E22&lt;=Assumptions!$B$8)&lt;&gt;((P22/(P22+Q22)*100)&lt;=Assumptions!$B$8),AM22&lt;&gt;AN22,G22&lt;&gt;AP22)</f>
        <v>0</v>
      </c>
      <c r="AR22" s="2" t="str">
        <f aca="false">IF(AP22&lt;&gt;"Low","Broker-Reliant",IF(B22="Account Managed","AM-Owned / Self-Serving","Self-Serve"))</f>
        <v>Broker-Reliant</v>
      </c>
      <c r="AS22" s="2" t="str">
        <f aca="false">IF(AR22="Broker-Reliant",IF(J22="Tail","5. Cost-to-Serve / Low-Touch",IF(OR(N22="Growing",N22="Stable"),"1. Migration Candidate",IF(N22="Declining","2. Protect / Retain First",IF(N22="Lapsed","3. Win-Back / Verify",IF(N22="H2 Active / No H1 GMV","4. Establish / Re-establish / Observe","UNASSIGNED"))))),IF(AP22="Low",IF(J22="Tail","9. Long-Tail Automated Nurture",IF(OR(N22="Growing",N22="Stable"),"6. Growth Opportunity",IF(N22="H2 Active / No H1 GMV","7. Onboard / Re-engage / Learn",IF(OR(N22="Declining",N22="Lapsed"),"8. Retention / Reactivation","UNASSIGNED")))),"UNASSIGNED"))</f>
        <v>2. Protect / Retain First</v>
      </c>
      <c r="AT22" s="10" t="b">
        <f aca="false">AS22&lt;&gt;T22</f>
        <v>0</v>
      </c>
      <c r="AU22" s="2" t="str">
        <f aca="false">IF(NOT(U22),"Not Eligible",IF(OR(AQ22,AH22,AK22,NOT(AND(W22&gt;=Assumptions!$B$83,O22&gt;=Assumptions!$B$84))),"Manual Review","Ready"))</f>
        <v>Not Eligible</v>
      </c>
      <c r="AV22" s="2" t="str">
        <f aca="false">IF(AG22,"Key account - human sign-off required; ","")&amp;IF(AH22,"Borderline momentum; ","")&amp;IF(AK22,"February-sensitive ("&amp;N22&amp;" -&gt; "&amp;AJ22&amp;"); ","")&amp;IF(AL22="One-Off / Insufficient History — Verify","Lapsed on thin history - verify; ","")&amp;IF(AQ22,"Material broker % inconsistency (implied tier "&amp;AP22&amp;"); ","")&amp;IF(AT22,"Implied broker % would move segment to "&amp;AS22&amp;"; ","")</f>
        <v/>
      </c>
      <c r="AW22" s="10" t="b">
        <f aca="false">AND(G22="Low",J22="Tail",I22&gt;=Assumptions!$B$64,O22&gt;=Assumptions!$B$65,OR(N22="Growing",N22="Stable",AND(N22="H2 Active / No H1 GMV",W22&gt;=2)),OR(R22&gt;=Assumptions!$B$66,S22&gt;=Assumptions!$B$67))</f>
        <v>0</v>
      </c>
    </row>
    <row r="23" customFormat="false" ht="15" hidden="false" customHeight="false" outlineLevel="0" collapsed="false">
      <c r="A23" s="2" t="s">
        <v>211</v>
      </c>
      <c r="B23" s="2" t="s">
        <v>1571</v>
      </c>
      <c r="C23" s="2" t="s">
        <v>1572</v>
      </c>
      <c r="D23" s="2" t="n">
        <v>21</v>
      </c>
      <c r="E23" s="2" t="n">
        <v>49</v>
      </c>
      <c r="F23" s="21" t="n">
        <f aca="false">INDEX('Scored Accounts'!$Q$2:$Q$301,MATCH($A23,'Scored Accounts'!$A$2:$A$301,0))</f>
        <v>65</v>
      </c>
      <c r="G23" s="2" t="str">
        <f aca="false">INDEX('Scored Accounts'!$R$2:$R$301,MATCH($A23,'Scored Accounts'!$A$2:$A$301,0))</f>
        <v>Medium</v>
      </c>
      <c r="H23" s="2" t="str">
        <f aca="false">IF(OR(G23="High",G23="Medium"),"Broker-Reliant",IF(AND(G23="Low",B23="Account Managed"),"AM-Owned / Self-Serving",IF(AND(G23="Low",B23="Self Serve"),"Self-Serve","UNASSIGNED")))</f>
        <v>Broker-Reliant</v>
      </c>
      <c r="I23" s="9" t="n">
        <v>6140</v>
      </c>
      <c r="J23" s="2" t="str">
        <f aca="false">IF(I23&gt;=Assumptions!$B$35,"Key",IF(I23&gt;=Assumptions!$B$34,"Core","Tail"))</f>
        <v>Core</v>
      </c>
      <c r="K23" s="9" t="n">
        <f aca="false">INDEX('Commercial View'!$R$2:$R$301,MATCH($A23,'Commercial View'!$A$2:$A$301,0))</f>
        <v>4539</v>
      </c>
      <c r="L23" s="9" t="n">
        <f aca="false">INDEX('Commercial View'!$S$2:$S$301,MATCH($A23,'Commercial View'!$A$2:$A$301,0))</f>
        <v>1601</v>
      </c>
      <c r="M23" s="17" t="n">
        <f aca="false">INDEX('Commercial View'!$T$2:$T$301,MATCH($A23,'Commercial View'!$A$2:$A$301,0))</f>
        <v>-0.647279136373651</v>
      </c>
      <c r="N23" s="2" t="str">
        <f aca="false">INDEX('Commercial View'!$U$2:$U$301,MATCH($A23,'Commercial View'!$A$2:$A$301,0))</f>
        <v>Declining</v>
      </c>
      <c r="O23" s="2" t="n">
        <v>7</v>
      </c>
      <c r="P23" s="2" t="n">
        <v>3</v>
      </c>
      <c r="Q23" s="2" t="n">
        <v>4</v>
      </c>
      <c r="R23" s="2" t="n">
        <v>4</v>
      </c>
      <c r="S23" s="2" t="n">
        <v>2</v>
      </c>
      <c r="T23" s="2" t="str">
        <f aca="false">IF(H23="Broker-Reliant",IF(J23="Tail","5. Cost-to-Serve / Low-Touch",IF(OR(N23="Growing",N23="Stable"),"1. Migration Candidate",IF(N23="Declining","2. Protect / Retain First",IF(N23="Lapsed","3. Win-Back / Verify",IF(N23="H2 Active / No H1 GMV","4. Establish / Re-establish / Observe","UNASSIGNED"))))),IF(G23="Low",IF(J23="Tail","9. Long-Tail Automated Nurture",IF(OR(N23="Growing",N23="Stable"),"6. Growth Opportunity",IF(N23="H2 Active / No H1 GMV","7. Onboard / Re-engage / Learn",IF(OR(N23="Declining",N23="Lapsed"),"8. Retention / Reactivation","UNASSIGNED")))),"UNASSIGNED"))</f>
        <v>2. Protect / Retain First</v>
      </c>
      <c r="U23" s="10" t="b">
        <f aca="false">AND(T23="1. Migration Candidate",J23="Core",O23&gt;=Assumptions!$B$39,Q23&gt;=Assumptions!$B$40,NOT(Z23))</f>
        <v>0</v>
      </c>
      <c r="V23" s="2" t="n">
        <f aca="false">(AND(H23="Broker-Reliant",J23&lt;&gt;"Tail",OR(N23="Growing",N23="Stable")))*1+(AND(H23="Broker-Reliant",J23&lt;&gt;"Tail",N23="Declining"))*1+(AND(H23="Broker-Reliant",J23&lt;&gt;"Tail",N23="Lapsed"))*1+(AND(H23="Broker-Reliant",J23&lt;&gt;"Tail",N23="H2 Active / No H1 GMV"))*1+(AND(H23="Broker-Reliant",J23="Tail"))*1+(AND(G23="Low",J23&lt;&gt;"Tail",OR(N23="Growing",N23="Stable")))*1+(AND(G23="Low",J23&lt;&gt;"Tail",N23="H2 Active / No H1 GMV"))*1+(AND(G23="Low",J23&lt;&gt;"Tail",OR(N23="Declining",N23="Lapsed")))*1+(AND(G23="Low",J23="Tail"))*1</f>
        <v>1</v>
      </c>
      <c r="W23" s="2" t="n">
        <f aca="false">INDEX('Commercial View'!$V$2:$V$301,MATCH($A23,'Commercial View'!$A$2:$A$301,0))</f>
        <v>3</v>
      </c>
      <c r="X23" s="10" t="b">
        <f aca="false">O23&lt;=Assumptions!$B$30</f>
        <v>0</v>
      </c>
      <c r="Y23" s="10" t="b">
        <f aca="false">W23&lt;=1</f>
        <v>0</v>
      </c>
      <c r="Z23" s="10" t="b">
        <f aca="false">C23="Duplicate"</f>
        <v>0</v>
      </c>
      <c r="AA23" s="10" t="b">
        <f aca="false">C23=""</f>
        <v>0</v>
      </c>
      <c r="AB23" s="2" t="n">
        <f aca="false">IF(P23+Q23&gt;0,ROUND(P23/(P23+Q23)*100,0),"")</f>
        <v>43</v>
      </c>
      <c r="AC23" s="2" t="n">
        <f aca="false">IF(P23+Q23&gt;0,ROUND(E23-P23/(P23+Q23)*100,0),"")</f>
        <v>6</v>
      </c>
      <c r="AD23" s="10" t="b">
        <f aca="false">IF(AC23="",FALSE(),ABS(AC23)&gt;Assumptions!$B$41)</f>
        <v>0</v>
      </c>
      <c r="AE23" s="2" t="str">
        <f aca="false">IF(X23,"Low confidence (&lt;=2 orders); ","")&amp;IF(Y23,"Single-month history; ","")&amp;IF(Z23,"CRITICAL: Duplicate status; ","")&amp;IF(AA23,"Missing status; ","")&amp;IF(AD23,"Broker % vs counts gap "&amp;TEXT(AC23,"+0;-0")&amp;"pts; ","")</f>
        <v/>
      </c>
      <c r="AF23" s="2" t="str">
        <f aca="false">IF(AND(K23=0,L23&gt;0),IF(D23&lt;=Assumptions!$B$47,"New Customer","Returned Customer"),"Existing Customer")</f>
        <v>Existing Customer</v>
      </c>
      <c r="AG23" s="10" t="b">
        <f aca="false">AND(T23="1. Migration Candidate",J23="Key")</f>
        <v>0</v>
      </c>
      <c r="AH23" s="10" t="b">
        <f aca="false">IF(AND(K23&gt;0,L23&gt;0),OR(ABS(M23-Assumptions!$B$36)&lt;=Assumptions!$B$46,ABS(M23+Assumptions!$B$36)&lt;=Assumptions!$B$46),FALSE())</f>
        <v>0</v>
      </c>
      <c r="AI23" s="9" t="n">
        <f aca="false">INDEX('Commercial View'!$L$2:$L$301,MATCH($A23,'Commercial View'!$A$2:$A$301,0))+INDEX('Commercial View'!$M$2:$M$301,MATCH($A23,'Commercial View'!$A$2:$A$301,0))</f>
        <v>1601</v>
      </c>
      <c r="AJ23" s="2" t="str">
        <f aca="false">IF(AND(K23=0,AI23=0),"No activity ex-Feb",IF(AI23=0,"Lapsed",IF(K23=0,"H2 Active / No H1 GMV",IF((AI23/2)/(K23/3)-1&gt;=Assumptions!$B$36,"Growing",IF((AI23/2)/(K23/3)-1&lt;-Assumptions!$B$36,"Declining","Stable")))))</f>
        <v>Declining</v>
      </c>
      <c r="AK23" s="10" t="b">
        <f aca="false">IF(OR(N23="Growing",N23="Stable"),"Healthy",N23)&lt;&gt;IF(OR(AJ23="Growing",AJ23="Stable"),"Healthy",AJ23)</f>
        <v>0</v>
      </c>
      <c r="AL23" s="2" t="str">
        <f aca="false">IF(N23="Lapsed",IF(OR(O23&lt;=Assumptions!$B$48,W23&lt;=Assumptions!$B$49),"One-Off / Insufficient History — Verify","Established Buyer Lapsed"),"N/A")</f>
        <v>N/A</v>
      </c>
      <c r="AM23" s="2" t="n">
        <f aca="false">INDEX('Scored Accounts'!$M$2:$M$301,MATCH($A23,'Scored Accounts'!$A$2:$A$301,0))</f>
        <v>50</v>
      </c>
      <c r="AN23" s="2" t="n">
        <f aca="false">IF((P23/(P23+Q23)*100)&lt;=Assumptions!$B$13,0,IF((P23/(P23+Q23)*100)&lt;Assumptions!$B$14,25,IF((P23/(P23+Q23)*100)&lt;Assumptions!$B$15,50,IF((P23/(P23+Q23)*100)&lt;Assumptions!$B$16,75,100))))</f>
        <v>50</v>
      </c>
      <c r="AO23" s="21" t="n">
        <f aca="false">IF((P23/(P23+Q23)*100)&lt;=Assumptions!$B$8,0,AN23*Assumptions!$B$4+INDEX('Scored Accounts'!$N$2:$N$301,MATCH($A23,'Scored Accounts'!$A$2:$A$301,0))*Assumptions!$B$5+INDEX('Scored Accounts'!$O$2:$O$301,MATCH($A23,'Scored Accounts'!$A$2:$A$301,0))*Assumptions!$B$6)</f>
        <v>65</v>
      </c>
      <c r="AP23" s="2" t="str">
        <f aca="false">IF(AO23&gt;=Assumptions!$B$9,"High",IF(AO23&gt;=Assumptions!$B$10,"Medium","Low"))</f>
        <v>Medium</v>
      </c>
      <c r="AQ23" s="10" t="b">
        <f aca="false">OR((E23&lt;=Assumptions!$B$8)&lt;&gt;((P23/(P23+Q23)*100)&lt;=Assumptions!$B$8),AM23&lt;&gt;AN23,G23&lt;&gt;AP23)</f>
        <v>0</v>
      </c>
      <c r="AR23" s="2" t="str">
        <f aca="false">IF(AP23&lt;&gt;"Low","Broker-Reliant",IF(B23="Account Managed","AM-Owned / Self-Serving","Self-Serve"))</f>
        <v>Broker-Reliant</v>
      </c>
      <c r="AS23" s="2" t="str">
        <f aca="false">IF(AR23="Broker-Reliant",IF(J23="Tail","5. Cost-to-Serve / Low-Touch",IF(OR(N23="Growing",N23="Stable"),"1. Migration Candidate",IF(N23="Declining","2. Protect / Retain First",IF(N23="Lapsed","3. Win-Back / Verify",IF(N23="H2 Active / No H1 GMV","4. Establish / Re-establish / Observe","UNASSIGNED"))))),IF(AP23="Low",IF(J23="Tail","9. Long-Tail Automated Nurture",IF(OR(N23="Growing",N23="Stable"),"6. Growth Opportunity",IF(N23="H2 Active / No H1 GMV","7. Onboard / Re-engage / Learn",IF(OR(N23="Declining",N23="Lapsed"),"8. Retention / Reactivation","UNASSIGNED")))),"UNASSIGNED"))</f>
        <v>2. Protect / Retain First</v>
      </c>
      <c r="AT23" s="10" t="b">
        <f aca="false">AS23&lt;&gt;T23</f>
        <v>0</v>
      </c>
      <c r="AU23" s="2" t="str">
        <f aca="false">IF(NOT(U23),"Not Eligible",IF(OR(AQ23,AH23,AK23,NOT(AND(W23&gt;=Assumptions!$B$83,O23&gt;=Assumptions!$B$84))),"Manual Review","Ready"))</f>
        <v>Not Eligible</v>
      </c>
      <c r="AV23" s="2" t="str">
        <f aca="false">IF(AG23,"Key account - human sign-off required; ","")&amp;IF(AH23,"Borderline momentum; ","")&amp;IF(AK23,"February-sensitive ("&amp;N23&amp;" -&gt; "&amp;AJ23&amp;"); ","")&amp;IF(AL23="One-Off / Insufficient History — Verify","Lapsed on thin history - verify; ","")&amp;IF(AQ23,"Material broker % inconsistency (implied tier "&amp;AP23&amp;"); ","")&amp;IF(AT23,"Implied broker % would move segment to "&amp;AS23&amp;"; ","")</f>
        <v/>
      </c>
      <c r="AW23" s="10" t="b">
        <f aca="false">AND(G23="Low",J23="Tail",I23&gt;=Assumptions!$B$64,O23&gt;=Assumptions!$B$65,OR(N23="Growing",N23="Stable",AND(N23="H2 Active / No H1 GMV",W23&gt;=2)),OR(R23&gt;=Assumptions!$B$66,S23&gt;=Assumptions!$B$67))</f>
        <v>0</v>
      </c>
    </row>
    <row r="24" customFormat="false" ht="15" hidden="false" customHeight="false" outlineLevel="0" collapsed="false">
      <c r="A24" s="2" t="s">
        <v>214</v>
      </c>
      <c r="B24" s="2" t="s">
        <v>1571</v>
      </c>
      <c r="C24" s="2" t="s">
        <v>1572</v>
      </c>
      <c r="D24" s="2" t="n">
        <v>43</v>
      </c>
      <c r="E24" s="2" t="n">
        <v>64</v>
      </c>
      <c r="F24" s="21" t="n">
        <f aca="false">INDEX('Scored Accounts'!$Q$2:$Q$301,MATCH($A24,'Scored Accounts'!$A$2:$A$301,0))</f>
        <v>82.5</v>
      </c>
      <c r="G24" s="2" t="str">
        <f aca="false">INDEX('Scored Accounts'!$R$2:$R$301,MATCH($A24,'Scored Accounts'!$A$2:$A$301,0))</f>
        <v>High</v>
      </c>
      <c r="H24" s="2" t="str">
        <f aca="false">IF(OR(G24="High",G24="Medium"),"Broker-Reliant",IF(AND(G24="Low",B24="Account Managed"),"AM-Owned / Self-Serving",IF(AND(G24="Low",B24="Self Serve"),"Self-Serve","UNASSIGNED")))</f>
        <v>Broker-Reliant</v>
      </c>
      <c r="I24" s="9" t="n">
        <v>5727</v>
      </c>
      <c r="J24" s="2" t="str">
        <f aca="false">IF(I24&gt;=Assumptions!$B$35,"Key",IF(I24&gt;=Assumptions!$B$34,"Core","Tail"))</f>
        <v>Core</v>
      </c>
      <c r="K24" s="9" t="n">
        <f aca="false">INDEX('Commercial View'!$R$2:$R$301,MATCH($A24,'Commercial View'!$A$2:$A$301,0))</f>
        <v>4800</v>
      </c>
      <c r="L24" s="9" t="n">
        <f aca="false">INDEX('Commercial View'!$S$2:$S$301,MATCH($A24,'Commercial View'!$A$2:$A$301,0))</f>
        <v>927</v>
      </c>
      <c r="M24" s="17" t="n">
        <f aca="false">INDEX('Commercial View'!$T$2:$T$301,MATCH($A24,'Commercial View'!$A$2:$A$301,0))</f>
        <v>-0.806875</v>
      </c>
      <c r="N24" s="2" t="str">
        <f aca="false">INDEX('Commercial View'!$U$2:$U$301,MATCH($A24,'Commercial View'!$A$2:$A$301,0))</f>
        <v>Declining</v>
      </c>
      <c r="O24" s="2" t="n">
        <v>4</v>
      </c>
      <c r="P24" s="2" t="n">
        <v>3</v>
      </c>
      <c r="Q24" s="2" t="n">
        <v>1</v>
      </c>
      <c r="R24" s="2" t="n">
        <v>0</v>
      </c>
      <c r="S24" s="2" t="n">
        <v>1</v>
      </c>
      <c r="T24" s="2" t="str">
        <f aca="false">IF(H24="Broker-Reliant",IF(J24="Tail","5. Cost-to-Serve / Low-Touch",IF(OR(N24="Growing",N24="Stable"),"1. Migration Candidate",IF(N24="Declining","2. Protect / Retain First",IF(N24="Lapsed","3. Win-Back / Verify",IF(N24="H2 Active / No H1 GMV","4. Establish / Re-establish / Observe","UNASSIGNED"))))),IF(G24="Low",IF(J24="Tail","9. Long-Tail Automated Nurture",IF(OR(N24="Growing",N24="Stable"),"6. Growth Opportunity",IF(N24="H2 Active / No H1 GMV","7. Onboard / Re-engage / Learn",IF(OR(N24="Declining",N24="Lapsed"),"8. Retention / Reactivation","UNASSIGNED")))),"UNASSIGNED"))</f>
        <v>2. Protect / Retain First</v>
      </c>
      <c r="U24" s="10" t="b">
        <f aca="false">AND(T24="1. Migration Candidate",J24="Core",O24&gt;=Assumptions!$B$39,Q24&gt;=Assumptions!$B$40,NOT(Z24))</f>
        <v>0</v>
      </c>
      <c r="V24" s="2" t="n">
        <f aca="false">(AND(H24="Broker-Reliant",J24&lt;&gt;"Tail",OR(N24="Growing",N24="Stable")))*1+(AND(H24="Broker-Reliant",J24&lt;&gt;"Tail",N24="Declining"))*1+(AND(H24="Broker-Reliant",J24&lt;&gt;"Tail",N24="Lapsed"))*1+(AND(H24="Broker-Reliant",J24&lt;&gt;"Tail",N24="H2 Active / No H1 GMV"))*1+(AND(H24="Broker-Reliant",J24="Tail"))*1+(AND(G24="Low",J24&lt;&gt;"Tail",OR(N24="Growing",N24="Stable")))*1+(AND(G24="Low",J24&lt;&gt;"Tail",N24="H2 Active / No H1 GMV"))*1+(AND(G24="Low",J24&lt;&gt;"Tail",OR(N24="Declining",N24="Lapsed")))*1+(AND(G24="Low",J24="Tail"))*1</f>
        <v>1</v>
      </c>
      <c r="W24" s="2" t="n">
        <f aca="false">INDEX('Commercial View'!$V$2:$V$301,MATCH($A24,'Commercial View'!$A$2:$A$301,0))</f>
        <v>4</v>
      </c>
      <c r="X24" s="10" t="b">
        <f aca="false">O24&lt;=Assumptions!$B$30</f>
        <v>0</v>
      </c>
      <c r="Y24" s="10" t="b">
        <f aca="false">W24&lt;=1</f>
        <v>0</v>
      </c>
      <c r="Z24" s="10" t="b">
        <f aca="false">C24="Duplicate"</f>
        <v>0</v>
      </c>
      <c r="AA24" s="10" t="b">
        <f aca="false">C24=""</f>
        <v>0</v>
      </c>
      <c r="AB24" s="2" t="n">
        <f aca="false">IF(P24+Q24&gt;0,ROUND(P24/(P24+Q24)*100,0),"")</f>
        <v>75</v>
      </c>
      <c r="AC24" s="2" t="n">
        <f aca="false">IF(P24+Q24&gt;0,ROUND(E24-P24/(P24+Q24)*100,0),"")</f>
        <v>-11</v>
      </c>
      <c r="AD24" s="10" t="b">
        <f aca="false">IF(AC24="",FALSE(),ABS(AC24)&gt;Assumptions!$B$41)</f>
        <v>1</v>
      </c>
      <c r="AE24" s="2" t="str">
        <f aca="false">IF(X24,"Low confidence (&lt;=2 orders); ","")&amp;IF(Y24,"Single-month history; ","")&amp;IF(Z24,"CRITICAL: Duplicate status; ","")&amp;IF(AA24,"Missing status; ","")&amp;IF(AD24,"Broker % vs counts gap "&amp;TEXT(AC24,"+0;-0")&amp;"pts; ","")</f>
        <v>Broker % vs counts gap -11pts; </v>
      </c>
      <c r="AF24" s="2" t="str">
        <f aca="false">IF(AND(K24=0,L24&gt;0),IF(D24&lt;=Assumptions!$B$47,"New Customer","Returned Customer"),"Existing Customer")</f>
        <v>Existing Customer</v>
      </c>
      <c r="AG24" s="10" t="b">
        <f aca="false">AND(T24="1. Migration Candidate",J24="Key")</f>
        <v>0</v>
      </c>
      <c r="AH24" s="10" t="b">
        <f aca="false">IF(AND(K24&gt;0,L24&gt;0),OR(ABS(M24-Assumptions!$B$36)&lt;=Assumptions!$B$46,ABS(M24+Assumptions!$B$36)&lt;=Assumptions!$B$46),FALSE())</f>
        <v>0</v>
      </c>
      <c r="AI24" s="9" t="n">
        <f aca="false">INDEX('Commercial View'!$L$2:$L$301,MATCH($A24,'Commercial View'!$A$2:$A$301,0))+INDEX('Commercial View'!$M$2:$M$301,MATCH($A24,'Commercial View'!$A$2:$A$301,0))</f>
        <v>0</v>
      </c>
      <c r="AJ24" s="2" t="str">
        <f aca="false">IF(AND(K24=0,AI24=0),"No activity ex-Feb",IF(AI24=0,"Lapsed",IF(K24=0,"H2 Active / No H1 GMV",IF((AI24/2)/(K24/3)-1&gt;=Assumptions!$B$36,"Growing",IF((AI24/2)/(K24/3)-1&lt;-Assumptions!$B$36,"Declining","Stable")))))</f>
        <v>Lapsed</v>
      </c>
      <c r="AK24" s="10" t="b">
        <f aca="false">IF(OR(N24="Growing",N24="Stable"),"Healthy",N24)&lt;&gt;IF(OR(AJ24="Growing",AJ24="Stable"),"Healthy",AJ24)</f>
        <v>1</v>
      </c>
      <c r="AL24" s="2" t="str">
        <f aca="false">IF(N24="Lapsed",IF(OR(O24&lt;=Assumptions!$B$48,W24&lt;=Assumptions!$B$49),"One-Off / Insufficient History — Verify","Established Buyer Lapsed"),"N/A")</f>
        <v>N/A</v>
      </c>
      <c r="AM24" s="2" t="n">
        <f aca="false">INDEX('Scored Accounts'!$M$2:$M$301,MATCH($A24,'Scored Accounts'!$A$2:$A$301,0))</f>
        <v>75</v>
      </c>
      <c r="AN24" s="2" t="n">
        <f aca="false">IF((P24/(P24+Q24)*100)&lt;=Assumptions!$B$13,0,IF((P24/(P24+Q24)*100)&lt;Assumptions!$B$14,25,IF((P24/(P24+Q24)*100)&lt;Assumptions!$B$15,50,IF((P24/(P24+Q24)*100)&lt;Assumptions!$B$16,75,100))))</f>
        <v>75</v>
      </c>
      <c r="AO24" s="21" t="n">
        <f aca="false">IF((P24/(P24+Q24)*100)&lt;=Assumptions!$B$8,0,AN24*Assumptions!$B$4+INDEX('Scored Accounts'!$N$2:$N$301,MATCH($A24,'Scored Accounts'!$A$2:$A$301,0))*Assumptions!$B$5+INDEX('Scored Accounts'!$O$2:$O$301,MATCH($A24,'Scored Accounts'!$A$2:$A$301,0))*Assumptions!$B$6)</f>
        <v>82.5</v>
      </c>
      <c r="AP24" s="2" t="str">
        <f aca="false">IF(AO24&gt;=Assumptions!$B$9,"High",IF(AO24&gt;=Assumptions!$B$10,"Medium","Low"))</f>
        <v>High</v>
      </c>
      <c r="AQ24" s="10" t="b">
        <f aca="false">OR((E24&lt;=Assumptions!$B$8)&lt;&gt;((P24/(P24+Q24)*100)&lt;=Assumptions!$B$8),AM24&lt;&gt;AN24,G24&lt;&gt;AP24)</f>
        <v>0</v>
      </c>
      <c r="AR24" s="2" t="str">
        <f aca="false">IF(AP24&lt;&gt;"Low","Broker-Reliant",IF(B24="Account Managed","AM-Owned / Self-Serving","Self-Serve"))</f>
        <v>Broker-Reliant</v>
      </c>
      <c r="AS24" s="2" t="str">
        <f aca="false">IF(AR24="Broker-Reliant",IF(J24="Tail","5. Cost-to-Serve / Low-Touch",IF(OR(N24="Growing",N24="Stable"),"1. Migration Candidate",IF(N24="Declining","2. Protect / Retain First",IF(N24="Lapsed","3. Win-Back / Verify",IF(N24="H2 Active / No H1 GMV","4. Establish / Re-establish / Observe","UNASSIGNED"))))),IF(AP24="Low",IF(J24="Tail","9. Long-Tail Automated Nurture",IF(OR(N24="Growing",N24="Stable"),"6. Growth Opportunity",IF(N24="H2 Active / No H1 GMV","7. Onboard / Re-engage / Learn",IF(OR(N24="Declining",N24="Lapsed"),"8. Retention / Reactivation","UNASSIGNED")))),"UNASSIGNED"))</f>
        <v>2. Protect / Retain First</v>
      </c>
      <c r="AT24" s="10" t="b">
        <f aca="false">AS24&lt;&gt;T24</f>
        <v>0</v>
      </c>
      <c r="AU24" s="2" t="str">
        <f aca="false">IF(NOT(U24),"Not Eligible",IF(OR(AQ24,AH24,AK24,NOT(AND(W24&gt;=Assumptions!$B$83,O24&gt;=Assumptions!$B$84))),"Manual Review","Ready"))</f>
        <v>Not Eligible</v>
      </c>
      <c r="AV24" s="2" t="str">
        <f aca="false">IF(AG24,"Key account - human sign-off required; ","")&amp;IF(AH24,"Borderline momentum; ","")&amp;IF(AK24,"February-sensitive ("&amp;N24&amp;" -&gt; "&amp;AJ24&amp;"); ","")&amp;IF(AL24="One-Off / Insufficient History — Verify","Lapsed on thin history - verify; ","")&amp;IF(AQ24,"Material broker % inconsistency (implied tier "&amp;AP24&amp;"); ","")&amp;IF(AT24,"Implied broker % would move segment to "&amp;AS24&amp;"; ","")</f>
        <v>February-sensitive (Declining -&gt; Lapsed); </v>
      </c>
      <c r="AW24" s="10" t="b">
        <f aca="false">AND(G24="Low",J24="Tail",I24&gt;=Assumptions!$B$64,O24&gt;=Assumptions!$B$65,OR(N24="Growing",N24="Stable",AND(N24="H2 Active / No H1 GMV",W24&gt;=2)),OR(R24&gt;=Assumptions!$B$66,S24&gt;=Assumptions!$B$67))</f>
        <v>0</v>
      </c>
    </row>
    <row r="25" customFormat="false" ht="15" hidden="false" customHeight="false" outlineLevel="0" collapsed="false">
      <c r="A25" s="2" t="s">
        <v>399</v>
      </c>
      <c r="B25" s="2" t="s">
        <v>1571</v>
      </c>
      <c r="C25" s="2" t="s">
        <v>1572</v>
      </c>
      <c r="D25" s="2" t="n">
        <v>11</v>
      </c>
      <c r="E25" s="2" t="n">
        <v>64</v>
      </c>
      <c r="F25" s="21" t="n">
        <f aca="false">INDEX('Scored Accounts'!$Q$2:$Q$301,MATCH($A25,'Scored Accounts'!$A$2:$A$301,0))</f>
        <v>70</v>
      </c>
      <c r="G25" s="2" t="str">
        <f aca="false">INDEX('Scored Accounts'!$R$2:$R$301,MATCH($A25,'Scored Accounts'!$A$2:$A$301,0))</f>
        <v>High</v>
      </c>
      <c r="H25" s="2" t="str">
        <f aca="false">IF(OR(G25="High",G25="Medium"),"Broker-Reliant",IF(AND(G25="Low",B25="Account Managed"),"AM-Owned / Self-Serving",IF(AND(G25="Low",B25="Self Serve"),"Self-Serve","UNASSIGNED")))</f>
        <v>Broker-Reliant</v>
      </c>
      <c r="I25" s="9" t="n">
        <v>5214</v>
      </c>
      <c r="J25" s="2" t="str">
        <f aca="false">IF(I25&gt;=Assumptions!$B$35,"Key",IF(I25&gt;=Assumptions!$B$34,"Core","Tail"))</f>
        <v>Core</v>
      </c>
      <c r="K25" s="9" t="n">
        <f aca="false">INDEX('Commercial View'!$R$2:$R$301,MATCH($A25,'Commercial View'!$A$2:$A$301,0))</f>
        <v>2883</v>
      </c>
      <c r="L25" s="9" t="n">
        <f aca="false">INDEX('Commercial View'!$S$2:$S$301,MATCH($A25,'Commercial View'!$A$2:$A$301,0))</f>
        <v>2330</v>
      </c>
      <c r="M25" s="17" t="n">
        <f aca="false">INDEX('Commercial View'!$T$2:$T$301,MATCH($A25,'Commercial View'!$A$2:$A$301,0))</f>
        <v>-0.191814082552896</v>
      </c>
      <c r="N25" s="2" t="str">
        <f aca="false">INDEX('Commercial View'!$U$2:$U$301,MATCH($A25,'Commercial View'!$A$2:$A$301,0))</f>
        <v>Stable</v>
      </c>
      <c r="O25" s="2" t="n">
        <v>14</v>
      </c>
      <c r="P25" s="2" t="n">
        <v>9</v>
      </c>
      <c r="Q25" s="2" t="n">
        <v>5</v>
      </c>
      <c r="R25" s="2" t="n">
        <v>6</v>
      </c>
      <c r="S25" s="2" t="n">
        <v>2</v>
      </c>
      <c r="T25" s="2" t="str">
        <f aca="false">IF(H25="Broker-Reliant",IF(J25="Tail","5. Cost-to-Serve / Low-Touch",IF(OR(N25="Growing",N25="Stable"),"1. Migration Candidate",IF(N25="Declining","2. Protect / Retain First",IF(N25="Lapsed","3. Win-Back / Verify",IF(N25="H2 Active / No H1 GMV","4. Establish / Re-establish / Observe","UNASSIGNED"))))),IF(G25="Low",IF(J25="Tail","9. Long-Tail Automated Nurture",IF(OR(N25="Growing",N25="Stable"),"6. Growth Opportunity",IF(N25="H2 Active / No H1 GMV","7. Onboard / Re-engage / Learn",IF(OR(N25="Declining",N25="Lapsed"),"8. Retention / Reactivation","UNASSIGNED")))),"UNASSIGNED"))</f>
        <v>1. Migration Candidate</v>
      </c>
      <c r="U25" s="10" t="b">
        <f aca="false">AND(T25="1. Migration Candidate",J25="Core",O25&gt;=Assumptions!$B$39,Q25&gt;=Assumptions!$B$40,NOT(Z25))</f>
        <v>1</v>
      </c>
      <c r="V25" s="2" t="n">
        <f aca="false">(AND(H25="Broker-Reliant",J25&lt;&gt;"Tail",OR(N25="Growing",N25="Stable")))*1+(AND(H25="Broker-Reliant",J25&lt;&gt;"Tail",N25="Declining"))*1+(AND(H25="Broker-Reliant",J25&lt;&gt;"Tail",N25="Lapsed"))*1+(AND(H25="Broker-Reliant",J25&lt;&gt;"Tail",N25="H2 Active / No H1 GMV"))*1+(AND(H25="Broker-Reliant",J25="Tail"))*1+(AND(G25="Low",J25&lt;&gt;"Tail",OR(N25="Growing",N25="Stable")))*1+(AND(G25="Low",J25&lt;&gt;"Tail",N25="H2 Active / No H1 GMV"))*1+(AND(G25="Low",J25&lt;&gt;"Tail",OR(N25="Declining",N25="Lapsed")))*1+(AND(G25="Low",J25="Tail"))*1</f>
        <v>1</v>
      </c>
      <c r="W25" s="2" t="n">
        <f aca="false">INDEX('Commercial View'!$V$2:$V$301,MATCH($A25,'Commercial View'!$A$2:$A$301,0))</f>
        <v>5</v>
      </c>
      <c r="X25" s="10" t="b">
        <f aca="false">O25&lt;=Assumptions!$B$30</f>
        <v>0</v>
      </c>
      <c r="Y25" s="10" t="b">
        <f aca="false">W25&lt;=1</f>
        <v>0</v>
      </c>
      <c r="Z25" s="10" t="b">
        <f aca="false">C25="Duplicate"</f>
        <v>0</v>
      </c>
      <c r="AA25" s="10" t="b">
        <f aca="false">C25=""</f>
        <v>0</v>
      </c>
      <c r="AB25" s="2" t="n">
        <f aca="false">IF(P25+Q25&gt;0,ROUND(P25/(P25+Q25)*100,0),"")</f>
        <v>64</v>
      </c>
      <c r="AC25" s="2" t="n">
        <f aca="false">IF(P25+Q25&gt;0,ROUND(E25-P25/(P25+Q25)*100,0),"")</f>
        <v>-0</v>
      </c>
      <c r="AD25" s="10" t="b">
        <f aca="false">IF(AC25="",FALSE(),ABS(AC25)&gt;Assumptions!$B$41)</f>
        <v>0</v>
      </c>
      <c r="AE25" s="2" t="str">
        <f aca="false">IF(X25,"Low confidence (&lt;=2 orders); ","")&amp;IF(Y25,"Single-month history; ","")&amp;IF(Z25,"CRITICAL: Duplicate status; ","")&amp;IF(AA25,"Missing status; ","")&amp;IF(AD25,"Broker % vs counts gap "&amp;TEXT(AC25,"+0;-0")&amp;"pts; ","")</f>
        <v/>
      </c>
      <c r="AF25" s="2" t="str">
        <f aca="false">IF(AND(K25=0,L25&gt;0),IF(D25&lt;=Assumptions!$B$47,"New Customer","Returned Customer"),"Existing Customer")</f>
        <v>Existing Customer</v>
      </c>
      <c r="AG25" s="10" t="b">
        <f aca="false">AND(T25="1. Migration Candidate",J25="Key")</f>
        <v>0</v>
      </c>
      <c r="AH25" s="10" t="b">
        <f aca="false">IF(AND(K25&gt;0,L25&gt;0),OR(ABS(M25-Assumptions!$B$36)&lt;=Assumptions!$B$46,ABS(M25+Assumptions!$B$36)&lt;=Assumptions!$B$46),FALSE())</f>
        <v>1</v>
      </c>
      <c r="AI25" s="9" t="n">
        <f aca="false">INDEX('Commercial View'!$L$2:$L$301,MATCH($A25,'Commercial View'!$A$2:$A$301,0))+INDEX('Commercial View'!$M$2:$M$301,MATCH($A25,'Commercial View'!$A$2:$A$301,0))</f>
        <v>1579</v>
      </c>
      <c r="AJ25" s="2" t="str">
        <f aca="false">IF(AND(K25=0,AI25=0),"No activity ex-Feb",IF(AI25=0,"Lapsed",IF(K25=0,"H2 Active / No H1 GMV",IF((AI25/2)/(K25/3)-1&gt;=Assumptions!$B$36,"Growing",IF((AI25/2)/(K25/3)-1&lt;-Assumptions!$B$36,"Declining","Stable")))))</f>
        <v>Stable</v>
      </c>
      <c r="AK25" s="10" t="b">
        <f aca="false">IF(OR(N25="Growing",N25="Stable"),"Healthy",N25)&lt;&gt;IF(OR(AJ25="Growing",AJ25="Stable"),"Healthy",AJ25)</f>
        <v>0</v>
      </c>
      <c r="AL25" s="2" t="str">
        <f aca="false">IF(N25="Lapsed",IF(OR(O25&lt;=Assumptions!$B$48,W25&lt;=Assumptions!$B$49),"One-Off / Insufficient History — Verify","Established Buyer Lapsed"),"N/A")</f>
        <v>N/A</v>
      </c>
      <c r="AM25" s="2" t="n">
        <f aca="false">INDEX('Scored Accounts'!$M$2:$M$301,MATCH($A25,'Scored Accounts'!$A$2:$A$301,0))</f>
        <v>75</v>
      </c>
      <c r="AN25" s="2" t="n">
        <f aca="false">IF((P25/(P25+Q25)*100)&lt;=Assumptions!$B$13,0,IF((P25/(P25+Q25)*100)&lt;Assumptions!$B$14,25,IF((P25/(P25+Q25)*100)&lt;Assumptions!$B$15,50,IF((P25/(P25+Q25)*100)&lt;Assumptions!$B$16,75,100))))</f>
        <v>75</v>
      </c>
      <c r="AO25" s="21" t="n">
        <f aca="false">IF((P25/(P25+Q25)*100)&lt;=Assumptions!$B$8,0,AN25*Assumptions!$B$4+INDEX('Scored Accounts'!$N$2:$N$301,MATCH($A25,'Scored Accounts'!$A$2:$A$301,0))*Assumptions!$B$5+INDEX('Scored Accounts'!$O$2:$O$301,MATCH($A25,'Scored Accounts'!$A$2:$A$301,0))*Assumptions!$B$6)</f>
        <v>70</v>
      </c>
      <c r="AP25" s="2" t="str">
        <f aca="false">IF(AO25&gt;=Assumptions!$B$9,"High",IF(AO25&gt;=Assumptions!$B$10,"Medium","Low"))</f>
        <v>High</v>
      </c>
      <c r="AQ25" s="10" t="b">
        <f aca="false">OR((E25&lt;=Assumptions!$B$8)&lt;&gt;((P25/(P25+Q25)*100)&lt;=Assumptions!$B$8),AM25&lt;&gt;AN25,G25&lt;&gt;AP25)</f>
        <v>0</v>
      </c>
      <c r="AR25" s="2" t="str">
        <f aca="false">IF(AP25&lt;&gt;"Low","Broker-Reliant",IF(B25="Account Managed","AM-Owned / Self-Serving","Self-Serve"))</f>
        <v>Broker-Reliant</v>
      </c>
      <c r="AS25" s="2" t="str">
        <f aca="false">IF(AR25="Broker-Reliant",IF(J25="Tail","5. Cost-to-Serve / Low-Touch",IF(OR(N25="Growing",N25="Stable"),"1. Migration Candidate",IF(N25="Declining","2. Protect / Retain First",IF(N25="Lapsed","3. Win-Back / Verify",IF(N25="H2 Active / No H1 GMV","4. Establish / Re-establish / Observe","UNASSIGNED"))))),IF(AP25="Low",IF(J25="Tail","9. Long-Tail Automated Nurture",IF(OR(N25="Growing",N25="Stable"),"6. Growth Opportunity",IF(N25="H2 Active / No H1 GMV","7. Onboard / Re-engage / Learn",IF(OR(N25="Declining",N25="Lapsed"),"8. Retention / Reactivation","UNASSIGNED")))),"UNASSIGNED"))</f>
        <v>1. Migration Candidate</v>
      </c>
      <c r="AT25" s="10" t="b">
        <f aca="false">AS25&lt;&gt;T25</f>
        <v>0</v>
      </c>
      <c r="AU25" s="2" t="str">
        <f aca="false">IF(NOT(U25),"Not Eligible",IF(OR(AQ25,AH25,AK25,NOT(AND(W25&gt;=Assumptions!$B$83,O25&gt;=Assumptions!$B$84))),"Manual Review","Ready"))</f>
        <v>Manual Review</v>
      </c>
      <c r="AV25" s="2" t="str">
        <f aca="false">IF(AG25,"Key account - human sign-off required; ","")&amp;IF(AH25,"Borderline momentum; ","")&amp;IF(AK25,"February-sensitive ("&amp;N25&amp;" -&gt; "&amp;AJ25&amp;"); ","")&amp;IF(AL25="One-Off / Insufficient History — Verify","Lapsed on thin history - verify; ","")&amp;IF(AQ25,"Material broker % inconsistency (implied tier "&amp;AP25&amp;"); ","")&amp;IF(AT25,"Implied broker % would move segment to "&amp;AS25&amp;"; ","")</f>
        <v>Borderline momentum; </v>
      </c>
      <c r="AW25" s="10" t="b">
        <f aca="false">AND(G25="Low",J25="Tail",I25&gt;=Assumptions!$B$64,O25&gt;=Assumptions!$B$65,OR(N25="Growing",N25="Stable",AND(N25="H2 Active / No H1 GMV",W25&gt;=2)),OR(R25&gt;=Assumptions!$B$66,S25&gt;=Assumptions!$B$67))</f>
        <v>0</v>
      </c>
    </row>
    <row r="26" customFormat="false" ht="15" hidden="false" customHeight="false" outlineLevel="0" collapsed="false">
      <c r="A26" s="2" t="s">
        <v>403</v>
      </c>
      <c r="B26" s="2" t="s">
        <v>1571</v>
      </c>
      <c r="C26" s="2"/>
      <c r="D26" s="2" t="n">
        <v>6</v>
      </c>
      <c r="E26" s="2" t="n">
        <v>8</v>
      </c>
      <c r="F26" s="21" t="n">
        <f aca="false">INDEX('Scored Accounts'!$Q$2:$Q$301,MATCH($A26,'Scored Accounts'!$A$2:$A$301,0))</f>
        <v>0</v>
      </c>
      <c r="G26" s="2" t="str">
        <f aca="false">INDEX('Scored Accounts'!$R$2:$R$301,MATCH($A26,'Scored Accounts'!$A$2:$A$301,0))</f>
        <v>Low</v>
      </c>
      <c r="H26" s="2" t="str">
        <f aca="false">IF(OR(G26="High",G26="Medium"),"Broker-Reliant",IF(AND(G26="Low",B26="Account Managed"),"AM-Owned / Self-Serving",IF(AND(G26="Low",B26="Self Serve"),"Self-Serve","UNASSIGNED")))</f>
        <v>AM-Owned / Self-Serving</v>
      </c>
      <c r="I26" s="9" t="n">
        <v>5014</v>
      </c>
      <c r="J26" s="2" t="str">
        <f aca="false">IF(I26&gt;=Assumptions!$B$35,"Key",IF(I26&gt;=Assumptions!$B$34,"Core","Tail"))</f>
        <v>Core</v>
      </c>
      <c r="K26" s="9" t="n">
        <f aca="false">INDEX('Commercial View'!$R$2:$R$301,MATCH($A26,'Commercial View'!$A$2:$A$301,0))</f>
        <v>150</v>
      </c>
      <c r="L26" s="9" t="n">
        <f aca="false">INDEX('Commercial View'!$S$2:$S$301,MATCH($A26,'Commercial View'!$A$2:$A$301,0))</f>
        <v>4865</v>
      </c>
      <c r="M26" s="17" t="n">
        <f aca="false">INDEX('Commercial View'!$T$2:$T$301,MATCH($A26,'Commercial View'!$A$2:$A$301,0))</f>
        <v>31.4333333333333</v>
      </c>
      <c r="N26" s="2" t="str">
        <f aca="false">INDEX('Commercial View'!$U$2:$U$301,MATCH($A26,'Commercial View'!$A$2:$A$301,0))</f>
        <v>Growing</v>
      </c>
      <c r="O26" s="2" t="n">
        <v>8</v>
      </c>
      <c r="P26" s="2" t="n">
        <v>1</v>
      </c>
      <c r="Q26" s="2" t="n">
        <v>7</v>
      </c>
      <c r="R26" s="2" t="n">
        <v>59</v>
      </c>
      <c r="S26" s="2" t="n">
        <v>5</v>
      </c>
      <c r="T26" s="2" t="str">
        <f aca="false">IF(H26="Broker-Reliant",IF(J26="Tail","5. Cost-to-Serve / Low-Touch",IF(OR(N26="Growing",N26="Stable"),"1. Migration Candidate",IF(N26="Declining","2. Protect / Retain First",IF(N26="Lapsed","3. Win-Back / Verify",IF(N26="H2 Active / No H1 GMV","4. Establish / Re-establish / Observe","UNASSIGNED"))))),IF(G26="Low",IF(J26="Tail","9. Long-Tail Automated Nurture",IF(OR(N26="Growing",N26="Stable"),"6. Growth Opportunity",IF(N26="H2 Active / No H1 GMV","7. Onboard / Re-engage / Learn",IF(OR(N26="Declining",N26="Lapsed"),"8. Retention / Reactivation","UNASSIGNED")))),"UNASSIGNED"))</f>
        <v>6. Growth Opportunity</v>
      </c>
      <c r="U26" s="10" t="b">
        <f aca="false">AND(T26="1. Migration Candidate",J26="Core",O26&gt;=Assumptions!$B$39,Q26&gt;=Assumptions!$B$40,NOT(Z26))</f>
        <v>0</v>
      </c>
      <c r="V26" s="2" t="n">
        <f aca="false">(AND(H26="Broker-Reliant",J26&lt;&gt;"Tail",OR(N26="Growing",N26="Stable")))*1+(AND(H26="Broker-Reliant",J26&lt;&gt;"Tail",N26="Declining"))*1+(AND(H26="Broker-Reliant",J26&lt;&gt;"Tail",N26="Lapsed"))*1+(AND(H26="Broker-Reliant",J26&lt;&gt;"Tail",N26="H2 Active / No H1 GMV"))*1+(AND(H26="Broker-Reliant",J26="Tail"))*1+(AND(G26="Low",J26&lt;&gt;"Tail",OR(N26="Growing",N26="Stable")))*1+(AND(G26="Low",J26&lt;&gt;"Tail",N26="H2 Active / No H1 GMV"))*1+(AND(G26="Low",J26&lt;&gt;"Tail",OR(N26="Declining",N26="Lapsed")))*1+(AND(G26="Low",J26="Tail"))*1</f>
        <v>1</v>
      </c>
      <c r="W26" s="2" t="n">
        <f aca="false">INDEX('Commercial View'!$V$2:$V$301,MATCH($A26,'Commercial View'!$A$2:$A$301,0))</f>
        <v>4</v>
      </c>
      <c r="X26" s="10" t="b">
        <f aca="false">O26&lt;=Assumptions!$B$30</f>
        <v>0</v>
      </c>
      <c r="Y26" s="10" t="b">
        <f aca="false">W26&lt;=1</f>
        <v>0</v>
      </c>
      <c r="Z26" s="10" t="b">
        <f aca="false">C26="Duplicate"</f>
        <v>0</v>
      </c>
      <c r="AA26" s="10" t="b">
        <f aca="false">C26=""</f>
        <v>1</v>
      </c>
      <c r="AB26" s="2" t="n">
        <f aca="false">IF(P26+Q26&gt;0,ROUND(P26/(P26+Q26)*100,0),"")</f>
        <v>13</v>
      </c>
      <c r="AC26" s="2" t="n">
        <f aca="false">IF(P26+Q26&gt;0,ROUND(E26-P26/(P26+Q26)*100,0),"")</f>
        <v>-5</v>
      </c>
      <c r="AD26" s="10" t="b">
        <f aca="false">IF(AC26="",FALSE(),ABS(AC26)&gt;Assumptions!$B$41)</f>
        <v>0</v>
      </c>
      <c r="AE26" s="2" t="str">
        <f aca="false">IF(X26,"Low confidence (&lt;=2 orders); ","")&amp;IF(Y26,"Single-month history; ","")&amp;IF(Z26,"CRITICAL: Duplicate status; ","")&amp;IF(AA26,"Missing status; ","")&amp;IF(AD26,"Broker % vs counts gap "&amp;TEXT(AC26,"+0;-0")&amp;"pts; ","")</f>
        <v>Missing status; </v>
      </c>
      <c r="AF26" s="2" t="str">
        <f aca="false">IF(AND(K26=0,L26&gt;0),IF(D26&lt;=Assumptions!$B$47,"New Customer","Returned Customer"),"Existing Customer")</f>
        <v>Existing Customer</v>
      </c>
      <c r="AG26" s="10" t="b">
        <f aca="false">AND(T26="1. Migration Candidate",J26="Key")</f>
        <v>0</v>
      </c>
      <c r="AH26" s="10" t="b">
        <f aca="false">IF(AND(K26&gt;0,L26&gt;0),OR(ABS(M26-Assumptions!$B$36)&lt;=Assumptions!$B$46,ABS(M26+Assumptions!$B$36)&lt;=Assumptions!$B$46),FALSE())</f>
        <v>0</v>
      </c>
      <c r="AI26" s="9" t="n">
        <f aca="false">INDEX('Commercial View'!$L$2:$L$301,MATCH($A26,'Commercial View'!$A$2:$A$301,0))+INDEX('Commercial View'!$M$2:$M$301,MATCH($A26,'Commercial View'!$A$2:$A$301,0))</f>
        <v>4171</v>
      </c>
      <c r="AJ26" s="2" t="str">
        <f aca="false">IF(AND(K26=0,AI26=0),"No activity ex-Feb",IF(AI26=0,"Lapsed",IF(K26=0,"H2 Active / No H1 GMV",IF((AI26/2)/(K26/3)-1&gt;=Assumptions!$B$36,"Growing",IF((AI26/2)/(K26/3)-1&lt;-Assumptions!$B$36,"Declining","Stable")))))</f>
        <v>Growing</v>
      </c>
      <c r="AK26" s="10" t="b">
        <f aca="false">IF(OR(N26="Growing",N26="Stable"),"Healthy",N26)&lt;&gt;IF(OR(AJ26="Growing",AJ26="Stable"),"Healthy",AJ26)</f>
        <v>0</v>
      </c>
      <c r="AL26" s="2" t="str">
        <f aca="false">IF(N26="Lapsed",IF(OR(O26&lt;=Assumptions!$B$48,W26&lt;=Assumptions!$B$49),"One-Off / Insufficient History — Verify","Established Buyer Lapsed"),"N/A")</f>
        <v>N/A</v>
      </c>
      <c r="AM26" s="2" t="n">
        <f aca="false">INDEX('Scored Accounts'!$M$2:$M$301,MATCH($A26,'Scored Accounts'!$A$2:$A$301,0))</f>
        <v>0</v>
      </c>
      <c r="AN26" s="2" t="n">
        <f aca="false">IF((P26/(P26+Q26)*100)&lt;=Assumptions!$B$13,0,IF((P26/(P26+Q26)*100)&lt;Assumptions!$B$14,25,IF((P26/(P26+Q26)*100)&lt;Assumptions!$B$15,50,IF((P26/(P26+Q26)*100)&lt;Assumptions!$B$16,75,100))))</f>
        <v>0</v>
      </c>
      <c r="AO26" s="21" t="n">
        <f aca="false">IF((P26/(P26+Q26)*100)&lt;=Assumptions!$B$8,0,AN26*Assumptions!$B$4+INDEX('Scored Accounts'!$N$2:$N$301,MATCH($A26,'Scored Accounts'!$A$2:$A$301,0))*Assumptions!$B$5+INDEX('Scored Accounts'!$O$2:$O$301,MATCH($A26,'Scored Accounts'!$A$2:$A$301,0))*Assumptions!$B$6)</f>
        <v>0</v>
      </c>
      <c r="AP26" s="2" t="str">
        <f aca="false">IF(AO26&gt;=Assumptions!$B$9,"High",IF(AO26&gt;=Assumptions!$B$10,"Medium","Low"))</f>
        <v>Low</v>
      </c>
      <c r="AQ26" s="10" t="b">
        <f aca="false">OR((E26&lt;=Assumptions!$B$8)&lt;&gt;((P26/(P26+Q26)*100)&lt;=Assumptions!$B$8),AM26&lt;&gt;AN26,G26&lt;&gt;AP26)</f>
        <v>0</v>
      </c>
      <c r="AR26" s="2" t="str">
        <f aca="false">IF(AP26&lt;&gt;"Low","Broker-Reliant",IF(B26="Account Managed","AM-Owned / Self-Serving","Self-Serve"))</f>
        <v>AM-Owned / Self-Serving</v>
      </c>
      <c r="AS26" s="2" t="str">
        <f aca="false">IF(AR26="Broker-Reliant",IF(J26="Tail","5. Cost-to-Serve / Low-Touch",IF(OR(N26="Growing",N26="Stable"),"1. Migration Candidate",IF(N26="Declining","2. Protect / Retain First",IF(N26="Lapsed","3. Win-Back / Verify",IF(N26="H2 Active / No H1 GMV","4. Establish / Re-establish / Observe","UNASSIGNED"))))),IF(AP26="Low",IF(J26="Tail","9. Long-Tail Automated Nurture",IF(OR(N26="Growing",N26="Stable"),"6. Growth Opportunity",IF(N26="H2 Active / No H1 GMV","7. Onboard / Re-engage / Learn",IF(OR(N26="Declining",N26="Lapsed"),"8. Retention / Reactivation","UNASSIGNED")))),"UNASSIGNED"))</f>
        <v>6. Growth Opportunity</v>
      </c>
      <c r="AT26" s="10" t="b">
        <f aca="false">AS26&lt;&gt;T26</f>
        <v>0</v>
      </c>
      <c r="AU26" s="2" t="str">
        <f aca="false">IF(NOT(U26),"Not Eligible",IF(OR(AQ26,AH26,AK26,NOT(AND(W26&gt;=Assumptions!$B$83,O26&gt;=Assumptions!$B$84))),"Manual Review","Ready"))</f>
        <v>Not Eligible</v>
      </c>
      <c r="AV26" s="2" t="str">
        <f aca="false">IF(AG26,"Key account - human sign-off required; ","")&amp;IF(AH26,"Borderline momentum; ","")&amp;IF(AK26,"February-sensitive ("&amp;N26&amp;" -&gt; "&amp;AJ26&amp;"); ","")&amp;IF(AL26="One-Off / Insufficient History — Verify","Lapsed on thin history - verify; ","")&amp;IF(AQ26,"Material broker % inconsistency (implied tier "&amp;AP26&amp;"); ","")&amp;IF(AT26,"Implied broker % would move segment to "&amp;AS26&amp;"; ","")</f>
        <v/>
      </c>
      <c r="AW26" s="10" t="b">
        <f aca="false">AND(G26="Low",J26="Tail",I26&gt;=Assumptions!$B$64,O26&gt;=Assumptions!$B$65,OR(N26="Growing",N26="Stable",AND(N26="H2 Active / No H1 GMV",W26&gt;=2)),OR(R26&gt;=Assumptions!$B$66,S26&gt;=Assumptions!$B$67))</f>
        <v>0</v>
      </c>
    </row>
    <row r="27" customFormat="false" ht="15" hidden="false" customHeight="false" outlineLevel="0" collapsed="false">
      <c r="A27" s="2" t="s">
        <v>218</v>
      </c>
      <c r="B27" s="2" t="s">
        <v>1571</v>
      </c>
      <c r="C27" s="2" t="s">
        <v>1572</v>
      </c>
      <c r="D27" s="2" t="n">
        <v>9</v>
      </c>
      <c r="E27" s="2" t="n">
        <v>82</v>
      </c>
      <c r="F27" s="21" t="n">
        <f aca="false">INDEX('Scored Accounts'!$Q$2:$Q$301,MATCH($A27,'Scored Accounts'!$A$2:$A$301,0))</f>
        <v>90</v>
      </c>
      <c r="G27" s="2" t="str">
        <f aca="false">INDEX('Scored Accounts'!$R$2:$R$301,MATCH($A27,'Scored Accounts'!$A$2:$A$301,0))</f>
        <v>High</v>
      </c>
      <c r="H27" s="2" t="str">
        <f aca="false">IF(OR(G27="High",G27="Medium"),"Broker-Reliant",IF(AND(G27="Low",B27="Account Managed"),"AM-Owned / Self-Serving",IF(AND(G27="Low",B27="Self Serve"),"Self-Serve","UNASSIGNED")))</f>
        <v>Broker-Reliant</v>
      </c>
      <c r="I27" s="9" t="n">
        <v>4772</v>
      </c>
      <c r="J27" s="2" t="str">
        <f aca="false">IF(I27&gt;=Assumptions!$B$35,"Key",IF(I27&gt;=Assumptions!$B$34,"Core","Tail"))</f>
        <v>Core</v>
      </c>
      <c r="K27" s="9" t="n">
        <f aca="false">INDEX('Commercial View'!$R$2:$R$301,MATCH($A27,'Commercial View'!$A$2:$A$301,0))</f>
        <v>4772</v>
      </c>
      <c r="L27" s="9" t="n">
        <f aca="false">INDEX('Commercial View'!$S$2:$S$301,MATCH($A27,'Commercial View'!$A$2:$A$301,0))</f>
        <v>0</v>
      </c>
      <c r="M27" s="17" t="n">
        <f aca="false">INDEX('Commercial View'!$T$2:$T$301,MATCH($A27,'Commercial View'!$A$2:$A$301,0))</f>
        <v>-1</v>
      </c>
      <c r="N27" s="2" t="str">
        <f aca="false">INDEX('Commercial View'!$U$2:$U$301,MATCH($A27,'Commercial View'!$A$2:$A$301,0))</f>
        <v>Lapsed</v>
      </c>
      <c r="O27" s="2" t="n">
        <v>2</v>
      </c>
      <c r="P27" s="2" t="n">
        <v>2</v>
      </c>
      <c r="Q27" s="2" t="n">
        <v>0</v>
      </c>
      <c r="R27" s="2" t="n">
        <v>1</v>
      </c>
      <c r="S27" s="2" t="n">
        <v>2</v>
      </c>
      <c r="T27" s="2" t="str">
        <f aca="false">IF(H27="Broker-Reliant",IF(J27="Tail","5. Cost-to-Serve / Low-Touch",IF(OR(N27="Growing",N27="Stable"),"1. Migration Candidate",IF(N27="Declining","2. Protect / Retain First",IF(N27="Lapsed","3. Win-Back / Verify",IF(N27="H2 Active / No H1 GMV","4. Establish / Re-establish / Observe","UNASSIGNED"))))),IF(G27="Low",IF(J27="Tail","9. Long-Tail Automated Nurture",IF(OR(N27="Growing",N27="Stable"),"6. Growth Opportunity",IF(N27="H2 Active / No H1 GMV","7. Onboard / Re-engage / Learn",IF(OR(N27="Declining",N27="Lapsed"),"8. Retention / Reactivation","UNASSIGNED")))),"UNASSIGNED"))</f>
        <v>3. Win-Back / Verify</v>
      </c>
      <c r="U27" s="10" t="b">
        <f aca="false">AND(T27="1. Migration Candidate",J27="Core",O27&gt;=Assumptions!$B$39,Q27&gt;=Assumptions!$B$40,NOT(Z27))</f>
        <v>0</v>
      </c>
      <c r="V27" s="2" t="n">
        <f aca="false">(AND(H27="Broker-Reliant",J27&lt;&gt;"Tail",OR(N27="Growing",N27="Stable")))*1+(AND(H27="Broker-Reliant",J27&lt;&gt;"Tail",N27="Declining"))*1+(AND(H27="Broker-Reliant",J27&lt;&gt;"Tail",N27="Lapsed"))*1+(AND(H27="Broker-Reliant",J27&lt;&gt;"Tail",N27="H2 Active / No H1 GMV"))*1+(AND(H27="Broker-Reliant",J27="Tail"))*1+(AND(G27="Low",J27&lt;&gt;"Tail",OR(N27="Growing",N27="Stable")))*1+(AND(G27="Low",J27&lt;&gt;"Tail",N27="H2 Active / No H1 GMV"))*1+(AND(G27="Low",J27&lt;&gt;"Tail",OR(N27="Declining",N27="Lapsed")))*1+(AND(G27="Low",J27="Tail"))*1</f>
        <v>1</v>
      </c>
      <c r="W27" s="2" t="n">
        <f aca="false">INDEX('Commercial View'!$V$2:$V$301,MATCH($A27,'Commercial View'!$A$2:$A$301,0))</f>
        <v>2</v>
      </c>
      <c r="X27" s="10" t="b">
        <f aca="false">O27&lt;=Assumptions!$B$30</f>
        <v>1</v>
      </c>
      <c r="Y27" s="10" t="b">
        <f aca="false">W27&lt;=1</f>
        <v>0</v>
      </c>
      <c r="Z27" s="10" t="b">
        <f aca="false">C27="Duplicate"</f>
        <v>0</v>
      </c>
      <c r="AA27" s="10" t="b">
        <f aca="false">C27=""</f>
        <v>0</v>
      </c>
      <c r="AB27" s="2" t="n">
        <f aca="false">IF(P27+Q27&gt;0,ROUND(P27/(P27+Q27)*100,0),"")</f>
        <v>100</v>
      </c>
      <c r="AC27" s="2" t="n">
        <f aca="false">IF(P27+Q27&gt;0,ROUND(E27-P27/(P27+Q27)*100,0),"")</f>
        <v>-18</v>
      </c>
      <c r="AD27" s="10" t="b">
        <f aca="false">IF(AC27="",FALSE(),ABS(AC27)&gt;Assumptions!$B$41)</f>
        <v>1</v>
      </c>
      <c r="AE27" s="2" t="str">
        <f aca="false">IF(X27,"Low confidence (&lt;=2 orders); ","")&amp;IF(Y27,"Single-month history; ","")&amp;IF(Z27,"CRITICAL: Duplicate status; ","")&amp;IF(AA27,"Missing status; ","")&amp;IF(AD27,"Broker % vs counts gap "&amp;TEXT(AC27,"+0;-0")&amp;"pts; ","")</f>
        <v>Low confidence (&lt;=2 orders); Broker % vs counts gap -18pts; </v>
      </c>
      <c r="AF27" s="2" t="str">
        <f aca="false">IF(AND(K27=0,L27&gt;0),IF(D27&lt;=Assumptions!$B$47,"New Customer","Returned Customer"),"Existing Customer")</f>
        <v>Existing Customer</v>
      </c>
      <c r="AG27" s="10" t="b">
        <f aca="false">AND(T27="1. Migration Candidate",J27="Key")</f>
        <v>0</v>
      </c>
      <c r="AH27" s="10" t="b">
        <f aca="false">IF(AND(K27&gt;0,L27&gt;0),OR(ABS(M27-Assumptions!$B$36)&lt;=Assumptions!$B$46,ABS(M27+Assumptions!$B$36)&lt;=Assumptions!$B$46),FALSE())</f>
        <v>0</v>
      </c>
      <c r="AI27" s="9" t="n">
        <f aca="false">INDEX('Commercial View'!$L$2:$L$301,MATCH($A27,'Commercial View'!$A$2:$A$301,0))+INDEX('Commercial View'!$M$2:$M$301,MATCH($A27,'Commercial View'!$A$2:$A$301,0))</f>
        <v>0</v>
      </c>
      <c r="AJ27" s="2" t="str">
        <f aca="false">IF(AND(K27=0,AI27=0),"No activity ex-Feb",IF(AI27=0,"Lapsed",IF(K27=0,"H2 Active / No H1 GMV",IF((AI27/2)/(K27/3)-1&gt;=Assumptions!$B$36,"Growing",IF((AI27/2)/(K27/3)-1&lt;-Assumptions!$B$36,"Declining","Stable")))))</f>
        <v>Lapsed</v>
      </c>
      <c r="AK27" s="10" t="b">
        <f aca="false">IF(OR(N27="Growing",N27="Stable"),"Healthy",N27)&lt;&gt;IF(OR(AJ27="Growing",AJ27="Stable"),"Healthy",AJ27)</f>
        <v>0</v>
      </c>
      <c r="AL27" s="2" t="str">
        <f aca="false">IF(N27="Lapsed",IF(OR(O27&lt;=Assumptions!$B$48,W27&lt;=Assumptions!$B$49),"One-Off / Insufficient History — Verify","Established Buyer Lapsed"),"N/A")</f>
        <v>One-Off / Insufficient History — Verify</v>
      </c>
      <c r="AM27" s="2" t="n">
        <f aca="false">INDEX('Scored Accounts'!$M$2:$M$301,MATCH($A27,'Scored Accounts'!$A$2:$A$301,0))</f>
        <v>100</v>
      </c>
      <c r="AN27" s="2" t="n">
        <f aca="false">IF((P27/(P27+Q27)*100)&lt;=Assumptions!$B$13,0,IF((P27/(P27+Q27)*100)&lt;Assumptions!$B$14,25,IF((P27/(P27+Q27)*100)&lt;Assumptions!$B$15,50,IF((P27/(P27+Q27)*100)&lt;Assumptions!$B$16,75,100))))</f>
        <v>100</v>
      </c>
      <c r="AO27" s="21" t="n">
        <f aca="false">IF((P27/(P27+Q27)*100)&lt;=Assumptions!$B$8,0,AN27*Assumptions!$B$4+INDEX('Scored Accounts'!$N$2:$N$301,MATCH($A27,'Scored Accounts'!$A$2:$A$301,0))*Assumptions!$B$5+INDEX('Scored Accounts'!$O$2:$O$301,MATCH($A27,'Scored Accounts'!$A$2:$A$301,0))*Assumptions!$B$6)</f>
        <v>90</v>
      </c>
      <c r="AP27" s="2" t="str">
        <f aca="false">IF(AO27&gt;=Assumptions!$B$9,"High",IF(AO27&gt;=Assumptions!$B$10,"Medium","Low"))</f>
        <v>High</v>
      </c>
      <c r="AQ27" s="10" t="b">
        <f aca="false">OR((E27&lt;=Assumptions!$B$8)&lt;&gt;((P27/(P27+Q27)*100)&lt;=Assumptions!$B$8),AM27&lt;&gt;AN27,G27&lt;&gt;AP27)</f>
        <v>0</v>
      </c>
      <c r="AR27" s="2" t="str">
        <f aca="false">IF(AP27&lt;&gt;"Low","Broker-Reliant",IF(B27="Account Managed","AM-Owned / Self-Serving","Self-Serve"))</f>
        <v>Broker-Reliant</v>
      </c>
      <c r="AS27" s="2" t="str">
        <f aca="false">IF(AR27="Broker-Reliant",IF(J27="Tail","5. Cost-to-Serve / Low-Touch",IF(OR(N27="Growing",N27="Stable"),"1. Migration Candidate",IF(N27="Declining","2. Protect / Retain First",IF(N27="Lapsed","3. Win-Back / Verify",IF(N27="H2 Active / No H1 GMV","4. Establish / Re-establish / Observe","UNASSIGNED"))))),IF(AP27="Low",IF(J27="Tail","9. Long-Tail Automated Nurture",IF(OR(N27="Growing",N27="Stable"),"6. Growth Opportunity",IF(N27="H2 Active / No H1 GMV","7. Onboard / Re-engage / Learn",IF(OR(N27="Declining",N27="Lapsed"),"8. Retention / Reactivation","UNASSIGNED")))),"UNASSIGNED"))</f>
        <v>3. Win-Back / Verify</v>
      </c>
      <c r="AT27" s="10" t="b">
        <f aca="false">AS27&lt;&gt;T27</f>
        <v>0</v>
      </c>
      <c r="AU27" s="2" t="str">
        <f aca="false">IF(NOT(U27),"Not Eligible",IF(OR(AQ27,AH27,AK27,NOT(AND(W27&gt;=Assumptions!$B$83,O27&gt;=Assumptions!$B$84))),"Manual Review","Ready"))</f>
        <v>Not Eligible</v>
      </c>
      <c r="AV27" s="2" t="str">
        <f aca="false">IF(AG27,"Key account - human sign-off required; ","")&amp;IF(AH27,"Borderline momentum; ","")&amp;IF(AK27,"February-sensitive ("&amp;N27&amp;" -&gt; "&amp;AJ27&amp;"); ","")&amp;IF(AL27="One-Off / Insufficient History — Verify","Lapsed on thin history - verify; ","")&amp;IF(AQ27,"Material broker % inconsistency (implied tier "&amp;AP27&amp;"); ","")&amp;IF(AT27,"Implied broker % would move segment to "&amp;AS27&amp;"; ","")</f>
        <v>Lapsed on thin history - verify; </v>
      </c>
      <c r="AW27" s="10" t="b">
        <f aca="false">AND(G27="Low",J27="Tail",I27&gt;=Assumptions!$B$64,O27&gt;=Assumptions!$B$65,OR(N27="Growing",N27="Stable",AND(N27="H2 Active / No H1 GMV",W27&gt;=2)),OR(R27&gt;=Assumptions!$B$66,S27&gt;=Assumptions!$B$67))</f>
        <v>0</v>
      </c>
    </row>
    <row r="28" customFormat="false" ht="15" hidden="false" customHeight="false" outlineLevel="0" collapsed="false">
      <c r="A28" s="2" t="s">
        <v>408</v>
      </c>
      <c r="B28" s="2" t="s">
        <v>1571</v>
      </c>
      <c r="C28" s="2" t="s">
        <v>1572</v>
      </c>
      <c r="D28" s="2" t="n">
        <v>30</v>
      </c>
      <c r="E28" s="2" t="n">
        <v>73</v>
      </c>
      <c r="F28" s="21" t="n">
        <f aca="false">INDEX('Scored Accounts'!$Q$2:$Q$301,MATCH($A28,'Scored Accounts'!$A$2:$A$301,0))</f>
        <v>82.5</v>
      </c>
      <c r="G28" s="2" t="str">
        <f aca="false">INDEX('Scored Accounts'!$R$2:$R$301,MATCH($A28,'Scored Accounts'!$A$2:$A$301,0))</f>
        <v>High</v>
      </c>
      <c r="H28" s="2" t="str">
        <f aca="false">IF(OR(G28="High",G28="Medium"),"Broker-Reliant",IF(AND(G28="Low",B28="Account Managed"),"AM-Owned / Self-Serving",IF(AND(G28="Low",B28="Self Serve"),"Self-Serve","UNASSIGNED")))</f>
        <v>Broker-Reliant</v>
      </c>
      <c r="I28" s="9" t="n">
        <v>4678</v>
      </c>
      <c r="J28" s="2" t="str">
        <f aca="false">IF(I28&gt;=Assumptions!$B$35,"Key",IF(I28&gt;=Assumptions!$B$34,"Core","Tail"))</f>
        <v>Core</v>
      </c>
      <c r="K28" s="9" t="n">
        <f aca="false">INDEX('Commercial View'!$R$2:$R$301,MATCH($A28,'Commercial View'!$A$2:$A$301,0))</f>
        <v>2280</v>
      </c>
      <c r="L28" s="9" t="n">
        <f aca="false">INDEX('Commercial View'!$S$2:$S$301,MATCH($A28,'Commercial View'!$A$2:$A$301,0))</f>
        <v>2398</v>
      </c>
      <c r="M28" s="17" t="n">
        <f aca="false">INDEX('Commercial View'!$T$2:$T$301,MATCH($A28,'Commercial View'!$A$2:$A$301,0))</f>
        <v>0.0517543859649123</v>
      </c>
      <c r="N28" s="2" t="str">
        <f aca="false">INDEX('Commercial View'!$U$2:$U$301,MATCH($A28,'Commercial View'!$A$2:$A$301,0))</f>
        <v>Stable</v>
      </c>
      <c r="O28" s="2" t="n">
        <v>25</v>
      </c>
      <c r="P28" s="2" t="n">
        <v>18</v>
      </c>
      <c r="Q28" s="2" t="n">
        <v>7</v>
      </c>
      <c r="R28" s="2" t="n">
        <v>3</v>
      </c>
      <c r="S28" s="2" t="n">
        <v>1</v>
      </c>
      <c r="T28" s="2" t="str">
        <f aca="false">IF(H28="Broker-Reliant",IF(J28="Tail","5. Cost-to-Serve / Low-Touch",IF(OR(N28="Growing",N28="Stable"),"1. Migration Candidate",IF(N28="Declining","2. Protect / Retain First",IF(N28="Lapsed","3. Win-Back / Verify",IF(N28="H2 Active / No H1 GMV","4. Establish / Re-establish / Observe","UNASSIGNED"))))),IF(G28="Low",IF(J28="Tail","9. Long-Tail Automated Nurture",IF(OR(N28="Growing",N28="Stable"),"6. Growth Opportunity",IF(N28="H2 Active / No H1 GMV","7. Onboard / Re-engage / Learn",IF(OR(N28="Declining",N28="Lapsed"),"8. Retention / Reactivation","UNASSIGNED")))),"UNASSIGNED"))</f>
        <v>1. Migration Candidate</v>
      </c>
      <c r="U28" s="10" t="b">
        <f aca="false">AND(T28="1. Migration Candidate",J28="Core",O28&gt;=Assumptions!$B$39,Q28&gt;=Assumptions!$B$40,NOT(Z28))</f>
        <v>1</v>
      </c>
      <c r="V28" s="2" t="n">
        <f aca="false">(AND(H28="Broker-Reliant",J28&lt;&gt;"Tail",OR(N28="Growing",N28="Stable")))*1+(AND(H28="Broker-Reliant",J28&lt;&gt;"Tail",N28="Declining"))*1+(AND(H28="Broker-Reliant",J28&lt;&gt;"Tail",N28="Lapsed"))*1+(AND(H28="Broker-Reliant",J28&lt;&gt;"Tail",N28="H2 Active / No H1 GMV"))*1+(AND(H28="Broker-Reliant",J28="Tail"))*1+(AND(G28="Low",J28&lt;&gt;"Tail",OR(N28="Growing",N28="Stable")))*1+(AND(G28="Low",J28&lt;&gt;"Tail",N28="H2 Active / No H1 GMV"))*1+(AND(G28="Low",J28&lt;&gt;"Tail",OR(N28="Declining",N28="Lapsed")))*1+(AND(G28="Low",J28="Tail"))*1</f>
        <v>1</v>
      </c>
      <c r="W28" s="2" t="n">
        <f aca="false">INDEX('Commercial View'!$V$2:$V$301,MATCH($A28,'Commercial View'!$A$2:$A$301,0))</f>
        <v>5</v>
      </c>
      <c r="X28" s="10" t="b">
        <f aca="false">O28&lt;=Assumptions!$B$30</f>
        <v>0</v>
      </c>
      <c r="Y28" s="10" t="b">
        <f aca="false">W28&lt;=1</f>
        <v>0</v>
      </c>
      <c r="Z28" s="10" t="b">
        <f aca="false">C28="Duplicate"</f>
        <v>0</v>
      </c>
      <c r="AA28" s="10" t="b">
        <f aca="false">C28=""</f>
        <v>0</v>
      </c>
      <c r="AB28" s="2" t="n">
        <f aca="false">IF(P28+Q28&gt;0,ROUND(P28/(P28+Q28)*100,0),"")</f>
        <v>72</v>
      </c>
      <c r="AC28" s="2" t="n">
        <f aca="false">IF(P28+Q28&gt;0,ROUND(E28-P28/(P28+Q28)*100,0),"")</f>
        <v>1</v>
      </c>
      <c r="AD28" s="10" t="b">
        <f aca="false">IF(AC28="",FALSE(),ABS(AC28)&gt;Assumptions!$B$41)</f>
        <v>0</v>
      </c>
      <c r="AE28" s="2" t="str">
        <f aca="false">IF(X28,"Low confidence (&lt;=2 orders); ","")&amp;IF(Y28,"Single-month history; ","")&amp;IF(Z28,"CRITICAL: Duplicate status; ","")&amp;IF(AA28,"Missing status; ","")&amp;IF(AD28,"Broker % vs counts gap "&amp;TEXT(AC28,"+0;-0")&amp;"pts; ","")</f>
        <v/>
      </c>
      <c r="AF28" s="2" t="str">
        <f aca="false">IF(AND(K28=0,L28&gt;0),IF(D28&lt;=Assumptions!$B$47,"New Customer","Returned Customer"),"Existing Customer")</f>
        <v>Existing Customer</v>
      </c>
      <c r="AG28" s="10" t="b">
        <f aca="false">AND(T28="1. Migration Candidate",J28="Key")</f>
        <v>0</v>
      </c>
      <c r="AH28" s="10" t="b">
        <f aca="false">IF(AND(K28&gt;0,L28&gt;0),OR(ABS(M28-Assumptions!$B$36)&lt;=Assumptions!$B$46,ABS(M28+Assumptions!$B$36)&lt;=Assumptions!$B$46),FALSE())</f>
        <v>0</v>
      </c>
      <c r="AI28" s="9" t="n">
        <f aca="false">INDEX('Commercial View'!$L$2:$L$301,MATCH($A28,'Commercial View'!$A$2:$A$301,0))+INDEX('Commercial View'!$M$2:$M$301,MATCH($A28,'Commercial View'!$A$2:$A$301,0))</f>
        <v>2398</v>
      </c>
      <c r="AJ28" s="2" t="str">
        <f aca="false">IF(AND(K28=0,AI28=0),"No activity ex-Feb",IF(AI28=0,"Lapsed",IF(K28=0,"H2 Active / No H1 GMV",IF((AI28/2)/(K28/3)-1&gt;=Assumptions!$B$36,"Growing",IF((AI28/2)/(K28/3)-1&lt;-Assumptions!$B$36,"Declining","Stable")))))</f>
        <v>Growing</v>
      </c>
      <c r="AK28" s="10" t="b">
        <f aca="false">IF(OR(N28="Growing",N28="Stable"),"Healthy",N28)&lt;&gt;IF(OR(AJ28="Growing",AJ28="Stable"),"Healthy",AJ28)</f>
        <v>0</v>
      </c>
      <c r="AL28" s="2" t="str">
        <f aca="false">IF(N28="Lapsed",IF(OR(O28&lt;=Assumptions!$B$48,W28&lt;=Assumptions!$B$49),"One-Off / Insufficient History — Verify","Established Buyer Lapsed"),"N/A")</f>
        <v>N/A</v>
      </c>
      <c r="AM28" s="2" t="n">
        <f aca="false">INDEX('Scored Accounts'!$M$2:$M$301,MATCH($A28,'Scored Accounts'!$A$2:$A$301,0))</f>
        <v>75</v>
      </c>
      <c r="AN28" s="2" t="n">
        <f aca="false">IF((P28/(P28+Q28)*100)&lt;=Assumptions!$B$13,0,IF((P28/(P28+Q28)*100)&lt;Assumptions!$B$14,25,IF((P28/(P28+Q28)*100)&lt;Assumptions!$B$15,50,IF((P28/(P28+Q28)*100)&lt;Assumptions!$B$16,75,100))))</f>
        <v>75</v>
      </c>
      <c r="AO28" s="21" t="n">
        <f aca="false">IF((P28/(P28+Q28)*100)&lt;=Assumptions!$B$8,0,AN28*Assumptions!$B$4+INDEX('Scored Accounts'!$N$2:$N$301,MATCH($A28,'Scored Accounts'!$A$2:$A$301,0))*Assumptions!$B$5+INDEX('Scored Accounts'!$O$2:$O$301,MATCH($A28,'Scored Accounts'!$A$2:$A$301,0))*Assumptions!$B$6)</f>
        <v>82.5</v>
      </c>
      <c r="AP28" s="2" t="str">
        <f aca="false">IF(AO28&gt;=Assumptions!$B$9,"High",IF(AO28&gt;=Assumptions!$B$10,"Medium","Low"))</f>
        <v>High</v>
      </c>
      <c r="AQ28" s="10" t="b">
        <f aca="false">OR((E28&lt;=Assumptions!$B$8)&lt;&gt;((P28/(P28+Q28)*100)&lt;=Assumptions!$B$8),AM28&lt;&gt;AN28,G28&lt;&gt;AP28)</f>
        <v>0</v>
      </c>
      <c r="AR28" s="2" t="str">
        <f aca="false">IF(AP28&lt;&gt;"Low","Broker-Reliant",IF(B28="Account Managed","AM-Owned / Self-Serving","Self-Serve"))</f>
        <v>Broker-Reliant</v>
      </c>
      <c r="AS28" s="2" t="str">
        <f aca="false">IF(AR28="Broker-Reliant",IF(J28="Tail","5. Cost-to-Serve / Low-Touch",IF(OR(N28="Growing",N28="Stable"),"1. Migration Candidate",IF(N28="Declining","2. Protect / Retain First",IF(N28="Lapsed","3. Win-Back / Verify",IF(N28="H2 Active / No H1 GMV","4. Establish / Re-establish / Observe","UNASSIGNED"))))),IF(AP28="Low",IF(J28="Tail","9. Long-Tail Automated Nurture",IF(OR(N28="Growing",N28="Stable"),"6. Growth Opportunity",IF(N28="H2 Active / No H1 GMV","7. Onboard / Re-engage / Learn",IF(OR(N28="Declining",N28="Lapsed"),"8. Retention / Reactivation","UNASSIGNED")))),"UNASSIGNED"))</f>
        <v>1. Migration Candidate</v>
      </c>
      <c r="AT28" s="10" t="b">
        <f aca="false">AS28&lt;&gt;T28</f>
        <v>0</v>
      </c>
      <c r="AU28" s="2" t="str">
        <f aca="false">IF(NOT(U28),"Not Eligible",IF(OR(AQ28,AH28,AK28,NOT(AND(W28&gt;=Assumptions!$B$83,O28&gt;=Assumptions!$B$84))),"Manual Review","Ready"))</f>
        <v>Ready</v>
      </c>
      <c r="AV28" s="2" t="str">
        <f aca="false">IF(AG28,"Key account - human sign-off required; ","")&amp;IF(AH28,"Borderline momentum; ","")&amp;IF(AK28,"February-sensitive ("&amp;N28&amp;" -&gt; "&amp;AJ28&amp;"); ","")&amp;IF(AL28="One-Off / Insufficient History — Verify","Lapsed on thin history - verify; ","")&amp;IF(AQ28,"Material broker % inconsistency (implied tier "&amp;AP28&amp;"); ","")&amp;IF(AT28,"Implied broker % would move segment to "&amp;AS28&amp;"; ","")</f>
        <v/>
      </c>
      <c r="AW28" s="10" t="b">
        <f aca="false">AND(G28="Low",J28="Tail",I28&gt;=Assumptions!$B$64,O28&gt;=Assumptions!$B$65,OR(N28="Growing",N28="Stable",AND(N28="H2 Active / No H1 GMV",W28&gt;=2)),OR(R28&gt;=Assumptions!$B$66,S28&gt;=Assumptions!$B$67))</f>
        <v>0</v>
      </c>
    </row>
    <row r="29" customFormat="false" ht="15" hidden="false" customHeight="false" outlineLevel="0" collapsed="false">
      <c r="A29" s="2" t="s">
        <v>222</v>
      </c>
      <c r="B29" s="2" t="s">
        <v>1571</v>
      </c>
      <c r="C29" s="2" t="s">
        <v>1572</v>
      </c>
      <c r="D29" s="2" t="n">
        <v>11</v>
      </c>
      <c r="E29" s="2" t="n">
        <v>48</v>
      </c>
      <c r="F29" s="21" t="n">
        <f aca="false">INDEX('Scored Accounts'!$Q$2:$Q$301,MATCH($A29,'Scored Accounts'!$A$2:$A$301,0))</f>
        <v>70</v>
      </c>
      <c r="G29" s="2" t="str">
        <f aca="false">INDEX('Scored Accounts'!$R$2:$R$301,MATCH($A29,'Scored Accounts'!$A$2:$A$301,0))</f>
        <v>High</v>
      </c>
      <c r="H29" s="2" t="str">
        <f aca="false">IF(OR(G29="High",G29="Medium"),"Broker-Reliant",IF(AND(G29="Low",B29="Account Managed"),"AM-Owned / Self-Serving",IF(AND(G29="Low",B29="Self Serve"),"Self-Serve","UNASSIGNED")))</f>
        <v>Broker-Reliant</v>
      </c>
      <c r="I29" s="9" t="n">
        <v>4639</v>
      </c>
      <c r="J29" s="2" t="str">
        <f aca="false">IF(I29&gt;=Assumptions!$B$35,"Key",IF(I29&gt;=Assumptions!$B$34,"Core","Tail"))</f>
        <v>Core</v>
      </c>
      <c r="K29" s="9" t="n">
        <f aca="false">INDEX('Commercial View'!$R$2:$R$301,MATCH($A29,'Commercial View'!$A$2:$A$301,0))</f>
        <v>3271</v>
      </c>
      <c r="L29" s="9" t="n">
        <f aca="false">INDEX('Commercial View'!$S$2:$S$301,MATCH($A29,'Commercial View'!$A$2:$A$301,0))</f>
        <v>1368</v>
      </c>
      <c r="M29" s="17" t="n">
        <f aca="false">INDEX('Commercial View'!$T$2:$T$301,MATCH($A29,'Commercial View'!$A$2:$A$301,0))</f>
        <v>-0.581779272393763</v>
      </c>
      <c r="N29" s="2" t="str">
        <f aca="false">INDEX('Commercial View'!$U$2:$U$301,MATCH($A29,'Commercial View'!$A$2:$A$301,0))</f>
        <v>Declining</v>
      </c>
      <c r="O29" s="2" t="n">
        <v>7</v>
      </c>
      <c r="P29" s="2" t="n">
        <v>3</v>
      </c>
      <c r="Q29" s="2" t="n">
        <v>4</v>
      </c>
      <c r="R29" s="2" t="n">
        <v>4</v>
      </c>
      <c r="S29" s="2" t="n">
        <v>1</v>
      </c>
      <c r="T29" s="2" t="str">
        <f aca="false">IF(H29="Broker-Reliant",IF(J29="Tail","5. Cost-to-Serve / Low-Touch",IF(OR(N29="Growing",N29="Stable"),"1. Migration Candidate",IF(N29="Declining","2. Protect / Retain First",IF(N29="Lapsed","3. Win-Back / Verify",IF(N29="H2 Active / No H1 GMV","4. Establish / Re-establish / Observe","UNASSIGNED"))))),IF(G29="Low",IF(J29="Tail","9. Long-Tail Automated Nurture",IF(OR(N29="Growing",N29="Stable"),"6. Growth Opportunity",IF(N29="H2 Active / No H1 GMV","7. Onboard / Re-engage / Learn",IF(OR(N29="Declining",N29="Lapsed"),"8. Retention / Reactivation","UNASSIGNED")))),"UNASSIGNED"))</f>
        <v>2. Protect / Retain First</v>
      </c>
      <c r="U29" s="10" t="b">
        <f aca="false">AND(T29="1. Migration Candidate",J29="Core",O29&gt;=Assumptions!$B$39,Q29&gt;=Assumptions!$B$40,NOT(Z29))</f>
        <v>0</v>
      </c>
      <c r="V29" s="2" t="n">
        <f aca="false">(AND(H29="Broker-Reliant",J29&lt;&gt;"Tail",OR(N29="Growing",N29="Stable")))*1+(AND(H29="Broker-Reliant",J29&lt;&gt;"Tail",N29="Declining"))*1+(AND(H29="Broker-Reliant",J29&lt;&gt;"Tail",N29="Lapsed"))*1+(AND(H29="Broker-Reliant",J29&lt;&gt;"Tail",N29="H2 Active / No H1 GMV"))*1+(AND(H29="Broker-Reliant",J29="Tail"))*1+(AND(G29="Low",J29&lt;&gt;"Tail",OR(N29="Growing",N29="Stable")))*1+(AND(G29="Low",J29&lt;&gt;"Tail",N29="H2 Active / No H1 GMV"))*1+(AND(G29="Low",J29&lt;&gt;"Tail",OR(N29="Declining",N29="Lapsed")))*1+(AND(G29="Low",J29="Tail"))*1</f>
        <v>1</v>
      </c>
      <c r="W29" s="2" t="n">
        <f aca="false">INDEX('Commercial View'!$V$2:$V$301,MATCH($A29,'Commercial View'!$A$2:$A$301,0))</f>
        <v>4</v>
      </c>
      <c r="X29" s="10" t="b">
        <f aca="false">O29&lt;=Assumptions!$B$30</f>
        <v>0</v>
      </c>
      <c r="Y29" s="10" t="b">
        <f aca="false">W29&lt;=1</f>
        <v>0</v>
      </c>
      <c r="Z29" s="10" t="b">
        <f aca="false">C29="Duplicate"</f>
        <v>0</v>
      </c>
      <c r="AA29" s="10" t="b">
        <f aca="false">C29=""</f>
        <v>0</v>
      </c>
      <c r="AB29" s="2" t="n">
        <f aca="false">IF(P29+Q29&gt;0,ROUND(P29/(P29+Q29)*100,0),"")</f>
        <v>43</v>
      </c>
      <c r="AC29" s="2" t="n">
        <f aca="false">IF(P29+Q29&gt;0,ROUND(E29-P29/(P29+Q29)*100,0),"")</f>
        <v>5</v>
      </c>
      <c r="AD29" s="10" t="b">
        <f aca="false">IF(AC29="",FALSE(),ABS(AC29)&gt;Assumptions!$B$41)</f>
        <v>0</v>
      </c>
      <c r="AE29" s="2" t="str">
        <f aca="false">IF(X29,"Low confidence (&lt;=2 orders); ","")&amp;IF(Y29,"Single-month history; ","")&amp;IF(Z29,"CRITICAL: Duplicate status; ","")&amp;IF(AA29,"Missing status; ","")&amp;IF(AD29,"Broker % vs counts gap "&amp;TEXT(AC29,"+0;-0")&amp;"pts; ","")</f>
        <v/>
      </c>
      <c r="AF29" s="2" t="str">
        <f aca="false">IF(AND(K29=0,L29&gt;0),IF(D29&lt;=Assumptions!$B$47,"New Customer","Returned Customer"),"Existing Customer")</f>
        <v>Existing Customer</v>
      </c>
      <c r="AG29" s="10" t="b">
        <f aca="false">AND(T29="1. Migration Candidate",J29="Key")</f>
        <v>0</v>
      </c>
      <c r="AH29" s="10" t="b">
        <f aca="false">IF(AND(K29&gt;0,L29&gt;0),OR(ABS(M29-Assumptions!$B$36)&lt;=Assumptions!$B$46,ABS(M29+Assumptions!$B$36)&lt;=Assumptions!$B$46),FALSE())</f>
        <v>0</v>
      </c>
      <c r="AI29" s="9" t="n">
        <f aca="false">INDEX('Commercial View'!$L$2:$L$301,MATCH($A29,'Commercial View'!$A$2:$A$301,0))+INDEX('Commercial View'!$M$2:$M$301,MATCH($A29,'Commercial View'!$A$2:$A$301,0))</f>
        <v>1368</v>
      </c>
      <c r="AJ29" s="2" t="str">
        <f aca="false">IF(AND(K29=0,AI29=0),"No activity ex-Feb",IF(AI29=0,"Lapsed",IF(K29=0,"H2 Active / No H1 GMV",IF((AI29/2)/(K29/3)-1&gt;=Assumptions!$B$36,"Growing",IF((AI29/2)/(K29/3)-1&lt;-Assumptions!$B$36,"Declining","Stable")))))</f>
        <v>Declining</v>
      </c>
      <c r="AK29" s="10" t="b">
        <f aca="false">IF(OR(N29="Growing",N29="Stable"),"Healthy",N29)&lt;&gt;IF(OR(AJ29="Growing",AJ29="Stable"),"Healthy",AJ29)</f>
        <v>0</v>
      </c>
      <c r="AL29" s="2" t="str">
        <f aca="false">IF(N29="Lapsed",IF(OR(O29&lt;=Assumptions!$B$48,W29&lt;=Assumptions!$B$49),"One-Off / Insufficient History — Verify","Established Buyer Lapsed"),"N/A")</f>
        <v>N/A</v>
      </c>
      <c r="AM29" s="2" t="n">
        <f aca="false">INDEX('Scored Accounts'!$M$2:$M$301,MATCH($A29,'Scored Accounts'!$A$2:$A$301,0))</f>
        <v>50</v>
      </c>
      <c r="AN29" s="2" t="n">
        <f aca="false">IF((P29/(P29+Q29)*100)&lt;=Assumptions!$B$13,0,IF((P29/(P29+Q29)*100)&lt;Assumptions!$B$14,25,IF((P29/(P29+Q29)*100)&lt;Assumptions!$B$15,50,IF((P29/(P29+Q29)*100)&lt;Assumptions!$B$16,75,100))))</f>
        <v>50</v>
      </c>
      <c r="AO29" s="21" t="n">
        <f aca="false">IF((P29/(P29+Q29)*100)&lt;=Assumptions!$B$8,0,AN29*Assumptions!$B$4+INDEX('Scored Accounts'!$N$2:$N$301,MATCH($A29,'Scored Accounts'!$A$2:$A$301,0))*Assumptions!$B$5+INDEX('Scored Accounts'!$O$2:$O$301,MATCH($A29,'Scored Accounts'!$A$2:$A$301,0))*Assumptions!$B$6)</f>
        <v>70</v>
      </c>
      <c r="AP29" s="2" t="str">
        <f aca="false">IF(AO29&gt;=Assumptions!$B$9,"High",IF(AO29&gt;=Assumptions!$B$10,"Medium","Low"))</f>
        <v>High</v>
      </c>
      <c r="AQ29" s="10" t="b">
        <f aca="false">OR((E29&lt;=Assumptions!$B$8)&lt;&gt;((P29/(P29+Q29)*100)&lt;=Assumptions!$B$8),AM29&lt;&gt;AN29,G29&lt;&gt;AP29)</f>
        <v>0</v>
      </c>
      <c r="AR29" s="2" t="str">
        <f aca="false">IF(AP29&lt;&gt;"Low","Broker-Reliant",IF(B29="Account Managed","AM-Owned / Self-Serving","Self-Serve"))</f>
        <v>Broker-Reliant</v>
      </c>
      <c r="AS29" s="2" t="str">
        <f aca="false">IF(AR29="Broker-Reliant",IF(J29="Tail","5. Cost-to-Serve / Low-Touch",IF(OR(N29="Growing",N29="Stable"),"1. Migration Candidate",IF(N29="Declining","2. Protect / Retain First",IF(N29="Lapsed","3. Win-Back / Verify",IF(N29="H2 Active / No H1 GMV","4. Establish / Re-establish / Observe","UNASSIGNED"))))),IF(AP29="Low",IF(J29="Tail","9. Long-Tail Automated Nurture",IF(OR(N29="Growing",N29="Stable"),"6. Growth Opportunity",IF(N29="H2 Active / No H1 GMV","7. Onboard / Re-engage / Learn",IF(OR(N29="Declining",N29="Lapsed"),"8. Retention / Reactivation","UNASSIGNED")))),"UNASSIGNED"))</f>
        <v>2. Protect / Retain First</v>
      </c>
      <c r="AT29" s="10" t="b">
        <f aca="false">AS29&lt;&gt;T29</f>
        <v>0</v>
      </c>
      <c r="AU29" s="2" t="str">
        <f aca="false">IF(NOT(U29),"Not Eligible",IF(OR(AQ29,AH29,AK29,NOT(AND(W29&gt;=Assumptions!$B$83,O29&gt;=Assumptions!$B$84))),"Manual Review","Ready"))</f>
        <v>Not Eligible</v>
      </c>
      <c r="AV29" s="2" t="str">
        <f aca="false">IF(AG29,"Key account - human sign-off required; ","")&amp;IF(AH29,"Borderline momentum; ","")&amp;IF(AK29,"February-sensitive ("&amp;N29&amp;" -&gt; "&amp;AJ29&amp;"); ","")&amp;IF(AL29="One-Off / Insufficient History — Verify","Lapsed on thin history - verify; ","")&amp;IF(AQ29,"Material broker % inconsistency (implied tier "&amp;AP29&amp;"); ","")&amp;IF(AT29,"Implied broker % would move segment to "&amp;AS29&amp;"; ","")</f>
        <v/>
      </c>
      <c r="AW29" s="10" t="b">
        <f aca="false">AND(G29="Low",J29="Tail",I29&gt;=Assumptions!$B$64,O29&gt;=Assumptions!$B$65,OR(N29="Growing",N29="Stable",AND(N29="H2 Active / No H1 GMV",W29&gt;=2)),OR(R29&gt;=Assumptions!$B$66,S29&gt;=Assumptions!$B$67))</f>
        <v>0</v>
      </c>
    </row>
    <row r="30" customFormat="false" ht="15" hidden="false" customHeight="false" outlineLevel="0" collapsed="false">
      <c r="A30" s="2" t="s">
        <v>450</v>
      </c>
      <c r="B30" s="2" t="s">
        <v>1571</v>
      </c>
      <c r="C30" s="2"/>
      <c r="D30" s="2" t="n">
        <v>6</v>
      </c>
      <c r="E30" s="2" t="n">
        <v>78</v>
      </c>
      <c r="F30" s="21" t="n">
        <f aca="false">INDEX('Scored Accounts'!$Q$2:$Q$301,MATCH($A30,'Scored Accounts'!$A$2:$A$301,0))</f>
        <v>80</v>
      </c>
      <c r="G30" s="2" t="str">
        <f aca="false">INDEX('Scored Accounts'!$R$2:$R$301,MATCH($A30,'Scored Accounts'!$A$2:$A$301,0))</f>
        <v>High</v>
      </c>
      <c r="H30" s="2" t="str">
        <f aca="false">IF(OR(G30="High",G30="Medium"),"Broker-Reliant",IF(AND(G30="Low",B30="Account Managed"),"AM-Owned / Self-Serving",IF(AND(G30="Low",B30="Self Serve"),"Self-Serve","UNASSIGNED")))</f>
        <v>Broker-Reliant</v>
      </c>
      <c r="I30" s="9" t="n">
        <v>4513</v>
      </c>
      <c r="J30" s="2" t="str">
        <f aca="false">IF(I30&gt;=Assumptions!$B$35,"Key",IF(I30&gt;=Assumptions!$B$34,"Core","Tail"))</f>
        <v>Core</v>
      </c>
      <c r="K30" s="9" t="n">
        <f aca="false">INDEX('Commercial View'!$R$2:$R$301,MATCH($A30,'Commercial View'!$A$2:$A$301,0))</f>
        <v>496</v>
      </c>
      <c r="L30" s="9" t="n">
        <f aca="false">INDEX('Commercial View'!$S$2:$S$301,MATCH($A30,'Commercial View'!$A$2:$A$301,0))</f>
        <v>4018</v>
      </c>
      <c r="M30" s="17" t="n">
        <f aca="false">INDEX('Commercial View'!$T$2:$T$301,MATCH($A30,'Commercial View'!$A$2:$A$301,0))</f>
        <v>7.1008064516129</v>
      </c>
      <c r="N30" s="2" t="str">
        <f aca="false">INDEX('Commercial View'!$U$2:$U$301,MATCH($A30,'Commercial View'!$A$2:$A$301,0))</f>
        <v>Growing</v>
      </c>
      <c r="O30" s="2" t="n">
        <v>5</v>
      </c>
      <c r="P30" s="2" t="n">
        <v>4</v>
      </c>
      <c r="Q30" s="2" t="n">
        <v>1</v>
      </c>
      <c r="R30" s="2" t="n">
        <v>6</v>
      </c>
      <c r="S30" s="2" t="n">
        <v>0</v>
      </c>
      <c r="T30" s="2" t="str">
        <f aca="false">IF(H30="Broker-Reliant",IF(J30="Tail","5. Cost-to-Serve / Low-Touch",IF(OR(N30="Growing",N30="Stable"),"1. Migration Candidate",IF(N30="Declining","2. Protect / Retain First",IF(N30="Lapsed","3. Win-Back / Verify",IF(N30="H2 Active / No H1 GMV","4. Establish / Re-establish / Observe","UNASSIGNED"))))),IF(G30="Low",IF(J30="Tail","9. Long-Tail Automated Nurture",IF(OR(N30="Growing",N30="Stable"),"6. Growth Opportunity",IF(N30="H2 Active / No H1 GMV","7. Onboard / Re-engage / Learn",IF(OR(N30="Declining",N30="Lapsed"),"8. Retention / Reactivation","UNASSIGNED")))),"UNASSIGNED"))</f>
        <v>1. Migration Candidate</v>
      </c>
      <c r="U30" s="10" t="b">
        <f aca="false">AND(T30="1. Migration Candidate",J30="Core",O30&gt;=Assumptions!$B$39,Q30&gt;=Assumptions!$B$40,NOT(Z30))</f>
        <v>0</v>
      </c>
      <c r="V30" s="2" t="n">
        <f aca="false">(AND(H30="Broker-Reliant",J30&lt;&gt;"Tail",OR(N30="Growing",N30="Stable")))*1+(AND(H30="Broker-Reliant",J30&lt;&gt;"Tail",N30="Declining"))*1+(AND(H30="Broker-Reliant",J30&lt;&gt;"Tail",N30="Lapsed"))*1+(AND(H30="Broker-Reliant",J30&lt;&gt;"Tail",N30="H2 Active / No H1 GMV"))*1+(AND(H30="Broker-Reliant",J30="Tail"))*1+(AND(G30="Low",J30&lt;&gt;"Tail",OR(N30="Growing",N30="Stable")))*1+(AND(G30="Low",J30&lt;&gt;"Tail",N30="H2 Active / No H1 GMV"))*1+(AND(G30="Low",J30&lt;&gt;"Tail",OR(N30="Declining",N30="Lapsed")))*1+(AND(G30="Low",J30="Tail"))*1</f>
        <v>1</v>
      </c>
      <c r="W30" s="2" t="n">
        <f aca="false">INDEX('Commercial View'!$V$2:$V$301,MATCH($A30,'Commercial View'!$A$2:$A$301,0))</f>
        <v>4</v>
      </c>
      <c r="X30" s="10" t="b">
        <f aca="false">O30&lt;=Assumptions!$B$30</f>
        <v>0</v>
      </c>
      <c r="Y30" s="10" t="b">
        <f aca="false">W30&lt;=1</f>
        <v>0</v>
      </c>
      <c r="Z30" s="10" t="b">
        <f aca="false">C30="Duplicate"</f>
        <v>0</v>
      </c>
      <c r="AA30" s="10" t="b">
        <f aca="false">C30=""</f>
        <v>1</v>
      </c>
      <c r="AB30" s="2" t="n">
        <f aca="false">IF(P30+Q30&gt;0,ROUND(P30/(P30+Q30)*100,0),"")</f>
        <v>80</v>
      </c>
      <c r="AC30" s="2" t="n">
        <f aca="false">IF(P30+Q30&gt;0,ROUND(E30-P30/(P30+Q30)*100,0),"")</f>
        <v>-2</v>
      </c>
      <c r="AD30" s="10" t="b">
        <f aca="false">IF(AC30="",FALSE(),ABS(AC30)&gt;Assumptions!$B$41)</f>
        <v>0</v>
      </c>
      <c r="AE30" s="2" t="str">
        <f aca="false">IF(X30,"Low confidence (&lt;=2 orders); ","")&amp;IF(Y30,"Single-month history; ","")&amp;IF(Z30,"CRITICAL: Duplicate status; ","")&amp;IF(AA30,"Missing status; ","")&amp;IF(AD30,"Broker % vs counts gap "&amp;TEXT(AC30,"+0;-0")&amp;"pts; ","")</f>
        <v>Missing status; </v>
      </c>
      <c r="AF30" s="2" t="str">
        <f aca="false">IF(AND(K30=0,L30&gt;0),IF(D30&lt;=Assumptions!$B$47,"New Customer","Returned Customer"),"Existing Customer")</f>
        <v>Existing Customer</v>
      </c>
      <c r="AG30" s="10" t="b">
        <f aca="false">AND(T30="1. Migration Candidate",J30="Key")</f>
        <v>0</v>
      </c>
      <c r="AH30" s="10" t="b">
        <f aca="false">IF(AND(K30&gt;0,L30&gt;0),OR(ABS(M30-Assumptions!$B$36)&lt;=Assumptions!$B$46,ABS(M30+Assumptions!$B$36)&lt;=Assumptions!$B$46),FALSE())</f>
        <v>0</v>
      </c>
      <c r="AI30" s="9" t="n">
        <f aca="false">INDEX('Commercial View'!$L$2:$L$301,MATCH($A30,'Commercial View'!$A$2:$A$301,0))+INDEX('Commercial View'!$M$2:$M$301,MATCH($A30,'Commercial View'!$A$2:$A$301,0))</f>
        <v>2123</v>
      </c>
      <c r="AJ30" s="2" t="str">
        <f aca="false">IF(AND(K30=0,AI30=0),"No activity ex-Feb",IF(AI30=0,"Lapsed",IF(K30=0,"H2 Active / No H1 GMV",IF((AI30/2)/(K30/3)-1&gt;=Assumptions!$B$36,"Growing",IF((AI30/2)/(K30/3)-1&lt;-Assumptions!$B$36,"Declining","Stable")))))</f>
        <v>Growing</v>
      </c>
      <c r="AK30" s="10" t="b">
        <f aca="false">IF(OR(N30="Growing",N30="Stable"),"Healthy",N30)&lt;&gt;IF(OR(AJ30="Growing",AJ30="Stable"),"Healthy",AJ30)</f>
        <v>0</v>
      </c>
      <c r="AL30" s="2" t="str">
        <f aca="false">IF(N30="Lapsed",IF(OR(O30&lt;=Assumptions!$B$48,W30&lt;=Assumptions!$B$49),"One-Off / Insufficient History — Verify","Established Buyer Lapsed"),"N/A")</f>
        <v>N/A</v>
      </c>
      <c r="AM30" s="2" t="n">
        <f aca="false">INDEX('Scored Accounts'!$M$2:$M$301,MATCH($A30,'Scored Accounts'!$A$2:$A$301,0))</f>
        <v>75</v>
      </c>
      <c r="AN30" s="2" t="n">
        <f aca="false">IF((P30/(P30+Q30)*100)&lt;=Assumptions!$B$13,0,IF((P30/(P30+Q30)*100)&lt;Assumptions!$B$14,25,IF((P30/(P30+Q30)*100)&lt;Assumptions!$B$15,50,IF((P30/(P30+Q30)*100)&lt;Assumptions!$B$16,75,100))))</f>
        <v>100</v>
      </c>
      <c r="AO30" s="21" t="n">
        <f aca="false">IF((P30/(P30+Q30)*100)&lt;=Assumptions!$B$8,0,AN30*Assumptions!$B$4+INDEX('Scored Accounts'!$N$2:$N$301,MATCH($A30,'Scored Accounts'!$A$2:$A$301,0))*Assumptions!$B$5+INDEX('Scored Accounts'!$O$2:$O$301,MATCH($A30,'Scored Accounts'!$A$2:$A$301,0))*Assumptions!$B$6)</f>
        <v>92.5</v>
      </c>
      <c r="AP30" s="2" t="str">
        <f aca="false">IF(AO30&gt;=Assumptions!$B$9,"High",IF(AO30&gt;=Assumptions!$B$10,"Medium","Low"))</f>
        <v>High</v>
      </c>
      <c r="AQ30" s="10" t="b">
        <f aca="false">OR((E30&lt;=Assumptions!$B$8)&lt;&gt;((P30/(P30+Q30)*100)&lt;=Assumptions!$B$8),AM30&lt;&gt;AN30,G30&lt;&gt;AP30)</f>
        <v>1</v>
      </c>
      <c r="AR30" s="2" t="str">
        <f aca="false">IF(AP30&lt;&gt;"Low","Broker-Reliant",IF(B30="Account Managed","AM-Owned / Self-Serving","Self-Serve"))</f>
        <v>Broker-Reliant</v>
      </c>
      <c r="AS30" s="2" t="str">
        <f aca="false">IF(AR30="Broker-Reliant",IF(J30="Tail","5. Cost-to-Serve / Low-Touch",IF(OR(N30="Growing",N30="Stable"),"1. Migration Candidate",IF(N30="Declining","2. Protect / Retain First",IF(N30="Lapsed","3. Win-Back / Verify",IF(N30="H2 Active / No H1 GMV","4. Establish / Re-establish / Observe","UNASSIGNED"))))),IF(AP30="Low",IF(J30="Tail","9. Long-Tail Automated Nurture",IF(OR(N30="Growing",N30="Stable"),"6. Growth Opportunity",IF(N30="H2 Active / No H1 GMV","7. Onboard / Re-engage / Learn",IF(OR(N30="Declining",N30="Lapsed"),"8. Retention / Reactivation","UNASSIGNED")))),"UNASSIGNED"))</f>
        <v>1. Migration Candidate</v>
      </c>
      <c r="AT30" s="10" t="b">
        <f aca="false">AS30&lt;&gt;T30</f>
        <v>0</v>
      </c>
      <c r="AU30" s="2" t="str">
        <f aca="false">IF(NOT(U30),"Not Eligible",IF(OR(AQ30,AH30,AK30,NOT(AND(W30&gt;=Assumptions!$B$83,O30&gt;=Assumptions!$B$84))),"Manual Review","Ready"))</f>
        <v>Not Eligible</v>
      </c>
      <c r="AV30" s="2" t="str">
        <f aca="false">IF(AG30,"Key account - human sign-off required; ","")&amp;IF(AH30,"Borderline momentum; ","")&amp;IF(AK30,"February-sensitive ("&amp;N30&amp;" -&gt; "&amp;AJ30&amp;"); ","")&amp;IF(AL30="One-Off / Insufficient History — Verify","Lapsed on thin history - verify; ","")&amp;IF(AQ30,"Material broker % inconsistency (implied tier "&amp;AP30&amp;"); ","")&amp;IF(AT30,"Implied broker % would move segment to "&amp;AS30&amp;"; ","")</f>
        <v>Material broker % inconsistency (implied tier High); </v>
      </c>
      <c r="AW30" s="10" t="b">
        <f aca="false">AND(G30="Low",J30="Tail",I30&gt;=Assumptions!$B$64,O30&gt;=Assumptions!$B$65,OR(N30="Growing",N30="Stable",AND(N30="H2 Active / No H1 GMV",W30&gt;=2)),OR(R30&gt;=Assumptions!$B$66,S30&gt;=Assumptions!$B$67))</f>
        <v>0</v>
      </c>
    </row>
    <row r="31" customFormat="false" ht="15" hidden="false" customHeight="false" outlineLevel="0" collapsed="false">
      <c r="A31" s="2" t="s">
        <v>412</v>
      </c>
      <c r="B31" s="2" t="s">
        <v>1571</v>
      </c>
      <c r="C31" s="2" t="s">
        <v>1572</v>
      </c>
      <c r="D31" s="2" t="n">
        <v>48</v>
      </c>
      <c r="E31" s="2" t="n">
        <v>68</v>
      </c>
      <c r="F31" s="21" t="n">
        <f aca="false">INDEX('Scored Accounts'!$Q$2:$Q$301,MATCH($A31,'Scored Accounts'!$A$2:$A$301,0))</f>
        <v>87.5</v>
      </c>
      <c r="G31" s="2" t="str">
        <f aca="false">INDEX('Scored Accounts'!$R$2:$R$301,MATCH($A31,'Scored Accounts'!$A$2:$A$301,0))</f>
        <v>High</v>
      </c>
      <c r="H31" s="2" t="str">
        <f aca="false">IF(OR(G31="High",G31="Medium"),"Broker-Reliant",IF(AND(G31="Low",B31="Account Managed"),"AM-Owned / Self-Serving",IF(AND(G31="Low",B31="Self Serve"),"Self-Serve","UNASSIGNED")))</f>
        <v>Broker-Reliant</v>
      </c>
      <c r="I31" s="9" t="n">
        <v>4415</v>
      </c>
      <c r="J31" s="2" t="str">
        <f aca="false">IF(I31&gt;=Assumptions!$B$35,"Key",IF(I31&gt;=Assumptions!$B$34,"Core","Tail"))</f>
        <v>Core</v>
      </c>
      <c r="K31" s="9" t="n">
        <f aca="false">INDEX('Commercial View'!$R$2:$R$301,MATCH($A31,'Commercial View'!$A$2:$A$301,0))</f>
        <v>902</v>
      </c>
      <c r="L31" s="9" t="n">
        <f aca="false">INDEX('Commercial View'!$S$2:$S$301,MATCH($A31,'Commercial View'!$A$2:$A$301,0))</f>
        <v>3513</v>
      </c>
      <c r="M31" s="17" t="n">
        <f aca="false">INDEX('Commercial View'!$T$2:$T$301,MATCH($A31,'Commercial View'!$A$2:$A$301,0))</f>
        <v>2.89467849223947</v>
      </c>
      <c r="N31" s="2" t="str">
        <f aca="false">INDEX('Commercial View'!$U$2:$U$301,MATCH($A31,'Commercial View'!$A$2:$A$301,0))</f>
        <v>Growing</v>
      </c>
      <c r="O31" s="2" t="n">
        <v>5</v>
      </c>
      <c r="P31" s="2" t="n">
        <v>3</v>
      </c>
      <c r="Q31" s="2" t="n">
        <v>2</v>
      </c>
      <c r="R31" s="2" t="n">
        <v>2</v>
      </c>
      <c r="S31" s="2" t="n">
        <v>0</v>
      </c>
      <c r="T31" s="2" t="str">
        <f aca="false">IF(H31="Broker-Reliant",IF(J31="Tail","5. Cost-to-Serve / Low-Touch",IF(OR(N31="Growing",N31="Stable"),"1. Migration Candidate",IF(N31="Declining","2. Protect / Retain First",IF(N31="Lapsed","3. Win-Back / Verify",IF(N31="H2 Active / No H1 GMV","4. Establish / Re-establish / Observe","UNASSIGNED"))))),IF(G31="Low",IF(J31="Tail","9. Long-Tail Automated Nurture",IF(OR(N31="Growing",N31="Stable"),"6. Growth Opportunity",IF(N31="H2 Active / No H1 GMV","7. Onboard / Re-engage / Learn",IF(OR(N31="Declining",N31="Lapsed"),"8. Retention / Reactivation","UNASSIGNED")))),"UNASSIGNED"))</f>
        <v>1. Migration Candidate</v>
      </c>
      <c r="U31" s="10" t="b">
        <f aca="false">AND(T31="1. Migration Candidate",J31="Core",O31&gt;=Assumptions!$B$39,Q31&gt;=Assumptions!$B$40,NOT(Z31))</f>
        <v>1</v>
      </c>
      <c r="V31" s="2" t="n">
        <f aca="false">(AND(H31="Broker-Reliant",J31&lt;&gt;"Tail",OR(N31="Growing",N31="Stable")))*1+(AND(H31="Broker-Reliant",J31&lt;&gt;"Tail",N31="Declining"))*1+(AND(H31="Broker-Reliant",J31&lt;&gt;"Tail",N31="Lapsed"))*1+(AND(H31="Broker-Reliant",J31&lt;&gt;"Tail",N31="H2 Active / No H1 GMV"))*1+(AND(H31="Broker-Reliant",J31="Tail"))*1+(AND(G31="Low",J31&lt;&gt;"Tail",OR(N31="Growing",N31="Stable")))*1+(AND(G31="Low",J31&lt;&gt;"Tail",N31="H2 Active / No H1 GMV"))*1+(AND(G31="Low",J31&lt;&gt;"Tail",OR(N31="Declining",N31="Lapsed")))*1+(AND(G31="Low",J31="Tail"))*1</f>
        <v>1</v>
      </c>
      <c r="W31" s="2" t="n">
        <f aca="false">INDEX('Commercial View'!$V$2:$V$301,MATCH($A31,'Commercial View'!$A$2:$A$301,0))</f>
        <v>4</v>
      </c>
      <c r="X31" s="10" t="b">
        <f aca="false">O31&lt;=Assumptions!$B$30</f>
        <v>0</v>
      </c>
      <c r="Y31" s="10" t="b">
        <f aca="false">W31&lt;=1</f>
        <v>0</v>
      </c>
      <c r="Z31" s="10" t="b">
        <f aca="false">C31="Duplicate"</f>
        <v>0</v>
      </c>
      <c r="AA31" s="10" t="b">
        <f aca="false">C31=""</f>
        <v>0</v>
      </c>
      <c r="AB31" s="2" t="n">
        <f aca="false">IF(P31+Q31&gt;0,ROUND(P31/(P31+Q31)*100,0),"")</f>
        <v>60</v>
      </c>
      <c r="AC31" s="2" t="n">
        <f aca="false">IF(P31+Q31&gt;0,ROUND(E31-P31/(P31+Q31)*100,0),"")</f>
        <v>8</v>
      </c>
      <c r="AD31" s="10" t="b">
        <f aca="false">IF(AC31="",FALSE(),ABS(AC31)&gt;Assumptions!$B$41)</f>
        <v>0</v>
      </c>
      <c r="AE31" s="2" t="str">
        <f aca="false">IF(X31,"Low confidence (&lt;=2 orders); ","")&amp;IF(Y31,"Single-month history; ","")&amp;IF(Z31,"CRITICAL: Duplicate status; ","")&amp;IF(AA31,"Missing status; ","")&amp;IF(AD31,"Broker % vs counts gap "&amp;TEXT(AC31,"+0;-0")&amp;"pts; ","")</f>
        <v/>
      </c>
      <c r="AF31" s="2" t="str">
        <f aca="false">IF(AND(K31=0,L31&gt;0),IF(D31&lt;=Assumptions!$B$47,"New Customer","Returned Customer"),"Existing Customer")</f>
        <v>Existing Customer</v>
      </c>
      <c r="AG31" s="10" t="b">
        <f aca="false">AND(T31="1. Migration Candidate",J31="Key")</f>
        <v>0</v>
      </c>
      <c r="AH31" s="10" t="b">
        <f aca="false">IF(AND(K31&gt;0,L31&gt;0),OR(ABS(M31-Assumptions!$B$36)&lt;=Assumptions!$B$46,ABS(M31+Assumptions!$B$36)&lt;=Assumptions!$B$46),FALSE())</f>
        <v>0</v>
      </c>
      <c r="AI31" s="9" t="n">
        <f aca="false">INDEX('Commercial View'!$L$2:$L$301,MATCH($A31,'Commercial View'!$A$2:$A$301,0))+INDEX('Commercial View'!$M$2:$M$301,MATCH($A31,'Commercial View'!$A$2:$A$301,0))</f>
        <v>3513</v>
      </c>
      <c r="AJ31" s="2" t="str">
        <f aca="false">IF(AND(K31=0,AI31=0),"No activity ex-Feb",IF(AI31=0,"Lapsed",IF(K31=0,"H2 Active / No H1 GMV",IF((AI31/2)/(K31/3)-1&gt;=Assumptions!$B$36,"Growing",IF((AI31/2)/(K31/3)-1&lt;-Assumptions!$B$36,"Declining","Stable")))))</f>
        <v>Growing</v>
      </c>
      <c r="AK31" s="10" t="b">
        <f aca="false">IF(OR(N31="Growing",N31="Stable"),"Healthy",N31)&lt;&gt;IF(OR(AJ31="Growing",AJ31="Stable"),"Healthy",AJ31)</f>
        <v>0</v>
      </c>
      <c r="AL31" s="2" t="str">
        <f aca="false">IF(N31="Lapsed",IF(OR(O31&lt;=Assumptions!$B$48,W31&lt;=Assumptions!$B$49),"One-Off / Insufficient History — Verify","Established Buyer Lapsed"),"N/A")</f>
        <v>N/A</v>
      </c>
      <c r="AM31" s="2" t="n">
        <f aca="false">INDEX('Scored Accounts'!$M$2:$M$301,MATCH($A31,'Scored Accounts'!$A$2:$A$301,0))</f>
        <v>75</v>
      </c>
      <c r="AN31" s="2" t="n">
        <f aca="false">IF((P31/(P31+Q31)*100)&lt;=Assumptions!$B$13,0,IF((P31/(P31+Q31)*100)&lt;Assumptions!$B$14,25,IF((P31/(P31+Q31)*100)&lt;Assumptions!$B$15,50,IF((P31/(P31+Q31)*100)&lt;Assumptions!$B$16,75,100))))</f>
        <v>75</v>
      </c>
      <c r="AO31" s="21" t="n">
        <f aca="false">IF((P31/(P31+Q31)*100)&lt;=Assumptions!$B$8,0,AN31*Assumptions!$B$4+INDEX('Scored Accounts'!$N$2:$N$301,MATCH($A31,'Scored Accounts'!$A$2:$A$301,0))*Assumptions!$B$5+INDEX('Scored Accounts'!$O$2:$O$301,MATCH($A31,'Scored Accounts'!$A$2:$A$301,0))*Assumptions!$B$6)</f>
        <v>87.5</v>
      </c>
      <c r="AP31" s="2" t="str">
        <f aca="false">IF(AO31&gt;=Assumptions!$B$9,"High",IF(AO31&gt;=Assumptions!$B$10,"Medium","Low"))</f>
        <v>High</v>
      </c>
      <c r="AQ31" s="10" t="b">
        <f aca="false">OR((E31&lt;=Assumptions!$B$8)&lt;&gt;((P31/(P31+Q31)*100)&lt;=Assumptions!$B$8),AM31&lt;&gt;AN31,G31&lt;&gt;AP31)</f>
        <v>0</v>
      </c>
      <c r="AR31" s="2" t="str">
        <f aca="false">IF(AP31&lt;&gt;"Low","Broker-Reliant",IF(B31="Account Managed","AM-Owned / Self-Serving","Self-Serve"))</f>
        <v>Broker-Reliant</v>
      </c>
      <c r="AS31" s="2" t="str">
        <f aca="false">IF(AR31="Broker-Reliant",IF(J31="Tail","5. Cost-to-Serve / Low-Touch",IF(OR(N31="Growing",N31="Stable"),"1. Migration Candidate",IF(N31="Declining","2. Protect / Retain First",IF(N31="Lapsed","3. Win-Back / Verify",IF(N31="H2 Active / No H1 GMV","4. Establish / Re-establish / Observe","UNASSIGNED"))))),IF(AP31="Low",IF(J31="Tail","9. Long-Tail Automated Nurture",IF(OR(N31="Growing",N31="Stable"),"6. Growth Opportunity",IF(N31="H2 Active / No H1 GMV","7. Onboard / Re-engage / Learn",IF(OR(N31="Declining",N31="Lapsed"),"8. Retention / Reactivation","UNASSIGNED")))),"UNASSIGNED"))</f>
        <v>1. Migration Candidate</v>
      </c>
      <c r="AT31" s="10" t="b">
        <f aca="false">AS31&lt;&gt;T31</f>
        <v>0</v>
      </c>
      <c r="AU31" s="2" t="str">
        <f aca="false">IF(NOT(U31),"Not Eligible",IF(OR(AQ31,AH31,AK31,NOT(AND(W31&gt;=Assumptions!$B$83,O31&gt;=Assumptions!$B$84))),"Manual Review","Ready"))</f>
        <v>Ready</v>
      </c>
      <c r="AV31" s="2" t="str">
        <f aca="false">IF(AG31,"Key account - human sign-off required; ","")&amp;IF(AH31,"Borderline momentum; ","")&amp;IF(AK31,"February-sensitive ("&amp;N31&amp;" -&gt; "&amp;AJ31&amp;"); ","")&amp;IF(AL31="One-Off / Insufficient History — Verify","Lapsed on thin history - verify; ","")&amp;IF(AQ31,"Material broker % inconsistency (implied tier "&amp;AP31&amp;"); ","")&amp;IF(AT31,"Implied broker % would move segment to "&amp;AS31&amp;"; ","")</f>
        <v/>
      </c>
      <c r="AW31" s="10" t="b">
        <f aca="false">AND(G31="Low",J31="Tail",I31&gt;=Assumptions!$B$64,O31&gt;=Assumptions!$B$65,OR(N31="Growing",N31="Stable",AND(N31="H2 Active / No H1 GMV",W31&gt;=2)),OR(R31&gt;=Assumptions!$B$66,S31&gt;=Assumptions!$B$67))</f>
        <v>0</v>
      </c>
    </row>
    <row r="32" customFormat="false" ht="15" hidden="false" customHeight="false" outlineLevel="0" collapsed="false">
      <c r="A32" s="2" t="s">
        <v>416</v>
      </c>
      <c r="B32" s="2" t="s">
        <v>1571</v>
      </c>
      <c r="C32" s="2" t="s">
        <v>1572</v>
      </c>
      <c r="D32" s="2" t="n">
        <v>9</v>
      </c>
      <c r="E32" s="2" t="n">
        <v>79</v>
      </c>
      <c r="F32" s="21" t="n">
        <f aca="false">INDEX('Scored Accounts'!$Q$2:$Q$301,MATCH($A32,'Scored Accounts'!$A$2:$A$301,0))</f>
        <v>75</v>
      </c>
      <c r="G32" s="2" t="str">
        <f aca="false">INDEX('Scored Accounts'!$R$2:$R$301,MATCH($A32,'Scored Accounts'!$A$2:$A$301,0))</f>
        <v>High</v>
      </c>
      <c r="H32" s="2" t="str">
        <f aca="false">IF(OR(G32="High",G32="Medium"),"Broker-Reliant",IF(AND(G32="Low",B32="Account Managed"),"AM-Owned / Self-Serving",IF(AND(G32="Low",B32="Self Serve"),"Self-Serve","UNASSIGNED")))</f>
        <v>Broker-Reliant</v>
      </c>
      <c r="I32" s="9" t="n">
        <v>4372</v>
      </c>
      <c r="J32" s="2" t="str">
        <f aca="false">IF(I32&gt;=Assumptions!$B$35,"Key",IF(I32&gt;=Assumptions!$B$34,"Core","Tail"))</f>
        <v>Core</v>
      </c>
      <c r="K32" s="9" t="n">
        <f aca="false">INDEX('Commercial View'!$R$2:$R$301,MATCH($A32,'Commercial View'!$A$2:$A$301,0))</f>
        <v>1194</v>
      </c>
      <c r="L32" s="9" t="n">
        <f aca="false">INDEX('Commercial View'!$S$2:$S$301,MATCH($A32,'Commercial View'!$A$2:$A$301,0))</f>
        <v>3178</v>
      </c>
      <c r="M32" s="17" t="n">
        <f aca="false">INDEX('Commercial View'!$T$2:$T$301,MATCH($A32,'Commercial View'!$A$2:$A$301,0))</f>
        <v>1.66164154103853</v>
      </c>
      <c r="N32" s="2" t="str">
        <f aca="false">INDEX('Commercial View'!$U$2:$U$301,MATCH($A32,'Commercial View'!$A$2:$A$301,0))</f>
        <v>Growing</v>
      </c>
      <c r="O32" s="2" t="n">
        <v>8</v>
      </c>
      <c r="P32" s="2" t="n">
        <v>6</v>
      </c>
      <c r="Q32" s="2" t="n">
        <v>2</v>
      </c>
      <c r="R32" s="2" t="n">
        <v>5</v>
      </c>
      <c r="S32" s="2" t="n">
        <v>1</v>
      </c>
      <c r="T32" s="2" t="str">
        <f aca="false">IF(H32="Broker-Reliant",IF(J32="Tail","5. Cost-to-Serve / Low-Touch",IF(OR(N32="Growing",N32="Stable"),"1. Migration Candidate",IF(N32="Declining","2. Protect / Retain First",IF(N32="Lapsed","3. Win-Back / Verify",IF(N32="H2 Active / No H1 GMV","4. Establish / Re-establish / Observe","UNASSIGNED"))))),IF(G32="Low",IF(J32="Tail","9. Long-Tail Automated Nurture",IF(OR(N32="Growing",N32="Stable"),"6. Growth Opportunity",IF(N32="H2 Active / No H1 GMV","7. Onboard / Re-engage / Learn",IF(OR(N32="Declining",N32="Lapsed"),"8. Retention / Reactivation","UNASSIGNED")))),"UNASSIGNED"))</f>
        <v>1. Migration Candidate</v>
      </c>
      <c r="U32" s="10" t="b">
        <f aca="false">AND(T32="1. Migration Candidate",J32="Core",O32&gt;=Assumptions!$B$39,Q32&gt;=Assumptions!$B$40,NOT(Z32))</f>
        <v>1</v>
      </c>
      <c r="V32" s="2" t="n">
        <f aca="false">(AND(H32="Broker-Reliant",J32&lt;&gt;"Tail",OR(N32="Growing",N32="Stable")))*1+(AND(H32="Broker-Reliant",J32&lt;&gt;"Tail",N32="Declining"))*1+(AND(H32="Broker-Reliant",J32&lt;&gt;"Tail",N32="Lapsed"))*1+(AND(H32="Broker-Reliant",J32&lt;&gt;"Tail",N32="H2 Active / No H1 GMV"))*1+(AND(H32="Broker-Reliant",J32="Tail"))*1+(AND(G32="Low",J32&lt;&gt;"Tail",OR(N32="Growing",N32="Stable")))*1+(AND(G32="Low",J32&lt;&gt;"Tail",N32="H2 Active / No H1 GMV"))*1+(AND(G32="Low",J32&lt;&gt;"Tail",OR(N32="Declining",N32="Lapsed")))*1+(AND(G32="Low",J32="Tail"))*1</f>
        <v>1</v>
      </c>
      <c r="W32" s="2" t="n">
        <f aca="false">INDEX('Commercial View'!$V$2:$V$301,MATCH($A32,'Commercial View'!$A$2:$A$301,0))</f>
        <v>3</v>
      </c>
      <c r="X32" s="10" t="b">
        <f aca="false">O32&lt;=Assumptions!$B$30</f>
        <v>0</v>
      </c>
      <c r="Y32" s="10" t="b">
        <f aca="false">W32&lt;=1</f>
        <v>0</v>
      </c>
      <c r="Z32" s="10" t="b">
        <f aca="false">C32="Duplicate"</f>
        <v>0</v>
      </c>
      <c r="AA32" s="10" t="b">
        <f aca="false">C32=""</f>
        <v>0</v>
      </c>
      <c r="AB32" s="2" t="n">
        <f aca="false">IF(P32+Q32&gt;0,ROUND(P32/(P32+Q32)*100,0),"")</f>
        <v>75</v>
      </c>
      <c r="AC32" s="2" t="n">
        <f aca="false">IF(P32+Q32&gt;0,ROUND(E32-P32/(P32+Q32)*100,0),"")</f>
        <v>4</v>
      </c>
      <c r="AD32" s="10" t="b">
        <f aca="false">IF(AC32="",FALSE(),ABS(AC32)&gt;Assumptions!$B$41)</f>
        <v>0</v>
      </c>
      <c r="AE32" s="2" t="str">
        <f aca="false">IF(X32,"Low confidence (&lt;=2 orders); ","")&amp;IF(Y32,"Single-month history; ","")&amp;IF(Z32,"CRITICAL: Duplicate status; ","")&amp;IF(AA32,"Missing status; ","")&amp;IF(AD32,"Broker % vs counts gap "&amp;TEXT(AC32,"+0;-0")&amp;"pts; ","")</f>
        <v/>
      </c>
      <c r="AF32" s="2" t="str">
        <f aca="false">IF(AND(K32=0,L32&gt;0),IF(D32&lt;=Assumptions!$B$47,"New Customer","Returned Customer"),"Existing Customer")</f>
        <v>Existing Customer</v>
      </c>
      <c r="AG32" s="10" t="b">
        <f aca="false">AND(T32="1. Migration Candidate",J32="Key")</f>
        <v>0</v>
      </c>
      <c r="AH32" s="10" t="b">
        <f aca="false">IF(AND(K32&gt;0,L32&gt;0),OR(ABS(M32-Assumptions!$B$36)&lt;=Assumptions!$B$46,ABS(M32+Assumptions!$B$36)&lt;=Assumptions!$B$46),FALSE())</f>
        <v>0</v>
      </c>
      <c r="AI32" s="9" t="n">
        <f aca="false">INDEX('Commercial View'!$L$2:$L$301,MATCH($A32,'Commercial View'!$A$2:$A$301,0))+INDEX('Commercial View'!$M$2:$M$301,MATCH($A32,'Commercial View'!$A$2:$A$301,0))</f>
        <v>1153</v>
      </c>
      <c r="AJ32" s="2" t="str">
        <f aca="false">IF(AND(K32=0,AI32=0),"No activity ex-Feb",IF(AI32=0,"Lapsed",IF(K32=0,"H2 Active / No H1 GMV",IF((AI32/2)/(K32/3)-1&gt;=Assumptions!$B$36,"Growing",IF((AI32/2)/(K32/3)-1&lt;-Assumptions!$B$36,"Declining","Stable")))))</f>
        <v>Growing</v>
      </c>
      <c r="AK32" s="10" t="b">
        <f aca="false">IF(OR(N32="Growing",N32="Stable"),"Healthy",N32)&lt;&gt;IF(OR(AJ32="Growing",AJ32="Stable"),"Healthy",AJ32)</f>
        <v>0</v>
      </c>
      <c r="AL32" s="2" t="str">
        <f aca="false">IF(N32="Lapsed",IF(OR(O32&lt;=Assumptions!$B$48,W32&lt;=Assumptions!$B$49),"One-Off / Insufficient History — Verify","Established Buyer Lapsed"),"N/A")</f>
        <v>N/A</v>
      </c>
      <c r="AM32" s="2" t="n">
        <f aca="false">INDEX('Scored Accounts'!$M$2:$M$301,MATCH($A32,'Scored Accounts'!$A$2:$A$301,0))</f>
        <v>75</v>
      </c>
      <c r="AN32" s="2" t="n">
        <f aca="false">IF((P32/(P32+Q32)*100)&lt;=Assumptions!$B$13,0,IF((P32/(P32+Q32)*100)&lt;Assumptions!$B$14,25,IF((P32/(P32+Q32)*100)&lt;Assumptions!$B$15,50,IF((P32/(P32+Q32)*100)&lt;Assumptions!$B$16,75,100))))</f>
        <v>75</v>
      </c>
      <c r="AO32" s="21" t="n">
        <f aca="false">IF((P32/(P32+Q32)*100)&lt;=Assumptions!$B$8,0,AN32*Assumptions!$B$4+INDEX('Scored Accounts'!$N$2:$N$301,MATCH($A32,'Scored Accounts'!$A$2:$A$301,0))*Assumptions!$B$5+INDEX('Scored Accounts'!$O$2:$O$301,MATCH($A32,'Scored Accounts'!$A$2:$A$301,0))*Assumptions!$B$6)</f>
        <v>75</v>
      </c>
      <c r="AP32" s="2" t="str">
        <f aca="false">IF(AO32&gt;=Assumptions!$B$9,"High",IF(AO32&gt;=Assumptions!$B$10,"Medium","Low"))</f>
        <v>High</v>
      </c>
      <c r="AQ32" s="10" t="b">
        <f aca="false">OR((E32&lt;=Assumptions!$B$8)&lt;&gt;((P32/(P32+Q32)*100)&lt;=Assumptions!$B$8),AM32&lt;&gt;AN32,G32&lt;&gt;AP32)</f>
        <v>0</v>
      </c>
      <c r="AR32" s="2" t="str">
        <f aca="false">IF(AP32&lt;&gt;"Low","Broker-Reliant",IF(B32="Account Managed","AM-Owned / Self-Serving","Self-Serve"))</f>
        <v>Broker-Reliant</v>
      </c>
      <c r="AS32" s="2" t="str">
        <f aca="false">IF(AR32="Broker-Reliant",IF(J32="Tail","5. Cost-to-Serve / Low-Touch",IF(OR(N32="Growing",N32="Stable"),"1. Migration Candidate",IF(N32="Declining","2. Protect / Retain First",IF(N32="Lapsed","3. Win-Back / Verify",IF(N32="H2 Active / No H1 GMV","4. Establish / Re-establish / Observe","UNASSIGNED"))))),IF(AP32="Low",IF(J32="Tail","9. Long-Tail Automated Nurture",IF(OR(N32="Growing",N32="Stable"),"6. Growth Opportunity",IF(N32="H2 Active / No H1 GMV","7. Onboard / Re-engage / Learn",IF(OR(N32="Declining",N32="Lapsed"),"8. Retention / Reactivation","UNASSIGNED")))),"UNASSIGNED"))</f>
        <v>1. Migration Candidate</v>
      </c>
      <c r="AT32" s="10" t="b">
        <f aca="false">AS32&lt;&gt;T32</f>
        <v>0</v>
      </c>
      <c r="AU32" s="2" t="str">
        <f aca="false">IF(NOT(U32),"Not Eligible",IF(OR(AQ32,AH32,AK32,NOT(AND(W32&gt;=Assumptions!$B$83,O32&gt;=Assumptions!$B$84))),"Manual Review","Ready"))</f>
        <v>Ready</v>
      </c>
      <c r="AV32" s="2" t="str">
        <f aca="false">IF(AG32,"Key account - human sign-off required; ","")&amp;IF(AH32,"Borderline momentum; ","")&amp;IF(AK32,"February-sensitive ("&amp;N32&amp;" -&gt; "&amp;AJ32&amp;"); ","")&amp;IF(AL32="One-Off / Insufficient History — Verify","Lapsed on thin history - verify; ","")&amp;IF(AQ32,"Material broker % inconsistency (implied tier "&amp;AP32&amp;"); ","")&amp;IF(AT32,"Implied broker % would move segment to "&amp;AS32&amp;"; ","")</f>
        <v/>
      </c>
      <c r="AW32" s="10" t="b">
        <f aca="false">AND(G32="Low",J32="Tail",I32&gt;=Assumptions!$B$64,O32&gt;=Assumptions!$B$65,OR(N32="Growing",N32="Stable",AND(N32="H2 Active / No H1 GMV",W32&gt;=2)),OR(R32&gt;=Assumptions!$B$66,S32&gt;=Assumptions!$B$67))</f>
        <v>0</v>
      </c>
    </row>
    <row r="33" customFormat="false" ht="15" hidden="false" customHeight="false" outlineLevel="0" collapsed="false">
      <c r="A33" s="2" t="s">
        <v>229</v>
      </c>
      <c r="B33" s="2" t="s">
        <v>1571</v>
      </c>
      <c r="C33" s="2" t="s">
        <v>1572</v>
      </c>
      <c r="D33" s="2" t="n">
        <v>12</v>
      </c>
      <c r="E33" s="2" t="n">
        <v>80</v>
      </c>
      <c r="F33" s="21" t="n">
        <f aca="false">INDEX('Scored Accounts'!$Q$2:$Q$301,MATCH($A33,'Scored Accounts'!$A$2:$A$301,0))</f>
        <v>95</v>
      </c>
      <c r="G33" s="2" t="str">
        <f aca="false">INDEX('Scored Accounts'!$R$2:$R$301,MATCH($A33,'Scored Accounts'!$A$2:$A$301,0))</f>
        <v>High</v>
      </c>
      <c r="H33" s="2" t="str">
        <f aca="false">IF(OR(G33="High",G33="Medium"),"Broker-Reliant",IF(AND(G33="Low",B33="Account Managed"),"AM-Owned / Self-Serving",IF(AND(G33="Low",B33="Self Serve"),"Self-Serve","UNASSIGNED")))</f>
        <v>Broker-Reliant</v>
      </c>
      <c r="I33" s="9" t="n">
        <v>4179</v>
      </c>
      <c r="J33" s="2" t="str">
        <f aca="false">IF(I33&gt;=Assumptions!$B$35,"Key",IF(I33&gt;=Assumptions!$B$34,"Core","Tail"))</f>
        <v>Core</v>
      </c>
      <c r="K33" s="9" t="n">
        <f aca="false">INDEX('Commercial View'!$R$2:$R$301,MATCH($A33,'Commercial View'!$A$2:$A$301,0))</f>
        <v>4179</v>
      </c>
      <c r="L33" s="9" t="n">
        <f aca="false">INDEX('Commercial View'!$S$2:$S$301,MATCH($A33,'Commercial View'!$A$2:$A$301,0))</f>
        <v>0</v>
      </c>
      <c r="M33" s="17" t="n">
        <f aca="false">INDEX('Commercial View'!$T$2:$T$301,MATCH($A33,'Commercial View'!$A$2:$A$301,0))</f>
        <v>-1</v>
      </c>
      <c r="N33" s="2" t="str">
        <f aca="false">INDEX('Commercial View'!$U$2:$U$301,MATCH($A33,'Commercial View'!$A$2:$A$301,0))</f>
        <v>Lapsed</v>
      </c>
      <c r="O33" s="2" t="n">
        <v>2</v>
      </c>
      <c r="P33" s="2" t="n">
        <v>2</v>
      </c>
      <c r="Q33" s="2" t="n">
        <v>0</v>
      </c>
      <c r="R33" s="2" t="n">
        <v>1</v>
      </c>
      <c r="S33" s="2" t="n">
        <v>1</v>
      </c>
      <c r="T33" s="2" t="str">
        <f aca="false">IF(H33="Broker-Reliant",IF(J33="Tail","5. Cost-to-Serve / Low-Touch",IF(OR(N33="Growing",N33="Stable"),"1. Migration Candidate",IF(N33="Declining","2. Protect / Retain First",IF(N33="Lapsed","3. Win-Back / Verify",IF(N33="H2 Active / No H1 GMV","4. Establish / Re-establish / Observe","UNASSIGNED"))))),IF(G33="Low",IF(J33="Tail","9. Long-Tail Automated Nurture",IF(OR(N33="Growing",N33="Stable"),"6. Growth Opportunity",IF(N33="H2 Active / No H1 GMV","7. Onboard / Re-engage / Learn",IF(OR(N33="Declining",N33="Lapsed"),"8. Retention / Reactivation","UNASSIGNED")))),"UNASSIGNED"))</f>
        <v>3. Win-Back / Verify</v>
      </c>
      <c r="U33" s="10" t="b">
        <f aca="false">AND(T33="1. Migration Candidate",J33="Core",O33&gt;=Assumptions!$B$39,Q33&gt;=Assumptions!$B$40,NOT(Z33))</f>
        <v>0</v>
      </c>
      <c r="V33" s="2" t="n">
        <f aca="false">(AND(H33="Broker-Reliant",J33&lt;&gt;"Tail",OR(N33="Growing",N33="Stable")))*1+(AND(H33="Broker-Reliant",J33&lt;&gt;"Tail",N33="Declining"))*1+(AND(H33="Broker-Reliant",J33&lt;&gt;"Tail",N33="Lapsed"))*1+(AND(H33="Broker-Reliant",J33&lt;&gt;"Tail",N33="H2 Active / No H1 GMV"))*1+(AND(H33="Broker-Reliant",J33="Tail"))*1+(AND(G33="Low",J33&lt;&gt;"Tail",OR(N33="Growing",N33="Stable")))*1+(AND(G33="Low",J33&lt;&gt;"Tail",N33="H2 Active / No H1 GMV"))*1+(AND(G33="Low",J33&lt;&gt;"Tail",OR(N33="Declining",N33="Lapsed")))*1+(AND(G33="Low",J33="Tail"))*1</f>
        <v>1</v>
      </c>
      <c r="W33" s="2" t="n">
        <f aca="false">INDEX('Commercial View'!$V$2:$V$301,MATCH($A33,'Commercial View'!$A$2:$A$301,0))</f>
        <v>2</v>
      </c>
      <c r="X33" s="10" t="b">
        <f aca="false">O33&lt;=Assumptions!$B$30</f>
        <v>1</v>
      </c>
      <c r="Y33" s="10" t="b">
        <f aca="false">W33&lt;=1</f>
        <v>0</v>
      </c>
      <c r="Z33" s="10" t="b">
        <f aca="false">C33="Duplicate"</f>
        <v>0</v>
      </c>
      <c r="AA33" s="10" t="b">
        <f aca="false">C33=""</f>
        <v>0</v>
      </c>
      <c r="AB33" s="2" t="n">
        <f aca="false">IF(P33+Q33&gt;0,ROUND(P33/(P33+Q33)*100,0),"")</f>
        <v>100</v>
      </c>
      <c r="AC33" s="2" t="n">
        <f aca="false">IF(P33+Q33&gt;0,ROUND(E33-P33/(P33+Q33)*100,0),"")</f>
        <v>-20</v>
      </c>
      <c r="AD33" s="10" t="b">
        <f aca="false">IF(AC33="",FALSE(),ABS(AC33)&gt;Assumptions!$B$41)</f>
        <v>1</v>
      </c>
      <c r="AE33" s="2" t="str">
        <f aca="false">IF(X33,"Low confidence (&lt;=2 orders); ","")&amp;IF(Y33,"Single-month history; ","")&amp;IF(Z33,"CRITICAL: Duplicate status; ","")&amp;IF(AA33,"Missing status; ","")&amp;IF(AD33,"Broker % vs counts gap "&amp;TEXT(AC33,"+0;-0")&amp;"pts; ","")</f>
        <v>Low confidence (&lt;=2 orders); Broker % vs counts gap -20pts; </v>
      </c>
      <c r="AF33" s="2" t="str">
        <f aca="false">IF(AND(K33=0,L33&gt;0),IF(D33&lt;=Assumptions!$B$47,"New Customer","Returned Customer"),"Existing Customer")</f>
        <v>Existing Customer</v>
      </c>
      <c r="AG33" s="10" t="b">
        <f aca="false">AND(T33="1. Migration Candidate",J33="Key")</f>
        <v>0</v>
      </c>
      <c r="AH33" s="10" t="b">
        <f aca="false">IF(AND(K33&gt;0,L33&gt;0),OR(ABS(M33-Assumptions!$B$36)&lt;=Assumptions!$B$46,ABS(M33+Assumptions!$B$36)&lt;=Assumptions!$B$46),FALSE())</f>
        <v>0</v>
      </c>
      <c r="AI33" s="9" t="n">
        <f aca="false">INDEX('Commercial View'!$L$2:$L$301,MATCH($A33,'Commercial View'!$A$2:$A$301,0))+INDEX('Commercial View'!$M$2:$M$301,MATCH($A33,'Commercial View'!$A$2:$A$301,0))</f>
        <v>0</v>
      </c>
      <c r="AJ33" s="2" t="str">
        <f aca="false">IF(AND(K33=0,AI33=0),"No activity ex-Feb",IF(AI33=0,"Lapsed",IF(K33=0,"H2 Active / No H1 GMV",IF((AI33/2)/(K33/3)-1&gt;=Assumptions!$B$36,"Growing",IF((AI33/2)/(K33/3)-1&lt;-Assumptions!$B$36,"Declining","Stable")))))</f>
        <v>Lapsed</v>
      </c>
      <c r="AK33" s="10" t="b">
        <f aca="false">IF(OR(N33="Growing",N33="Stable"),"Healthy",N33)&lt;&gt;IF(OR(AJ33="Growing",AJ33="Stable"),"Healthy",AJ33)</f>
        <v>0</v>
      </c>
      <c r="AL33" s="2" t="str">
        <f aca="false">IF(N33="Lapsed",IF(OR(O33&lt;=Assumptions!$B$48,W33&lt;=Assumptions!$B$49),"One-Off / Insufficient History — Verify","Established Buyer Lapsed"),"N/A")</f>
        <v>One-Off / Insufficient History — Verify</v>
      </c>
      <c r="AM33" s="2" t="n">
        <f aca="false">INDEX('Scored Accounts'!$M$2:$M$301,MATCH($A33,'Scored Accounts'!$A$2:$A$301,0))</f>
        <v>100</v>
      </c>
      <c r="AN33" s="2" t="n">
        <f aca="false">IF((P33/(P33+Q33)*100)&lt;=Assumptions!$B$13,0,IF((P33/(P33+Q33)*100)&lt;Assumptions!$B$14,25,IF((P33/(P33+Q33)*100)&lt;Assumptions!$B$15,50,IF((P33/(P33+Q33)*100)&lt;Assumptions!$B$16,75,100))))</f>
        <v>100</v>
      </c>
      <c r="AO33" s="21" t="n">
        <f aca="false">IF((P33/(P33+Q33)*100)&lt;=Assumptions!$B$8,0,AN33*Assumptions!$B$4+INDEX('Scored Accounts'!$N$2:$N$301,MATCH($A33,'Scored Accounts'!$A$2:$A$301,0))*Assumptions!$B$5+INDEX('Scored Accounts'!$O$2:$O$301,MATCH($A33,'Scored Accounts'!$A$2:$A$301,0))*Assumptions!$B$6)</f>
        <v>95</v>
      </c>
      <c r="AP33" s="2" t="str">
        <f aca="false">IF(AO33&gt;=Assumptions!$B$9,"High",IF(AO33&gt;=Assumptions!$B$10,"Medium","Low"))</f>
        <v>High</v>
      </c>
      <c r="AQ33" s="10" t="b">
        <f aca="false">OR((E33&lt;=Assumptions!$B$8)&lt;&gt;((P33/(P33+Q33)*100)&lt;=Assumptions!$B$8),AM33&lt;&gt;AN33,G33&lt;&gt;AP33)</f>
        <v>0</v>
      </c>
      <c r="AR33" s="2" t="str">
        <f aca="false">IF(AP33&lt;&gt;"Low","Broker-Reliant",IF(B33="Account Managed","AM-Owned / Self-Serving","Self-Serve"))</f>
        <v>Broker-Reliant</v>
      </c>
      <c r="AS33" s="2" t="str">
        <f aca="false">IF(AR33="Broker-Reliant",IF(J33="Tail","5. Cost-to-Serve / Low-Touch",IF(OR(N33="Growing",N33="Stable"),"1. Migration Candidate",IF(N33="Declining","2. Protect / Retain First",IF(N33="Lapsed","3. Win-Back / Verify",IF(N33="H2 Active / No H1 GMV","4. Establish / Re-establish / Observe","UNASSIGNED"))))),IF(AP33="Low",IF(J33="Tail","9. Long-Tail Automated Nurture",IF(OR(N33="Growing",N33="Stable"),"6. Growth Opportunity",IF(N33="H2 Active / No H1 GMV","7. Onboard / Re-engage / Learn",IF(OR(N33="Declining",N33="Lapsed"),"8. Retention / Reactivation","UNASSIGNED")))),"UNASSIGNED"))</f>
        <v>3. Win-Back / Verify</v>
      </c>
      <c r="AT33" s="10" t="b">
        <f aca="false">AS33&lt;&gt;T33</f>
        <v>0</v>
      </c>
      <c r="AU33" s="2" t="str">
        <f aca="false">IF(NOT(U33),"Not Eligible",IF(OR(AQ33,AH33,AK33,NOT(AND(W33&gt;=Assumptions!$B$83,O33&gt;=Assumptions!$B$84))),"Manual Review","Ready"))</f>
        <v>Not Eligible</v>
      </c>
      <c r="AV33" s="2" t="str">
        <f aca="false">IF(AG33,"Key account - human sign-off required; ","")&amp;IF(AH33,"Borderline momentum; ","")&amp;IF(AK33,"February-sensitive ("&amp;N33&amp;" -&gt; "&amp;AJ33&amp;"); ","")&amp;IF(AL33="One-Off / Insufficient History — Verify","Lapsed on thin history - verify; ","")&amp;IF(AQ33,"Material broker % inconsistency (implied tier "&amp;AP33&amp;"); ","")&amp;IF(AT33,"Implied broker % would move segment to "&amp;AS33&amp;"; ","")</f>
        <v>Lapsed on thin history - verify; </v>
      </c>
      <c r="AW33" s="10" t="b">
        <f aca="false">AND(G33="Low",J33="Tail",I33&gt;=Assumptions!$B$64,O33&gt;=Assumptions!$B$65,OR(N33="Growing",N33="Stable",AND(N33="H2 Active / No H1 GMV",W33&gt;=2)),OR(R33&gt;=Assumptions!$B$66,S33&gt;=Assumptions!$B$67))</f>
        <v>0</v>
      </c>
    </row>
    <row r="34" customFormat="false" ht="15" hidden="false" customHeight="false" outlineLevel="0" collapsed="false">
      <c r="A34" s="2" t="s">
        <v>419</v>
      </c>
      <c r="B34" s="2" t="s">
        <v>1571</v>
      </c>
      <c r="C34" s="2" t="s">
        <v>1572</v>
      </c>
      <c r="D34" s="2" t="n">
        <v>7</v>
      </c>
      <c r="E34" s="2" t="n">
        <v>54</v>
      </c>
      <c r="F34" s="21" t="n">
        <f aca="false">INDEX('Scored Accounts'!$Q$2:$Q$301,MATCH($A34,'Scored Accounts'!$A$2:$A$301,0))</f>
        <v>65</v>
      </c>
      <c r="G34" s="2" t="str">
        <f aca="false">INDEX('Scored Accounts'!$R$2:$R$301,MATCH($A34,'Scored Accounts'!$A$2:$A$301,0))</f>
        <v>Medium</v>
      </c>
      <c r="H34" s="2" t="str">
        <f aca="false">IF(OR(G34="High",G34="Medium"),"Broker-Reliant",IF(AND(G34="Low",B34="Account Managed"),"AM-Owned / Self-Serving",IF(AND(G34="Low",B34="Self Serve"),"Self-Serve","UNASSIGNED")))</f>
        <v>Broker-Reliant</v>
      </c>
      <c r="I34" s="9" t="n">
        <v>3925</v>
      </c>
      <c r="J34" s="2" t="str">
        <f aca="false">IF(I34&gt;=Assumptions!$B$35,"Key",IF(I34&gt;=Assumptions!$B$34,"Core","Tail"))</f>
        <v>Core</v>
      </c>
      <c r="K34" s="9" t="n">
        <f aca="false">INDEX('Commercial View'!$R$2:$R$301,MATCH($A34,'Commercial View'!$A$2:$A$301,0))</f>
        <v>2126</v>
      </c>
      <c r="L34" s="9" t="n">
        <f aca="false">INDEX('Commercial View'!$S$2:$S$301,MATCH($A34,'Commercial View'!$A$2:$A$301,0))</f>
        <v>1799</v>
      </c>
      <c r="M34" s="17" t="n">
        <f aca="false">INDEX('Commercial View'!$T$2:$T$301,MATCH($A34,'Commercial View'!$A$2:$A$301,0))</f>
        <v>-0.153809971777987</v>
      </c>
      <c r="N34" s="2" t="str">
        <f aca="false">INDEX('Commercial View'!$U$2:$U$301,MATCH($A34,'Commercial View'!$A$2:$A$301,0))</f>
        <v>Stable</v>
      </c>
      <c r="O34" s="2" t="n">
        <v>8</v>
      </c>
      <c r="P34" s="2" t="n">
        <v>4</v>
      </c>
      <c r="Q34" s="2" t="n">
        <v>4</v>
      </c>
      <c r="R34" s="2" t="n">
        <v>2</v>
      </c>
      <c r="S34" s="2" t="n">
        <v>2</v>
      </c>
      <c r="T34" s="2" t="str">
        <f aca="false">IF(H34="Broker-Reliant",IF(J34="Tail","5. Cost-to-Serve / Low-Touch",IF(OR(N34="Growing",N34="Stable"),"1. Migration Candidate",IF(N34="Declining","2. Protect / Retain First",IF(N34="Lapsed","3. Win-Back / Verify",IF(N34="H2 Active / No H1 GMV","4. Establish / Re-establish / Observe","UNASSIGNED"))))),IF(G34="Low",IF(J34="Tail","9. Long-Tail Automated Nurture",IF(OR(N34="Growing",N34="Stable"),"6. Growth Opportunity",IF(N34="H2 Active / No H1 GMV","7. Onboard / Re-engage / Learn",IF(OR(N34="Declining",N34="Lapsed"),"8. Retention / Reactivation","UNASSIGNED")))),"UNASSIGNED"))</f>
        <v>1. Migration Candidate</v>
      </c>
      <c r="U34" s="10" t="b">
        <f aca="false">AND(T34="1. Migration Candidate",J34="Core",O34&gt;=Assumptions!$B$39,Q34&gt;=Assumptions!$B$40,NOT(Z34))</f>
        <v>1</v>
      </c>
      <c r="V34" s="2" t="n">
        <f aca="false">(AND(H34="Broker-Reliant",J34&lt;&gt;"Tail",OR(N34="Growing",N34="Stable")))*1+(AND(H34="Broker-Reliant",J34&lt;&gt;"Tail",N34="Declining"))*1+(AND(H34="Broker-Reliant",J34&lt;&gt;"Tail",N34="Lapsed"))*1+(AND(H34="Broker-Reliant",J34&lt;&gt;"Tail",N34="H2 Active / No H1 GMV"))*1+(AND(H34="Broker-Reliant",J34="Tail"))*1+(AND(G34="Low",J34&lt;&gt;"Tail",OR(N34="Growing",N34="Stable")))*1+(AND(G34="Low",J34&lt;&gt;"Tail",N34="H2 Active / No H1 GMV"))*1+(AND(G34="Low",J34&lt;&gt;"Tail",OR(N34="Declining",N34="Lapsed")))*1+(AND(G34="Low",J34="Tail"))*1</f>
        <v>1</v>
      </c>
      <c r="W34" s="2" t="n">
        <f aca="false">INDEX('Commercial View'!$V$2:$V$301,MATCH($A34,'Commercial View'!$A$2:$A$301,0))</f>
        <v>5</v>
      </c>
      <c r="X34" s="10" t="b">
        <f aca="false">O34&lt;=Assumptions!$B$30</f>
        <v>0</v>
      </c>
      <c r="Y34" s="10" t="b">
        <f aca="false">W34&lt;=1</f>
        <v>0</v>
      </c>
      <c r="Z34" s="10" t="b">
        <f aca="false">C34="Duplicate"</f>
        <v>0</v>
      </c>
      <c r="AA34" s="10" t="b">
        <f aca="false">C34=""</f>
        <v>0</v>
      </c>
      <c r="AB34" s="2" t="n">
        <f aca="false">IF(P34+Q34&gt;0,ROUND(P34/(P34+Q34)*100,0),"")</f>
        <v>50</v>
      </c>
      <c r="AC34" s="2" t="n">
        <f aca="false">IF(P34+Q34&gt;0,ROUND(E34-P34/(P34+Q34)*100,0),"")</f>
        <v>4</v>
      </c>
      <c r="AD34" s="10" t="b">
        <f aca="false">IF(AC34="",FALSE(),ABS(AC34)&gt;Assumptions!$B$41)</f>
        <v>0</v>
      </c>
      <c r="AE34" s="2" t="str">
        <f aca="false">IF(X34,"Low confidence (&lt;=2 orders); ","")&amp;IF(Y34,"Single-month history; ","")&amp;IF(Z34,"CRITICAL: Duplicate status; ","")&amp;IF(AA34,"Missing status; ","")&amp;IF(AD34,"Broker % vs counts gap "&amp;TEXT(AC34,"+0;-0")&amp;"pts; ","")</f>
        <v/>
      </c>
      <c r="AF34" s="2" t="str">
        <f aca="false">IF(AND(K34=0,L34&gt;0),IF(D34&lt;=Assumptions!$B$47,"New Customer","Returned Customer"),"Existing Customer")</f>
        <v>Existing Customer</v>
      </c>
      <c r="AG34" s="10" t="b">
        <f aca="false">AND(T34="1. Migration Candidate",J34="Key")</f>
        <v>0</v>
      </c>
      <c r="AH34" s="10" t="b">
        <f aca="false">IF(AND(K34&gt;0,L34&gt;0),OR(ABS(M34-Assumptions!$B$36)&lt;=Assumptions!$B$46,ABS(M34+Assumptions!$B$36)&lt;=Assumptions!$B$46),FALSE())</f>
        <v>1</v>
      </c>
      <c r="AI34" s="9" t="n">
        <f aca="false">INDEX('Commercial View'!$L$2:$L$301,MATCH($A34,'Commercial View'!$A$2:$A$301,0))+INDEX('Commercial View'!$M$2:$M$301,MATCH($A34,'Commercial View'!$A$2:$A$301,0))</f>
        <v>1185</v>
      </c>
      <c r="AJ34" s="2" t="str">
        <f aca="false">IF(AND(K34=0,AI34=0),"No activity ex-Feb",IF(AI34=0,"Lapsed",IF(K34=0,"H2 Active / No H1 GMV",IF((AI34/2)/(K34/3)-1&gt;=Assumptions!$B$36,"Growing",IF((AI34/2)/(K34/3)-1&lt;-Assumptions!$B$36,"Declining","Stable")))))</f>
        <v>Stable</v>
      </c>
      <c r="AK34" s="10" t="b">
        <f aca="false">IF(OR(N34="Growing",N34="Stable"),"Healthy",N34)&lt;&gt;IF(OR(AJ34="Growing",AJ34="Stable"),"Healthy",AJ34)</f>
        <v>0</v>
      </c>
      <c r="AL34" s="2" t="str">
        <f aca="false">IF(N34="Lapsed",IF(OR(O34&lt;=Assumptions!$B$48,W34&lt;=Assumptions!$B$49),"One-Off / Insufficient History — Verify","Established Buyer Lapsed"),"N/A")</f>
        <v>N/A</v>
      </c>
      <c r="AM34" s="2" t="n">
        <f aca="false">INDEX('Scored Accounts'!$M$2:$M$301,MATCH($A34,'Scored Accounts'!$A$2:$A$301,0))</f>
        <v>50</v>
      </c>
      <c r="AN34" s="2" t="n">
        <f aca="false">IF((P34/(P34+Q34)*100)&lt;=Assumptions!$B$13,0,IF((P34/(P34+Q34)*100)&lt;Assumptions!$B$14,25,IF((P34/(P34+Q34)*100)&lt;Assumptions!$B$15,50,IF((P34/(P34+Q34)*100)&lt;Assumptions!$B$16,75,100))))</f>
        <v>50</v>
      </c>
      <c r="AO34" s="21" t="n">
        <f aca="false">IF((P34/(P34+Q34)*100)&lt;=Assumptions!$B$8,0,AN34*Assumptions!$B$4+INDEX('Scored Accounts'!$N$2:$N$301,MATCH($A34,'Scored Accounts'!$A$2:$A$301,0))*Assumptions!$B$5+INDEX('Scored Accounts'!$O$2:$O$301,MATCH($A34,'Scored Accounts'!$A$2:$A$301,0))*Assumptions!$B$6)</f>
        <v>65</v>
      </c>
      <c r="AP34" s="2" t="str">
        <f aca="false">IF(AO34&gt;=Assumptions!$B$9,"High",IF(AO34&gt;=Assumptions!$B$10,"Medium","Low"))</f>
        <v>Medium</v>
      </c>
      <c r="AQ34" s="10" t="b">
        <f aca="false">OR((E34&lt;=Assumptions!$B$8)&lt;&gt;((P34/(P34+Q34)*100)&lt;=Assumptions!$B$8),AM34&lt;&gt;AN34,G34&lt;&gt;AP34)</f>
        <v>0</v>
      </c>
      <c r="AR34" s="2" t="str">
        <f aca="false">IF(AP34&lt;&gt;"Low","Broker-Reliant",IF(B34="Account Managed","AM-Owned / Self-Serving","Self-Serve"))</f>
        <v>Broker-Reliant</v>
      </c>
      <c r="AS34" s="2" t="str">
        <f aca="false">IF(AR34="Broker-Reliant",IF(J34="Tail","5. Cost-to-Serve / Low-Touch",IF(OR(N34="Growing",N34="Stable"),"1. Migration Candidate",IF(N34="Declining","2. Protect / Retain First",IF(N34="Lapsed","3. Win-Back / Verify",IF(N34="H2 Active / No H1 GMV","4. Establish / Re-establish / Observe","UNASSIGNED"))))),IF(AP34="Low",IF(J34="Tail","9. Long-Tail Automated Nurture",IF(OR(N34="Growing",N34="Stable"),"6. Growth Opportunity",IF(N34="H2 Active / No H1 GMV","7. Onboard / Re-engage / Learn",IF(OR(N34="Declining",N34="Lapsed"),"8. Retention / Reactivation","UNASSIGNED")))),"UNASSIGNED"))</f>
        <v>1. Migration Candidate</v>
      </c>
      <c r="AT34" s="10" t="b">
        <f aca="false">AS34&lt;&gt;T34</f>
        <v>0</v>
      </c>
      <c r="AU34" s="2" t="str">
        <f aca="false">IF(NOT(U34),"Not Eligible",IF(OR(AQ34,AH34,AK34,NOT(AND(W34&gt;=Assumptions!$B$83,O34&gt;=Assumptions!$B$84))),"Manual Review","Ready"))</f>
        <v>Manual Review</v>
      </c>
      <c r="AV34" s="2" t="str">
        <f aca="false">IF(AG34,"Key account - human sign-off required; ","")&amp;IF(AH34,"Borderline momentum; ","")&amp;IF(AK34,"February-sensitive ("&amp;N34&amp;" -&gt; "&amp;AJ34&amp;"); ","")&amp;IF(AL34="One-Off / Insufficient History — Verify","Lapsed on thin history - verify; ","")&amp;IF(AQ34,"Material broker % inconsistency (implied tier "&amp;AP34&amp;"); ","")&amp;IF(AT34,"Implied broker % would move segment to "&amp;AS34&amp;"; ","")</f>
        <v>Borderline momentum; </v>
      </c>
      <c r="AW34" s="10" t="b">
        <f aca="false">AND(G34="Low",J34="Tail",I34&gt;=Assumptions!$B$64,O34&gt;=Assumptions!$B$65,OR(N34="Growing",N34="Stable",AND(N34="H2 Active / No H1 GMV",W34&gt;=2)),OR(R34&gt;=Assumptions!$B$66,S34&gt;=Assumptions!$B$67))</f>
        <v>0</v>
      </c>
    </row>
    <row r="35" customFormat="false" ht="15" hidden="false" customHeight="false" outlineLevel="0" collapsed="false">
      <c r="A35" s="2" t="s">
        <v>458</v>
      </c>
      <c r="B35" s="2" t="s">
        <v>1571</v>
      </c>
      <c r="C35" s="2" t="s">
        <v>1572</v>
      </c>
      <c r="D35" s="2" t="n">
        <v>7</v>
      </c>
      <c r="E35" s="2" t="n">
        <v>82</v>
      </c>
      <c r="F35" s="21" t="n">
        <f aca="false">INDEX('Scored Accounts'!$Q$2:$Q$301,MATCH($A35,'Scored Accounts'!$A$2:$A$301,0))</f>
        <v>87.5</v>
      </c>
      <c r="G35" s="2" t="str">
        <f aca="false">INDEX('Scored Accounts'!$R$2:$R$301,MATCH($A35,'Scored Accounts'!$A$2:$A$301,0))</f>
        <v>High</v>
      </c>
      <c r="H35" s="2" t="str">
        <f aca="false">IF(OR(G35="High",G35="Medium"),"Broker-Reliant",IF(AND(G35="Low",B35="Account Managed"),"AM-Owned / Self-Serving",IF(AND(G35="Low",B35="Self Serve"),"Self-Serve","UNASSIGNED")))</f>
        <v>Broker-Reliant</v>
      </c>
      <c r="I35" s="9" t="n">
        <v>3913</v>
      </c>
      <c r="J35" s="2" t="str">
        <f aca="false">IF(I35&gt;=Assumptions!$B$35,"Key",IF(I35&gt;=Assumptions!$B$34,"Core","Tail"))</f>
        <v>Core</v>
      </c>
      <c r="K35" s="9" t="n">
        <f aca="false">INDEX('Commercial View'!$R$2:$R$301,MATCH($A35,'Commercial View'!$A$2:$A$301,0))</f>
        <v>1941</v>
      </c>
      <c r="L35" s="9" t="n">
        <f aca="false">INDEX('Commercial View'!$S$2:$S$301,MATCH($A35,'Commercial View'!$A$2:$A$301,0))</f>
        <v>1971</v>
      </c>
      <c r="M35" s="17" t="n">
        <f aca="false">INDEX('Commercial View'!$T$2:$T$301,MATCH($A35,'Commercial View'!$A$2:$A$301,0))</f>
        <v>0.0154559505409582</v>
      </c>
      <c r="N35" s="2" t="str">
        <f aca="false">INDEX('Commercial View'!$U$2:$U$301,MATCH($A35,'Commercial View'!$A$2:$A$301,0))</f>
        <v>Stable</v>
      </c>
      <c r="O35" s="2" t="n">
        <v>4</v>
      </c>
      <c r="P35" s="2" t="n">
        <v>3</v>
      </c>
      <c r="Q35" s="2" t="n">
        <v>1</v>
      </c>
      <c r="R35" s="2" t="n">
        <v>5</v>
      </c>
      <c r="S35" s="2" t="n">
        <v>1</v>
      </c>
      <c r="T35" s="2" t="str">
        <f aca="false">IF(H35="Broker-Reliant",IF(J35="Tail","5. Cost-to-Serve / Low-Touch",IF(OR(N35="Growing",N35="Stable"),"1. Migration Candidate",IF(N35="Declining","2. Protect / Retain First",IF(N35="Lapsed","3. Win-Back / Verify",IF(N35="H2 Active / No H1 GMV","4. Establish / Re-establish / Observe","UNASSIGNED"))))),IF(G35="Low",IF(J35="Tail","9. Long-Tail Automated Nurture",IF(OR(N35="Growing",N35="Stable"),"6. Growth Opportunity",IF(N35="H2 Active / No H1 GMV","7. Onboard / Re-engage / Learn",IF(OR(N35="Declining",N35="Lapsed"),"8. Retention / Reactivation","UNASSIGNED")))),"UNASSIGNED"))</f>
        <v>1. Migration Candidate</v>
      </c>
      <c r="U35" s="10" t="b">
        <f aca="false">AND(T35="1. Migration Candidate",J35="Core",O35&gt;=Assumptions!$B$39,Q35&gt;=Assumptions!$B$40,NOT(Z35))</f>
        <v>0</v>
      </c>
      <c r="V35" s="2" t="n">
        <f aca="false">(AND(H35="Broker-Reliant",J35&lt;&gt;"Tail",OR(N35="Growing",N35="Stable")))*1+(AND(H35="Broker-Reliant",J35&lt;&gt;"Tail",N35="Declining"))*1+(AND(H35="Broker-Reliant",J35&lt;&gt;"Tail",N35="Lapsed"))*1+(AND(H35="Broker-Reliant",J35&lt;&gt;"Tail",N35="H2 Active / No H1 GMV"))*1+(AND(H35="Broker-Reliant",J35="Tail"))*1+(AND(G35="Low",J35&lt;&gt;"Tail",OR(N35="Growing",N35="Stable")))*1+(AND(G35="Low",J35&lt;&gt;"Tail",N35="H2 Active / No H1 GMV"))*1+(AND(G35="Low",J35&lt;&gt;"Tail",OR(N35="Declining",N35="Lapsed")))*1+(AND(G35="Low",J35="Tail"))*1</f>
        <v>1</v>
      </c>
      <c r="W35" s="2" t="n">
        <f aca="false">INDEX('Commercial View'!$V$2:$V$301,MATCH($A35,'Commercial View'!$A$2:$A$301,0))</f>
        <v>4</v>
      </c>
      <c r="X35" s="10" t="b">
        <f aca="false">O35&lt;=Assumptions!$B$30</f>
        <v>0</v>
      </c>
      <c r="Y35" s="10" t="b">
        <f aca="false">W35&lt;=1</f>
        <v>0</v>
      </c>
      <c r="Z35" s="10" t="b">
        <f aca="false">C35="Duplicate"</f>
        <v>0</v>
      </c>
      <c r="AA35" s="10" t="b">
        <f aca="false">C35=""</f>
        <v>0</v>
      </c>
      <c r="AB35" s="2" t="n">
        <f aca="false">IF(P35+Q35&gt;0,ROUND(P35/(P35+Q35)*100,0),"")</f>
        <v>75</v>
      </c>
      <c r="AC35" s="2" t="n">
        <f aca="false">IF(P35+Q35&gt;0,ROUND(E35-P35/(P35+Q35)*100,0),"")</f>
        <v>7</v>
      </c>
      <c r="AD35" s="10" t="b">
        <f aca="false">IF(AC35="",FALSE(),ABS(AC35)&gt;Assumptions!$B$41)</f>
        <v>0</v>
      </c>
      <c r="AE35" s="2" t="str">
        <f aca="false">IF(X35,"Low confidence (&lt;=2 orders); ","")&amp;IF(Y35,"Single-month history; ","")&amp;IF(Z35,"CRITICAL: Duplicate status; ","")&amp;IF(AA35,"Missing status; ","")&amp;IF(AD35,"Broker % vs counts gap "&amp;TEXT(AC35,"+0;-0")&amp;"pts; ","")</f>
        <v/>
      </c>
      <c r="AF35" s="2" t="str">
        <f aca="false">IF(AND(K35=0,L35&gt;0),IF(D35&lt;=Assumptions!$B$47,"New Customer","Returned Customer"),"Existing Customer")</f>
        <v>Existing Customer</v>
      </c>
      <c r="AG35" s="10" t="b">
        <f aca="false">AND(T35="1. Migration Candidate",J35="Key")</f>
        <v>0</v>
      </c>
      <c r="AH35" s="10" t="b">
        <f aca="false">IF(AND(K35&gt;0,L35&gt;0),OR(ABS(M35-Assumptions!$B$36)&lt;=Assumptions!$B$46,ABS(M35+Assumptions!$B$36)&lt;=Assumptions!$B$46),FALSE())</f>
        <v>0</v>
      </c>
      <c r="AI35" s="9" t="n">
        <f aca="false">INDEX('Commercial View'!$L$2:$L$301,MATCH($A35,'Commercial View'!$A$2:$A$301,0))+INDEX('Commercial View'!$M$2:$M$301,MATCH($A35,'Commercial View'!$A$2:$A$301,0))</f>
        <v>1971</v>
      </c>
      <c r="AJ35" s="2" t="str">
        <f aca="false">IF(AND(K35=0,AI35=0),"No activity ex-Feb",IF(AI35=0,"Lapsed",IF(K35=0,"H2 Active / No H1 GMV",IF((AI35/2)/(K35/3)-1&gt;=Assumptions!$B$36,"Growing",IF((AI35/2)/(K35/3)-1&lt;-Assumptions!$B$36,"Declining","Stable")))))</f>
        <v>Growing</v>
      </c>
      <c r="AK35" s="10" t="b">
        <f aca="false">IF(OR(N35="Growing",N35="Stable"),"Healthy",N35)&lt;&gt;IF(OR(AJ35="Growing",AJ35="Stable"),"Healthy",AJ35)</f>
        <v>0</v>
      </c>
      <c r="AL35" s="2" t="str">
        <f aca="false">IF(N35="Lapsed",IF(OR(O35&lt;=Assumptions!$B$48,W35&lt;=Assumptions!$B$49),"One-Off / Insufficient History — Verify","Established Buyer Lapsed"),"N/A")</f>
        <v>N/A</v>
      </c>
      <c r="AM35" s="2" t="n">
        <f aca="false">INDEX('Scored Accounts'!$M$2:$M$301,MATCH($A35,'Scored Accounts'!$A$2:$A$301,0))</f>
        <v>100</v>
      </c>
      <c r="AN35" s="2" t="n">
        <f aca="false">IF((P35/(P35+Q35)*100)&lt;=Assumptions!$B$13,0,IF((P35/(P35+Q35)*100)&lt;Assumptions!$B$14,25,IF((P35/(P35+Q35)*100)&lt;Assumptions!$B$15,50,IF((P35/(P35+Q35)*100)&lt;Assumptions!$B$16,75,100))))</f>
        <v>75</v>
      </c>
      <c r="AO35" s="21" t="n">
        <f aca="false">IF((P35/(P35+Q35)*100)&lt;=Assumptions!$B$8,0,AN35*Assumptions!$B$4+INDEX('Scored Accounts'!$N$2:$N$301,MATCH($A35,'Scored Accounts'!$A$2:$A$301,0))*Assumptions!$B$5+INDEX('Scored Accounts'!$O$2:$O$301,MATCH($A35,'Scored Accounts'!$A$2:$A$301,0))*Assumptions!$B$6)</f>
        <v>75</v>
      </c>
      <c r="AP35" s="2" t="str">
        <f aca="false">IF(AO35&gt;=Assumptions!$B$9,"High",IF(AO35&gt;=Assumptions!$B$10,"Medium","Low"))</f>
        <v>High</v>
      </c>
      <c r="AQ35" s="10" t="b">
        <f aca="false">OR((E35&lt;=Assumptions!$B$8)&lt;&gt;((P35/(P35+Q35)*100)&lt;=Assumptions!$B$8),AM35&lt;&gt;AN35,G35&lt;&gt;AP35)</f>
        <v>1</v>
      </c>
      <c r="AR35" s="2" t="str">
        <f aca="false">IF(AP35&lt;&gt;"Low","Broker-Reliant",IF(B35="Account Managed","AM-Owned / Self-Serving","Self-Serve"))</f>
        <v>Broker-Reliant</v>
      </c>
      <c r="AS35" s="2" t="str">
        <f aca="false">IF(AR35="Broker-Reliant",IF(J35="Tail","5. Cost-to-Serve / Low-Touch",IF(OR(N35="Growing",N35="Stable"),"1. Migration Candidate",IF(N35="Declining","2. Protect / Retain First",IF(N35="Lapsed","3. Win-Back / Verify",IF(N35="H2 Active / No H1 GMV","4. Establish / Re-establish / Observe","UNASSIGNED"))))),IF(AP35="Low",IF(J35="Tail","9. Long-Tail Automated Nurture",IF(OR(N35="Growing",N35="Stable"),"6. Growth Opportunity",IF(N35="H2 Active / No H1 GMV","7. Onboard / Re-engage / Learn",IF(OR(N35="Declining",N35="Lapsed"),"8. Retention / Reactivation","UNASSIGNED")))),"UNASSIGNED"))</f>
        <v>1. Migration Candidate</v>
      </c>
      <c r="AT35" s="10" t="b">
        <f aca="false">AS35&lt;&gt;T35</f>
        <v>0</v>
      </c>
      <c r="AU35" s="2" t="str">
        <f aca="false">IF(NOT(U35),"Not Eligible",IF(OR(AQ35,AH35,AK35,NOT(AND(W35&gt;=Assumptions!$B$83,O35&gt;=Assumptions!$B$84))),"Manual Review","Ready"))</f>
        <v>Not Eligible</v>
      </c>
      <c r="AV35" s="2" t="str">
        <f aca="false">IF(AG35,"Key account - human sign-off required; ","")&amp;IF(AH35,"Borderline momentum; ","")&amp;IF(AK35,"February-sensitive ("&amp;N35&amp;" -&gt; "&amp;AJ35&amp;"); ","")&amp;IF(AL35="One-Off / Insufficient History — Verify","Lapsed on thin history - verify; ","")&amp;IF(AQ35,"Material broker % inconsistency (implied tier "&amp;AP35&amp;"); ","")&amp;IF(AT35,"Implied broker % would move segment to "&amp;AS35&amp;"; ","")</f>
        <v>Material broker % inconsistency (implied tier High); </v>
      </c>
      <c r="AW35" s="10" t="b">
        <f aca="false">AND(G35="Low",J35="Tail",I35&gt;=Assumptions!$B$64,O35&gt;=Assumptions!$B$65,OR(N35="Growing",N35="Stable",AND(N35="H2 Active / No H1 GMV",W35&gt;=2)),OR(R35&gt;=Assumptions!$B$66,S35&gt;=Assumptions!$B$67))</f>
        <v>0</v>
      </c>
    </row>
    <row r="36" customFormat="false" ht="15" hidden="false" customHeight="false" outlineLevel="0" collapsed="false">
      <c r="A36" s="2" t="s">
        <v>235</v>
      </c>
      <c r="B36" s="2" t="s">
        <v>1571</v>
      </c>
      <c r="C36" s="2" t="s">
        <v>1572</v>
      </c>
      <c r="D36" s="2" t="n">
        <v>19</v>
      </c>
      <c r="E36" s="2" t="n">
        <v>55</v>
      </c>
      <c r="F36" s="21" t="n">
        <f aca="false">INDEX('Scored Accounts'!$Q$2:$Q$301,MATCH($A36,'Scored Accounts'!$A$2:$A$301,0))</f>
        <v>67.5</v>
      </c>
      <c r="G36" s="2" t="str">
        <f aca="false">INDEX('Scored Accounts'!$R$2:$R$301,MATCH($A36,'Scored Accounts'!$A$2:$A$301,0))</f>
        <v>Medium</v>
      </c>
      <c r="H36" s="2" t="str">
        <f aca="false">IF(OR(G36="High",G36="Medium"),"Broker-Reliant",IF(AND(G36="Low",B36="Account Managed"),"AM-Owned / Self-Serving",IF(AND(G36="Low",B36="Self Serve"),"Self-Serve","UNASSIGNED")))</f>
        <v>Broker-Reliant</v>
      </c>
      <c r="I36" s="9" t="n">
        <v>3906</v>
      </c>
      <c r="J36" s="2" t="str">
        <f aca="false">IF(I36&gt;=Assumptions!$B$35,"Key",IF(I36&gt;=Assumptions!$B$34,"Core","Tail"))</f>
        <v>Core</v>
      </c>
      <c r="K36" s="9" t="n">
        <f aca="false">INDEX('Commercial View'!$R$2:$R$301,MATCH($A36,'Commercial View'!$A$2:$A$301,0))</f>
        <v>2595</v>
      </c>
      <c r="L36" s="9" t="n">
        <f aca="false">INDEX('Commercial View'!$S$2:$S$301,MATCH($A36,'Commercial View'!$A$2:$A$301,0))</f>
        <v>1311</v>
      </c>
      <c r="M36" s="17" t="n">
        <f aca="false">INDEX('Commercial View'!$T$2:$T$301,MATCH($A36,'Commercial View'!$A$2:$A$301,0))</f>
        <v>-0.494797687861272</v>
      </c>
      <c r="N36" s="2" t="str">
        <f aca="false">INDEX('Commercial View'!$U$2:$U$301,MATCH($A36,'Commercial View'!$A$2:$A$301,0))</f>
        <v>Declining</v>
      </c>
      <c r="O36" s="2" t="n">
        <v>5</v>
      </c>
      <c r="P36" s="2" t="n">
        <v>3</v>
      </c>
      <c r="Q36" s="2" t="n">
        <v>2</v>
      </c>
      <c r="R36" s="2" t="n">
        <v>6</v>
      </c>
      <c r="S36" s="2" t="n">
        <v>0</v>
      </c>
      <c r="T36" s="2" t="str">
        <f aca="false">IF(H36="Broker-Reliant",IF(J36="Tail","5. Cost-to-Serve / Low-Touch",IF(OR(N36="Growing",N36="Stable"),"1. Migration Candidate",IF(N36="Declining","2. Protect / Retain First",IF(N36="Lapsed","3. Win-Back / Verify",IF(N36="H2 Active / No H1 GMV","4. Establish / Re-establish / Observe","UNASSIGNED"))))),IF(G36="Low",IF(J36="Tail","9. Long-Tail Automated Nurture",IF(OR(N36="Growing",N36="Stable"),"6. Growth Opportunity",IF(N36="H2 Active / No H1 GMV","7. Onboard / Re-engage / Learn",IF(OR(N36="Declining",N36="Lapsed"),"8. Retention / Reactivation","UNASSIGNED")))),"UNASSIGNED"))</f>
        <v>2. Protect / Retain First</v>
      </c>
      <c r="U36" s="10" t="b">
        <f aca="false">AND(T36="1. Migration Candidate",J36="Core",O36&gt;=Assumptions!$B$39,Q36&gt;=Assumptions!$B$40,NOT(Z36))</f>
        <v>0</v>
      </c>
      <c r="V36" s="2" t="n">
        <f aca="false">(AND(H36="Broker-Reliant",J36&lt;&gt;"Tail",OR(N36="Growing",N36="Stable")))*1+(AND(H36="Broker-Reliant",J36&lt;&gt;"Tail",N36="Declining"))*1+(AND(H36="Broker-Reliant",J36&lt;&gt;"Tail",N36="Lapsed"))*1+(AND(H36="Broker-Reliant",J36&lt;&gt;"Tail",N36="H2 Active / No H1 GMV"))*1+(AND(H36="Broker-Reliant",J36="Tail"))*1+(AND(G36="Low",J36&lt;&gt;"Tail",OR(N36="Growing",N36="Stable")))*1+(AND(G36="Low",J36&lt;&gt;"Tail",N36="H2 Active / No H1 GMV"))*1+(AND(G36="Low",J36&lt;&gt;"Tail",OR(N36="Declining",N36="Lapsed")))*1+(AND(G36="Low",J36="Tail"))*1</f>
        <v>1</v>
      </c>
      <c r="W36" s="2" t="n">
        <f aca="false">INDEX('Commercial View'!$V$2:$V$301,MATCH($A36,'Commercial View'!$A$2:$A$301,0))</f>
        <v>3</v>
      </c>
      <c r="X36" s="10" t="b">
        <f aca="false">O36&lt;=Assumptions!$B$30</f>
        <v>0</v>
      </c>
      <c r="Y36" s="10" t="b">
        <f aca="false">W36&lt;=1</f>
        <v>0</v>
      </c>
      <c r="Z36" s="10" t="b">
        <f aca="false">C36="Duplicate"</f>
        <v>0</v>
      </c>
      <c r="AA36" s="10" t="b">
        <f aca="false">C36=""</f>
        <v>0</v>
      </c>
      <c r="AB36" s="2" t="n">
        <f aca="false">IF(P36+Q36&gt;0,ROUND(P36/(P36+Q36)*100,0),"")</f>
        <v>60</v>
      </c>
      <c r="AC36" s="2" t="n">
        <f aca="false">IF(P36+Q36&gt;0,ROUND(E36-P36/(P36+Q36)*100,0),"")</f>
        <v>-5</v>
      </c>
      <c r="AD36" s="10" t="b">
        <f aca="false">IF(AC36="",FALSE(),ABS(AC36)&gt;Assumptions!$B$41)</f>
        <v>0</v>
      </c>
      <c r="AE36" s="2" t="str">
        <f aca="false">IF(X36,"Low confidence (&lt;=2 orders); ","")&amp;IF(Y36,"Single-month history; ","")&amp;IF(Z36,"CRITICAL: Duplicate status; ","")&amp;IF(AA36,"Missing status; ","")&amp;IF(AD36,"Broker % vs counts gap "&amp;TEXT(AC36,"+0;-0")&amp;"pts; ","")</f>
        <v/>
      </c>
      <c r="AF36" s="2" t="str">
        <f aca="false">IF(AND(K36=0,L36&gt;0),IF(D36&lt;=Assumptions!$B$47,"New Customer","Returned Customer"),"Existing Customer")</f>
        <v>Existing Customer</v>
      </c>
      <c r="AG36" s="10" t="b">
        <f aca="false">AND(T36="1. Migration Candidate",J36="Key")</f>
        <v>0</v>
      </c>
      <c r="AH36" s="10" t="b">
        <f aca="false">IF(AND(K36&gt;0,L36&gt;0),OR(ABS(M36-Assumptions!$B$36)&lt;=Assumptions!$B$46,ABS(M36+Assumptions!$B$36)&lt;=Assumptions!$B$46),FALSE())</f>
        <v>0</v>
      </c>
      <c r="AI36" s="9" t="n">
        <f aca="false">INDEX('Commercial View'!$L$2:$L$301,MATCH($A36,'Commercial View'!$A$2:$A$301,0))+INDEX('Commercial View'!$M$2:$M$301,MATCH($A36,'Commercial View'!$A$2:$A$301,0))</f>
        <v>1311</v>
      </c>
      <c r="AJ36" s="2" t="str">
        <f aca="false">IF(AND(K36=0,AI36=0),"No activity ex-Feb",IF(AI36=0,"Lapsed",IF(K36=0,"H2 Active / No H1 GMV",IF((AI36/2)/(K36/3)-1&gt;=Assumptions!$B$36,"Growing",IF((AI36/2)/(K36/3)-1&lt;-Assumptions!$B$36,"Declining","Stable")))))</f>
        <v>Declining</v>
      </c>
      <c r="AK36" s="10" t="b">
        <f aca="false">IF(OR(N36="Growing",N36="Stable"),"Healthy",N36)&lt;&gt;IF(OR(AJ36="Growing",AJ36="Stable"),"Healthy",AJ36)</f>
        <v>0</v>
      </c>
      <c r="AL36" s="2" t="str">
        <f aca="false">IF(N36="Lapsed",IF(OR(O36&lt;=Assumptions!$B$48,W36&lt;=Assumptions!$B$49),"One-Off / Insufficient History — Verify","Established Buyer Lapsed"),"N/A")</f>
        <v>N/A</v>
      </c>
      <c r="AM36" s="2" t="n">
        <f aca="false">INDEX('Scored Accounts'!$M$2:$M$301,MATCH($A36,'Scored Accounts'!$A$2:$A$301,0))</f>
        <v>50</v>
      </c>
      <c r="AN36" s="2" t="n">
        <f aca="false">IF((P36/(P36+Q36)*100)&lt;=Assumptions!$B$13,0,IF((P36/(P36+Q36)*100)&lt;Assumptions!$B$14,25,IF((P36/(P36+Q36)*100)&lt;Assumptions!$B$15,50,IF((P36/(P36+Q36)*100)&lt;Assumptions!$B$16,75,100))))</f>
        <v>75</v>
      </c>
      <c r="AO36" s="21" t="n">
        <f aca="false">IF((P36/(P36+Q36)*100)&lt;=Assumptions!$B$8,0,AN36*Assumptions!$B$4+INDEX('Scored Accounts'!$N$2:$N$301,MATCH($A36,'Scored Accounts'!$A$2:$A$301,0))*Assumptions!$B$5+INDEX('Scored Accounts'!$O$2:$O$301,MATCH($A36,'Scored Accounts'!$A$2:$A$301,0))*Assumptions!$B$6)</f>
        <v>80</v>
      </c>
      <c r="AP36" s="2" t="str">
        <f aca="false">IF(AO36&gt;=Assumptions!$B$9,"High",IF(AO36&gt;=Assumptions!$B$10,"Medium","Low"))</f>
        <v>High</v>
      </c>
      <c r="AQ36" s="10" t="b">
        <f aca="false">OR((E36&lt;=Assumptions!$B$8)&lt;&gt;((P36/(P36+Q36)*100)&lt;=Assumptions!$B$8),AM36&lt;&gt;AN36,G36&lt;&gt;AP36)</f>
        <v>1</v>
      </c>
      <c r="AR36" s="2" t="str">
        <f aca="false">IF(AP36&lt;&gt;"Low","Broker-Reliant",IF(B36="Account Managed","AM-Owned / Self-Serving","Self-Serve"))</f>
        <v>Broker-Reliant</v>
      </c>
      <c r="AS36" s="2" t="str">
        <f aca="false">IF(AR36="Broker-Reliant",IF(J36="Tail","5. Cost-to-Serve / Low-Touch",IF(OR(N36="Growing",N36="Stable"),"1. Migration Candidate",IF(N36="Declining","2. Protect / Retain First",IF(N36="Lapsed","3. Win-Back / Verify",IF(N36="H2 Active / No H1 GMV","4. Establish / Re-establish / Observe","UNASSIGNED"))))),IF(AP36="Low",IF(J36="Tail","9. Long-Tail Automated Nurture",IF(OR(N36="Growing",N36="Stable"),"6. Growth Opportunity",IF(N36="H2 Active / No H1 GMV","7. Onboard / Re-engage / Learn",IF(OR(N36="Declining",N36="Lapsed"),"8. Retention / Reactivation","UNASSIGNED")))),"UNASSIGNED"))</f>
        <v>2. Protect / Retain First</v>
      </c>
      <c r="AT36" s="10" t="b">
        <f aca="false">AS36&lt;&gt;T36</f>
        <v>0</v>
      </c>
      <c r="AU36" s="2" t="str">
        <f aca="false">IF(NOT(U36),"Not Eligible",IF(OR(AQ36,AH36,AK36,NOT(AND(W36&gt;=Assumptions!$B$83,O36&gt;=Assumptions!$B$84))),"Manual Review","Ready"))</f>
        <v>Not Eligible</v>
      </c>
      <c r="AV36" s="2" t="str">
        <f aca="false">IF(AG36,"Key account - human sign-off required; ","")&amp;IF(AH36,"Borderline momentum; ","")&amp;IF(AK36,"February-sensitive ("&amp;N36&amp;" -&gt; "&amp;AJ36&amp;"); ","")&amp;IF(AL36="One-Off / Insufficient History — Verify","Lapsed on thin history - verify; ","")&amp;IF(AQ36,"Material broker % inconsistency (implied tier "&amp;AP36&amp;"); ","")&amp;IF(AT36,"Implied broker % would move segment to "&amp;AS36&amp;"; ","")</f>
        <v>Material broker % inconsistency (implied tier High); </v>
      </c>
      <c r="AW36" s="10" t="b">
        <f aca="false">AND(G36="Low",J36="Tail",I36&gt;=Assumptions!$B$64,O36&gt;=Assumptions!$B$65,OR(N36="Growing",N36="Stable",AND(N36="H2 Active / No H1 GMV",W36&gt;=2)),OR(R36&gt;=Assumptions!$B$66,S36&gt;=Assumptions!$B$67))</f>
        <v>0</v>
      </c>
    </row>
    <row r="37" customFormat="false" ht="15" hidden="false" customHeight="false" outlineLevel="0" collapsed="false">
      <c r="A37" s="2" t="s">
        <v>422</v>
      </c>
      <c r="B37" s="2" t="s">
        <v>1571</v>
      </c>
      <c r="C37" s="2" t="s">
        <v>1572</v>
      </c>
      <c r="D37" s="2" t="n">
        <v>13</v>
      </c>
      <c r="E37" s="2" t="n">
        <v>76</v>
      </c>
      <c r="F37" s="21" t="n">
        <f aca="false">INDEX('Scored Accounts'!$Q$2:$Q$301,MATCH($A37,'Scored Accounts'!$A$2:$A$301,0))</f>
        <v>75</v>
      </c>
      <c r="G37" s="2" t="str">
        <f aca="false">INDEX('Scored Accounts'!$R$2:$R$301,MATCH($A37,'Scored Accounts'!$A$2:$A$301,0))</f>
        <v>High</v>
      </c>
      <c r="H37" s="2" t="str">
        <f aca="false">IF(OR(G37="High",G37="Medium"),"Broker-Reliant",IF(AND(G37="Low",B37="Account Managed"),"AM-Owned / Self-Serving",IF(AND(G37="Low",B37="Self Serve"),"Self-Serve","UNASSIGNED")))</f>
        <v>Broker-Reliant</v>
      </c>
      <c r="I37" s="9" t="n">
        <v>3879</v>
      </c>
      <c r="J37" s="2" t="str">
        <f aca="false">IF(I37&gt;=Assumptions!$B$35,"Key",IF(I37&gt;=Assumptions!$B$34,"Core","Tail"))</f>
        <v>Core</v>
      </c>
      <c r="K37" s="9" t="n">
        <f aca="false">INDEX('Commercial View'!$R$2:$R$301,MATCH($A37,'Commercial View'!$A$2:$A$301,0))</f>
        <v>369</v>
      </c>
      <c r="L37" s="9" t="n">
        <f aca="false">INDEX('Commercial View'!$S$2:$S$301,MATCH($A37,'Commercial View'!$A$2:$A$301,0))</f>
        <v>3510</v>
      </c>
      <c r="M37" s="17" t="n">
        <f aca="false">INDEX('Commercial View'!$T$2:$T$301,MATCH($A37,'Commercial View'!$A$2:$A$301,0))</f>
        <v>8.51219512195122</v>
      </c>
      <c r="N37" s="2" t="str">
        <f aca="false">INDEX('Commercial View'!$U$2:$U$301,MATCH($A37,'Commercial View'!$A$2:$A$301,0))</f>
        <v>Growing</v>
      </c>
      <c r="O37" s="2" t="n">
        <v>37</v>
      </c>
      <c r="P37" s="2" t="n">
        <v>28</v>
      </c>
      <c r="Q37" s="2" t="n">
        <v>9</v>
      </c>
      <c r="R37" s="2" t="n">
        <v>6</v>
      </c>
      <c r="S37" s="2" t="n">
        <v>1</v>
      </c>
      <c r="T37" s="2" t="str">
        <f aca="false">IF(H37="Broker-Reliant",IF(J37="Tail","5. Cost-to-Serve / Low-Touch",IF(OR(N37="Growing",N37="Stable"),"1. Migration Candidate",IF(N37="Declining","2. Protect / Retain First",IF(N37="Lapsed","3. Win-Back / Verify",IF(N37="H2 Active / No H1 GMV","4. Establish / Re-establish / Observe","UNASSIGNED"))))),IF(G37="Low",IF(J37="Tail","9. Long-Tail Automated Nurture",IF(OR(N37="Growing",N37="Stable"),"6. Growth Opportunity",IF(N37="H2 Active / No H1 GMV","7. Onboard / Re-engage / Learn",IF(OR(N37="Declining",N37="Lapsed"),"8. Retention / Reactivation","UNASSIGNED")))),"UNASSIGNED"))</f>
        <v>1. Migration Candidate</v>
      </c>
      <c r="U37" s="10" t="b">
        <f aca="false">AND(T37="1. Migration Candidate",J37="Core",O37&gt;=Assumptions!$B$39,Q37&gt;=Assumptions!$B$40,NOT(Z37))</f>
        <v>1</v>
      </c>
      <c r="V37" s="2" t="n">
        <f aca="false">(AND(H37="Broker-Reliant",J37&lt;&gt;"Tail",OR(N37="Growing",N37="Stable")))*1+(AND(H37="Broker-Reliant",J37&lt;&gt;"Tail",N37="Declining"))*1+(AND(H37="Broker-Reliant",J37&lt;&gt;"Tail",N37="Lapsed"))*1+(AND(H37="Broker-Reliant",J37&lt;&gt;"Tail",N37="H2 Active / No H1 GMV"))*1+(AND(H37="Broker-Reliant",J37="Tail"))*1+(AND(G37="Low",J37&lt;&gt;"Tail",OR(N37="Growing",N37="Stable")))*1+(AND(G37="Low",J37&lt;&gt;"Tail",N37="H2 Active / No H1 GMV"))*1+(AND(G37="Low",J37&lt;&gt;"Tail",OR(N37="Declining",N37="Lapsed")))*1+(AND(G37="Low",J37="Tail"))*1</f>
        <v>1</v>
      </c>
      <c r="W37" s="2" t="n">
        <f aca="false">INDEX('Commercial View'!$V$2:$V$301,MATCH($A37,'Commercial View'!$A$2:$A$301,0))</f>
        <v>2</v>
      </c>
      <c r="X37" s="10" t="b">
        <f aca="false">O37&lt;=Assumptions!$B$30</f>
        <v>0</v>
      </c>
      <c r="Y37" s="10" t="b">
        <f aca="false">W37&lt;=1</f>
        <v>0</v>
      </c>
      <c r="Z37" s="10" t="b">
        <f aca="false">C37="Duplicate"</f>
        <v>0</v>
      </c>
      <c r="AA37" s="10" t="b">
        <f aca="false">C37=""</f>
        <v>0</v>
      </c>
      <c r="AB37" s="2" t="n">
        <f aca="false">IF(P37+Q37&gt;0,ROUND(P37/(P37+Q37)*100,0),"")</f>
        <v>76</v>
      </c>
      <c r="AC37" s="2" t="n">
        <f aca="false">IF(P37+Q37&gt;0,ROUND(E37-P37/(P37+Q37)*100,0),"")</f>
        <v>0</v>
      </c>
      <c r="AD37" s="10" t="b">
        <f aca="false">IF(AC37="",FALSE(),ABS(AC37)&gt;Assumptions!$B$41)</f>
        <v>0</v>
      </c>
      <c r="AE37" s="2" t="str">
        <f aca="false">IF(X37,"Low confidence (&lt;=2 orders); ","")&amp;IF(Y37,"Single-month history; ","")&amp;IF(Z37,"CRITICAL: Duplicate status; ","")&amp;IF(AA37,"Missing status; ","")&amp;IF(AD37,"Broker % vs counts gap "&amp;TEXT(AC37,"+0;-0")&amp;"pts; ","")</f>
        <v/>
      </c>
      <c r="AF37" s="2" t="str">
        <f aca="false">IF(AND(K37=0,L37&gt;0),IF(D37&lt;=Assumptions!$B$47,"New Customer","Returned Customer"),"Existing Customer")</f>
        <v>Existing Customer</v>
      </c>
      <c r="AG37" s="10" t="b">
        <f aca="false">AND(T37="1. Migration Candidate",J37="Key")</f>
        <v>0</v>
      </c>
      <c r="AH37" s="10" t="b">
        <f aca="false">IF(AND(K37&gt;0,L37&gt;0),OR(ABS(M37-Assumptions!$B$36)&lt;=Assumptions!$B$46,ABS(M37+Assumptions!$B$36)&lt;=Assumptions!$B$46),FALSE())</f>
        <v>0</v>
      </c>
      <c r="AI37" s="9" t="n">
        <f aca="false">INDEX('Commercial View'!$L$2:$L$301,MATCH($A37,'Commercial View'!$A$2:$A$301,0))+INDEX('Commercial View'!$M$2:$M$301,MATCH($A37,'Commercial View'!$A$2:$A$301,0))</f>
        <v>3510</v>
      </c>
      <c r="AJ37" s="2" t="str">
        <f aca="false">IF(AND(K37=0,AI37=0),"No activity ex-Feb",IF(AI37=0,"Lapsed",IF(K37=0,"H2 Active / No H1 GMV",IF((AI37/2)/(K37/3)-1&gt;=Assumptions!$B$36,"Growing",IF((AI37/2)/(K37/3)-1&lt;-Assumptions!$B$36,"Declining","Stable")))))</f>
        <v>Growing</v>
      </c>
      <c r="AK37" s="10" t="b">
        <f aca="false">IF(OR(N37="Growing",N37="Stable"),"Healthy",N37)&lt;&gt;IF(OR(AJ37="Growing",AJ37="Stable"),"Healthy",AJ37)</f>
        <v>0</v>
      </c>
      <c r="AL37" s="2" t="str">
        <f aca="false">IF(N37="Lapsed",IF(OR(O37&lt;=Assumptions!$B$48,W37&lt;=Assumptions!$B$49),"One-Off / Insufficient History — Verify","Established Buyer Lapsed"),"N/A")</f>
        <v>N/A</v>
      </c>
      <c r="AM37" s="2" t="n">
        <f aca="false">INDEX('Scored Accounts'!$M$2:$M$301,MATCH($A37,'Scored Accounts'!$A$2:$A$301,0))</f>
        <v>75</v>
      </c>
      <c r="AN37" s="2" t="n">
        <f aca="false">IF((P37/(P37+Q37)*100)&lt;=Assumptions!$B$13,0,IF((P37/(P37+Q37)*100)&lt;Assumptions!$B$14,25,IF((P37/(P37+Q37)*100)&lt;Assumptions!$B$15,50,IF((P37/(P37+Q37)*100)&lt;Assumptions!$B$16,75,100))))</f>
        <v>75</v>
      </c>
      <c r="AO37" s="21" t="n">
        <f aca="false">IF((P37/(P37+Q37)*100)&lt;=Assumptions!$B$8,0,AN37*Assumptions!$B$4+INDEX('Scored Accounts'!$N$2:$N$301,MATCH($A37,'Scored Accounts'!$A$2:$A$301,0))*Assumptions!$B$5+INDEX('Scored Accounts'!$O$2:$O$301,MATCH($A37,'Scored Accounts'!$A$2:$A$301,0))*Assumptions!$B$6)</f>
        <v>75</v>
      </c>
      <c r="AP37" s="2" t="str">
        <f aca="false">IF(AO37&gt;=Assumptions!$B$9,"High",IF(AO37&gt;=Assumptions!$B$10,"Medium","Low"))</f>
        <v>High</v>
      </c>
      <c r="AQ37" s="10" t="b">
        <f aca="false">OR((E37&lt;=Assumptions!$B$8)&lt;&gt;((P37/(P37+Q37)*100)&lt;=Assumptions!$B$8),AM37&lt;&gt;AN37,G37&lt;&gt;AP37)</f>
        <v>0</v>
      </c>
      <c r="AR37" s="2" t="str">
        <f aca="false">IF(AP37&lt;&gt;"Low","Broker-Reliant",IF(B37="Account Managed","AM-Owned / Self-Serving","Self-Serve"))</f>
        <v>Broker-Reliant</v>
      </c>
      <c r="AS37" s="2" t="str">
        <f aca="false">IF(AR37="Broker-Reliant",IF(J37="Tail","5. Cost-to-Serve / Low-Touch",IF(OR(N37="Growing",N37="Stable"),"1. Migration Candidate",IF(N37="Declining","2. Protect / Retain First",IF(N37="Lapsed","3. Win-Back / Verify",IF(N37="H2 Active / No H1 GMV","4. Establish / Re-establish / Observe","UNASSIGNED"))))),IF(AP37="Low",IF(J37="Tail","9. Long-Tail Automated Nurture",IF(OR(N37="Growing",N37="Stable"),"6. Growth Opportunity",IF(N37="H2 Active / No H1 GMV","7. Onboard / Re-engage / Learn",IF(OR(N37="Declining",N37="Lapsed"),"8. Retention / Reactivation","UNASSIGNED")))),"UNASSIGNED"))</f>
        <v>1. Migration Candidate</v>
      </c>
      <c r="AT37" s="10" t="b">
        <f aca="false">AS37&lt;&gt;T37</f>
        <v>0</v>
      </c>
      <c r="AU37" s="2" t="str">
        <f aca="false">IF(NOT(U37),"Not Eligible",IF(OR(AQ37,AH37,AK37,NOT(AND(W37&gt;=Assumptions!$B$83,O37&gt;=Assumptions!$B$84))),"Manual Review","Ready"))</f>
        <v>Manual Review</v>
      </c>
      <c r="AV37" s="2" t="str">
        <f aca="false">IF(AG37,"Key account - human sign-off required; ","")&amp;IF(AH37,"Borderline momentum; ","")&amp;IF(AK37,"February-sensitive ("&amp;N37&amp;" -&gt; "&amp;AJ37&amp;"); ","")&amp;IF(AL37="One-Off / Insufficient History — Verify","Lapsed on thin history - verify; ","")&amp;IF(AQ37,"Material broker % inconsistency (implied tier "&amp;AP37&amp;"); ","")&amp;IF(AT37,"Implied broker % would move segment to "&amp;AS37&amp;"; ","")</f>
        <v/>
      </c>
      <c r="AW37" s="10" t="b">
        <f aca="false">AND(G37="Low",J37="Tail",I37&gt;=Assumptions!$B$64,O37&gt;=Assumptions!$B$65,OR(N37="Growing",N37="Stable",AND(N37="H2 Active / No H1 GMV",W37&gt;=2)),OR(R37&gt;=Assumptions!$B$66,S37&gt;=Assumptions!$B$67))</f>
        <v>0</v>
      </c>
    </row>
    <row r="38" customFormat="false" ht="15" hidden="false" customHeight="false" outlineLevel="0" collapsed="false">
      <c r="A38" s="2" t="s">
        <v>239</v>
      </c>
      <c r="B38" s="2" t="s">
        <v>1571</v>
      </c>
      <c r="C38" s="2" t="s">
        <v>1572</v>
      </c>
      <c r="D38" s="2" t="n">
        <v>11</v>
      </c>
      <c r="E38" s="2" t="n">
        <v>84</v>
      </c>
      <c r="F38" s="21" t="n">
        <f aca="false">INDEX('Scored Accounts'!$Q$2:$Q$301,MATCH($A38,'Scored Accounts'!$A$2:$A$301,0))</f>
        <v>95</v>
      </c>
      <c r="G38" s="2" t="str">
        <f aca="false">INDEX('Scored Accounts'!$R$2:$R$301,MATCH($A38,'Scored Accounts'!$A$2:$A$301,0))</f>
        <v>High</v>
      </c>
      <c r="H38" s="2" t="str">
        <f aca="false">IF(OR(G38="High",G38="Medium"),"Broker-Reliant",IF(AND(G38="Low",B38="Account Managed"),"AM-Owned / Self-Serving",IF(AND(G38="Low",B38="Self Serve"),"Self-Serve","UNASSIGNED")))</f>
        <v>Broker-Reliant</v>
      </c>
      <c r="I38" s="9" t="n">
        <v>3863</v>
      </c>
      <c r="J38" s="2" t="str">
        <f aca="false">IF(I38&gt;=Assumptions!$B$35,"Key",IF(I38&gt;=Assumptions!$B$34,"Core","Tail"))</f>
        <v>Core</v>
      </c>
      <c r="K38" s="9" t="n">
        <f aca="false">INDEX('Commercial View'!$R$2:$R$301,MATCH($A38,'Commercial View'!$A$2:$A$301,0))</f>
        <v>2595</v>
      </c>
      <c r="L38" s="9" t="n">
        <f aca="false">INDEX('Commercial View'!$S$2:$S$301,MATCH($A38,'Commercial View'!$A$2:$A$301,0))</f>
        <v>1267</v>
      </c>
      <c r="M38" s="17" t="n">
        <f aca="false">INDEX('Commercial View'!$T$2:$T$301,MATCH($A38,'Commercial View'!$A$2:$A$301,0))</f>
        <v>-0.511753371868979</v>
      </c>
      <c r="N38" s="2" t="str">
        <f aca="false">INDEX('Commercial View'!$U$2:$U$301,MATCH($A38,'Commercial View'!$A$2:$A$301,0))</f>
        <v>Declining</v>
      </c>
      <c r="O38" s="2" t="n">
        <v>7</v>
      </c>
      <c r="P38" s="2" t="n">
        <v>6</v>
      </c>
      <c r="Q38" s="2" t="n">
        <v>1</v>
      </c>
      <c r="R38" s="2" t="n">
        <v>2</v>
      </c>
      <c r="S38" s="2" t="n">
        <v>1</v>
      </c>
      <c r="T38" s="2" t="str">
        <f aca="false">IF(H38="Broker-Reliant",IF(J38="Tail","5. Cost-to-Serve / Low-Touch",IF(OR(N38="Growing",N38="Stable"),"1. Migration Candidate",IF(N38="Declining","2. Protect / Retain First",IF(N38="Lapsed","3. Win-Back / Verify",IF(N38="H2 Active / No H1 GMV","4. Establish / Re-establish / Observe","UNASSIGNED"))))),IF(G38="Low",IF(J38="Tail","9. Long-Tail Automated Nurture",IF(OR(N38="Growing",N38="Stable"),"6. Growth Opportunity",IF(N38="H2 Active / No H1 GMV","7. Onboard / Re-engage / Learn",IF(OR(N38="Declining",N38="Lapsed"),"8. Retention / Reactivation","UNASSIGNED")))),"UNASSIGNED"))</f>
        <v>2. Protect / Retain First</v>
      </c>
      <c r="U38" s="10" t="b">
        <f aca="false">AND(T38="1. Migration Candidate",J38="Core",O38&gt;=Assumptions!$B$39,Q38&gt;=Assumptions!$B$40,NOT(Z38))</f>
        <v>0</v>
      </c>
      <c r="V38" s="2" t="n">
        <f aca="false">(AND(H38="Broker-Reliant",J38&lt;&gt;"Tail",OR(N38="Growing",N38="Stable")))*1+(AND(H38="Broker-Reliant",J38&lt;&gt;"Tail",N38="Declining"))*1+(AND(H38="Broker-Reliant",J38&lt;&gt;"Tail",N38="Lapsed"))*1+(AND(H38="Broker-Reliant",J38&lt;&gt;"Tail",N38="H2 Active / No H1 GMV"))*1+(AND(H38="Broker-Reliant",J38="Tail"))*1+(AND(G38="Low",J38&lt;&gt;"Tail",OR(N38="Growing",N38="Stable")))*1+(AND(G38="Low",J38&lt;&gt;"Tail",N38="H2 Active / No H1 GMV"))*1+(AND(G38="Low",J38&lt;&gt;"Tail",OR(N38="Declining",N38="Lapsed")))*1+(AND(G38="Low",J38="Tail"))*1</f>
        <v>1</v>
      </c>
      <c r="W38" s="2" t="n">
        <f aca="false">INDEX('Commercial View'!$V$2:$V$301,MATCH($A38,'Commercial View'!$A$2:$A$301,0))</f>
        <v>4</v>
      </c>
      <c r="X38" s="10" t="b">
        <f aca="false">O38&lt;=Assumptions!$B$30</f>
        <v>0</v>
      </c>
      <c r="Y38" s="10" t="b">
        <f aca="false">W38&lt;=1</f>
        <v>0</v>
      </c>
      <c r="Z38" s="10" t="b">
        <f aca="false">C38="Duplicate"</f>
        <v>0</v>
      </c>
      <c r="AA38" s="10" t="b">
        <f aca="false">C38=""</f>
        <v>0</v>
      </c>
      <c r="AB38" s="2" t="n">
        <f aca="false">IF(P38+Q38&gt;0,ROUND(P38/(P38+Q38)*100,0),"")</f>
        <v>86</v>
      </c>
      <c r="AC38" s="2" t="n">
        <f aca="false">IF(P38+Q38&gt;0,ROUND(E38-P38/(P38+Q38)*100,0),"")</f>
        <v>-2</v>
      </c>
      <c r="AD38" s="10" t="b">
        <f aca="false">IF(AC38="",FALSE(),ABS(AC38)&gt;Assumptions!$B$41)</f>
        <v>0</v>
      </c>
      <c r="AE38" s="2" t="str">
        <f aca="false">IF(X38,"Low confidence (&lt;=2 orders); ","")&amp;IF(Y38,"Single-month history; ","")&amp;IF(Z38,"CRITICAL: Duplicate status; ","")&amp;IF(AA38,"Missing status; ","")&amp;IF(AD38,"Broker % vs counts gap "&amp;TEXT(AC38,"+0;-0")&amp;"pts; ","")</f>
        <v/>
      </c>
      <c r="AF38" s="2" t="str">
        <f aca="false">IF(AND(K38=0,L38&gt;0),IF(D38&lt;=Assumptions!$B$47,"New Customer","Returned Customer"),"Existing Customer")</f>
        <v>Existing Customer</v>
      </c>
      <c r="AG38" s="10" t="b">
        <f aca="false">AND(T38="1. Migration Candidate",J38="Key")</f>
        <v>0</v>
      </c>
      <c r="AH38" s="10" t="b">
        <f aca="false">IF(AND(K38&gt;0,L38&gt;0),OR(ABS(M38-Assumptions!$B$36)&lt;=Assumptions!$B$46,ABS(M38+Assumptions!$B$36)&lt;=Assumptions!$B$46),FALSE())</f>
        <v>0</v>
      </c>
      <c r="AI38" s="9" t="n">
        <f aca="false">INDEX('Commercial View'!$L$2:$L$301,MATCH($A38,'Commercial View'!$A$2:$A$301,0))+INDEX('Commercial View'!$M$2:$M$301,MATCH($A38,'Commercial View'!$A$2:$A$301,0))</f>
        <v>1013</v>
      </c>
      <c r="AJ38" s="2" t="str">
        <f aca="false">IF(AND(K38=0,AI38=0),"No activity ex-Feb",IF(AI38=0,"Lapsed",IF(K38=0,"H2 Active / No H1 GMV",IF((AI38/2)/(K38/3)-1&gt;=Assumptions!$B$36,"Growing",IF((AI38/2)/(K38/3)-1&lt;-Assumptions!$B$36,"Declining","Stable")))))</f>
        <v>Declining</v>
      </c>
      <c r="AK38" s="10" t="b">
        <f aca="false">IF(OR(N38="Growing",N38="Stable"),"Healthy",N38)&lt;&gt;IF(OR(AJ38="Growing",AJ38="Stable"),"Healthy",AJ38)</f>
        <v>0</v>
      </c>
      <c r="AL38" s="2" t="str">
        <f aca="false">IF(N38="Lapsed",IF(OR(O38&lt;=Assumptions!$B$48,W38&lt;=Assumptions!$B$49),"One-Off / Insufficient History — Verify","Established Buyer Lapsed"),"N/A")</f>
        <v>N/A</v>
      </c>
      <c r="AM38" s="2" t="n">
        <f aca="false">INDEX('Scored Accounts'!$M$2:$M$301,MATCH($A38,'Scored Accounts'!$A$2:$A$301,0))</f>
        <v>100</v>
      </c>
      <c r="AN38" s="2" t="n">
        <f aca="false">IF((P38/(P38+Q38)*100)&lt;=Assumptions!$B$13,0,IF((P38/(P38+Q38)*100)&lt;Assumptions!$B$14,25,IF((P38/(P38+Q38)*100)&lt;Assumptions!$B$15,50,IF((P38/(P38+Q38)*100)&lt;Assumptions!$B$16,75,100))))</f>
        <v>100</v>
      </c>
      <c r="AO38" s="21" t="n">
        <f aca="false">IF((P38/(P38+Q38)*100)&lt;=Assumptions!$B$8,0,AN38*Assumptions!$B$4+INDEX('Scored Accounts'!$N$2:$N$301,MATCH($A38,'Scored Accounts'!$A$2:$A$301,0))*Assumptions!$B$5+INDEX('Scored Accounts'!$O$2:$O$301,MATCH($A38,'Scored Accounts'!$A$2:$A$301,0))*Assumptions!$B$6)</f>
        <v>95</v>
      </c>
      <c r="AP38" s="2" t="str">
        <f aca="false">IF(AO38&gt;=Assumptions!$B$9,"High",IF(AO38&gt;=Assumptions!$B$10,"Medium","Low"))</f>
        <v>High</v>
      </c>
      <c r="AQ38" s="10" t="b">
        <f aca="false">OR((E38&lt;=Assumptions!$B$8)&lt;&gt;((P38/(P38+Q38)*100)&lt;=Assumptions!$B$8),AM38&lt;&gt;AN38,G38&lt;&gt;AP38)</f>
        <v>0</v>
      </c>
      <c r="AR38" s="2" t="str">
        <f aca="false">IF(AP38&lt;&gt;"Low","Broker-Reliant",IF(B38="Account Managed","AM-Owned / Self-Serving","Self-Serve"))</f>
        <v>Broker-Reliant</v>
      </c>
      <c r="AS38" s="2" t="str">
        <f aca="false">IF(AR38="Broker-Reliant",IF(J38="Tail","5. Cost-to-Serve / Low-Touch",IF(OR(N38="Growing",N38="Stable"),"1. Migration Candidate",IF(N38="Declining","2. Protect / Retain First",IF(N38="Lapsed","3. Win-Back / Verify",IF(N38="H2 Active / No H1 GMV","4. Establish / Re-establish / Observe","UNASSIGNED"))))),IF(AP38="Low",IF(J38="Tail","9. Long-Tail Automated Nurture",IF(OR(N38="Growing",N38="Stable"),"6. Growth Opportunity",IF(N38="H2 Active / No H1 GMV","7. Onboard / Re-engage / Learn",IF(OR(N38="Declining",N38="Lapsed"),"8. Retention / Reactivation","UNASSIGNED")))),"UNASSIGNED"))</f>
        <v>2. Protect / Retain First</v>
      </c>
      <c r="AT38" s="10" t="b">
        <f aca="false">AS38&lt;&gt;T38</f>
        <v>0</v>
      </c>
      <c r="AU38" s="2" t="str">
        <f aca="false">IF(NOT(U38),"Not Eligible",IF(OR(AQ38,AH38,AK38,NOT(AND(W38&gt;=Assumptions!$B$83,O38&gt;=Assumptions!$B$84))),"Manual Review","Ready"))</f>
        <v>Not Eligible</v>
      </c>
      <c r="AV38" s="2" t="str">
        <f aca="false">IF(AG38,"Key account - human sign-off required; ","")&amp;IF(AH38,"Borderline momentum; ","")&amp;IF(AK38,"February-sensitive ("&amp;N38&amp;" -&gt; "&amp;AJ38&amp;"); ","")&amp;IF(AL38="One-Off / Insufficient History — Verify","Lapsed on thin history - verify; ","")&amp;IF(AQ38,"Material broker % inconsistency (implied tier "&amp;AP38&amp;"); ","")&amp;IF(AT38,"Implied broker % would move segment to "&amp;AS38&amp;"; ","")</f>
        <v/>
      </c>
      <c r="AW38" s="10" t="b">
        <f aca="false">AND(G38="Low",J38="Tail",I38&gt;=Assumptions!$B$64,O38&gt;=Assumptions!$B$65,OR(N38="Growing",N38="Stable",AND(N38="H2 Active / No H1 GMV",W38&gt;=2)),OR(R38&gt;=Assumptions!$B$66,S38&gt;=Assumptions!$B$67))</f>
        <v>0</v>
      </c>
    </row>
    <row r="39" customFormat="false" ht="15" hidden="false" customHeight="false" outlineLevel="0" collapsed="false">
      <c r="A39" s="2" t="s">
        <v>242</v>
      </c>
      <c r="B39" s="2" t="s">
        <v>1571</v>
      </c>
      <c r="C39" s="2" t="s">
        <v>1572</v>
      </c>
      <c r="D39" s="2" t="n">
        <v>32</v>
      </c>
      <c r="E39" s="2" t="n">
        <v>4</v>
      </c>
      <c r="F39" s="21" t="n">
        <f aca="false">INDEX('Scored Accounts'!$Q$2:$Q$301,MATCH($A39,'Scored Accounts'!$A$2:$A$301,0))</f>
        <v>0</v>
      </c>
      <c r="G39" s="2" t="str">
        <f aca="false">INDEX('Scored Accounts'!$R$2:$R$301,MATCH($A39,'Scored Accounts'!$A$2:$A$301,0))</f>
        <v>Low</v>
      </c>
      <c r="H39" s="2" t="str">
        <f aca="false">IF(OR(G39="High",G39="Medium"),"Broker-Reliant",IF(AND(G39="Low",B39="Account Managed"),"AM-Owned / Self-Serving",IF(AND(G39="Low",B39="Self Serve"),"Self-Serve","UNASSIGNED")))</f>
        <v>AM-Owned / Self-Serving</v>
      </c>
      <c r="I39" s="9" t="n">
        <v>3702</v>
      </c>
      <c r="J39" s="2" t="str">
        <f aca="false">IF(I39&gt;=Assumptions!$B$35,"Key",IF(I39&gt;=Assumptions!$B$34,"Core","Tail"))</f>
        <v>Core</v>
      </c>
      <c r="K39" s="9" t="n">
        <f aca="false">INDEX('Commercial View'!$R$2:$R$301,MATCH($A39,'Commercial View'!$A$2:$A$301,0))</f>
        <v>3702</v>
      </c>
      <c r="L39" s="9" t="n">
        <f aca="false">INDEX('Commercial View'!$S$2:$S$301,MATCH($A39,'Commercial View'!$A$2:$A$301,0))</f>
        <v>0</v>
      </c>
      <c r="M39" s="17" t="n">
        <f aca="false">INDEX('Commercial View'!$T$2:$T$301,MATCH($A39,'Commercial View'!$A$2:$A$301,0))</f>
        <v>-1</v>
      </c>
      <c r="N39" s="2" t="str">
        <f aca="false">INDEX('Commercial View'!$U$2:$U$301,MATCH($A39,'Commercial View'!$A$2:$A$301,0))</f>
        <v>Lapsed</v>
      </c>
      <c r="O39" s="2" t="n">
        <v>2</v>
      </c>
      <c r="P39" s="2" t="n">
        <v>0</v>
      </c>
      <c r="Q39" s="2" t="n">
        <v>2</v>
      </c>
      <c r="R39" s="2" t="n">
        <v>16</v>
      </c>
      <c r="S39" s="2" t="n">
        <v>2</v>
      </c>
      <c r="T39" s="2" t="str">
        <f aca="false">IF(H39="Broker-Reliant",IF(J39="Tail","5. Cost-to-Serve / Low-Touch",IF(OR(N39="Growing",N39="Stable"),"1. Migration Candidate",IF(N39="Declining","2. Protect / Retain First",IF(N39="Lapsed","3. Win-Back / Verify",IF(N39="H2 Active / No H1 GMV","4. Establish / Re-establish / Observe","UNASSIGNED"))))),IF(G39="Low",IF(J39="Tail","9. Long-Tail Automated Nurture",IF(OR(N39="Growing",N39="Stable"),"6. Growth Opportunity",IF(N39="H2 Active / No H1 GMV","7. Onboard / Re-engage / Learn",IF(OR(N39="Declining",N39="Lapsed"),"8. Retention / Reactivation","UNASSIGNED")))),"UNASSIGNED"))</f>
        <v>8. Retention / Reactivation</v>
      </c>
      <c r="U39" s="10" t="b">
        <f aca="false">AND(T39="1. Migration Candidate",J39="Core",O39&gt;=Assumptions!$B$39,Q39&gt;=Assumptions!$B$40,NOT(Z39))</f>
        <v>0</v>
      </c>
      <c r="V39" s="2" t="n">
        <f aca="false">(AND(H39="Broker-Reliant",J39&lt;&gt;"Tail",OR(N39="Growing",N39="Stable")))*1+(AND(H39="Broker-Reliant",J39&lt;&gt;"Tail",N39="Declining"))*1+(AND(H39="Broker-Reliant",J39&lt;&gt;"Tail",N39="Lapsed"))*1+(AND(H39="Broker-Reliant",J39&lt;&gt;"Tail",N39="H2 Active / No H1 GMV"))*1+(AND(H39="Broker-Reliant",J39="Tail"))*1+(AND(G39="Low",J39&lt;&gt;"Tail",OR(N39="Growing",N39="Stable")))*1+(AND(G39="Low",J39&lt;&gt;"Tail",N39="H2 Active / No H1 GMV"))*1+(AND(G39="Low",J39&lt;&gt;"Tail",OR(N39="Declining",N39="Lapsed")))*1+(AND(G39="Low",J39="Tail"))*1</f>
        <v>1</v>
      </c>
      <c r="W39" s="2" t="n">
        <f aca="false">INDEX('Commercial View'!$V$2:$V$301,MATCH($A39,'Commercial View'!$A$2:$A$301,0))</f>
        <v>2</v>
      </c>
      <c r="X39" s="10" t="b">
        <f aca="false">O39&lt;=Assumptions!$B$30</f>
        <v>1</v>
      </c>
      <c r="Y39" s="10" t="b">
        <f aca="false">W39&lt;=1</f>
        <v>0</v>
      </c>
      <c r="Z39" s="10" t="b">
        <f aca="false">C39="Duplicate"</f>
        <v>0</v>
      </c>
      <c r="AA39" s="10" t="b">
        <f aca="false">C39=""</f>
        <v>0</v>
      </c>
      <c r="AB39" s="2" t="n">
        <f aca="false">IF(P39+Q39&gt;0,ROUND(P39/(P39+Q39)*100,0),"")</f>
        <v>0</v>
      </c>
      <c r="AC39" s="2" t="n">
        <f aca="false">IF(P39+Q39&gt;0,ROUND(E39-P39/(P39+Q39)*100,0),"")</f>
        <v>4</v>
      </c>
      <c r="AD39" s="10" t="b">
        <f aca="false">IF(AC39="",FALSE(),ABS(AC39)&gt;Assumptions!$B$41)</f>
        <v>0</v>
      </c>
      <c r="AE39" s="2" t="str">
        <f aca="false">IF(X39,"Low confidence (&lt;=2 orders); ","")&amp;IF(Y39,"Single-month history; ","")&amp;IF(Z39,"CRITICAL: Duplicate status; ","")&amp;IF(AA39,"Missing status; ","")&amp;IF(AD39,"Broker % vs counts gap "&amp;TEXT(AC39,"+0;-0")&amp;"pts; ","")</f>
        <v>Low confidence (&lt;=2 orders); </v>
      </c>
      <c r="AF39" s="2" t="str">
        <f aca="false">IF(AND(K39=0,L39&gt;0),IF(D39&lt;=Assumptions!$B$47,"New Customer","Returned Customer"),"Existing Customer")</f>
        <v>Existing Customer</v>
      </c>
      <c r="AG39" s="10" t="b">
        <f aca="false">AND(T39="1. Migration Candidate",J39="Key")</f>
        <v>0</v>
      </c>
      <c r="AH39" s="10" t="b">
        <f aca="false">IF(AND(K39&gt;0,L39&gt;0),OR(ABS(M39-Assumptions!$B$36)&lt;=Assumptions!$B$46,ABS(M39+Assumptions!$B$36)&lt;=Assumptions!$B$46),FALSE())</f>
        <v>0</v>
      </c>
      <c r="AI39" s="9" t="n">
        <f aca="false">INDEX('Commercial View'!$L$2:$L$301,MATCH($A39,'Commercial View'!$A$2:$A$301,0))+INDEX('Commercial View'!$M$2:$M$301,MATCH($A39,'Commercial View'!$A$2:$A$301,0))</f>
        <v>0</v>
      </c>
      <c r="AJ39" s="2" t="str">
        <f aca="false">IF(AND(K39=0,AI39=0),"No activity ex-Feb",IF(AI39=0,"Lapsed",IF(K39=0,"H2 Active / No H1 GMV",IF((AI39/2)/(K39/3)-1&gt;=Assumptions!$B$36,"Growing",IF((AI39/2)/(K39/3)-1&lt;-Assumptions!$B$36,"Declining","Stable")))))</f>
        <v>Lapsed</v>
      </c>
      <c r="AK39" s="10" t="b">
        <f aca="false">IF(OR(N39="Growing",N39="Stable"),"Healthy",N39)&lt;&gt;IF(OR(AJ39="Growing",AJ39="Stable"),"Healthy",AJ39)</f>
        <v>0</v>
      </c>
      <c r="AL39" s="2" t="str">
        <f aca="false">IF(N39="Lapsed",IF(OR(O39&lt;=Assumptions!$B$48,W39&lt;=Assumptions!$B$49),"One-Off / Insufficient History — Verify","Established Buyer Lapsed"),"N/A")</f>
        <v>One-Off / Insufficient History — Verify</v>
      </c>
      <c r="AM39" s="2" t="n">
        <f aca="false">INDEX('Scored Accounts'!$M$2:$M$301,MATCH($A39,'Scored Accounts'!$A$2:$A$301,0))</f>
        <v>0</v>
      </c>
      <c r="AN39" s="2" t="n">
        <f aca="false">IF((P39/(P39+Q39)*100)&lt;=Assumptions!$B$13,0,IF((P39/(P39+Q39)*100)&lt;Assumptions!$B$14,25,IF((P39/(P39+Q39)*100)&lt;Assumptions!$B$15,50,IF((P39/(P39+Q39)*100)&lt;Assumptions!$B$16,75,100))))</f>
        <v>0</v>
      </c>
      <c r="AO39" s="21" t="n">
        <f aca="false">IF((P39/(P39+Q39)*100)&lt;=Assumptions!$B$8,0,AN39*Assumptions!$B$4+INDEX('Scored Accounts'!$N$2:$N$301,MATCH($A39,'Scored Accounts'!$A$2:$A$301,0))*Assumptions!$B$5+INDEX('Scored Accounts'!$O$2:$O$301,MATCH($A39,'Scored Accounts'!$A$2:$A$301,0))*Assumptions!$B$6)</f>
        <v>0</v>
      </c>
      <c r="AP39" s="2" t="str">
        <f aca="false">IF(AO39&gt;=Assumptions!$B$9,"High",IF(AO39&gt;=Assumptions!$B$10,"Medium","Low"))</f>
        <v>Low</v>
      </c>
      <c r="AQ39" s="10" t="b">
        <f aca="false">OR((E39&lt;=Assumptions!$B$8)&lt;&gt;((P39/(P39+Q39)*100)&lt;=Assumptions!$B$8),AM39&lt;&gt;AN39,G39&lt;&gt;AP39)</f>
        <v>0</v>
      </c>
      <c r="AR39" s="2" t="str">
        <f aca="false">IF(AP39&lt;&gt;"Low","Broker-Reliant",IF(B39="Account Managed","AM-Owned / Self-Serving","Self-Serve"))</f>
        <v>AM-Owned / Self-Serving</v>
      </c>
      <c r="AS39" s="2" t="str">
        <f aca="false">IF(AR39="Broker-Reliant",IF(J39="Tail","5. Cost-to-Serve / Low-Touch",IF(OR(N39="Growing",N39="Stable"),"1. Migration Candidate",IF(N39="Declining","2. Protect / Retain First",IF(N39="Lapsed","3. Win-Back / Verify",IF(N39="H2 Active / No H1 GMV","4. Establish / Re-establish / Observe","UNASSIGNED"))))),IF(AP39="Low",IF(J39="Tail","9. Long-Tail Automated Nurture",IF(OR(N39="Growing",N39="Stable"),"6. Growth Opportunity",IF(N39="H2 Active / No H1 GMV","7. Onboard / Re-engage / Learn",IF(OR(N39="Declining",N39="Lapsed"),"8. Retention / Reactivation","UNASSIGNED")))),"UNASSIGNED"))</f>
        <v>8. Retention / Reactivation</v>
      </c>
      <c r="AT39" s="10" t="b">
        <f aca="false">AS39&lt;&gt;T39</f>
        <v>0</v>
      </c>
      <c r="AU39" s="2" t="str">
        <f aca="false">IF(NOT(U39),"Not Eligible",IF(OR(AQ39,AH39,AK39,NOT(AND(W39&gt;=Assumptions!$B$83,O39&gt;=Assumptions!$B$84))),"Manual Review","Ready"))</f>
        <v>Not Eligible</v>
      </c>
      <c r="AV39" s="2" t="str">
        <f aca="false">IF(AG39,"Key account - human sign-off required; ","")&amp;IF(AH39,"Borderline momentum; ","")&amp;IF(AK39,"February-sensitive ("&amp;N39&amp;" -&gt; "&amp;AJ39&amp;"); ","")&amp;IF(AL39="One-Off / Insufficient History — Verify","Lapsed on thin history - verify; ","")&amp;IF(AQ39,"Material broker % inconsistency (implied tier "&amp;AP39&amp;"); ","")&amp;IF(AT39,"Implied broker % would move segment to "&amp;AS39&amp;"; ","")</f>
        <v>Lapsed on thin history - verify; </v>
      </c>
      <c r="AW39" s="10" t="b">
        <f aca="false">AND(G39="Low",J39="Tail",I39&gt;=Assumptions!$B$64,O39&gt;=Assumptions!$B$65,OR(N39="Growing",N39="Stable",AND(N39="H2 Active / No H1 GMV",W39&gt;=2)),OR(R39&gt;=Assumptions!$B$66,S39&gt;=Assumptions!$B$67))</f>
        <v>0</v>
      </c>
    </row>
    <row r="40" customFormat="false" ht="15" hidden="false" customHeight="false" outlineLevel="0" collapsed="false">
      <c r="A40" s="2" t="s">
        <v>462</v>
      </c>
      <c r="B40" s="2" t="s">
        <v>1571</v>
      </c>
      <c r="C40" s="2" t="s">
        <v>1572</v>
      </c>
      <c r="D40" s="2" t="n">
        <v>22</v>
      </c>
      <c r="E40" s="2" t="n">
        <v>70</v>
      </c>
      <c r="F40" s="21" t="n">
        <f aca="false">INDEX('Scored Accounts'!$Q$2:$Q$301,MATCH($A40,'Scored Accounts'!$A$2:$A$301,0))</f>
        <v>75</v>
      </c>
      <c r="G40" s="2" t="str">
        <f aca="false">INDEX('Scored Accounts'!$R$2:$R$301,MATCH($A40,'Scored Accounts'!$A$2:$A$301,0))</f>
        <v>High</v>
      </c>
      <c r="H40" s="2" t="str">
        <f aca="false">IF(OR(G40="High",G40="Medium"),"Broker-Reliant",IF(AND(G40="Low",B40="Account Managed"),"AM-Owned / Self-Serving",IF(AND(G40="Low",B40="Self Serve"),"Self-Serve","UNASSIGNED")))</f>
        <v>Broker-Reliant</v>
      </c>
      <c r="I40" s="9" t="n">
        <v>3626</v>
      </c>
      <c r="J40" s="2" t="str">
        <f aca="false">IF(I40&gt;=Assumptions!$B$35,"Key",IF(I40&gt;=Assumptions!$B$34,"Core","Tail"))</f>
        <v>Core</v>
      </c>
      <c r="K40" s="9" t="n">
        <f aca="false">INDEX('Commercial View'!$R$2:$R$301,MATCH($A40,'Commercial View'!$A$2:$A$301,0))</f>
        <v>1453</v>
      </c>
      <c r="L40" s="9" t="n">
        <f aca="false">INDEX('Commercial View'!$S$2:$S$301,MATCH($A40,'Commercial View'!$A$2:$A$301,0))</f>
        <v>2173</v>
      </c>
      <c r="M40" s="17" t="n">
        <f aca="false">INDEX('Commercial View'!$T$2:$T$301,MATCH($A40,'Commercial View'!$A$2:$A$301,0))</f>
        <v>0.495526496902959</v>
      </c>
      <c r="N40" s="2" t="str">
        <f aca="false">INDEX('Commercial View'!$U$2:$U$301,MATCH($A40,'Commercial View'!$A$2:$A$301,0))</f>
        <v>Growing</v>
      </c>
      <c r="O40" s="2" t="n">
        <v>4</v>
      </c>
      <c r="P40" s="2" t="n">
        <v>3</v>
      </c>
      <c r="Q40" s="2" t="n">
        <v>1</v>
      </c>
      <c r="R40" s="2" t="n">
        <v>5</v>
      </c>
      <c r="S40" s="2" t="n">
        <v>1</v>
      </c>
      <c r="T40" s="2" t="str">
        <f aca="false">IF(H40="Broker-Reliant",IF(J40="Tail","5. Cost-to-Serve / Low-Touch",IF(OR(N40="Growing",N40="Stable"),"1. Migration Candidate",IF(N40="Declining","2. Protect / Retain First",IF(N40="Lapsed","3. Win-Back / Verify",IF(N40="H2 Active / No H1 GMV","4. Establish / Re-establish / Observe","UNASSIGNED"))))),IF(G40="Low",IF(J40="Tail","9. Long-Tail Automated Nurture",IF(OR(N40="Growing",N40="Stable"),"6. Growth Opportunity",IF(N40="H2 Active / No H1 GMV","7. Onboard / Re-engage / Learn",IF(OR(N40="Declining",N40="Lapsed"),"8. Retention / Reactivation","UNASSIGNED")))),"UNASSIGNED"))</f>
        <v>1. Migration Candidate</v>
      </c>
      <c r="U40" s="10" t="b">
        <f aca="false">AND(T40="1. Migration Candidate",J40="Core",O40&gt;=Assumptions!$B$39,Q40&gt;=Assumptions!$B$40,NOT(Z40))</f>
        <v>0</v>
      </c>
      <c r="V40" s="2" t="n">
        <f aca="false">(AND(H40="Broker-Reliant",J40&lt;&gt;"Tail",OR(N40="Growing",N40="Stable")))*1+(AND(H40="Broker-Reliant",J40&lt;&gt;"Tail",N40="Declining"))*1+(AND(H40="Broker-Reliant",J40&lt;&gt;"Tail",N40="Lapsed"))*1+(AND(H40="Broker-Reliant",J40&lt;&gt;"Tail",N40="H2 Active / No H1 GMV"))*1+(AND(H40="Broker-Reliant",J40="Tail"))*1+(AND(G40="Low",J40&lt;&gt;"Tail",OR(N40="Growing",N40="Stable")))*1+(AND(G40="Low",J40&lt;&gt;"Tail",N40="H2 Active / No H1 GMV"))*1+(AND(G40="Low",J40&lt;&gt;"Tail",OR(N40="Declining",N40="Lapsed")))*1+(AND(G40="Low",J40="Tail"))*1</f>
        <v>1</v>
      </c>
      <c r="W40" s="2" t="n">
        <f aca="false">INDEX('Commercial View'!$V$2:$V$301,MATCH($A40,'Commercial View'!$A$2:$A$301,0))</f>
        <v>3</v>
      </c>
      <c r="X40" s="10" t="b">
        <f aca="false">O40&lt;=Assumptions!$B$30</f>
        <v>0</v>
      </c>
      <c r="Y40" s="10" t="b">
        <f aca="false">W40&lt;=1</f>
        <v>0</v>
      </c>
      <c r="Z40" s="10" t="b">
        <f aca="false">C40="Duplicate"</f>
        <v>0</v>
      </c>
      <c r="AA40" s="10" t="b">
        <f aca="false">C40=""</f>
        <v>0</v>
      </c>
      <c r="AB40" s="2" t="n">
        <f aca="false">IF(P40+Q40&gt;0,ROUND(P40/(P40+Q40)*100,0),"")</f>
        <v>75</v>
      </c>
      <c r="AC40" s="2" t="n">
        <f aca="false">IF(P40+Q40&gt;0,ROUND(E40-P40/(P40+Q40)*100,0),"")</f>
        <v>-5</v>
      </c>
      <c r="AD40" s="10" t="b">
        <f aca="false">IF(AC40="",FALSE(),ABS(AC40)&gt;Assumptions!$B$41)</f>
        <v>0</v>
      </c>
      <c r="AE40" s="2" t="str">
        <f aca="false">IF(X40,"Low confidence (&lt;=2 orders); ","")&amp;IF(Y40,"Single-month history; ","")&amp;IF(Z40,"CRITICAL: Duplicate status; ","")&amp;IF(AA40,"Missing status; ","")&amp;IF(AD40,"Broker % vs counts gap "&amp;TEXT(AC40,"+0;-0")&amp;"pts; ","")</f>
        <v/>
      </c>
      <c r="AF40" s="2" t="str">
        <f aca="false">IF(AND(K40=0,L40&gt;0),IF(D40&lt;=Assumptions!$B$47,"New Customer","Returned Customer"),"Existing Customer")</f>
        <v>Existing Customer</v>
      </c>
      <c r="AG40" s="10" t="b">
        <f aca="false">AND(T40="1. Migration Candidate",J40="Key")</f>
        <v>0</v>
      </c>
      <c r="AH40" s="10" t="b">
        <f aca="false">IF(AND(K40&gt;0,L40&gt;0),OR(ABS(M40-Assumptions!$B$36)&lt;=Assumptions!$B$46,ABS(M40+Assumptions!$B$36)&lt;=Assumptions!$B$46),FALSE())</f>
        <v>0</v>
      </c>
      <c r="AI40" s="9" t="n">
        <f aca="false">INDEX('Commercial View'!$L$2:$L$301,MATCH($A40,'Commercial View'!$A$2:$A$301,0))+INDEX('Commercial View'!$M$2:$M$301,MATCH($A40,'Commercial View'!$A$2:$A$301,0))</f>
        <v>0</v>
      </c>
      <c r="AJ40" s="2" t="str">
        <f aca="false">IF(AND(K40=0,AI40=0),"No activity ex-Feb",IF(AI40=0,"Lapsed",IF(K40=0,"H2 Active / No H1 GMV",IF((AI40/2)/(K40/3)-1&gt;=Assumptions!$B$36,"Growing",IF((AI40/2)/(K40/3)-1&lt;-Assumptions!$B$36,"Declining","Stable")))))</f>
        <v>Lapsed</v>
      </c>
      <c r="AK40" s="10" t="b">
        <f aca="false">IF(OR(N40="Growing",N40="Stable"),"Healthy",N40)&lt;&gt;IF(OR(AJ40="Growing",AJ40="Stable"),"Healthy",AJ40)</f>
        <v>1</v>
      </c>
      <c r="AL40" s="2" t="str">
        <f aca="false">IF(N40="Lapsed",IF(OR(O40&lt;=Assumptions!$B$48,W40&lt;=Assumptions!$B$49),"One-Off / Insufficient History — Verify","Established Buyer Lapsed"),"N/A")</f>
        <v>N/A</v>
      </c>
      <c r="AM40" s="2" t="n">
        <f aca="false">INDEX('Scored Accounts'!$M$2:$M$301,MATCH($A40,'Scored Accounts'!$A$2:$A$301,0))</f>
        <v>75</v>
      </c>
      <c r="AN40" s="2" t="n">
        <f aca="false">IF((P40/(P40+Q40)*100)&lt;=Assumptions!$B$13,0,IF((P40/(P40+Q40)*100)&lt;Assumptions!$B$14,25,IF((P40/(P40+Q40)*100)&lt;Assumptions!$B$15,50,IF((P40/(P40+Q40)*100)&lt;Assumptions!$B$16,75,100))))</f>
        <v>75</v>
      </c>
      <c r="AO40" s="21" t="n">
        <f aca="false">IF((P40/(P40+Q40)*100)&lt;=Assumptions!$B$8,0,AN40*Assumptions!$B$4+INDEX('Scored Accounts'!$N$2:$N$301,MATCH($A40,'Scored Accounts'!$A$2:$A$301,0))*Assumptions!$B$5+INDEX('Scored Accounts'!$O$2:$O$301,MATCH($A40,'Scored Accounts'!$A$2:$A$301,0))*Assumptions!$B$6)</f>
        <v>75</v>
      </c>
      <c r="AP40" s="2" t="str">
        <f aca="false">IF(AO40&gt;=Assumptions!$B$9,"High",IF(AO40&gt;=Assumptions!$B$10,"Medium","Low"))</f>
        <v>High</v>
      </c>
      <c r="AQ40" s="10" t="b">
        <f aca="false">OR((E40&lt;=Assumptions!$B$8)&lt;&gt;((P40/(P40+Q40)*100)&lt;=Assumptions!$B$8),AM40&lt;&gt;AN40,G40&lt;&gt;AP40)</f>
        <v>0</v>
      </c>
      <c r="AR40" s="2" t="str">
        <f aca="false">IF(AP40&lt;&gt;"Low","Broker-Reliant",IF(B40="Account Managed","AM-Owned / Self-Serving","Self-Serve"))</f>
        <v>Broker-Reliant</v>
      </c>
      <c r="AS40" s="2" t="str">
        <f aca="false">IF(AR40="Broker-Reliant",IF(J40="Tail","5. Cost-to-Serve / Low-Touch",IF(OR(N40="Growing",N40="Stable"),"1. Migration Candidate",IF(N40="Declining","2. Protect / Retain First",IF(N40="Lapsed","3. Win-Back / Verify",IF(N40="H2 Active / No H1 GMV","4. Establish / Re-establish / Observe","UNASSIGNED"))))),IF(AP40="Low",IF(J40="Tail","9. Long-Tail Automated Nurture",IF(OR(N40="Growing",N40="Stable"),"6. Growth Opportunity",IF(N40="H2 Active / No H1 GMV","7. Onboard / Re-engage / Learn",IF(OR(N40="Declining",N40="Lapsed"),"8. Retention / Reactivation","UNASSIGNED")))),"UNASSIGNED"))</f>
        <v>1. Migration Candidate</v>
      </c>
      <c r="AT40" s="10" t="b">
        <f aca="false">AS40&lt;&gt;T40</f>
        <v>0</v>
      </c>
      <c r="AU40" s="2" t="str">
        <f aca="false">IF(NOT(U40),"Not Eligible",IF(OR(AQ40,AH40,AK40,NOT(AND(W40&gt;=Assumptions!$B$83,O40&gt;=Assumptions!$B$84))),"Manual Review","Ready"))</f>
        <v>Not Eligible</v>
      </c>
      <c r="AV40" s="2" t="str">
        <f aca="false">IF(AG40,"Key account - human sign-off required; ","")&amp;IF(AH40,"Borderline momentum; ","")&amp;IF(AK40,"February-sensitive ("&amp;N40&amp;" -&gt; "&amp;AJ40&amp;"); ","")&amp;IF(AL40="One-Off / Insufficient History — Verify","Lapsed on thin history - verify; ","")&amp;IF(AQ40,"Material broker % inconsistency (implied tier "&amp;AP40&amp;"); ","")&amp;IF(AT40,"Implied broker % would move segment to "&amp;AS40&amp;"; ","")</f>
        <v>February-sensitive (Growing -&gt; Lapsed); </v>
      </c>
      <c r="AW40" s="10" t="b">
        <f aca="false">AND(G40="Low",J40="Tail",I40&gt;=Assumptions!$B$64,O40&gt;=Assumptions!$B$65,OR(N40="Growing",N40="Stable",AND(N40="H2 Active / No H1 GMV",W40&gt;=2)),OR(R40&gt;=Assumptions!$B$66,S40&gt;=Assumptions!$B$67))</f>
        <v>0</v>
      </c>
    </row>
    <row r="41" customFormat="false" ht="15" hidden="false" customHeight="false" outlineLevel="0" collapsed="false">
      <c r="A41" s="2" t="s">
        <v>245</v>
      </c>
      <c r="B41" s="2" t="s">
        <v>1571</v>
      </c>
      <c r="C41" s="2" t="s">
        <v>1572</v>
      </c>
      <c r="D41" s="2" t="n">
        <v>12</v>
      </c>
      <c r="E41" s="2" t="n">
        <v>72</v>
      </c>
      <c r="F41" s="21" t="n">
        <f aca="false">INDEX('Scored Accounts'!$Q$2:$Q$301,MATCH($A41,'Scored Accounts'!$A$2:$A$301,0))</f>
        <v>75</v>
      </c>
      <c r="G41" s="2" t="str">
        <f aca="false">INDEX('Scored Accounts'!$R$2:$R$301,MATCH($A41,'Scored Accounts'!$A$2:$A$301,0))</f>
        <v>High</v>
      </c>
      <c r="H41" s="2" t="str">
        <f aca="false">IF(OR(G41="High",G41="Medium"),"Broker-Reliant",IF(AND(G41="Low",B41="Account Managed"),"AM-Owned / Self-Serving",IF(AND(G41="Low",B41="Self Serve"),"Self-Serve","UNASSIGNED")))</f>
        <v>Broker-Reliant</v>
      </c>
      <c r="I41" s="9" t="n">
        <v>3579</v>
      </c>
      <c r="J41" s="2" t="str">
        <f aca="false">IF(I41&gt;=Assumptions!$B$35,"Key",IF(I41&gt;=Assumptions!$B$34,"Core","Tail"))</f>
        <v>Core</v>
      </c>
      <c r="K41" s="9" t="n">
        <f aca="false">INDEX('Commercial View'!$R$2:$R$301,MATCH($A41,'Commercial View'!$A$2:$A$301,0))</f>
        <v>2692</v>
      </c>
      <c r="L41" s="9" t="n">
        <f aca="false">INDEX('Commercial View'!$S$2:$S$301,MATCH($A41,'Commercial View'!$A$2:$A$301,0))</f>
        <v>887</v>
      </c>
      <c r="M41" s="17" t="n">
        <f aca="false">INDEX('Commercial View'!$T$2:$T$301,MATCH($A41,'Commercial View'!$A$2:$A$301,0))</f>
        <v>-0.670505200594354</v>
      </c>
      <c r="N41" s="2" t="str">
        <f aca="false">INDEX('Commercial View'!$U$2:$U$301,MATCH($A41,'Commercial View'!$A$2:$A$301,0))</f>
        <v>Declining</v>
      </c>
      <c r="O41" s="2" t="n">
        <v>6</v>
      </c>
      <c r="P41" s="2" t="n">
        <v>4</v>
      </c>
      <c r="Q41" s="2" t="n">
        <v>2</v>
      </c>
      <c r="R41" s="2" t="n">
        <v>6</v>
      </c>
      <c r="S41" s="2" t="n">
        <v>1</v>
      </c>
      <c r="T41" s="2" t="str">
        <f aca="false">IF(H41="Broker-Reliant",IF(J41="Tail","5. Cost-to-Serve / Low-Touch",IF(OR(N41="Growing",N41="Stable"),"1. Migration Candidate",IF(N41="Declining","2. Protect / Retain First",IF(N41="Lapsed","3. Win-Back / Verify",IF(N41="H2 Active / No H1 GMV","4. Establish / Re-establish / Observe","UNASSIGNED"))))),IF(G41="Low",IF(J41="Tail","9. Long-Tail Automated Nurture",IF(OR(N41="Growing",N41="Stable"),"6. Growth Opportunity",IF(N41="H2 Active / No H1 GMV","7. Onboard / Re-engage / Learn",IF(OR(N41="Declining",N41="Lapsed"),"8. Retention / Reactivation","UNASSIGNED")))),"UNASSIGNED"))</f>
        <v>2. Protect / Retain First</v>
      </c>
      <c r="U41" s="10" t="b">
        <f aca="false">AND(T41="1. Migration Candidate",J41="Core",O41&gt;=Assumptions!$B$39,Q41&gt;=Assumptions!$B$40,NOT(Z41))</f>
        <v>0</v>
      </c>
      <c r="V41" s="2" t="n">
        <f aca="false">(AND(H41="Broker-Reliant",J41&lt;&gt;"Tail",OR(N41="Growing",N41="Stable")))*1+(AND(H41="Broker-Reliant",J41&lt;&gt;"Tail",N41="Declining"))*1+(AND(H41="Broker-Reliant",J41&lt;&gt;"Tail",N41="Lapsed"))*1+(AND(H41="Broker-Reliant",J41&lt;&gt;"Tail",N41="H2 Active / No H1 GMV"))*1+(AND(H41="Broker-Reliant",J41="Tail"))*1+(AND(G41="Low",J41&lt;&gt;"Tail",OR(N41="Growing",N41="Stable")))*1+(AND(G41="Low",J41&lt;&gt;"Tail",N41="H2 Active / No H1 GMV"))*1+(AND(G41="Low",J41&lt;&gt;"Tail",OR(N41="Declining",N41="Lapsed")))*1+(AND(G41="Low",J41="Tail"))*1</f>
        <v>1</v>
      </c>
      <c r="W41" s="2" t="n">
        <f aca="false">INDEX('Commercial View'!$V$2:$V$301,MATCH($A41,'Commercial View'!$A$2:$A$301,0))</f>
        <v>3</v>
      </c>
      <c r="X41" s="10" t="b">
        <f aca="false">O41&lt;=Assumptions!$B$30</f>
        <v>0</v>
      </c>
      <c r="Y41" s="10" t="b">
        <f aca="false">W41&lt;=1</f>
        <v>0</v>
      </c>
      <c r="Z41" s="10" t="b">
        <f aca="false">C41="Duplicate"</f>
        <v>0</v>
      </c>
      <c r="AA41" s="10" t="b">
        <f aca="false">C41=""</f>
        <v>0</v>
      </c>
      <c r="AB41" s="2" t="n">
        <f aca="false">IF(P41+Q41&gt;0,ROUND(P41/(P41+Q41)*100,0),"")</f>
        <v>67</v>
      </c>
      <c r="AC41" s="2" t="n">
        <f aca="false">IF(P41+Q41&gt;0,ROUND(E41-P41/(P41+Q41)*100,0),"")</f>
        <v>5</v>
      </c>
      <c r="AD41" s="10" t="b">
        <f aca="false">IF(AC41="",FALSE(),ABS(AC41)&gt;Assumptions!$B$41)</f>
        <v>0</v>
      </c>
      <c r="AE41" s="2" t="str">
        <f aca="false">IF(X41,"Low confidence (&lt;=2 orders); ","")&amp;IF(Y41,"Single-month history; ","")&amp;IF(Z41,"CRITICAL: Duplicate status; ","")&amp;IF(AA41,"Missing status; ","")&amp;IF(AD41,"Broker % vs counts gap "&amp;TEXT(AC41,"+0;-0")&amp;"pts; ","")</f>
        <v/>
      </c>
      <c r="AF41" s="2" t="str">
        <f aca="false">IF(AND(K41=0,L41&gt;0),IF(D41&lt;=Assumptions!$B$47,"New Customer","Returned Customer"),"Existing Customer")</f>
        <v>Existing Customer</v>
      </c>
      <c r="AG41" s="10" t="b">
        <f aca="false">AND(T41="1. Migration Candidate",J41="Key")</f>
        <v>0</v>
      </c>
      <c r="AH41" s="10" t="b">
        <f aca="false">IF(AND(K41&gt;0,L41&gt;0),OR(ABS(M41-Assumptions!$B$36)&lt;=Assumptions!$B$46,ABS(M41+Assumptions!$B$36)&lt;=Assumptions!$B$46),FALSE())</f>
        <v>0</v>
      </c>
      <c r="AI41" s="9" t="n">
        <f aca="false">INDEX('Commercial View'!$L$2:$L$301,MATCH($A41,'Commercial View'!$A$2:$A$301,0))+INDEX('Commercial View'!$M$2:$M$301,MATCH($A41,'Commercial View'!$A$2:$A$301,0))</f>
        <v>0</v>
      </c>
      <c r="AJ41" s="2" t="str">
        <f aca="false">IF(AND(K41=0,AI41=0),"No activity ex-Feb",IF(AI41=0,"Lapsed",IF(K41=0,"H2 Active / No H1 GMV",IF((AI41/2)/(K41/3)-1&gt;=Assumptions!$B$36,"Growing",IF((AI41/2)/(K41/3)-1&lt;-Assumptions!$B$36,"Declining","Stable")))))</f>
        <v>Lapsed</v>
      </c>
      <c r="AK41" s="10" t="b">
        <f aca="false">IF(OR(N41="Growing",N41="Stable"),"Healthy",N41)&lt;&gt;IF(OR(AJ41="Growing",AJ41="Stable"),"Healthy",AJ41)</f>
        <v>1</v>
      </c>
      <c r="AL41" s="2" t="str">
        <f aca="false">IF(N41="Lapsed",IF(OR(O41&lt;=Assumptions!$B$48,W41&lt;=Assumptions!$B$49),"One-Off / Insufficient History — Verify","Established Buyer Lapsed"),"N/A")</f>
        <v>N/A</v>
      </c>
      <c r="AM41" s="2" t="n">
        <f aca="false">INDEX('Scored Accounts'!$M$2:$M$301,MATCH($A41,'Scored Accounts'!$A$2:$A$301,0))</f>
        <v>75</v>
      </c>
      <c r="AN41" s="2" t="n">
        <f aca="false">IF((P41/(P41+Q41)*100)&lt;=Assumptions!$B$13,0,IF((P41/(P41+Q41)*100)&lt;Assumptions!$B$14,25,IF((P41/(P41+Q41)*100)&lt;Assumptions!$B$15,50,IF((P41/(P41+Q41)*100)&lt;Assumptions!$B$16,75,100))))</f>
        <v>75</v>
      </c>
      <c r="AO41" s="21" t="n">
        <f aca="false">IF((P41/(P41+Q41)*100)&lt;=Assumptions!$B$8,0,AN41*Assumptions!$B$4+INDEX('Scored Accounts'!$N$2:$N$301,MATCH($A41,'Scored Accounts'!$A$2:$A$301,0))*Assumptions!$B$5+INDEX('Scored Accounts'!$O$2:$O$301,MATCH($A41,'Scored Accounts'!$A$2:$A$301,0))*Assumptions!$B$6)</f>
        <v>75</v>
      </c>
      <c r="AP41" s="2" t="str">
        <f aca="false">IF(AO41&gt;=Assumptions!$B$9,"High",IF(AO41&gt;=Assumptions!$B$10,"Medium","Low"))</f>
        <v>High</v>
      </c>
      <c r="AQ41" s="10" t="b">
        <f aca="false">OR((E41&lt;=Assumptions!$B$8)&lt;&gt;((P41/(P41+Q41)*100)&lt;=Assumptions!$B$8),AM41&lt;&gt;AN41,G41&lt;&gt;AP41)</f>
        <v>0</v>
      </c>
      <c r="AR41" s="2" t="str">
        <f aca="false">IF(AP41&lt;&gt;"Low","Broker-Reliant",IF(B41="Account Managed","AM-Owned / Self-Serving","Self-Serve"))</f>
        <v>Broker-Reliant</v>
      </c>
      <c r="AS41" s="2" t="str">
        <f aca="false">IF(AR41="Broker-Reliant",IF(J41="Tail","5. Cost-to-Serve / Low-Touch",IF(OR(N41="Growing",N41="Stable"),"1. Migration Candidate",IF(N41="Declining","2. Protect / Retain First",IF(N41="Lapsed","3. Win-Back / Verify",IF(N41="H2 Active / No H1 GMV","4. Establish / Re-establish / Observe","UNASSIGNED"))))),IF(AP41="Low",IF(J41="Tail","9. Long-Tail Automated Nurture",IF(OR(N41="Growing",N41="Stable"),"6. Growth Opportunity",IF(N41="H2 Active / No H1 GMV","7. Onboard / Re-engage / Learn",IF(OR(N41="Declining",N41="Lapsed"),"8. Retention / Reactivation","UNASSIGNED")))),"UNASSIGNED"))</f>
        <v>2. Protect / Retain First</v>
      </c>
      <c r="AT41" s="10" t="b">
        <f aca="false">AS41&lt;&gt;T41</f>
        <v>0</v>
      </c>
      <c r="AU41" s="2" t="str">
        <f aca="false">IF(NOT(U41),"Not Eligible",IF(OR(AQ41,AH41,AK41,NOT(AND(W41&gt;=Assumptions!$B$83,O41&gt;=Assumptions!$B$84))),"Manual Review","Ready"))</f>
        <v>Not Eligible</v>
      </c>
      <c r="AV41" s="2" t="str">
        <f aca="false">IF(AG41,"Key account - human sign-off required; ","")&amp;IF(AH41,"Borderline momentum; ","")&amp;IF(AK41,"February-sensitive ("&amp;N41&amp;" -&gt; "&amp;AJ41&amp;"); ","")&amp;IF(AL41="One-Off / Insufficient History — Verify","Lapsed on thin history - verify; ","")&amp;IF(AQ41,"Material broker % inconsistency (implied tier "&amp;AP41&amp;"); ","")&amp;IF(AT41,"Implied broker % would move segment to "&amp;AS41&amp;"; ","")</f>
        <v>February-sensitive (Declining -&gt; Lapsed); </v>
      </c>
      <c r="AW41" s="10" t="b">
        <f aca="false">AND(G41="Low",J41="Tail",I41&gt;=Assumptions!$B$64,O41&gt;=Assumptions!$B$65,OR(N41="Growing",N41="Stable",AND(N41="H2 Active / No H1 GMV",W41&gt;=2)),OR(R41&gt;=Assumptions!$B$66,S41&gt;=Assumptions!$B$67))</f>
        <v>0</v>
      </c>
    </row>
    <row r="42" customFormat="false" ht="15" hidden="false" customHeight="false" outlineLevel="0" collapsed="false">
      <c r="A42" s="2" t="s">
        <v>248</v>
      </c>
      <c r="B42" s="2" t="s">
        <v>1571</v>
      </c>
      <c r="C42" s="2" t="s">
        <v>1572</v>
      </c>
      <c r="D42" s="2" t="n">
        <v>28</v>
      </c>
      <c r="E42" s="2" t="n">
        <v>61</v>
      </c>
      <c r="F42" s="21" t="n">
        <f aca="false">INDEX('Scored Accounts'!$Q$2:$Q$301,MATCH($A42,'Scored Accounts'!$A$2:$A$301,0))</f>
        <v>80</v>
      </c>
      <c r="G42" s="2" t="str">
        <f aca="false">INDEX('Scored Accounts'!$R$2:$R$301,MATCH($A42,'Scored Accounts'!$A$2:$A$301,0))</f>
        <v>High</v>
      </c>
      <c r="H42" s="2" t="str">
        <f aca="false">IF(OR(G42="High",G42="Medium"),"Broker-Reliant",IF(AND(G42="Low",B42="Account Managed"),"AM-Owned / Self-Serving",IF(AND(G42="Low",B42="Self Serve"),"Self-Serve","UNASSIGNED")))</f>
        <v>Broker-Reliant</v>
      </c>
      <c r="I42" s="9" t="n">
        <v>3549</v>
      </c>
      <c r="J42" s="2" t="str">
        <f aca="false">IF(I42&gt;=Assumptions!$B$35,"Key",IF(I42&gt;=Assumptions!$B$34,"Core","Tail"))</f>
        <v>Core</v>
      </c>
      <c r="K42" s="9" t="n">
        <f aca="false">INDEX('Commercial View'!$R$2:$R$301,MATCH($A42,'Commercial View'!$A$2:$A$301,0))</f>
        <v>2505</v>
      </c>
      <c r="L42" s="9" t="n">
        <f aca="false">INDEX('Commercial View'!$S$2:$S$301,MATCH($A42,'Commercial View'!$A$2:$A$301,0))</f>
        <v>1045</v>
      </c>
      <c r="M42" s="17" t="n">
        <f aca="false">INDEX('Commercial View'!$T$2:$T$301,MATCH($A42,'Commercial View'!$A$2:$A$301,0))</f>
        <v>-0.582834331337325</v>
      </c>
      <c r="N42" s="2" t="str">
        <f aca="false">INDEX('Commercial View'!$U$2:$U$301,MATCH($A42,'Commercial View'!$A$2:$A$301,0))</f>
        <v>Declining</v>
      </c>
      <c r="O42" s="2" t="n">
        <v>7</v>
      </c>
      <c r="P42" s="2" t="n">
        <v>4</v>
      </c>
      <c r="Q42" s="2" t="n">
        <v>3</v>
      </c>
      <c r="R42" s="2" t="n">
        <v>6</v>
      </c>
      <c r="S42" s="2" t="n">
        <v>0</v>
      </c>
      <c r="T42" s="2" t="str">
        <f aca="false">IF(H42="Broker-Reliant",IF(J42="Tail","5. Cost-to-Serve / Low-Touch",IF(OR(N42="Growing",N42="Stable"),"1. Migration Candidate",IF(N42="Declining","2. Protect / Retain First",IF(N42="Lapsed","3. Win-Back / Verify",IF(N42="H2 Active / No H1 GMV","4. Establish / Re-establish / Observe","UNASSIGNED"))))),IF(G42="Low",IF(J42="Tail","9. Long-Tail Automated Nurture",IF(OR(N42="Growing",N42="Stable"),"6. Growth Opportunity",IF(N42="H2 Active / No H1 GMV","7. Onboard / Re-engage / Learn",IF(OR(N42="Declining",N42="Lapsed"),"8. Retention / Reactivation","UNASSIGNED")))),"UNASSIGNED"))</f>
        <v>2. Protect / Retain First</v>
      </c>
      <c r="U42" s="10" t="b">
        <f aca="false">AND(T42="1. Migration Candidate",J42="Core",O42&gt;=Assumptions!$B$39,Q42&gt;=Assumptions!$B$40,NOT(Z42))</f>
        <v>0</v>
      </c>
      <c r="V42" s="2" t="n">
        <f aca="false">(AND(H42="Broker-Reliant",J42&lt;&gt;"Tail",OR(N42="Growing",N42="Stable")))*1+(AND(H42="Broker-Reliant",J42&lt;&gt;"Tail",N42="Declining"))*1+(AND(H42="Broker-Reliant",J42&lt;&gt;"Tail",N42="Lapsed"))*1+(AND(H42="Broker-Reliant",J42&lt;&gt;"Tail",N42="H2 Active / No H1 GMV"))*1+(AND(H42="Broker-Reliant",J42="Tail"))*1+(AND(G42="Low",J42&lt;&gt;"Tail",OR(N42="Growing",N42="Stable")))*1+(AND(G42="Low",J42&lt;&gt;"Tail",N42="H2 Active / No H1 GMV"))*1+(AND(G42="Low",J42&lt;&gt;"Tail",OR(N42="Declining",N42="Lapsed")))*1+(AND(G42="Low",J42="Tail"))*1</f>
        <v>1</v>
      </c>
      <c r="W42" s="2" t="n">
        <f aca="false">INDEX('Commercial View'!$V$2:$V$301,MATCH($A42,'Commercial View'!$A$2:$A$301,0))</f>
        <v>5</v>
      </c>
      <c r="X42" s="10" t="b">
        <f aca="false">O42&lt;=Assumptions!$B$30</f>
        <v>0</v>
      </c>
      <c r="Y42" s="10" t="b">
        <f aca="false">W42&lt;=1</f>
        <v>0</v>
      </c>
      <c r="Z42" s="10" t="b">
        <f aca="false">C42="Duplicate"</f>
        <v>0</v>
      </c>
      <c r="AA42" s="10" t="b">
        <f aca="false">C42=""</f>
        <v>0</v>
      </c>
      <c r="AB42" s="2" t="n">
        <f aca="false">IF(P42+Q42&gt;0,ROUND(P42/(P42+Q42)*100,0),"")</f>
        <v>57</v>
      </c>
      <c r="AC42" s="2" t="n">
        <f aca="false">IF(P42+Q42&gt;0,ROUND(E42-P42/(P42+Q42)*100,0),"")</f>
        <v>4</v>
      </c>
      <c r="AD42" s="10" t="b">
        <f aca="false">IF(AC42="",FALSE(),ABS(AC42)&gt;Assumptions!$B$41)</f>
        <v>0</v>
      </c>
      <c r="AE42" s="2" t="str">
        <f aca="false">IF(X42,"Low confidence (&lt;=2 orders); ","")&amp;IF(Y42,"Single-month history; ","")&amp;IF(Z42,"CRITICAL: Duplicate status; ","")&amp;IF(AA42,"Missing status; ","")&amp;IF(AD42,"Broker % vs counts gap "&amp;TEXT(AC42,"+0;-0")&amp;"pts; ","")</f>
        <v/>
      </c>
      <c r="AF42" s="2" t="str">
        <f aca="false">IF(AND(K42=0,L42&gt;0),IF(D42&lt;=Assumptions!$B$47,"New Customer","Returned Customer"),"Existing Customer")</f>
        <v>Existing Customer</v>
      </c>
      <c r="AG42" s="10" t="b">
        <f aca="false">AND(T42="1. Migration Candidate",J42="Key")</f>
        <v>0</v>
      </c>
      <c r="AH42" s="10" t="b">
        <f aca="false">IF(AND(K42&gt;0,L42&gt;0),OR(ABS(M42-Assumptions!$B$36)&lt;=Assumptions!$B$46,ABS(M42+Assumptions!$B$36)&lt;=Assumptions!$B$46),FALSE())</f>
        <v>0</v>
      </c>
      <c r="AI42" s="9" t="n">
        <f aca="false">INDEX('Commercial View'!$L$2:$L$301,MATCH($A42,'Commercial View'!$A$2:$A$301,0))+INDEX('Commercial View'!$M$2:$M$301,MATCH($A42,'Commercial View'!$A$2:$A$301,0))</f>
        <v>1045</v>
      </c>
      <c r="AJ42" s="2" t="str">
        <f aca="false">IF(AND(K42=0,AI42=0),"No activity ex-Feb",IF(AI42=0,"Lapsed",IF(K42=0,"H2 Active / No H1 GMV",IF((AI42/2)/(K42/3)-1&gt;=Assumptions!$B$36,"Growing",IF((AI42/2)/(K42/3)-1&lt;-Assumptions!$B$36,"Declining","Stable")))))</f>
        <v>Declining</v>
      </c>
      <c r="AK42" s="10" t="b">
        <f aca="false">IF(OR(N42="Growing",N42="Stable"),"Healthy",N42)&lt;&gt;IF(OR(AJ42="Growing",AJ42="Stable"),"Healthy",AJ42)</f>
        <v>0</v>
      </c>
      <c r="AL42" s="2" t="str">
        <f aca="false">IF(N42="Lapsed",IF(OR(O42&lt;=Assumptions!$B$48,W42&lt;=Assumptions!$B$49),"One-Off / Insufficient History — Verify","Established Buyer Lapsed"),"N/A")</f>
        <v>N/A</v>
      </c>
      <c r="AM42" s="2" t="n">
        <f aca="false">INDEX('Scored Accounts'!$M$2:$M$301,MATCH($A42,'Scored Accounts'!$A$2:$A$301,0))</f>
        <v>75</v>
      </c>
      <c r="AN42" s="2" t="n">
        <f aca="false">IF((P42/(P42+Q42)*100)&lt;=Assumptions!$B$13,0,IF((P42/(P42+Q42)*100)&lt;Assumptions!$B$14,25,IF((P42/(P42+Q42)*100)&lt;Assumptions!$B$15,50,IF((P42/(P42+Q42)*100)&lt;Assumptions!$B$16,75,100))))</f>
        <v>50</v>
      </c>
      <c r="AO42" s="21" t="n">
        <f aca="false">IF((P42/(P42+Q42)*100)&lt;=Assumptions!$B$8,0,AN42*Assumptions!$B$4+INDEX('Scored Accounts'!$N$2:$N$301,MATCH($A42,'Scored Accounts'!$A$2:$A$301,0))*Assumptions!$B$5+INDEX('Scored Accounts'!$O$2:$O$301,MATCH($A42,'Scored Accounts'!$A$2:$A$301,0))*Assumptions!$B$6)</f>
        <v>67.5</v>
      </c>
      <c r="AP42" s="2" t="str">
        <f aca="false">IF(AO42&gt;=Assumptions!$B$9,"High",IF(AO42&gt;=Assumptions!$B$10,"Medium","Low"))</f>
        <v>Medium</v>
      </c>
      <c r="AQ42" s="10" t="b">
        <f aca="false">OR((E42&lt;=Assumptions!$B$8)&lt;&gt;((P42/(P42+Q42)*100)&lt;=Assumptions!$B$8),AM42&lt;&gt;AN42,G42&lt;&gt;AP42)</f>
        <v>1</v>
      </c>
      <c r="AR42" s="2" t="str">
        <f aca="false">IF(AP42&lt;&gt;"Low","Broker-Reliant",IF(B42="Account Managed","AM-Owned / Self-Serving","Self-Serve"))</f>
        <v>Broker-Reliant</v>
      </c>
      <c r="AS42" s="2" t="str">
        <f aca="false">IF(AR42="Broker-Reliant",IF(J42="Tail","5. Cost-to-Serve / Low-Touch",IF(OR(N42="Growing",N42="Stable"),"1. Migration Candidate",IF(N42="Declining","2. Protect / Retain First",IF(N42="Lapsed","3. Win-Back / Verify",IF(N42="H2 Active / No H1 GMV","4. Establish / Re-establish / Observe","UNASSIGNED"))))),IF(AP42="Low",IF(J42="Tail","9. Long-Tail Automated Nurture",IF(OR(N42="Growing",N42="Stable"),"6. Growth Opportunity",IF(N42="H2 Active / No H1 GMV","7. Onboard / Re-engage / Learn",IF(OR(N42="Declining",N42="Lapsed"),"8. Retention / Reactivation","UNASSIGNED")))),"UNASSIGNED"))</f>
        <v>2. Protect / Retain First</v>
      </c>
      <c r="AT42" s="10" t="b">
        <f aca="false">AS42&lt;&gt;T42</f>
        <v>0</v>
      </c>
      <c r="AU42" s="2" t="str">
        <f aca="false">IF(NOT(U42),"Not Eligible",IF(OR(AQ42,AH42,AK42,NOT(AND(W42&gt;=Assumptions!$B$83,O42&gt;=Assumptions!$B$84))),"Manual Review","Ready"))</f>
        <v>Not Eligible</v>
      </c>
      <c r="AV42" s="2" t="str">
        <f aca="false">IF(AG42,"Key account - human sign-off required; ","")&amp;IF(AH42,"Borderline momentum; ","")&amp;IF(AK42,"February-sensitive ("&amp;N42&amp;" -&gt; "&amp;AJ42&amp;"); ","")&amp;IF(AL42="One-Off / Insufficient History — Verify","Lapsed on thin history - verify; ","")&amp;IF(AQ42,"Material broker % inconsistency (implied tier "&amp;AP42&amp;"); ","")&amp;IF(AT42,"Implied broker % would move segment to "&amp;AS42&amp;"; ","")</f>
        <v>Material broker % inconsistency (implied tier Medium); </v>
      </c>
      <c r="AW42" s="10" t="b">
        <f aca="false">AND(G42="Low",J42="Tail",I42&gt;=Assumptions!$B$64,O42&gt;=Assumptions!$B$65,OR(N42="Growing",N42="Stable",AND(N42="H2 Active / No H1 GMV",W42&gt;=2)),OR(R42&gt;=Assumptions!$B$66,S42&gt;=Assumptions!$B$67))</f>
        <v>0</v>
      </c>
    </row>
    <row r="43" customFormat="false" ht="15" hidden="false" customHeight="false" outlineLevel="0" collapsed="false">
      <c r="A43" s="2" t="s">
        <v>260</v>
      </c>
      <c r="B43" s="2" t="s">
        <v>1571</v>
      </c>
      <c r="C43" s="2" t="s">
        <v>1572</v>
      </c>
      <c r="D43" s="2" t="n">
        <v>34</v>
      </c>
      <c r="E43" s="2" t="n">
        <v>6</v>
      </c>
      <c r="F43" s="21" t="n">
        <f aca="false">INDEX('Scored Accounts'!$Q$2:$Q$301,MATCH($A43,'Scored Accounts'!$A$2:$A$301,0))</f>
        <v>0</v>
      </c>
      <c r="G43" s="2" t="str">
        <f aca="false">INDEX('Scored Accounts'!$R$2:$R$301,MATCH($A43,'Scored Accounts'!$A$2:$A$301,0))</f>
        <v>Low</v>
      </c>
      <c r="H43" s="2" t="str">
        <f aca="false">IF(OR(G43="High",G43="Medium"),"Broker-Reliant",IF(AND(G43="Low",B43="Account Managed"),"AM-Owned / Self-Serving",IF(AND(G43="Low",B43="Self Serve"),"Self-Serve","UNASSIGNED")))</f>
        <v>AM-Owned / Self-Serving</v>
      </c>
      <c r="I43" s="9" t="n">
        <v>3478</v>
      </c>
      <c r="J43" s="2" t="str">
        <f aca="false">IF(I43&gt;=Assumptions!$B$35,"Key",IF(I43&gt;=Assumptions!$B$34,"Core","Tail"))</f>
        <v>Core</v>
      </c>
      <c r="K43" s="9" t="n">
        <f aca="false">INDEX('Commercial View'!$R$2:$R$301,MATCH($A43,'Commercial View'!$A$2:$A$301,0))</f>
        <v>3478</v>
      </c>
      <c r="L43" s="9" t="n">
        <f aca="false">INDEX('Commercial View'!$S$2:$S$301,MATCH($A43,'Commercial View'!$A$2:$A$301,0))</f>
        <v>0</v>
      </c>
      <c r="M43" s="17" t="n">
        <f aca="false">INDEX('Commercial View'!$T$2:$T$301,MATCH($A43,'Commercial View'!$A$2:$A$301,0))</f>
        <v>-1</v>
      </c>
      <c r="N43" s="2" t="str">
        <f aca="false">INDEX('Commercial View'!$U$2:$U$301,MATCH($A43,'Commercial View'!$A$2:$A$301,0))</f>
        <v>Lapsed</v>
      </c>
      <c r="O43" s="2" t="n">
        <v>1</v>
      </c>
      <c r="P43" s="2" t="n">
        <v>0</v>
      </c>
      <c r="Q43" s="2" t="n">
        <v>1</v>
      </c>
      <c r="R43" s="2" t="n">
        <v>1</v>
      </c>
      <c r="S43" s="2" t="n">
        <v>0</v>
      </c>
      <c r="T43" s="2" t="str">
        <f aca="false">IF(H43="Broker-Reliant",IF(J43="Tail","5. Cost-to-Serve / Low-Touch",IF(OR(N43="Growing",N43="Stable"),"1. Migration Candidate",IF(N43="Declining","2. Protect / Retain First",IF(N43="Lapsed","3. Win-Back / Verify",IF(N43="H2 Active / No H1 GMV","4. Establish / Re-establish / Observe","UNASSIGNED"))))),IF(G43="Low",IF(J43="Tail","9. Long-Tail Automated Nurture",IF(OR(N43="Growing",N43="Stable"),"6. Growth Opportunity",IF(N43="H2 Active / No H1 GMV","7. Onboard / Re-engage / Learn",IF(OR(N43="Declining",N43="Lapsed"),"8. Retention / Reactivation","UNASSIGNED")))),"UNASSIGNED"))</f>
        <v>8. Retention / Reactivation</v>
      </c>
      <c r="U43" s="10" t="b">
        <f aca="false">AND(T43="1. Migration Candidate",J43="Core",O43&gt;=Assumptions!$B$39,Q43&gt;=Assumptions!$B$40,NOT(Z43))</f>
        <v>0</v>
      </c>
      <c r="V43" s="2" t="n">
        <f aca="false">(AND(H43="Broker-Reliant",J43&lt;&gt;"Tail",OR(N43="Growing",N43="Stable")))*1+(AND(H43="Broker-Reliant",J43&lt;&gt;"Tail",N43="Declining"))*1+(AND(H43="Broker-Reliant",J43&lt;&gt;"Tail",N43="Lapsed"))*1+(AND(H43="Broker-Reliant",J43&lt;&gt;"Tail",N43="H2 Active / No H1 GMV"))*1+(AND(H43="Broker-Reliant",J43="Tail"))*1+(AND(G43="Low",J43&lt;&gt;"Tail",OR(N43="Growing",N43="Stable")))*1+(AND(G43="Low",J43&lt;&gt;"Tail",N43="H2 Active / No H1 GMV"))*1+(AND(G43="Low",J43&lt;&gt;"Tail",OR(N43="Declining",N43="Lapsed")))*1+(AND(G43="Low",J43="Tail"))*1</f>
        <v>1</v>
      </c>
      <c r="W43" s="2" t="n">
        <f aca="false">INDEX('Commercial View'!$V$2:$V$301,MATCH($A43,'Commercial View'!$A$2:$A$301,0))</f>
        <v>1</v>
      </c>
      <c r="X43" s="10" t="b">
        <f aca="false">O43&lt;=Assumptions!$B$30</f>
        <v>1</v>
      </c>
      <c r="Y43" s="10" t="b">
        <f aca="false">W43&lt;=1</f>
        <v>1</v>
      </c>
      <c r="Z43" s="10" t="b">
        <f aca="false">C43="Duplicate"</f>
        <v>0</v>
      </c>
      <c r="AA43" s="10" t="b">
        <f aca="false">C43=""</f>
        <v>0</v>
      </c>
      <c r="AB43" s="2" t="n">
        <f aca="false">IF(P43+Q43&gt;0,ROUND(P43/(P43+Q43)*100,0),"")</f>
        <v>0</v>
      </c>
      <c r="AC43" s="2" t="n">
        <f aca="false">IF(P43+Q43&gt;0,ROUND(E43-P43/(P43+Q43)*100,0),"")</f>
        <v>6</v>
      </c>
      <c r="AD43" s="10" t="b">
        <f aca="false">IF(AC43="",FALSE(),ABS(AC43)&gt;Assumptions!$B$41)</f>
        <v>0</v>
      </c>
      <c r="AE43" s="2" t="str">
        <f aca="false">IF(X43,"Low confidence (&lt;=2 orders); ","")&amp;IF(Y43,"Single-month history; ","")&amp;IF(Z43,"CRITICAL: Duplicate status; ","")&amp;IF(AA43,"Missing status; ","")&amp;IF(AD43,"Broker % vs counts gap "&amp;TEXT(AC43,"+0;-0")&amp;"pts; ","")</f>
        <v>Low confidence (&lt;=2 orders); Single-month history; </v>
      </c>
      <c r="AF43" s="2" t="str">
        <f aca="false">IF(AND(K43=0,L43&gt;0),IF(D43&lt;=Assumptions!$B$47,"New Customer","Returned Customer"),"Existing Customer")</f>
        <v>Existing Customer</v>
      </c>
      <c r="AG43" s="10" t="b">
        <f aca="false">AND(T43="1. Migration Candidate",J43="Key")</f>
        <v>0</v>
      </c>
      <c r="AH43" s="10" t="b">
        <f aca="false">IF(AND(K43&gt;0,L43&gt;0),OR(ABS(M43-Assumptions!$B$36)&lt;=Assumptions!$B$46,ABS(M43+Assumptions!$B$36)&lt;=Assumptions!$B$46),FALSE())</f>
        <v>0</v>
      </c>
      <c r="AI43" s="9" t="n">
        <f aca="false">INDEX('Commercial View'!$L$2:$L$301,MATCH($A43,'Commercial View'!$A$2:$A$301,0))+INDEX('Commercial View'!$M$2:$M$301,MATCH($A43,'Commercial View'!$A$2:$A$301,0))</f>
        <v>0</v>
      </c>
      <c r="AJ43" s="2" t="str">
        <f aca="false">IF(AND(K43=0,AI43=0),"No activity ex-Feb",IF(AI43=0,"Lapsed",IF(K43=0,"H2 Active / No H1 GMV",IF((AI43/2)/(K43/3)-1&gt;=Assumptions!$B$36,"Growing",IF((AI43/2)/(K43/3)-1&lt;-Assumptions!$B$36,"Declining","Stable")))))</f>
        <v>Lapsed</v>
      </c>
      <c r="AK43" s="10" t="b">
        <f aca="false">IF(OR(N43="Growing",N43="Stable"),"Healthy",N43)&lt;&gt;IF(OR(AJ43="Growing",AJ43="Stable"),"Healthy",AJ43)</f>
        <v>0</v>
      </c>
      <c r="AL43" s="2" t="str">
        <f aca="false">IF(N43="Lapsed",IF(OR(O43&lt;=Assumptions!$B$48,W43&lt;=Assumptions!$B$49),"One-Off / Insufficient History — Verify","Established Buyer Lapsed"),"N/A")</f>
        <v>One-Off / Insufficient History — Verify</v>
      </c>
      <c r="AM43" s="2" t="n">
        <f aca="false">INDEX('Scored Accounts'!$M$2:$M$301,MATCH($A43,'Scored Accounts'!$A$2:$A$301,0))</f>
        <v>0</v>
      </c>
      <c r="AN43" s="2" t="n">
        <f aca="false">IF((P43/(P43+Q43)*100)&lt;=Assumptions!$B$13,0,IF((P43/(P43+Q43)*100)&lt;Assumptions!$B$14,25,IF((P43/(P43+Q43)*100)&lt;Assumptions!$B$15,50,IF((P43/(P43+Q43)*100)&lt;Assumptions!$B$16,75,100))))</f>
        <v>0</v>
      </c>
      <c r="AO43" s="21" t="n">
        <f aca="false">IF((P43/(P43+Q43)*100)&lt;=Assumptions!$B$8,0,AN43*Assumptions!$B$4+INDEX('Scored Accounts'!$N$2:$N$301,MATCH($A43,'Scored Accounts'!$A$2:$A$301,0))*Assumptions!$B$5+INDEX('Scored Accounts'!$O$2:$O$301,MATCH($A43,'Scored Accounts'!$A$2:$A$301,0))*Assumptions!$B$6)</f>
        <v>0</v>
      </c>
      <c r="AP43" s="2" t="str">
        <f aca="false">IF(AO43&gt;=Assumptions!$B$9,"High",IF(AO43&gt;=Assumptions!$B$10,"Medium","Low"))</f>
        <v>Low</v>
      </c>
      <c r="AQ43" s="10" t="b">
        <f aca="false">OR((E43&lt;=Assumptions!$B$8)&lt;&gt;((P43/(P43+Q43)*100)&lt;=Assumptions!$B$8),AM43&lt;&gt;AN43,G43&lt;&gt;AP43)</f>
        <v>0</v>
      </c>
      <c r="AR43" s="2" t="str">
        <f aca="false">IF(AP43&lt;&gt;"Low","Broker-Reliant",IF(B43="Account Managed","AM-Owned / Self-Serving","Self-Serve"))</f>
        <v>AM-Owned / Self-Serving</v>
      </c>
      <c r="AS43" s="2" t="str">
        <f aca="false">IF(AR43="Broker-Reliant",IF(J43="Tail","5. Cost-to-Serve / Low-Touch",IF(OR(N43="Growing",N43="Stable"),"1. Migration Candidate",IF(N43="Declining","2. Protect / Retain First",IF(N43="Lapsed","3. Win-Back / Verify",IF(N43="H2 Active / No H1 GMV","4. Establish / Re-establish / Observe","UNASSIGNED"))))),IF(AP43="Low",IF(J43="Tail","9. Long-Tail Automated Nurture",IF(OR(N43="Growing",N43="Stable"),"6. Growth Opportunity",IF(N43="H2 Active / No H1 GMV","7. Onboard / Re-engage / Learn",IF(OR(N43="Declining",N43="Lapsed"),"8. Retention / Reactivation","UNASSIGNED")))),"UNASSIGNED"))</f>
        <v>8. Retention / Reactivation</v>
      </c>
      <c r="AT43" s="10" t="b">
        <f aca="false">AS43&lt;&gt;T43</f>
        <v>0</v>
      </c>
      <c r="AU43" s="2" t="str">
        <f aca="false">IF(NOT(U43),"Not Eligible",IF(OR(AQ43,AH43,AK43,NOT(AND(W43&gt;=Assumptions!$B$83,O43&gt;=Assumptions!$B$84))),"Manual Review","Ready"))</f>
        <v>Not Eligible</v>
      </c>
      <c r="AV43" s="2" t="str">
        <f aca="false">IF(AG43,"Key account - human sign-off required; ","")&amp;IF(AH43,"Borderline momentum; ","")&amp;IF(AK43,"February-sensitive ("&amp;N43&amp;" -&gt; "&amp;AJ43&amp;"); ","")&amp;IF(AL43="One-Off / Insufficient History — Verify","Lapsed on thin history - verify; ","")&amp;IF(AQ43,"Material broker % inconsistency (implied tier "&amp;AP43&amp;"); ","")&amp;IF(AT43,"Implied broker % would move segment to "&amp;AS43&amp;"; ","")</f>
        <v>Lapsed on thin history - verify; </v>
      </c>
      <c r="AW43" s="10" t="b">
        <f aca="false">AND(G43="Low",J43="Tail",I43&gt;=Assumptions!$B$64,O43&gt;=Assumptions!$B$65,OR(N43="Growing",N43="Stable",AND(N43="H2 Active / No H1 GMV",W43&gt;=2)),OR(R43&gt;=Assumptions!$B$66,S43&gt;=Assumptions!$B$67))</f>
        <v>0</v>
      </c>
    </row>
    <row r="44" customFormat="false" ht="15" hidden="false" customHeight="false" outlineLevel="0" collapsed="false">
      <c r="A44" s="2" t="s">
        <v>263</v>
      </c>
      <c r="B44" s="2" t="s">
        <v>1571</v>
      </c>
      <c r="C44" s="2" t="s">
        <v>1572</v>
      </c>
      <c r="D44" s="2" t="n">
        <v>20</v>
      </c>
      <c r="E44" s="2" t="n">
        <v>64</v>
      </c>
      <c r="F44" s="21" t="n">
        <f aca="false">INDEX('Scored Accounts'!$Q$2:$Q$301,MATCH($A44,'Scored Accounts'!$A$2:$A$301,0))</f>
        <v>75</v>
      </c>
      <c r="G44" s="2" t="str">
        <f aca="false">INDEX('Scored Accounts'!$R$2:$R$301,MATCH($A44,'Scored Accounts'!$A$2:$A$301,0))</f>
        <v>High</v>
      </c>
      <c r="H44" s="2" t="str">
        <f aca="false">IF(OR(G44="High",G44="Medium"),"Broker-Reliant",IF(AND(G44="Low",B44="Account Managed"),"AM-Owned / Self-Serving",IF(AND(G44="Low",B44="Self Serve"),"Self-Serve","UNASSIGNED")))</f>
        <v>Broker-Reliant</v>
      </c>
      <c r="I44" s="9" t="n">
        <v>3434</v>
      </c>
      <c r="J44" s="2" t="str">
        <f aca="false">IF(I44&gt;=Assumptions!$B$35,"Key",IF(I44&gt;=Assumptions!$B$34,"Core","Tail"))</f>
        <v>Core</v>
      </c>
      <c r="K44" s="9" t="n">
        <f aca="false">INDEX('Commercial View'!$R$2:$R$301,MATCH($A44,'Commercial View'!$A$2:$A$301,0))</f>
        <v>2455</v>
      </c>
      <c r="L44" s="9" t="n">
        <f aca="false">INDEX('Commercial View'!$S$2:$S$301,MATCH($A44,'Commercial View'!$A$2:$A$301,0))</f>
        <v>980</v>
      </c>
      <c r="M44" s="17" t="n">
        <f aca="false">INDEX('Commercial View'!$T$2:$T$301,MATCH($A44,'Commercial View'!$A$2:$A$301,0))</f>
        <v>-0.60081466395112</v>
      </c>
      <c r="N44" s="2" t="str">
        <f aca="false">INDEX('Commercial View'!$U$2:$U$301,MATCH($A44,'Commercial View'!$A$2:$A$301,0))</f>
        <v>Declining</v>
      </c>
      <c r="O44" s="2" t="n">
        <v>5</v>
      </c>
      <c r="P44" s="2" t="n">
        <v>3</v>
      </c>
      <c r="Q44" s="2" t="n">
        <v>2</v>
      </c>
      <c r="R44" s="2" t="n">
        <v>5</v>
      </c>
      <c r="S44" s="2" t="n">
        <v>1</v>
      </c>
      <c r="T44" s="2" t="str">
        <f aca="false">IF(H44="Broker-Reliant",IF(J44="Tail","5. Cost-to-Serve / Low-Touch",IF(OR(N44="Growing",N44="Stable"),"1. Migration Candidate",IF(N44="Declining","2. Protect / Retain First",IF(N44="Lapsed","3. Win-Back / Verify",IF(N44="H2 Active / No H1 GMV","4. Establish / Re-establish / Observe","UNASSIGNED"))))),IF(G44="Low",IF(J44="Tail","9. Long-Tail Automated Nurture",IF(OR(N44="Growing",N44="Stable"),"6. Growth Opportunity",IF(N44="H2 Active / No H1 GMV","7. Onboard / Re-engage / Learn",IF(OR(N44="Declining",N44="Lapsed"),"8. Retention / Reactivation","UNASSIGNED")))),"UNASSIGNED"))</f>
        <v>2. Protect / Retain First</v>
      </c>
      <c r="U44" s="10" t="b">
        <f aca="false">AND(T44="1. Migration Candidate",J44="Core",O44&gt;=Assumptions!$B$39,Q44&gt;=Assumptions!$B$40,NOT(Z44))</f>
        <v>0</v>
      </c>
      <c r="V44" s="2" t="n">
        <f aca="false">(AND(H44="Broker-Reliant",J44&lt;&gt;"Tail",OR(N44="Growing",N44="Stable")))*1+(AND(H44="Broker-Reliant",J44&lt;&gt;"Tail",N44="Declining"))*1+(AND(H44="Broker-Reliant",J44&lt;&gt;"Tail",N44="Lapsed"))*1+(AND(H44="Broker-Reliant",J44&lt;&gt;"Tail",N44="H2 Active / No H1 GMV"))*1+(AND(H44="Broker-Reliant",J44="Tail"))*1+(AND(G44="Low",J44&lt;&gt;"Tail",OR(N44="Growing",N44="Stable")))*1+(AND(G44="Low",J44&lt;&gt;"Tail",N44="H2 Active / No H1 GMV"))*1+(AND(G44="Low",J44&lt;&gt;"Tail",OR(N44="Declining",N44="Lapsed")))*1+(AND(G44="Low",J44="Tail"))*1</f>
        <v>1</v>
      </c>
      <c r="W44" s="2" t="n">
        <f aca="false">INDEX('Commercial View'!$V$2:$V$301,MATCH($A44,'Commercial View'!$A$2:$A$301,0))</f>
        <v>3</v>
      </c>
      <c r="X44" s="10" t="b">
        <f aca="false">O44&lt;=Assumptions!$B$30</f>
        <v>0</v>
      </c>
      <c r="Y44" s="10" t="b">
        <f aca="false">W44&lt;=1</f>
        <v>0</v>
      </c>
      <c r="Z44" s="10" t="b">
        <f aca="false">C44="Duplicate"</f>
        <v>0</v>
      </c>
      <c r="AA44" s="10" t="b">
        <f aca="false">C44=""</f>
        <v>0</v>
      </c>
      <c r="AB44" s="2" t="n">
        <f aca="false">IF(P44+Q44&gt;0,ROUND(P44/(P44+Q44)*100,0),"")</f>
        <v>60</v>
      </c>
      <c r="AC44" s="2" t="n">
        <f aca="false">IF(P44+Q44&gt;0,ROUND(E44-P44/(P44+Q44)*100,0),"")</f>
        <v>4</v>
      </c>
      <c r="AD44" s="10" t="b">
        <f aca="false">IF(AC44="",FALSE(),ABS(AC44)&gt;Assumptions!$B$41)</f>
        <v>0</v>
      </c>
      <c r="AE44" s="2" t="str">
        <f aca="false">IF(X44,"Low confidence (&lt;=2 orders); ","")&amp;IF(Y44,"Single-month history; ","")&amp;IF(Z44,"CRITICAL: Duplicate status; ","")&amp;IF(AA44,"Missing status; ","")&amp;IF(AD44,"Broker % vs counts gap "&amp;TEXT(AC44,"+0;-0")&amp;"pts; ","")</f>
        <v/>
      </c>
      <c r="AF44" s="2" t="str">
        <f aca="false">IF(AND(K44=0,L44&gt;0),IF(D44&lt;=Assumptions!$B$47,"New Customer","Returned Customer"),"Existing Customer")</f>
        <v>Existing Customer</v>
      </c>
      <c r="AG44" s="10" t="b">
        <f aca="false">AND(T44="1. Migration Candidate",J44="Key")</f>
        <v>0</v>
      </c>
      <c r="AH44" s="10" t="b">
        <f aca="false">IF(AND(K44&gt;0,L44&gt;0),OR(ABS(M44-Assumptions!$B$36)&lt;=Assumptions!$B$46,ABS(M44+Assumptions!$B$36)&lt;=Assumptions!$B$46),FALSE())</f>
        <v>0</v>
      </c>
      <c r="AI44" s="9" t="n">
        <f aca="false">INDEX('Commercial View'!$L$2:$L$301,MATCH($A44,'Commercial View'!$A$2:$A$301,0))+INDEX('Commercial View'!$M$2:$M$301,MATCH($A44,'Commercial View'!$A$2:$A$301,0))</f>
        <v>980</v>
      </c>
      <c r="AJ44" s="2" t="str">
        <f aca="false">IF(AND(K44=0,AI44=0),"No activity ex-Feb",IF(AI44=0,"Lapsed",IF(K44=0,"H2 Active / No H1 GMV",IF((AI44/2)/(K44/3)-1&gt;=Assumptions!$B$36,"Growing",IF((AI44/2)/(K44/3)-1&lt;-Assumptions!$B$36,"Declining","Stable")))))</f>
        <v>Declining</v>
      </c>
      <c r="AK44" s="10" t="b">
        <f aca="false">IF(OR(N44="Growing",N44="Stable"),"Healthy",N44)&lt;&gt;IF(OR(AJ44="Growing",AJ44="Stable"),"Healthy",AJ44)</f>
        <v>0</v>
      </c>
      <c r="AL44" s="2" t="str">
        <f aca="false">IF(N44="Lapsed",IF(OR(O44&lt;=Assumptions!$B$48,W44&lt;=Assumptions!$B$49),"One-Off / Insufficient History — Verify","Established Buyer Lapsed"),"N/A")</f>
        <v>N/A</v>
      </c>
      <c r="AM44" s="2" t="n">
        <f aca="false">INDEX('Scored Accounts'!$M$2:$M$301,MATCH($A44,'Scored Accounts'!$A$2:$A$301,0))</f>
        <v>75</v>
      </c>
      <c r="AN44" s="2" t="n">
        <f aca="false">IF((P44/(P44+Q44)*100)&lt;=Assumptions!$B$13,0,IF((P44/(P44+Q44)*100)&lt;Assumptions!$B$14,25,IF((P44/(P44+Q44)*100)&lt;Assumptions!$B$15,50,IF((P44/(P44+Q44)*100)&lt;Assumptions!$B$16,75,100))))</f>
        <v>75</v>
      </c>
      <c r="AO44" s="21" t="n">
        <f aca="false">IF((P44/(P44+Q44)*100)&lt;=Assumptions!$B$8,0,AN44*Assumptions!$B$4+INDEX('Scored Accounts'!$N$2:$N$301,MATCH($A44,'Scored Accounts'!$A$2:$A$301,0))*Assumptions!$B$5+INDEX('Scored Accounts'!$O$2:$O$301,MATCH($A44,'Scored Accounts'!$A$2:$A$301,0))*Assumptions!$B$6)</f>
        <v>75</v>
      </c>
      <c r="AP44" s="2" t="str">
        <f aca="false">IF(AO44&gt;=Assumptions!$B$9,"High",IF(AO44&gt;=Assumptions!$B$10,"Medium","Low"))</f>
        <v>High</v>
      </c>
      <c r="AQ44" s="10" t="b">
        <f aca="false">OR((E44&lt;=Assumptions!$B$8)&lt;&gt;((P44/(P44+Q44)*100)&lt;=Assumptions!$B$8),AM44&lt;&gt;AN44,G44&lt;&gt;AP44)</f>
        <v>0</v>
      </c>
      <c r="AR44" s="2" t="str">
        <f aca="false">IF(AP44&lt;&gt;"Low","Broker-Reliant",IF(B44="Account Managed","AM-Owned / Self-Serving","Self-Serve"))</f>
        <v>Broker-Reliant</v>
      </c>
      <c r="AS44" s="2" t="str">
        <f aca="false">IF(AR44="Broker-Reliant",IF(J44="Tail","5. Cost-to-Serve / Low-Touch",IF(OR(N44="Growing",N44="Stable"),"1. Migration Candidate",IF(N44="Declining","2. Protect / Retain First",IF(N44="Lapsed","3. Win-Back / Verify",IF(N44="H2 Active / No H1 GMV","4. Establish / Re-establish / Observe","UNASSIGNED"))))),IF(AP44="Low",IF(J44="Tail","9. Long-Tail Automated Nurture",IF(OR(N44="Growing",N44="Stable"),"6. Growth Opportunity",IF(N44="H2 Active / No H1 GMV","7. Onboard / Re-engage / Learn",IF(OR(N44="Declining",N44="Lapsed"),"8. Retention / Reactivation","UNASSIGNED")))),"UNASSIGNED"))</f>
        <v>2. Protect / Retain First</v>
      </c>
      <c r="AT44" s="10" t="b">
        <f aca="false">AS44&lt;&gt;T44</f>
        <v>0</v>
      </c>
      <c r="AU44" s="2" t="str">
        <f aca="false">IF(NOT(U44),"Not Eligible",IF(OR(AQ44,AH44,AK44,NOT(AND(W44&gt;=Assumptions!$B$83,O44&gt;=Assumptions!$B$84))),"Manual Review","Ready"))</f>
        <v>Not Eligible</v>
      </c>
      <c r="AV44" s="2" t="str">
        <f aca="false">IF(AG44,"Key account - human sign-off required; ","")&amp;IF(AH44,"Borderline momentum; ","")&amp;IF(AK44,"February-sensitive ("&amp;N44&amp;" -&gt; "&amp;AJ44&amp;"); ","")&amp;IF(AL44="One-Off / Insufficient History — Verify","Lapsed on thin history - verify; ","")&amp;IF(AQ44,"Material broker % inconsistency (implied tier "&amp;AP44&amp;"); ","")&amp;IF(AT44,"Implied broker % would move segment to "&amp;AS44&amp;"; ","")</f>
        <v/>
      </c>
      <c r="AW44" s="10" t="b">
        <f aca="false">AND(G44="Low",J44="Tail",I44&gt;=Assumptions!$B$64,O44&gt;=Assumptions!$B$65,OR(N44="Growing",N44="Stable",AND(N44="H2 Active / No H1 GMV",W44&gt;=2)),OR(R44&gt;=Assumptions!$B$66,S44&gt;=Assumptions!$B$67))</f>
        <v>0</v>
      </c>
    </row>
    <row r="45" customFormat="false" ht="15" hidden="false" customHeight="false" outlineLevel="0" collapsed="false">
      <c r="A45" s="2" t="s">
        <v>266</v>
      </c>
      <c r="B45" s="2" t="s">
        <v>1571</v>
      </c>
      <c r="C45" s="2" t="s">
        <v>1572</v>
      </c>
      <c r="D45" s="2" t="n">
        <v>8</v>
      </c>
      <c r="E45" s="2" t="n">
        <v>66</v>
      </c>
      <c r="F45" s="21" t="n">
        <f aca="false">INDEX('Scored Accounts'!$Q$2:$Q$301,MATCH($A45,'Scored Accounts'!$A$2:$A$301,0))</f>
        <v>82.5</v>
      </c>
      <c r="G45" s="2" t="str">
        <f aca="false">INDEX('Scored Accounts'!$R$2:$R$301,MATCH($A45,'Scored Accounts'!$A$2:$A$301,0))</f>
        <v>High</v>
      </c>
      <c r="H45" s="2" t="str">
        <f aca="false">IF(OR(G45="High",G45="Medium"),"Broker-Reliant",IF(AND(G45="Low",B45="Account Managed"),"AM-Owned / Self-Serving",IF(AND(G45="Low",B45="Self Serve"),"Self-Serve","UNASSIGNED")))</f>
        <v>Broker-Reliant</v>
      </c>
      <c r="I45" s="9" t="n">
        <v>3383</v>
      </c>
      <c r="J45" s="2" t="str">
        <f aca="false">IF(I45&gt;=Assumptions!$B$35,"Key",IF(I45&gt;=Assumptions!$B$34,"Core","Tail"))</f>
        <v>Core</v>
      </c>
      <c r="K45" s="9" t="n">
        <f aca="false">INDEX('Commercial View'!$R$2:$R$301,MATCH($A45,'Commercial View'!$A$2:$A$301,0))</f>
        <v>3383</v>
      </c>
      <c r="L45" s="9" t="n">
        <f aca="false">INDEX('Commercial View'!$S$2:$S$301,MATCH($A45,'Commercial View'!$A$2:$A$301,0))</f>
        <v>0</v>
      </c>
      <c r="M45" s="17" t="n">
        <f aca="false">INDEX('Commercial View'!$T$2:$T$301,MATCH($A45,'Commercial View'!$A$2:$A$301,0))</f>
        <v>-1</v>
      </c>
      <c r="N45" s="2" t="str">
        <f aca="false">INDEX('Commercial View'!$U$2:$U$301,MATCH($A45,'Commercial View'!$A$2:$A$301,0))</f>
        <v>Lapsed</v>
      </c>
      <c r="O45" s="2" t="n">
        <v>3</v>
      </c>
      <c r="P45" s="2" t="n">
        <v>2</v>
      </c>
      <c r="Q45" s="2" t="n">
        <v>1</v>
      </c>
      <c r="R45" s="2" t="n">
        <v>0</v>
      </c>
      <c r="S45" s="2" t="n">
        <v>1</v>
      </c>
      <c r="T45" s="2" t="str">
        <f aca="false">IF(H45="Broker-Reliant",IF(J45="Tail","5. Cost-to-Serve / Low-Touch",IF(OR(N45="Growing",N45="Stable"),"1. Migration Candidate",IF(N45="Declining","2. Protect / Retain First",IF(N45="Lapsed","3. Win-Back / Verify",IF(N45="H2 Active / No H1 GMV","4. Establish / Re-establish / Observe","UNASSIGNED"))))),IF(G45="Low",IF(J45="Tail","9. Long-Tail Automated Nurture",IF(OR(N45="Growing",N45="Stable"),"6. Growth Opportunity",IF(N45="H2 Active / No H1 GMV","7. Onboard / Re-engage / Learn",IF(OR(N45="Declining",N45="Lapsed"),"8. Retention / Reactivation","UNASSIGNED")))),"UNASSIGNED"))</f>
        <v>3. Win-Back / Verify</v>
      </c>
      <c r="U45" s="10" t="b">
        <f aca="false">AND(T45="1. Migration Candidate",J45="Core",O45&gt;=Assumptions!$B$39,Q45&gt;=Assumptions!$B$40,NOT(Z45))</f>
        <v>0</v>
      </c>
      <c r="V45" s="2" t="n">
        <f aca="false">(AND(H45="Broker-Reliant",J45&lt;&gt;"Tail",OR(N45="Growing",N45="Stable")))*1+(AND(H45="Broker-Reliant",J45&lt;&gt;"Tail",N45="Declining"))*1+(AND(H45="Broker-Reliant",J45&lt;&gt;"Tail",N45="Lapsed"))*1+(AND(H45="Broker-Reliant",J45&lt;&gt;"Tail",N45="H2 Active / No H1 GMV"))*1+(AND(H45="Broker-Reliant",J45="Tail"))*1+(AND(G45="Low",J45&lt;&gt;"Tail",OR(N45="Growing",N45="Stable")))*1+(AND(G45="Low",J45&lt;&gt;"Tail",N45="H2 Active / No H1 GMV"))*1+(AND(G45="Low",J45&lt;&gt;"Tail",OR(N45="Declining",N45="Lapsed")))*1+(AND(G45="Low",J45="Tail"))*1</f>
        <v>1</v>
      </c>
      <c r="W45" s="2" t="n">
        <f aca="false">INDEX('Commercial View'!$V$2:$V$301,MATCH($A45,'Commercial View'!$A$2:$A$301,0))</f>
        <v>1</v>
      </c>
      <c r="X45" s="10" t="b">
        <f aca="false">O45&lt;=Assumptions!$B$30</f>
        <v>0</v>
      </c>
      <c r="Y45" s="10" t="b">
        <f aca="false">W45&lt;=1</f>
        <v>1</v>
      </c>
      <c r="Z45" s="10" t="b">
        <f aca="false">C45="Duplicate"</f>
        <v>0</v>
      </c>
      <c r="AA45" s="10" t="b">
        <f aca="false">C45=""</f>
        <v>0</v>
      </c>
      <c r="AB45" s="2" t="n">
        <f aca="false">IF(P45+Q45&gt;0,ROUND(P45/(P45+Q45)*100,0),"")</f>
        <v>67</v>
      </c>
      <c r="AC45" s="2" t="n">
        <f aca="false">IF(P45+Q45&gt;0,ROUND(E45-P45/(P45+Q45)*100,0),"")</f>
        <v>-1</v>
      </c>
      <c r="AD45" s="10" t="b">
        <f aca="false">IF(AC45="",FALSE(),ABS(AC45)&gt;Assumptions!$B$41)</f>
        <v>0</v>
      </c>
      <c r="AE45" s="2" t="str">
        <f aca="false">IF(X45,"Low confidence (&lt;=2 orders); ","")&amp;IF(Y45,"Single-month history; ","")&amp;IF(Z45,"CRITICAL: Duplicate status; ","")&amp;IF(AA45,"Missing status; ","")&amp;IF(AD45,"Broker % vs counts gap "&amp;TEXT(AC45,"+0;-0")&amp;"pts; ","")</f>
        <v>Single-month history; </v>
      </c>
      <c r="AF45" s="2" t="str">
        <f aca="false">IF(AND(K45=0,L45&gt;0),IF(D45&lt;=Assumptions!$B$47,"New Customer","Returned Customer"),"Existing Customer")</f>
        <v>Existing Customer</v>
      </c>
      <c r="AG45" s="10" t="b">
        <f aca="false">AND(T45="1. Migration Candidate",J45="Key")</f>
        <v>0</v>
      </c>
      <c r="AH45" s="10" t="b">
        <f aca="false">IF(AND(K45&gt;0,L45&gt;0),OR(ABS(M45-Assumptions!$B$36)&lt;=Assumptions!$B$46,ABS(M45+Assumptions!$B$36)&lt;=Assumptions!$B$46),FALSE())</f>
        <v>0</v>
      </c>
      <c r="AI45" s="9" t="n">
        <f aca="false">INDEX('Commercial View'!$L$2:$L$301,MATCH($A45,'Commercial View'!$A$2:$A$301,0))+INDEX('Commercial View'!$M$2:$M$301,MATCH($A45,'Commercial View'!$A$2:$A$301,0))</f>
        <v>0</v>
      </c>
      <c r="AJ45" s="2" t="str">
        <f aca="false">IF(AND(K45=0,AI45=0),"No activity ex-Feb",IF(AI45=0,"Lapsed",IF(K45=0,"H2 Active / No H1 GMV",IF((AI45/2)/(K45/3)-1&gt;=Assumptions!$B$36,"Growing",IF((AI45/2)/(K45/3)-1&lt;-Assumptions!$B$36,"Declining","Stable")))))</f>
        <v>Lapsed</v>
      </c>
      <c r="AK45" s="10" t="b">
        <f aca="false">IF(OR(N45="Growing",N45="Stable"),"Healthy",N45)&lt;&gt;IF(OR(AJ45="Growing",AJ45="Stable"),"Healthy",AJ45)</f>
        <v>0</v>
      </c>
      <c r="AL45" s="2" t="str">
        <f aca="false">IF(N45="Lapsed",IF(OR(O45&lt;=Assumptions!$B$48,W45&lt;=Assumptions!$B$49),"One-Off / Insufficient History — Verify","Established Buyer Lapsed"),"N/A")</f>
        <v>One-Off / Insufficient History — Verify</v>
      </c>
      <c r="AM45" s="2" t="n">
        <f aca="false">INDEX('Scored Accounts'!$M$2:$M$301,MATCH($A45,'Scored Accounts'!$A$2:$A$301,0))</f>
        <v>75</v>
      </c>
      <c r="AN45" s="2" t="n">
        <f aca="false">IF((P45/(P45+Q45)*100)&lt;=Assumptions!$B$13,0,IF((P45/(P45+Q45)*100)&lt;Assumptions!$B$14,25,IF((P45/(P45+Q45)*100)&lt;Assumptions!$B$15,50,IF((P45/(P45+Q45)*100)&lt;Assumptions!$B$16,75,100))))</f>
        <v>75</v>
      </c>
      <c r="AO45" s="21" t="n">
        <f aca="false">IF((P45/(P45+Q45)*100)&lt;=Assumptions!$B$8,0,AN45*Assumptions!$B$4+INDEX('Scored Accounts'!$N$2:$N$301,MATCH($A45,'Scored Accounts'!$A$2:$A$301,0))*Assumptions!$B$5+INDEX('Scored Accounts'!$O$2:$O$301,MATCH($A45,'Scored Accounts'!$A$2:$A$301,0))*Assumptions!$B$6)</f>
        <v>82.5</v>
      </c>
      <c r="AP45" s="2" t="str">
        <f aca="false">IF(AO45&gt;=Assumptions!$B$9,"High",IF(AO45&gt;=Assumptions!$B$10,"Medium","Low"))</f>
        <v>High</v>
      </c>
      <c r="AQ45" s="10" t="b">
        <f aca="false">OR((E45&lt;=Assumptions!$B$8)&lt;&gt;((P45/(P45+Q45)*100)&lt;=Assumptions!$B$8),AM45&lt;&gt;AN45,G45&lt;&gt;AP45)</f>
        <v>0</v>
      </c>
      <c r="AR45" s="2" t="str">
        <f aca="false">IF(AP45&lt;&gt;"Low","Broker-Reliant",IF(B45="Account Managed","AM-Owned / Self-Serving","Self-Serve"))</f>
        <v>Broker-Reliant</v>
      </c>
      <c r="AS45" s="2" t="str">
        <f aca="false">IF(AR45="Broker-Reliant",IF(J45="Tail","5. Cost-to-Serve / Low-Touch",IF(OR(N45="Growing",N45="Stable"),"1. Migration Candidate",IF(N45="Declining","2. Protect / Retain First",IF(N45="Lapsed","3. Win-Back / Verify",IF(N45="H2 Active / No H1 GMV","4. Establish / Re-establish / Observe","UNASSIGNED"))))),IF(AP45="Low",IF(J45="Tail","9. Long-Tail Automated Nurture",IF(OR(N45="Growing",N45="Stable"),"6. Growth Opportunity",IF(N45="H2 Active / No H1 GMV","7. Onboard / Re-engage / Learn",IF(OR(N45="Declining",N45="Lapsed"),"8. Retention / Reactivation","UNASSIGNED")))),"UNASSIGNED"))</f>
        <v>3. Win-Back / Verify</v>
      </c>
      <c r="AT45" s="10" t="b">
        <f aca="false">AS45&lt;&gt;T45</f>
        <v>0</v>
      </c>
      <c r="AU45" s="2" t="str">
        <f aca="false">IF(NOT(U45),"Not Eligible",IF(OR(AQ45,AH45,AK45,NOT(AND(W45&gt;=Assumptions!$B$83,O45&gt;=Assumptions!$B$84))),"Manual Review","Ready"))</f>
        <v>Not Eligible</v>
      </c>
      <c r="AV45" s="2" t="str">
        <f aca="false">IF(AG45,"Key account - human sign-off required; ","")&amp;IF(AH45,"Borderline momentum; ","")&amp;IF(AK45,"February-sensitive ("&amp;N45&amp;" -&gt; "&amp;AJ45&amp;"); ","")&amp;IF(AL45="One-Off / Insufficient History — Verify","Lapsed on thin history - verify; ","")&amp;IF(AQ45,"Material broker % inconsistency (implied tier "&amp;AP45&amp;"); ","")&amp;IF(AT45,"Implied broker % would move segment to "&amp;AS45&amp;"; ","")</f>
        <v>Lapsed on thin history - verify; </v>
      </c>
      <c r="AW45" s="10" t="b">
        <f aca="false">AND(G45="Low",J45="Tail",I45&gt;=Assumptions!$B$64,O45&gt;=Assumptions!$B$65,OR(N45="Growing",N45="Stable",AND(N45="H2 Active / No H1 GMV",W45&gt;=2)),OR(R45&gt;=Assumptions!$B$66,S45&gt;=Assumptions!$B$67))</f>
        <v>0</v>
      </c>
    </row>
    <row r="46" customFormat="false" ht="15" hidden="false" customHeight="false" outlineLevel="0" collapsed="false">
      <c r="A46" s="2" t="s">
        <v>269</v>
      </c>
      <c r="B46" s="2" t="s">
        <v>1571</v>
      </c>
      <c r="C46" s="2" t="s">
        <v>1572</v>
      </c>
      <c r="D46" s="2" t="n">
        <v>7</v>
      </c>
      <c r="E46" s="2" t="n">
        <v>52</v>
      </c>
      <c r="F46" s="21" t="n">
        <f aca="false">INDEX('Scored Accounts'!$Q$2:$Q$301,MATCH($A46,'Scored Accounts'!$A$2:$A$301,0))</f>
        <v>65</v>
      </c>
      <c r="G46" s="2" t="str">
        <f aca="false">INDEX('Scored Accounts'!$R$2:$R$301,MATCH($A46,'Scored Accounts'!$A$2:$A$301,0))</f>
        <v>Medium</v>
      </c>
      <c r="H46" s="2" t="str">
        <f aca="false">IF(OR(G46="High",G46="Medium"),"Broker-Reliant",IF(AND(G46="Low",B46="Account Managed"),"AM-Owned / Self-Serving",IF(AND(G46="Low",B46="Self Serve"),"Self-Serve","UNASSIGNED")))</f>
        <v>Broker-Reliant</v>
      </c>
      <c r="I46" s="9" t="n">
        <v>3331</v>
      </c>
      <c r="J46" s="2" t="str">
        <f aca="false">IF(I46&gt;=Assumptions!$B$35,"Key",IF(I46&gt;=Assumptions!$B$34,"Core","Tail"))</f>
        <v>Core</v>
      </c>
      <c r="K46" s="9" t="n">
        <f aca="false">INDEX('Commercial View'!$R$2:$R$301,MATCH($A46,'Commercial View'!$A$2:$A$301,0))</f>
        <v>2556</v>
      </c>
      <c r="L46" s="9" t="n">
        <f aca="false">INDEX('Commercial View'!$S$2:$S$301,MATCH($A46,'Commercial View'!$A$2:$A$301,0))</f>
        <v>775</v>
      </c>
      <c r="M46" s="17" t="n">
        <f aca="false">INDEX('Commercial View'!$T$2:$T$301,MATCH($A46,'Commercial View'!$A$2:$A$301,0))</f>
        <v>-0.69679186228482</v>
      </c>
      <c r="N46" s="2" t="str">
        <f aca="false">INDEX('Commercial View'!$U$2:$U$301,MATCH($A46,'Commercial View'!$A$2:$A$301,0))</f>
        <v>Declining</v>
      </c>
      <c r="O46" s="2" t="n">
        <v>18</v>
      </c>
      <c r="P46" s="2" t="n">
        <v>9</v>
      </c>
      <c r="Q46" s="2" t="n">
        <v>9</v>
      </c>
      <c r="R46" s="2" t="n">
        <v>2</v>
      </c>
      <c r="S46" s="2" t="n">
        <v>2</v>
      </c>
      <c r="T46" s="2" t="str">
        <f aca="false">IF(H46="Broker-Reliant",IF(J46="Tail","5. Cost-to-Serve / Low-Touch",IF(OR(N46="Growing",N46="Stable"),"1. Migration Candidate",IF(N46="Declining","2. Protect / Retain First",IF(N46="Lapsed","3. Win-Back / Verify",IF(N46="H2 Active / No H1 GMV","4. Establish / Re-establish / Observe","UNASSIGNED"))))),IF(G46="Low",IF(J46="Tail","9. Long-Tail Automated Nurture",IF(OR(N46="Growing",N46="Stable"),"6. Growth Opportunity",IF(N46="H2 Active / No H1 GMV","7. Onboard / Re-engage / Learn",IF(OR(N46="Declining",N46="Lapsed"),"8. Retention / Reactivation","UNASSIGNED")))),"UNASSIGNED"))</f>
        <v>2. Protect / Retain First</v>
      </c>
      <c r="U46" s="10" t="b">
        <f aca="false">AND(T46="1. Migration Candidate",J46="Core",O46&gt;=Assumptions!$B$39,Q46&gt;=Assumptions!$B$40,NOT(Z46))</f>
        <v>0</v>
      </c>
      <c r="V46" s="2" t="n">
        <f aca="false">(AND(H46="Broker-Reliant",J46&lt;&gt;"Tail",OR(N46="Growing",N46="Stable")))*1+(AND(H46="Broker-Reliant",J46&lt;&gt;"Tail",N46="Declining"))*1+(AND(H46="Broker-Reliant",J46&lt;&gt;"Tail",N46="Lapsed"))*1+(AND(H46="Broker-Reliant",J46&lt;&gt;"Tail",N46="H2 Active / No H1 GMV"))*1+(AND(H46="Broker-Reliant",J46="Tail"))*1+(AND(G46="Low",J46&lt;&gt;"Tail",OR(N46="Growing",N46="Stable")))*1+(AND(G46="Low",J46&lt;&gt;"Tail",N46="H2 Active / No H1 GMV"))*1+(AND(G46="Low",J46&lt;&gt;"Tail",OR(N46="Declining",N46="Lapsed")))*1+(AND(G46="Low",J46="Tail"))*1</f>
        <v>1</v>
      </c>
      <c r="W46" s="2" t="n">
        <f aca="false">INDEX('Commercial View'!$V$2:$V$301,MATCH($A46,'Commercial View'!$A$2:$A$301,0))</f>
        <v>5</v>
      </c>
      <c r="X46" s="10" t="b">
        <f aca="false">O46&lt;=Assumptions!$B$30</f>
        <v>0</v>
      </c>
      <c r="Y46" s="10" t="b">
        <f aca="false">W46&lt;=1</f>
        <v>0</v>
      </c>
      <c r="Z46" s="10" t="b">
        <f aca="false">C46="Duplicate"</f>
        <v>0</v>
      </c>
      <c r="AA46" s="10" t="b">
        <f aca="false">C46=""</f>
        <v>0</v>
      </c>
      <c r="AB46" s="2" t="n">
        <f aca="false">IF(P46+Q46&gt;0,ROUND(P46/(P46+Q46)*100,0),"")</f>
        <v>50</v>
      </c>
      <c r="AC46" s="2" t="n">
        <f aca="false">IF(P46+Q46&gt;0,ROUND(E46-P46/(P46+Q46)*100,0),"")</f>
        <v>2</v>
      </c>
      <c r="AD46" s="10" t="b">
        <f aca="false">IF(AC46="",FALSE(),ABS(AC46)&gt;Assumptions!$B$41)</f>
        <v>0</v>
      </c>
      <c r="AE46" s="2" t="str">
        <f aca="false">IF(X46,"Low confidence (&lt;=2 orders); ","")&amp;IF(Y46,"Single-month history; ","")&amp;IF(Z46,"CRITICAL: Duplicate status; ","")&amp;IF(AA46,"Missing status; ","")&amp;IF(AD46,"Broker % vs counts gap "&amp;TEXT(AC46,"+0;-0")&amp;"pts; ","")</f>
        <v/>
      </c>
      <c r="AF46" s="2" t="str">
        <f aca="false">IF(AND(K46=0,L46&gt;0),IF(D46&lt;=Assumptions!$B$47,"New Customer","Returned Customer"),"Existing Customer")</f>
        <v>Existing Customer</v>
      </c>
      <c r="AG46" s="10" t="b">
        <f aca="false">AND(T46="1. Migration Candidate",J46="Key")</f>
        <v>0</v>
      </c>
      <c r="AH46" s="10" t="b">
        <f aca="false">IF(AND(K46&gt;0,L46&gt;0),OR(ABS(M46-Assumptions!$B$36)&lt;=Assumptions!$B$46,ABS(M46+Assumptions!$B$36)&lt;=Assumptions!$B$46),FALSE())</f>
        <v>0</v>
      </c>
      <c r="AI46" s="9" t="n">
        <f aca="false">INDEX('Commercial View'!$L$2:$L$301,MATCH($A46,'Commercial View'!$A$2:$A$301,0))+INDEX('Commercial View'!$M$2:$M$301,MATCH($A46,'Commercial View'!$A$2:$A$301,0))</f>
        <v>425</v>
      </c>
      <c r="AJ46" s="2" t="str">
        <f aca="false">IF(AND(K46=0,AI46=0),"No activity ex-Feb",IF(AI46=0,"Lapsed",IF(K46=0,"H2 Active / No H1 GMV",IF((AI46/2)/(K46/3)-1&gt;=Assumptions!$B$36,"Growing",IF((AI46/2)/(K46/3)-1&lt;-Assumptions!$B$36,"Declining","Stable")))))</f>
        <v>Declining</v>
      </c>
      <c r="AK46" s="10" t="b">
        <f aca="false">IF(OR(N46="Growing",N46="Stable"),"Healthy",N46)&lt;&gt;IF(OR(AJ46="Growing",AJ46="Stable"),"Healthy",AJ46)</f>
        <v>0</v>
      </c>
      <c r="AL46" s="2" t="str">
        <f aca="false">IF(N46="Lapsed",IF(OR(O46&lt;=Assumptions!$B$48,W46&lt;=Assumptions!$B$49),"One-Off / Insufficient History — Verify","Established Buyer Lapsed"),"N/A")</f>
        <v>N/A</v>
      </c>
      <c r="AM46" s="2" t="n">
        <f aca="false">INDEX('Scored Accounts'!$M$2:$M$301,MATCH($A46,'Scored Accounts'!$A$2:$A$301,0))</f>
        <v>50</v>
      </c>
      <c r="AN46" s="2" t="n">
        <f aca="false">IF((P46/(P46+Q46)*100)&lt;=Assumptions!$B$13,0,IF((P46/(P46+Q46)*100)&lt;Assumptions!$B$14,25,IF((P46/(P46+Q46)*100)&lt;Assumptions!$B$15,50,IF((P46/(P46+Q46)*100)&lt;Assumptions!$B$16,75,100))))</f>
        <v>50</v>
      </c>
      <c r="AO46" s="21" t="n">
        <f aca="false">IF((P46/(P46+Q46)*100)&lt;=Assumptions!$B$8,0,AN46*Assumptions!$B$4+INDEX('Scored Accounts'!$N$2:$N$301,MATCH($A46,'Scored Accounts'!$A$2:$A$301,0))*Assumptions!$B$5+INDEX('Scored Accounts'!$O$2:$O$301,MATCH($A46,'Scored Accounts'!$A$2:$A$301,0))*Assumptions!$B$6)</f>
        <v>65</v>
      </c>
      <c r="AP46" s="2" t="str">
        <f aca="false">IF(AO46&gt;=Assumptions!$B$9,"High",IF(AO46&gt;=Assumptions!$B$10,"Medium","Low"))</f>
        <v>Medium</v>
      </c>
      <c r="AQ46" s="10" t="b">
        <f aca="false">OR((E46&lt;=Assumptions!$B$8)&lt;&gt;((P46/(P46+Q46)*100)&lt;=Assumptions!$B$8),AM46&lt;&gt;AN46,G46&lt;&gt;AP46)</f>
        <v>0</v>
      </c>
      <c r="AR46" s="2" t="str">
        <f aca="false">IF(AP46&lt;&gt;"Low","Broker-Reliant",IF(B46="Account Managed","AM-Owned / Self-Serving","Self-Serve"))</f>
        <v>Broker-Reliant</v>
      </c>
      <c r="AS46" s="2" t="str">
        <f aca="false">IF(AR46="Broker-Reliant",IF(J46="Tail","5. Cost-to-Serve / Low-Touch",IF(OR(N46="Growing",N46="Stable"),"1. Migration Candidate",IF(N46="Declining","2. Protect / Retain First",IF(N46="Lapsed","3. Win-Back / Verify",IF(N46="H2 Active / No H1 GMV","4. Establish / Re-establish / Observe","UNASSIGNED"))))),IF(AP46="Low",IF(J46="Tail","9. Long-Tail Automated Nurture",IF(OR(N46="Growing",N46="Stable"),"6. Growth Opportunity",IF(N46="H2 Active / No H1 GMV","7. Onboard / Re-engage / Learn",IF(OR(N46="Declining",N46="Lapsed"),"8. Retention / Reactivation","UNASSIGNED")))),"UNASSIGNED"))</f>
        <v>2. Protect / Retain First</v>
      </c>
      <c r="AT46" s="10" t="b">
        <f aca="false">AS46&lt;&gt;T46</f>
        <v>0</v>
      </c>
      <c r="AU46" s="2" t="str">
        <f aca="false">IF(NOT(U46),"Not Eligible",IF(OR(AQ46,AH46,AK46,NOT(AND(W46&gt;=Assumptions!$B$83,O46&gt;=Assumptions!$B$84))),"Manual Review","Ready"))</f>
        <v>Not Eligible</v>
      </c>
      <c r="AV46" s="2" t="str">
        <f aca="false">IF(AG46,"Key account - human sign-off required; ","")&amp;IF(AH46,"Borderline momentum; ","")&amp;IF(AK46,"February-sensitive ("&amp;N46&amp;" -&gt; "&amp;AJ46&amp;"); ","")&amp;IF(AL46="One-Off / Insufficient History — Verify","Lapsed on thin history - verify; ","")&amp;IF(AQ46,"Material broker % inconsistency (implied tier "&amp;AP46&amp;"); ","")&amp;IF(AT46,"Implied broker % would move segment to "&amp;AS46&amp;"; ","")</f>
        <v/>
      </c>
      <c r="AW46" s="10" t="b">
        <f aca="false">AND(G46="Low",J46="Tail",I46&gt;=Assumptions!$B$64,O46&gt;=Assumptions!$B$65,OR(N46="Growing",N46="Stable",AND(N46="H2 Active / No H1 GMV",W46&gt;=2)),OR(R46&gt;=Assumptions!$B$66,S46&gt;=Assumptions!$B$67))</f>
        <v>0</v>
      </c>
    </row>
    <row r="47" customFormat="false" ht="15" hidden="false" customHeight="false" outlineLevel="0" collapsed="false">
      <c r="A47" s="2" t="s">
        <v>272</v>
      </c>
      <c r="B47" s="2" t="s">
        <v>1571</v>
      </c>
      <c r="C47" s="2" t="s">
        <v>1572</v>
      </c>
      <c r="D47" s="2" t="n">
        <v>11</v>
      </c>
      <c r="E47" s="2" t="n">
        <v>60</v>
      </c>
      <c r="F47" s="21" t="n">
        <f aca="false">INDEX('Scored Accounts'!$Q$2:$Q$301,MATCH($A47,'Scored Accounts'!$A$2:$A$301,0))</f>
        <v>82.5</v>
      </c>
      <c r="G47" s="2" t="str">
        <f aca="false">INDEX('Scored Accounts'!$R$2:$R$301,MATCH($A47,'Scored Accounts'!$A$2:$A$301,0))</f>
        <v>High</v>
      </c>
      <c r="H47" s="2" t="str">
        <f aca="false">IF(OR(G47="High",G47="Medium"),"Broker-Reliant",IF(AND(G47="Low",B47="Account Managed"),"AM-Owned / Self-Serving",IF(AND(G47="Low",B47="Self Serve"),"Self-Serve","UNASSIGNED")))</f>
        <v>Broker-Reliant</v>
      </c>
      <c r="I47" s="9" t="n">
        <v>3283</v>
      </c>
      <c r="J47" s="2" t="str">
        <f aca="false">IF(I47&gt;=Assumptions!$B$35,"Key",IF(I47&gt;=Assumptions!$B$34,"Core","Tail"))</f>
        <v>Core</v>
      </c>
      <c r="K47" s="9" t="n">
        <f aca="false">INDEX('Commercial View'!$R$2:$R$301,MATCH($A47,'Commercial View'!$A$2:$A$301,0))</f>
        <v>2081</v>
      </c>
      <c r="L47" s="9" t="n">
        <f aca="false">INDEX('Commercial View'!$S$2:$S$301,MATCH($A47,'Commercial View'!$A$2:$A$301,0))</f>
        <v>1202</v>
      </c>
      <c r="M47" s="17" t="n">
        <f aca="false">INDEX('Commercial View'!$T$2:$T$301,MATCH($A47,'Commercial View'!$A$2:$A$301,0))</f>
        <v>-0.42239308024988</v>
      </c>
      <c r="N47" s="2" t="str">
        <f aca="false">INDEX('Commercial View'!$U$2:$U$301,MATCH($A47,'Commercial View'!$A$2:$A$301,0))</f>
        <v>Declining</v>
      </c>
      <c r="O47" s="2" t="n">
        <v>3</v>
      </c>
      <c r="P47" s="2" t="n">
        <v>2</v>
      </c>
      <c r="Q47" s="2" t="n">
        <v>1</v>
      </c>
      <c r="R47" s="2" t="n">
        <v>1</v>
      </c>
      <c r="S47" s="2" t="n">
        <v>1</v>
      </c>
      <c r="T47" s="2" t="str">
        <f aca="false">IF(H47="Broker-Reliant",IF(J47="Tail","5. Cost-to-Serve / Low-Touch",IF(OR(N47="Growing",N47="Stable"),"1. Migration Candidate",IF(N47="Declining","2. Protect / Retain First",IF(N47="Lapsed","3. Win-Back / Verify",IF(N47="H2 Active / No H1 GMV","4. Establish / Re-establish / Observe","UNASSIGNED"))))),IF(G47="Low",IF(J47="Tail","9. Long-Tail Automated Nurture",IF(OR(N47="Growing",N47="Stable"),"6. Growth Opportunity",IF(N47="H2 Active / No H1 GMV","7. Onboard / Re-engage / Learn",IF(OR(N47="Declining",N47="Lapsed"),"8. Retention / Reactivation","UNASSIGNED")))),"UNASSIGNED"))</f>
        <v>2. Protect / Retain First</v>
      </c>
      <c r="U47" s="10" t="b">
        <f aca="false">AND(T47="1. Migration Candidate",J47="Core",O47&gt;=Assumptions!$B$39,Q47&gt;=Assumptions!$B$40,NOT(Z47))</f>
        <v>0</v>
      </c>
      <c r="V47" s="2" t="n">
        <f aca="false">(AND(H47="Broker-Reliant",J47&lt;&gt;"Tail",OR(N47="Growing",N47="Stable")))*1+(AND(H47="Broker-Reliant",J47&lt;&gt;"Tail",N47="Declining"))*1+(AND(H47="Broker-Reliant",J47&lt;&gt;"Tail",N47="Lapsed"))*1+(AND(H47="Broker-Reliant",J47&lt;&gt;"Tail",N47="H2 Active / No H1 GMV"))*1+(AND(H47="Broker-Reliant",J47="Tail"))*1+(AND(G47="Low",J47&lt;&gt;"Tail",OR(N47="Growing",N47="Stable")))*1+(AND(G47="Low",J47&lt;&gt;"Tail",N47="H2 Active / No H1 GMV"))*1+(AND(G47="Low",J47&lt;&gt;"Tail",OR(N47="Declining",N47="Lapsed")))*1+(AND(G47="Low",J47="Tail"))*1</f>
        <v>1</v>
      </c>
      <c r="W47" s="2" t="n">
        <f aca="false">INDEX('Commercial View'!$V$2:$V$301,MATCH($A47,'Commercial View'!$A$2:$A$301,0))</f>
        <v>2</v>
      </c>
      <c r="X47" s="10" t="b">
        <f aca="false">O47&lt;=Assumptions!$B$30</f>
        <v>0</v>
      </c>
      <c r="Y47" s="10" t="b">
        <f aca="false">W47&lt;=1</f>
        <v>0</v>
      </c>
      <c r="Z47" s="10" t="b">
        <f aca="false">C47="Duplicate"</f>
        <v>0</v>
      </c>
      <c r="AA47" s="10" t="b">
        <f aca="false">C47=""</f>
        <v>0</v>
      </c>
      <c r="AB47" s="2" t="n">
        <f aca="false">IF(P47+Q47&gt;0,ROUND(P47/(P47+Q47)*100,0),"")</f>
        <v>67</v>
      </c>
      <c r="AC47" s="2" t="n">
        <f aca="false">IF(P47+Q47&gt;0,ROUND(E47-P47/(P47+Q47)*100,0),"")</f>
        <v>-7</v>
      </c>
      <c r="AD47" s="10" t="b">
        <f aca="false">IF(AC47="",FALSE(),ABS(AC47)&gt;Assumptions!$B$41)</f>
        <v>0</v>
      </c>
      <c r="AE47" s="2" t="str">
        <f aca="false">IF(X47,"Low confidence (&lt;=2 orders); ","")&amp;IF(Y47,"Single-month history; ","")&amp;IF(Z47,"CRITICAL: Duplicate status; ","")&amp;IF(AA47,"Missing status; ","")&amp;IF(AD47,"Broker % vs counts gap "&amp;TEXT(AC47,"+0;-0")&amp;"pts; ","")</f>
        <v/>
      </c>
      <c r="AF47" s="2" t="str">
        <f aca="false">IF(AND(K47=0,L47&gt;0),IF(D47&lt;=Assumptions!$B$47,"New Customer","Returned Customer"),"Existing Customer")</f>
        <v>Existing Customer</v>
      </c>
      <c r="AG47" s="10" t="b">
        <f aca="false">AND(T47="1. Migration Candidate",J47="Key")</f>
        <v>0</v>
      </c>
      <c r="AH47" s="10" t="b">
        <f aca="false">IF(AND(K47&gt;0,L47&gt;0),OR(ABS(M47-Assumptions!$B$36)&lt;=Assumptions!$B$46,ABS(M47+Assumptions!$B$36)&lt;=Assumptions!$B$46),FALSE())</f>
        <v>0</v>
      </c>
      <c r="AI47" s="9" t="n">
        <f aca="false">INDEX('Commercial View'!$L$2:$L$301,MATCH($A47,'Commercial View'!$A$2:$A$301,0))+INDEX('Commercial View'!$M$2:$M$301,MATCH($A47,'Commercial View'!$A$2:$A$301,0))</f>
        <v>0</v>
      </c>
      <c r="AJ47" s="2" t="str">
        <f aca="false">IF(AND(K47=0,AI47=0),"No activity ex-Feb",IF(AI47=0,"Lapsed",IF(K47=0,"H2 Active / No H1 GMV",IF((AI47/2)/(K47/3)-1&gt;=Assumptions!$B$36,"Growing",IF((AI47/2)/(K47/3)-1&lt;-Assumptions!$B$36,"Declining","Stable")))))</f>
        <v>Lapsed</v>
      </c>
      <c r="AK47" s="10" t="b">
        <f aca="false">IF(OR(N47="Growing",N47="Stable"),"Healthy",N47)&lt;&gt;IF(OR(AJ47="Growing",AJ47="Stable"),"Healthy",AJ47)</f>
        <v>1</v>
      </c>
      <c r="AL47" s="2" t="str">
        <f aca="false">IF(N47="Lapsed",IF(OR(O47&lt;=Assumptions!$B$48,W47&lt;=Assumptions!$B$49),"One-Off / Insufficient History — Verify","Established Buyer Lapsed"),"N/A")</f>
        <v>N/A</v>
      </c>
      <c r="AM47" s="2" t="n">
        <f aca="false">INDEX('Scored Accounts'!$M$2:$M$301,MATCH($A47,'Scored Accounts'!$A$2:$A$301,0))</f>
        <v>75</v>
      </c>
      <c r="AN47" s="2" t="n">
        <f aca="false">IF((P47/(P47+Q47)*100)&lt;=Assumptions!$B$13,0,IF((P47/(P47+Q47)*100)&lt;Assumptions!$B$14,25,IF((P47/(P47+Q47)*100)&lt;Assumptions!$B$15,50,IF((P47/(P47+Q47)*100)&lt;Assumptions!$B$16,75,100))))</f>
        <v>75</v>
      </c>
      <c r="AO47" s="21" t="n">
        <f aca="false">IF((P47/(P47+Q47)*100)&lt;=Assumptions!$B$8,0,AN47*Assumptions!$B$4+INDEX('Scored Accounts'!$N$2:$N$301,MATCH($A47,'Scored Accounts'!$A$2:$A$301,0))*Assumptions!$B$5+INDEX('Scored Accounts'!$O$2:$O$301,MATCH($A47,'Scored Accounts'!$A$2:$A$301,0))*Assumptions!$B$6)</f>
        <v>82.5</v>
      </c>
      <c r="AP47" s="2" t="str">
        <f aca="false">IF(AO47&gt;=Assumptions!$B$9,"High",IF(AO47&gt;=Assumptions!$B$10,"Medium","Low"))</f>
        <v>High</v>
      </c>
      <c r="AQ47" s="10" t="b">
        <f aca="false">OR((E47&lt;=Assumptions!$B$8)&lt;&gt;((P47/(P47+Q47)*100)&lt;=Assumptions!$B$8),AM47&lt;&gt;AN47,G47&lt;&gt;AP47)</f>
        <v>0</v>
      </c>
      <c r="AR47" s="2" t="str">
        <f aca="false">IF(AP47&lt;&gt;"Low","Broker-Reliant",IF(B47="Account Managed","AM-Owned / Self-Serving","Self-Serve"))</f>
        <v>Broker-Reliant</v>
      </c>
      <c r="AS47" s="2" t="str">
        <f aca="false">IF(AR47="Broker-Reliant",IF(J47="Tail","5. Cost-to-Serve / Low-Touch",IF(OR(N47="Growing",N47="Stable"),"1. Migration Candidate",IF(N47="Declining","2. Protect / Retain First",IF(N47="Lapsed","3. Win-Back / Verify",IF(N47="H2 Active / No H1 GMV","4. Establish / Re-establish / Observe","UNASSIGNED"))))),IF(AP47="Low",IF(J47="Tail","9. Long-Tail Automated Nurture",IF(OR(N47="Growing",N47="Stable"),"6. Growth Opportunity",IF(N47="H2 Active / No H1 GMV","7. Onboard / Re-engage / Learn",IF(OR(N47="Declining",N47="Lapsed"),"8. Retention / Reactivation","UNASSIGNED")))),"UNASSIGNED"))</f>
        <v>2. Protect / Retain First</v>
      </c>
      <c r="AT47" s="10" t="b">
        <f aca="false">AS47&lt;&gt;T47</f>
        <v>0</v>
      </c>
      <c r="AU47" s="2" t="str">
        <f aca="false">IF(NOT(U47),"Not Eligible",IF(OR(AQ47,AH47,AK47,NOT(AND(W47&gt;=Assumptions!$B$83,O47&gt;=Assumptions!$B$84))),"Manual Review","Ready"))</f>
        <v>Not Eligible</v>
      </c>
      <c r="AV47" s="2" t="str">
        <f aca="false">IF(AG47,"Key account - human sign-off required; ","")&amp;IF(AH47,"Borderline momentum; ","")&amp;IF(AK47,"February-sensitive ("&amp;N47&amp;" -&gt; "&amp;AJ47&amp;"); ","")&amp;IF(AL47="One-Off / Insufficient History — Verify","Lapsed on thin history - verify; ","")&amp;IF(AQ47,"Material broker % inconsistency (implied tier "&amp;AP47&amp;"); ","")&amp;IF(AT47,"Implied broker % would move segment to "&amp;AS47&amp;"; ","")</f>
        <v>February-sensitive (Declining -&gt; Lapsed); </v>
      </c>
      <c r="AW47" s="10" t="b">
        <f aca="false">AND(G47="Low",J47="Tail",I47&gt;=Assumptions!$B$64,O47&gt;=Assumptions!$B$65,OR(N47="Growing",N47="Stable",AND(N47="H2 Active / No H1 GMV",W47&gt;=2)),OR(R47&gt;=Assumptions!$B$66,S47&gt;=Assumptions!$B$67))</f>
        <v>0</v>
      </c>
    </row>
    <row r="48" customFormat="false" ht="15" hidden="false" customHeight="false" outlineLevel="0" collapsed="false">
      <c r="A48" s="2" t="s">
        <v>426</v>
      </c>
      <c r="B48" s="2" t="s">
        <v>1571</v>
      </c>
      <c r="C48" s="2" t="s">
        <v>1572</v>
      </c>
      <c r="D48" s="2" t="n">
        <v>10</v>
      </c>
      <c r="E48" s="2" t="n">
        <v>53</v>
      </c>
      <c r="F48" s="21" t="n">
        <f aca="false">INDEX('Scored Accounts'!$Q$2:$Q$301,MATCH($A48,'Scored Accounts'!$A$2:$A$301,0))</f>
        <v>62.5</v>
      </c>
      <c r="G48" s="2" t="str">
        <f aca="false">INDEX('Scored Accounts'!$R$2:$R$301,MATCH($A48,'Scored Accounts'!$A$2:$A$301,0))</f>
        <v>Medium</v>
      </c>
      <c r="H48" s="2" t="str">
        <f aca="false">IF(OR(G48="High",G48="Medium"),"Broker-Reliant",IF(AND(G48="Low",B48="Account Managed"),"AM-Owned / Self-Serving",IF(AND(G48="Low",B48="Self Serve"),"Self-Serve","UNASSIGNED")))</f>
        <v>Broker-Reliant</v>
      </c>
      <c r="I48" s="9" t="n">
        <v>3200</v>
      </c>
      <c r="J48" s="2" t="str">
        <f aca="false">IF(I48&gt;=Assumptions!$B$35,"Key",IF(I48&gt;=Assumptions!$B$34,"Core","Tail"))</f>
        <v>Core</v>
      </c>
      <c r="K48" s="9" t="n">
        <f aca="false">INDEX('Commercial View'!$R$2:$R$301,MATCH($A48,'Commercial View'!$A$2:$A$301,0))</f>
        <v>0</v>
      </c>
      <c r="L48" s="9" t="n">
        <f aca="false">INDEX('Commercial View'!$S$2:$S$301,MATCH($A48,'Commercial View'!$A$2:$A$301,0))</f>
        <v>3200</v>
      </c>
      <c r="M48" s="17" t="str">
        <f aca="false">INDEX('Commercial View'!$T$2:$T$301,MATCH($A48,'Commercial View'!$A$2:$A$301,0))</f>
        <v/>
      </c>
      <c r="N48" s="2" t="str">
        <f aca="false">INDEX('Commercial View'!$U$2:$U$301,MATCH($A48,'Commercial View'!$A$2:$A$301,0))</f>
        <v>H2 Active / No H1 GMV</v>
      </c>
      <c r="O48" s="2" t="n">
        <v>6</v>
      </c>
      <c r="P48" s="2" t="n">
        <v>3</v>
      </c>
      <c r="Q48" s="2" t="n">
        <v>3</v>
      </c>
      <c r="R48" s="2" t="n">
        <v>8</v>
      </c>
      <c r="S48" s="2" t="n">
        <v>1</v>
      </c>
      <c r="T48" s="2" t="str">
        <f aca="false">IF(H48="Broker-Reliant",IF(J48="Tail","5. Cost-to-Serve / Low-Touch",IF(OR(N48="Growing",N48="Stable"),"1. Migration Candidate",IF(N48="Declining","2. Protect / Retain First",IF(N48="Lapsed","3. Win-Back / Verify",IF(N48="H2 Active / No H1 GMV","4. Establish / Re-establish / Observe","UNASSIGNED"))))),IF(G48="Low",IF(J48="Tail","9. Long-Tail Automated Nurture",IF(OR(N48="Growing",N48="Stable"),"6. Growth Opportunity",IF(N48="H2 Active / No H1 GMV","7. Onboard / Re-engage / Learn",IF(OR(N48="Declining",N48="Lapsed"),"8. Retention / Reactivation","UNASSIGNED")))),"UNASSIGNED"))</f>
        <v>4. Establish / Re-establish / Observe</v>
      </c>
      <c r="U48" s="10" t="b">
        <f aca="false">AND(T48="1. Migration Candidate",J48="Core",O48&gt;=Assumptions!$B$39,Q48&gt;=Assumptions!$B$40,NOT(Z48))</f>
        <v>0</v>
      </c>
      <c r="V48" s="2" t="n">
        <f aca="false">(AND(H48="Broker-Reliant",J48&lt;&gt;"Tail",OR(N48="Growing",N48="Stable")))*1+(AND(H48="Broker-Reliant",J48&lt;&gt;"Tail",N48="Declining"))*1+(AND(H48="Broker-Reliant",J48&lt;&gt;"Tail",N48="Lapsed"))*1+(AND(H48="Broker-Reliant",J48&lt;&gt;"Tail",N48="H2 Active / No H1 GMV"))*1+(AND(H48="Broker-Reliant",J48="Tail"))*1+(AND(G48="Low",J48&lt;&gt;"Tail",OR(N48="Growing",N48="Stable")))*1+(AND(G48="Low",J48&lt;&gt;"Tail",N48="H2 Active / No H1 GMV"))*1+(AND(G48="Low",J48&lt;&gt;"Tail",OR(N48="Declining",N48="Lapsed")))*1+(AND(G48="Low",J48="Tail"))*1</f>
        <v>1</v>
      </c>
      <c r="W48" s="2" t="n">
        <f aca="false">INDEX('Commercial View'!$V$2:$V$301,MATCH($A48,'Commercial View'!$A$2:$A$301,0))</f>
        <v>2</v>
      </c>
      <c r="X48" s="10" t="b">
        <f aca="false">O48&lt;=Assumptions!$B$30</f>
        <v>0</v>
      </c>
      <c r="Y48" s="10" t="b">
        <f aca="false">W48&lt;=1</f>
        <v>0</v>
      </c>
      <c r="Z48" s="10" t="b">
        <f aca="false">C48="Duplicate"</f>
        <v>0</v>
      </c>
      <c r="AA48" s="10" t="b">
        <f aca="false">C48=""</f>
        <v>0</v>
      </c>
      <c r="AB48" s="2" t="n">
        <f aca="false">IF(P48+Q48&gt;0,ROUND(P48/(P48+Q48)*100,0),"")</f>
        <v>50</v>
      </c>
      <c r="AC48" s="2" t="n">
        <f aca="false">IF(P48+Q48&gt;0,ROUND(E48-P48/(P48+Q48)*100,0),"")</f>
        <v>3</v>
      </c>
      <c r="AD48" s="10" t="b">
        <f aca="false">IF(AC48="",FALSE(),ABS(AC48)&gt;Assumptions!$B$41)</f>
        <v>0</v>
      </c>
      <c r="AE48" s="2" t="str">
        <f aca="false">IF(X48,"Low confidence (&lt;=2 orders); ","")&amp;IF(Y48,"Single-month history; ","")&amp;IF(Z48,"CRITICAL: Duplicate status; ","")&amp;IF(AA48,"Missing status; ","")&amp;IF(AD48,"Broker % vs counts gap "&amp;TEXT(AC48,"+0;-0")&amp;"pts; ","")</f>
        <v/>
      </c>
      <c r="AF48" s="2" t="str">
        <f aca="false">IF(AND(K48=0,L48&gt;0),IF(D48&lt;=Assumptions!$B$47,"New Customer","Returned Customer"),"Existing Customer")</f>
        <v>Returned Customer</v>
      </c>
      <c r="AG48" s="10" t="b">
        <f aca="false">AND(T48="1. Migration Candidate",J48="Key")</f>
        <v>0</v>
      </c>
      <c r="AH48" s="10" t="b">
        <f aca="false">IF(AND(K48&gt;0,L48&gt;0),OR(ABS(M48-Assumptions!$B$36)&lt;=Assumptions!$B$46,ABS(M48+Assumptions!$B$36)&lt;=Assumptions!$B$46),FALSE())</f>
        <v>0</v>
      </c>
      <c r="AI48" s="9" t="n">
        <f aca="false">INDEX('Commercial View'!$L$2:$L$301,MATCH($A48,'Commercial View'!$A$2:$A$301,0))+INDEX('Commercial View'!$M$2:$M$301,MATCH($A48,'Commercial View'!$A$2:$A$301,0))</f>
        <v>681</v>
      </c>
      <c r="AJ48" s="2" t="str">
        <f aca="false">IF(AND(K48=0,AI48=0),"No activity ex-Feb",IF(AI48=0,"Lapsed",IF(K48=0,"H2 Active / No H1 GMV",IF((AI48/2)/(K48/3)-1&gt;=Assumptions!$B$36,"Growing",IF((AI48/2)/(K48/3)-1&lt;-Assumptions!$B$36,"Declining","Stable")))))</f>
        <v>H2 Active / No H1 GMV</v>
      </c>
      <c r="AK48" s="10" t="b">
        <f aca="false">IF(OR(N48="Growing",N48="Stable"),"Healthy",N48)&lt;&gt;IF(OR(AJ48="Growing",AJ48="Stable"),"Healthy",AJ48)</f>
        <v>0</v>
      </c>
      <c r="AL48" s="2" t="str">
        <f aca="false">IF(N48="Lapsed",IF(OR(O48&lt;=Assumptions!$B$48,W48&lt;=Assumptions!$B$49),"One-Off / Insufficient History — Verify","Established Buyer Lapsed"),"N/A")</f>
        <v>N/A</v>
      </c>
      <c r="AM48" s="2" t="n">
        <f aca="false">INDEX('Scored Accounts'!$M$2:$M$301,MATCH($A48,'Scored Accounts'!$A$2:$A$301,0))</f>
        <v>50</v>
      </c>
      <c r="AN48" s="2" t="n">
        <f aca="false">IF((P48/(P48+Q48)*100)&lt;=Assumptions!$B$13,0,IF((P48/(P48+Q48)*100)&lt;Assumptions!$B$14,25,IF((P48/(P48+Q48)*100)&lt;Assumptions!$B$15,50,IF((P48/(P48+Q48)*100)&lt;Assumptions!$B$16,75,100))))</f>
        <v>50</v>
      </c>
      <c r="AO48" s="21" t="n">
        <f aca="false">IF((P48/(P48+Q48)*100)&lt;=Assumptions!$B$8,0,AN48*Assumptions!$B$4+INDEX('Scored Accounts'!$N$2:$N$301,MATCH($A48,'Scored Accounts'!$A$2:$A$301,0))*Assumptions!$B$5+INDEX('Scored Accounts'!$O$2:$O$301,MATCH($A48,'Scored Accounts'!$A$2:$A$301,0))*Assumptions!$B$6)</f>
        <v>62.5</v>
      </c>
      <c r="AP48" s="2" t="str">
        <f aca="false">IF(AO48&gt;=Assumptions!$B$9,"High",IF(AO48&gt;=Assumptions!$B$10,"Medium","Low"))</f>
        <v>Medium</v>
      </c>
      <c r="AQ48" s="10" t="b">
        <f aca="false">OR((E48&lt;=Assumptions!$B$8)&lt;&gt;((P48/(P48+Q48)*100)&lt;=Assumptions!$B$8),AM48&lt;&gt;AN48,G48&lt;&gt;AP48)</f>
        <v>0</v>
      </c>
      <c r="AR48" s="2" t="str">
        <f aca="false">IF(AP48&lt;&gt;"Low","Broker-Reliant",IF(B48="Account Managed","AM-Owned / Self-Serving","Self-Serve"))</f>
        <v>Broker-Reliant</v>
      </c>
      <c r="AS48" s="2" t="str">
        <f aca="false">IF(AR48="Broker-Reliant",IF(J48="Tail","5. Cost-to-Serve / Low-Touch",IF(OR(N48="Growing",N48="Stable"),"1. Migration Candidate",IF(N48="Declining","2. Protect / Retain First",IF(N48="Lapsed","3. Win-Back / Verify",IF(N48="H2 Active / No H1 GMV","4. Establish / Re-establish / Observe","UNASSIGNED"))))),IF(AP48="Low",IF(J48="Tail","9. Long-Tail Automated Nurture",IF(OR(N48="Growing",N48="Stable"),"6. Growth Opportunity",IF(N48="H2 Active / No H1 GMV","7. Onboard / Re-engage / Learn",IF(OR(N48="Declining",N48="Lapsed"),"8. Retention / Reactivation","UNASSIGNED")))),"UNASSIGNED"))</f>
        <v>4. Establish / Re-establish / Observe</v>
      </c>
      <c r="AT48" s="10" t="b">
        <f aca="false">AS48&lt;&gt;T48</f>
        <v>0</v>
      </c>
      <c r="AU48" s="2" t="str">
        <f aca="false">IF(NOT(U48),"Not Eligible",IF(OR(AQ48,AH48,AK48,NOT(AND(W48&gt;=Assumptions!$B$83,O48&gt;=Assumptions!$B$84))),"Manual Review","Ready"))</f>
        <v>Not Eligible</v>
      </c>
      <c r="AV48" s="2" t="str">
        <f aca="false">IF(AG48,"Key account - human sign-off required; ","")&amp;IF(AH48,"Borderline momentum; ","")&amp;IF(AK48,"February-sensitive ("&amp;N48&amp;" -&gt; "&amp;AJ48&amp;"); ","")&amp;IF(AL48="One-Off / Insufficient History — Verify","Lapsed on thin history - verify; ","")&amp;IF(AQ48,"Material broker % inconsistency (implied tier "&amp;AP48&amp;"); ","")&amp;IF(AT48,"Implied broker % would move segment to "&amp;AS48&amp;"; ","")</f>
        <v/>
      </c>
      <c r="AW48" s="10" t="b">
        <f aca="false">AND(G48="Low",J48="Tail",I48&gt;=Assumptions!$B$64,O48&gt;=Assumptions!$B$65,OR(N48="Growing",N48="Stable",AND(N48="H2 Active / No H1 GMV",W48&gt;=2)),OR(R48&gt;=Assumptions!$B$66,S48&gt;=Assumptions!$B$67))</f>
        <v>0</v>
      </c>
    </row>
    <row r="49" customFormat="false" ht="15" hidden="false" customHeight="false" outlineLevel="0" collapsed="false">
      <c r="A49" s="2" t="s">
        <v>430</v>
      </c>
      <c r="B49" s="2" t="s">
        <v>1571</v>
      </c>
      <c r="C49" s="2" t="s">
        <v>1572</v>
      </c>
      <c r="D49" s="2" t="n">
        <v>14</v>
      </c>
      <c r="E49" s="2" t="n">
        <v>15</v>
      </c>
      <c r="F49" s="21" t="n">
        <f aca="false">INDEX('Scored Accounts'!$Q$2:$Q$301,MATCH($A49,'Scored Accounts'!$A$2:$A$301,0))</f>
        <v>0</v>
      </c>
      <c r="G49" s="2" t="str">
        <f aca="false">INDEX('Scored Accounts'!$R$2:$R$301,MATCH($A49,'Scored Accounts'!$A$2:$A$301,0))</f>
        <v>Low</v>
      </c>
      <c r="H49" s="2" t="str">
        <f aca="false">IF(OR(G49="High",G49="Medium"),"Broker-Reliant",IF(AND(G49="Low",B49="Account Managed"),"AM-Owned / Self-Serving",IF(AND(G49="Low",B49="Self Serve"),"Self-Serve","UNASSIGNED")))</f>
        <v>AM-Owned / Self-Serving</v>
      </c>
      <c r="I49" s="9" t="n">
        <v>3113</v>
      </c>
      <c r="J49" s="2" t="str">
        <f aca="false">IF(I49&gt;=Assumptions!$B$35,"Key",IF(I49&gt;=Assumptions!$B$34,"Core","Tail"))</f>
        <v>Core</v>
      </c>
      <c r="K49" s="9" t="n">
        <f aca="false">INDEX('Commercial View'!$R$2:$R$301,MATCH($A49,'Commercial View'!$A$2:$A$301,0))</f>
        <v>0</v>
      </c>
      <c r="L49" s="9" t="n">
        <f aca="false">INDEX('Commercial View'!$S$2:$S$301,MATCH($A49,'Commercial View'!$A$2:$A$301,0))</f>
        <v>3113</v>
      </c>
      <c r="M49" s="17" t="str">
        <f aca="false">INDEX('Commercial View'!$T$2:$T$301,MATCH($A49,'Commercial View'!$A$2:$A$301,0))</f>
        <v/>
      </c>
      <c r="N49" s="2" t="str">
        <f aca="false">INDEX('Commercial View'!$U$2:$U$301,MATCH($A49,'Commercial View'!$A$2:$A$301,0))</f>
        <v>H2 Active / No H1 GMV</v>
      </c>
      <c r="O49" s="2" t="n">
        <v>4</v>
      </c>
      <c r="P49" s="2" t="n">
        <v>1</v>
      </c>
      <c r="Q49" s="2" t="n">
        <v>3</v>
      </c>
      <c r="R49" s="2" t="n">
        <v>30</v>
      </c>
      <c r="S49" s="2" t="n">
        <v>1</v>
      </c>
      <c r="T49" s="2" t="str">
        <f aca="false">IF(H49="Broker-Reliant",IF(J49="Tail","5. Cost-to-Serve / Low-Touch",IF(OR(N49="Growing",N49="Stable"),"1. Migration Candidate",IF(N49="Declining","2. Protect / Retain First",IF(N49="Lapsed","3. Win-Back / Verify",IF(N49="H2 Active / No H1 GMV","4. Establish / Re-establish / Observe","UNASSIGNED"))))),IF(G49="Low",IF(J49="Tail","9. Long-Tail Automated Nurture",IF(OR(N49="Growing",N49="Stable"),"6. Growth Opportunity",IF(N49="H2 Active / No H1 GMV","7. Onboard / Re-engage / Learn",IF(OR(N49="Declining",N49="Lapsed"),"8. Retention / Reactivation","UNASSIGNED")))),"UNASSIGNED"))</f>
        <v>7. Onboard / Re-engage / Learn</v>
      </c>
      <c r="U49" s="10" t="b">
        <f aca="false">AND(T49="1. Migration Candidate",J49="Core",O49&gt;=Assumptions!$B$39,Q49&gt;=Assumptions!$B$40,NOT(Z49))</f>
        <v>0</v>
      </c>
      <c r="V49" s="2" t="n">
        <f aca="false">(AND(H49="Broker-Reliant",J49&lt;&gt;"Tail",OR(N49="Growing",N49="Stable")))*1+(AND(H49="Broker-Reliant",J49&lt;&gt;"Tail",N49="Declining"))*1+(AND(H49="Broker-Reliant",J49&lt;&gt;"Tail",N49="Lapsed"))*1+(AND(H49="Broker-Reliant",J49&lt;&gt;"Tail",N49="H2 Active / No H1 GMV"))*1+(AND(H49="Broker-Reliant",J49="Tail"))*1+(AND(G49="Low",J49&lt;&gt;"Tail",OR(N49="Growing",N49="Stable")))*1+(AND(G49="Low",J49&lt;&gt;"Tail",N49="H2 Active / No H1 GMV"))*1+(AND(G49="Low",J49&lt;&gt;"Tail",OR(N49="Declining",N49="Lapsed")))*1+(AND(G49="Low",J49="Tail"))*1</f>
        <v>1</v>
      </c>
      <c r="W49" s="2" t="n">
        <f aca="false">INDEX('Commercial View'!$V$2:$V$301,MATCH($A49,'Commercial View'!$A$2:$A$301,0))</f>
        <v>2</v>
      </c>
      <c r="X49" s="10" t="b">
        <f aca="false">O49&lt;=Assumptions!$B$30</f>
        <v>0</v>
      </c>
      <c r="Y49" s="10" t="b">
        <f aca="false">W49&lt;=1</f>
        <v>0</v>
      </c>
      <c r="Z49" s="10" t="b">
        <f aca="false">C49="Duplicate"</f>
        <v>0</v>
      </c>
      <c r="AA49" s="10" t="b">
        <f aca="false">C49=""</f>
        <v>0</v>
      </c>
      <c r="AB49" s="2" t="n">
        <f aca="false">IF(P49+Q49&gt;0,ROUND(P49/(P49+Q49)*100,0),"")</f>
        <v>25</v>
      </c>
      <c r="AC49" s="2" t="n">
        <f aca="false">IF(P49+Q49&gt;0,ROUND(E49-P49/(P49+Q49)*100,0),"")</f>
        <v>-10</v>
      </c>
      <c r="AD49" s="10" t="b">
        <f aca="false">IF(AC49="",FALSE(),ABS(AC49)&gt;Assumptions!$B$41)</f>
        <v>0</v>
      </c>
      <c r="AE49" s="2" t="str">
        <f aca="false">IF(X49,"Low confidence (&lt;=2 orders); ","")&amp;IF(Y49,"Single-month history; ","")&amp;IF(Z49,"CRITICAL: Duplicate status; ","")&amp;IF(AA49,"Missing status; ","")&amp;IF(AD49,"Broker % vs counts gap "&amp;TEXT(AC49,"+0;-0")&amp;"pts; ","")</f>
        <v/>
      </c>
      <c r="AF49" s="2" t="str">
        <f aca="false">IF(AND(K49=0,L49&gt;0),IF(D49&lt;=Assumptions!$B$47,"New Customer","Returned Customer"),"Existing Customer")</f>
        <v>Returned Customer</v>
      </c>
      <c r="AG49" s="10" t="b">
        <f aca="false">AND(T49="1. Migration Candidate",J49="Key")</f>
        <v>0</v>
      </c>
      <c r="AH49" s="10" t="b">
        <f aca="false">IF(AND(K49&gt;0,L49&gt;0),OR(ABS(M49-Assumptions!$B$36)&lt;=Assumptions!$B$46,ABS(M49+Assumptions!$B$36)&lt;=Assumptions!$B$46),FALSE())</f>
        <v>0</v>
      </c>
      <c r="AI49" s="9" t="n">
        <f aca="false">INDEX('Commercial View'!$L$2:$L$301,MATCH($A49,'Commercial View'!$A$2:$A$301,0))+INDEX('Commercial View'!$M$2:$M$301,MATCH($A49,'Commercial View'!$A$2:$A$301,0))</f>
        <v>2649</v>
      </c>
      <c r="AJ49" s="2" t="str">
        <f aca="false">IF(AND(K49=0,AI49=0),"No activity ex-Feb",IF(AI49=0,"Lapsed",IF(K49=0,"H2 Active / No H1 GMV",IF((AI49/2)/(K49/3)-1&gt;=Assumptions!$B$36,"Growing",IF((AI49/2)/(K49/3)-1&lt;-Assumptions!$B$36,"Declining","Stable")))))</f>
        <v>H2 Active / No H1 GMV</v>
      </c>
      <c r="AK49" s="10" t="b">
        <f aca="false">IF(OR(N49="Growing",N49="Stable"),"Healthy",N49)&lt;&gt;IF(OR(AJ49="Growing",AJ49="Stable"),"Healthy",AJ49)</f>
        <v>0</v>
      </c>
      <c r="AL49" s="2" t="str">
        <f aca="false">IF(N49="Lapsed",IF(OR(O49&lt;=Assumptions!$B$48,W49&lt;=Assumptions!$B$49),"One-Off / Insufficient History — Verify","Established Buyer Lapsed"),"N/A")</f>
        <v>N/A</v>
      </c>
      <c r="AM49" s="2" t="n">
        <f aca="false">INDEX('Scored Accounts'!$M$2:$M$301,MATCH($A49,'Scored Accounts'!$A$2:$A$301,0))</f>
        <v>0</v>
      </c>
      <c r="AN49" s="2" t="n">
        <f aca="false">IF((P49/(P49+Q49)*100)&lt;=Assumptions!$B$13,0,IF((P49/(P49+Q49)*100)&lt;Assumptions!$B$14,25,IF((P49/(P49+Q49)*100)&lt;Assumptions!$B$15,50,IF((P49/(P49+Q49)*100)&lt;Assumptions!$B$16,75,100))))</f>
        <v>25</v>
      </c>
      <c r="AO49" s="21" t="n">
        <f aca="false">IF((P49/(P49+Q49)*100)&lt;=Assumptions!$B$8,0,AN49*Assumptions!$B$4+INDEX('Scored Accounts'!$N$2:$N$301,MATCH($A49,'Scored Accounts'!$A$2:$A$301,0))*Assumptions!$B$5+INDEX('Scored Accounts'!$O$2:$O$301,MATCH($A49,'Scored Accounts'!$A$2:$A$301,0))*Assumptions!$B$6)</f>
        <v>35</v>
      </c>
      <c r="AP49" s="2" t="str">
        <f aca="false">IF(AO49&gt;=Assumptions!$B$9,"High",IF(AO49&gt;=Assumptions!$B$10,"Medium","Low"))</f>
        <v>Low</v>
      </c>
      <c r="AQ49" s="10" t="b">
        <f aca="false">OR((E49&lt;=Assumptions!$B$8)&lt;&gt;((P49/(P49+Q49)*100)&lt;=Assumptions!$B$8),AM49&lt;&gt;AN49,G49&lt;&gt;AP49)</f>
        <v>1</v>
      </c>
      <c r="AR49" s="2" t="str">
        <f aca="false">IF(AP49&lt;&gt;"Low","Broker-Reliant",IF(B49="Account Managed","AM-Owned / Self-Serving","Self-Serve"))</f>
        <v>AM-Owned / Self-Serving</v>
      </c>
      <c r="AS49" s="2" t="str">
        <f aca="false">IF(AR49="Broker-Reliant",IF(J49="Tail","5. Cost-to-Serve / Low-Touch",IF(OR(N49="Growing",N49="Stable"),"1. Migration Candidate",IF(N49="Declining","2. Protect / Retain First",IF(N49="Lapsed","3. Win-Back / Verify",IF(N49="H2 Active / No H1 GMV","4. Establish / Re-establish / Observe","UNASSIGNED"))))),IF(AP49="Low",IF(J49="Tail","9. Long-Tail Automated Nurture",IF(OR(N49="Growing",N49="Stable"),"6. Growth Opportunity",IF(N49="H2 Active / No H1 GMV","7. Onboard / Re-engage / Learn",IF(OR(N49="Declining",N49="Lapsed"),"8. Retention / Reactivation","UNASSIGNED")))),"UNASSIGNED"))</f>
        <v>7. Onboard / Re-engage / Learn</v>
      </c>
      <c r="AT49" s="10" t="b">
        <f aca="false">AS49&lt;&gt;T49</f>
        <v>0</v>
      </c>
      <c r="AU49" s="2" t="str">
        <f aca="false">IF(NOT(U49),"Not Eligible",IF(OR(AQ49,AH49,AK49,NOT(AND(W49&gt;=Assumptions!$B$83,O49&gt;=Assumptions!$B$84))),"Manual Review","Ready"))</f>
        <v>Not Eligible</v>
      </c>
      <c r="AV49" s="2" t="str">
        <f aca="false">IF(AG49,"Key account - human sign-off required; ","")&amp;IF(AH49,"Borderline momentum; ","")&amp;IF(AK49,"February-sensitive ("&amp;N49&amp;" -&gt; "&amp;AJ49&amp;"); ","")&amp;IF(AL49="One-Off / Insufficient History — Verify","Lapsed on thin history - verify; ","")&amp;IF(AQ49,"Material broker % inconsistency (implied tier "&amp;AP49&amp;"); ","")&amp;IF(AT49,"Implied broker % would move segment to "&amp;AS49&amp;"; ","")</f>
        <v>Material broker % inconsistency (implied tier Low); </v>
      </c>
      <c r="AW49" s="10" t="b">
        <f aca="false">AND(G49="Low",J49="Tail",I49&gt;=Assumptions!$B$64,O49&gt;=Assumptions!$B$65,OR(N49="Growing",N49="Stable",AND(N49="H2 Active / No H1 GMV",W49&gt;=2)),OR(R49&gt;=Assumptions!$B$66,S49&gt;=Assumptions!$B$67))</f>
        <v>0</v>
      </c>
    </row>
    <row r="50" customFormat="false" ht="15" hidden="false" customHeight="false" outlineLevel="0" collapsed="false">
      <c r="A50" s="2" t="s">
        <v>466</v>
      </c>
      <c r="B50" s="2" t="s">
        <v>1571</v>
      </c>
      <c r="C50" s="2" t="s">
        <v>1572</v>
      </c>
      <c r="D50" s="2" t="n">
        <v>10</v>
      </c>
      <c r="E50" s="2" t="n">
        <v>81</v>
      </c>
      <c r="F50" s="21" t="n">
        <f aca="false">INDEX('Scored Accounts'!$Q$2:$Q$301,MATCH($A50,'Scored Accounts'!$A$2:$A$301,0))</f>
        <v>87.5</v>
      </c>
      <c r="G50" s="2" t="str">
        <f aca="false">INDEX('Scored Accounts'!$R$2:$R$301,MATCH($A50,'Scored Accounts'!$A$2:$A$301,0))</f>
        <v>High</v>
      </c>
      <c r="H50" s="2" t="str">
        <f aca="false">IF(OR(G50="High",G50="Medium"),"Broker-Reliant",IF(AND(G50="Low",B50="Account Managed"),"AM-Owned / Self-Serving",IF(AND(G50="Low",B50="Self Serve"),"Self-Serve","UNASSIGNED")))</f>
        <v>Broker-Reliant</v>
      </c>
      <c r="I50" s="9" t="n">
        <v>3111</v>
      </c>
      <c r="J50" s="2" t="str">
        <f aca="false">IF(I50&gt;=Assumptions!$B$35,"Key",IF(I50&gt;=Assumptions!$B$34,"Core","Tail"))</f>
        <v>Core</v>
      </c>
      <c r="K50" s="9" t="n">
        <f aca="false">INDEX('Commercial View'!$R$2:$R$301,MATCH($A50,'Commercial View'!$A$2:$A$301,0))</f>
        <v>765</v>
      </c>
      <c r="L50" s="9" t="n">
        <f aca="false">INDEX('Commercial View'!$S$2:$S$301,MATCH($A50,'Commercial View'!$A$2:$A$301,0))</f>
        <v>2347</v>
      </c>
      <c r="M50" s="17" t="n">
        <f aca="false">INDEX('Commercial View'!$T$2:$T$301,MATCH($A50,'Commercial View'!$A$2:$A$301,0))</f>
        <v>2.06797385620915</v>
      </c>
      <c r="N50" s="2" t="str">
        <f aca="false">INDEX('Commercial View'!$U$2:$U$301,MATCH($A50,'Commercial View'!$A$2:$A$301,0))</f>
        <v>Growing</v>
      </c>
      <c r="O50" s="2" t="n">
        <v>7</v>
      </c>
      <c r="P50" s="2" t="n">
        <v>6</v>
      </c>
      <c r="Q50" s="2" t="n">
        <v>1</v>
      </c>
      <c r="R50" s="2" t="n">
        <v>8</v>
      </c>
      <c r="S50" s="2" t="n">
        <v>1</v>
      </c>
      <c r="T50" s="2" t="str">
        <f aca="false">IF(H50="Broker-Reliant",IF(J50="Tail","5. Cost-to-Serve / Low-Touch",IF(OR(N50="Growing",N50="Stable"),"1. Migration Candidate",IF(N50="Declining","2. Protect / Retain First",IF(N50="Lapsed","3. Win-Back / Verify",IF(N50="H2 Active / No H1 GMV","4. Establish / Re-establish / Observe","UNASSIGNED"))))),IF(G50="Low",IF(J50="Tail","9. Long-Tail Automated Nurture",IF(OR(N50="Growing",N50="Stable"),"6. Growth Opportunity",IF(N50="H2 Active / No H1 GMV","7. Onboard / Re-engage / Learn",IF(OR(N50="Declining",N50="Lapsed"),"8. Retention / Reactivation","UNASSIGNED")))),"UNASSIGNED"))</f>
        <v>1. Migration Candidate</v>
      </c>
      <c r="U50" s="10" t="b">
        <f aca="false">AND(T50="1. Migration Candidate",J50="Core",O50&gt;=Assumptions!$B$39,Q50&gt;=Assumptions!$B$40,NOT(Z50))</f>
        <v>0</v>
      </c>
      <c r="V50" s="2" t="n">
        <f aca="false">(AND(H50="Broker-Reliant",J50&lt;&gt;"Tail",OR(N50="Growing",N50="Stable")))*1+(AND(H50="Broker-Reliant",J50&lt;&gt;"Tail",N50="Declining"))*1+(AND(H50="Broker-Reliant",J50&lt;&gt;"Tail",N50="Lapsed"))*1+(AND(H50="Broker-Reliant",J50&lt;&gt;"Tail",N50="H2 Active / No H1 GMV"))*1+(AND(H50="Broker-Reliant",J50="Tail"))*1+(AND(G50="Low",J50&lt;&gt;"Tail",OR(N50="Growing",N50="Stable")))*1+(AND(G50="Low",J50&lt;&gt;"Tail",N50="H2 Active / No H1 GMV"))*1+(AND(G50="Low",J50&lt;&gt;"Tail",OR(N50="Declining",N50="Lapsed")))*1+(AND(G50="Low",J50="Tail"))*1</f>
        <v>1</v>
      </c>
      <c r="W50" s="2" t="n">
        <f aca="false">INDEX('Commercial View'!$V$2:$V$301,MATCH($A50,'Commercial View'!$A$2:$A$301,0))</f>
        <v>5</v>
      </c>
      <c r="X50" s="10" t="b">
        <f aca="false">O50&lt;=Assumptions!$B$30</f>
        <v>0</v>
      </c>
      <c r="Y50" s="10" t="b">
        <f aca="false">W50&lt;=1</f>
        <v>0</v>
      </c>
      <c r="Z50" s="10" t="b">
        <f aca="false">C50="Duplicate"</f>
        <v>0</v>
      </c>
      <c r="AA50" s="10" t="b">
        <f aca="false">C50=""</f>
        <v>0</v>
      </c>
      <c r="AB50" s="2" t="n">
        <f aca="false">IF(P50+Q50&gt;0,ROUND(P50/(P50+Q50)*100,0),"")</f>
        <v>86</v>
      </c>
      <c r="AC50" s="2" t="n">
        <f aca="false">IF(P50+Q50&gt;0,ROUND(E50-P50/(P50+Q50)*100,0),"")</f>
        <v>-5</v>
      </c>
      <c r="AD50" s="10" t="b">
        <f aca="false">IF(AC50="",FALSE(),ABS(AC50)&gt;Assumptions!$B$41)</f>
        <v>0</v>
      </c>
      <c r="AE50" s="2" t="str">
        <f aca="false">IF(X50,"Low confidence (&lt;=2 orders); ","")&amp;IF(Y50,"Single-month history; ","")&amp;IF(Z50,"CRITICAL: Duplicate status; ","")&amp;IF(AA50,"Missing status; ","")&amp;IF(AD50,"Broker % vs counts gap "&amp;TEXT(AC50,"+0;-0")&amp;"pts; ","")</f>
        <v/>
      </c>
      <c r="AF50" s="2" t="str">
        <f aca="false">IF(AND(K50=0,L50&gt;0),IF(D50&lt;=Assumptions!$B$47,"New Customer","Returned Customer"),"Existing Customer")</f>
        <v>Existing Customer</v>
      </c>
      <c r="AG50" s="10" t="b">
        <f aca="false">AND(T50="1. Migration Candidate",J50="Key")</f>
        <v>0</v>
      </c>
      <c r="AH50" s="10" t="b">
        <f aca="false">IF(AND(K50&gt;0,L50&gt;0),OR(ABS(M50-Assumptions!$B$36)&lt;=Assumptions!$B$46,ABS(M50+Assumptions!$B$36)&lt;=Assumptions!$B$46),FALSE())</f>
        <v>0</v>
      </c>
      <c r="AI50" s="9" t="n">
        <f aca="false">INDEX('Commercial View'!$L$2:$L$301,MATCH($A50,'Commercial View'!$A$2:$A$301,0))+INDEX('Commercial View'!$M$2:$M$301,MATCH($A50,'Commercial View'!$A$2:$A$301,0))</f>
        <v>2031</v>
      </c>
      <c r="AJ50" s="2" t="str">
        <f aca="false">IF(AND(K50=0,AI50=0),"No activity ex-Feb",IF(AI50=0,"Lapsed",IF(K50=0,"H2 Active / No H1 GMV",IF((AI50/2)/(K50/3)-1&gt;=Assumptions!$B$36,"Growing",IF((AI50/2)/(K50/3)-1&lt;-Assumptions!$B$36,"Declining","Stable")))))</f>
        <v>Growing</v>
      </c>
      <c r="AK50" s="10" t="b">
        <f aca="false">IF(OR(N50="Growing",N50="Stable"),"Healthy",N50)&lt;&gt;IF(OR(AJ50="Growing",AJ50="Stable"),"Healthy",AJ50)</f>
        <v>0</v>
      </c>
      <c r="AL50" s="2" t="str">
        <f aca="false">IF(N50="Lapsed",IF(OR(O50&lt;=Assumptions!$B$48,W50&lt;=Assumptions!$B$49),"One-Off / Insufficient History — Verify","Established Buyer Lapsed"),"N/A")</f>
        <v>N/A</v>
      </c>
      <c r="AM50" s="2" t="n">
        <f aca="false">INDEX('Scored Accounts'!$M$2:$M$301,MATCH($A50,'Scored Accounts'!$A$2:$A$301,0))</f>
        <v>100</v>
      </c>
      <c r="AN50" s="2" t="n">
        <f aca="false">IF((P50/(P50+Q50)*100)&lt;=Assumptions!$B$13,0,IF((P50/(P50+Q50)*100)&lt;Assumptions!$B$14,25,IF((P50/(P50+Q50)*100)&lt;Assumptions!$B$15,50,IF((P50/(P50+Q50)*100)&lt;Assumptions!$B$16,75,100))))</f>
        <v>100</v>
      </c>
      <c r="AO50" s="21" t="n">
        <f aca="false">IF((P50/(P50+Q50)*100)&lt;=Assumptions!$B$8,0,AN50*Assumptions!$B$4+INDEX('Scored Accounts'!$N$2:$N$301,MATCH($A50,'Scored Accounts'!$A$2:$A$301,0))*Assumptions!$B$5+INDEX('Scored Accounts'!$O$2:$O$301,MATCH($A50,'Scored Accounts'!$A$2:$A$301,0))*Assumptions!$B$6)</f>
        <v>87.5</v>
      </c>
      <c r="AP50" s="2" t="str">
        <f aca="false">IF(AO50&gt;=Assumptions!$B$9,"High",IF(AO50&gt;=Assumptions!$B$10,"Medium","Low"))</f>
        <v>High</v>
      </c>
      <c r="AQ50" s="10" t="b">
        <f aca="false">OR((E50&lt;=Assumptions!$B$8)&lt;&gt;((P50/(P50+Q50)*100)&lt;=Assumptions!$B$8),AM50&lt;&gt;AN50,G50&lt;&gt;AP50)</f>
        <v>0</v>
      </c>
      <c r="AR50" s="2" t="str">
        <f aca="false">IF(AP50&lt;&gt;"Low","Broker-Reliant",IF(B50="Account Managed","AM-Owned / Self-Serving","Self-Serve"))</f>
        <v>Broker-Reliant</v>
      </c>
      <c r="AS50" s="2" t="str">
        <f aca="false">IF(AR50="Broker-Reliant",IF(J50="Tail","5. Cost-to-Serve / Low-Touch",IF(OR(N50="Growing",N50="Stable"),"1. Migration Candidate",IF(N50="Declining","2. Protect / Retain First",IF(N50="Lapsed","3. Win-Back / Verify",IF(N50="H2 Active / No H1 GMV","4. Establish / Re-establish / Observe","UNASSIGNED"))))),IF(AP50="Low",IF(J50="Tail","9. Long-Tail Automated Nurture",IF(OR(N50="Growing",N50="Stable"),"6. Growth Opportunity",IF(N50="H2 Active / No H1 GMV","7. Onboard / Re-engage / Learn",IF(OR(N50="Declining",N50="Lapsed"),"8. Retention / Reactivation","UNASSIGNED")))),"UNASSIGNED"))</f>
        <v>1. Migration Candidate</v>
      </c>
      <c r="AT50" s="10" t="b">
        <f aca="false">AS50&lt;&gt;T50</f>
        <v>0</v>
      </c>
      <c r="AU50" s="2" t="str">
        <f aca="false">IF(NOT(U50),"Not Eligible",IF(OR(AQ50,AH50,AK50,NOT(AND(W50&gt;=Assumptions!$B$83,O50&gt;=Assumptions!$B$84))),"Manual Review","Ready"))</f>
        <v>Not Eligible</v>
      </c>
      <c r="AV50" s="2" t="str">
        <f aca="false">IF(AG50,"Key account - human sign-off required; ","")&amp;IF(AH50,"Borderline momentum; ","")&amp;IF(AK50,"February-sensitive ("&amp;N50&amp;" -&gt; "&amp;AJ50&amp;"); ","")&amp;IF(AL50="One-Off / Insufficient History — Verify","Lapsed on thin history - verify; ","")&amp;IF(AQ50,"Material broker % inconsistency (implied tier "&amp;AP50&amp;"); ","")&amp;IF(AT50,"Implied broker % would move segment to "&amp;AS50&amp;"; ","")</f>
        <v/>
      </c>
      <c r="AW50" s="10" t="b">
        <f aca="false">AND(G50="Low",J50="Tail",I50&gt;=Assumptions!$B$64,O50&gt;=Assumptions!$B$65,OR(N50="Growing",N50="Stable",AND(N50="H2 Active / No H1 GMV",W50&gt;=2)),OR(R50&gt;=Assumptions!$B$66,S50&gt;=Assumptions!$B$67))</f>
        <v>0</v>
      </c>
    </row>
    <row r="51" customFormat="false" ht="15" hidden="false" customHeight="false" outlineLevel="0" collapsed="false">
      <c r="A51" s="2" t="s">
        <v>275</v>
      </c>
      <c r="B51" s="2" t="s">
        <v>1571</v>
      </c>
      <c r="C51" s="2" t="s">
        <v>1572</v>
      </c>
      <c r="D51" s="2" t="n">
        <v>7</v>
      </c>
      <c r="E51" s="2" t="n">
        <v>46</v>
      </c>
      <c r="F51" s="21" t="n">
        <f aca="false">INDEX('Scored Accounts'!$Q$2:$Q$301,MATCH($A51,'Scored Accounts'!$A$2:$A$301,0))</f>
        <v>62.5</v>
      </c>
      <c r="G51" s="2" t="str">
        <f aca="false">INDEX('Scored Accounts'!$R$2:$R$301,MATCH($A51,'Scored Accounts'!$A$2:$A$301,0))</f>
        <v>Medium</v>
      </c>
      <c r="H51" s="2" t="str">
        <f aca="false">IF(OR(G51="High",G51="Medium"),"Broker-Reliant",IF(AND(G51="Low",B51="Account Managed"),"AM-Owned / Self-Serving",IF(AND(G51="Low",B51="Self Serve"),"Self-Serve","UNASSIGNED")))</f>
        <v>Broker-Reliant</v>
      </c>
      <c r="I51" s="9" t="n">
        <v>3044</v>
      </c>
      <c r="J51" s="2" t="str">
        <f aca="false">IF(I51&gt;=Assumptions!$B$35,"Key",IF(I51&gt;=Assumptions!$B$34,"Core","Tail"))</f>
        <v>Core</v>
      </c>
      <c r="K51" s="9" t="n">
        <f aca="false">INDEX('Commercial View'!$R$2:$R$301,MATCH($A51,'Commercial View'!$A$2:$A$301,0))</f>
        <v>3044</v>
      </c>
      <c r="L51" s="9" t="n">
        <f aca="false">INDEX('Commercial View'!$S$2:$S$301,MATCH($A51,'Commercial View'!$A$2:$A$301,0))</f>
        <v>0</v>
      </c>
      <c r="M51" s="17" t="n">
        <f aca="false">INDEX('Commercial View'!$T$2:$T$301,MATCH($A51,'Commercial View'!$A$2:$A$301,0))</f>
        <v>-1</v>
      </c>
      <c r="N51" s="2" t="str">
        <f aca="false">INDEX('Commercial View'!$U$2:$U$301,MATCH($A51,'Commercial View'!$A$2:$A$301,0))</f>
        <v>Lapsed</v>
      </c>
      <c r="O51" s="2" t="n">
        <v>6</v>
      </c>
      <c r="P51" s="2" t="n">
        <v>3</v>
      </c>
      <c r="Q51" s="2" t="n">
        <v>3</v>
      </c>
      <c r="R51" s="2" t="n">
        <v>5</v>
      </c>
      <c r="S51" s="2" t="n">
        <v>1</v>
      </c>
      <c r="T51" s="2" t="str">
        <f aca="false">IF(H51="Broker-Reliant",IF(J51="Tail","5. Cost-to-Serve / Low-Touch",IF(OR(N51="Growing",N51="Stable"),"1. Migration Candidate",IF(N51="Declining","2. Protect / Retain First",IF(N51="Lapsed","3. Win-Back / Verify",IF(N51="H2 Active / No H1 GMV","4. Establish / Re-establish / Observe","UNASSIGNED"))))),IF(G51="Low",IF(J51="Tail","9. Long-Tail Automated Nurture",IF(OR(N51="Growing",N51="Stable"),"6. Growth Opportunity",IF(N51="H2 Active / No H1 GMV","7. Onboard / Re-engage / Learn",IF(OR(N51="Declining",N51="Lapsed"),"8. Retention / Reactivation","UNASSIGNED")))),"UNASSIGNED"))</f>
        <v>3. Win-Back / Verify</v>
      </c>
      <c r="U51" s="10" t="b">
        <f aca="false">AND(T51="1. Migration Candidate",J51="Core",O51&gt;=Assumptions!$B$39,Q51&gt;=Assumptions!$B$40,NOT(Z51))</f>
        <v>0</v>
      </c>
      <c r="V51" s="2" t="n">
        <f aca="false">(AND(H51="Broker-Reliant",J51&lt;&gt;"Tail",OR(N51="Growing",N51="Stable")))*1+(AND(H51="Broker-Reliant",J51&lt;&gt;"Tail",N51="Declining"))*1+(AND(H51="Broker-Reliant",J51&lt;&gt;"Tail",N51="Lapsed"))*1+(AND(H51="Broker-Reliant",J51&lt;&gt;"Tail",N51="H2 Active / No H1 GMV"))*1+(AND(H51="Broker-Reliant",J51="Tail"))*1+(AND(G51="Low",J51&lt;&gt;"Tail",OR(N51="Growing",N51="Stable")))*1+(AND(G51="Low",J51&lt;&gt;"Tail",N51="H2 Active / No H1 GMV"))*1+(AND(G51="Low",J51&lt;&gt;"Tail",OR(N51="Declining",N51="Lapsed")))*1+(AND(G51="Low",J51="Tail"))*1</f>
        <v>1</v>
      </c>
      <c r="W51" s="2" t="n">
        <f aca="false">INDEX('Commercial View'!$V$2:$V$301,MATCH($A51,'Commercial View'!$A$2:$A$301,0))</f>
        <v>1</v>
      </c>
      <c r="X51" s="10" t="b">
        <f aca="false">O51&lt;=Assumptions!$B$30</f>
        <v>0</v>
      </c>
      <c r="Y51" s="10" t="b">
        <f aca="false">W51&lt;=1</f>
        <v>1</v>
      </c>
      <c r="Z51" s="10" t="b">
        <f aca="false">C51="Duplicate"</f>
        <v>0</v>
      </c>
      <c r="AA51" s="10" t="b">
        <f aca="false">C51=""</f>
        <v>0</v>
      </c>
      <c r="AB51" s="2" t="n">
        <f aca="false">IF(P51+Q51&gt;0,ROUND(P51/(P51+Q51)*100,0),"")</f>
        <v>50</v>
      </c>
      <c r="AC51" s="2" t="n">
        <f aca="false">IF(P51+Q51&gt;0,ROUND(E51-P51/(P51+Q51)*100,0),"")</f>
        <v>-4</v>
      </c>
      <c r="AD51" s="10" t="b">
        <f aca="false">IF(AC51="",FALSE(),ABS(AC51)&gt;Assumptions!$B$41)</f>
        <v>0</v>
      </c>
      <c r="AE51" s="2" t="str">
        <f aca="false">IF(X51,"Low confidence (&lt;=2 orders); ","")&amp;IF(Y51,"Single-month history; ","")&amp;IF(Z51,"CRITICAL: Duplicate status; ","")&amp;IF(AA51,"Missing status; ","")&amp;IF(AD51,"Broker % vs counts gap "&amp;TEXT(AC51,"+0;-0")&amp;"pts; ","")</f>
        <v>Single-month history; </v>
      </c>
      <c r="AF51" s="2" t="str">
        <f aca="false">IF(AND(K51=0,L51&gt;0),IF(D51&lt;=Assumptions!$B$47,"New Customer","Returned Customer"),"Existing Customer")</f>
        <v>Existing Customer</v>
      </c>
      <c r="AG51" s="10" t="b">
        <f aca="false">AND(T51="1. Migration Candidate",J51="Key")</f>
        <v>0</v>
      </c>
      <c r="AH51" s="10" t="b">
        <f aca="false">IF(AND(K51&gt;0,L51&gt;0),OR(ABS(M51-Assumptions!$B$36)&lt;=Assumptions!$B$46,ABS(M51+Assumptions!$B$36)&lt;=Assumptions!$B$46),FALSE())</f>
        <v>0</v>
      </c>
      <c r="AI51" s="9" t="n">
        <f aca="false">INDEX('Commercial View'!$L$2:$L$301,MATCH($A51,'Commercial View'!$A$2:$A$301,0))+INDEX('Commercial View'!$M$2:$M$301,MATCH($A51,'Commercial View'!$A$2:$A$301,0))</f>
        <v>0</v>
      </c>
      <c r="AJ51" s="2" t="str">
        <f aca="false">IF(AND(K51=0,AI51=0),"No activity ex-Feb",IF(AI51=0,"Lapsed",IF(K51=0,"H2 Active / No H1 GMV",IF((AI51/2)/(K51/3)-1&gt;=Assumptions!$B$36,"Growing",IF((AI51/2)/(K51/3)-1&lt;-Assumptions!$B$36,"Declining","Stable")))))</f>
        <v>Lapsed</v>
      </c>
      <c r="AK51" s="10" t="b">
        <f aca="false">IF(OR(N51="Growing",N51="Stable"),"Healthy",N51)&lt;&gt;IF(OR(AJ51="Growing",AJ51="Stable"),"Healthy",AJ51)</f>
        <v>0</v>
      </c>
      <c r="AL51" s="2" t="str">
        <f aca="false">IF(N51="Lapsed",IF(OR(O51&lt;=Assumptions!$B$48,W51&lt;=Assumptions!$B$49),"One-Off / Insufficient History — Verify","Established Buyer Lapsed"),"N/A")</f>
        <v>One-Off / Insufficient History — Verify</v>
      </c>
      <c r="AM51" s="2" t="n">
        <f aca="false">INDEX('Scored Accounts'!$M$2:$M$301,MATCH($A51,'Scored Accounts'!$A$2:$A$301,0))</f>
        <v>50</v>
      </c>
      <c r="AN51" s="2" t="n">
        <f aca="false">IF((P51/(P51+Q51)*100)&lt;=Assumptions!$B$13,0,IF((P51/(P51+Q51)*100)&lt;Assumptions!$B$14,25,IF((P51/(P51+Q51)*100)&lt;Assumptions!$B$15,50,IF((P51/(P51+Q51)*100)&lt;Assumptions!$B$16,75,100))))</f>
        <v>50</v>
      </c>
      <c r="AO51" s="21" t="n">
        <f aca="false">IF((P51/(P51+Q51)*100)&lt;=Assumptions!$B$8,0,AN51*Assumptions!$B$4+INDEX('Scored Accounts'!$N$2:$N$301,MATCH($A51,'Scored Accounts'!$A$2:$A$301,0))*Assumptions!$B$5+INDEX('Scored Accounts'!$O$2:$O$301,MATCH($A51,'Scored Accounts'!$A$2:$A$301,0))*Assumptions!$B$6)</f>
        <v>62.5</v>
      </c>
      <c r="AP51" s="2" t="str">
        <f aca="false">IF(AO51&gt;=Assumptions!$B$9,"High",IF(AO51&gt;=Assumptions!$B$10,"Medium","Low"))</f>
        <v>Medium</v>
      </c>
      <c r="AQ51" s="10" t="b">
        <f aca="false">OR((E51&lt;=Assumptions!$B$8)&lt;&gt;((P51/(P51+Q51)*100)&lt;=Assumptions!$B$8),AM51&lt;&gt;AN51,G51&lt;&gt;AP51)</f>
        <v>0</v>
      </c>
      <c r="AR51" s="2" t="str">
        <f aca="false">IF(AP51&lt;&gt;"Low","Broker-Reliant",IF(B51="Account Managed","AM-Owned / Self-Serving","Self-Serve"))</f>
        <v>Broker-Reliant</v>
      </c>
      <c r="AS51" s="2" t="str">
        <f aca="false">IF(AR51="Broker-Reliant",IF(J51="Tail","5. Cost-to-Serve / Low-Touch",IF(OR(N51="Growing",N51="Stable"),"1. Migration Candidate",IF(N51="Declining","2. Protect / Retain First",IF(N51="Lapsed","3. Win-Back / Verify",IF(N51="H2 Active / No H1 GMV","4. Establish / Re-establish / Observe","UNASSIGNED"))))),IF(AP51="Low",IF(J51="Tail","9. Long-Tail Automated Nurture",IF(OR(N51="Growing",N51="Stable"),"6. Growth Opportunity",IF(N51="H2 Active / No H1 GMV","7. Onboard / Re-engage / Learn",IF(OR(N51="Declining",N51="Lapsed"),"8. Retention / Reactivation","UNASSIGNED")))),"UNASSIGNED"))</f>
        <v>3. Win-Back / Verify</v>
      </c>
      <c r="AT51" s="10" t="b">
        <f aca="false">AS51&lt;&gt;T51</f>
        <v>0</v>
      </c>
      <c r="AU51" s="2" t="str">
        <f aca="false">IF(NOT(U51),"Not Eligible",IF(OR(AQ51,AH51,AK51,NOT(AND(W51&gt;=Assumptions!$B$83,O51&gt;=Assumptions!$B$84))),"Manual Review","Ready"))</f>
        <v>Not Eligible</v>
      </c>
      <c r="AV51" s="2" t="str">
        <f aca="false">IF(AG51,"Key account - human sign-off required; ","")&amp;IF(AH51,"Borderline momentum; ","")&amp;IF(AK51,"February-sensitive ("&amp;N51&amp;" -&gt; "&amp;AJ51&amp;"); ","")&amp;IF(AL51="One-Off / Insufficient History — Verify","Lapsed on thin history - verify; ","")&amp;IF(AQ51,"Material broker % inconsistency (implied tier "&amp;AP51&amp;"); ","")&amp;IF(AT51,"Implied broker % would move segment to "&amp;AS51&amp;"; ","")</f>
        <v>Lapsed on thin history - verify; </v>
      </c>
      <c r="AW51" s="10" t="b">
        <f aca="false">AND(G51="Low",J51="Tail",I51&gt;=Assumptions!$B$64,O51&gt;=Assumptions!$B$65,OR(N51="Growing",N51="Stable",AND(N51="H2 Active / No H1 GMV",W51&gt;=2)),OR(R51&gt;=Assumptions!$B$66,S51&gt;=Assumptions!$B$67))</f>
        <v>0</v>
      </c>
    </row>
    <row r="52" customFormat="false" ht="15" hidden="false" customHeight="false" outlineLevel="0" collapsed="false">
      <c r="A52" s="2" t="s">
        <v>278</v>
      </c>
      <c r="B52" s="2" t="s">
        <v>1571</v>
      </c>
      <c r="C52" s="2" t="s">
        <v>1572</v>
      </c>
      <c r="D52" s="2" t="n">
        <v>8</v>
      </c>
      <c r="E52" s="2" t="n">
        <v>12</v>
      </c>
      <c r="F52" s="21" t="n">
        <f aca="false">INDEX('Scored Accounts'!$Q$2:$Q$301,MATCH($A52,'Scored Accounts'!$A$2:$A$301,0))</f>
        <v>0</v>
      </c>
      <c r="G52" s="2" t="str">
        <f aca="false">INDEX('Scored Accounts'!$R$2:$R$301,MATCH($A52,'Scored Accounts'!$A$2:$A$301,0))</f>
        <v>Low</v>
      </c>
      <c r="H52" s="2" t="str">
        <f aca="false">IF(OR(G52="High",G52="Medium"),"Broker-Reliant",IF(AND(G52="Low",B52="Account Managed"),"AM-Owned / Self-Serving",IF(AND(G52="Low",B52="Self Serve"),"Self-Serve","UNASSIGNED")))</f>
        <v>AM-Owned / Self-Serving</v>
      </c>
      <c r="I52" s="9" t="n">
        <v>2992</v>
      </c>
      <c r="J52" s="2" t="str">
        <f aca="false">IF(I52&gt;=Assumptions!$B$35,"Key",IF(I52&gt;=Assumptions!$B$34,"Core","Tail"))</f>
        <v>Core</v>
      </c>
      <c r="K52" s="9" t="n">
        <f aca="false">INDEX('Commercial View'!$R$2:$R$301,MATCH($A52,'Commercial View'!$A$2:$A$301,0))</f>
        <v>1724</v>
      </c>
      <c r="L52" s="9" t="n">
        <f aca="false">INDEX('Commercial View'!$S$2:$S$301,MATCH($A52,'Commercial View'!$A$2:$A$301,0))</f>
        <v>1268</v>
      </c>
      <c r="M52" s="17" t="n">
        <f aca="false">INDEX('Commercial View'!$T$2:$T$301,MATCH($A52,'Commercial View'!$A$2:$A$301,0))</f>
        <v>-0.264501160092807</v>
      </c>
      <c r="N52" s="2" t="str">
        <f aca="false">INDEX('Commercial View'!$U$2:$U$301,MATCH($A52,'Commercial View'!$A$2:$A$301,0))</f>
        <v>Declining</v>
      </c>
      <c r="O52" s="2" t="n">
        <v>7</v>
      </c>
      <c r="P52" s="2" t="n">
        <v>1</v>
      </c>
      <c r="Q52" s="2" t="n">
        <v>6</v>
      </c>
      <c r="R52" s="2" t="n">
        <v>113</v>
      </c>
      <c r="S52" s="2" t="n">
        <v>4</v>
      </c>
      <c r="T52" s="2" t="str">
        <f aca="false">IF(H52="Broker-Reliant",IF(J52="Tail","5. Cost-to-Serve / Low-Touch",IF(OR(N52="Growing",N52="Stable"),"1. Migration Candidate",IF(N52="Declining","2. Protect / Retain First",IF(N52="Lapsed","3. Win-Back / Verify",IF(N52="H2 Active / No H1 GMV","4. Establish / Re-establish / Observe","UNASSIGNED"))))),IF(G52="Low",IF(J52="Tail","9. Long-Tail Automated Nurture",IF(OR(N52="Growing",N52="Stable"),"6. Growth Opportunity",IF(N52="H2 Active / No H1 GMV","7. Onboard / Re-engage / Learn",IF(OR(N52="Declining",N52="Lapsed"),"8. Retention / Reactivation","UNASSIGNED")))),"UNASSIGNED"))</f>
        <v>8. Retention / Reactivation</v>
      </c>
      <c r="U52" s="10" t="b">
        <f aca="false">AND(T52="1. Migration Candidate",J52="Core",O52&gt;=Assumptions!$B$39,Q52&gt;=Assumptions!$B$40,NOT(Z52))</f>
        <v>0</v>
      </c>
      <c r="V52" s="2" t="n">
        <f aca="false">(AND(H52="Broker-Reliant",J52&lt;&gt;"Tail",OR(N52="Growing",N52="Stable")))*1+(AND(H52="Broker-Reliant",J52&lt;&gt;"Tail",N52="Declining"))*1+(AND(H52="Broker-Reliant",J52&lt;&gt;"Tail",N52="Lapsed"))*1+(AND(H52="Broker-Reliant",J52&lt;&gt;"Tail",N52="H2 Active / No H1 GMV"))*1+(AND(H52="Broker-Reliant",J52="Tail"))*1+(AND(G52="Low",J52&lt;&gt;"Tail",OR(N52="Growing",N52="Stable")))*1+(AND(G52="Low",J52&lt;&gt;"Tail",N52="H2 Active / No H1 GMV"))*1+(AND(G52="Low",J52&lt;&gt;"Tail",OR(N52="Declining",N52="Lapsed")))*1+(AND(G52="Low",J52="Tail"))*1</f>
        <v>1</v>
      </c>
      <c r="W52" s="2" t="n">
        <f aca="false">INDEX('Commercial View'!$V$2:$V$301,MATCH($A52,'Commercial View'!$A$2:$A$301,0))</f>
        <v>4</v>
      </c>
      <c r="X52" s="10" t="b">
        <f aca="false">O52&lt;=Assumptions!$B$30</f>
        <v>0</v>
      </c>
      <c r="Y52" s="10" t="b">
        <f aca="false">W52&lt;=1</f>
        <v>0</v>
      </c>
      <c r="Z52" s="10" t="b">
        <f aca="false">C52="Duplicate"</f>
        <v>0</v>
      </c>
      <c r="AA52" s="10" t="b">
        <f aca="false">C52=""</f>
        <v>0</v>
      </c>
      <c r="AB52" s="2" t="n">
        <f aca="false">IF(P52+Q52&gt;0,ROUND(P52/(P52+Q52)*100,0),"")</f>
        <v>14</v>
      </c>
      <c r="AC52" s="2" t="n">
        <f aca="false">IF(P52+Q52&gt;0,ROUND(E52-P52/(P52+Q52)*100,0),"")</f>
        <v>-2</v>
      </c>
      <c r="AD52" s="10" t="b">
        <f aca="false">IF(AC52="",FALSE(),ABS(AC52)&gt;Assumptions!$B$41)</f>
        <v>0</v>
      </c>
      <c r="AE52" s="2" t="str">
        <f aca="false">IF(X52,"Low confidence (&lt;=2 orders); ","")&amp;IF(Y52,"Single-month history; ","")&amp;IF(Z52,"CRITICAL: Duplicate status; ","")&amp;IF(AA52,"Missing status; ","")&amp;IF(AD52,"Broker % vs counts gap "&amp;TEXT(AC52,"+0;-0")&amp;"pts; ","")</f>
        <v/>
      </c>
      <c r="AF52" s="2" t="str">
        <f aca="false">IF(AND(K52=0,L52&gt;0),IF(D52&lt;=Assumptions!$B$47,"New Customer","Returned Customer"),"Existing Customer")</f>
        <v>Existing Customer</v>
      </c>
      <c r="AG52" s="10" t="b">
        <f aca="false">AND(T52="1. Migration Candidate",J52="Key")</f>
        <v>0</v>
      </c>
      <c r="AH52" s="10" t="b">
        <f aca="false">IF(AND(K52&gt;0,L52&gt;0),OR(ABS(M52-Assumptions!$B$36)&lt;=Assumptions!$B$46,ABS(M52+Assumptions!$B$36)&lt;=Assumptions!$B$46),FALSE())</f>
        <v>0</v>
      </c>
      <c r="AI52" s="9" t="n">
        <f aca="false">INDEX('Commercial View'!$L$2:$L$301,MATCH($A52,'Commercial View'!$A$2:$A$301,0))+INDEX('Commercial View'!$M$2:$M$301,MATCH($A52,'Commercial View'!$A$2:$A$301,0))</f>
        <v>453</v>
      </c>
      <c r="AJ52" s="2" t="str">
        <f aca="false">IF(AND(K52=0,AI52=0),"No activity ex-Feb",IF(AI52=0,"Lapsed",IF(K52=0,"H2 Active / No H1 GMV",IF((AI52/2)/(K52/3)-1&gt;=Assumptions!$B$36,"Growing",IF((AI52/2)/(K52/3)-1&lt;-Assumptions!$B$36,"Declining","Stable")))))</f>
        <v>Declining</v>
      </c>
      <c r="AK52" s="10" t="b">
        <f aca="false">IF(OR(N52="Growing",N52="Stable"),"Healthy",N52)&lt;&gt;IF(OR(AJ52="Growing",AJ52="Stable"),"Healthy",AJ52)</f>
        <v>0</v>
      </c>
      <c r="AL52" s="2" t="str">
        <f aca="false">IF(N52="Lapsed",IF(OR(O52&lt;=Assumptions!$B$48,W52&lt;=Assumptions!$B$49),"One-Off / Insufficient History — Verify","Established Buyer Lapsed"),"N/A")</f>
        <v>N/A</v>
      </c>
      <c r="AM52" s="2" t="n">
        <f aca="false">INDEX('Scored Accounts'!$M$2:$M$301,MATCH($A52,'Scored Accounts'!$A$2:$A$301,0))</f>
        <v>0</v>
      </c>
      <c r="AN52" s="2" t="n">
        <f aca="false">IF((P52/(P52+Q52)*100)&lt;=Assumptions!$B$13,0,IF((P52/(P52+Q52)*100)&lt;Assumptions!$B$14,25,IF((P52/(P52+Q52)*100)&lt;Assumptions!$B$15,50,IF((P52/(P52+Q52)*100)&lt;Assumptions!$B$16,75,100))))</f>
        <v>0</v>
      </c>
      <c r="AO52" s="21" t="n">
        <f aca="false">IF((P52/(P52+Q52)*100)&lt;=Assumptions!$B$8,0,AN52*Assumptions!$B$4+INDEX('Scored Accounts'!$N$2:$N$301,MATCH($A52,'Scored Accounts'!$A$2:$A$301,0))*Assumptions!$B$5+INDEX('Scored Accounts'!$O$2:$O$301,MATCH($A52,'Scored Accounts'!$A$2:$A$301,0))*Assumptions!$B$6)</f>
        <v>0</v>
      </c>
      <c r="AP52" s="2" t="str">
        <f aca="false">IF(AO52&gt;=Assumptions!$B$9,"High",IF(AO52&gt;=Assumptions!$B$10,"Medium","Low"))</f>
        <v>Low</v>
      </c>
      <c r="AQ52" s="10" t="b">
        <f aca="false">OR((E52&lt;=Assumptions!$B$8)&lt;&gt;((P52/(P52+Q52)*100)&lt;=Assumptions!$B$8),AM52&lt;&gt;AN52,G52&lt;&gt;AP52)</f>
        <v>0</v>
      </c>
      <c r="AR52" s="2" t="str">
        <f aca="false">IF(AP52&lt;&gt;"Low","Broker-Reliant",IF(B52="Account Managed","AM-Owned / Self-Serving","Self-Serve"))</f>
        <v>AM-Owned / Self-Serving</v>
      </c>
      <c r="AS52" s="2" t="str">
        <f aca="false">IF(AR52="Broker-Reliant",IF(J52="Tail","5. Cost-to-Serve / Low-Touch",IF(OR(N52="Growing",N52="Stable"),"1. Migration Candidate",IF(N52="Declining","2. Protect / Retain First",IF(N52="Lapsed","3. Win-Back / Verify",IF(N52="H2 Active / No H1 GMV","4. Establish / Re-establish / Observe","UNASSIGNED"))))),IF(AP52="Low",IF(J52="Tail","9. Long-Tail Automated Nurture",IF(OR(N52="Growing",N52="Stable"),"6. Growth Opportunity",IF(N52="H2 Active / No H1 GMV","7. Onboard / Re-engage / Learn",IF(OR(N52="Declining",N52="Lapsed"),"8. Retention / Reactivation","UNASSIGNED")))),"UNASSIGNED"))</f>
        <v>8. Retention / Reactivation</v>
      </c>
      <c r="AT52" s="10" t="b">
        <f aca="false">AS52&lt;&gt;T52</f>
        <v>0</v>
      </c>
      <c r="AU52" s="2" t="str">
        <f aca="false">IF(NOT(U52),"Not Eligible",IF(OR(AQ52,AH52,AK52,NOT(AND(W52&gt;=Assumptions!$B$83,O52&gt;=Assumptions!$B$84))),"Manual Review","Ready"))</f>
        <v>Not Eligible</v>
      </c>
      <c r="AV52" s="2" t="str">
        <f aca="false">IF(AG52,"Key account - human sign-off required; ","")&amp;IF(AH52,"Borderline momentum; ","")&amp;IF(AK52,"February-sensitive ("&amp;N52&amp;" -&gt; "&amp;AJ52&amp;"); ","")&amp;IF(AL52="One-Off / Insufficient History — Verify","Lapsed on thin history - verify; ","")&amp;IF(AQ52,"Material broker % inconsistency (implied tier "&amp;AP52&amp;"); ","")&amp;IF(AT52,"Implied broker % would move segment to "&amp;AS52&amp;"; ","")</f>
        <v/>
      </c>
      <c r="AW52" s="10" t="b">
        <f aca="false">AND(G52="Low",J52="Tail",I52&gt;=Assumptions!$B$64,O52&gt;=Assumptions!$B$65,OR(N52="Growing",N52="Stable",AND(N52="H2 Active / No H1 GMV",W52&gt;=2)),OR(R52&gt;=Assumptions!$B$66,S52&gt;=Assumptions!$B$67))</f>
        <v>0</v>
      </c>
    </row>
    <row r="53" customFormat="false" ht="15" hidden="false" customHeight="false" outlineLevel="0" collapsed="false">
      <c r="A53" s="2" t="s">
        <v>281</v>
      </c>
      <c r="B53" s="2" t="s">
        <v>1571</v>
      </c>
      <c r="C53" s="2"/>
      <c r="D53" s="2" t="n">
        <v>6</v>
      </c>
      <c r="E53" s="2" t="n">
        <v>64</v>
      </c>
      <c r="F53" s="21" t="n">
        <f aca="false">INDEX('Scored Accounts'!$Q$2:$Q$301,MATCH($A53,'Scored Accounts'!$A$2:$A$301,0))</f>
        <v>70</v>
      </c>
      <c r="G53" s="2" t="str">
        <f aca="false">INDEX('Scored Accounts'!$R$2:$R$301,MATCH($A53,'Scored Accounts'!$A$2:$A$301,0))</f>
        <v>High</v>
      </c>
      <c r="H53" s="2" t="str">
        <f aca="false">IF(OR(G53="High",G53="Medium"),"Broker-Reliant",IF(AND(G53="Low",B53="Account Managed"),"AM-Owned / Self-Serving",IF(AND(G53="Low",B53="Self Serve"),"Self-Serve","UNASSIGNED")))</f>
        <v>Broker-Reliant</v>
      </c>
      <c r="I53" s="9" t="n">
        <v>2952</v>
      </c>
      <c r="J53" s="2" t="str">
        <f aca="false">IF(I53&gt;=Assumptions!$B$35,"Key",IF(I53&gt;=Assumptions!$B$34,"Core","Tail"))</f>
        <v>Core</v>
      </c>
      <c r="K53" s="9" t="n">
        <f aca="false">INDEX('Commercial View'!$R$2:$R$301,MATCH($A53,'Commercial View'!$A$2:$A$301,0))</f>
        <v>2249</v>
      </c>
      <c r="L53" s="9" t="n">
        <f aca="false">INDEX('Commercial View'!$S$2:$S$301,MATCH($A53,'Commercial View'!$A$2:$A$301,0))</f>
        <v>703</v>
      </c>
      <c r="M53" s="17" t="n">
        <f aca="false">INDEX('Commercial View'!$T$2:$T$301,MATCH($A53,'Commercial View'!$A$2:$A$301,0))</f>
        <v>-0.687416629613161</v>
      </c>
      <c r="N53" s="2" t="str">
        <f aca="false">INDEX('Commercial View'!$U$2:$U$301,MATCH($A53,'Commercial View'!$A$2:$A$301,0))</f>
        <v>Declining</v>
      </c>
      <c r="O53" s="2" t="n">
        <v>8</v>
      </c>
      <c r="P53" s="2" t="n">
        <v>5</v>
      </c>
      <c r="Q53" s="2" t="n">
        <v>3</v>
      </c>
      <c r="R53" s="2" t="n">
        <v>6</v>
      </c>
      <c r="S53" s="2" t="n">
        <v>2</v>
      </c>
      <c r="T53" s="2" t="str">
        <f aca="false">IF(H53="Broker-Reliant",IF(J53="Tail","5. Cost-to-Serve / Low-Touch",IF(OR(N53="Growing",N53="Stable"),"1. Migration Candidate",IF(N53="Declining","2. Protect / Retain First",IF(N53="Lapsed","3. Win-Back / Verify",IF(N53="H2 Active / No H1 GMV","4. Establish / Re-establish / Observe","UNASSIGNED"))))),IF(G53="Low",IF(J53="Tail","9. Long-Tail Automated Nurture",IF(OR(N53="Growing",N53="Stable"),"6. Growth Opportunity",IF(N53="H2 Active / No H1 GMV","7. Onboard / Re-engage / Learn",IF(OR(N53="Declining",N53="Lapsed"),"8. Retention / Reactivation","UNASSIGNED")))),"UNASSIGNED"))</f>
        <v>2. Protect / Retain First</v>
      </c>
      <c r="U53" s="10" t="b">
        <f aca="false">AND(T53="1. Migration Candidate",J53="Core",O53&gt;=Assumptions!$B$39,Q53&gt;=Assumptions!$B$40,NOT(Z53))</f>
        <v>0</v>
      </c>
      <c r="V53" s="2" t="n">
        <f aca="false">(AND(H53="Broker-Reliant",J53&lt;&gt;"Tail",OR(N53="Growing",N53="Stable")))*1+(AND(H53="Broker-Reliant",J53&lt;&gt;"Tail",N53="Declining"))*1+(AND(H53="Broker-Reliant",J53&lt;&gt;"Tail",N53="Lapsed"))*1+(AND(H53="Broker-Reliant",J53&lt;&gt;"Tail",N53="H2 Active / No H1 GMV"))*1+(AND(H53="Broker-Reliant",J53="Tail"))*1+(AND(G53="Low",J53&lt;&gt;"Tail",OR(N53="Growing",N53="Stable")))*1+(AND(G53="Low",J53&lt;&gt;"Tail",N53="H2 Active / No H1 GMV"))*1+(AND(G53="Low",J53&lt;&gt;"Tail",OR(N53="Declining",N53="Lapsed")))*1+(AND(G53="Low",J53="Tail"))*1</f>
        <v>1</v>
      </c>
      <c r="W53" s="2" t="n">
        <f aca="false">INDEX('Commercial View'!$V$2:$V$301,MATCH($A53,'Commercial View'!$A$2:$A$301,0))</f>
        <v>3</v>
      </c>
      <c r="X53" s="10" t="b">
        <f aca="false">O53&lt;=Assumptions!$B$30</f>
        <v>0</v>
      </c>
      <c r="Y53" s="10" t="b">
        <f aca="false">W53&lt;=1</f>
        <v>0</v>
      </c>
      <c r="Z53" s="10" t="b">
        <f aca="false">C53="Duplicate"</f>
        <v>0</v>
      </c>
      <c r="AA53" s="10" t="b">
        <f aca="false">C53=""</f>
        <v>1</v>
      </c>
      <c r="AB53" s="2" t="n">
        <f aca="false">IF(P53+Q53&gt;0,ROUND(P53/(P53+Q53)*100,0),"")</f>
        <v>63</v>
      </c>
      <c r="AC53" s="2" t="n">
        <f aca="false">IF(P53+Q53&gt;0,ROUND(E53-P53/(P53+Q53)*100,0),"")</f>
        <v>2</v>
      </c>
      <c r="AD53" s="10" t="b">
        <f aca="false">IF(AC53="",FALSE(),ABS(AC53)&gt;Assumptions!$B$41)</f>
        <v>0</v>
      </c>
      <c r="AE53" s="2" t="str">
        <f aca="false">IF(X53,"Low confidence (&lt;=2 orders); ","")&amp;IF(Y53,"Single-month history; ","")&amp;IF(Z53,"CRITICAL: Duplicate status; ","")&amp;IF(AA53,"Missing status; ","")&amp;IF(AD53,"Broker % vs counts gap "&amp;TEXT(AC53,"+0;-0")&amp;"pts; ","")</f>
        <v>Missing status; </v>
      </c>
      <c r="AF53" s="2" t="str">
        <f aca="false">IF(AND(K53=0,L53&gt;0),IF(D53&lt;=Assumptions!$B$47,"New Customer","Returned Customer"),"Existing Customer")</f>
        <v>Existing Customer</v>
      </c>
      <c r="AG53" s="10" t="b">
        <f aca="false">AND(T53="1. Migration Candidate",J53="Key")</f>
        <v>0</v>
      </c>
      <c r="AH53" s="10" t="b">
        <f aca="false">IF(AND(K53&gt;0,L53&gt;0),OR(ABS(M53-Assumptions!$B$36)&lt;=Assumptions!$B$46,ABS(M53+Assumptions!$B$36)&lt;=Assumptions!$B$46),FALSE())</f>
        <v>0</v>
      </c>
      <c r="AI53" s="9" t="n">
        <f aca="false">INDEX('Commercial View'!$L$2:$L$301,MATCH($A53,'Commercial View'!$A$2:$A$301,0))+INDEX('Commercial View'!$M$2:$M$301,MATCH($A53,'Commercial View'!$A$2:$A$301,0))</f>
        <v>703</v>
      </c>
      <c r="AJ53" s="2" t="str">
        <f aca="false">IF(AND(K53=0,AI53=0),"No activity ex-Feb",IF(AI53=0,"Lapsed",IF(K53=0,"H2 Active / No H1 GMV",IF((AI53/2)/(K53/3)-1&gt;=Assumptions!$B$36,"Growing",IF((AI53/2)/(K53/3)-1&lt;-Assumptions!$B$36,"Declining","Stable")))))</f>
        <v>Declining</v>
      </c>
      <c r="AK53" s="10" t="b">
        <f aca="false">IF(OR(N53="Growing",N53="Stable"),"Healthy",N53)&lt;&gt;IF(OR(AJ53="Growing",AJ53="Stable"),"Healthy",AJ53)</f>
        <v>0</v>
      </c>
      <c r="AL53" s="2" t="str">
        <f aca="false">IF(N53="Lapsed",IF(OR(O53&lt;=Assumptions!$B$48,W53&lt;=Assumptions!$B$49),"One-Off / Insufficient History — Verify","Established Buyer Lapsed"),"N/A")</f>
        <v>N/A</v>
      </c>
      <c r="AM53" s="2" t="n">
        <f aca="false">INDEX('Scored Accounts'!$M$2:$M$301,MATCH($A53,'Scored Accounts'!$A$2:$A$301,0))</f>
        <v>75</v>
      </c>
      <c r="AN53" s="2" t="n">
        <f aca="false">IF((P53/(P53+Q53)*100)&lt;=Assumptions!$B$13,0,IF((P53/(P53+Q53)*100)&lt;Assumptions!$B$14,25,IF((P53/(P53+Q53)*100)&lt;Assumptions!$B$15,50,IF((P53/(P53+Q53)*100)&lt;Assumptions!$B$16,75,100))))</f>
        <v>75</v>
      </c>
      <c r="AO53" s="21" t="n">
        <f aca="false">IF((P53/(P53+Q53)*100)&lt;=Assumptions!$B$8,0,AN53*Assumptions!$B$4+INDEX('Scored Accounts'!$N$2:$N$301,MATCH($A53,'Scored Accounts'!$A$2:$A$301,0))*Assumptions!$B$5+INDEX('Scored Accounts'!$O$2:$O$301,MATCH($A53,'Scored Accounts'!$A$2:$A$301,0))*Assumptions!$B$6)</f>
        <v>70</v>
      </c>
      <c r="AP53" s="2" t="str">
        <f aca="false">IF(AO53&gt;=Assumptions!$B$9,"High",IF(AO53&gt;=Assumptions!$B$10,"Medium","Low"))</f>
        <v>High</v>
      </c>
      <c r="AQ53" s="10" t="b">
        <f aca="false">OR((E53&lt;=Assumptions!$B$8)&lt;&gt;((P53/(P53+Q53)*100)&lt;=Assumptions!$B$8),AM53&lt;&gt;AN53,G53&lt;&gt;AP53)</f>
        <v>0</v>
      </c>
      <c r="AR53" s="2" t="str">
        <f aca="false">IF(AP53&lt;&gt;"Low","Broker-Reliant",IF(B53="Account Managed","AM-Owned / Self-Serving","Self-Serve"))</f>
        <v>Broker-Reliant</v>
      </c>
      <c r="AS53" s="2" t="str">
        <f aca="false">IF(AR53="Broker-Reliant",IF(J53="Tail","5. Cost-to-Serve / Low-Touch",IF(OR(N53="Growing",N53="Stable"),"1. Migration Candidate",IF(N53="Declining","2. Protect / Retain First",IF(N53="Lapsed","3. Win-Back / Verify",IF(N53="H2 Active / No H1 GMV","4. Establish / Re-establish / Observe","UNASSIGNED"))))),IF(AP53="Low",IF(J53="Tail","9. Long-Tail Automated Nurture",IF(OR(N53="Growing",N53="Stable"),"6. Growth Opportunity",IF(N53="H2 Active / No H1 GMV","7. Onboard / Re-engage / Learn",IF(OR(N53="Declining",N53="Lapsed"),"8. Retention / Reactivation","UNASSIGNED")))),"UNASSIGNED"))</f>
        <v>2. Protect / Retain First</v>
      </c>
      <c r="AT53" s="10" t="b">
        <f aca="false">AS53&lt;&gt;T53</f>
        <v>0</v>
      </c>
      <c r="AU53" s="2" t="str">
        <f aca="false">IF(NOT(U53),"Not Eligible",IF(OR(AQ53,AH53,AK53,NOT(AND(W53&gt;=Assumptions!$B$83,O53&gt;=Assumptions!$B$84))),"Manual Review","Ready"))</f>
        <v>Not Eligible</v>
      </c>
      <c r="AV53" s="2" t="str">
        <f aca="false">IF(AG53,"Key account - human sign-off required; ","")&amp;IF(AH53,"Borderline momentum; ","")&amp;IF(AK53,"February-sensitive ("&amp;N53&amp;" -&gt; "&amp;AJ53&amp;"); ","")&amp;IF(AL53="One-Off / Insufficient History — Verify","Lapsed on thin history - verify; ","")&amp;IF(AQ53,"Material broker % inconsistency (implied tier "&amp;AP53&amp;"); ","")&amp;IF(AT53,"Implied broker % would move segment to "&amp;AS53&amp;"; ","")</f>
        <v/>
      </c>
      <c r="AW53" s="10" t="b">
        <f aca="false">AND(G53="Low",J53="Tail",I53&gt;=Assumptions!$B$64,O53&gt;=Assumptions!$B$65,OR(N53="Growing",N53="Stable",AND(N53="H2 Active / No H1 GMV",W53&gt;=2)),OR(R53&gt;=Assumptions!$B$66,S53&gt;=Assumptions!$B$67))</f>
        <v>0</v>
      </c>
    </row>
    <row r="54" customFormat="false" ht="15" hidden="false" customHeight="false" outlineLevel="0" collapsed="false">
      <c r="A54" s="2" t="s">
        <v>284</v>
      </c>
      <c r="B54" s="2" t="s">
        <v>1571</v>
      </c>
      <c r="C54" s="2" t="s">
        <v>1572</v>
      </c>
      <c r="D54" s="2" t="n">
        <v>14</v>
      </c>
      <c r="E54" s="2" t="n">
        <v>82</v>
      </c>
      <c r="F54" s="21" t="n">
        <f aca="false">INDEX('Scored Accounts'!$Q$2:$Q$301,MATCH($A54,'Scored Accounts'!$A$2:$A$301,0))</f>
        <v>87.5</v>
      </c>
      <c r="G54" s="2" t="str">
        <f aca="false">INDEX('Scored Accounts'!$R$2:$R$301,MATCH($A54,'Scored Accounts'!$A$2:$A$301,0))</f>
        <v>High</v>
      </c>
      <c r="H54" s="2" t="str">
        <f aca="false">IF(OR(G54="High",G54="Medium"),"Broker-Reliant",IF(AND(G54="Low",B54="Account Managed"),"AM-Owned / Self-Serving",IF(AND(G54="Low",B54="Self Serve"),"Self-Serve","UNASSIGNED")))</f>
        <v>Broker-Reliant</v>
      </c>
      <c r="I54" s="9" t="n">
        <v>2581</v>
      </c>
      <c r="J54" s="2" t="str">
        <f aca="false">IF(I54&gt;=Assumptions!$B$35,"Key",IF(I54&gt;=Assumptions!$B$34,"Core","Tail"))</f>
        <v>Core</v>
      </c>
      <c r="K54" s="9" t="n">
        <f aca="false">INDEX('Commercial View'!$R$2:$R$301,MATCH($A54,'Commercial View'!$A$2:$A$301,0))</f>
        <v>2493</v>
      </c>
      <c r="L54" s="9" t="n">
        <f aca="false">INDEX('Commercial View'!$S$2:$S$301,MATCH($A54,'Commercial View'!$A$2:$A$301,0))</f>
        <v>87</v>
      </c>
      <c r="M54" s="17" t="n">
        <f aca="false">INDEX('Commercial View'!$T$2:$T$301,MATCH($A54,'Commercial View'!$A$2:$A$301,0))</f>
        <v>-0.965102286401925</v>
      </c>
      <c r="N54" s="2" t="str">
        <f aca="false">INDEX('Commercial View'!$U$2:$U$301,MATCH($A54,'Commercial View'!$A$2:$A$301,0))</f>
        <v>Declining</v>
      </c>
      <c r="O54" s="2" t="n">
        <v>7</v>
      </c>
      <c r="P54" s="2" t="n">
        <v>6</v>
      </c>
      <c r="Q54" s="2" t="n">
        <v>1</v>
      </c>
      <c r="R54" s="2" t="n">
        <v>7</v>
      </c>
      <c r="S54" s="2" t="n">
        <v>1</v>
      </c>
      <c r="T54" s="2" t="str">
        <f aca="false">IF(H54="Broker-Reliant",IF(J54="Tail","5. Cost-to-Serve / Low-Touch",IF(OR(N54="Growing",N54="Stable"),"1. Migration Candidate",IF(N54="Declining","2. Protect / Retain First",IF(N54="Lapsed","3. Win-Back / Verify",IF(N54="H2 Active / No H1 GMV","4. Establish / Re-establish / Observe","UNASSIGNED"))))),IF(G54="Low",IF(J54="Tail","9. Long-Tail Automated Nurture",IF(OR(N54="Growing",N54="Stable"),"6. Growth Opportunity",IF(N54="H2 Active / No H1 GMV","7. Onboard / Re-engage / Learn",IF(OR(N54="Declining",N54="Lapsed"),"8. Retention / Reactivation","UNASSIGNED")))),"UNASSIGNED"))</f>
        <v>2. Protect / Retain First</v>
      </c>
      <c r="U54" s="10" t="b">
        <f aca="false">AND(T54="1. Migration Candidate",J54="Core",O54&gt;=Assumptions!$B$39,Q54&gt;=Assumptions!$B$40,NOT(Z54))</f>
        <v>0</v>
      </c>
      <c r="V54" s="2" t="n">
        <f aca="false">(AND(H54="Broker-Reliant",J54&lt;&gt;"Tail",OR(N54="Growing",N54="Stable")))*1+(AND(H54="Broker-Reliant",J54&lt;&gt;"Tail",N54="Declining"))*1+(AND(H54="Broker-Reliant",J54&lt;&gt;"Tail",N54="Lapsed"))*1+(AND(H54="Broker-Reliant",J54&lt;&gt;"Tail",N54="H2 Active / No H1 GMV"))*1+(AND(H54="Broker-Reliant",J54="Tail"))*1+(AND(G54="Low",J54&lt;&gt;"Tail",OR(N54="Growing",N54="Stable")))*1+(AND(G54="Low",J54&lt;&gt;"Tail",N54="H2 Active / No H1 GMV"))*1+(AND(G54="Low",J54&lt;&gt;"Tail",OR(N54="Declining",N54="Lapsed")))*1+(AND(G54="Low",J54="Tail"))*1</f>
        <v>1</v>
      </c>
      <c r="W54" s="2" t="n">
        <f aca="false">INDEX('Commercial View'!$V$2:$V$301,MATCH($A54,'Commercial View'!$A$2:$A$301,0))</f>
        <v>4</v>
      </c>
      <c r="X54" s="10" t="b">
        <f aca="false">O54&lt;=Assumptions!$B$30</f>
        <v>0</v>
      </c>
      <c r="Y54" s="10" t="b">
        <f aca="false">W54&lt;=1</f>
        <v>0</v>
      </c>
      <c r="Z54" s="10" t="b">
        <f aca="false">C54="Duplicate"</f>
        <v>0</v>
      </c>
      <c r="AA54" s="10" t="b">
        <f aca="false">C54=""</f>
        <v>0</v>
      </c>
      <c r="AB54" s="2" t="n">
        <f aca="false">IF(P54+Q54&gt;0,ROUND(P54/(P54+Q54)*100,0),"")</f>
        <v>86</v>
      </c>
      <c r="AC54" s="2" t="n">
        <f aca="false">IF(P54+Q54&gt;0,ROUND(E54-P54/(P54+Q54)*100,0),"")</f>
        <v>-4</v>
      </c>
      <c r="AD54" s="10" t="b">
        <f aca="false">IF(AC54="",FALSE(),ABS(AC54)&gt;Assumptions!$B$41)</f>
        <v>0</v>
      </c>
      <c r="AE54" s="2" t="str">
        <f aca="false">IF(X54,"Low confidence (&lt;=2 orders); ","")&amp;IF(Y54,"Single-month history; ","")&amp;IF(Z54,"CRITICAL: Duplicate status; ","")&amp;IF(AA54,"Missing status; ","")&amp;IF(AD54,"Broker % vs counts gap "&amp;TEXT(AC54,"+0;-0")&amp;"pts; ","")</f>
        <v/>
      </c>
      <c r="AF54" s="2" t="str">
        <f aca="false">IF(AND(K54=0,L54&gt;0),IF(D54&lt;=Assumptions!$B$47,"New Customer","Returned Customer"),"Existing Customer")</f>
        <v>Existing Customer</v>
      </c>
      <c r="AG54" s="10" t="b">
        <f aca="false">AND(T54="1. Migration Candidate",J54="Key")</f>
        <v>0</v>
      </c>
      <c r="AH54" s="10" t="b">
        <f aca="false">IF(AND(K54&gt;0,L54&gt;0),OR(ABS(M54-Assumptions!$B$36)&lt;=Assumptions!$B$46,ABS(M54+Assumptions!$B$36)&lt;=Assumptions!$B$46),FALSE())</f>
        <v>0</v>
      </c>
      <c r="AI54" s="9" t="n">
        <f aca="false">INDEX('Commercial View'!$L$2:$L$301,MATCH($A54,'Commercial View'!$A$2:$A$301,0))+INDEX('Commercial View'!$M$2:$M$301,MATCH($A54,'Commercial View'!$A$2:$A$301,0))</f>
        <v>0</v>
      </c>
      <c r="AJ54" s="2" t="str">
        <f aca="false">IF(AND(K54=0,AI54=0),"No activity ex-Feb",IF(AI54=0,"Lapsed",IF(K54=0,"H2 Active / No H1 GMV",IF((AI54/2)/(K54/3)-1&gt;=Assumptions!$B$36,"Growing",IF((AI54/2)/(K54/3)-1&lt;-Assumptions!$B$36,"Declining","Stable")))))</f>
        <v>Lapsed</v>
      </c>
      <c r="AK54" s="10" t="b">
        <f aca="false">IF(OR(N54="Growing",N54="Stable"),"Healthy",N54)&lt;&gt;IF(OR(AJ54="Growing",AJ54="Stable"),"Healthy",AJ54)</f>
        <v>1</v>
      </c>
      <c r="AL54" s="2" t="str">
        <f aca="false">IF(N54="Lapsed",IF(OR(O54&lt;=Assumptions!$B$48,W54&lt;=Assumptions!$B$49),"One-Off / Insufficient History — Verify","Established Buyer Lapsed"),"N/A")</f>
        <v>N/A</v>
      </c>
      <c r="AM54" s="2" t="n">
        <f aca="false">INDEX('Scored Accounts'!$M$2:$M$301,MATCH($A54,'Scored Accounts'!$A$2:$A$301,0))</f>
        <v>100</v>
      </c>
      <c r="AN54" s="2" t="n">
        <f aca="false">IF((P54/(P54+Q54)*100)&lt;=Assumptions!$B$13,0,IF((P54/(P54+Q54)*100)&lt;Assumptions!$B$14,25,IF((P54/(P54+Q54)*100)&lt;Assumptions!$B$15,50,IF((P54/(P54+Q54)*100)&lt;Assumptions!$B$16,75,100))))</f>
        <v>100</v>
      </c>
      <c r="AO54" s="21" t="n">
        <f aca="false">IF((P54/(P54+Q54)*100)&lt;=Assumptions!$B$8,0,AN54*Assumptions!$B$4+INDEX('Scored Accounts'!$N$2:$N$301,MATCH($A54,'Scored Accounts'!$A$2:$A$301,0))*Assumptions!$B$5+INDEX('Scored Accounts'!$O$2:$O$301,MATCH($A54,'Scored Accounts'!$A$2:$A$301,0))*Assumptions!$B$6)</f>
        <v>87.5</v>
      </c>
      <c r="AP54" s="2" t="str">
        <f aca="false">IF(AO54&gt;=Assumptions!$B$9,"High",IF(AO54&gt;=Assumptions!$B$10,"Medium","Low"))</f>
        <v>High</v>
      </c>
      <c r="AQ54" s="10" t="b">
        <f aca="false">OR((E54&lt;=Assumptions!$B$8)&lt;&gt;((P54/(P54+Q54)*100)&lt;=Assumptions!$B$8),AM54&lt;&gt;AN54,G54&lt;&gt;AP54)</f>
        <v>0</v>
      </c>
      <c r="AR54" s="2" t="str">
        <f aca="false">IF(AP54&lt;&gt;"Low","Broker-Reliant",IF(B54="Account Managed","AM-Owned / Self-Serving","Self-Serve"))</f>
        <v>Broker-Reliant</v>
      </c>
      <c r="AS54" s="2" t="str">
        <f aca="false">IF(AR54="Broker-Reliant",IF(J54="Tail","5. Cost-to-Serve / Low-Touch",IF(OR(N54="Growing",N54="Stable"),"1. Migration Candidate",IF(N54="Declining","2. Protect / Retain First",IF(N54="Lapsed","3. Win-Back / Verify",IF(N54="H2 Active / No H1 GMV","4. Establish / Re-establish / Observe","UNASSIGNED"))))),IF(AP54="Low",IF(J54="Tail","9. Long-Tail Automated Nurture",IF(OR(N54="Growing",N54="Stable"),"6. Growth Opportunity",IF(N54="H2 Active / No H1 GMV","7. Onboard / Re-engage / Learn",IF(OR(N54="Declining",N54="Lapsed"),"8. Retention / Reactivation","UNASSIGNED")))),"UNASSIGNED"))</f>
        <v>2. Protect / Retain First</v>
      </c>
      <c r="AT54" s="10" t="b">
        <f aca="false">AS54&lt;&gt;T54</f>
        <v>0</v>
      </c>
      <c r="AU54" s="2" t="str">
        <f aca="false">IF(NOT(U54),"Not Eligible",IF(OR(AQ54,AH54,AK54,NOT(AND(W54&gt;=Assumptions!$B$83,O54&gt;=Assumptions!$B$84))),"Manual Review","Ready"))</f>
        <v>Not Eligible</v>
      </c>
      <c r="AV54" s="2" t="str">
        <f aca="false">IF(AG54,"Key account - human sign-off required; ","")&amp;IF(AH54,"Borderline momentum; ","")&amp;IF(AK54,"February-sensitive ("&amp;N54&amp;" -&gt; "&amp;AJ54&amp;"); ","")&amp;IF(AL54="One-Off / Insufficient History — Verify","Lapsed on thin history - verify; ","")&amp;IF(AQ54,"Material broker % inconsistency (implied tier "&amp;AP54&amp;"); ","")&amp;IF(AT54,"Implied broker % would move segment to "&amp;AS54&amp;"; ","")</f>
        <v>February-sensitive (Declining -&gt; Lapsed); </v>
      </c>
      <c r="AW54" s="10" t="b">
        <f aca="false">AND(G54="Low",J54="Tail",I54&gt;=Assumptions!$B$64,O54&gt;=Assumptions!$B$65,OR(N54="Growing",N54="Stable",AND(N54="H2 Active / No H1 GMV",W54&gt;=2)),OR(R54&gt;=Assumptions!$B$66,S54&gt;=Assumptions!$B$67))</f>
        <v>0</v>
      </c>
    </row>
    <row r="55" customFormat="false" ht="15" hidden="false" customHeight="false" outlineLevel="0" collapsed="false">
      <c r="A55" s="2" t="s">
        <v>287</v>
      </c>
      <c r="B55" s="2" t="s">
        <v>1571</v>
      </c>
      <c r="C55" s="2"/>
      <c r="D55" s="2" t="n">
        <v>6</v>
      </c>
      <c r="E55" s="2" t="n">
        <v>77</v>
      </c>
      <c r="F55" s="21" t="n">
        <f aca="false">INDEX('Scored Accounts'!$Q$2:$Q$301,MATCH($A55,'Scored Accounts'!$A$2:$A$301,0))</f>
        <v>82.5</v>
      </c>
      <c r="G55" s="2" t="str">
        <f aca="false">INDEX('Scored Accounts'!$R$2:$R$301,MATCH($A55,'Scored Accounts'!$A$2:$A$301,0))</f>
        <v>High</v>
      </c>
      <c r="H55" s="2" t="str">
        <f aca="false">IF(OR(G55="High",G55="Medium"),"Broker-Reliant",IF(AND(G55="Low",B55="Account Managed"),"AM-Owned / Self-Serving",IF(AND(G55="Low",B55="Self Serve"),"Self-Serve","UNASSIGNED")))</f>
        <v>Broker-Reliant</v>
      </c>
      <c r="I55" s="9" t="n">
        <v>2516</v>
      </c>
      <c r="J55" s="2" t="str">
        <f aca="false">IF(I55&gt;=Assumptions!$B$35,"Key",IF(I55&gt;=Assumptions!$B$34,"Core","Tail"))</f>
        <v>Core</v>
      </c>
      <c r="K55" s="9" t="n">
        <f aca="false">INDEX('Commercial View'!$R$2:$R$301,MATCH($A55,'Commercial View'!$A$2:$A$301,0))</f>
        <v>2117</v>
      </c>
      <c r="L55" s="9" t="n">
        <f aca="false">INDEX('Commercial View'!$S$2:$S$301,MATCH($A55,'Commercial View'!$A$2:$A$301,0))</f>
        <v>399</v>
      </c>
      <c r="M55" s="17" t="n">
        <f aca="false">INDEX('Commercial View'!$T$2:$T$301,MATCH($A55,'Commercial View'!$A$2:$A$301,0))</f>
        <v>-0.811525743977327</v>
      </c>
      <c r="N55" s="2" t="str">
        <f aca="false">INDEX('Commercial View'!$U$2:$U$301,MATCH($A55,'Commercial View'!$A$2:$A$301,0))</f>
        <v>Declining</v>
      </c>
      <c r="O55" s="2" t="n">
        <v>9</v>
      </c>
      <c r="P55" s="2" t="n">
        <v>7</v>
      </c>
      <c r="Q55" s="2" t="n">
        <v>2</v>
      </c>
      <c r="R55" s="2" t="n">
        <v>3</v>
      </c>
      <c r="S55" s="2" t="n">
        <v>1</v>
      </c>
      <c r="T55" s="2" t="str">
        <f aca="false">IF(H55="Broker-Reliant",IF(J55="Tail","5. Cost-to-Serve / Low-Touch",IF(OR(N55="Growing",N55="Stable"),"1. Migration Candidate",IF(N55="Declining","2. Protect / Retain First",IF(N55="Lapsed","3. Win-Back / Verify",IF(N55="H2 Active / No H1 GMV","4. Establish / Re-establish / Observe","UNASSIGNED"))))),IF(G55="Low",IF(J55="Tail","9. Long-Tail Automated Nurture",IF(OR(N55="Growing",N55="Stable"),"6. Growth Opportunity",IF(N55="H2 Active / No H1 GMV","7. Onboard / Re-engage / Learn",IF(OR(N55="Declining",N55="Lapsed"),"8. Retention / Reactivation","UNASSIGNED")))),"UNASSIGNED"))</f>
        <v>2. Protect / Retain First</v>
      </c>
      <c r="U55" s="10" t="b">
        <f aca="false">AND(T55="1. Migration Candidate",J55="Core",O55&gt;=Assumptions!$B$39,Q55&gt;=Assumptions!$B$40,NOT(Z55))</f>
        <v>0</v>
      </c>
      <c r="V55" s="2" t="n">
        <f aca="false">(AND(H55="Broker-Reliant",J55&lt;&gt;"Tail",OR(N55="Growing",N55="Stable")))*1+(AND(H55="Broker-Reliant",J55&lt;&gt;"Tail",N55="Declining"))*1+(AND(H55="Broker-Reliant",J55&lt;&gt;"Tail",N55="Lapsed"))*1+(AND(H55="Broker-Reliant",J55&lt;&gt;"Tail",N55="H2 Active / No H1 GMV"))*1+(AND(H55="Broker-Reliant",J55="Tail"))*1+(AND(G55="Low",J55&lt;&gt;"Tail",OR(N55="Growing",N55="Stable")))*1+(AND(G55="Low",J55&lt;&gt;"Tail",N55="H2 Active / No H1 GMV"))*1+(AND(G55="Low",J55&lt;&gt;"Tail",OR(N55="Declining",N55="Lapsed")))*1+(AND(G55="Low",J55="Tail"))*1</f>
        <v>1</v>
      </c>
      <c r="W55" s="2" t="n">
        <f aca="false">INDEX('Commercial View'!$V$2:$V$301,MATCH($A55,'Commercial View'!$A$2:$A$301,0))</f>
        <v>5</v>
      </c>
      <c r="X55" s="10" t="b">
        <f aca="false">O55&lt;=Assumptions!$B$30</f>
        <v>0</v>
      </c>
      <c r="Y55" s="10" t="b">
        <f aca="false">W55&lt;=1</f>
        <v>0</v>
      </c>
      <c r="Z55" s="10" t="b">
        <f aca="false">C55="Duplicate"</f>
        <v>0</v>
      </c>
      <c r="AA55" s="10" t="b">
        <f aca="false">C55=""</f>
        <v>1</v>
      </c>
      <c r="AB55" s="2" t="n">
        <f aca="false">IF(P55+Q55&gt;0,ROUND(P55/(P55+Q55)*100,0),"")</f>
        <v>78</v>
      </c>
      <c r="AC55" s="2" t="n">
        <f aca="false">IF(P55+Q55&gt;0,ROUND(E55-P55/(P55+Q55)*100,0),"")</f>
        <v>-1</v>
      </c>
      <c r="AD55" s="10" t="b">
        <f aca="false">IF(AC55="",FALSE(),ABS(AC55)&gt;Assumptions!$B$41)</f>
        <v>0</v>
      </c>
      <c r="AE55" s="2" t="str">
        <f aca="false">IF(X55,"Low confidence (&lt;=2 orders); ","")&amp;IF(Y55,"Single-month history; ","")&amp;IF(Z55,"CRITICAL: Duplicate status; ","")&amp;IF(AA55,"Missing status; ","")&amp;IF(AD55,"Broker % vs counts gap "&amp;TEXT(AC55,"+0;-0")&amp;"pts; ","")</f>
        <v>Missing status; </v>
      </c>
      <c r="AF55" s="2" t="str">
        <f aca="false">IF(AND(K55=0,L55&gt;0),IF(D55&lt;=Assumptions!$B$47,"New Customer","Returned Customer"),"Existing Customer")</f>
        <v>Existing Customer</v>
      </c>
      <c r="AG55" s="10" t="b">
        <f aca="false">AND(T55="1. Migration Candidate",J55="Key")</f>
        <v>0</v>
      </c>
      <c r="AH55" s="10" t="b">
        <f aca="false">IF(AND(K55&gt;0,L55&gt;0),OR(ABS(M55-Assumptions!$B$36)&lt;=Assumptions!$B$46,ABS(M55+Assumptions!$B$36)&lt;=Assumptions!$B$46),FALSE())</f>
        <v>0</v>
      </c>
      <c r="AI55" s="9" t="n">
        <f aca="false">INDEX('Commercial View'!$L$2:$L$301,MATCH($A55,'Commercial View'!$A$2:$A$301,0))+INDEX('Commercial View'!$M$2:$M$301,MATCH($A55,'Commercial View'!$A$2:$A$301,0))</f>
        <v>188</v>
      </c>
      <c r="AJ55" s="2" t="str">
        <f aca="false">IF(AND(K55=0,AI55=0),"No activity ex-Feb",IF(AI55=0,"Lapsed",IF(K55=0,"H2 Active / No H1 GMV",IF((AI55/2)/(K55/3)-1&gt;=Assumptions!$B$36,"Growing",IF((AI55/2)/(K55/3)-1&lt;-Assumptions!$B$36,"Declining","Stable")))))</f>
        <v>Declining</v>
      </c>
      <c r="AK55" s="10" t="b">
        <f aca="false">IF(OR(N55="Growing",N55="Stable"),"Healthy",N55)&lt;&gt;IF(OR(AJ55="Growing",AJ55="Stable"),"Healthy",AJ55)</f>
        <v>0</v>
      </c>
      <c r="AL55" s="2" t="str">
        <f aca="false">IF(N55="Lapsed",IF(OR(O55&lt;=Assumptions!$B$48,W55&lt;=Assumptions!$B$49),"One-Off / Insufficient History — Verify","Established Buyer Lapsed"),"N/A")</f>
        <v>N/A</v>
      </c>
      <c r="AM55" s="2" t="n">
        <f aca="false">INDEX('Scored Accounts'!$M$2:$M$301,MATCH($A55,'Scored Accounts'!$A$2:$A$301,0))</f>
        <v>75</v>
      </c>
      <c r="AN55" s="2" t="n">
        <f aca="false">IF((P55/(P55+Q55)*100)&lt;=Assumptions!$B$13,0,IF((P55/(P55+Q55)*100)&lt;Assumptions!$B$14,25,IF((P55/(P55+Q55)*100)&lt;Assumptions!$B$15,50,IF((P55/(P55+Q55)*100)&lt;Assumptions!$B$16,75,100))))</f>
        <v>75</v>
      </c>
      <c r="AO55" s="21" t="n">
        <f aca="false">IF((P55/(P55+Q55)*100)&lt;=Assumptions!$B$8,0,AN55*Assumptions!$B$4+INDEX('Scored Accounts'!$N$2:$N$301,MATCH($A55,'Scored Accounts'!$A$2:$A$301,0))*Assumptions!$B$5+INDEX('Scored Accounts'!$O$2:$O$301,MATCH($A55,'Scored Accounts'!$A$2:$A$301,0))*Assumptions!$B$6)</f>
        <v>82.5</v>
      </c>
      <c r="AP55" s="2" t="str">
        <f aca="false">IF(AO55&gt;=Assumptions!$B$9,"High",IF(AO55&gt;=Assumptions!$B$10,"Medium","Low"))</f>
        <v>High</v>
      </c>
      <c r="AQ55" s="10" t="b">
        <f aca="false">OR((E55&lt;=Assumptions!$B$8)&lt;&gt;((P55/(P55+Q55)*100)&lt;=Assumptions!$B$8),AM55&lt;&gt;AN55,G55&lt;&gt;AP55)</f>
        <v>0</v>
      </c>
      <c r="AR55" s="2" t="str">
        <f aca="false">IF(AP55&lt;&gt;"Low","Broker-Reliant",IF(B55="Account Managed","AM-Owned / Self-Serving","Self-Serve"))</f>
        <v>Broker-Reliant</v>
      </c>
      <c r="AS55" s="2" t="str">
        <f aca="false">IF(AR55="Broker-Reliant",IF(J55="Tail","5. Cost-to-Serve / Low-Touch",IF(OR(N55="Growing",N55="Stable"),"1. Migration Candidate",IF(N55="Declining","2. Protect / Retain First",IF(N55="Lapsed","3. Win-Back / Verify",IF(N55="H2 Active / No H1 GMV","4. Establish / Re-establish / Observe","UNASSIGNED"))))),IF(AP55="Low",IF(J55="Tail","9. Long-Tail Automated Nurture",IF(OR(N55="Growing",N55="Stable"),"6. Growth Opportunity",IF(N55="H2 Active / No H1 GMV","7. Onboard / Re-engage / Learn",IF(OR(N55="Declining",N55="Lapsed"),"8. Retention / Reactivation","UNASSIGNED")))),"UNASSIGNED"))</f>
        <v>2. Protect / Retain First</v>
      </c>
      <c r="AT55" s="10" t="b">
        <f aca="false">AS55&lt;&gt;T55</f>
        <v>0</v>
      </c>
      <c r="AU55" s="2" t="str">
        <f aca="false">IF(NOT(U55),"Not Eligible",IF(OR(AQ55,AH55,AK55,NOT(AND(W55&gt;=Assumptions!$B$83,O55&gt;=Assumptions!$B$84))),"Manual Review","Ready"))</f>
        <v>Not Eligible</v>
      </c>
      <c r="AV55" s="2" t="str">
        <f aca="false">IF(AG55,"Key account - human sign-off required; ","")&amp;IF(AH55,"Borderline momentum; ","")&amp;IF(AK55,"February-sensitive ("&amp;N55&amp;" -&gt; "&amp;AJ55&amp;"); ","")&amp;IF(AL55="One-Off / Insufficient History — Verify","Lapsed on thin history - verify; ","")&amp;IF(AQ55,"Material broker % inconsistency (implied tier "&amp;AP55&amp;"); ","")&amp;IF(AT55,"Implied broker % would move segment to "&amp;AS55&amp;"; ","")</f>
        <v/>
      </c>
      <c r="AW55" s="10" t="b">
        <f aca="false">AND(G55="Low",J55="Tail",I55&gt;=Assumptions!$B$64,O55&gt;=Assumptions!$B$65,OR(N55="Growing",N55="Stable",AND(N55="H2 Active / No H1 GMV",W55&gt;=2)),OR(R55&gt;=Assumptions!$B$66,S55&gt;=Assumptions!$B$67))</f>
        <v>0</v>
      </c>
    </row>
    <row r="56" customFormat="false" ht="15" hidden="false" customHeight="false" outlineLevel="0" collapsed="false">
      <c r="A56" s="2" t="s">
        <v>290</v>
      </c>
      <c r="B56" s="2" t="s">
        <v>1571</v>
      </c>
      <c r="C56" s="2" t="s">
        <v>1572</v>
      </c>
      <c r="D56" s="2" t="n">
        <v>17</v>
      </c>
      <c r="E56" s="2" t="n">
        <v>77</v>
      </c>
      <c r="F56" s="21" t="n">
        <f aca="false">INDEX('Scored Accounts'!$Q$2:$Q$301,MATCH($A56,'Scored Accounts'!$A$2:$A$301,0))</f>
        <v>70</v>
      </c>
      <c r="G56" s="2" t="str">
        <f aca="false">INDEX('Scored Accounts'!$R$2:$R$301,MATCH($A56,'Scored Accounts'!$A$2:$A$301,0))</f>
        <v>High</v>
      </c>
      <c r="H56" s="2" t="str">
        <f aca="false">IF(OR(G56="High",G56="Medium"),"Broker-Reliant",IF(AND(G56="Low",B56="Account Managed"),"AM-Owned / Self-Serving",IF(AND(G56="Low",B56="Self Serve"),"Self-Serve","UNASSIGNED")))</f>
        <v>Broker-Reliant</v>
      </c>
      <c r="I56" s="9" t="n">
        <v>2514</v>
      </c>
      <c r="J56" s="2" t="str">
        <f aca="false">IF(I56&gt;=Assumptions!$B$35,"Key",IF(I56&gt;=Assumptions!$B$34,"Core","Tail"))</f>
        <v>Core</v>
      </c>
      <c r="K56" s="9" t="n">
        <f aca="false">INDEX('Commercial View'!$R$2:$R$301,MATCH($A56,'Commercial View'!$A$2:$A$301,0))</f>
        <v>2221</v>
      </c>
      <c r="L56" s="9" t="n">
        <f aca="false">INDEX('Commercial View'!$S$2:$S$301,MATCH($A56,'Commercial View'!$A$2:$A$301,0))</f>
        <v>293</v>
      </c>
      <c r="M56" s="17" t="n">
        <f aca="false">INDEX('Commercial View'!$T$2:$T$301,MATCH($A56,'Commercial View'!$A$2:$A$301,0))</f>
        <v>-0.868077442593426</v>
      </c>
      <c r="N56" s="2" t="str">
        <f aca="false">INDEX('Commercial View'!$U$2:$U$301,MATCH($A56,'Commercial View'!$A$2:$A$301,0))</f>
        <v>Declining</v>
      </c>
      <c r="O56" s="2" t="n">
        <v>12</v>
      </c>
      <c r="P56" s="2" t="n">
        <v>9</v>
      </c>
      <c r="Q56" s="2" t="n">
        <v>3</v>
      </c>
      <c r="R56" s="2" t="n">
        <v>5</v>
      </c>
      <c r="S56" s="2" t="n">
        <v>2</v>
      </c>
      <c r="T56" s="2" t="str">
        <f aca="false">IF(H56="Broker-Reliant",IF(J56="Tail","5. Cost-to-Serve / Low-Touch",IF(OR(N56="Growing",N56="Stable"),"1. Migration Candidate",IF(N56="Declining","2. Protect / Retain First",IF(N56="Lapsed","3. Win-Back / Verify",IF(N56="H2 Active / No H1 GMV","4. Establish / Re-establish / Observe","UNASSIGNED"))))),IF(G56="Low",IF(J56="Tail","9. Long-Tail Automated Nurture",IF(OR(N56="Growing",N56="Stable"),"6. Growth Opportunity",IF(N56="H2 Active / No H1 GMV","7. Onboard / Re-engage / Learn",IF(OR(N56="Declining",N56="Lapsed"),"8. Retention / Reactivation","UNASSIGNED")))),"UNASSIGNED"))</f>
        <v>2. Protect / Retain First</v>
      </c>
      <c r="U56" s="10" t="b">
        <f aca="false">AND(T56="1. Migration Candidate",J56="Core",O56&gt;=Assumptions!$B$39,Q56&gt;=Assumptions!$B$40,NOT(Z56))</f>
        <v>0</v>
      </c>
      <c r="V56" s="2" t="n">
        <f aca="false">(AND(H56="Broker-Reliant",J56&lt;&gt;"Tail",OR(N56="Growing",N56="Stable")))*1+(AND(H56="Broker-Reliant",J56&lt;&gt;"Tail",N56="Declining"))*1+(AND(H56="Broker-Reliant",J56&lt;&gt;"Tail",N56="Lapsed"))*1+(AND(H56="Broker-Reliant",J56&lt;&gt;"Tail",N56="H2 Active / No H1 GMV"))*1+(AND(H56="Broker-Reliant",J56="Tail"))*1+(AND(G56="Low",J56&lt;&gt;"Tail",OR(N56="Growing",N56="Stable")))*1+(AND(G56="Low",J56&lt;&gt;"Tail",N56="H2 Active / No H1 GMV"))*1+(AND(G56="Low",J56&lt;&gt;"Tail",OR(N56="Declining",N56="Lapsed")))*1+(AND(G56="Low",J56="Tail"))*1</f>
        <v>1</v>
      </c>
      <c r="W56" s="2" t="n">
        <f aca="false">INDEX('Commercial View'!$V$2:$V$301,MATCH($A56,'Commercial View'!$A$2:$A$301,0))</f>
        <v>5</v>
      </c>
      <c r="X56" s="10" t="b">
        <f aca="false">O56&lt;=Assumptions!$B$30</f>
        <v>0</v>
      </c>
      <c r="Y56" s="10" t="b">
        <f aca="false">W56&lt;=1</f>
        <v>0</v>
      </c>
      <c r="Z56" s="10" t="b">
        <f aca="false">C56="Duplicate"</f>
        <v>0</v>
      </c>
      <c r="AA56" s="10" t="b">
        <f aca="false">C56=""</f>
        <v>0</v>
      </c>
      <c r="AB56" s="2" t="n">
        <f aca="false">IF(P56+Q56&gt;0,ROUND(P56/(P56+Q56)*100,0),"")</f>
        <v>75</v>
      </c>
      <c r="AC56" s="2" t="n">
        <f aca="false">IF(P56+Q56&gt;0,ROUND(E56-P56/(P56+Q56)*100,0),"")</f>
        <v>2</v>
      </c>
      <c r="AD56" s="10" t="b">
        <f aca="false">IF(AC56="",FALSE(),ABS(AC56)&gt;Assumptions!$B$41)</f>
        <v>0</v>
      </c>
      <c r="AE56" s="2" t="str">
        <f aca="false">IF(X56,"Low confidence (&lt;=2 orders); ","")&amp;IF(Y56,"Single-month history; ","")&amp;IF(Z56,"CRITICAL: Duplicate status; ","")&amp;IF(AA56,"Missing status; ","")&amp;IF(AD56,"Broker % vs counts gap "&amp;TEXT(AC56,"+0;-0")&amp;"pts; ","")</f>
        <v/>
      </c>
      <c r="AF56" s="2" t="str">
        <f aca="false">IF(AND(K56=0,L56&gt;0),IF(D56&lt;=Assumptions!$B$47,"New Customer","Returned Customer"),"Existing Customer")</f>
        <v>Existing Customer</v>
      </c>
      <c r="AG56" s="10" t="b">
        <f aca="false">AND(T56="1. Migration Candidate",J56="Key")</f>
        <v>0</v>
      </c>
      <c r="AH56" s="10" t="b">
        <f aca="false">IF(AND(K56&gt;0,L56&gt;0),OR(ABS(M56-Assumptions!$B$36)&lt;=Assumptions!$B$46,ABS(M56+Assumptions!$B$36)&lt;=Assumptions!$B$46),FALSE())</f>
        <v>0</v>
      </c>
      <c r="AI56" s="9" t="n">
        <f aca="false">INDEX('Commercial View'!$L$2:$L$301,MATCH($A56,'Commercial View'!$A$2:$A$301,0))+INDEX('Commercial View'!$M$2:$M$301,MATCH($A56,'Commercial View'!$A$2:$A$301,0))</f>
        <v>194</v>
      </c>
      <c r="AJ56" s="2" t="str">
        <f aca="false">IF(AND(K56=0,AI56=0),"No activity ex-Feb",IF(AI56=0,"Lapsed",IF(K56=0,"H2 Active / No H1 GMV",IF((AI56/2)/(K56/3)-1&gt;=Assumptions!$B$36,"Growing",IF((AI56/2)/(K56/3)-1&lt;-Assumptions!$B$36,"Declining","Stable")))))</f>
        <v>Declining</v>
      </c>
      <c r="AK56" s="10" t="b">
        <f aca="false">IF(OR(N56="Growing",N56="Stable"),"Healthy",N56)&lt;&gt;IF(OR(AJ56="Growing",AJ56="Stable"),"Healthy",AJ56)</f>
        <v>0</v>
      </c>
      <c r="AL56" s="2" t="str">
        <f aca="false">IF(N56="Lapsed",IF(OR(O56&lt;=Assumptions!$B$48,W56&lt;=Assumptions!$B$49),"One-Off / Insufficient History — Verify","Established Buyer Lapsed"),"N/A")</f>
        <v>N/A</v>
      </c>
      <c r="AM56" s="2" t="n">
        <f aca="false">INDEX('Scored Accounts'!$M$2:$M$301,MATCH($A56,'Scored Accounts'!$A$2:$A$301,0))</f>
        <v>75</v>
      </c>
      <c r="AN56" s="2" t="n">
        <f aca="false">IF((P56/(P56+Q56)*100)&lt;=Assumptions!$B$13,0,IF((P56/(P56+Q56)*100)&lt;Assumptions!$B$14,25,IF((P56/(P56+Q56)*100)&lt;Assumptions!$B$15,50,IF((P56/(P56+Q56)*100)&lt;Assumptions!$B$16,75,100))))</f>
        <v>75</v>
      </c>
      <c r="AO56" s="21" t="n">
        <f aca="false">IF((P56/(P56+Q56)*100)&lt;=Assumptions!$B$8,0,AN56*Assumptions!$B$4+INDEX('Scored Accounts'!$N$2:$N$301,MATCH($A56,'Scored Accounts'!$A$2:$A$301,0))*Assumptions!$B$5+INDEX('Scored Accounts'!$O$2:$O$301,MATCH($A56,'Scored Accounts'!$A$2:$A$301,0))*Assumptions!$B$6)</f>
        <v>70</v>
      </c>
      <c r="AP56" s="2" t="str">
        <f aca="false">IF(AO56&gt;=Assumptions!$B$9,"High",IF(AO56&gt;=Assumptions!$B$10,"Medium","Low"))</f>
        <v>High</v>
      </c>
      <c r="AQ56" s="10" t="b">
        <f aca="false">OR((E56&lt;=Assumptions!$B$8)&lt;&gt;((P56/(P56+Q56)*100)&lt;=Assumptions!$B$8),AM56&lt;&gt;AN56,G56&lt;&gt;AP56)</f>
        <v>0</v>
      </c>
      <c r="AR56" s="2" t="str">
        <f aca="false">IF(AP56&lt;&gt;"Low","Broker-Reliant",IF(B56="Account Managed","AM-Owned / Self-Serving","Self-Serve"))</f>
        <v>Broker-Reliant</v>
      </c>
      <c r="AS56" s="2" t="str">
        <f aca="false">IF(AR56="Broker-Reliant",IF(J56="Tail","5. Cost-to-Serve / Low-Touch",IF(OR(N56="Growing",N56="Stable"),"1. Migration Candidate",IF(N56="Declining","2. Protect / Retain First",IF(N56="Lapsed","3. Win-Back / Verify",IF(N56="H2 Active / No H1 GMV","4. Establish / Re-establish / Observe","UNASSIGNED"))))),IF(AP56="Low",IF(J56="Tail","9. Long-Tail Automated Nurture",IF(OR(N56="Growing",N56="Stable"),"6. Growth Opportunity",IF(N56="H2 Active / No H1 GMV","7. Onboard / Re-engage / Learn",IF(OR(N56="Declining",N56="Lapsed"),"8. Retention / Reactivation","UNASSIGNED")))),"UNASSIGNED"))</f>
        <v>2. Protect / Retain First</v>
      </c>
      <c r="AT56" s="10" t="b">
        <f aca="false">AS56&lt;&gt;T56</f>
        <v>0</v>
      </c>
      <c r="AU56" s="2" t="str">
        <f aca="false">IF(NOT(U56),"Not Eligible",IF(OR(AQ56,AH56,AK56,NOT(AND(W56&gt;=Assumptions!$B$83,O56&gt;=Assumptions!$B$84))),"Manual Review","Ready"))</f>
        <v>Not Eligible</v>
      </c>
      <c r="AV56" s="2" t="str">
        <f aca="false">IF(AG56,"Key account - human sign-off required; ","")&amp;IF(AH56,"Borderline momentum; ","")&amp;IF(AK56,"February-sensitive ("&amp;N56&amp;" -&gt; "&amp;AJ56&amp;"); ","")&amp;IF(AL56="One-Off / Insufficient History — Verify","Lapsed on thin history - verify; ","")&amp;IF(AQ56,"Material broker % inconsistency (implied tier "&amp;AP56&amp;"); ","")&amp;IF(AT56,"Implied broker % would move segment to "&amp;AS56&amp;"; ","")</f>
        <v/>
      </c>
      <c r="AW56" s="10" t="b">
        <f aca="false">AND(G56="Low",J56="Tail",I56&gt;=Assumptions!$B$64,O56&gt;=Assumptions!$B$65,OR(N56="Growing",N56="Stable",AND(N56="H2 Active / No H1 GMV",W56&gt;=2)),OR(R56&gt;=Assumptions!$B$66,S56&gt;=Assumptions!$B$67))</f>
        <v>0</v>
      </c>
    </row>
    <row r="57" customFormat="false" ht="15" hidden="false" customHeight="false" outlineLevel="0" collapsed="false">
      <c r="A57" s="2" t="s">
        <v>442</v>
      </c>
      <c r="B57" s="2" t="s">
        <v>1571</v>
      </c>
      <c r="C57" s="2" t="s">
        <v>1572</v>
      </c>
      <c r="D57" s="2" t="n">
        <v>7</v>
      </c>
      <c r="E57" s="2" t="n">
        <v>54</v>
      </c>
      <c r="F57" s="21" t="n">
        <f aca="false">INDEX('Scored Accounts'!$Q$2:$Q$301,MATCH($A57,'Scored Accounts'!$A$2:$A$301,0))</f>
        <v>62.5</v>
      </c>
      <c r="G57" s="2" t="str">
        <f aca="false">INDEX('Scored Accounts'!$R$2:$R$301,MATCH($A57,'Scored Accounts'!$A$2:$A$301,0))</f>
        <v>Medium</v>
      </c>
      <c r="H57" s="2" t="str">
        <f aca="false">IF(OR(G57="High",G57="Medium"),"Broker-Reliant",IF(AND(G57="Low",B57="Account Managed"),"AM-Owned / Self-Serving",IF(AND(G57="Low",B57="Self Serve"),"Self-Serve","UNASSIGNED")))</f>
        <v>Broker-Reliant</v>
      </c>
      <c r="I57" s="9" t="n">
        <v>2380</v>
      </c>
      <c r="J57" s="2" t="str">
        <f aca="false">IF(I57&gt;=Assumptions!$B$35,"Key",IF(I57&gt;=Assumptions!$B$34,"Core","Tail"))</f>
        <v>Core</v>
      </c>
      <c r="K57" s="9" t="n">
        <f aca="false">INDEX('Commercial View'!$R$2:$R$301,MATCH($A57,'Commercial View'!$A$2:$A$301,0))</f>
        <v>1089</v>
      </c>
      <c r="L57" s="9" t="n">
        <f aca="false">INDEX('Commercial View'!$S$2:$S$301,MATCH($A57,'Commercial View'!$A$2:$A$301,0))</f>
        <v>1291</v>
      </c>
      <c r="M57" s="17" t="n">
        <f aca="false">INDEX('Commercial View'!$T$2:$T$301,MATCH($A57,'Commercial View'!$A$2:$A$301,0))</f>
        <v>0.185491276400367</v>
      </c>
      <c r="N57" s="2" t="str">
        <f aca="false">INDEX('Commercial View'!$U$2:$U$301,MATCH($A57,'Commercial View'!$A$2:$A$301,0))</f>
        <v>Stable</v>
      </c>
      <c r="O57" s="2" t="n">
        <v>5</v>
      </c>
      <c r="P57" s="2" t="n">
        <v>3</v>
      </c>
      <c r="Q57" s="2" t="n">
        <v>2</v>
      </c>
      <c r="R57" s="2" t="n">
        <v>7</v>
      </c>
      <c r="S57" s="2" t="n">
        <v>1</v>
      </c>
      <c r="T57" s="2" t="str">
        <f aca="false">IF(H57="Broker-Reliant",IF(J57="Tail","5. Cost-to-Serve / Low-Touch",IF(OR(N57="Growing",N57="Stable"),"1. Migration Candidate",IF(N57="Declining","2. Protect / Retain First",IF(N57="Lapsed","3. Win-Back / Verify",IF(N57="H2 Active / No H1 GMV","4. Establish / Re-establish / Observe","UNASSIGNED"))))),IF(G57="Low",IF(J57="Tail","9. Long-Tail Automated Nurture",IF(OR(N57="Growing",N57="Stable"),"6. Growth Opportunity",IF(N57="H2 Active / No H1 GMV","7. Onboard / Re-engage / Learn",IF(OR(N57="Declining",N57="Lapsed"),"8. Retention / Reactivation","UNASSIGNED")))),"UNASSIGNED"))</f>
        <v>1. Migration Candidate</v>
      </c>
      <c r="U57" s="10" t="b">
        <f aca="false">AND(T57="1. Migration Candidate",J57="Core",O57&gt;=Assumptions!$B$39,Q57&gt;=Assumptions!$B$40,NOT(Z57))</f>
        <v>1</v>
      </c>
      <c r="V57" s="2" t="n">
        <f aca="false">(AND(H57="Broker-Reliant",J57&lt;&gt;"Tail",OR(N57="Growing",N57="Stable")))*1+(AND(H57="Broker-Reliant",J57&lt;&gt;"Tail",N57="Declining"))*1+(AND(H57="Broker-Reliant",J57&lt;&gt;"Tail",N57="Lapsed"))*1+(AND(H57="Broker-Reliant",J57&lt;&gt;"Tail",N57="H2 Active / No H1 GMV"))*1+(AND(H57="Broker-Reliant",J57="Tail"))*1+(AND(G57="Low",J57&lt;&gt;"Tail",OR(N57="Growing",N57="Stable")))*1+(AND(G57="Low",J57&lt;&gt;"Tail",N57="H2 Active / No H1 GMV"))*1+(AND(G57="Low",J57&lt;&gt;"Tail",OR(N57="Declining",N57="Lapsed")))*1+(AND(G57="Low",J57="Tail"))*1</f>
        <v>1</v>
      </c>
      <c r="W57" s="2" t="n">
        <f aca="false">INDEX('Commercial View'!$V$2:$V$301,MATCH($A57,'Commercial View'!$A$2:$A$301,0))</f>
        <v>3</v>
      </c>
      <c r="X57" s="10" t="b">
        <f aca="false">O57&lt;=Assumptions!$B$30</f>
        <v>0</v>
      </c>
      <c r="Y57" s="10" t="b">
        <f aca="false">W57&lt;=1</f>
        <v>0</v>
      </c>
      <c r="Z57" s="10" t="b">
        <f aca="false">C57="Duplicate"</f>
        <v>0</v>
      </c>
      <c r="AA57" s="10" t="b">
        <f aca="false">C57=""</f>
        <v>0</v>
      </c>
      <c r="AB57" s="2" t="n">
        <f aca="false">IF(P57+Q57&gt;0,ROUND(P57/(P57+Q57)*100,0),"")</f>
        <v>60</v>
      </c>
      <c r="AC57" s="2" t="n">
        <f aca="false">IF(P57+Q57&gt;0,ROUND(E57-P57/(P57+Q57)*100,0),"")</f>
        <v>-6</v>
      </c>
      <c r="AD57" s="10" t="b">
        <f aca="false">IF(AC57="",FALSE(),ABS(AC57)&gt;Assumptions!$B$41)</f>
        <v>0</v>
      </c>
      <c r="AE57" s="2" t="str">
        <f aca="false">IF(X57,"Low confidence (&lt;=2 orders); ","")&amp;IF(Y57,"Single-month history; ","")&amp;IF(Z57,"CRITICAL: Duplicate status; ","")&amp;IF(AA57,"Missing status; ","")&amp;IF(AD57,"Broker % vs counts gap "&amp;TEXT(AC57,"+0;-0")&amp;"pts; ","")</f>
        <v/>
      </c>
      <c r="AF57" s="2" t="str">
        <f aca="false">IF(AND(K57=0,L57&gt;0),IF(D57&lt;=Assumptions!$B$47,"New Customer","Returned Customer"),"Existing Customer")</f>
        <v>Existing Customer</v>
      </c>
      <c r="AG57" s="10" t="b">
        <f aca="false">AND(T57="1. Migration Candidate",J57="Key")</f>
        <v>0</v>
      </c>
      <c r="AH57" s="10" t="b">
        <f aca="false">IF(AND(K57&gt;0,L57&gt;0),OR(ABS(M57-Assumptions!$B$36)&lt;=Assumptions!$B$46,ABS(M57+Assumptions!$B$36)&lt;=Assumptions!$B$46),FALSE())</f>
        <v>1</v>
      </c>
      <c r="AI57" s="9" t="n">
        <f aca="false">INDEX('Commercial View'!$L$2:$L$301,MATCH($A57,'Commercial View'!$A$2:$A$301,0))+INDEX('Commercial View'!$M$2:$M$301,MATCH($A57,'Commercial View'!$A$2:$A$301,0))</f>
        <v>1291</v>
      </c>
      <c r="AJ57" s="2" t="str">
        <f aca="false">IF(AND(K57=0,AI57=0),"No activity ex-Feb",IF(AI57=0,"Lapsed",IF(K57=0,"H2 Active / No H1 GMV",IF((AI57/2)/(K57/3)-1&gt;=Assumptions!$B$36,"Growing",IF((AI57/2)/(K57/3)-1&lt;-Assumptions!$B$36,"Declining","Stable")))))</f>
        <v>Growing</v>
      </c>
      <c r="AK57" s="10" t="b">
        <f aca="false">IF(OR(N57="Growing",N57="Stable"),"Healthy",N57)&lt;&gt;IF(OR(AJ57="Growing",AJ57="Stable"),"Healthy",AJ57)</f>
        <v>0</v>
      </c>
      <c r="AL57" s="2" t="str">
        <f aca="false">IF(N57="Lapsed",IF(OR(O57&lt;=Assumptions!$B$48,W57&lt;=Assumptions!$B$49),"One-Off / Insufficient History — Verify","Established Buyer Lapsed"),"N/A")</f>
        <v>N/A</v>
      </c>
      <c r="AM57" s="2" t="n">
        <f aca="false">INDEX('Scored Accounts'!$M$2:$M$301,MATCH($A57,'Scored Accounts'!$A$2:$A$301,0))</f>
        <v>50</v>
      </c>
      <c r="AN57" s="2" t="n">
        <f aca="false">IF((P57/(P57+Q57)*100)&lt;=Assumptions!$B$13,0,IF((P57/(P57+Q57)*100)&lt;Assumptions!$B$14,25,IF((P57/(P57+Q57)*100)&lt;Assumptions!$B$15,50,IF((P57/(P57+Q57)*100)&lt;Assumptions!$B$16,75,100))))</f>
        <v>75</v>
      </c>
      <c r="AO57" s="21" t="n">
        <f aca="false">IF((P57/(P57+Q57)*100)&lt;=Assumptions!$B$8,0,AN57*Assumptions!$B$4+INDEX('Scored Accounts'!$N$2:$N$301,MATCH($A57,'Scored Accounts'!$A$2:$A$301,0))*Assumptions!$B$5+INDEX('Scored Accounts'!$O$2:$O$301,MATCH($A57,'Scored Accounts'!$A$2:$A$301,0))*Assumptions!$B$6)</f>
        <v>75</v>
      </c>
      <c r="AP57" s="2" t="str">
        <f aca="false">IF(AO57&gt;=Assumptions!$B$9,"High",IF(AO57&gt;=Assumptions!$B$10,"Medium","Low"))</f>
        <v>High</v>
      </c>
      <c r="AQ57" s="10" t="b">
        <f aca="false">OR((E57&lt;=Assumptions!$B$8)&lt;&gt;((P57/(P57+Q57)*100)&lt;=Assumptions!$B$8),AM57&lt;&gt;AN57,G57&lt;&gt;AP57)</f>
        <v>1</v>
      </c>
      <c r="AR57" s="2" t="str">
        <f aca="false">IF(AP57&lt;&gt;"Low","Broker-Reliant",IF(B57="Account Managed","AM-Owned / Self-Serving","Self-Serve"))</f>
        <v>Broker-Reliant</v>
      </c>
      <c r="AS57" s="2" t="str">
        <f aca="false">IF(AR57="Broker-Reliant",IF(J57="Tail","5. Cost-to-Serve / Low-Touch",IF(OR(N57="Growing",N57="Stable"),"1. Migration Candidate",IF(N57="Declining","2. Protect / Retain First",IF(N57="Lapsed","3. Win-Back / Verify",IF(N57="H2 Active / No H1 GMV","4. Establish / Re-establish / Observe","UNASSIGNED"))))),IF(AP57="Low",IF(J57="Tail","9. Long-Tail Automated Nurture",IF(OR(N57="Growing",N57="Stable"),"6. Growth Opportunity",IF(N57="H2 Active / No H1 GMV","7. Onboard / Re-engage / Learn",IF(OR(N57="Declining",N57="Lapsed"),"8. Retention / Reactivation","UNASSIGNED")))),"UNASSIGNED"))</f>
        <v>1. Migration Candidate</v>
      </c>
      <c r="AT57" s="10" t="b">
        <f aca="false">AS57&lt;&gt;T57</f>
        <v>0</v>
      </c>
      <c r="AU57" s="2" t="str">
        <f aca="false">IF(NOT(U57),"Not Eligible",IF(OR(AQ57,AH57,AK57,NOT(AND(W57&gt;=Assumptions!$B$83,O57&gt;=Assumptions!$B$84))),"Manual Review","Ready"))</f>
        <v>Manual Review</v>
      </c>
      <c r="AV57" s="2" t="str">
        <f aca="false">IF(AG57,"Key account - human sign-off required; ","")&amp;IF(AH57,"Borderline momentum; ","")&amp;IF(AK57,"February-sensitive ("&amp;N57&amp;" -&gt; "&amp;AJ57&amp;"); ","")&amp;IF(AL57="One-Off / Insufficient History — Verify","Lapsed on thin history - verify; ","")&amp;IF(AQ57,"Material broker % inconsistency (implied tier "&amp;AP57&amp;"); ","")&amp;IF(AT57,"Implied broker % would move segment to "&amp;AS57&amp;"; ","")</f>
        <v>Borderline momentum; Material broker % inconsistency (implied tier High); </v>
      </c>
      <c r="AW57" s="10" t="b">
        <f aca="false">AND(G57="Low",J57="Tail",I57&gt;=Assumptions!$B$64,O57&gt;=Assumptions!$B$65,OR(N57="Growing",N57="Stable",AND(N57="H2 Active / No H1 GMV",W57&gt;=2)),OR(R57&gt;=Assumptions!$B$66,S57&gt;=Assumptions!$B$67))</f>
        <v>0</v>
      </c>
    </row>
    <row r="58" customFormat="false" ht="15" hidden="false" customHeight="false" outlineLevel="0" collapsed="false">
      <c r="A58" s="2" t="s">
        <v>469</v>
      </c>
      <c r="B58" s="2" t="s">
        <v>1571</v>
      </c>
      <c r="C58" s="2" t="s">
        <v>1572</v>
      </c>
      <c r="D58" s="2" t="n">
        <v>16</v>
      </c>
      <c r="E58" s="2" t="n">
        <v>61</v>
      </c>
      <c r="F58" s="21" t="n">
        <f aca="false">INDEX('Scored Accounts'!$Q$2:$Q$301,MATCH($A58,'Scored Accounts'!$A$2:$A$301,0))</f>
        <v>82.5</v>
      </c>
      <c r="G58" s="2" t="str">
        <f aca="false">INDEX('Scored Accounts'!$R$2:$R$301,MATCH($A58,'Scored Accounts'!$A$2:$A$301,0))</f>
        <v>High</v>
      </c>
      <c r="H58" s="2" t="str">
        <f aca="false">IF(OR(G58="High",G58="Medium"),"Broker-Reliant",IF(AND(G58="Low",B58="Account Managed"),"AM-Owned / Self-Serving",IF(AND(G58="Low",B58="Self Serve"),"Self-Serve","UNASSIGNED")))</f>
        <v>Broker-Reliant</v>
      </c>
      <c r="I58" s="9" t="n">
        <v>2366</v>
      </c>
      <c r="J58" s="2" t="str">
        <f aca="false">IF(I58&gt;=Assumptions!$B$35,"Key",IF(I58&gt;=Assumptions!$B$34,"Core","Tail"))</f>
        <v>Core</v>
      </c>
      <c r="K58" s="9" t="n">
        <f aca="false">INDEX('Commercial View'!$R$2:$R$301,MATCH($A58,'Commercial View'!$A$2:$A$301,0))</f>
        <v>1167</v>
      </c>
      <c r="L58" s="9" t="n">
        <f aca="false">INDEX('Commercial View'!$S$2:$S$301,MATCH($A58,'Commercial View'!$A$2:$A$301,0))</f>
        <v>1199</v>
      </c>
      <c r="M58" s="17" t="n">
        <f aca="false">INDEX('Commercial View'!$T$2:$T$301,MATCH($A58,'Commercial View'!$A$2:$A$301,0))</f>
        <v>0.027420736932305</v>
      </c>
      <c r="N58" s="2" t="str">
        <f aca="false">INDEX('Commercial View'!$U$2:$U$301,MATCH($A58,'Commercial View'!$A$2:$A$301,0))</f>
        <v>Stable</v>
      </c>
      <c r="O58" s="2" t="n">
        <v>3</v>
      </c>
      <c r="P58" s="2" t="n">
        <v>2</v>
      </c>
      <c r="Q58" s="2" t="n">
        <v>1</v>
      </c>
      <c r="R58" s="2" t="n">
        <v>4</v>
      </c>
      <c r="S58" s="2" t="n">
        <v>1</v>
      </c>
      <c r="T58" s="2" t="str">
        <f aca="false">IF(H58="Broker-Reliant",IF(J58="Tail","5. Cost-to-Serve / Low-Touch",IF(OR(N58="Growing",N58="Stable"),"1. Migration Candidate",IF(N58="Declining","2. Protect / Retain First",IF(N58="Lapsed","3. Win-Back / Verify",IF(N58="H2 Active / No H1 GMV","4. Establish / Re-establish / Observe","UNASSIGNED"))))),IF(G58="Low",IF(J58="Tail","9. Long-Tail Automated Nurture",IF(OR(N58="Growing",N58="Stable"),"6. Growth Opportunity",IF(N58="H2 Active / No H1 GMV","7. Onboard / Re-engage / Learn",IF(OR(N58="Declining",N58="Lapsed"),"8. Retention / Reactivation","UNASSIGNED")))),"UNASSIGNED"))</f>
        <v>1. Migration Candidate</v>
      </c>
      <c r="U58" s="10" t="b">
        <f aca="false">AND(T58="1. Migration Candidate",J58="Core",O58&gt;=Assumptions!$B$39,Q58&gt;=Assumptions!$B$40,NOT(Z58))</f>
        <v>0</v>
      </c>
      <c r="V58" s="2" t="n">
        <f aca="false">(AND(H58="Broker-Reliant",J58&lt;&gt;"Tail",OR(N58="Growing",N58="Stable")))*1+(AND(H58="Broker-Reliant",J58&lt;&gt;"Tail",N58="Declining"))*1+(AND(H58="Broker-Reliant",J58&lt;&gt;"Tail",N58="Lapsed"))*1+(AND(H58="Broker-Reliant",J58&lt;&gt;"Tail",N58="H2 Active / No H1 GMV"))*1+(AND(H58="Broker-Reliant",J58="Tail"))*1+(AND(G58="Low",J58&lt;&gt;"Tail",OR(N58="Growing",N58="Stable")))*1+(AND(G58="Low",J58&lt;&gt;"Tail",N58="H2 Active / No H1 GMV"))*1+(AND(G58="Low",J58&lt;&gt;"Tail",OR(N58="Declining",N58="Lapsed")))*1+(AND(G58="Low",J58="Tail"))*1</f>
        <v>1</v>
      </c>
      <c r="W58" s="2" t="n">
        <f aca="false">INDEX('Commercial View'!$V$2:$V$301,MATCH($A58,'Commercial View'!$A$2:$A$301,0))</f>
        <v>3</v>
      </c>
      <c r="X58" s="10" t="b">
        <f aca="false">O58&lt;=Assumptions!$B$30</f>
        <v>0</v>
      </c>
      <c r="Y58" s="10" t="b">
        <f aca="false">W58&lt;=1</f>
        <v>0</v>
      </c>
      <c r="Z58" s="10" t="b">
        <f aca="false">C58="Duplicate"</f>
        <v>0</v>
      </c>
      <c r="AA58" s="10" t="b">
        <f aca="false">C58=""</f>
        <v>0</v>
      </c>
      <c r="AB58" s="2" t="n">
        <f aca="false">IF(P58+Q58&gt;0,ROUND(P58/(P58+Q58)*100,0),"")</f>
        <v>67</v>
      </c>
      <c r="AC58" s="2" t="n">
        <f aca="false">IF(P58+Q58&gt;0,ROUND(E58-P58/(P58+Q58)*100,0),"")</f>
        <v>-6</v>
      </c>
      <c r="AD58" s="10" t="b">
        <f aca="false">IF(AC58="",FALSE(),ABS(AC58)&gt;Assumptions!$B$41)</f>
        <v>0</v>
      </c>
      <c r="AE58" s="2" t="str">
        <f aca="false">IF(X58,"Low confidence (&lt;=2 orders); ","")&amp;IF(Y58,"Single-month history; ","")&amp;IF(Z58,"CRITICAL: Duplicate status; ","")&amp;IF(AA58,"Missing status; ","")&amp;IF(AD58,"Broker % vs counts gap "&amp;TEXT(AC58,"+0;-0")&amp;"pts; ","")</f>
        <v/>
      </c>
      <c r="AF58" s="2" t="str">
        <f aca="false">IF(AND(K58=0,L58&gt;0),IF(D58&lt;=Assumptions!$B$47,"New Customer","Returned Customer"),"Existing Customer")</f>
        <v>Existing Customer</v>
      </c>
      <c r="AG58" s="10" t="b">
        <f aca="false">AND(T58="1. Migration Candidate",J58="Key")</f>
        <v>0</v>
      </c>
      <c r="AH58" s="10" t="b">
        <f aca="false">IF(AND(K58&gt;0,L58&gt;0),OR(ABS(M58-Assumptions!$B$36)&lt;=Assumptions!$B$46,ABS(M58+Assumptions!$B$36)&lt;=Assumptions!$B$46),FALSE())</f>
        <v>0</v>
      </c>
      <c r="AI58" s="9" t="n">
        <f aca="false">INDEX('Commercial View'!$L$2:$L$301,MATCH($A58,'Commercial View'!$A$2:$A$301,0))+INDEX('Commercial View'!$M$2:$M$301,MATCH($A58,'Commercial View'!$A$2:$A$301,0))</f>
        <v>1199</v>
      </c>
      <c r="AJ58" s="2" t="str">
        <f aca="false">IF(AND(K58=0,AI58=0),"No activity ex-Feb",IF(AI58=0,"Lapsed",IF(K58=0,"H2 Active / No H1 GMV",IF((AI58/2)/(K58/3)-1&gt;=Assumptions!$B$36,"Growing",IF((AI58/2)/(K58/3)-1&lt;-Assumptions!$B$36,"Declining","Stable")))))</f>
        <v>Growing</v>
      </c>
      <c r="AK58" s="10" t="b">
        <f aca="false">IF(OR(N58="Growing",N58="Stable"),"Healthy",N58)&lt;&gt;IF(OR(AJ58="Growing",AJ58="Stable"),"Healthy",AJ58)</f>
        <v>0</v>
      </c>
      <c r="AL58" s="2" t="str">
        <f aca="false">IF(N58="Lapsed",IF(OR(O58&lt;=Assumptions!$B$48,W58&lt;=Assumptions!$B$49),"One-Off / Insufficient History — Verify","Established Buyer Lapsed"),"N/A")</f>
        <v>N/A</v>
      </c>
      <c r="AM58" s="2" t="n">
        <f aca="false">INDEX('Scored Accounts'!$M$2:$M$301,MATCH($A58,'Scored Accounts'!$A$2:$A$301,0))</f>
        <v>75</v>
      </c>
      <c r="AN58" s="2" t="n">
        <f aca="false">IF((P58/(P58+Q58)*100)&lt;=Assumptions!$B$13,0,IF((P58/(P58+Q58)*100)&lt;Assumptions!$B$14,25,IF((P58/(P58+Q58)*100)&lt;Assumptions!$B$15,50,IF((P58/(P58+Q58)*100)&lt;Assumptions!$B$16,75,100))))</f>
        <v>75</v>
      </c>
      <c r="AO58" s="21" t="n">
        <f aca="false">IF((P58/(P58+Q58)*100)&lt;=Assumptions!$B$8,0,AN58*Assumptions!$B$4+INDEX('Scored Accounts'!$N$2:$N$301,MATCH($A58,'Scored Accounts'!$A$2:$A$301,0))*Assumptions!$B$5+INDEX('Scored Accounts'!$O$2:$O$301,MATCH($A58,'Scored Accounts'!$A$2:$A$301,0))*Assumptions!$B$6)</f>
        <v>82.5</v>
      </c>
      <c r="AP58" s="2" t="str">
        <f aca="false">IF(AO58&gt;=Assumptions!$B$9,"High",IF(AO58&gt;=Assumptions!$B$10,"Medium","Low"))</f>
        <v>High</v>
      </c>
      <c r="AQ58" s="10" t="b">
        <f aca="false">OR((E58&lt;=Assumptions!$B$8)&lt;&gt;((P58/(P58+Q58)*100)&lt;=Assumptions!$B$8),AM58&lt;&gt;AN58,G58&lt;&gt;AP58)</f>
        <v>0</v>
      </c>
      <c r="AR58" s="2" t="str">
        <f aca="false">IF(AP58&lt;&gt;"Low","Broker-Reliant",IF(B58="Account Managed","AM-Owned / Self-Serving","Self-Serve"))</f>
        <v>Broker-Reliant</v>
      </c>
      <c r="AS58" s="2" t="str">
        <f aca="false">IF(AR58="Broker-Reliant",IF(J58="Tail","5. Cost-to-Serve / Low-Touch",IF(OR(N58="Growing",N58="Stable"),"1. Migration Candidate",IF(N58="Declining","2. Protect / Retain First",IF(N58="Lapsed","3. Win-Back / Verify",IF(N58="H2 Active / No H1 GMV","4. Establish / Re-establish / Observe","UNASSIGNED"))))),IF(AP58="Low",IF(J58="Tail","9. Long-Tail Automated Nurture",IF(OR(N58="Growing",N58="Stable"),"6. Growth Opportunity",IF(N58="H2 Active / No H1 GMV","7. Onboard / Re-engage / Learn",IF(OR(N58="Declining",N58="Lapsed"),"8. Retention / Reactivation","UNASSIGNED")))),"UNASSIGNED"))</f>
        <v>1. Migration Candidate</v>
      </c>
      <c r="AT58" s="10" t="b">
        <f aca="false">AS58&lt;&gt;T58</f>
        <v>0</v>
      </c>
      <c r="AU58" s="2" t="str">
        <f aca="false">IF(NOT(U58),"Not Eligible",IF(OR(AQ58,AH58,AK58,NOT(AND(W58&gt;=Assumptions!$B$83,O58&gt;=Assumptions!$B$84))),"Manual Review","Ready"))</f>
        <v>Not Eligible</v>
      </c>
      <c r="AV58" s="2" t="str">
        <f aca="false">IF(AG58,"Key account - human sign-off required; ","")&amp;IF(AH58,"Borderline momentum; ","")&amp;IF(AK58,"February-sensitive ("&amp;N58&amp;" -&gt; "&amp;AJ58&amp;"); ","")&amp;IF(AL58="One-Off / Insufficient History — Verify","Lapsed on thin history - verify; ","")&amp;IF(AQ58,"Material broker % inconsistency (implied tier "&amp;AP58&amp;"); ","")&amp;IF(AT58,"Implied broker % would move segment to "&amp;AS58&amp;"; ","")</f>
        <v/>
      </c>
      <c r="AW58" s="10" t="b">
        <f aca="false">AND(G58="Low",J58="Tail",I58&gt;=Assumptions!$B$64,O58&gt;=Assumptions!$B$65,OR(N58="Growing",N58="Stable",AND(N58="H2 Active / No H1 GMV",W58&gt;=2)),OR(R58&gt;=Assumptions!$B$66,S58&gt;=Assumptions!$B$67))</f>
        <v>0</v>
      </c>
    </row>
    <row r="59" customFormat="false" ht="15" hidden="false" customHeight="false" outlineLevel="0" collapsed="false">
      <c r="A59" s="2" t="s">
        <v>446</v>
      </c>
      <c r="B59" s="2" t="s">
        <v>1571</v>
      </c>
      <c r="C59" s="2" t="s">
        <v>1572</v>
      </c>
      <c r="D59" s="2" t="n">
        <v>14</v>
      </c>
      <c r="E59" s="2" t="n">
        <v>48</v>
      </c>
      <c r="F59" s="21" t="n">
        <f aca="false">INDEX('Scored Accounts'!$Q$2:$Q$301,MATCH($A59,'Scored Accounts'!$A$2:$A$301,0))</f>
        <v>67.5</v>
      </c>
      <c r="G59" s="2" t="str">
        <f aca="false">INDEX('Scored Accounts'!$R$2:$R$301,MATCH($A59,'Scored Accounts'!$A$2:$A$301,0))</f>
        <v>Medium</v>
      </c>
      <c r="H59" s="2" t="str">
        <f aca="false">IF(OR(G59="High",G59="Medium"),"Broker-Reliant",IF(AND(G59="Low",B59="Account Managed"),"AM-Owned / Self-Serving",IF(AND(G59="Low",B59="Self Serve"),"Self-Serve","UNASSIGNED")))</f>
        <v>Broker-Reliant</v>
      </c>
      <c r="I59" s="9" t="n">
        <v>2277</v>
      </c>
      <c r="J59" s="2" t="str">
        <f aca="false">IF(I59&gt;=Assumptions!$B$35,"Key",IF(I59&gt;=Assumptions!$B$34,"Core","Tail"))</f>
        <v>Core</v>
      </c>
      <c r="K59" s="9" t="n">
        <f aca="false">INDEX('Commercial View'!$R$2:$R$301,MATCH($A59,'Commercial View'!$A$2:$A$301,0))</f>
        <v>982</v>
      </c>
      <c r="L59" s="9" t="n">
        <f aca="false">INDEX('Commercial View'!$S$2:$S$301,MATCH($A59,'Commercial View'!$A$2:$A$301,0))</f>
        <v>1295</v>
      </c>
      <c r="M59" s="17" t="n">
        <f aca="false">INDEX('Commercial View'!$T$2:$T$301,MATCH($A59,'Commercial View'!$A$2:$A$301,0))</f>
        <v>0.318737270875764</v>
      </c>
      <c r="N59" s="2" t="str">
        <f aca="false">INDEX('Commercial View'!$U$2:$U$301,MATCH($A59,'Commercial View'!$A$2:$A$301,0))</f>
        <v>Growing</v>
      </c>
      <c r="O59" s="2" t="n">
        <v>8</v>
      </c>
      <c r="P59" s="2" t="n">
        <v>4</v>
      </c>
      <c r="Q59" s="2" t="n">
        <v>4</v>
      </c>
      <c r="R59" s="2" t="n">
        <v>5</v>
      </c>
      <c r="S59" s="2" t="n">
        <v>0</v>
      </c>
      <c r="T59" s="2" t="str">
        <f aca="false">IF(H59="Broker-Reliant",IF(J59="Tail","5. Cost-to-Serve / Low-Touch",IF(OR(N59="Growing",N59="Stable"),"1. Migration Candidate",IF(N59="Declining","2. Protect / Retain First",IF(N59="Lapsed","3. Win-Back / Verify",IF(N59="H2 Active / No H1 GMV","4. Establish / Re-establish / Observe","UNASSIGNED"))))),IF(G59="Low",IF(J59="Tail","9. Long-Tail Automated Nurture",IF(OR(N59="Growing",N59="Stable"),"6. Growth Opportunity",IF(N59="H2 Active / No H1 GMV","7. Onboard / Re-engage / Learn",IF(OR(N59="Declining",N59="Lapsed"),"8. Retention / Reactivation","UNASSIGNED")))),"UNASSIGNED"))</f>
        <v>1. Migration Candidate</v>
      </c>
      <c r="U59" s="10" t="b">
        <f aca="false">AND(T59="1. Migration Candidate",J59="Core",O59&gt;=Assumptions!$B$39,Q59&gt;=Assumptions!$B$40,NOT(Z59))</f>
        <v>1</v>
      </c>
      <c r="V59" s="2" t="n">
        <f aca="false">(AND(H59="Broker-Reliant",J59&lt;&gt;"Tail",OR(N59="Growing",N59="Stable")))*1+(AND(H59="Broker-Reliant",J59&lt;&gt;"Tail",N59="Declining"))*1+(AND(H59="Broker-Reliant",J59&lt;&gt;"Tail",N59="Lapsed"))*1+(AND(H59="Broker-Reliant",J59&lt;&gt;"Tail",N59="H2 Active / No H1 GMV"))*1+(AND(H59="Broker-Reliant",J59="Tail"))*1+(AND(G59="Low",J59&lt;&gt;"Tail",OR(N59="Growing",N59="Stable")))*1+(AND(G59="Low",J59&lt;&gt;"Tail",N59="H2 Active / No H1 GMV"))*1+(AND(G59="Low",J59&lt;&gt;"Tail",OR(N59="Declining",N59="Lapsed")))*1+(AND(G59="Low",J59="Tail"))*1</f>
        <v>1</v>
      </c>
      <c r="W59" s="2" t="n">
        <f aca="false">INDEX('Commercial View'!$V$2:$V$301,MATCH($A59,'Commercial View'!$A$2:$A$301,0))</f>
        <v>2</v>
      </c>
      <c r="X59" s="10" t="b">
        <f aca="false">O59&lt;=Assumptions!$B$30</f>
        <v>0</v>
      </c>
      <c r="Y59" s="10" t="b">
        <f aca="false">W59&lt;=1</f>
        <v>0</v>
      </c>
      <c r="Z59" s="10" t="b">
        <f aca="false">C59="Duplicate"</f>
        <v>0</v>
      </c>
      <c r="AA59" s="10" t="b">
        <f aca="false">C59=""</f>
        <v>0</v>
      </c>
      <c r="AB59" s="2" t="n">
        <f aca="false">IF(P59+Q59&gt;0,ROUND(P59/(P59+Q59)*100,0),"")</f>
        <v>50</v>
      </c>
      <c r="AC59" s="2" t="n">
        <f aca="false">IF(P59+Q59&gt;0,ROUND(E59-P59/(P59+Q59)*100,0),"")</f>
        <v>-2</v>
      </c>
      <c r="AD59" s="10" t="b">
        <f aca="false">IF(AC59="",FALSE(),ABS(AC59)&gt;Assumptions!$B$41)</f>
        <v>0</v>
      </c>
      <c r="AE59" s="2" t="str">
        <f aca="false">IF(X59,"Low confidence (&lt;=2 orders); ","")&amp;IF(Y59,"Single-month history; ","")&amp;IF(Z59,"CRITICAL: Duplicate status; ","")&amp;IF(AA59,"Missing status; ","")&amp;IF(AD59,"Broker % vs counts gap "&amp;TEXT(AC59,"+0;-0")&amp;"pts; ","")</f>
        <v/>
      </c>
      <c r="AF59" s="2" t="str">
        <f aca="false">IF(AND(K59=0,L59&gt;0),IF(D59&lt;=Assumptions!$B$47,"New Customer","Returned Customer"),"Existing Customer")</f>
        <v>Existing Customer</v>
      </c>
      <c r="AG59" s="10" t="b">
        <f aca="false">AND(T59="1. Migration Candidate",J59="Key")</f>
        <v>0</v>
      </c>
      <c r="AH59" s="10" t="b">
        <f aca="false">IF(AND(K59&gt;0,L59&gt;0),OR(ABS(M59-Assumptions!$B$36)&lt;=Assumptions!$B$46,ABS(M59+Assumptions!$B$36)&lt;=Assumptions!$B$46),FALSE())</f>
        <v>0</v>
      </c>
      <c r="AI59" s="9" t="n">
        <f aca="false">INDEX('Commercial View'!$L$2:$L$301,MATCH($A59,'Commercial View'!$A$2:$A$301,0))+INDEX('Commercial View'!$M$2:$M$301,MATCH($A59,'Commercial View'!$A$2:$A$301,0))</f>
        <v>0</v>
      </c>
      <c r="AJ59" s="2" t="str">
        <f aca="false">IF(AND(K59=0,AI59=0),"No activity ex-Feb",IF(AI59=0,"Lapsed",IF(K59=0,"H2 Active / No H1 GMV",IF((AI59/2)/(K59/3)-1&gt;=Assumptions!$B$36,"Growing",IF((AI59/2)/(K59/3)-1&lt;-Assumptions!$B$36,"Declining","Stable")))))</f>
        <v>Lapsed</v>
      </c>
      <c r="AK59" s="10" t="b">
        <f aca="false">IF(OR(N59="Growing",N59="Stable"),"Healthy",N59)&lt;&gt;IF(OR(AJ59="Growing",AJ59="Stable"),"Healthy",AJ59)</f>
        <v>1</v>
      </c>
      <c r="AL59" s="2" t="str">
        <f aca="false">IF(N59="Lapsed",IF(OR(O59&lt;=Assumptions!$B$48,W59&lt;=Assumptions!$B$49),"One-Off / Insufficient History — Verify","Established Buyer Lapsed"),"N/A")</f>
        <v>N/A</v>
      </c>
      <c r="AM59" s="2" t="n">
        <f aca="false">INDEX('Scored Accounts'!$M$2:$M$301,MATCH($A59,'Scored Accounts'!$A$2:$A$301,0))</f>
        <v>50</v>
      </c>
      <c r="AN59" s="2" t="n">
        <f aca="false">IF((P59/(P59+Q59)*100)&lt;=Assumptions!$B$13,0,IF((P59/(P59+Q59)*100)&lt;Assumptions!$B$14,25,IF((P59/(P59+Q59)*100)&lt;Assumptions!$B$15,50,IF((P59/(P59+Q59)*100)&lt;Assumptions!$B$16,75,100))))</f>
        <v>50</v>
      </c>
      <c r="AO59" s="21" t="n">
        <f aca="false">IF((P59/(P59+Q59)*100)&lt;=Assumptions!$B$8,0,AN59*Assumptions!$B$4+INDEX('Scored Accounts'!$N$2:$N$301,MATCH($A59,'Scored Accounts'!$A$2:$A$301,0))*Assumptions!$B$5+INDEX('Scored Accounts'!$O$2:$O$301,MATCH($A59,'Scored Accounts'!$A$2:$A$301,0))*Assumptions!$B$6)</f>
        <v>67.5</v>
      </c>
      <c r="AP59" s="2" t="str">
        <f aca="false">IF(AO59&gt;=Assumptions!$B$9,"High",IF(AO59&gt;=Assumptions!$B$10,"Medium","Low"))</f>
        <v>Medium</v>
      </c>
      <c r="AQ59" s="10" t="b">
        <f aca="false">OR((E59&lt;=Assumptions!$B$8)&lt;&gt;((P59/(P59+Q59)*100)&lt;=Assumptions!$B$8),AM59&lt;&gt;AN59,G59&lt;&gt;AP59)</f>
        <v>0</v>
      </c>
      <c r="AR59" s="2" t="str">
        <f aca="false">IF(AP59&lt;&gt;"Low","Broker-Reliant",IF(B59="Account Managed","AM-Owned / Self-Serving","Self-Serve"))</f>
        <v>Broker-Reliant</v>
      </c>
      <c r="AS59" s="2" t="str">
        <f aca="false">IF(AR59="Broker-Reliant",IF(J59="Tail","5. Cost-to-Serve / Low-Touch",IF(OR(N59="Growing",N59="Stable"),"1. Migration Candidate",IF(N59="Declining","2. Protect / Retain First",IF(N59="Lapsed","3. Win-Back / Verify",IF(N59="H2 Active / No H1 GMV","4. Establish / Re-establish / Observe","UNASSIGNED"))))),IF(AP59="Low",IF(J59="Tail","9. Long-Tail Automated Nurture",IF(OR(N59="Growing",N59="Stable"),"6. Growth Opportunity",IF(N59="H2 Active / No H1 GMV","7. Onboard / Re-engage / Learn",IF(OR(N59="Declining",N59="Lapsed"),"8. Retention / Reactivation","UNASSIGNED")))),"UNASSIGNED"))</f>
        <v>1. Migration Candidate</v>
      </c>
      <c r="AT59" s="10" t="b">
        <f aca="false">AS59&lt;&gt;T59</f>
        <v>0</v>
      </c>
      <c r="AU59" s="2" t="str">
        <f aca="false">IF(NOT(U59),"Not Eligible",IF(OR(AQ59,AH59,AK59,NOT(AND(W59&gt;=Assumptions!$B$83,O59&gt;=Assumptions!$B$84))),"Manual Review","Ready"))</f>
        <v>Manual Review</v>
      </c>
      <c r="AV59" s="2" t="str">
        <f aca="false">IF(AG59,"Key account - human sign-off required; ","")&amp;IF(AH59,"Borderline momentum; ","")&amp;IF(AK59,"February-sensitive ("&amp;N59&amp;" -&gt; "&amp;AJ59&amp;"); ","")&amp;IF(AL59="One-Off / Insufficient History — Verify","Lapsed on thin history - verify; ","")&amp;IF(AQ59,"Material broker % inconsistency (implied tier "&amp;AP59&amp;"); ","")&amp;IF(AT59,"Implied broker % would move segment to "&amp;AS59&amp;"; ","")</f>
        <v>February-sensitive (Growing -&gt; Lapsed); </v>
      </c>
      <c r="AW59" s="10" t="b">
        <f aca="false">AND(G59="Low",J59="Tail",I59&gt;=Assumptions!$B$64,O59&gt;=Assumptions!$B$65,OR(N59="Growing",N59="Stable",AND(N59="H2 Active / No H1 GMV",W59&gt;=2)),OR(R59&gt;=Assumptions!$B$66,S59&gt;=Assumptions!$B$67))</f>
        <v>0</v>
      </c>
    </row>
    <row r="60" customFormat="false" ht="15" hidden="false" customHeight="false" outlineLevel="0" collapsed="false">
      <c r="A60" s="2" t="s">
        <v>293</v>
      </c>
      <c r="B60" s="2" t="s">
        <v>1571</v>
      </c>
      <c r="C60" s="2" t="s">
        <v>1572</v>
      </c>
      <c r="D60" s="2" t="n">
        <v>21</v>
      </c>
      <c r="E60" s="2" t="n">
        <v>75</v>
      </c>
      <c r="F60" s="21" t="n">
        <f aca="false">INDEX('Scored Accounts'!$Q$2:$Q$301,MATCH($A60,'Scored Accounts'!$A$2:$A$301,0))</f>
        <v>82.5</v>
      </c>
      <c r="G60" s="2" t="str">
        <f aca="false">INDEX('Scored Accounts'!$R$2:$R$301,MATCH($A60,'Scored Accounts'!$A$2:$A$301,0))</f>
        <v>High</v>
      </c>
      <c r="H60" s="2" t="str">
        <f aca="false">IF(OR(G60="High",G60="Medium"),"Broker-Reliant",IF(AND(G60="Low",B60="Account Managed"),"AM-Owned / Self-Serving",IF(AND(G60="Low",B60="Self Serve"),"Self-Serve","UNASSIGNED")))</f>
        <v>Broker-Reliant</v>
      </c>
      <c r="I60" s="9" t="n">
        <v>2262</v>
      </c>
      <c r="J60" s="2" t="str">
        <f aca="false">IF(I60&gt;=Assumptions!$B$35,"Key",IF(I60&gt;=Assumptions!$B$34,"Core","Tail"))</f>
        <v>Core</v>
      </c>
      <c r="K60" s="9" t="n">
        <f aca="false">INDEX('Commercial View'!$R$2:$R$301,MATCH($A60,'Commercial View'!$A$2:$A$301,0))</f>
        <v>1268</v>
      </c>
      <c r="L60" s="9" t="n">
        <f aca="false">INDEX('Commercial View'!$S$2:$S$301,MATCH($A60,'Commercial View'!$A$2:$A$301,0))</f>
        <v>995</v>
      </c>
      <c r="M60" s="17" t="n">
        <f aca="false">INDEX('Commercial View'!$T$2:$T$301,MATCH($A60,'Commercial View'!$A$2:$A$301,0))</f>
        <v>-0.215299684542587</v>
      </c>
      <c r="N60" s="2" t="str">
        <f aca="false">INDEX('Commercial View'!$U$2:$U$301,MATCH($A60,'Commercial View'!$A$2:$A$301,0))</f>
        <v>Declining</v>
      </c>
      <c r="O60" s="2" t="n">
        <v>3</v>
      </c>
      <c r="P60" s="2" t="n">
        <v>2</v>
      </c>
      <c r="Q60" s="2" t="n">
        <v>1</v>
      </c>
      <c r="R60" s="2" t="n">
        <v>1</v>
      </c>
      <c r="S60" s="2" t="n">
        <v>1</v>
      </c>
      <c r="T60" s="2" t="str">
        <f aca="false">IF(H60="Broker-Reliant",IF(J60="Tail","5. Cost-to-Serve / Low-Touch",IF(OR(N60="Growing",N60="Stable"),"1. Migration Candidate",IF(N60="Declining","2. Protect / Retain First",IF(N60="Lapsed","3. Win-Back / Verify",IF(N60="H2 Active / No H1 GMV","4. Establish / Re-establish / Observe","UNASSIGNED"))))),IF(G60="Low",IF(J60="Tail","9. Long-Tail Automated Nurture",IF(OR(N60="Growing",N60="Stable"),"6. Growth Opportunity",IF(N60="H2 Active / No H1 GMV","7. Onboard / Re-engage / Learn",IF(OR(N60="Declining",N60="Lapsed"),"8. Retention / Reactivation","UNASSIGNED")))),"UNASSIGNED"))</f>
        <v>2. Protect / Retain First</v>
      </c>
      <c r="U60" s="10" t="b">
        <f aca="false">AND(T60="1. Migration Candidate",J60="Core",O60&gt;=Assumptions!$B$39,Q60&gt;=Assumptions!$B$40,NOT(Z60))</f>
        <v>0</v>
      </c>
      <c r="V60" s="2" t="n">
        <f aca="false">(AND(H60="Broker-Reliant",J60&lt;&gt;"Tail",OR(N60="Growing",N60="Stable")))*1+(AND(H60="Broker-Reliant",J60&lt;&gt;"Tail",N60="Declining"))*1+(AND(H60="Broker-Reliant",J60&lt;&gt;"Tail",N60="Lapsed"))*1+(AND(H60="Broker-Reliant",J60&lt;&gt;"Tail",N60="H2 Active / No H1 GMV"))*1+(AND(H60="Broker-Reliant",J60="Tail"))*1+(AND(G60="Low",J60&lt;&gt;"Tail",OR(N60="Growing",N60="Stable")))*1+(AND(G60="Low",J60&lt;&gt;"Tail",N60="H2 Active / No H1 GMV"))*1+(AND(G60="Low",J60&lt;&gt;"Tail",OR(N60="Declining",N60="Lapsed")))*1+(AND(G60="Low",J60="Tail"))*1</f>
        <v>1</v>
      </c>
      <c r="W60" s="2" t="n">
        <f aca="false">INDEX('Commercial View'!$V$2:$V$301,MATCH($A60,'Commercial View'!$A$2:$A$301,0))</f>
        <v>3</v>
      </c>
      <c r="X60" s="10" t="b">
        <f aca="false">O60&lt;=Assumptions!$B$30</f>
        <v>0</v>
      </c>
      <c r="Y60" s="10" t="b">
        <f aca="false">W60&lt;=1</f>
        <v>0</v>
      </c>
      <c r="Z60" s="10" t="b">
        <f aca="false">C60="Duplicate"</f>
        <v>0</v>
      </c>
      <c r="AA60" s="10" t="b">
        <f aca="false">C60=""</f>
        <v>0</v>
      </c>
      <c r="AB60" s="2" t="n">
        <f aca="false">IF(P60+Q60&gt;0,ROUND(P60/(P60+Q60)*100,0),"")</f>
        <v>67</v>
      </c>
      <c r="AC60" s="2" t="n">
        <f aca="false">IF(P60+Q60&gt;0,ROUND(E60-P60/(P60+Q60)*100,0),"")</f>
        <v>8</v>
      </c>
      <c r="AD60" s="10" t="b">
        <f aca="false">IF(AC60="",FALSE(),ABS(AC60)&gt;Assumptions!$B$41)</f>
        <v>0</v>
      </c>
      <c r="AE60" s="2" t="str">
        <f aca="false">IF(X60,"Low confidence (&lt;=2 orders); ","")&amp;IF(Y60,"Single-month history; ","")&amp;IF(Z60,"CRITICAL: Duplicate status; ","")&amp;IF(AA60,"Missing status; ","")&amp;IF(AD60,"Broker % vs counts gap "&amp;TEXT(AC60,"+0;-0")&amp;"pts; ","")</f>
        <v/>
      </c>
      <c r="AF60" s="2" t="str">
        <f aca="false">IF(AND(K60=0,L60&gt;0),IF(D60&lt;=Assumptions!$B$47,"New Customer","Returned Customer"),"Existing Customer")</f>
        <v>Existing Customer</v>
      </c>
      <c r="AG60" s="10" t="b">
        <f aca="false">AND(T60="1. Migration Candidate",J60="Key")</f>
        <v>0</v>
      </c>
      <c r="AH60" s="10" t="b">
        <f aca="false">IF(AND(K60&gt;0,L60&gt;0),OR(ABS(M60-Assumptions!$B$36)&lt;=Assumptions!$B$46,ABS(M60+Assumptions!$B$36)&lt;=Assumptions!$B$46),FALSE())</f>
        <v>1</v>
      </c>
      <c r="AI60" s="9" t="n">
        <f aca="false">INDEX('Commercial View'!$L$2:$L$301,MATCH($A60,'Commercial View'!$A$2:$A$301,0))+INDEX('Commercial View'!$M$2:$M$301,MATCH($A60,'Commercial View'!$A$2:$A$301,0))</f>
        <v>995</v>
      </c>
      <c r="AJ60" s="2" t="str">
        <f aca="false">IF(AND(K60=0,AI60=0),"No activity ex-Feb",IF(AI60=0,"Lapsed",IF(K60=0,"H2 Active / No H1 GMV",IF((AI60/2)/(K60/3)-1&gt;=Assumptions!$B$36,"Growing",IF((AI60/2)/(K60/3)-1&lt;-Assumptions!$B$36,"Declining","Stable")))))</f>
        <v>Stable</v>
      </c>
      <c r="AK60" s="10" t="b">
        <f aca="false">IF(OR(N60="Growing",N60="Stable"),"Healthy",N60)&lt;&gt;IF(OR(AJ60="Growing",AJ60="Stable"),"Healthy",AJ60)</f>
        <v>1</v>
      </c>
      <c r="AL60" s="2" t="str">
        <f aca="false">IF(N60="Lapsed",IF(OR(O60&lt;=Assumptions!$B$48,W60&lt;=Assumptions!$B$49),"One-Off / Insufficient History — Verify","Established Buyer Lapsed"),"N/A")</f>
        <v>N/A</v>
      </c>
      <c r="AM60" s="2" t="n">
        <f aca="false">INDEX('Scored Accounts'!$M$2:$M$301,MATCH($A60,'Scored Accounts'!$A$2:$A$301,0))</f>
        <v>75</v>
      </c>
      <c r="AN60" s="2" t="n">
        <f aca="false">IF((P60/(P60+Q60)*100)&lt;=Assumptions!$B$13,0,IF((P60/(P60+Q60)*100)&lt;Assumptions!$B$14,25,IF((P60/(P60+Q60)*100)&lt;Assumptions!$B$15,50,IF((P60/(P60+Q60)*100)&lt;Assumptions!$B$16,75,100))))</f>
        <v>75</v>
      </c>
      <c r="AO60" s="21" t="n">
        <f aca="false">IF((P60/(P60+Q60)*100)&lt;=Assumptions!$B$8,0,AN60*Assumptions!$B$4+INDEX('Scored Accounts'!$N$2:$N$301,MATCH($A60,'Scored Accounts'!$A$2:$A$301,0))*Assumptions!$B$5+INDEX('Scored Accounts'!$O$2:$O$301,MATCH($A60,'Scored Accounts'!$A$2:$A$301,0))*Assumptions!$B$6)</f>
        <v>82.5</v>
      </c>
      <c r="AP60" s="2" t="str">
        <f aca="false">IF(AO60&gt;=Assumptions!$B$9,"High",IF(AO60&gt;=Assumptions!$B$10,"Medium","Low"))</f>
        <v>High</v>
      </c>
      <c r="AQ60" s="10" t="b">
        <f aca="false">OR((E60&lt;=Assumptions!$B$8)&lt;&gt;((P60/(P60+Q60)*100)&lt;=Assumptions!$B$8),AM60&lt;&gt;AN60,G60&lt;&gt;AP60)</f>
        <v>0</v>
      </c>
      <c r="AR60" s="2" t="str">
        <f aca="false">IF(AP60&lt;&gt;"Low","Broker-Reliant",IF(B60="Account Managed","AM-Owned / Self-Serving","Self-Serve"))</f>
        <v>Broker-Reliant</v>
      </c>
      <c r="AS60" s="2" t="str">
        <f aca="false">IF(AR60="Broker-Reliant",IF(J60="Tail","5. Cost-to-Serve / Low-Touch",IF(OR(N60="Growing",N60="Stable"),"1. Migration Candidate",IF(N60="Declining","2. Protect / Retain First",IF(N60="Lapsed","3. Win-Back / Verify",IF(N60="H2 Active / No H1 GMV","4. Establish / Re-establish / Observe","UNASSIGNED"))))),IF(AP60="Low",IF(J60="Tail","9. Long-Tail Automated Nurture",IF(OR(N60="Growing",N60="Stable"),"6. Growth Opportunity",IF(N60="H2 Active / No H1 GMV","7. Onboard / Re-engage / Learn",IF(OR(N60="Declining",N60="Lapsed"),"8. Retention / Reactivation","UNASSIGNED")))),"UNASSIGNED"))</f>
        <v>2. Protect / Retain First</v>
      </c>
      <c r="AT60" s="10" t="b">
        <f aca="false">AS60&lt;&gt;T60</f>
        <v>0</v>
      </c>
      <c r="AU60" s="2" t="str">
        <f aca="false">IF(NOT(U60),"Not Eligible",IF(OR(AQ60,AH60,AK60,NOT(AND(W60&gt;=Assumptions!$B$83,O60&gt;=Assumptions!$B$84))),"Manual Review","Ready"))</f>
        <v>Not Eligible</v>
      </c>
      <c r="AV60" s="2" t="str">
        <f aca="false">IF(AG60,"Key account - human sign-off required; ","")&amp;IF(AH60,"Borderline momentum; ","")&amp;IF(AK60,"February-sensitive ("&amp;N60&amp;" -&gt; "&amp;AJ60&amp;"); ","")&amp;IF(AL60="One-Off / Insufficient History — Verify","Lapsed on thin history - verify; ","")&amp;IF(AQ60,"Material broker % inconsistency (implied tier "&amp;AP60&amp;"); ","")&amp;IF(AT60,"Implied broker % would move segment to "&amp;AS60&amp;"; ","")</f>
        <v>Borderline momentum; February-sensitive (Declining -&gt; Stable); </v>
      </c>
      <c r="AW60" s="10" t="b">
        <f aca="false">AND(G60="Low",J60="Tail",I60&gt;=Assumptions!$B$64,O60&gt;=Assumptions!$B$65,OR(N60="Growing",N60="Stable",AND(N60="H2 Active / No H1 GMV",W60&gt;=2)),OR(R60&gt;=Assumptions!$B$66,S60&gt;=Assumptions!$B$67))</f>
        <v>0</v>
      </c>
    </row>
    <row r="61" customFormat="false" ht="15" hidden="false" customHeight="false" outlineLevel="0" collapsed="false">
      <c r="A61" s="2" t="s">
        <v>297</v>
      </c>
      <c r="B61" s="2" t="s">
        <v>1571</v>
      </c>
      <c r="C61" s="2" t="s">
        <v>1572</v>
      </c>
      <c r="D61" s="2" t="n">
        <v>28</v>
      </c>
      <c r="E61" s="2" t="n">
        <v>80</v>
      </c>
      <c r="F61" s="21" t="n">
        <f aca="false">INDEX('Scored Accounts'!$Q$2:$Q$301,MATCH($A61,'Scored Accounts'!$A$2:$A$301,0))</f>
        <v>95</v>
      </c>
      <c r="G61" s="2" t="str">
        <f aca="false">INDEX('Scored Accounts'!$R$2:$R$301,MATCH($A61,'Scored Accounts'!$A$2:$A$301,0))</f>
        <v>High</v>
      </c>
      <c r="H61" s="2" t="str">
        <f aca="false">IF(OR(G61="High",G61="Medium"),"Broker-Reliant",IF(AND(G61="Low",B61="Account Managed"),"AM-Owned / Self-Serving",IF(AND(G61="Low",B61="Self Serve"),"Self-Serve","UNASSIGNED")))</f>
        <v>Broker-Reliant</v>
      </c>
      <c r="I61" s="9" t="n">
        <v>2214</v>
      </c>
      <c r="J61" s="2" t="str">
        <f aca="false">IF(I61&gt;=Assumptions!$B$35,"Key",IF(I61&gt;=Assumptions!$B$34,"Core","Tail"))</f>
        <v>Core</v>
      </c>
      <c r="K61" s="9" t="n">
        <f aca="false">INDEX('Commercial View'!$R$2:$R$301,MATCH($A61,'Commercial View'!$A$2:$A$301,0))</f>
        <v>2214</v>
      </c>
      <c r="L61" s="9" t="n">
        <f aca="false">INDEX('Commercial View'!$S$2:$S$301,MATCH($A61,'Commercial View'!$A$2:$A$301,0))</f>
        <v>0</v>
      </c>
      <c r="M61" s="17" t="n">
        <f aca="false">INDEX('Commercial View'!$T$2:$T$301,MATCH($A61,'Commercial View'!$A$2:$A$301,0))</f>
        <v>-1</v>
      </c>
      <c r="N61" s="2" t="str">
        <f aca="false">INDEX('Commercial View'!$U$2:$U$301,MATCH($A61,'Commercial View'!$A$2:$A$301,0))</f>
        <v>Lapsed</v>
      </c>
      <c r="O61" s="2" t="n">
        <v>3</v>
      </c>
      <c r="P61" s="2" t="n">
        <v>2</v>
      </c>
      <c r="Q61" s="2" t="n">
        <v>1</v>
      </c>
      <c r="R61" s="2" t="n">
        <v>4</v>
      </c>
      <c r="S61" s="2" t="n">
        <v>1</v>
      </c>
      <c r="T61" s="2" t="str">
        <f aca="false">IF(H61="Broker-Reliant",IF(J61="Tail","5. Cost-to-Serve / Low-Touch",IF(OR(N61="Growing",N61="Stable"),"1. Migration Candidate",IF(N61="Declining","2. Protect / Retain First",IF(N61="Lapsed","3. Win-Back / Verify",IF(N61="H2 Active / No H1 GMV","4. Establish / Re-establish / Observe","UNASSIGNED"))))),IF(G61="Low",IF(J61="Tail","9. Long-Tail Automated Nurture",IF(OR(N61="Growing",N61="Stable"),"6. Growth Opportunity",IF(N61="H2 Active / No H1 GMV","7. Onboard / Re-engage / Learn",IF(OR(N61="Declining",N61="Lapsed"),"8. Retention / Reactivation","UNASSIGNED")))),"UNASSIGNED"))</f>
        <v>3. Win-Back / Verify</v>
      </c>
      <c r="U61" s="10" t="b">
        <f aca="false">AND(T61="1. Migration Candidate",J61="Core",O61&gt;=Assumptions!$B$39,Q61&gt;=Assumptions!$B$40,NOT(Z61))</f>
        <v>0</v>
      </c>
      <c r="V61" s="2" t="n">
        <f aca="false">(AND(H61="Broker-Reliant",J61&lt;&gt;"Tail",OR(N61="Growing",N61="Stable")))*1+(AND(H61="Broker-Reliant",J61&lt;&gt;"Tail",N61="Declining"))*1+(AND(H61="Broker-Reliant",J61&lt;&gt;"Tail",N61="Lapsed"))*1+(AND(H61="Broker-Reliant",J61&lt;&gt;"Tail",N61="H2 Active / No H1 GMV"))*1+(AND(H61="Broker-Reliant",J61="Tail"))*1+(AND(G61="Low",J61&lt;&gt;"Tail",OR(N61="Growing",N61="Stable")))*1+(AND(G61="Low",J61&lt;&gt;"Tail",N61="H2 Active / No H1 GMV"))*1+(AND(G61="Low",J61&lt;&gt;"Tail",OR(N61="Declining",N61="Lapsed")))*1+(AND(G61="Low",J61="Tail"))*1</f>
        <v>1</v>
      </c>
      <c r="W61" s="2" t="n">
        <f aca="false">INDEX('Commercial View'!$V$2:$V$301,MATCH($A61,'Commercial View'!$A$2:$A$301,0))</f>
        <v>1</v>
      </c>
      <c r="X61" s="10" t="b">
        <f aca="false">O61&lt;=Assumptions!$B$30</f>
        <v>0</v>
      </c>
      <c r="Y61" s="10" t="b">
        <f aca="false">W61&lt;=1</f>
        <v>1</v>
      </c>
      <c r="Z61" s="10" t="b">
        <f aca="false">C61="Duplicate"</f>
        <v>0</v>
      </c>
      <c r="AA61" s="10" t="b">
        <f aca="false">C61=""</f>
        <v>0</v>
      </c>
      <c r="AB61" s="2" t="n">
        <f aca="false">IF(P61+Q61&gt;0,ROUND(P61/(P61+Q61)*100,0),"")</f>
        <v>67</v>
      </c>
      <c r="AC61" s="2" t="n">
        <f aca="false">IF(P61+Q61&gt;0,ROUND(E61-P61/(P61+Q61)*100,0),"")</f>
        <v>13</v>
      </c>
      <c r="AD61" s="10" t="b">
        <f aca="false">IF(AC61="",FALSE(),ABS(AC61)&gt;Assumptions!$B$41)</f>
        <v>1</v>
      </c>
      <c r="AE61" s="2" t="str">
        <f aca="false">IF(X61,"Low confidence (&lt;=2 orders); ","")&amp;IF(Y61,"Single-month history; ","")&amp;IF(Z61,"CRITICAL: Duplicate status; ","")&amp;IF(AA61,"Missing status; ","")&amp;IF(AD61,"Broker % vs counts gap "&amp;TEXT(AC61,"+0;-0")&amp;"pts; ","")</f>
        <v>Single-month history; Broker % vs counts gap +13pts; </v>
      </c>
      <c r="AF61" s="2" t="str">
        <f aca="false">IF(AND(K61=0,L61&gt;0),IF(D61&lt;=Assumptions!$B$47,"New Customer","Returned Customer"),"Existing Customer")</f>
        <v>Existing Customer</v>
      </c>
      <c r="AG61" s="10" t="b">
        <f aca="false">AND(T61="1. Migration Candidate",J61="Key")</f>
        <v>0</v>
      </c>
      <c r="AH61" s="10" t="b">
        <f aca="false">IF(AND(K61&gt;0,L61&gt;0),OR(ABS(M61-Assumptions!$B$36)&lt;=Assumptions!$B$46,ABS(M61+Assumptions!$B$36)&lt;=Assumptions!$B$46),FALSE())</f>
        <v>0</v>
      </c>
      <c r="AI61" s="9" t="n">
        <f aca="false">INDEX('Commercial View'!$L$2:$L$301,MATCH($A61,'Commercial View'!$A$2:$A$301,0))+INDEX('Commercial View'!$M$2:$M$301,MATCH($A61,'Commercial View'!$A$2:$A$301,0))</f>
        <v>0</v>
      </c>
      <c r="AJ61" s="2" t="str">
        <f aca="false">IF(AND(K61=0,AI61=0),"No activity ex-Feb",IF(AI61=0,"Lapsed",IF(K61=0,"H2 Active / No H1 GMV",IF((AI61/2)/(K61/3)-1&gt;=Assumptions!$B$36,"Growing",IF((AI61/2)/(K61/3)-1&lt;-Assumptions!$B$36,"Declining","Stable")))))</f>
        <v>Lapsed</v>
      </c>
      <c r="AK61" s="10" t="b">
        <f aca="false">IF(OR(N61="Growing",N61="Stable"),"Healthy",N61)&lt;&gt;IF(OR(AJ61="Growing",AJ61="Stable"),"Healthy",AJ61)</f>
        <v>0</v>
      </c>
      <c r="AL61" s="2" t="str">
        <f aca="false">IF(N61="Lapsed",IF(OR(O61&lt;=Assumptions!$B$48,W61&lt;=Assumptions!$B$49),"One-Off / Insufficient History — Verify","Established Buyer Lapsed"),"N/A")</f>
        <v>One-Off / Insufficient History — Verify</v>
      </c>
      <c r="AM61" s="2" t="n">
        <f aca="false">INDEX('Scored Accounts'!$M$2:$M$301,MATCH($A61,'Scored Accounts'!$A$2:$A$301,0))</f>
        <v>100</v>
      </c>
      <c r="AN61" s="2" t="n">
        <f aca="false">IF((P61/(P61+Q61)*100)&lt;=Assumptions!$B$13,0,IF((P61/(P61+Q61)*100)&lt;Assumptions!$B$14,25,IF((P61/(P61+Q61)*100)&lt;Assumptions!$B$15,50,IF((P61/(P61+Q61)*100)&lt;Assumptions!$B$16,75,100))))</f>
        <v>75</v>
      </c>
      <c r="AO61" s="21" t="n">
        <f aca="false">IF((P61/(P61+Q61)*100)&lt;=Assumptions!$B$8,0,AN61*Assumptions!$B$4+INDEX('Scored Accounts'!$N$2:$N$301,MATCH($A61,'Scored Accounts'!$A$2:$A$301,0))*Assumptions!$B$5+INDEX('Scored Accounts'!$O$2:$O$301,MATCH($A61,'Scored Accounts'!$A$2:$A$301,0))*Assumptions!$B$6)</f>
        <v>82.5</v>
      </c>
      <c r="AP61" s="2" t="str">
        <f aca="false">IF(AO61&gt;=Assumptions!$B$9,"High",IF(AO61&gt;=Assumptions!$B$10,"Medium","Low"))</f>
        <v>High</v>
      </c>
      <c r="AQ61" s="10" t="b">
        <f aca="false">OR((E61&lt;=Assumptions!$B$8)&lt;&gt;((P61/(P61+Q61)*100)&lt;=Assumptions!$B$8),AM61&lt;&gt;AN61,G61&lt;&gt;AP61)</f>
        <v>1</v>
      </c>
      <c r="AR61" s="2" t="str">
        <f aca="false">IF(AP61&lt;&gt;"Low","Broker-Reliant",IF(B61="Account Managed","AM-Owned / Self-Serving","Self-Serve"))</f>
        <v>Broker-Reliant</v>
      </c>
      <c r="AS61" s="2" t="str">
        <f aca="false">IF(AR61="Broker-Reliant",IF(J61="Tail","5. Cost-to-Serve / Low-Touch",IF(OR(N61="Growing",N61="Stable"),"1. Migration Candidate",IF(N61="Declining","2. Protect / Retain First",IF(N61="Lapsed","3. Win-Back / Verify",IF(N61="H2 Active / No H1 GMV","4. Establish / Re-establish / Observe","UNASSIGNED"))))),IF(AP61="Low",IF(J61="Tail","9. Long-Tail Automated Nurture",IF(OR(N61="Growing",N61="Stable"),"6. Growth Opportunity",IF(N61="H2 Active / No H1 GMV","7. Onboard / Re-engage / Learn",IF(OR(N61="Declining",N61="Lapsed"),"8. Retention / Reactivation","UNASSIGNED")))),"UNASSIGNED"))</f>
        <v>3. Win-Back / Verify</v>
      </c>
      <c r="AT61" s="10" t="b">
        <f aca="false">AS61&lt;&gt;T61</f>
        <v>0</v>
      </c>
      <c r="AU61" s="2" t="str">
        <f aca="false">IF(NOT(U61),"Not Eligible",IF(OR(AQ61,AH61,AK61,NOT(AND(W61&gt;=Assumptions!$B$83,O61&gt;=Assumptions!$B$84))),"Manual Review","Ready"))</f>
        <v>Not Eligible</v>
      </c>
      <c r="AV61" s="2" t="str">
        <f aca="false">IF(AG61,"Key account - human sign-off required; ","")&amp;IF(AH61,"Borderline momentum; ","")&amp;IF(AK61,"February-sensitive ("&amp;N61&amp;" -&gt; "&amp;AJ61&amp;"); ","")&amp;IF(AL61="One-Off / Insufficient History — Verify","Lapsed on thin history - verify; ","")&amp;IF(AQ61,"Material broker % inconsistency (implied tier "&amp;AP61&amp;"); ","")&amp;IF(AT61,"Implied broker % would move segment to "&amp;AS61&amp;"; ","")</f>
        <v>Lapsed on thin history - verify; Material broker % inconsistency (implied tier High); </v>
      </c>
      <c r="AW61" s="10" t="b">
        <f aca="false">AND(G61="Low",J61="Tail",I61&gt;=Assumptions!$B$64,O61&gt;=Assumptions!$B$65,OR(N61="Growing",N61="Stable",AND(N61="H2 Active / No H1 GMV",W61&gt;=2)),OR(R61&gt;=Assumptions!$B$66,S61&gt;=Assumptions!$B$67))</f>
        <v>0</v>
      </c>
    </row>
    <row r="62" customFormat="false" ht="15" hidden="false" customHeight="false" outlineLevel="0" collapsed="false">
      <c r="A62" s="2" t="s">
        <v>301</v>
      </c>
      <c r="B62" s="2" t="s">
        <v>1571</v>
      </c>
      <c r="C62" s="2" t="s">
        <v>1572</v>
      </c>
      <c r="D62" s="2" t="n">
        <v>7</v>
      </c>
      <c r="E62" s="2" t="n">
        <v>63</v>
      </c>
      <c r="F62" s="21" t="n">
        <f aca="false">INDEX('Scored Accounts'!$Q$2:$Q$301,MATCH($A62,'Scored Accounts'!$A$2:$A$301,0))</f>
        <v>82.5</v>
      </c>
      <c r="G62" s="2" t="str">
        <f aca="false">INDEX('Scored Accounts'!$R$2:$R$301,MATCH($A62,'Scored Accounts'!$A$2:$A$301,0))</f>
        <v>High</v>
      </c>
      <c r="H62" s="2" t="str">
        <f aca="false">IF(OR(G62="High",G62="Medium"),"Broker-Reliant",IF(AND(G62="Low",B62="Account Managed"),"AM-Owned / Self-Serving",IF(AND(G62="Low",B62="Self Serve"),"Self-Serve","UNASSIGNED")))</f>
        <v>Broker-Reliant</v>
      </c>
      <c r="I62" s="9" t="n">
        <v>2116</v>
      </c>
      <c r="J62" s="2" t="str">
        <f aca="false">IF(I62&gt;=Assumptions!$B$35,"Key",IF(I62&gt;=Assumptions!$B$34,"Core","Tail"))</f>
        <v>Core</v>
      </c>
      <c r="K62" s="9" t="n">
        <f aca="false">INDEX('Commercial View'!$R$2:$R$301,MATCH($A62,'Commercial View'!$A$2:$A$301,0))</f>
        <v>1553</v>
      </c>
      <c r="L62" s="9" t="n">
        <f aca="false">INDEX('Commercial View'!$S$2:$S$301,MATCH($A62,'Commercial View'!$A$2:$A$301,0))</f>
        <v>563</v>
      </c>
      <c r="M62" s="17" t="n">
        <f aca="false">INDEX('Commercial View'!$T$2:$T$301,MATCH($A62,'Commercial View'!$A$2:$A$301,0))</f>
        <v>-0.637475853187379</v>
      </c>
      <c r="N62" s="2" t="str">
        <f aca="false">INDEX('Commercial View'!$U$2:$U$301,MATCH($A62,'Commercial View'!$A$2:$A$301,0))</f>
        <v>Declining</v>
      </c>
      <c r="O62" s="2" t="n">
        <v>4</v>
      </c>
      <c r="P62" s="2" t="n">
        <v>3</v>
      </c>
      <c r="Q62" s="2" t="n">
        <v>1</v>
      </c>
      <c r="R62" s="2" t="n">
        <v>3</v>
      </c>
      <c r="S62" s="2" t="n">
        <v>1</v>
      </c>
      <c r="T62" s="2" t="str">
        <f aca="false">IF(H62="Broker-Reliant",IF(J62="Tail","5. Cost-to-Serve / Low-Touch",IF(OR(N62="Growing",N62="Stable"),"1. Migration Candidate",IF(N62="Declining","2. Protect / Retain First",IF(N62="Lapsed","3. Win-Back / Verify",IF(N62="H2 Active / No H1 GMV","4. Establish / Re-establish / Observe","UNASSIGNED"))))),IF(G62="Low",IF(J62="Tail","9. Long-Tail Automated Nurture",IF(OR(N62="Growing",N62="Stable"),"6. Growth Opportunity",IF(N62="H2 Active / No H1 GMV","7. Onboard / Re-engage / Learn",IF(OR(N62="Declining",N62="Lapsed"),"8. Retention / Reactivation","UNASSIGNED")))),"UNASSIGNED"))</f>
        <v>2. Protect / Retain First</v>
      </c>
      <c r="U62" s="10" t="b">
        <f aca="false">AND(T62="1. Migration Candidate",J62="Core",O62&gt;=Assumptions!$B$39,Q62&gt;=Assumptions!$B$40,NOT(Z62))</f>
        <v>0</v>
      </c>
      <c r="V62" s="2" t="n">
        <f aca="false">(AND(H62="Broker-Reliant",J62&lt;&gt;"Tail",OR(N62="Growing",N62="Stable")))*1+(AND(H62="Broker-Reliant",J62&lt;&gt;"Tail",N62="Declining"))*1+(AND(H62="Broker-Reliant",J62&lt;&gt;"Tail",N62="Lapsed"))*1+(AND(H62="Broker-Reliant",J62&lt;&gt;"Tail",N62="H2 Active / No H1 GMV"))*1+(AND(H62="Broker-Reliant",J62="Tail"))*1+(AND(G62="Low",J62&lt;&gt;"Tail",OR(N62="Growing",N62="Stable")))*1+(AND(G62="Low",J62&lt;&gt;"Tail",N62="H2 Active / No H1 GMV"))*1+(AND(G62="Low",J62&lt;&gt;"Tail",OR(N62="Declining",N62="Lapsed")))*1+(AND(G62="Low",J62="Tail"))*1</f>
        <v>1</v>
      </c>
      <c r="W62" s="2" t="n">
        <f aca="false">INDEX('Commercial View'!$V$2:$V$301,MATCH($A62,'Commercial View'!$A$2:$A$301,0))</f>
        <v>3</v>
      </c>
      <c r="X62" s="10" t="b">
        <f aca="false">O62&lt;=Assumptions!$B$30</f>
        <v>0</v>
      </c>
      <c r="Y62" s="10" t="b">
        <f aca="false">W62&lt;=1</f>
        <v>0</v>
      </c>
      <c r="Z62" s="10" t="b">
        <f aca="false">C62="Duplicate"</f>
        <v>0</v>
      </c>
      <c r="AA62" s="10" t="b">
        <f aca="false">C62=""</f>
        <v>0</v>
      </c>
      <c r="AB62" s="2" t="n">
        <f aca="false">IF(P62+Q62&gt;0,ROUND(P62/(P62+Q62)*100,0),"")</f>
        <v>75</v>
      </c>
      <c r="AC62" s="2" t="n">
        <f aca="false">IF(P62+Q62&gt;0,ROUND(E62-P62/(P62+Q62)*100,0),"")</f>
        <v>-12</v>
      </c>
      <c r="AD62" s="10" t="b">
        <f aca="false">IF(AC62="",FALSE(),ABS(AC62)&gt;Assumptions!$B$41)</f>
        <v>1</v>
      </c>
      <c r="AE62" s="2" t="str">
        <f aca="false">IF(X62,"Low confidence (&lt;=2 orders); ","")&amp;IF(Y62,"Single-month history; ","")&amp;IF(Z62,"CRITICAL: Duplicate status; ","")&amp;IF(AA62,"Missing status; ","")&amp;IF(AD62,"Broker % vs counts gap "&amp;TEXT(AC62,"+0;-0")&amp;"pts; ","")</f>
        <v>Broker % vs counts gap -12pts; </v>
      </c>
      <c r="AF62" s="2" t="str">
        <f aca="false">IF(AND(K62=0,L62&gt;0),IF(D62&lt;=Assumptions!$B$47,"New Customer","Returned Customer"),"Existing Customer")</f>
        <v>Existing Customer</v>
      </c>
      <c r="AG62" s="10" t="b">
        <f aca="false">AND(T62="1. Migration Candidate",J62="Key")</f>
        <v>0</v>
      </c>
      <c r="AH62" s="10" t="b">
        <f aca="false">IF(AND(K62&gt;0,L62&gt;0),OR(ABS(M62-Assumptions!$B$36)&lt;=Assumptions!$B$46,ABS(M62+Assumptions!$B$36)&lt;=Assumptions!$B$46),FALSE())</f>
        <v>0</v>
      </c>
      <c r="AI62" s="9" t="n">
        <f aca="false">INDEX('Commercial View'!$L$2:$L$301,MATCH($A62,'Commercial View'!$A$2:$A$301,0))+INDEX('Commercial View'!$M$2:$M$301,MATCH($A62,'Commercial View'!$A$2:$A$301,0))</f>
        <v>563</v>
      </c>
      <c r="AJ62" s="2" t="str">
        <f aca="false">IF(AND(K62=0,AI62=0),"No activity ex-Feb",IF(AI62=0,"Lapsed",IF(K62=0,"H2 Active / No H1 GMV",IF((AI62/2)/(K62/3)-1&gt;=Assumptions!$B$36,"Growing",IF((AI62/2)/(K62/3)-1&lt;-Assumptions!$B$36,"Declining","Stable")))))</f>
        <v>Declining</v>
      </c>
      <c r="AK62" s="10" t="b">
        <f aca="false">IF(OR(N62="Growing",N62="Stable"),"Healthy",N62)&lt;&gt;IF(OR(AJ62="Growing",AJ62="Stable"),"Healthy",AJ62)</f>
        <v>0</v>
      </c>
      <c r="AL62" s="2" t="str">
        <f aca="false">IF(N62="Lapsed",IF(OR(O62&lt;=Assumptions!$B$48,W62&lt;=Assumptions!$B$49),"One-Off / Insufficient History — Verify","Established Buyer Lapsed"),"N/A")</f>
        <v>N/A</v>
      </c>
      <c r="AM62" s="2" t="n">
        <f aca="false">INDEX('Scored Accounts'!$M$2:$M$301,MATCH($A62,'Scored Accounts'!$A$2:$A$301,0))</f>
        <v>75</v>
      </c>
      <c r="AN62" s="2" t="n">
        <f aca="false">IF((P62/(P62+Q62)*100)&lt;=Assumptions!$B$13,0,IF((P62/(P62+Q62)*100)&lt;Assumptions!$B$14,25,IF((P62/(P62+Q62)*100)&lt;Assumptions!$B$15,50,IF((P62/(P62+Q62)*100)&lt;Assumptions!$B$16,75,100))))</f>
        <v>75</v>
      </c>
      <c r="AO62" s="21" t="n">
        <f aca="false">IF((P62/(P62+Q62)*100)&lt;=Assumptions!$B$8,0,AN62*Assumptions!$B$4+INDEX('Scored Accounts'!$N$2:$N$301,MATCH($A62,'Scored Accounts'!$A$2:$A$301,0))*Assumptions!$B$5+INDEX('Scored Accounts'!$O$2:$O$301,MATCH($A62,'Scored Accounts'!$A$2:$A$301,0))*Assumptions!$B$6)</f>
        <v>82.5</v>
      </c>
      <c r="AP62" s="2" t="str">
        <f aca="false">IF(AO62&gt;=Assumptions!$B$9,"High",IF(AO62&gt;=Assumptions!$B$10,"Medium","Low"))</f>
        <v>High</v>
      </c>
      <c r="AQ62" s="10" t="b">
        <f aca="false">OR((E62&lt;=Assumptions!$B$8)&lt;&gt;((P62/(P62+Q62)*100)&lt;=Assumptions!$B$8),AM62&lt;&gt;AN62,G62&lt;&gt;AP62)</f>
        <v>0</v>
      </c>
      <c r="AR62" s="2" t="str">
        <f aca="false">IF(AP62&lt;&gt;"Low","Broker-Reliant",IF(B62="Account Managed","AM-Owned / Self-Serving","Self-Serve"))</f>
        <v>Broker-Reliant</v>
      </c>
      <c r="AS62" s="2" t="str">
        <f aca="false">IF(AR62="Broker-Reliant",IF(J62="Tail","5. Cost-to-Serve / Low-Touch",IF(OR(N62="Growing",N62="Stable"),"1. Migration Candidate",IF(N62="Declining","2. Protect / Retain First",IF(N62="Lapsed","3. Win-Back / Verify",IF(N62="H2 Active / No H1 GMV","4. Establish / Re-establish / Observe","UNASSIGNED"))))),IF(AP62="Low",IF(J62="Tail","9. Long-Tail Automated Nurture",IF(OR(N62="Growing",N62="Stable"),"6. Growth Opportunity",IF(N62="H2 Active / No H1 GMV","7. Onboard / Re-engage / Learn",IF(OR(N62="Declining",N62="Lapsed"),"8. Retention / Reactivation","UNASSIGNED")))),"UNASSIGNED"))</f>
        <v>2. Protect / Retain First</v>
      </c>
      <c r="AT62" s="10" t="b">
        <f aca="false">AS62&lt;&gt;T62</f>
        <v>0</v>
      </c>
      <c r="AU62" s="2" t="str">
        <f aca="false">IF(NOT(U62),"Not Eligible",IF(OR(AQ62,AH62,AK62,NOT(AND(W62&gt;=Assumptions!$B$83,O62&gt;=Assumptions!$B$84))),"Manual Review","Ready"))</f>
        <v>Not Eligible</v>
      </c>
      <c r="AV62" s="2" t="str">
        <f aca="false">IF(AG62,"Key account - human sign-off required; ","")&amp;IF(AH62,"Borderline momentum; ","")&amp;IF(AK62,"February-sensitive ("&amp;N62&amp;" -&gt; "&amp;AJ62&amp;"); ","")&amp;IF(AL62="One-Off / Insufficient History — Verify","Lapsed on thin history - verify; ","")&amp;IF(AQ62,"Material broker % inconsistency (implied tier "&amp;AP62&amp;"); ","")&amp;IF(AT62,"Implied broker % would move segment to "&amp;AS62&amp;"; ","")</f>
        <v/>
      </c>
      <c r="AW62" s="10" t="b">
        <f aca="false">AND(G62="Low",J62="Tail",I62&gt;=Assumptions!$B$64,O62&gt;=Assumptions!$B$65,OR(N62="Growing",N62="Stable",AND(N62="H2 Active / No H1 GMV",W62&gt;=2)),OR(R62&gt;=Assumptions!$B$66,S62&gt;=Assumptions!$B$67))</f>
        <v>0</v>
      </c>
    </row>
    <row r="63" customFormat="false" ht="15" hidden="false" customHeight="false" outlineLevel="0" collapsed="false">
      <c r="A63" s="2" t="s">
        <v>304</v>
      </c>
      <c r="B63" s="2" t="s">
        <v>1571</v>
      </c>
      <c r="C63" s="2" t="s">
        <v>1572</v>
      </c>
      <c r="D63" s="2" t="n">
        <v>14</v>
      </c>
      <c r="E63" s="2" t="n">
        <v>47</v>
      </c>
      <c r="F63" s="21" t="n">
        <f aca="false">INDEX('Scored Accounts'!$Q$2:$Q$301,MATCH($A63,'Scored Accounts'!$A$2:$A$301,0))</f>
        <v>67.5</v>
      </c>
      <c r="G63" s="2" t="str">
        <f aca="false">INDEX('Scored Accounts'!$R$2:$R$301,MATCH($A63,'Scored Accounts'!$A$2:$A$301,0))</f>
        <v>Medium</v>
      </c>
      <c r="H63" s="2" t="str">
        <f aca="false">IF(OR(G63="High",G63="Medium"),"Broker-Reliant",IF(AND(G63="Low",B63="Account Managed"),"AM-Owned / Self-Serving",IF(AND(G63="Low",B63="Self Serve"),"Self-Serve","UNASSIGNED")))</f>
        <v>Broker-Reliant</v>
      </c>
      <c r="I63" s="9" t="n">
        <v>2031</v>
      </c>
      <c r="J63" s="2" t="str">
        <f aca="false">IF(I63&gt;=Assumptions!$B$35,"Key",IF(I63&gt;=Assumptions!$B$34,"Core","Tail"))</f>
        <v>Core</v>
      </c>
      <c r="K63" s="9" t="n">
        <f aca="false">INDEX('Commercial View'!$R$2:$R$301,MATCH($A63,'Commercial View'!$A$2:$A$301,0))</f>
        <v>2031</v>
      </c>
      <c r="L63" s="9" t="n">
        <f aca="false">INDEX('Commercial View'!$S$2:$S$301,MATCH($A63,'Commercial View'!$A$2:$A$301,0))</f>
        <v>0</v>
      </c>
      <c r="M63" s="17" t="n">
        <f aca="false">INDEX('Commercial View'!$T$2:$T$301,MATCH($A63,'Commercial View'!$A$2:$A$301,0))</f>
        <v>-1</v>
      </c>
      <c r="N63" s="2" t="str">
        <f aca="false">INDEX('Commercial View'!$U$2:$U$301,MATCH($A63,'Commercial View'!$A$2:$A$301,0))</f>
        <v>Lapsed</v>
      </c>
      <c r="O63" s="2" t="n">
        <v>5</v>
      </c>
      <c r="P63" s="2" t="n">
        <v>2</v>
      </c>
      <c r="Q63" s="2" t="n">
        <v>3</v>
      </c>
      <c r="R63" s="2" t="n">
        <v>6</v>
      </c>
      <c r="S63" s="2" t="n">
        <v>0</v>
      </c>
      <c r="T63" s="2" t="str">
        <f aca="false">IF(H63="Broker-Reliant",IF(J63="Tail","5. Cost-to-Serve / Low-Touch",IF(OR(N63="Growing",N63="Stable"),"1. Migration Candidate",IF(N63="Declining","2. Protect / Retain First",IF(N63="Lapsed","3. Win-Back / Verify",IF(N63="H2 Active / No H1 GMV","4. Establish / Re-establish / Observe","UNASSIGNED"))))),IF(G63="Low",IF(J63="Tail","9. Long-Tail Automated Nurture",IF(OR(N63="Growing",N63="Stable"),"6. Growth Opportunity",IF(N63="H2 Active / No H1 GMV","7. Onboard / Re-engage / Learn",IF(OR(N63="Declining",N63="Lapsed"),"8. Retention / Reactivation","UNASSIGNED")))),"UNASSIGNED"))</f>
        <v>3. Win-Back / Verify</v>
      </c>
      <c r="U63" s="10" t="b">
        <f aca="false">AND(T63="1. Migration Candidate",J63="Core",O63&gt;=Assumptions!$B$39,Q63&gt;=Assumptions!$B$40,NOT(Z63))</f>
        <v>0</v>
      </c>
      <c r="V63" s="2" t="n">
        <f aca="false">(AND(H63="Broker-Reliant",J63&lt;&gt;"Tail",OR(N63="Growing",N63="Stable")))*1+(AND(H63="Broker-Reliant",J63&lt;&gt;"Tail",N63="Declining"))*1+(AND(H63="Broker-Reliant",J63&lt;&gt;"Tail",N63="Lapsed"))*1+(AND(H63="Broker-Reliant",J63&lt;&gt;"Tail",N63="H2 Active / No H1 GMV"))*1+(AND(H63="Broker-Reliant",J63="Tail"))*1+(AND(G63="Low",J63&lt;&gt;"Tail",OR(N63="Growing",N63="Stable")))*1+(AND(G63="Low",J63&lt;&gt;"Tail",N63="H2 Active / No H1 GMV"))*1+(AND(G63="Low",J63&lt;&gt;"Tail",OR(N63="Declining",N63="Lapsed")))*1+(AND(G63="Low",J63="Tail"))*1</f>
        <v>1</v>
      </c>
      <c r="W63" s="2" t="n">
        <f aca="false">INDEX('Commercial View'!$V$2:$V$301,MATCH($A63,'Commercial View'!$A$2:$A$301,0))</f>
        <v>3</v>
      </c>
      <c r="X63" s="10" t="b">
        <f aca="false">O63&lt;=Assumptions!$B$30</f>
        <v>0</v>
      </c>
      <c r="Y63" s="10" t="b">
        <f aca="false">W63&lt;=1</f>
        <v>0</v>
      </c>
      <c r="Z63" s="10" t="b">
        <f aca="false">C63="Duplicate"</f>
        <v>0</v>
      </c>
      <c r="AA63" s="10" t="b">
        <f aca="false">C63=""</f>
        <v>0</v>
      </c>
      <c r="AB63" s="2" t="n">
        <f aca="false">IF(P63+Q63&gt;0,ROUND(P63/(P63+Q63)*100,0),"")</f>
        <v>40</v>
      </c>
      <c r="AC63" s="2" t="n">
        <f aca="false">IF(P63+Q63&gt;0,ROUND(E63-P63/(P63+Q63)*100,0),"")</f>
        <v>7</v>
      </c>
      <c r="AD63" s="10" t="b">
        <f aca="false">IF(AC63="",FALSE(),ABS(AC63)&gt;Assumptions!$B$41)</f>
        <v>0</v>
      </c>
      <c r="AE63" s="2" t="str">
        <f aca="false">IF(X63,"Low confidence (&lt;=2 orders); ","")&amp;IF(Y63,"Single-month history; ","")&amp;IF(Z63,"CRITICAL: Duplicate status; ","")&amp;IF(AA63,"Missing status; ","")&amp;IF(AD63,"Broker % vs counts gap "&amp;TEXT(AC63,"+0;-0")&amp;"pts; ","")</f>
        <v/>
      </c>
      <c r="AF63" s="2" t="str">
        <f aca="false">IF(AND(K63=0,L63&gt;0),IF(D63&lt;=Assumptions!$B$47,"New Customer","Returned Customer"),"Existing Customer")</f>
        <v>Existing Customer</v>
      </c>
      <c r="AG63" s="10" t="b">
        <f aca="false">AND(T63="1. Migration Candidate",J63="Key")</f>
        <v>0</v>
      </c>
      <c r="AH63" s="10" t="b">
        <f aca="false">IF(AND(K63&gt;0,L63&gt;0),OR(ABS(M63-Assumptions!$B$36)&lt;=Assumptions!$B$46,ABS(M63+Assumptions!$B$36)&lt;=Assumptions!$B$46),FALSE())</f>
        <v>0</v>
      </c>
      <c r="AI63" s="9" t="n">
        <f aca="false">INDEX('Commercial View'!$L$2:$L$301,MATCH($A63,'Commercial View'!$A$2:$A$301,0))+INDEX('Commercial View'!$M$2:$M$301,MATCH($A63,'Commercial View'!$A$2:$A$301,0))</f>
        <v>0</v>
      </c>
      <c r="AJ63" s="2" t="str">
        <f aca="false">IF(AND(K63=0,AI63=0),"No activity ex-Feb",IF(AI63=0,"Lapsed",IF(K63=0,"H2 Active / No H1 GMV",IF((AI63/2)/(K63/3)-1&gt;=Assumptions!$B$36,"Growing",IF((AI63/2)/(K63/3)-1&lt;-Assumptions!$B$36,"Declining","Stable")))))</f>
        <v>Lapsed</v>
      </c>
      <c r="AK63" s="10" t="b">
        <f aca="false">IF(OR(N63="Growing",N63="Stable"),"Healthy",N63)&lt;&gt;IF(OR(AJ63="Growing",AJ63="Stable"),"Healthy",AJ63)</f>
        <v>0</v>
      </c>
      <c r="AL63" s="2" t="str">
        <f aca="false">IF(N63="Lapsed",IF(OR(O63&lt;=Assumptions!$B$48,W63&lt;=Assumptions!$B$49),"One-Off / Insufficient History — Verify","Established Buyer Lapsed"),"N/A")</f>
        <v>Established Buyer Lapsed</v>
      </c>
      <c r="AM63" s="2" t="n">
        <f aca="false">INDEX('Scored Accounts'!$M$2:$M$301,MATCH($A63,'Scored Accounts'!$A$2:$A$301,0))</f>
        <v>50</v>
      </c>
      <c r="AN63" s="2" t="n">
        <f aca="false">IF((P63/(P63+Q63)*100)&lt;=Assumptions!$B$13,0,IF((P63/(P63+Q63)*100)&lt;Assumptions!$B$14,25,IF((P63/(P63+Q63)*100)&lt;Assumptions!$B$15,50,IF((P63/(P63+Q63)*100)&lt;Assumptions!$B$16,75,100))))</f>
        <v>50</v>
      </c>
      <c r="AO63" s="21" t="n">
        <f aca="false">IF((P63/(P63+Q63)*100)&lt;=Assumptions!$B$8,0,AN63*Assumptions!$B$4+INDEX('Scored Accounts'!$N$2:$N$301,MATCH($A63,'Scored Accounts'!$A$2:$A$301,0))*Assumptions!$B$5+INDEX('Scored Accounts'!$O$2:$O$301,MATCH($A63,'Scored Accounts'!$A$2:$A$301,0))*Assumptions!$B$6)</f>
        <v>67.5</v>
      </c>
      <c r="AP63" s="2" t="str">
        <f aca="false">IF(AO63&gt;=Assumptions!$B$9,"High",IF(AO63&gt;=Assumptions!$B$10,"Medium","Low"))</f>
        <v>Medium</v>
      </c>
      <c r="AQ63" s="10" t="b">
        <f aca="false">OR((E63&lt;=Assumptions!$B$8)&lt;&gt;((P63/(P63+Q63)*100)&lt;=Assumptions!$B$8),AM63&lt;&gt;AN63,G63&lt;&gt;AP63)</f>
        <v>0</v>
      </c>
      <c r="AR63" s="2" t="str">
        <f aca="false">IF(AP63&lt;&gt;"Low","Broker-Reliant",IF(B63="Account Managed","AM-Owned / Self-Serving","Self-Serve"))</f>
        <v>Broker-Reliant</v>
      </c>
      <c r="AS63" s="2" t="str">
        <f aca="false">IF(AR63="Broker-Reliant",IF(J63="Tail","5. Cost-to-Serve / Low-Touch",IF(OR(N63="Growing",N63="Stable"),"1. Migration Candidate",IF(N63="Declining","2. Protect / Retain First",IF(N63="Lapsed","3. Win-Back / Verify",IF(N63="H2 Active / No H1 GMV","4. Establish / Re-establish / Observe","UNASSIGNED"))))),IF(AP63="Low",IF(J63="Tail","9. Long-Tail Automated Nurture",IF(OR(N63="Growing",N63="Stable"),"6. Growth Opportunity",IF(N63="H2 Active / No H1 GMV","7. Onboard / Re-engage / Learn",IF(OR(N63="Declining",N63="Lapsed"),"8. Retention / Reactivation","UNASSIGNED")))),"UNASSIGNED"))</f>
        <v>3. Win-Back / Verify</v>
      </c>
      <c r="AT63" s="10" t="b">
        <f aca="false">AS63&lt;&gt;T63</f>
        <v>0</v>
      </c>
      <c r="AU63" s="2" t="str">
        <f aca="false">IF(NOT(U63),"Not Eligible",IF(OR(AQ63,AH63,AK63,NOT(AND(W63&gt;=Assumptions!$B$83,O63&gt;=Assumptions!$B$84))),"Manual Review","Ready"))</f>
        <v>Not Eligible</v>
      </c>
      <c r="AV63" s="2" t="str">
        <f aca="false">IF(AG63,"Key account - human sign-off required; ","")&amp;IF(AH63,"Borderline momentum; ","")&amp;IF(AK63,"February-sensitive ("&amp;N63&amp;" -&gt; "&amp;AJ63&amp;"); ","")&amp;IF(AL63="One-Off / Insufficient History — Verify","Lapsed on thin history - verify; ","")&amp;IF(AQ63,"Material broker % inconsistency (implied tier "&amp;AP63&amp;"); ","")&amp;IF(AT63,"Implied broker % would move segment to "&amp;AS63&amp;"; ","")</f>
        <v/>
      </c>
      <c r="AW63" s="10" t="b">
        <f aca="false">AND(G63="Low",J63="Tail",I63&gt;=Assumptions!$B$64,O63&gt;=Assumptions!$B$65,OR(N63="Growing",N63="Stable",AND(N63="H2 Active / No H1 GMV",W63&gt;=2)),OR(R63&gt;=Assumptions!$B$66,S63&gt;=Assumptions!$B$67))</f>
        <v>0</v>
      </c>
    </row>
    <row r="64" customFormat="false" ht="15" hidden="false" customHeight="false" outlineLevel="0" collapsed="false">
      <c r="A64" s="2" t="s">
        <v>568</v>
      </c>
      <c r="B64" s="2" t="s">
        <v>1571</v>
      </c>
      <c r="C64" s="2" t="s">
        <v>1572</v>
      </c>
      <c r="D64" s="2" t="n">
        <v>35</v>
      </c>
      <c r="E64" s="2" t="n">
        <v>16</v>
      </c>
      <c r="F64" s="21" t="n">
        <f aca="false">INDEX('Scored Accounts'!$Q$2:$Q$301,MATCH($A64,'Scored Accounts'!$A$2:$A$301,0))</f>
        <v>0</v>
      </c>
      <c r="G64" s="2" t="str">
        <f aca="false">INDEX('Scored Accounts'!$R$2:$R$301,MATCH($A64,'Scored Accounts'!$A$2:$A$301,0))</f>
        <v>Low</v>
      </c>
      <c r="H64" s="2" t="str">
        <f aca="false">IF(OR(G64="High",G64="Medium"),"Broker-Reliant",IF(AND(G64="Low",B64="Account Managed"),"AM-Owned / Self-Serving",IF(AND(G64="Low",B64="Self Serve"),"Self-Serve","UNASSIGNED")))</f>
        <v>AM-Owned / Self-Serving</v>
      </c>
      <c r="I64" s="9" t="n">
        <v>1963</v>
      </c>
      <c r="J64" s="2" t="str">
        <f aca="false">IF(I64&gt;=Assumptions!$B$35,"Key",IF(I64&gt;=Assumptions!$B$34,"Core","Tail"))</f>
        <v>Tail</v>
      </c>
      <c r="K64" s="9" t="n">
        <f aca="false">INDEX('Commercial View'!$R$2:$R$301,MATCH($A64,'Commercial View'!$A$2:$A$301,0))</f>
        <v>1963</v>
      </c>
      <c r="L64" s="9" t="n">
        <f aca="false">INDEX('Commercial View'!$S$2:$S$301,MATCH($A64,'Commercial View'!$A$2:$A$301,0))</f>
        <v>0</v>
      </c>
      <c r="M64" s="17" t="n">
        <f aca="false">INDEX('Commercial View'!$T$2:$T$301,MATCH($A64,'Commercial View'!$A$2:$A$301,0))</f>
        <v>-1</v>
      </c>
      <c r="N64" s="2" t="str">
        <f aca="false">INDEX('Commercial View'!$U$2:$U$301,MATCH($A64,'Commercial View'!$A$2:$A$301,0))</f>
        <v>Lapsed</v>
      </c>
      <c r="O64" s="2" t="n">
        <v>1</v>
      </c>
      <c r="P64" s="2" t="n">
        <v>0</v>
      </c>
      <c r="Q64" s="2" t="n">
        <v>1</v>
      </c>
      <c r="R64" s="2" t="n">
        <v>26</v>
      </c>
      <c r="S64" s="2" t="n">
        <v>1</v>
      </c>
      <c r="T64" s="2" t="str">
        <f aca="false">IF(H64="Broker-Reliant",IF(J64="Tail","5. Cost-to-Serve / Low-Touch",IF(OR(N64="Growing",N64="Stable"),"1. Migration Candidate",IF(N64="Declining","2. Protect / Retain First",IF(N64="Lapsed","3. Win-Back / Verify",IF(N64="H2 Active / No H1 GMV","4. Establish / Re-establish / Observe","UNASSIGNED"))))),IF(G64="Low",IF(J64="Tail","9. Long-Tail Automated Nurture",IF(OR(N64="Growing",N64="Stable"),"6. Growth Opportunity",IF(N64="H2 Active / No H1 GMV","7. Onboard / Re-engage / Learn",IF(OR(N64="Declining",N64="Lapsed"),"8. Retention / Reactivation","UNASSIGNED")))),"UNASSIGNED"))</f>
        <v>9. Long-Tail Automated Nurture</v>
      </c>
      <c r="U64" s="10" t="b">
        <f aca="false">AND(T64="1. Migration Candidate",J64="Core",O64&gt;=Assumptions!$B$39,Q64&gt;=Assumptions!$B$40,NOT(Z64))</f>
        <v>0</v>
      </c>
      <c r="V64" s="2" t="n">
        <f aca="false">(AND(H64="Broker-Reliant",J64&lt;&gt;"Tail",OR(N64="Growing",N64="Stable")))*1+(AND(H64="Broker-Reliant",J64&lt;&gt;"Tail",N64="Declining"))*1+(AND(H64="Broker-Reliant",J64&lt;&gt;"Tail",N64="Lapsed"))*1+(AND(H64="Broker-Reliant",J64&lt;&gt;"Tail",N64="H2 Active / No H1 GMV"))*1+(AND(H64="Broker-Reliant",J64="Tail"))*1+(AND(G64="Low",J64&lt;&gt;"Tail",OR(N64="Growing",N64="Stable")))*1+(AND(G64="Low",J64&lt;&gt;"Tail",N64="H2 Active / No H1 GMV"))*1+(AND(G64="Low",J64&lt;&gt;"Tail",OR(N64="Declining",N64="Lapsed")))*1+(AND(G64="Low",J64="Tail"))*1</f>
        <v>1</v>
      </c>
      <c r="W64" s="2" t="n">
        <f aca="false">INDEX('Commercial View'!$V$2:$V$301,MATCH($A64,'Commercial View'!$A$2:$A$301,0))</f>
        <v>1</v>
      </c>
      <c r="X64" s="10" t="b">
        <f aca="false">O64&lt;=Assumptions!$B$30</f>
        <v>1</v>
      </c>
      <c r="Y64" s="10" t="b">
        <f aca="false">W64&lt;=1</f>
        <v>1</v>
      </c>
      <c r="Z64" s="10" t="b">
        <f aca="false">C64="Duplicate"</f>
        <v>0</v>
      </c>
      <c r="AA64" s="10" t="b">
        <f aca="false">C64=""</f>
        <v>0</v>
      </c>
      <c r="AB64" s="2" t="n">
        <f aca="false">IF(P64+Q64&gt;0,ROUND(P64/(P64+Q64)*100,0),"")</f>
        <v>0</v>
      </c>
      <c r="AC64" s="2" t="n">
        <f aca="false">IF(P64+Q64&gt;0,ROUND(E64-P64/(P64+Q64)*100,0),"")</f>
        <v>16</v>
      </c>
      <c r="AD64" s="10" t="b">
        <f aca="false">IF(AC64="",FALSE(),ABS(AC64)&gt;Assumptions!$B$41)</f>
        <v>1</v>
      </c>
      <c r="AE64" s="2" t="str">
        <f aca="false">IF(X64,"Low confidence (&lt;=2 orders); ","")&amp;IF(Y64,"Single-month history; ","")&amp;IF(Z64,"CRITICAL: Duplicate status; ","")&amp;IF(AA64,"Missing status; ","")&amp;IF(AD64,"Broker % vs counts gap "&amp;TEXT(AC64,"+0;-0")&amp;"pts; ","")</f>
        <v>Low confidence (&lt;=2 orders); Single-month history; Broker % vs counts gap +16pts; </v>
      </c>
      <c r="AF64" s="2" t="str">
        <f aca="false">IF(AND(K64=0,L64&gt;0),IF(D64&lt;=Assumptions!$B$47,"New Customer","Returned Customer"),"Existing Customer")</f>
        <v>Existing Customer</v>
      </c>
      <c r="AG64" s="10" t="b">
        <f aca="false">AND(T64="1. Migration Candidate",J64="Key")</f>
        <v>0</v>
      </c>
      <c r="AH64" s="10" t="b">
        <f aca="false">IF(AND(K64&gt;0,L64&gt;0),OR(ABS(M64-Assumptions!$B$36)&lt;=Assumptions!$B$46,ABS(M64+Assumptions!$B$36)&lt;=Assumptions!$B$46),FALSE())</f>
        <v>0</v>
      </c>
      <c r="AI64" s="9" t="n">
        <f aca="false">INDEX('Commercial View'!$L$2:$L$301,MATCH($A64,'Commercial View'!$A$2:$A$301,0))+INDEX('Commercial View'!$M$2:$M$301,MATCH($A64,'Commercial View'!$A$2:$A$301,0))</f>
        <v>0</v>
      </c>
      <c r="AJ64" s="2" t="str">
        <f aca="false">IF(AND(K64=0,AI64=0),"No activity ex-Feb",IF(AI64=0,"Lapsed",IF(K64=0,"H2 Active / No H1 GMV",IF((AI64/2)/(K64/3)-1&gt;=Assumptions!$B$36,"Growing",IF((AI64/2)/(K64/3)-1&lt;-Assumptions!$B$36,"Declining","Stable")))))</f>
        <v>Lapsed</v>
      </c>
      <c r="AK64" s="10" t="b">
        <f aca="false">IF(OR(N64="Growing",N64="Stable"),"Healthy",N64)&lt;&gt;IF(OR(AJ64="Growing",AJ64="Stable"),"Healthy",AJ64)</f>
        <v>0</v>
      </c>
      <c r="AL64" s="2" t="str">
        <f aca="false">IF(N64="Lapsed",IF(OR(O64&lt;=Assumptions!$B$48,W64&lt;=Assumptions!$B$49),"One-Off / Insufficient History — Verify","Established Buyer Lapsed"),"N/A")</f>
        <v>One-Off / Insufficient History — Verify</v>
      </c>
      <c r="AM64" s="2" t="n">
        <f aca="false">INDEX('Scored Accounts'!$M$2:$M$301,MATCH($A64,'Scored Accounts'!$A$2:$A$301,0))</f>
        <v>0</v>
      </c>
      <c r="AN64" s="2" t="n">
        <f aca="false">IF((P64/(P64+Q64)*100)&lt;=Assumptions!$B$13,0,IF((P64/(P64+Q64)*100)&lt;Assumptions!$B$14,25,IF((P64/(P64+Q64)*100)&lt;Assumptions!$B$15,50,IF((P64/(P64+Q64)*100)&lt;Assumptions!$B$16,75,100))))</f>
        <v>0</v>
      </c>
      <c r="AO64" s="21" t="n">
        <f aca="false">IF((P64/(P64+Q64)*100)&lt;=Assumptions!$B$8,0,AN64*Assumptions!$B$4+INDEX('Scored Accounts'!$N$2:$N$301,MATCH($A64,'Scored Accounts'!$A$2:$A$301,0))*Assumptions!$B$5+INDEX('Scored Accounts'!$O$2:$O$301,MATCH($A64,'Scored Accounts'!$A$2:$A$301,0))*Assumptions!$B$6)</f>
        <v>0</v>
      </c>
      <c r="AP64" s="2" t="str">
        <f aca="false">IF(AO64&gt;=Assumptions!$B$9,"High",IF(AO64&gt;=Assumptions!$B$10,"Medium","Low"))</f>
        <v>Low</v>
      </c>
      <c r="AQ64" s="10" t="b">
        <f aca="false">OR((E64&lt;=Assumptions!$B$8)&lt;&gt;((P64/(P64+Q64)*100)&lt;=Assumptions!$B$8),AM64&lt;&gt;AN64,G64&lt;&gt;AP64)</f>
        <v>0</v>
      </c>
      <c r="AR64" s="2" t="str">
        <f aca="false">IF(AP64&lt;&gt;"Low","Broker-Reliant",IF(B64="Account Managed","AM-Owned / Self-Serving","Self-Serve"))</f>
        <v>AM-Owned / Self-Serving</v>
      </c>
      <c r="AS64" s="2" t="str">
        <f aca="false">IF(AR64="Broker-Reliant",IF(J64="Tail","5. Cost-to-Serve / Low-Touch",IF(OR(N64="Growing",N64="Stable"),"1. Migration Candidate",IF(N64="Declining","2. Protect / Retain First",IF(N64="Lapsed","3. Win-Back / Verify",IF(N64="H2 Active / No H1 GMV","4. Establish / Re-establish / Observe","UNASSIGNED"))))),IF(AP64="Low",IF(J64="Tail","9. Long-Tail Automated Nurture",IF(OR(N64="Growing",N64="Stable"),"6. Growth Opportunity",IF(N64="H2 Active / No H1 GMV","7. Onboard / Re-engage / Learn",IF(OR(N64="Declining",N64="Lapsed"),"8. Retention / Reactivation","UNASSIGNED")))),"UNASSIGNED"))</f>
        <v>9. Long-Tail Automated Nurture</v>
      </c>
      <c r="AT64" s="10" t="b">
        <f aca="false">AS64&lt;&gt;T64</f>
        <v>0</v>
      </c>
      <c r="AU64" s="2" t="str">
        <f aca="false">IF(NOT(U64),"Not Eligible",IF(OR(AQ64,AH64,AK64,NOT(AND(W64&gt;=Assumptions!$B$83,O64&gt;=Assumptions!$B$84))),"Manual Review","Ready"))</f>
        <v>Not Eligible</v>
      </c>
      <c r="AV64" s="2" t="str">
        <f aca="false">IF(AG64,"Key account - human sign-off required; ","")&amp;IF(AH64,"Borderline momentum; ","")&amp;IF(AK64,"February-sensitive ("&amp;N64&amp;" -&gt; "&amp;AJ64&amp;"); ","")&amp;IF(AL64="One-Off / Insufficient History — Verify","Lapsed on thin history - verify; ","")&amp;IF(AQ64,"Material broker % inconsistency (implied tier "&amp;AP64&amp;"); ","")&amp;IF(AT64,"Implied broker % would move segment to "&amp;AS64&amp;"; ","")</f>
        <v>Lapsed on thin history - verify; </v>
      </c>
      <c r="AW64" s="10" t="b">
        <f aca="false">AND(G64="Low",J64="Tail",I64&gt;=Assumptions!$B$64,O64&gt;=Assumptions!$B$65,OR(N64="Growing",N64="Stable",AND(N64="H2 Active / No H1 GMV",W64&gt;=2)),OR(R64&gt;=Assumptions!$B$66,S64&gt;=Assumptions!$B$67))</f>
        <v>0</v>
      </c>
    </row>
    <row r="65" customFormat="false" ht="15" hidden="false" customHeight="false" outlineLevel="0" collapsed="false">
      <c r="A65" s="2" t="s">
        <v>473</v>
      </c>
      <c r="B65" s="2" t="s">
        <v>1571</v>
      </c>
      <c r="C65" s="2" t="s">
        <v>1572</v>
      </c>
      <c r="D65" s="2" t="n">
        <v>9</v>
      </c>
      <c r="E65" s="2" t="n">
        <v>68</v>
      </c>
      <c r="F65" s="21" t="n">
        <f aca="false">INDEX('Scored Accounts'!$Q$2:$Q$301,MATCH($A65,'Scored Accounts'!$A$2:$A$301,0))</f>
        <v>77.5</v>
      </c>
      <c r="G65" s="2" t="str">
        <f aca="false">INDEX('Scored Accounts'!$R$2:$R$301,MATCH($A65,'Scored Accounts'!$A$2:$A$301,0))</f>
        <v>High</v>
      </c>
      <c r="H65" s="2" t="str">
        <f aca="false">IF(OR(G65="High",G65="Medium"),"Broker-Reliant",IF(AND(G65="Low",B65="Account Managed"),"AM-Owned / Self-Serving",IF(AND(G65="Low",B65="Self Serve"),"Self-Serve","UNASSIGNED")))</f>
        <v>Broker-Reliant</v>
      </c>
      <c r="I65" s="9" t="n">
        <v>1911</v>
      </c>
      <c r="J65" s="2" t="str">
        <f aca="false">IF(I65&gt;=Assumptions!$B$35,"Key",IF(I65&gt;=Assumptions!$B$34,"Core","Tail"))</f>
        <v>Tail</v>
      </c>
      <c r="K65" s="9" t="n">
        <f aca="false">INDEX('Commercial View'!$R$2:$R$301,MATCH($A65,'Commercial View'!$A$2:$A$301,0))</f>
        <v>1042</v>
      </c>
      <c r="L65" s="9" t="n">
        <f aca="false">INDEX('Commercial View'!$S$2:$S$301,MATCH($A65,'Commercial View'!$A$2:$A$301,0))</f>
        <v>869</v>
      </c>
      <c r="M65" s="17" t="n">
        <f aca="false">INDEX('Commercial View'!$T$2:$T$301,MATCH($A65,'Commercial View'!$A$2:$A$301,0))</f>
        <v>-0.166026871401152</v>
      </c>
      <c r="N65" s="2" t="str">
        <f aca="false">INDEX('Commercial View'!$U$2:$U$301,MATCH($A65,'Commercial View'!$A$2:$A$301,0))</f>
        <v>Stable</v>
      </c>
      <c r="O65" s="2" t="n">
        <v>15</v>
      </c>
      <c r="P65" s="2" t="n">
        <v>10</v>
      </c>
      <c r="Q65" s="2" t="n">
        <v>5</v>
      </c>
      <c r="R65" s="2" t="n">
        <v>4</v>
      </c>
      <c r="S65" s="2" t="n">
        <v>2</v>
      </c>
      <c r="T65" s="2" t="str">
        <f aca="false">IF(H65="Broker-Reliant",IF(J65="Tail","5. Cost-to-Serve / Low-Touch",IF(OR(N65="Growing",N65="Stable"),"1. Migration Candidate",IF(N65="Declining","2. Protect / Retain First",IF(N65="Lapsed","3. Win-Back / Verify",IF(N65="H2 Active / No H1 GMV","4. Establish / Re-establish / Observe","UNASSIGNED"))))),IF(G65="Low",IF(J65="Tail","9. Long-Tail Automated Nurture",IF(OR(N65="Growing",N65="Stable"),"6. Growth Opportunity",IF(N65="H2 Active / No H1 GMV","7. Onboard / Re-engage / Learn",IF(OR(N65="Declining",N65="Lapsed"),"8. Retention / Reactivation","UNASSIGNED")))),"UNASSIGNED"))</f>
        <v>5. Cost-to-Serve / Low-Touch</v>
      </c>
      <c r="U65" s="10" t="b">
        <f aca="false">AND(T65="1. Migration Candidate",J65="Core",O65&gt;=Assumptions!$B$39,Q65&gt;=Assumptions!$B$40,NOT(Z65))</f>
        <v>0</v>
      </c>
      <c r="V65" s="2" t="n">
        <f aca="false">(AND(H65="Broker-Reliant",J65&lt;&gt;"Tail",OR(N65="Growing",N65="Stable")))*1+(AND(H65="Broker-Reliant",J65&lt;&gt;"Tail",N65="Declining"))*1+(AND(H65="Broker-Reliant",J65&lt;&gt;"Tail",N65="Lapsed"))*1+(AND(H65="Broker-Reliant",J65&lt;&gt;"Tail",N65="H2 Active / No H1 GMV"))*1+(AND(H65="Broker-Reliant",J65="Tail"))*1+(AND(G65="Low",J65&lt;&gt;"Tail",OR(N65="Growing",N65="Stable")))*1+(AND(G65="Low",J65&lt;&gt;"Tail",N65="H2 Active / No H1 GMV"))*1+(AND(G65="Low",J65&lt;&gt;"Tail",OR(N65="Declining",N65="Lapsed")))*1+(AND(G65="Low",J65="Tail"))*1</f>
        <v>1</v>
      </c>
      <c r="W65" s="2" t="n">
        <f aca="false">INDEX('Commercial View'!$V$2:$V$301,MATCH($A65,'Commercial View'!$A$2:$A$301,0))</f>
        <v>5</v>
      </c>
      <c r="X65" s="10" t="b">
        <f aca="false">O65&lt;=Assumptions!$B$30</f>
        <v>0</v>
      </c>
      <c r="Y65" s="10" t="b">
        <f aca="false">W65&lt;=1</f>
        <v>0</v>
      </c>
      <c r="Z65" s="10" t="b">
        <f aca="false">C65="Duplicate"</f>
        <v>0</v>
      </c>
      <c r="AA65" s="10" t="b">
        <f aca="false">C65=""</f>
        <v>0</v>
      </c>
      <c r="AB65" s="2" t="n">
        <f aca="false">IF(P65+Q65&gt;0,ROUND(P65/(P65+Q65)*100,0),"")</f>
        <v>67</v>
      </c>
      <c r="AC65" s="2" t="n">
        <f aca="false">IF(P65+Q65&gt;0,ROUND(E65-P65/(P65+Q65)*100,0),"")</f>
        <v>1</v>
      </c>
      <c r="AD65" s="10" t="b">
        <f aca="false">IF(AC65="",FALSE(),ABS(AC65)&gt;Assumptions!$B$41)</f>
        <v>0</v>
      </c>
      <c r="AE65" s="2" t="str">
        <f aca="false">IF(X65,"Low confidence (&lt;=2 orders); ","")&amp;IF(Y65,"Single-month history; ","")&amp;IF(Z65,"CRITICAL: Duplicate status; ","")&amp;IF(AA65,"Missing status; ","")&amp;IF(AD65,"Broker % vs counts gap "&amp;TEXT(AC65,"+0;-0")&amp;"pts; ","")</f>
        <v/>
      </c>
      <c r="AF65" s="2" t="str">
        <f aca="false">IF(AND(K65=0,L65&gt;0),IF(D65&lt;=Assumptions!$B$47,"New Customer","Returned Customer"),"Existing Customer")</f>
        <v>Existing Customer</v>
      </c>
      <c r="AG65" s="10" t="b">
        <f aca="false">AND(T65="1. Migration Candidate",J65="Key")</f>
        <v>0</v>
      </c>
      <c r="AH65" s="10" t="b">
        <f aca="false">IF(AND(K65&gt;0,L65&gt;0),OR(ABS(M65-Assumptions!$B$36)&lt;=Assumptions!$B$46,ABS(M65+Assumptions!$B$36)&lt;=Assumptions!$B$46),FALSE())</f>
        <v>1</v>
      </c>
      <c r="AI65" s="9" t="n">
        <f aca="false">INDEX('Commercial View'!$L$2:$L$301,MATCH($A65,'Commercial View'!$A$2:$A$301,0))+INDEX('Commercial View'!$M$2:$M$301,MATCH($A65,'Commercial View'!$A$2:$A$301,0))</f>
        <v>524</v>
      </c>
      <c r="AJ65" s="2" t="str">
        <f aca="false">IF(AND(K65=0,AI65=0),"No activity ex-Feb",IF(AI65=0,"Lapsed",IF(K65=0,"H2 Active / No H1 GMV",IF((AI65/2)/(K65/3)-1&gt;=Assumptions!$B$36,"Growing",IF((AI65/2)/(K65/3)-1&lt;-Assumptions!$B$36,"Declining","Stable")))))</f>
        <v>Declining</v>
      </c>
      <c r="AK65" s="10" t="b">
        <f aca="false">IF(OR(N65="Growing",N65="Stable"),"Healthy",N65)&lt;&gt;IF(OR(AJ65="Growing",AJ65="Stable"),"Healthy",AJ65)</f>
        <v>1</v>
      </c>
      <c r="AL65" s="2" t="str">
        <f aca="false">IF(N65="Lapsed",IF(OR(O65&lt;=Assumptions!$B$48,W65&lt;=Assumptions!$B$49),"One-Off / Insufficient History — Verify","Established Buyer Lapsed"),"N/A")</f>
        <v>N/A</v>
      </c>
      <c r="AM65" s="2" t="n">
        <f aca="false">INDEX('Scored Accounts'!$M$2:$M$301,MATCH($A65,'Scored Accounts'!$A$2:$A$301,0))</f>
        <v>75</v>
      </c>
      <c r="AN65" s="2" t="n">
        <f aca="false">IF((P65/(P65+Q65)*100)&lt;=Assumptions!$B$13,0,IF((P65/(P65+Q65)*100)&lt;Assumptions!$B$14,25,IF((P65/(P65+Q65)*100)&lt;Assumptions!$B$15,50,IF((P65/(P65+Q65)*100)&lt;Assumptions!$B$16,75,100))))</f>
        <v>75</v>
      </c>
      <c r="AO65" s="21" t="n">
        <f aca="false">IF((P65/(P65+Q65)*100)&lt;=Assumptions!$B$8,0,AN65*Assumptions!$B$4+INDEX('Scored Accounts'!$N$2:$N$301,MATCH($A65,'Scored Accounts'!$A$2:$A$301,0))*Assumptions!$B$5+INDEX('Scored Accounts'!$O$2:$O$301,MATCH($A65,'Scored Accounts'!$A$2:$A$301,0))*Assumptions!$B$6)</f>
        <v>77.5</v>
      </c>
      <c r="AP65" s="2" t="str">
        <f aca="false">IF(AO65&gt;=Assumptions!$B$9,"High",IF(AO65&gt;=Assumptions!$B$10,"Medium","Low"))</f>
        <v>High</v>
      </c>
      <c r="AQ65" s="10" t="b">
        <f aca="false">OR((E65&lt;=Assumptions!$B$8)&lt;&gt;((P65/(P65+Q65)*100)&lt;=Assumptions!$B$8),AM65&lt;&gt;AN65,G65&lt;&gt;AP65)</f>
        <v>0</v>
      </c>
      <c r="AR65" s="2" t="str">
        <f aca="false">IF(AP65&lt;&gt;"Low","Broker-Reliant",IF(B65="Account Managed","AM-Owned / Self-Serving","Self-Serve"))</f>
        <v>Broker-Reliant</v>
      </c>
      <c r="AS65" s="2" t="str">
        <f aca="false">IF(AR65="Broker-Reliant",IF(J65="Tail","5. Cost-to-Serve / Low-Touch",IF(OR(N65="Growing",N65="Stable"),"1. Migration Candidate",IF(N65="Declining","2. Protect / Retain First",IF(N65="Lapsed","3. Win-Back / Verify",IF(N65="H2 Active / No H1 GMV","4. Establish / Re-establish / Observe","UNASSIGNED"))))),IF(AP65="Low",IF(J65="Tail","9. Long-Tail Automated Nurture",IF(OR(N65="Growing",N65="Stable"),"6. Growth Opportunity",IF(N65="H2 Active / No H1 GMV","7. Onboard / Re-engage / Learn",IF(OR(N65="Declining",N65="Lapsed"),"8. Retention / Reactivation","UNASSIGNED")))),"UNASSIGNED"))</f>
        <v>5. Cost-to-Serve / Low-Touch</v>
      </c>
      <c r="AT65" s="10" t="b">
        <f aca="false">AS65&lt;&gt;T65</f>
        <v>0</v>
      </c>
      <c r="AU65" s="2" t="str">
        <f aca="false">IF(NOT(U65),"Not Eligible",IF(OR(AQ65,AH65,AK65,NOT(AND(W65&gt;=Assumptions!$B$83,O65&gt;=Assumptions!$B$84))),"Manual Review","Ready"))</f>
        <v>Not Eligible</v>
      </c>
      <c r="AV65" s="2" t="str">
        <f aca="false">IF(AG65,"Key account - human sign-off required; ","")&amp;IF(AH65,"Borderline momentum; ","")&amp;IF(AK65,"February-sensitive ("&amp;N65&amp;" -&gt; "&amp;AJ65&amp;"); ","")&amp;IF(AL65="One-Off / Insufficient History — Verify","Lapsed on thin history - verify; ","")&amp;IF(AQ65,"Material broker % inconsistency (implied tier "&amp;AP65&amp;"); ","")&amp;IF(AT65,"Implied broker % would move segment to "&amp;AS65&amp;"; ","")</f>
        <v>Borderline momentum; February-sensitive (Stable -&gt; Declining); </v>
      </c>
      <c r="AW65" s="10" t="b">
        <f aca="false">AND(G65="Low",J65="Tail",I65&gt;=Assumptions!$B$64,O65&gt;=Assumptions!$B$65,OR(N65="Growing",N65="Stable",AND(N65="H2 Active / No H1 GMV",W65&gt;=2)),OR(R65&gt;=Assumptions!$B$66,S65&gt;=Assumptions!$B$67))</f>
        <v>0</v>
      </c>
    </row>
    <row r="66" customFormat="false" ht="15" hidden="false" customHeight="false" outlineLevel="0" collapsed="false">
      <c r="A66" s="2" t="s">
        <v>490</v>
      </c>
      <c r="B66" s="2" t="s">
        <v>1571</v>
      </c>
      <c r="C66" s="2" t="s">
        <v>1572</v>
      </c>
      <c r="D66" s="2" t="n">
        <v>9</v>
      </c>
      <c r="E66" s="2" t="n">
        <v>2</v>
      </c>
      <c r="F66" s="21" t="n">
        <f aca="false">INDEX('Scored Accounts'!$Q$2:$Q$301,MATCH($A66,'Scored Accounts'!$A$2:$A$301,0))</f>
        <v>0</v>
      </c>
      <c r="G66" s="2" t="str">
        <f aca="false">INDEX('Scored Accounts'!$R$2:$R$301,MATCH($A66,'Scored Accounts'!$A$2:$A$301,0))</f>
        <v>Low</v>
      </c>
      <c r="H66" s="2" t="str">
        <f aca="false">IF(OR(G66="High",G66="Medium"),"Broker-Reliant",IF(AND(G66="Low",B66="Account Managed"),"AM-Owned / Self-Serving",IF(AND(G66="Low",B66="Self Serve"),"Self-Serve","UNASSIGNED")))</f>
        <v>AM-Owned / Self-Serving</v>
      </c>
      <c r="I66" s="9" t="n">
        <v>1812</v>
      </c>
      <c r="J66" s="2" t="str">
        <f aca="false">IF(I66&gt;=Assumptions!$B$35,"Key",IF(I66&gt;=Assumptions!$B$34,"Core","Tail"))</f>
        <v>Tail</v>
      </c>
      <c r="K66" s="9" t="n">
        <f aca="false">INDEX('Commercial View'!$R$2:$R$301,MATCH($A66,'Commercial View'!$A$2:$A$301,0))</f>
        <v>0</v>
      </c>
      <c r="L66" s="9" t="n">
        <f aca="false">INDEX('Commercial View'!$S$2:$S$301,MATCH($A66,'Commercial View'!$A$2:$A$301,0))</f>
        <v>1811</v>
      </c>
      <c r="M66" s="17" t="str">
        <f aca="false">INDEX('Commercial View'!$T$2:$T$301,MATCH($A66,'Commercial View'!$A$2:$A$301,0))</f>
        <v/>
      </c>
      <c r="N66" s="2" t="str">
        <f aca="false">INDEX('Commercial View'!$U$2:$U$301,MATCH($A66,'Commercial View'!$A$2:$A$301,0))</f>
        <v>H2 Active / No H1 GMV</v>
      </c>
      <c r="O66" s="2" t="n">
        <v>5</v>
      </c>
      <c r="P66" s="2" t="n">
        <v>0</v>
      </c>
      <c r="Q66" s="2" t="n">
        <v>5</v>
      </c>
      <c r="R66" s="2" t="n">
        <v>55</v>
      </c>
      <c r="S66" s="2" t="n">
        <v>4</v>
      </c>
      <c r="T66" s="2" t="str">
        <f aca="false">IF(H66="Broker-Reliant",IF(J66="Tail","5. Cost-to-Serve / Low-Touch",IF(OR(N66="Growing",N66="Stable"),"1. Migration Candidate",IF(N66="Declining","2. Protect / Retain First",IF(N66="Lapsed","3. Win-Back / Verify",IF(N66="H2 Active / No H1 GMV","4. Establish / Re-establish / Observe","UNASSIGNED"))))),IF(G66="Low",IF(J66="Tail","9. Long-Tail Automated Nurture",IF(OR(N66="Growing",N66="Stable"),"6. Growth Opportunity",IF(N66="H2 Active / No H1 GMV","7. Onboard / Re-engage / Learn",IF(OR(N66="Declining",N66="Lapsed"),"8. Retention / Reactivation","UNASSIGNED")))),"UNASSIGNED"))</f>
        <v>9. Long-Tail Automated Nurture</v>
      </c>
      <c r="U66" s="10" t="b">
        <f aca="false">AND(T66="1. Migration Candidate",J66="Core",O66&gt;=Assumptions!$B$39,Q66&gt;=Assumptions!$B$40,NOT(Z66))</f>
        <v>0</v>
      </c>
      <c r="V66" s="2" t="n">
        <f aca="false">(AND(H66="Broker-Reliant",J66&lt;&gt;"Tail",OR(N66="Growing",N66="Stable")))*1+(AND(H66="Broker-Reliant",J66&lt;&gt;"Tail",N66="Declining"))*1+(AND(H66="Broker-Reliant",J66&lt;&gt;"Tail",N66="Lapsed"))*1+(AND(H66="Broker-Reliant",J66&lt;&gt;"Tail",N66="H2 Active / No H1 GMV"))*1+(AND(H66="Broker-Reliant",J66="Tail"))*1+(AND(G66="Low",J66&lt;&gt;"Tail",OR(N66="Growing",N66="Stable")))*1+(AND(G66="Low",J66&lt;&gt;"Tail",N66="H2 Active / No H1 GMV"))*1+(AND(G66="Low",J66&lt;&gt;"Tail",OR(N66="Declining",N66="Lapsed")))*1+(AND(G66="Low",J66="Tail"))*1</f>
        <v>1</v>
      </c>
      <c r="W66" s="2" t="n">
        <f aca="false">INDEX('Commercial View'!$V$2:$V$301,MATCH($A66,'Commercial View'!$A$2:$A$301,0))</f>
        <v>2</v>
      </c>
      <c r="X66" s="10" t="b">
        <f aca="false">O66&lt;=Assumptions!$B$30</f>
        <v>0</v>
      </c>
      <c r="Y66" s="10" t="b">
        <f aca="false">W66&lt;=1</f>
        <v>0</v>
      </c>
      <c r="Z66" s="10" t="b">
        <f aca="false">C66="Duplicate"</f>
        <v>0</v>
      </c>
      <c r="AA66" s="10" t="b">
        <f aca="false">C66=""</f>
        <v>0</v>
      </c>
      <c r="AB66" s="2" t="n">
        <f aca="false">IF(P66+Q66&gt;0,ROUND(P66/(P66+Q66)*100,0),"")</f>
        <v>0</v>
      </c>
      <c r="AC66" s="2" t="n">
        <f aca="false">IF(P66+Q66&gt;0,ROUND(E66-P66/(P66+Q66)*100,0),"")</f>
        <v>2</v>
      </c>
      <c r="AD66" s="10" t="b">
        <f aca="false">IF(AC66="",FALSE(),ABS(AC66)&gt;Assumptions!$B$41)</f>
        <v>0</v>
      </c>
      <c r="AE66" s="2" t="str">
        <f aca="false">IF(X66,"Low confidence (&lt;=2 orders); ","")&amp;IF(Y66,"Single-month history; ","")&amp;IF(Z66,"CRITICAL: Duplicate status; ","")&amp;IF(AA66,"Missing status; ","")&amp;IF(AD66,"Broker % vs counts gap "&amp;TEXT(AC66,"+0;-0")&amp;"pts; ","")</f>
        <v/>
      </c>
      <c r="AF66" s="2" t="str">
        <f aca="false">IF(AND(K66=0,L66&gt;0),IF(D66&lt;=Assumptions!$B$47,"New Customer","Returned Customer"),"Existing Customer")</f>
        <v>Returned Customer</v>
      </c>
      <c r="AG66" s="10" t="b">
        <f aca="false">AND(T66="1. Migration Candidate",J66="Key")</f>
        <v>0</v>
      </c>
      <c r="AH66" s="10" t="b">
        <f aca="false">IF(AND(K66&gt;0,L66&gt;0),OR(ABS(M66-Assumptions!$B$36)&lt;=Assumptions!$B$46,ABS(M66+Assumptions!$B$36)&lt;=Assumptions!$B$46),FALSE())</f>
        <v>0</v>
      </c>
      <c r="AI66" s="9" t="n">
        <f aca="false">INDEX('Commercial View'!$L$2:$L$301,MATCH($A66,'Commercial View'!$A$2:$A$301,0))+INDEX('Commercial View'!$M$2:$M$301,MATCH($A66,'Commercial View'!$A$2:$A$301,0))</f>
        <v>1811</v>
      </c>
      <c r="AJ66" s="2" t="str">
        <f aca="false">IF(AND(K66=0,AI66=0),"No activity ex-Feb",IF(AI66=0,"Lapsed",IF(K66=0,"H2 Active / No H1 GMV",IF((AI66/2)/(K66/3)-1&gt;=Assumptions!$B$36,"Growing",IF((AI66/2)/(K66/3)-1&lt;-Assumptions!$B$36,"Declining","Stable")))))</f>
        <v>H2 Active / No H1 GMV</v>
      </c>
      <c r="AK66" s="10" t="b">
        <f aca="false">IF(OR(N66="Growing",N66="Stable"),"Healthy",N66)&lt;&gt;IF(OR(AJ66="Growing",AJ66="Stable"),"Healthy",AJ66)</f>
        <v>0</v>
      </c>
      <c r="AL66" s="2" t="str">
        <f aca="false">IF(N66="Lapsed",IF(OR(O66&lt;=Assumptions!$B$48,W66&lt;=Assumptions!$B$49),"One-Off / Insufficient History — Verify","Established Buyer Lapsed"),"N/A")</f>
        <v>N/A</v>
      </c>
      <c r="AM66" s="2" t="n">
        <f aca="false">INDEX('Scored Accounts'!$M$2:$M$301,MATCH($A66,'Scored Accounts'!$A$2:$A$301,0))</f>
        <v>0</v>
      </c>
      <c r="AN66" s="2" t="n">
        <f aca="false">IF((P66/(P66+Q66)*100)&lt;=Assumptions!$B$13,0,IF((P66/(P66+Q66)*100)&lt;Assumptions!$B$14,25,IF((P66/(P66+Q66)*100)&lt;Assumptions!$B$15,50,IF((P66/(P66+Q66)*100)&lt;Assumptions!$B$16,75,100))))</f>
        <v>0</v>
      </c>
      <c r="AO66" s="21" t="n">
        <f aca="false">IF((P66/(P66+Q66)*100)&lt;=Assumptions!$B$8,0,AN66*Assumptions!$B$4+INDEX('Scored Accounts'!$N$2:$N$301,MATCH($A66,'Scored Accounts'!$A$2:$A$301,0))*Assumptions!$B$5+INDEX('Scored Accounts'!$O$2:$O$301,MATCH($A66,'Scored Accounts'!$A$2:$A$301,0))*Assumptions!$B$6)</f>
        <v>0</v>
      </c>
      <c r="AP66" s="2" t="str">
        <f aca="false">IF(AO66&gt;=Assumptions!$B$9,"High",IF(AO66&gt;=Assumptions!$B$10,"Medium","Low"))</f>
        <v>Low</v>
      </c>
      <c r="AQ66" s="10" t="b">
        <f aca="false">OR((E66&lt;=Assumptions!$B$8)&lt;&gt;((P66/(P66+Q66)*100)&lt;=Assumptions!$B$8),AM66&lt;&gt;AN66,G66&lt;&gt;AP66)</f>
        <v>0</v>
      </c>
      <c r="AR66" s="2" t="str">
        <f aca="false">IF(AP66&lt;&gt;"Low","Broker-Reliant",IF(B66="Account Managed","AM-Owned / Self-Serving","Self-Serve"))</f>
        <v>AM-Owned / Self-Serving</v>
      </c>
      <c r="AS66" s="2" t="str">
        <f aca="false">IF(AR66="Broker-Reliant",IF(J66="Tail","5. Cost-to-Serve / Low-Touch",IF(OR(N66="Growing",N66="Stable"),"1. Migration Candidate",IF(N66="Declining","2. Protect / Retain First",IF(N66="Lapsed","3. Win-Back / Verify",IF(N66="H2 Active / No H1 GMV","4. Establish / Re-establish / Observe","UNASSIGNED"))))),IF(AP66="Low",IF(J66="Tail","9. Long-Tail Automated Nurture",IF(OR(N66="Growing",N66="Stable"),"6. Growth Opportunity",IF(N66="H2 Active / No H1 GMV","7. Onboard / Re-engage / Learn",IF(OR(N66="Declining",N66="Lapsed"),"8. Retention / Reactivation","UNASSIGNED")))),"UNASSIGNED"))</f>
        <v>9. Long-Tail Automated Nurture</v>
      </c>
      <c r="AT66" s="10" t="b">
        <f aca="false">AS66&lt;&gt;T66</f>
        <v>0</v>
      </c>
      <c r="AU66" s="2" t="str">
        <f aca="false">IF(NOT(U66),"Not Eligible",IF(OR(AQ66,AH66,AK66,NOT(AND(W66&gt;=Assumptions!$B$83,O66&gt;=Assumptions!$B$84))),"Manual Review","Ready"))</f>
        <v>Not Eligible</v>
      </c>
      <c r="AV66" s="2" t="str">
        <f aca="false">IF(AG66,"Key account - human sign-off required; ","")&amp;IF(AH66,"Borderline momentum; ","")&amp;IF(AK66,"February-sensitive ("&amp;N66&amp;" -&gt; "&amp;AJ66&amp;"); ","")&amp;IF(AL66="One-Off / Insufficient History — Verify","Lapsed on thin history - verify; ","")&amp;IF(AQ66,"Material broker % inconsistency (implied tier "&amp;AP66&amp;"); ","")&amp;IF(AT66,"Implied broker % would move segment to "&amp;AS66&amp;"; ","")</f>
        <v/>
      </c>
      <c r="AW66" s="10" t="b">
        <f aca="false">AND(G66="Low",J66="Tail",I66&gt;=Assumptions!$B$64,O66&gt;=Assumptions!$B$65,OR(N66="Growing",N66="Stable",AND(N66="H2 Active / No H1 GMV",W66&gt;=2)),OR(R66&gt;=Assumptions!$B$66,S66&gt;=Assumptions!$B$67))</f>
        <v>1</v>
      </c>
    </row>
    <row r="67" customFormat="false" ht="15" hidden="false" customHeight="false" outlineLevel="0" collapsed="false">
      <c r="A67" s="2" t="s">
        <v>574</v>
      </c>
      <c r="B67" s="2" t="s">
        <v>1571</v>
      </c>
      <c r="C67" s="2"/>
      <c r="D67" s="2" t="n">
        <v>6</v>
      </c>
      <c r="E67" s="2" t="n">
        <v>2</v>
      </c>
      <c r="F67" s="21" t="n">
        <f aca="false">INDEX('Scored Accounts'!$Q$2:$Q$301,MATCH($A67,'Scored Accounts'!$A$2:$A$301,0))</f>
        <v>0</v>
      </c>
      <c r="G67" s="2" t="str">
        <f aca="false">INDEX('Scored Accounts'!$R$2:$R$301,MATCH($A67,'Scored Accounts'!$A$2:$A$301,0))</f>
        <v>Low</v>
      </c>
      <c r="H67" s="2" t="str">
        <f aca="false">IF(OR(G67="High",G67="Medium"),"Broker-Reliant",IF(AND(G67="Low",B67="Account Managed"),"AM-Owned / Self-Serving",IF(AND(G67="Low",B67="Self Serve"),"Self-Serve","UNASSIGNED")))</f>
        <v>AM-Owned / Self-Serving</v>
      </c>
      <c r="I67" s="9" t="n">
        <v>1791</v>
      </c>
      <c r="J67" s="2" t="str">
        <f aca="false">IF(I67&gt;=Assumptions!$B$35,"Key",IF(I67&gt;=Assumptions!$B$34,"Core","Tail"))</f>
        <v>Tail</v>
      </c>
      <c r="K67" s="9" t="n">
        <f aca="false">INDEX('Commercial View'!$R$2:$R$301,MATCH($A67,'Commercial View'!$A$2:$A$301,0))</f>
        <v>1791</v>
      </c>
      <c r="L67" s="9" t="n">
        <f aca="false">INDEX('Commercial View'!$S$2:$S$301,MATCH($A67,'Commercial View'!$A$2:$A$301,0))</f>
        <v>0</v>
      </c>
      <c r="M67" s="17" t="n">
        <f aca="false">INDEX('Commercial View'!$T$2:$T$301,MATCH($A67,'Commercial View'!$A$2:$A$301,0))</f>
        <v>-1</v>
      </c>
      <c r="N67" s="2" t="str">
        <f aca="false">INDEX('Commercial View'!$U$2:$U$301,MATCH($A67,'Commercial View'!$A$2:$A$301,0))</f>
        <v>Lapsed</v>
      </c>
      <c r="O67" s="2" t="n">
        <v>3</v>
      </c>
      <c r="P67" s="2" t="n">
        <v>0</v>
      </c>
      <c r="Q67" s="2" t="n">
        <v>3</v>
      </c>
      <c r="R67" s="2" t="n">
        <v>32</v>
      </c>
      <c r="S67" s="2" t="n">
        <v>1</v>
      </c>
      <c r="T67" s="2" t="str">
        <f aca="false">IF(H67="Broker-Reliant",IF(J67="Tail","5. Cost-to-Serve / Low-Touch",IF(OR(N67="Growing",N67="Stable"),"1. Migration Candidate",IF(N67="Declining","2. Protect / Retain First",IF(N67="Lapsed","3. Win-Back / Verify",IF(N67="H2 Active / No H1 GMV","4. Establish / Re-establish / Observe","UNASSIGNED"))))),IF(G67="Low",IF(J67="Tail","9. Long-Tail Automated Nurture",IF(OR(N67="Growing",N67="Stable"),"6. Growth Opportunity",IF(N67="H2 Active / No H1 GMV","7. Onboard / Re-engage / Learn",IF(OR(N67="Declining",N67="Lapsed"),"8. Retention / Reactivation","UNASSIGNED")))),"UNASSIGNED"))</f>
        <v>9. Long-Tail Automated Nurture</v>
      </c>
      <c r="U67" s="10" t="b">
        <f aca="false">AND(T67="1. Migration Candidate",J67="Core",O67&gt;=Assumptions!$B$39,Q67&gt;=Assumptions!$B$40,NOT(Z67))</f>
        <v>0</v>
      </c>
      <c r="V67" s="2" t="n">
        <f aca="false">(AND(H67="Broker-Reliant",J67&lt;&gt;"Tail",OR(N67="Growing",N67="Stable")))*1+(AND(H67="Broker-Reliant",J67&lt;&gt;"Tail",N67="Declining"))*1+(AND(H67="Broker-Reliant",J67&lt;&gt;"Tail",N67="Lapsed"))*1+(AND(H67="Broker-Reliant",J67&lt;&gt;"Tail",N67="H2 Active / No H1 GMV"))*1+(AND(H67="Broker-Reliant",J67="Tail"))*1+(AND(G67="Low",J67&lt;&gt;"Tail",OR(N67="Growing",N67="Stable")))*1+(AND(G67="Low",J67&lt;&gt;"Tail",N67="H2 Active / No H1 GMV"))*1+(AND(G67="Low",J67&lt;&gt;"Tail",OR(N67="Declining",N67="Lapsed")))*1+(AND(G67="Low",J67="Tail"))*1</f>
        <v>1</v>
      </c>
      <c r="W67" s="2" t="n">
        <f aca="false">INDEX('Commercial View'!$V$2:$V$301,MATCH($A67,'Commercial View'!$A$2:$A$301,0))</f>
        <v>3</v>
      </c>
      <c r="X67" s="10" t="b">
        <f aca="false">O67&lt;=Assumptions!$B$30</f>
        <v>0</v>
      </c>
      <c r="Y67" s="10" t="b">
        <f aca="false">W67&lt;=1</f>
        <v>0</v>
      </c>
      <c r="Z67" s="10" t="b">
        <f aca="false">C67="Duplicate"</f>
        <v>0</v>
      </c>
      <c r="AA67" s="10" t="b">
        <f aca="false">C67=""</f>
        <v>1</v>
      </c>
      <c r="AB67" s="2" t="n">
        <f aca="false">IF(P67+Q67&gt;0,ROUND(P67/(P67+Q67)*100,0),"")</f>
        <v>0</v>
      </c>
      <c r="AC67" s="2" t="n">
        <f aca="false">IF(P67+Q67&gt;0,ROUND(E67-P67/(P67+Q67)*100,0),"")</f>
        <v>2</v>
      </c>
      <c r="AD67" s="10" t="b">
        <f aca="false">IF(AC67="",FALSE(),ABS(AC67)&gt;Assumptions!$B$41)</f>
        <v>0</v>
      </c>
      <c r="AE67" s="2" t="str">
        <f aca="false">IF(X67,"Low confidence (&lt;=2 orders); ","")&amp;IF(Y67,"Single-month history; ","")&amp;IF(Z67,"CRITICAL: Duplicate status; ","")&amp;IF(AA67,"Missing status; ","")&amp;IF(AD67,"Broker % vs counts gap "&amp;TEXT(AC67,"+0;-0")&amp;"pts; ","")</f>
        <v>Missing status; </v>
      </c>
      <c r="AF67" s="2" t="str">
        <f aca="false">IF(AND(K67=0,L67&gt;0),IF(D67&lt;=Assumptions!$B$47,"New Customer","Returned Customer"),"Existing Customer")</f>
        <v>Existing Customer</v>
      </c>
      <c r="AG67" s="10" t="b">
        <f aca="false">AND(T67="1. Migration Candidate",J67="Key")</f>
        <v>0</v>
      </c>
      <c r="AH67" s="10" t="b">
        <f aca="false">IF(AND(K67&gt;0,L67&gt;0),OR(ABS(M67-Assumptions!$B$36)&lt;=Assumptions!$B$46,ABS(M67+Assumptions!$B$36)&lt;=Assumptions!$B$46),FALSE())</f>
        <v>0</v>
      </c>
      <c r="AI67" s="9" t="n">
        <f aca="false">INDEX('Commercial View'!$L$2:$L$301,MATCH($A67,'Commercial View'!$A$2:$A$301,0))+INDEX('Commercial View'!$M$2:$M$301,MATCH($A67,'Commercial View'!$A$2:$A$301,0))</f>
        <v>0</v>
      </c>
      <c r="AJ67" s="2" t="str">
        <f aca="false">IF(AND(K67=0,AI67=0),"No activity ex-Feb",IF(AI67=0,"Lapsed",IF(K67=0,"H2 Active / No H1 GMV",IF((AI67/2)/(K67/3)-1&gt;=Assumptions!$B$36,"Growing",IF((AI67/2)/(K67/3)-1&lt;-Assumptions!$B$36,"Declining","Stable")))))</f>
        <v>Lapsed</v>
      </c>
      <c r="AK67" s="10" t="b">
        <f aca="false">IF(OR(N67="Growing",N67="Stable"),"Healthy",N67)&lt;&gt;IF(OR(AJ67="Growing",AJ67="Stable"),"Healthy",AJ67)</f>
        <v>0</v>
      </c>
      <c r="AL67" s="2" t="str">
        <f aca="false">IF(N67="Lapsed",IF(OR(O67&lt;=Assumptions!$B$48,W67&lt;=Assumptions!$B$49),"One-Off / Insufficient History — Verify","Established Buyer Lapsed"),"N/A")</f>
        <v>Established Buyer Lapsed</v>
      </c>
      <c r="AM67" s="2" t="n">
        <f aca="false">INDEX('Scored Accounts'!$M$2:$M$301,MATCH($A67,'Scored Accounts'!$A$2:$A$301,0))</f>
        <v>0</v>
      </c>
      <c r="AN67" s="2" t="n">
        <f aca="false">IF((P67/(P67+Q67)*100)&lt;=Assumptions!$B$13,0,IF((P67/(P67+Q67)*100)&lt;Assumptions!$B$14,25,IF((P67/(P67+Q67)*100)&lt;Assumptions!$B$15,50,IF((P67/(P67+Q67)*100)&lt;Assumptions!$B$16,75,100))))</f>
        <v>0</v>
      </c>
      <c r="AO67" s="21" t="n">
        <f aca="false">IF((P67/(P67+Q67)*100)&lt;=Assumptions!$B$8,0,AN67*Assumptions!$B$4+INDEX('Scored Accounts'!$N$2:$N$301,MATCH($A67,'Scored Accounts'!$A$2:$A$301,0))*Assumptions!$B$5+INDEX('Scored Accounts'!$O$2:$O$301,MATCH($A67,'Scored Accounts'!$A$2:$A$301,0))*Assumptions!$B$6)</f>
        <v>0</v>
      </c>
      <c r="AP67" s="2" t="str">
        <f aca="false">IF(AO67&gt;=Assumptions!$B$9,"High",IF(AO67&gt;=Assumptions!$B$10,"Medium","Low"))</f>
        <v>Low</v>
      </c>
      <c r="AQ67" s="10" t="b">
        <f aca="false">OR((E67&lt;=Assumptions!$B$8)&lt;&gt;((P67/(P67+Q67)*100)&lt;=Assumptions!$B$8),AM67&lt;&gt;AN67,G67&lt;&gt;AP67)</f>
        <v>0</v>
      </c>
      <c r="AR67" s="2" t="str">
        <f aca="false">IF(AP67&lt;&gt;"Low","Broker-Reliant",IF(B67="Account Managed","AM-Owned / Self-Serving","Self-Serve"))</f>
        <v>AM-Owned / Self-Serving</v>
      </c>
      <c r="AS67" s="2" t="str">
        <f aca="false">IF(AR67="Broker-Reliant",IF(J67="Tail","5. Cost-to-Serve / Low-Touch",IF(OR(N67="Growing",N67="Stable"),"1. Migration Candidate",IF(N67="Declining","2. Protect / Retain First",IF(N67="Lapsed","3. Win-Back / Verify",IF(N67="H2 Active / No H1 GMV","4. Establish / Re-establish / Observe","UNASSIGNED"))))),IF(AP67="Low",IF(J67="Tail","9. Long-Tail Automated Nurture",IF(OR(N67="Growing",N67="Stable"),"6. Growth Opportunity",IF(N67="H2 Active / No H1 GMV","7. Onboard / Re-engage / Learn",IF(OR(N67="Declining",N67="Lapsed"),"8. Retention / Reactivation","UNASSIGNED")))),"UNASSIGNED"))</f>
        <v>9. Long-Tail Automated Nurture</v>
      </c>
      <c r="AT67" s="10" t="b">
        <f aca="false">AS67&lt;&gt;T67</f>
        <v>0</v>
      </c>
      <c r="AU67" s="2" t="str">
        <f aca="false">IF(NOT(U67),"Not Eligible",IF(OR(AQ67,AH67,AK67,NOT(AND(W67&gt;=Assumptions!$B$83,O67&gt;=Assumptions!$B$84))),"Manual Review","Ready"))</f>
        <v>Not Eligible</v>
      </c>
      <c r="AV67" s="2" t="str">
        <f aca="false">IF(AG67,"Key account - human sign-off required; ","")&amp;IF(AH67,"Borderline momentum; ","")&amp;IF(AK67,"February-sensitive ("&amp;N67&amp;" -&gt; "&amp;AJ67&amp;"); ","")&amp;IF(AL67="One-Off / Insufficient History — Verify","Lapsed on thin history - verify; ","")&amp;IF(AQ67,"Material broker % inconsistency (implied tier "&amp;AP67&amp;"); ","")&amp;IF(AT67,"Implied broker % would move segment to "&amp;AS67&amp;"; ","")</f>
        <v/>
      </c>
      <c r="AW67" s="10" t="b">
        <f aca="false">AND(G67="Low",J67="Tail",I67&gt;=Assumptions!$B$64,O67&gt;=Assumptions!$B$65,OR(N67="Growing",N67="Stable",AND(N67="H2 Active / No H1 GMV",W67&gt;=2)),OR(R67&gt;=Assumptions!$B$66,S67&gt;=Assumptions!$B$67))</f>
        <v>0</v>
      </c>
    </row>
    <row r="68" customFormat="false" ht="15" hidden="false" customHeight="false" outlineLevel="0" collapsed="false">
      <c r="A68" s="2" t="s">
        <v>504</v>
      </c>
      <c r="B68" s="2" t="s">
        <v>1571</v>
      </c>
      <c r="C68" s="2" t="s">
        <v>1572</v>
      </c>
      <c r="D68" s="2" t="n">
        <v>14</v>
      </c>
      <c r="E68" s="2" t="n">
        <v>66</v>
      </c>
      <c r="F68" s="21" t="n">
        <f aca="false">INDEX('Scored Accounts'!$Q$2:$Q$301,MATCH($A68,'Scored Accounts'!$A$2:$A$301,0))</f>
        <v>77.5</v>
      </c>
      <c r="G68" s="2" t="str">
        <f aca="false">INDEX('Scored Accounts'!$R$2:$R$301,MATCH($A68,'Scored Accounts'!$A$2:$A$301,0))</f>
        <v>High</v>
      </c>
      <c r="H68" s="2" t="str">
        <f aca="false">IF(OR(G68="High",G68="Medium"),"Broker-Reliant",IF(AND(G68="Low",B68="Account Managed"),"AM-Owned / Self-Serving",IF(AND(G68="Low",B68="Self Serve"),"Self-Serve","UNASSIGNED")))</f>
        <v>Broker-Reliant</v>
      </c>
      <c r="I68" s="9" t="n">
        <v>1759</v>
      </c>
      <c r="J68" s="2" t="str">
        <f aca="false">IF(I68&gt;=Assumptions!$B$35,"Key",IF(I68&gt;=Assumptions!$B$34,"Core","Tail"))</f>
        <v>Tail</v>
      </c>
      <c r="K68" s="9" t="n">
        <f aca="false">INDEX('Commercial View'!$R$2:$R$301,MATCH($A68,'Commercial View'!$A$2:$A$301,0))</f>
        <v>655</v>
      </c>
      <c r="L68" s="9" t="n">
        <f aca="false">INDEX('Commercial View'!$S$2:$S$301,MATCH($A68,'Commercial View'!$A$2:$A$301,0))</f>
        <v>1104</v>
      </c>
      <c r="M68" s="17" t="n">
        <f aca="false">INDEX('Commercial View'!$T$2:$T$301,MATCH($A68,'Commercial View'!$A$2:$A$301,0))</f>
        <v>0.685496183206107</v>
      </c>
      <c r="N68" s="2" t="str">
        <f aca="false">INDEX('Commercial View'!$U$2:$U$301,MATCH($A68,'Commercial View'!$A$2:$A$301,0))</f>
        <v>Growing</v>
      </c>
      <c r="O68" s="2" t="n">
        <v>9</v>
      </c>
      <c r="P68" s="2" t="n">
        <v>6</v>
      </c>
      <c r="Q68" s="2" t="n">
        <v>3</v>
      </c>
      <c r="R68" s="2" t="n">
        <v>2</v>
      </c>
      <c r="S68" s="2" t="n">
        <v>2</v>
      </c>
      <c r="T68" s="2" t="str">
        <f aca="false">IF(H68="Broker-Reliant",IF(J68="Tail","5. Cost-to-Serve / Low-Touch",IF(OR(N68="Growing",N68="Stable"),"1. Migration Candidate",IF(N68="Declining","2. Protect / Retain First",IF(N68="Lapsed","3. Win-Back / Verify",IF(N68="H2 Active / No H1 GMV","4. Establish / Re-establish / Observe","UNASSIGNED"))))),IF(G68="Low",IF(J68="Tail","9. Long-Tail Automated Nurture",IF(OR(N68="Growing",N68="Stable"),"6. Growth Opportunity",IF(N68="H2 Active / No H1 GMV","7. Onboard / Re-engage / Learn",IF(OR(N68="Declining",N68="Lapsed"),"8. Retention / Reactivation","UNASSIGNED")))),"UNASSIGNED"))</f>
        <v>5. Cost-to-Serve / Low-Touch</v>
      </c>
      <c r="U68" s="10" t="b">
        <f aca="false">AND(T68="1. Migration Candidate",J68="Core",O68&gt;=Assumptions!$B$39,Q68&gt;=Assumptions!$B$40,NOT(Z68))</f>
        <v>0</v>
      </c>
      <c r="V68" s="2" t="n">
        <f aca="false">(AND(H68="Broker-Reliant",J68&lt;&gt;"Tail",OR(N68="Growing",N68="Stable")))*1+(AND(H68="Broker-Reliant",J68&lt;&gt;"Tail",N68="Declining"))*1+(AND(H68="Broker-Reliant",J68&lt;&gt;"Tail",N68="Lapsed"))*1+(AND(H68="Broker-Reliant",J68&lt;&gt;"Tail",N68="H2 Active / No H1 GMV"))*1+(AND(H68="Broker-Reliant",J68="Tail"))*1+(AND(G68="Low",J68&lt;&gt;"Tail",OR(N68="Growing",N68="Stable")))*1+(AND(G68="Low",J68&lt;&gt;"Tail",N68="H2 Active / No H1 GMV"))*1+(AND(G68="Low",J68&lt;&gt;"Tail",OR(N68="Declining",N68="Lapsed")))*1+(AND(G68="Low",J68="Tail"))*1</f>
        <v>1</v>
      </c>
      <c r="W68" s="2" t="n">
        <f aca="false">INDEX('Commercial View'!$V$2:$V$301,MATCH($A68,'Commercial View'!$A$2:$A$301,0))</f>
        <v>5</v>
      </c>
      <c r="X68" s="10" t="b">
        <f aca="false">O68&lt;=Assumptions!$B$30</f>
        <v>0</v>
      </c>
      <c r="Y68" s="10" t="b">
        <f aca="false">W68&lt;=1</f>
        <v>0</v>
      </c>
      <c r="Z68" s="10" t="b">
        <f aca="false">C68="Duplicate"</f>
        <v>0</v>
      </c>
      <c r="AA68" s="10" t="b">
        <f aca="false">C68=""</f>
        <v>0</v>
      </c>
      <c r="AB68" s="2" t="n">
        <f aca="false">IF(P68+Q68&gt;0,ROUND(P68/(P68+Q68)*100,0),"")</f>
        <v>67</v>
      </c>
      <c r="AC68" s="2" t="n">
        <f aca="false">IF(P68+Q68&gt;0,ROUND(E68-P68/(P68+Q68)*100,0),"")</f>
        <v>-1</v>
      </c>
      <c r="AD68" s="10" t="b">
        <f aca="false">IF(AC68="",FALSE(),ABS(AC68)&gt;Assumptions!$B$41)</f>
        <v>0</v>
      </c>
      <c r="AE68" s="2" t="str">
        <f aca="false">IF(X68,"Low confidence (&lt;=2 orders); ","")&amp;IF(Y68,"Single-month history; ","")&amp;IF(Z68,"CRITICAL: Duplicate status; ","")&amp;IF(AA68,"Missing status; ","")&amp;IF(AD68,"Broker % vs counts gap "&amp;TEXT(AC68,"+0;-0")&amp;"pts; ","")</f>
        <v/>
      </c>
      <c r="AF68" s="2" t="str">
        <f aca="false">IF(AND(K68=0,L68&gt;0),IF(D68&lt;=Assumptions!$B$47,"New Customer","Returned Customer"),"Existing Customer")</f>
        <v>Existing Customer</v>
      </c>
      <c r="AG68" s="10" t="b">
        <f aca="false">AND(T68="1. Migration Candidate",J68="Key")</f>
        <v>0</v>
      </c>
      <c r="AH68" s="10" t="b">
        <f aca="false">IF(AND(K68&gt;0,L68&gt;0),OR(ABS(M68-Assumptions!$B$36)&lt;=Assumptions!$B$46,ABS(M68+Assumptions!$B$36)&lt;=Assumptions!$B$46),FALSE())</f>
        <v>0</v>
      </c>
      <c r="AI68" s="9" t="n">
        <f aca="false">INDEX('Commercial View'!$L$2:$L$301,MATCH($A68,'Commercial View'!$A$2:$A$301,0))+INDEX('Commercial View'!$M$2:$M$301,MATCH($A68,'Commercial View'!$A$2:$A$301,0))</f>
        <v>916</v>
      </c>
      <c r="AJ68" s="2" t="str">
        <f aca="false">IF(AND(K68=0,AI68=0),"No activity ex-Feb",IF(AI68=0,"Lapsed",IF(K68=0,"H2 Active / No H1 GMV",IF((AI68/2)/(K68/3)-1&gt;=Assumptions!$B$36,"Growing",IF((AI68/2)/(K68/3)-1&lt;-Assumptions!$B$36,"Declining","Stable")))))</f>
        <v>Growing</v>
      </c>
      <c r="AK68" s="10" t="b">
        <f aca="false">IF(OR(N68="Growing",N68="Stable"),"Healthy",N68)&lt;&gt;IF(OR(AJ68="Growing",AJ68="Stable"),"Healthy",AJ68)</f>
        <v>0</v>
      </c>
      <c r="AL68" s="2" t="str">
        <f aca="false">IF(N68="Lapsed",IF(OR(O68&lt;=Assumptions!$B$48,W68&lt;=Assumptions!$B$49),"One-Off / Insufficient History — Verify","Established Buyer Lapsed"),"N/A")</f>
        <v>N/A</v>
      </c>
      <c r="AM68" s="2" t="n">
        <f aca="false">INDEX('Scored Accounts'!$M$2:$M$301,MATCH($A68,'Scored Accounts'!$A$2:$A$301,0))</f>
        <v>75</v>
      </c>
      <c r="AN68" s="2" t="n">
        <f aca="false">IF((P68/(P68+Q68)*100)&lt;=Assumptions!$B$13,0,IF((P68/(P68+Q68)*100)&lt;Assumptions!$B$14,25,IF((P68/(P68+Q68)*100)&lt;Assumptions!$B$15,50,IF((P68/(P68+Q68)*100)&lt;Assumptions!$B$16,75,100))))</f>
        <v>75</v>
      </c>
      <c r="AO68" s="21" t="n">
        <f aca="false">IF((P68/(P68+Q68)*100)&lt;=Assumptions!$B$8,0,AN68*Assumptions!$B$4+INDEX('Scored Accounts'!$N$2:$N$301,MATCH($A68,'Scored Accounts'!$A$2:$A$301,0))*Assumptions!$B$5+INDEX('Scored Accounts'!$O$2:$O$301,MATCH($A68,'Scored Accounts'!$A$2:$A$301,0))*Assumptions!$B$6)</f>
        <v>77.5</v>
      </c>
      <c r="AP68" s="2" t="str">
        <f aca="false">IF(AO68&gt;=Assumptions!$B$9,"High",IF(AO68&gt;=Assumptions!$B$10,"Medium","Low"))</f>
        <v>High</v>
      </c>
      <c r="AQ68" s="10" t="b">
        <f aca="false">OR((E68&lt;=Assumptions!$B$8)&lt;&gt;((P68/(P68+Q68)*100)&lt;=Assumptions!$B$8),AM68&lt;&gt;AN68,G68&lt;&gt;AP68)</f>
        <v>0</v>
      </c>
      <c r="AR68" s="2" t="str">
        <f aca="false">IF(AP68&lt;&gt;"Low","Broker-Reliant",IF(B68="Account Managed","AM-Owned / Self-Serving","Self-Serve"))</f>
        <v>Broker-Reliant</v>
      </c>
      <c r="AS68" s="2" t="str">
        <f aca="false">IF(AR68="Broker-Reliant",IF(J68="Tail","5. Cost-to-Serve / Low-Touch",IF(OR(N68="Growing",N68="Stable"),"1. Migration Candidate",IF(N68="Declining","2. Protect / Retain First",IF(N68="Lapsed","3. Win-Back / Verify",IF(N68="H2 Active / No H1 GMV","4. Establish / Re-establish / Observe","UNASSIGNED"))))),IF(AP68="Low",IF(J68="Tail","9. Long-Tail Automated Nurture",IF(OR(N68="Growing",N68="Stable"),"6. Growth Opportunity",IF(N68="H2 Active / No H1 GMV","7. Onboard / Re-engage / Learn",IF(OR(N68="Declining",N68="Lapsed"),"8. Retention / Reactivation","UNASSIGNED")))),"UNASSIGNED"))</f>
        <v>5. Cost-to-Serve / Low-Touch</v>
      </c>
      <c r="AT68" s="10" t="b">
        <f aca="false">AS68&lt;&gt;T68</f>
        <v>0</v>
      </c>
      <c r="AU68" s="2" t="str">
        <f aca="false">IF(NOT(U68),"Not Eligible",IF(OR(AQ68,AH68,AK68,NOT(AND(W68&gt;=Assumptions!$B$83,O68&gt;=Assumptions!$B$84))),"Manual Review","Ready"))</f>
        <v>Not Eligible</v>
      </c>
      <c r="AV68" s="2" t="str">
        <f aca="false">IF(AG68,"Key account - human sign-off required; ","")&amp;IF(AH68,"Borderline momentum; ","")&amp;IF(AK68,"February-sensitive ("&amp;N68&amp;" -&gt; "&amp;AJ68&amp;"); ","")&amp;IF(AL68="One-Off / Insufficient History — Verify","Lapsed on thin history - verify; ","")&amp;IF(AQ68,"Material broker % inconsistency (implied tier "&amp;AP68&amp;"); ","")&amp;IF(AT68,"Implied broker % would move segment to "&amp;AS68&amp;"; ","")</f>
        <v/>
      </c>
      <c r="AW68" s="10" t="b">
        <f aca="false">AND(G68="Low",J68="Tail",I68&gt;=Assumptions!$B$64,O68&gt;=Assumptions!$B$65,OR(N68="Growing",N68="Stable",AND(N68="H2 Active / No H1 GMV",W68&gt;=2)),OR(R68&gt;=Assumptions!$B$66,S68&gt;=Assumptions!$B$67))</f>
        <v>0</v>
      </c>
    </row>
    <row r="69" customFormat="false" ht="15" hidden="false" customHeight="false" outlineLevel="0" collapsed="false">
      <c r="A69" s="2" t="s">
        <v>507</v>
      </c>
      <c r="B69" s="2" t="s">
        <v>1571</v>
      </c>
      <c r="C69" s="2" t="s">
        <v>1572</v>
      </c>
      <c r="D69" s="2" t="n">
        <v>19</v>
      </c>
      <c r="E69" s="2" t="n">
        <v>4</v>
      </c>
      <c r="F69" s="21" t="n">
        <f aca="false">INDEX('Scored Accounts'!$Q$2:$Q$301,MATCH($A69,'Scored Accounts'!$A$2:$A$301,0))</f>
        <v>0</v>
      </c>
      <c r="G69" s="2" t="str">
        <f aca="false">INDEX('Scored Accounts'!$R$2:$R$301,MATCH($A69,'Scored Accounts'!$A$2:$A$301,0))</f>
        <v>Low</v>
      </c>
      <c r="H69" s="2" t="str">
        <f aca="false">IF(OR(G69="High",G69="Medium"),"Broker-Reliant",IF(AND(G69="Low",B69="Account Managed"),"AM-Owned / Self-Serving",IF(AND(G69="Low",B69="Self Serve"),"Self-Serve","UNASSIGNED")))</f>
        <v>AM-Owned / Self-Serving</v>
      </c>
      <c r="I69" s="9" t="n">
        <v>1706</v>
      </c>
      <c r="J69" s="2" t="str">
        <f aca="false">IF(I69&gt;=Assumptions!$B$35,"Key",IF(I69&gt;=Assumptions!$B$34,"Core","Tail"))</f>
        <v>Tail</v>
      </c>
      <c r="K69" s="9" t="n">
        <f aca="false">INDEX('Commercial View'!$R$2:$R$301,MATCH($A69,'Commercial View'!$A$2:$A$301,0))</f>
        <v>351</v>
      </c>
      <c r="L69" s="9" t="n">
        <f aca="false">INDEX('Commercial View'!$S$2:$S$301,MATCH($A69,'Commercial View'!$A$2:$A$301,0))</f>
        <v>1355</v>
      </c>
      <c r="M69" s="17" t="n">
        <f aca="false">INDEX('Commercial View'!$T$2:$T$301,MATCH($A69,'Commercial View'!$A$2:$A$301,0))</f>
        <v>2.86039886039886</v>
      </c>
      <c r="N69" s="2" t="str">
        <f aca="false">INDEX('Commercial View'!$U$2:$U$301,MATCH($A69,'Commercial View'!$A$2:$A$301,0))</f>
        <v>Growing</v>
      </c>
      <c r="O69" s="2" t="n">
        <v>5</v>
      </c>
      <c r="P69" s="2" t="n">
        <v>0</v>
      </c>
      <c r="Q69" s="2" t="n">
        <v>5</v>
      </c>
      <c r="R69" s="2" t="n">
        <v>31</v>
      </c>
      <c r="S69" s="2" t="n">
        <v>5</v>
      </c>
      <c r="T69" s="2" t="str">
        <f aca="false">IF(H69="Broker-Reliant",IF(J69="Tail","5. Cost-to-Serve / Low-Touch",IF(OR(N69="Growing",N69="Stable"),"1. Migration Candidate",IF(N69="Declining","2. Protect / Retain First",IF(N69="Lapsed","3. Win-Back / Verify",IF(N69="H2 Active / No H1 GMV","4. Establish / Re-establish / Observe","UNASSIGNED"))))),IF(G69="Low",IF(J69="Tail","9. Long-Tail Automated Nurture",IF(OR(N69="Growing",N69="Stable"),"6. Growth Opportunity",IF(N69="H2 Active / No H1 GMV","7. Onboard / Re-engage / Learn",IF(OR(N69="Declining",N69="Lapsed"),"8. Retention / Reactivation","UNASSIGNED")))),"UNASSIGNED"))</f>
        <v>9. Long-Tail Automated Nurture</v>
      </c>
      <c r="U69" s="10" t="b">
        <f aca="false">AND(T69="1. Migration Candidate",J69="Core",O69&gt;=Assumptions!$B$39,Q69&gt;=Assumptions!$B$40,NOT(Z69))</f>
        <v>0</v>
      </c>
      <c r="V69" s="2" t="n">
        <f aca="false">(AND(H69="Broker-Reliant",J69&lt;&gt;"Tail",OR(N69="Growing",N69="Stable")))*1+(AND(H69="Broker-Reliant",J69&lt;&gt;"Tail",N69="Declining"))*1+(AND(H69="Broker-Reliant",J69&lt;&gt;"Tail",N69="Lapsed"))*1+(AND(H69="Broker-Reliant",J69&lt;&gt;"Tail",N69="H2 Active / No H1 GMV"))*1+(AND(H69="Broker-Reliant",J69="Tail"))*1+(AND(G69="Low",J69&lt;&gt;"Tail",OR(N69="Growing",N69="Stable")))*1+(AND(G69="Low",J69&lt;&gt;"Tail",N69="H2 Active / No H1 GMV"))*1+(AND(G69="Low",J69&lt;&gt;"Tail",OR(N69="Declining",N69="Lapsed")))*1+(AND(G69="Low",J69="Tail"))*1</f>
        <v>1</v>
      </c>
      <c r="W69" s="2" t="n">
        <f aca="false">INDEX('Commercial View'!$V$2:$V$301,MATCH($A69,'Commercial View'!$A$2:$A$301,0))</f>
        <v>3</v>
      </c>
      <c r="X69" s="10" t="b">
        <f aca="false">O69&lt;=Assumptions!$B$30</f>
        <v>0</v>
      </c>
      <c r="Y69" s="10" t="b">
        <f aca="false">W69&lt;=1</f>
        <v>0</v>
      </c>
      <c r="Z69" s="10" t="b">
        <f aca="false">C69="Duplicate"</f>
        <v>0</v>
      </c>
      <c r="AA69" s="10" t="b">
        <f aca="false">C69=""</f>
        <v>0</v>
      </c>
      <c r="AB69" s="2" t="n">
        <f aca="false">IF(P69+Q69&gt;0,ROUND(P69/(P69+Q69)*100,0),"")</f>
        <v>0</v>
      </c>
      <c r="AC69" s="2" t="n">
        <f aca="false">IF(P69+Q69&gt;0,ROUND(E69-P69/(P69+Q69)*100,0),"")</f>
        <v>4</v>
      </c>
      <c r="AD69" s="10" t="b">
        <f aca="false">IF(AC69="",FALSE(),ABS(AC69)&gt;Assumptions!$B$41)</f>
        <v>0</v>
      </c>
      <c r="AE69" s="2" t="str">
        <f aca="false">IF(X69,"Low confidence (&lt;=2 orders); ","")&amp;IF(Y69,"Single-month history; ","")&amp;IF(Z69,"CRITICAL: Duplicate status; ","")&amp;IF(AA69,"Missing status; ","")&amp;IF(AD69,"Broker % vs counts gap "&amp;TEXT(AC69,"+0;-0")&amp;"pts; ","")</f>
        <v/>
      </c>
      <c r="AF69" s="2" t="str">
        <f aca="false">IF(AND(K69=0,L69&gt;0),IF(D69&lt;=Assumptions!$B$47,"New Customer","Returned Customer"),"Existing Customer")</f>
        <v>Existing Customer</v>
      </c>
      <c r="AG69" s="10" t="b">
        <f aca="false">AND(T69="1. Migration Candidate",J69="Key")</f>
        <v>0</v>
      </c>
      <c r="AH69" s="10" t="b">
        <f aca="false">IF(AND(K69&gt;0,L69&gt;0),OR(ABS(M69-Assumptions!$B$36)&lt;=Assumptions!$B$46,ABS(M69+Assumptions!$B$36)&lt;=Assumptions!$B$46),FALSE())</f>
        <v>0</v>
      </c>
      <c r="AI69" s="9" t="n">
        <f aca="false">INDEX('Commercial View'!$L$2:$L$301,MATCH($A69,'Commercial View'!$A$2:$A$301,0))+INDEX('Commercial View'!$M$2:$M$301,MATCH($A69,'Commercial View'!$A$2:$A$301,0))</f>
        <v>563</v>
      </c>
      <c r="AJ69" s="2" t="str">
        <f aca="false">IF(AND(K69=0,AI69=0),"No activity ex-Feb",IF(AI69=0,"Lapsed",IF(K69=0,"H2 Active / No H1 GMV",IF((AI69/2)/(K69/3)-1&gt;=Assumptions!$B$36,"Growing",IF((AI69/2)/(K69/3)-1&lt;-Assumptions!$B$36,"Declining","Stable")))))</f>
        <v>Growing</v>
      </c>
      <c r="AK69" s="10" t="b">
        <f aca="false">IF(OR(N69="Growing",N69="Stable"),"Healthy",N69)&lt;&gt;IF(OR(AJ69="Growing",AJ69="Stable"),"Healthy",AJ69)</f>
        <v>0</v>
      </c>
      <c r="AL69" s="2" t="str">
        <f aca="false">IF(N69="Lapsed",IF(OR(O69&lt;=Assumptions!$B$48,W69&lt;=Assumptions!$B$49),"One-Off / Insufficient History — Verify","Established Buyer Lapsed"),"N/A")</f>
        <v>N/A</v>
      </c>
      <c r="AM69" s="2" t="n">
        <f aca="false">INDEX('Scored Accounts'!$M$2:$M$301,MATCH($A69,'Scored Accounts'!$A$2:$A$301,0))</f>
        <v>0</v>
      </c>
      <c r="AN69" s="2" t="n">
        <f aca="false">IF((P69/(P69+Q69)*100)&lt;=Assumptions!$B$13,0,IF((P69/(P69+Q69)*100)&lt;Assumptions!$B$14,25,IF((P69/(P69+Q69)*100)&lt;Assumptions!$B$15,50,IF((P69/(P69+Q69)*100)&lt;Assumptions!$B$16,75,100))))</f>
        <v>0</v>
      </c>
      <c r="AO69" s="21" t="n">
        <f aca="false">IF((P69/(P69+Q69)*100)&lt;=Assumptions!$B$8,0,AN69*Assumptions!$B$4+INDEX('Scored Accounts'!$N$2:$N$301,MATCH($A69,'Scored Accounts'!$A$2:$A$301,0))*Assumptions!$B$5+INDEX('Scored Accounts'!$O$2:$O$301,MATCH($A69,'Scored Accounts'!$A$2:$A$301,0))*Assumptions!$B$6)</f>
        <v>0</v>
      </c>
      <c r="AP69" s="2" t="str">
        <f aca="false">IF(AO69&gt;=Assumptions!$B$9,"High",IF(AO69&gt;=Assumptions!$B$10,"Medium","Low"))</f>
        <v>Low</v>
      </c>
      <c r="AQ69" s="10" t="b">
        <f aca="false">OR((E69&lt;=Assumptions!$B$8)&lt;&gt;((P69/(P69+Q69)*100)&lt;=Assumptions!$B$8),AM69&lt;&gt;AN69,G69&lt;&gt;AP69)</f>
        <v>0</v>
      </c>
      <c r="AR69" s="2" t="str">
        <f aca="false">IF(AP69&lt;&gt;"Low","Broker-Reliant",IF(B69="Account Managed","AM-Owned / Self-Serving","Self-Serve"))</f>
        <v>AM-Owned / Self-Serving</v>
      </c>
      <c r="AS69" s="2" t="str">
        <f aca="false">IF(AR69="Broker-Reliant",IF(J69="Tail","5. Cost-to-Serve / Low-Touch",IF(OR(N69="Growing",N69="Stable"),"1. Migration Candidate",IF(N69="Declining","2. Protect / Retain First",IF(N69="Lapsed","3. Win-Back / Verify",IF(N69="H2 Active / No H1 GMV","4. Establish / Re-establish / Observe","UNASSIGNED"))))),IF(AP69="Low",IF(J69="Tail","9. Long-Tail Automated Nurture",IF(OR(N69="Growing",N69="Stable"),"6. Growth Opportunity",IF(N69="H2 Active / No H1 GMV","7. Onboard / Re-engage / Learn",IF(OR(N69="Declining",N69="Lapsed"),"8. Retention / Reactivation","UNASSIGNED")))),"UNASSIGNED"))</f>
        <v>9. Long-Tail Automated Nurture</v>
      </c>
      <c r="AT69" s="10" t="b">
        <f aca="false">AS69&lt;&gt;T69</f>
        <v>0</v>
      </c>
      <c r="AU69" s="2" t="str">
        <f aca="false">IF(NOT(U69),"Not Eligible",IF(OR(AQ69,AH69,AK69,NOT(AND(W69&gt;=Assumptions!$B$83,O69&gt;=Assumptions!$B$84))),"Manual Review","Ready"))</f>
        <v>Not Eligible</v>
      </c>
      <c r="AV69" s="2" t="str">
        <f aca="false">IF(AG69,"Key account - human sign-off required; ","")&amp;IF(AH69,"Borderline momentum; ","")&amp;IF(AK69,"February-sensitive ("&amp;N69&amp;" -&gt; "&amp;AJ69&amp;"); ","")&amp;IF(AL69="One-Off / Insufficient History — Verify","Lapsed on thin history - verify; ","")&amp;IF(AQ69,"Material broker % inconsistency (implied tier "&amp;AP69&amp;"); ","")&amp;IF(AT69,"Implied broker % would move segment to "&amp;AS69&amp;"; ","")</f>
        <v/>
      </c>
      <c r="AW69" s="10" t="b">
        <f aca="false">AND(G69="Low",J69="Tail",I69&gt;=Assumptions!$B$64,O69&gt;=Assumptions!$B$65,OR(N69="Growing",N69="Stable",AND(N69="H2 Active / No H1 GMV",W69&gt;=2)),OR(R69&gt;=Assumptions!$B$66,S69&gt;=Assumptions!$B$67))</f>
        <v>1</v>
      </c>
    </row>
    <row r="70" customFormat="false" ht="15" hidden="false" customHeight="false" outlineLevel="0" collapsed="false">
      <c r="A70" s="2" t="s">
        <v>577</v>
      </c>
      <c r="B70" s="2" t="s">
        <v>1571</v>
      </c>
      <c r="C70" s="2" t="s">
        <v>1572</v>
      </c>
      <c r="D70" s="2" t="n">
        <v>9</v>
      </c>
      <c r="E70" s="2" t="n">
        <v>12</v>
      </c>
      <c r="F70" s="21" t="n">
        <f aca="false">INDEX('Scored Accounts'!$Q$2:$Q$301,MATCH($A70,'Scored Accounts'!$A$2:$A$301,0))</f>
        <v>0</v>
      </c>
      <c r="G70" s="2" t="str">
        <f aca="false">INDEX('Scored Accounts'!$R$2:$R$301,MATCH($A70,'Scored Accounts'!$A$2:$A$301,0))</f>
        <v>Low</v>
      </c>
      <c r="H70" s="2" t="str">
        <f aca="false">IF(OR(G70="High",G70="Medium"),"Broker-Reliant",IF(AND(G70="Low",B70="Account Managed"),"AM-Owned / Self-Serving",IF(AND(G70="Low",B70="Self Serve"),"Self-Serve","UNASSIGNED")))</f>
        <v>AM-Owned / Self-Serving</v>
      </c>
      <c r="I70" s="9" t="n">
        <v>1682</v>
      </c>
      <c r="J70" s="2" t="str">
        <f aca="false">IF(I70&gt;=Assumptions!$B$35,"Key",IF(I70&gt;=Assumptions!$B$34,"Core","Tail"))</f>
        <v>Tail</v>
      </c>
      <c r="K70" s="9" t="n">
        <f aca="false">INDEX('Commercial View'!$R$2:$R$301,MATCH($A70,'Commercial View'!$A$2:$A$301,0))</f>
        <v>1051</v>
      </c>
      <c r="L70" s="9" t="n">
        <f aca="false">INDEX('Commercial View'!$S$2:$S$301,MATCH($A70,'Commercial View'!$A$2:$A$301,0))</f>
        <v>632</v>
      </c>
      <c r="M70" s="17" t="n">
        <f aca="false">INDEX('Commercial View'!$T$2:$T$301,MATCH($A70,'Commercial View'!$A$2:$A$301,0))</f>
        <v>-0.398667935299715</v>
      </c>
      <c r="N70" s="2" t="str">
        <f aca="false">INDEX('Commercial View'!$U$2:$U$301,MATCH($A70,'Commercial View'!$A$2:$A$301,0))</f>
        <v>Declining</v>
      </c>
      <c r="O70" s="2" t="n">
        <v>8</v>
      </c>
      <c r="P70" s="2" t="n">
        <v>1</v>
      </c>
      <c r="Q70" s="2" t="n">
        <v>7</v>
      </c>
      <c r="R70" s="2" t="n">
        <v>76</v>
      </c>
      <c r="S70" s="2" t="n">
        <v>4</v>
      </c>
      <c r="T70" s="2" t="str">
        <f aca="false">IF(H70="Broker-Reliant",IF(J70="Tail","5. Cost-to-Serve / Low-Touch",IF(OR(N70="Growing",N70="Stable"),"1. Migration Candidate",IF(N70="Declining","2. Protect / Retain First",IF(N70="Lapsed","3. Win-Back / Verify",IF(N70="H2 Active / No H1 GMV","4. Establish / Re-establish / Observe","UNASSIGNED"))))),IF(G70="Low",IF(J70="Tail","9. Long-Tail Automated Nurture",IF(OR(N70="Growing",N70="Stable"),"6. Growth Opportunity",IF(N70="H2 Active / No H1 GMV","7. Onboard / Re-engage / Learn",IF(OR(N70="Declining",N70="Lapsed"),"8. Retention / Reactivation","UNASSIGNED")))),"UNASSIGNED"))</f>
        <v>9. Long-Tail Automated Nurture</v>
      </c>
      <c r="U70" s="10" t="b">
        <f aca="false">AND(T70="1. Migration Candidate",J70="Core",O70&gt;=Assumptions!$B$39,Q70&gt;=Assumptions!$B$40,NOT(Z70))</f>
        <v>0</v>
      </c>
      <c r="V70" s="2" t="n">
        <f aca="false">(AND(H70="Broker-Reliant",J70&lt;&gt;"Tail",OR(N70="Growing",N70="Stable")))*1+(AND(H70="Broker-Reliant",J70&lt;&gt;"Tail",N70="Declining"))*1+(AND(H70="Broker-Reliant",J70&lt;&gt;"Tail",N70="Lapsed"))*1+(AND(H70="Broker-Reliant",J70&lt;&gt;"Tail",N70="H2 Active / No H1 GMV"))*1+(AND(H70="Broker-Reliant",J70="Tail"))*1+(AND(G70="Low",J70&lt;&gt;"Tail",OR(N70="Growing",N70="Stable")))*1+(AND(G70="Low",J70&lt;&gt;"Tail",N70="H2 Active / No H1 GMV"))*1+(AND(G70="Low",J70&lt;&gt;"Tail",OR(N70="Declining",N70="Lapsed")))*1+(AND(G70="Low",J70="Tail"))*1</f>
        <v>1</v>
      </c>
      <c r="W70" s="2" t="n">
        <f aca="false">INDEX('Commercial View'!$V$2:$V$301,MATCH($A70,'Commercial View'!$A$2:$A$301,0))</f>
        <v>5</v>
      </c>
      <c r="X70" s="10" t="b">
        <f aca="false">O70&lt;=Assumptions!$B$30</f>
        <v>0</v>
      </c>
      <c r="Y70" s="10" t="b">
        <f aca="false">W70&lt;=1</f>
        <v>0</v>
      </c>
      <c r="Z70" s="10" t="b">
        <f aca="false">C70="Duplicate"</f>
        <v>0</v>
      </c>
      <c r="AA70" s="10" t="b">
        <f aca="false">C70=""</f>
        <v>0</v>
      </c>
      <c r="AB70" s="2" t="n">
        <f aca="false">IF(P70+Q70&gt;0,ROUND(P70/(P70+Q70)*100,0),"")</f>
        <v>13</v>
      </c>
      <c r="AC70" s="2" t="n">
        <f aca="false">IF(P70+Q70&gt;0,ROUND(E70-P70/(P70+Q70)*100,0),"")</f>
        <v>-1</v>
      </c>
      <c r="AD70" s="10" t="b">
        <f aca="false">IF(AC70="",FALSE(),ABS(AC70)&gt;Assumptions!$B$41)</f>
        <v>0</v>
      </c>
      <c r="AE70" s="2" t="str">
        <f aca="false">IF(X70,"Low confidence (&lt;=2 orders); ","")&amp;IF(Y70,"Single-month history; ","")&amp;IF(Z70,"CRITICAL: Duplicate status; ","")&amp;IF(AA70,"Missing status; ","")&amp;IF(AD70,"Broker % vs counts gap "&amp;TEXT(AC70,"+0;-0")&amp;"pts; ","")</f>
        <v/>
      </c>
      <c r="AF70" s="2" t="str">
        <f aca="false">IF(AND(K70=0,L70&gt;0),IF(D70&lt;=Assumptions!$B$47,"New Customer","Returned Customer"),"Existing Customer")</f>
        <v>Existing Customer</v>
      </c>
      <c r="AG70" s="10" t="b">
        <f aca="false">AND(T70="1. Migration Candidate",J70="Key")</f>
        <v>0</v>
      </c>
      <c r="AH70" s="10" t="b">
        <f aca="false">IF(AND(K70&gt;0,L70&gt;0),OR(ABS(M70-Assumptions!$B$36)&lt;=Assumptions!$B$46,ABS(M70+Assumptions!$B$36)&lt;=Assumptions!$B$46),FALSE())</f>
        <v>0</v>
      </c>
      <c r="AI70" s="9" t="n">
        <f aca="false">INDEX('Commercial View'!$L$2:$L$301,MATCH($A70,'Commercial View'!$A$2:$A$301,0))+INDEX('Commercial View'!$M$2:$M$301,MATCH($A70,'Commercial View'!$A$2:$A$301,0))</f>
        <v>440</v>
      </c>
      <c r="AJ70" s="2" t="str">
        <f aca="false">IF(AND(K70=0,AI70=0),"No activity ex-Feb",IF(AI70=0,"Lapsed",IF(K70=0,"H2 Active / No H1 GMV",IF((AI70/2)/(K70/3)-1&gt;=Assumptions!$B$36,"Growing",IF((AI70/2)/(K70/3)-1&lt;-Assumptions!$B$36,"Declining","Stable")))))</f>
        <v>Declining</v>
      </c>
      <c r="AK70" s="10" t="b">
        <f aca="false">IF(OR(N70="Growing",N70="Stable"),"Healthy",N70)&lt;&gt;IF(OR(AJ70="Growing",AJ70="Stable"),"Healthy",AJ70)</f>
        <v>0</v>
      </c>
      <c r="AL70" s="2" t="str">
        <f aca="false">IF(N70="Lapsed",IF(OR(O70&lt;=Assumptions!$B$48,W70&lt;=Assumptions!$B$49),"One-Off / Insufficient History — Verify","Established Buyer Lapsed"),"N/A")</f>
        <v>N/A</v>
      </c>
      <c r="AM70" s="2" t="n">
        <f aca="false">INDEX('Scored Accounts'!$M$2:$M$301,MATCH($A70,'Scored Accounts'!$A$2:$A$301,0))</f>
        <v>0</v>
      </c>
      <c r="AN70" s="2" t="n">
        <f aca="false">IF((P70/(P70+Q70)*100)&lt;=Assumptions!$B$13,0,IF((P70/(P70+Q70)*100)&lt;Assumptions!$B$14,25,IF((P70/(P70+Q70)*100)&lt;Assumptions!$B$15,50,IF((P70/(P70+Q70)*100)&lt;Assumptions!$B$16,75,100))))</f>
        <v>0</v>
      </c>
      <c r="AO70" s="21" t="n">
        <f aca="false">IF((P70/(P70+Q70)*100)&lt;=Assumptions!$B$8,0,AN70*Assumptions!$B$4+INDEX('Scored Accounts'!$N$2:$N$301,MATCH($A70,'Scored Accounts'!$A$2:$A$301,0))*Assumptions!$B$5+INDEX('Scored Accounts'!$O$2:$O$301,MATCH($A70,'Scored Accounts'!$A$2:$A$301,0))*Assumptions!$B$6)</f>
        <v>0</v>
      </c>
      <c r="AP70" s="2" t="str">
        <f aca="false">IF(AO70&gt;=Assumptions!$B$9,"High",IF(AO70&gt;=Assumptions!$B$10,"Medium","Low"))</f>
        <v>Low</v>
      </c>
      <c r="AQ70" s="10" t="b">
        <f aca="false">OR((E70&lt;=Assumptions!$B$8)&lt;&gt;((P70/(P70+Q70)*100)&lt;=Assumptions!$B$8),AM70&lt;&gt;AN70,G70&lt;&gt;AP70)</f>
        <v>0</v>
      </c>
      <c r="AR70" s="2" t="str">
        <f aca="false">IF(AP70&lt;&gt;"Low","Broker-Reliant",IF(B70="Account Managed","AM-Owned / Self-Serving","Self-Serve"))</f>
        <v>AM-Owned / Self-Serving</v>
      </c>
      <c r="AS70" s="2" t="str">
        <f aca="false">IF(AR70="Broker-Reliant",IF(J70="Tail","5. Cost-to-Serve / Low-Touch",IF(OR(N70="Growing",N70="Stable"),"1. Migration Candidate",IF(N70="Declining","2. Protect / Retain First",IF(N70="Lapsed","3. Win-Back / Verify",IF(N70="H2 Active / No H1 GMV","4. Establish / Re-establish / Observe","UNASSIGNED"))))),IF(AP70="Low",IF(J70="Tail","9. Long-Tail Automated Nurture",IF(OR(N70="Growing",N70="Stable"),"6. Growth Opportunity",IF(N70="H2 Active / No H1 GMV","7. Onboard / Re-engage / Learn",IF(OR(N70="Declining",N70="Lapsed"),"8. Retention / Reactivation","UNASSIGNED")))),"UNASSIGNED"))</f>
        <v>9. Long-Tail Automated Nurture</v>
      </c>
      <c r="AT70" s="10" t="b">
        <f aca="false">AS70&lt;&gt;T70</f>
        <v>0</v>
      </c>
      <c r="AU70" s="2" t="str">
        <f aca="false">IF(NOT(U70),"Not Eligible",IF(OR(AQ70,AH70,AK70,NOT(AND(W70&gt;=Assumptions!$B$83,O70&gt;=Assumptions!$B$84))),"Manual Review","Ready"))</f>
        <v>Not Eligible</v>
      </c>
      <c r="AV70" s="2" t="str">
        <f aca="false">IF(AG70,"Key account - human sign-off required; ","")&amp;IF(AH70,"Borderline momentum; ","")&amp;IF(AK70,"February-sensitive ("&amp;N70&amp;" -&gt; "&amp;AJ70&amp;"); ","")&amp;IF(AL70="One-Off / Insufficient History — Verify","Lapsed on thin history - verify; ","")&amp;IF(AQ70,"Material broker % inconsistency (implied tier "&amp;AP70&amp;"); ","")&amp;IF(AT70,"Implied broker % would move segment to "&amp;AS70&amp;"; ","")</f>
        <v/>
      </c>
      <c r="AW70" s="10" t="b">
        <f aca="false">AND(G70="Low",J70="Tail",I70&gt;=Assumptions!$B$64,O70&gt;=Assumptions!$B$65,OR(N70="Growing",N70="Stable",AND(N70="H2 Active / No H1 GMV",W70&gt;=2)),OR(R70&gt;=Assumptions!$B$66,S70&gt;=Assumptions!$B$67))</f>
        <v>0</v>
      </c>
    </row>
    <row r="71" customFormat="false" ht="15" hidden="false" customHeight="false" outlineLevel="0" collapsed="false">
      <c r="A71" s="2" t="s">
        <v>582</v>
      </c>
      <c r="B71" s="2" t="s">
        <v>1571</v>
      </c>
      <c r="C71" s="2" t="s">
        <v>1572</v>
      </c>
      <c r="D71" s="2" t="n">
        <v>7</v>
      </c>
      <c r="E71" s="2" t="n">
        <v>12</v>
      </c>
      <c r="F71" s="21" t="n">
        <f aca="false">INDEX('Scored Accounts'!$Q$2:$Q$301,MATCH($A71,'Scored Accounts'!$A$2:$A$301,0))</f>
        <v>0</v>
      </c>
      <c r="G71" s="2" t="str">
        <f aca="false">INDEX('Scored Accounts'!$R$2:$R$301,MATCH($A71,'Scored Accounts'!$A$2:$A$301,0))</f>
        <v>Low</v>
      </c>
      <c r="H71" s="2" t="str">
        <f aca="false">IF(OR(G71="High",G71="Medium"),"Broker-Reliant",IF(AND(G71="Low",B71="Account Managed"),"AM-Owned / Self-Serving",IF(AND(G71="Low",B71="Self Serve"),"Self-Serve","UNASSIGNED")))</f>
        <v>AM-Owned / Self-Serving</v>
      </c>
      <c r="I71" s="9" t="n">
        <v>1671</v>
      </c>
      <c r="J71" s="2" t="str">
        <f aca="false">IF(I71&gt;=Assumptions!$B$35,"Key",IF(I71&gt;=Assumptions!$B$34,"Core","Tail"))</f>
        <v>Tail</v>
      </c>
      <c r="K71" s="9" t="n">
        <f aca="false">INDEX('Commercial View'!$R$2:$R$301,MATCH($A71,'Commercial View'!$A$2:$A$301,0))</f>
        <v>1671</v>
      </c>
      <c r="L71" s="9" t="n">
        <f aca="false">INDEX('Commercial View'!$S$2:$S$301,MATCH($A71,'Commercial View'!$A$2:$A$301,0))</f>
        <v>0</v>
      </c>
      <c r="M71" s="17" t="n">
        <f aca="false">INDEX('Commercial View'!$T$2:$T$301,MATCH($A71,'Commercial View'!$A$2:$A$301,0))</f>
        <v>-1</v>
      </c>
      <c r="N71" s="2" t="str">
        <f aca="false">INDEX('Commercial View'!$U$2:$U$301,MATCH($A71,'Commercial View'!$A$2:$A$301,0))</f>
        <v>Lapsed</v>
      </c>
      <c r="O71" s="2" t="n">
        <v>1</v>
      </c>
      <c r="P71" s="2" t="n">
        <v>0</v>
      </c>
      <c r="Q71" s="2" t="n">
        <v>1</v>
      </c>
      <c r="R71" s="2" t="n">
        <v>11</v>
      </c>
      <c r="S71" s="2" t="n">
        <v>10</v>
      </c>
      <c r="T71" s="2" t="str">
        <f aca="false">IF(H71="Broker-Reliant",IF(J71="Tail","5. Cost-to-Serve / Low-Touch",IF(OR(N71="Growing",N71="Stable"),"1. Migration Candidate",IF(N71="Declining","2. Protect / Retain First",IF(N71="Lapsed","3. Win-Back / Verify",IF(N71="H2 Active / No H1 GMV","4. Establish / Re-establish / Observe","UNASSIGNED"))))),IF(G71="Low",IF(J71="Tail","9. Long-Tail Automated Nurture",IF(OR(N71="Growing",N71="Stable"),"6. Growth Opportunity",IF(N71="H2 Active / No H1 GMV","7. Onboard / Re-engage / Learn",IF(OR(N71="Declining",N71="Lapsed"),"8. Retention / Reactivation","UNASSIGNED")))),"UNASSIGNED"))</f>
        <v>9. Long-Tail Automated Nurture</v>
      </c>
      <c r="U71" s="10" t="b">
        <f aca="false">AND(T71="1. Migration Candidate",J71="Core",O71&gt;=Assumptions!$B$39,Q71&gt;=Assumptions!$B$40,NOT(Z71))</f>
        <v>0</v>
      </c>
      <c r="V71" s="2" t="n">
        <f aca="false">(AND(H71="Broker-Reliant",J71&lt;&gt;"Tail",OR(N71="Growing",N71="Stable")))*1+(AND(H71="Broker-Reliant",J71&lt;&gt;"Tail",N71="Declining"))*1+(AND(H71="Broker-Reliant",J71&lt;&gt;"Tail",N71="Lapsed"))*1+(AND(H71="Broker-Reliant",J71&lt;&gt;"Tail",N71="H2 Active / No H1 GMV"))*1+(AND(H71="Broker-Reliant",J71="Tail"))*1+(AND(G71="Low",J71&lt;&gt;"Tail",OR(N71="Growing",N71="Stable")))*1+(AND(G71="Low",J71&lt;&gt;"Tail",N71="H2 Active / No H1 GMV"))*1+(AND(G71="Low",J71&lt;&gt;"Tail",OR(N71="Declining",N71="Lapsed")))*1+(AND(G71="Low",J71="Tail"))*1</f>
        <v>1</v>
      </c>
      <c r="W71" s="2" t="n">
        <f aca="false">INDEX('Commercial View'!$V$2:$V$301,MATCH($A71,'Commercial View'!$A$2:$A$301,0))</f>
        <v>1</v>
      </c>
      <c r="X71" s="10" t="b">
        <f aca="false">O71&lt;=Assumptions!$B$30</f>
        <v>1</v>
      </c>
      <c r="Y71" s="10" t="b">
        <f aca="false">W71&lt;=1</f>
        <v>1</v>
      </c>
      <c r="Z71" s="10" t="b">
        <f aca="false">C71="Duplicate"</f>
        <v>0</v>
      </c>
      <c r="AA71" s="10" t="b">
        <f aca="false">C71=""</f>
        <v>0</v>
      </c>
      <c r="AB71" s="2" t="n">
        <f aca="false">IF(P71+Q71&gt;0,ROUND(P71/(P71+Q71)*100,0),"")</f>
        <v>0</v>
      </c>
      <c r="AC71" s="2" t="n">
        <f aca="false">IF(P71+Q71&gt;0,ROUND(E71-P71/(P71+Q71)*100,0),"")</f>
        <v>12</v>
      </c>
      <c r="AD71" s="10" t="b">
        <f aca="false">IF(AC71="",FALSE(),ABS(AC71)&gt;Assumptions!$B$41)</f>
        <v>1</v>
      </c>
      <c r="AE71" s="2" t="str">
        <f aca="false">IF(X71,"Low confidence (&lt;=2 orders); ","")&amp;IF(Y71,"Single-month history; ","")&amp;IF(Z71,"CRITICAL: Duplicate status; ","")&amp;IF(AA71,"Missing status; ","")&amp;IF(AD71,"Broker % vs counts gap "&amp;TEXT(AC71,"+0;-0")&amp;"pts; ","")</f>
        <v>Low confidence (&lt;=2 orders); Single-month history; Broker % vs counts gap +12pts; </v>
      </c>
      <c r="AF71" s="2" t="str">
        <f aca="false">IF(AND(K71=0,L71&gt;0),IF(D71&lt;=Assumptions!$B$47,"New Customer","Returned Customer"),"Existing Customer")</f>
        <v>Existing Customer</v>
      </c>
      <c r="AG71" s="10" t="b">
        <f aca="false">AND(T71="1. Migration Candidate",J71="Key")</f>
        <v>0</v>
      </c>
      <c r="AH71" s="10" t="b">
        <f aca="false">IF(AND(K71&gt;0,L71&gt;0),OR(ABS(M71-Assumptions!$B$36)&lt;=Assumptions!$B$46,ABS(M71+Assumptions!$B$36)&lt;=Assumptions!$B$46),FALSE())</f>
        <v>0</v>
      </c>
      <c r="AI71" s="9" t="n">
        <f aca="false">INDEX('Commercial View'!$L$2:$L$301,MATCH($A71,'Commercial View'!$A$2:$A$301,0))+INDEX('Commercial View'!$M$2:$M$301,MATCH($A71,'Commercial View'!$A$2:$A$301,0))</f>
        <v>0</v>
      </c>
      <c r="AJ71" s="2" t="str">
        <f aca="false">IF(AND(K71=0,AI71=0),"No activity ex-Feb",IF(AI71=0,"Lapsed",IF(K71=0,"H2 Active / No H1 GMV",IF((AI71/2)/(K71/3)-1&gt;=Assumptions!$B$36,"Growing",IF((AI71/2)/(K71/3)-1&lt;-Assumptions!$B$36,"Declining","Stable")))))</f>
        <v>Lapsed</v>
      </c>
      <c r="AK71" s="10" t="b">
        <f aca="false">IF(OR(N71="Growing",N71="Stable"),"Healthy",N71)&lt;&gt;IF(OR(AJ71="Growing",AJ71="Stable"),"Healthy",AJ71)</f>
        <v>0</v>
      </c>
      <c r="AL71" s="2" t="str">
        <f aca="false">IF(N71="Lapsed",IF(OR(O71&lt;=Assumptions!$B$48,W71&lt;=Assumptions!$B$49),"One-Off / Insufficient History — Verify","Established Buyer Lapsed"),"N/A")</f>
        <v>One-Off / Insufficient History — Verify</v>
      </c>
      <c r="AM71" s="2" t="n">
        <f aca="false">INDEX('Scored Accounts'!$M$2:$M$301,MATCH($A71,'Scored Accounts'!$A$2:$A$301,0))</f>
        <v>0</v>
      </c>
      <c r="AN71" s="2" t="n">
        <f aca="false">IF((P71/(P71+Q71)*100)&lt;=Assumptions!$B$13,0,IF((P71/(P71+Q71)*100)&lt;Assumptions!$B$14,25,IF((P71/(P71+Q71)*100)&lt;Assumptions!$B$15,50,IF((P71/(P71+Q71)*100)&lt;Assumptions!$B$16,75,100))))</f>
        <v>0</v>
      </c>
      <c r="AO71" s="21" t="n">
        <f aca="false">IF((P71/(P71+Q71)*100)&lt;=Assumptions!$B$8,0,AN71*Assumptions!$B$4+INDEX('Scored Accounts'!$N$2:$N$301,MATCH($A71,'Scored Accounts'!$A$2:$A$301,0))*Assumptions!$B$5+INDEX('Scored Accounts'!$O$2:$O$301,MATCH($A71,'Scored Accounts'!$A$2:$A$301,0))*Assumptions!$B$6)</f>
        <v>0</v>
      </c>
      <c r="AP71" s="2" t="str">
        <f aca="false">IF(AO71&gt;=Assumptions!$B$9,"High",IF(AO71&gt;=Assumptions!$B$10,"Medium","Low"))</f>
        <v>Low</v>
      </c>
      <c r="AQ71" s="10" t="b">
        <f aca="false">OR((E71&lt;=Assumptions!$B$8)&lt;&gt;((P71/(P71+Q71)*100)&lt;=Assumptions!$B$8),AM71&lt;&gt;AN71,G71&lt;&gt;AP71)</f>
        <v>0</v>
      </c>
      <c r="AR71" s="2" t="str">
        <f aca="false">IF(AP71&lt;&gt;"Low","Broker-Reliant",IF(B71="Account Managed","AM-Owned / Self-Serving","Self-Serve"))</f>
        <v>AM-Owned / Self-Serving</v>
      </c>
      <c r="AS71" s="2" t="str">
        <f aca="false">IF(AR71="Broker-Reliant",IF(J71="Tail","5. Cost-to-Serve / Low-Touch",IF(OR(N71="Growing",N71="Stable"),"1. Migration Candidate",IF(N71="Declining","2. Protect / Retain First",IF(N71="Lapsed","3. Win-Back / Verify",IF(N71="H2 Active / No H1 GMV","4. Establish / Re-establish / Observe","UNASSIGNED"))))),IF(AP71="Low",IF(J71="Tail","9. Long-Tail Automated Nurture",IF(OR(N71="Growing",N71="Stable"),"6. Growth Opportunity",IF(N71="H2 Active / No H1 GMV","7. Onboard / Re-engage / Learn",IF(OR(N71="Declining",N71="Lapsed"),"8. Retention / Reactivation","UNASSIGNED")))),"UNASSIGNED"))</f>
        <v>9. Long-Tail Automated Nurture</v>
      </c>
      <c r="AT71" s="10" t="b">
        <f aca="false">AS71&lt;&gt;T71</f>
        <v>0</v>
      </c>
      <c r="AU71" s="2" t="str">
        <f aca="false">IF(NOT(U71),"Not Eligible",IF(OR(AQ71,AH71,AK71,NOT(AND(W71&gt;=Assumptions!$B$83,O71&gt;=Assumptions!$B$84))),"Manual Review","Ready"))</f>
        <v>Not Eligible</v>
      </c>
      <c r="AV71" s="2" t="str">
        <f aca="false">IF(AG71,"Key account - human sign-off required; ","")&amp;IF(AH71,"Borderline momentum; ","")&amp;IF(AK71,"February-sensitive ("&amp;N71&amp;" -&gt; "&amp;AJ71&amp;"); ","")&amp;IF(AL71="One-Off / Insufficient History — Verify","Lapsed on thin history - verify; ","")&amp;IF(AQ71,"Material broker % inconsistency (implied tier "&amp;AP71&amp;"); ","")&amp;IF(AT71,"Implied broker % would move segment to "&amp;AS71&amp;"; ","")</f>
        <v>Lapsed on thin history - verify; </v>
      </c>
      <c r="AW71" s="10" t="b">
        <f aca="false">AND(G71="Low",J71="Tail",I71&gt;=Assumptions!$B$64,O71&gt;=Assumptions!$B$65,OR(N71="Growing",N71="Stable",AND(N71="H2 Active / No H1 GMV",W71&gt;=2)),OR(R71&gt;=Assumptions!$B$66,S71&gt;=Assumptions!$B$67))</f>
        <v>0</v>
      </c>
    </row>
    <row r="72" customFormat="false" ht="15" hidden="false" customHeight="false" outlineLevel="0" collapsed="false">
      <c r="A72" s="2" t="s">
        <v>510</v>
      </c>
      <c r="B72" s="2" t="s">
        <v>1571</v>
      </c>
      <c r="C72" s="2" t="s">
        <v>1572</v>
      </c>
      <c r="D72" s="2" t="n">
        <v>12</v>
      </c>
      <c r="E72" s="2" t="n">
        <v>73</v>
      </c>
      <c r="F72" s="21" t="n">
        <f aca="false">INDEX('Scored Accounts'!$Q$2:$Q$301,MATCH($A72,'Scored Accounts'!$A$2:$A$301,0))</f>
        <v>75</v>
      </c>
      <c r="G72" s="2" t="str">
        <f aca="false">INDEX('Scored Accounts'!$R$2:$R$301,MATCH($A72,'Scored Accounts'!$A$2:$A$301,0))</f>
        <v>High</v>
      </c>
      <c r="H72" s="2" t="str">
        <f aca="false">IF(OR(G72="High",G72="Medium"),"Broker-Reliant",IF(AND(G72="Low",B72="Account Managed"),"AM-Owned / Self-Serving",IF(AND(G72="Low",B72="Self Serve"),"Self-Serve","UNASSIGNED")))</f>
        <v>Broker-Reliant</v>
      </c>
      <c r="I72" s="9" t="n">
        <v>1614</v>
      </c>
      <c r="J72" s="2" t="str">
        <f aca="false">IF(I72&gt;=Assumptions!$B$35,"Key",IF(I72&gt;=Assumptions!$B$34,"Core","Tail"))</f>
        <v>Tail</v>
      </c>
      <c r="K72" s="9" t="n">
        <f aca="false">INDEX('Commercial View'!$R$2:$R$301,MATCH($A72,'Commercial View'!$A$2:$A$301,0))</f>
        <v>68</v>
      </c>
      <c r="L72" s="9" t="n">
        <f aca="false">INDEX('Commercial View'!$S$2:$S$301,MATCH($A72,'Commercial View'!$A$2:$A$301,0))</f>
        <v>1547</v>
      </c>
      <c r="M72" s="17" t="n">
        <f aca="false">INDEX('Commercial View'!$T$2:$T$301,MATCH($A72,'Commercial View'!$A$2:$A$301,0))</f>
        <v>21.75</v>
      </c>
      <c r="N72" s="2" t="str">
        <f aca="false">INDEX('Commercial View'!$U$2:$U$301,MATCH($A72,'Commercial View'!$A$2:$A$301,0))</f>
        <v>Growing</v>
      </c>
      <c r="O72" s="2" t="n">
        <v>6</v>
      </c>
      <c r="P72" s="2" t="n">
        <v>4</v>
      </c>
      <c r="Q72" s="2" t="n">
        <v>2</v>
      </c>
      <c r="R72" s="2" t="n">
        <v>6</v>
      </c>
      <c r="S72" s="2" t="n">
        <v>1</v>
      </c>
      <c r="T72" s="2" t="str">
        <f aca="false">IF(H72="Broker-Reliant",IF(J72="Tail","5. Cost-to-Serve / Low-Touch",IF(OR(N72="Growing",N72="Stable"),"1. Migration Candidate",IF(N72="Declining","2. Protect / Retain First",IF(N72="Lapsed","3. Win-Back / Verify",IF(N72="H2 Active / No H1 GMV","4. Establish / Re-establish / Observe","UNASSIGNED"))))),IF(G72="Low",IF(J72="Tail","9. Long-Tail Automated Nurture",IF(OR(N72="Growing",N72="Stable"),"6. Growth Opportunity",IF(N72="H2 Active / No H1 GMV","7. Onboard / Re-engage / Learn",IF(OR(N72="Declining",N72="Lapsed"),"8. Retention / Reactivation","UNASSIGNED")))),"UNASSIGNED"))</f>
        <v>5. Cost-to-Serve / Low-Touch</v>
      </c>
      <c r="U72" s="10" t="b">
        <f aca="false">AND(T72="1. Migration Candidate",J72="Core",O72&gt;=Assumptions!$B$39,Q72&gt;=Assumptions!$B$40,NOT(Z72))</f>
        <v>0</v>
      </c>
      <c r="V72" s="2" t="n">
        <f aca="false">(AND(H72="Broker-Reliant",J72&lt;&gt;"Tail",OR(N72="Growing",N72="Stable")))*1+(AND(H72="Broker-Reliant",J72&lt;&gt;"Tail",N72="Declining"))*1+(AND(H72="Broker-Reliant",J72&lt;&gt;"Tail",N72="Lapsed"))*1+(AND(H72="Broker-Reliant",J72&lt;&gt;"Tail",N72="H2 Active / No H1 GMV"))*1+(AND(H72="Broker-Reliant",J72="Tail"))*1+(AND(G72="Low",J72&lt;&gt;"Tail",OR(N72="Growing",N72="Stable")))*1+(AND(G72="Low",J72&lt;&gt;"Tail",N72="H2 Active / No H1 GMV"))*1+(AND(G72="Low",J72&lt;&gt;"Tail",OR(N72="Declining",N72="Lapsed")))*1+(AND(G72="Low",J72="Tail"))*1</f>
        <v>1</v>
      </c>
      <c r="W72" s="2" t="n">
        <f aca="false">INDEX('Commercial View'!$V$2:$V$301,MATCH($A72,'Commercial View'!$A$2:$A$301,0))</f>
        <v>3</v>
      </c>
      <c r="X72" s="10" t="b">
        <f aca="false">O72&lt;=Assumptions!$B$30</f>
        <v>0</v>
      </c>
      <c r="Y72" s="10" t="b">
        <f aca="false">W72&lt;=1</f>
        <v>0</v>
      </c>
      <c r="Z72" s="10" t="b">
        <f aca="false">C72="Duplicate"</f>
        <v>0</v>
      </c>
      <c r="AA72" s="10" t="b">
        <f aca="false">C72=""</f>
        <v>0</v>
      </c>
      <c r="AB72" s="2" t="n">
        <f aca="false">IF(P72+Q72&gt;0,ROUND(P72/(P72+Q72)*100,0),"")</f>
        <v>67</v>
      </c>
      <c r="AC72" s="2" t="n">
        <f aca="false">IF(P72+Q72&gt;0,ROUND(E72-P72/(P72+Q72)*100,0),"")</f>
        <v>6</v>
      </c>
      <c r="AD72" s="10" t="b">
        <f aca="false">IF(AC72="",FALSE(),ABS(AC72)&gt;Assumptions!$B$41)</f>
        <v>0</v>
      </c>
      <c r="AE72" s="2" t="str">
        <f aca="false">IF(X72,"Low confidence (&lt;=2 orders); ","")&amp;IF(Y72,"Single-month history; ","")&amp;IF(Z72,"CRITICAL: Duplicate status; ","")&amp;IF(AA72,"Missing status; ","")&amp;IF(AD72,"Broker % vs counts gap "&amp;TEXT(AC72,"+0;-0")&amp;"pts; ","")</f>
        <v/>
      </c>
      <c r="AF72" s="2" t="str">
        <f aca="false">IF(AND(K72=0,L72&gt;0),IF(D72&lt;=Assumptions!$B$47,"New Customer","Returned Customer"),"Existing Customer")</f>
        <v>Existing Customer</v>
      </c>
      <c r="AG72" s="10" t="b">
        <f aca="false">AND(T72="1. Migration Candidate",J72="Key")</f>
        <v>0</v>
      </c>
      <c r="AH72" s="10" t="b">
        <f aca="false">IF(AND(K72&gt;0,L72&gt;0),OR(ABS(M72-Assumptions!$B$36)&lt;=Assumptions!$B$46,ABS(M72+Assumptions!$B$36)&lt;=Assumptions!$B$46),FALSE())</f>
        <v>0</v>
      </c>
      <c r="AI72" s="9" t="n">
        <f aca="false">INDEX('Commercial View'!$L$2:$L$301,MATCH($A72,'Commercial View'!$A$2:$A$301,0))+INDEX('Commercial View'!$M$2:$M$301,MATCH($A72,'Commercial View'!$A$2:$A$301,0))</f>
        <v>1246</v>
      </c>
      <c r="AJ72" s="2" t="str">
        <f aca="false">IF(AND(K72=0,AI72=0),"No activity ex-Feb",IF(AI72=0,"Lapsed",IF(K72=0,"H2 Active / No H1 GMV",IF((AI72/2)/(K72/3)-1&gt;=Assumptions!$B$36,"Growing",IF((AI72/2)/(K72/3)-1&lt;-Assumptions!$B$36,"Declining","Stable")))))</f>
        <v>Growing</v>
      </c>
      <c r="AK72" s="10" t="b">
        <f aca="false">IF(OR(N72="Growing",N72="Stable"),"Healthy",N72)&lt;&gt;IF(OR(AJ72="Growing",AJ72="Stable"),"Healthy",AJ72)</f>
        <v>0</v>
      </c>
      <c r="AL72" s="2" t="str">
        <f aca="false">IF(N72="Lapsed",IF(OR(O72&lt;=Assumptions!$B$48,W72&lt;=Assumptions!$B$49),"One-Off / Insufficient History — Verify","Established Buyer Lapsed"),"N/A")</f>
        <v>N/A</v>
      </c>
      <c r="AM72" s="2" t="n">
        <f aca="false">INDEX('Scored Accounts'!$M$2:$M$301,MATCH($A72,'Scored Accounts'!$A$2:$A$301,0))</f>
        <v>75</v>
      </c>
      <c r="AN72" s="2" t="n">
        <f aca="false">IF((P72/(P72+Q72)*100)&lt;=Assumptions!$B$13,0,IF((P72/(P72+Q72)*100)&lt;Assumptions!$B$14,25,IF((P72/(P72+Q72)*100)&lt;Assumptions!$B$15,50,IF((P72/(P72+Q72)*100)&lt;Assumptions!$B$16,75,100))))</f>
        <v>75</v>
      </c>
      <c r="AO72" s="21" t="n">
        <f aca="false">IF((P72/(P72+Q72)*100)&lt;=Assumptions!$B$8,0,AN72*Assumptions!$B$4+INDEX('Scored Accounts'!$N$2:$N$301,MATCH($A72,'Scored Accounts'!$A$2:$A$301,0))*Assumptions!$B$5+INDEX('Scored Accounts'!$O$2:$O$301,MATCH($A72,'Scored Accounts'!$A$2:$A$301,0))*Assumptions!$B$6)</f>
        <v>75</v>
      </c>
      <c r="AP72" s="2" t="str">
        <f aca="false">IF(AO72&gt;=Assumptions!$B$9,"High",IF(AO72&gt;=Assumptions!$B$10,"Medium","Low"))</f>
        <v>High</v>
      </c>
      <c r="AQ72" s="10" t="b">
        <f aca="false">OR((E72&lt;=Assumptions!$B$8)&lt;&gt;((P72/(P72+Q72)*100)&lt;=Assumptions!$B$8),AM72&lt;&gt;AN72,G72&lt;&gt;AP72)</f>
        <v>0</v>
      </c>
      <c r="AR72" s="2" t="str">
        <f aca="false">IF(AP72&lt;&gt;"Low","Broker-Reliant",IF(B72="Account Managed","AM-Owned / Self-Serving","Self-Serve"))</f>
        <v>Broker-Reliant</v>
      </c>
      <c r="AS72" s="2" t="str">
        <f aca="false">IF(AR72="Broker-Reliant",IF(J72="Tail","5. Cost-to-Serve / Low-Touch",IF(OR(N72="Growing",N72="Stable"),"1. Migration Candidate",IF(N72="Declining","2. Protect / Retain First",IF(N72="Lapsed","3. Win-Back / Verify",IF(N72="H2 Active / No H1 GMV","4. Establish / Re-establish / Observe","UNASSIGNED"))))),IF(AP72="Low",IF(J72="Tail","9. Long-Tail Automated Nurture",IF(OR(N72="Growing",N72="Stable"),"6. Growth Opportunity",IF(N72="H2 Active / No H1 GMV","7. Onboard / Re-engage / Learn",IF(OR(N72="Declining",N72="Lapsed"),"8. Retention / Reactivation","UNASSIGNED")))),"UNASSIGNED"))</f>
        <v>5. Cost-to-Serve / Low-Touch</v>
      </c>
      <c r="AT72" s="10" t="b">
        <f aca="false">AS72&lt;&gt;T72</f>
        <v>0</v>
      </c>
      <c r="AU72" s="2" t="str">
        <f aca="false">IF(NOT(U72),"Not Eligible",IF(OR(AQ72,AH72,AK72,NOT(AND(W72&gt;=Assumptions!$B$83,O72&gt;=Assumptions!$B$84))),"Manual Review","Ready"))</f>
        <v>Not Eligible</v>
      </c>
      <c r="AV72" s="2" t="str">
        <f aca="false">IF(AG72,"Key account - human sign-off required; ","")&amp;IF(AH72,"Borderline momentum; ","")&amp;IF(AK72,"February-sensitive ("&amp;N72&amp;" -&gt; "&amp;AJ72&amp;"); ","")&amp;IF(AL72="One-Off / Insufficient History — Verify","Lapsed on thin history - verify; ","")&amp;IF(AQ72,"Material broker % inconsistency (implied tier "&amp;AP72&amp;"); ","")&amp;IF(AT72,"Implied broker % would move segment to "&amp;AS72&amp;"; ","")</f>
        <v/>
      </c>
      <c r="AW72" s="10" t="b">
        <f aca="false">AND(G72="Low",J72="Tail",I72&gt;=Assumptions!$B$64,O72&gt;=Assumptions!$B$65,OR(N72="Growing",N72="Stable",AND(N72="H2 Active / No H1 GMV",W72&gt;=2)),OR(R72&gt;=Assumptions!$B$66,S72&gt;=Assumptions!$B$67))</f>
        <v>0</v>
      </c>
    </row>
    <row r="73" customFormat="false" ht="15" hidden="false" customHeight="false" outlineLevel="0" collapsed="false">
      <c r="A73" s="2" t="s">
        <v>584</v>
      </c>
      <c r="B73" s="2" t="s">
        <v>1571</v>
      </c>
      <c r="C73" s="2"/>
      <c r="D73" s="2" t="n">
        <v>6</v>
      </c>
      <c r="E73" s="2" t="n">
        <v>20</v>
      </c>
      <c r="F73" s="21" t="n">
        <f aca="false">INDEX('Scored Accounts'!$Q$2:$Q$301,MATCH($A73,'Scored Accounts'!$A$2:$A$301,0))</f>
        <v>0</v>
      </c>
      <c r="G73" s="2" t="str">
        <f aca="false">INDEX('Scored Accounts'!$R$2:$R$301,MATCH($A73,'Scored Accounts'!$A$2:$A$301,0))</f>
        <v>Low</v>
      </c>
      <c r="H73" s="2" t="str">
        <f aca="false">IF(OR(G73="High",G73="Medium"),"Broker-Reliant",IF(AND(G73="Low",B73="Account Managed"),"AM-Owned / Self-Serving",IF(AND(G73="Low",B73="Self Serve"),"Self-Serve","UNASSIGNED")))</f>
        <v>AM-Owned / Self-Serving</v>
      </c>
      <c r="I73" s="9" t="n">
        <v>1542</v>
      </c>
      <c r="J73" s="2" t="str">
        <f aca="false">IF(I73&gt;=Assumptions!$B$35,"Key",IF(I73&gt;=Assumptions!$B$34,"Core","Tail"))</f>
        <v>Tail</v>
      </c>
      <c r="K73" s="9" t="n">
        <f aca="false">INDEX('Commercial View'!$R$2:$R$301,MATCH($A73,'Commercial View'!$A$2:$A$301,0))</f>
        <v>1298</v>
      </c>
      <c r="L73" s="9" t="n">
        <f aca="false">INDEX('Commercial View'!$S$2:$S$301,MATCH($A73,'Commercial View'!$A$2:$A$301,0))</f>
        <v>244</v>
      </c>
      <c r="M73" s="17" t="n">
        <f aca="false">INDEX('Commercial View'!$T$2:$T$301,MATCH($A73,'Commercial View'!$A$2:$A$301,0))</f>
        <v>-0.812018489984592</v>
      </c>
      <c r="N73" s="2" t="str">
        <f aca="false">INDEX('Commercial View'!$U$2:$U$301,MATCH($A73,'Commercial View'!$A$2:$A$301,0))</f>
        <v>Declining</v>
      </c>
      <c r="O73" s="2" t="n">
        <v>5</v>
      </c>
      <c r="P73" s="2" t="n">
        <v>1</v>
      </c>
      <c r="Q73" s="2" t="n">
        <v>4</v>
      </c>
      <c r="R73" s="2" t="n">
        <v>77</v>
      </c>
      <c r="S73" s="2" t="n">
        <v>17</v>
      </c>
      <c r="T73" s="2" t="str">
        <f aca="false">IF(H73="Broker-Reliant",IF(J73="Tail","5. Cost-to-Serve / Low-Touch",IF(OR(N73="Growing",N73="Stable"),"1. Migration Candidate",IF(N73="Declining","2. Protect / Retain First",IF(N73="Lapsed","3. Win-Back / Verify",IF(N73="H2 Active / No H1 GMV","4. Establish / Re-establish / Observe","UNASSIGNED"))))),IF(G73="Low",IF(J73="Tail","9. Long-Tail Automated Nurture",IF(OR(N73="Growing",N73="Stable"),"6. Growth Opportunity",IF(N73="H2 Active / No H1 GMV","7. Onboard / Re-engage / Learn",IF(OR(N73="Declining",N73="Lapsed"),"8. Retention / Reactivation","UNASSIGNED")))),"UNASSIGNED"))</f>
        <v>9. Long-Tail Automated Nurture</v>
      </c>
      <c r="U73" s="10" t="b">
        <f aca="false">AND(T73="1. Migration Candidate",J73="Core",O73&gt;=Assumptions!$B$39,Q73&gt;=Assumptions!$B$40,NOT(Z73))</f>
        <v>0</v>
      </c>
      <c r="V73" s="2" t="n">
        <f aca="false">(AND(H73="Broker-Reliant",J73&lt;&gt;"Tail",OR(N73="Growing",N73="Stable")))*1+(AND(H73="Broker-Reliant",J73&lt;&gt;"Tail",N73="Declining"))*1+(AND(H73="Broker-Reliant",J73&lt;&gt;"Tail",N73="Lapsed"))*1+(AND(H73="Broker-Reliant",J73&lt;&gt;"Tail",N73="H2 Active / No H1 GMV"))*1+(AND(H73="Broker-Reliant",J73="Tail"))*1+(AND(G73="Low",J73&lt;&gt;"Tail",OR(N73="Growing",N73="Stable")))*1+(AND(G73="Low",J73&lt;&gt;"Tail",N73="H2 Active / No H1 GMV"))*1+(AND(G73="Low",J73&lt;&gt;"Tail",OR(N73="Declining",N73="Lapsed")))*1+(AND(G73="Low",J73="Tail"))*1</f>
        <v>1</v>
      </c>
      <c r="W73" s="2" t="n">
        <f aca="false">INDEX('Commercial View'!$V$2:$V$301,MATCH($A73,'Commercial View'!$A$2:$A$301,0))</f>
        <v>3</v>
      </c>
      <c r="X73" s="10" t="b">
        <f aca="false">O73&lt;=Assumptions!$B$30</f>
        <v>0</v>
      </c>
      <c r="Y73" s="10" t="b">
        <f aca="false">W73&lt;=1</f>
        <v>0</v>
      </c>
      <c r="Z73" s="10" t="b">
        <f aca="false">C73="Duplicate"</f>
        <v>0</v>
      </c>
      <c r="AA73" s="10" t="b">
        <f aca="false">C73=""</f>
        <v>1</v>
      </c>
      <c r="AB73" s="2" t="n">
        <f aca="false">IF(P73+Q73&gt;0,ROUND(P73/(P73+Q73)*100,0),"")</f>
        <v>20</v>
      </c>
      <c r="AC73" s="2" t="n">
        <f aca="false">IF(P73+Q73&gt;0,ROUND(E73-P73/(P73+Q73)*100,0),"")</f>
        <v>0</v>
      </c>
      <c r="AD73" s="10" t="b">
        <f aca="false">IF(AC73="",FALSE(),ABS(AC73)&gt;Assumptions!$B$41)</f>
        <v>0</v>
      </c>
      <c r="AE73" s="2" t="str">
        <f aca="false">IF(X73,"Low confidence (&lt;=2 orders); ","")&amp;IF(Y73,"Single-month history; ","")&amp;IF(Z73,"CRITICAL: Duplicate status; ","")&amp;IF(AA73,"Missing status; ","")&amp;IF(AD73,"Broker % vs counts gap "&amp;TEXT(AC73,"+0;-0")&amp;"pts; ","")</f>
        <v>Missing status; </v>
      </c>
      <c r="AF73" s="2" t="str">
        <f aca="false">IF(AND(K73=0,L73&gt;0),IF(D73&lt;=Assumptions!$B$47,"New Customer","Returned Customer"),"Existing Customer")</f>
        <v>Existing Customer</v>
      </c>
      <c r="AG73" s="10" t="b">
        <f aca="false">AND(T73="1. Migration Candidate",J73="Key")</f>
        <v>0</v>
      </c>
      <c r="AH73" s="10" t="b">
        <f aca="false">IF(AND(K73&gt;0,L73&gt;0),OR(ABS(M73-Assumptions!$B$36)&lt;=Assumptions!$B$46,ABS(M73+Assumptions!$B$36)&lt;=Assumptions!$B$46),FALSE())</f>
        <v>0</v>
      </c>
      <c r="AI73" s="9" t="n">
        <f aca="false">INDEX('Commercial View'!$L$2:$L$301,MATCH($A73,'Commercial View'!$A$2:$A$301,0))+INDEX('Commercial View'!$M$2:$M$301,MATCH($A73,'Commercial View'!$A$2:$A$301,0))</f>
        <v>244</v>
      </c>
      <c r="AJ73" s="2" t="str">
        <f aca="false">IF(AND(K73=0,AI73=0),"No activity ex-Feb",IF(AI73=0,"Lapsed",IF(K73=0,"H2 Active / No H1 GMV",IF((AI73/2)/(K73/3)-1&gt;=Assumptions!$B$36,"Growing",IF((AI73/2)/(K73/3)-1&lt;-Assumptions!$B$36,"Declining","Stable")))))</f>
        <v>Declining</v>
      </c>
      <c r="AK73" s="10" t="b">
        <f aca="false">IF(OR(N73="Growing",N73="Stable"),"Healthy",N73)&lt;&gt;IF(OR(AJ73="Growing",AJ73="Stable"),"Healthy",AJ73)</f>
        <v>0</v>
      </c>
      <c r="AL73" s="2" t="str">
        <f aca="false">IF(N73="Lapsed",IF(OR(O73&lt;=Assumptions!$B$48,W73&lt;=Assumptions!$B$49),"One-Off / Insufficient History — Verify","Established Buyer Lapsed"),"N/A")</f>
        <v>N/A</v>
      </c>
      <c r="AM73" s="2" t="n">
        <f aca="false">INDEX('Scored Accounts'!$M$2:$M$301,MATCH($A73,'Scored Accounts'!$A$2:$A$301,0))</f>
        <v>0</v>
      </c>
      <c r="AN73" s="2" t="n">
        <f aca="false">IF((P73/(P73+Q73)*100)&lt;=Assumptions!$B$13,0,IF((P73/(P73+Q73)*100)&lt;Assumptions!$B$14,25,IF((P73/(P73+Q73)*100)&lt;Assumptions!$B$15,50,IF((P73/(P73+Q73)*100)&lt;Assumptions!$B$16,75,100))))</f>
        <v>0</v>
      </c>
      <c r="AO73" s="21" t="n">
        <f aca="false">IF((P73/(P73+Q73)*100)&lt;=Assumptions!$B$8,0,AN73*Assumptions!$B$4+INDEX('Scored Accounts'!$N$2:$N$301,MATCH($A73,'Scored Accounts'!$A$2:$A$301,0))*Assumptions!$B$5+INDEX('Scored Accounts'!$O$2:$O$301,MATCH($A73,'Scored Accounts'!$A$2:$A$301,0))*Assumptions!$B$6)</f>
        <v>0</v>
      </c>
      <c r="AP73" s="2" t="str">
        <f aca="false">IF(AO73&gt;=Assumptions!$B$9,"High",IF(AO73&gt;=Assumptions!$B$10,"Medium","Low"))</f>
        <v>Low</v>
      </c>
      <c r="AQ73" s="10" t="b">
        <f aca="false">OR((E73&lt;=Assumptions!$B$8)&lt;&gt;((P73/(P73+Q73)*100)&lt;=Assumptions!$B$8),AM73&lt;&gt;AN73,G73&lt;&gt;AP73)</f>
        <v>0</v>
      </c>
      <c r="AR73" s="2" t="str">
        <f aca="false">IF(AP73&lt;&gt;"Low","Broker-Reliant",IF(B73="Account Managed","AM-Owned / Self-Serving","Self-Serve"))</f>
        <v>AM-Owned / Self-Serving</v>
      </c>
      <c r="AS73" s="2" t="str">
        <f aca="false">IF(AR73="Broker-Reliant",IF(J73="Tail","5. Cost-to-Serve / Low-Touch",IF(OR(N73="Growing",N73="Stable"),"1. Migration Candidate",IF(N73="Declining","2. Protect / Retain First",IF(N73="Lapsed","3. Win-Back / Verify",IF(N73="H2 Active / No H1 GMV","4. Establish / Re-establish / Observe","UNASSIGNED"))))),IF(AP73="Low",IF(J73="Tail","9. Long-Tail Automated Nurture",IF(OR(N73="Growing",N73="Stable"),"6. Growth Opportunity",IF(N73="H2 Active / No H1 GMV","7. Onboard / Re-engage / Learn",IF(OR(N73="Declining",N73="Lapsed"),"8. Retention / Reactivation","UNASSIGNED")))),"UNASSIGNED"))</f>
        <v>9. Long-Tail Automated Nurture</v>
      </c>
      <c r="AT73" s="10" t="b">
        <f aca="false">AS73&lt;&gt;T73</f>
        <v>0</v>
      </c>
      <c r="AU73" s="2" t="str">
        <f aca="false">IF(NOT(U73),"Not Eligible",IF(OR(AQ73,AH73,AK73,NOT(AND(W73&gt;=Assumptions!$B$83,O73&gt;=Assumptions!$B$84))),"Manual Review","Ready"))</f>
        <v>Not Eligible</v>
      </c>
      <c r="AV73" s="2" t="str">
        <f aca="false">IF(AG73,"Key account - human sign-off required; ","")&amp;IF(AH73,"Borderline momentum; ","")&amp;IF(AK73,"February-sensitive ("&amp;N73&amp;" -&gt; "&amp;AJ73&amp;"); ","")&amp;IF(AL73="One-Off / Insufficient History — Verify","Lapsed on thin history - verify; ","")&amp;IF(AQ73,"Material broker % inconsistency (implied tier "&amp;AP73&amp;"); ","")&amp;IF(AT73,"Implied broker % would move segment to "&amp;AS73&amp;"; ","")</f>
        <v/>
      </c>
      <c r="AW73" s="10" t="b">
        <f aca="false">AND(G73="Low",J73="Tail",I73&gt;=Assumptions!$B$64,O73&gt;=Assumptions!$B$65,OR(N73="Growing",N73="Stable",AND(N73="H2 Active / No H1 GMV",W73&gt;=2)),OR(R73&gt;=Assumptions!$B$66,S73&gt;=Assumptions!$B$67))</f>
        <v>0</v>
      </c>
    </row>
    <row r="74" customFormat="false" ht="15" hidden="false" customHeight="false" outlineLevel="0" collapsed="false">
      <c r="A74" s="2" t="s">
        <v>586</v>
      </c>
      <c r="B74" s="2" t="s">
        <v>1571</v>
      </c>
      <c r="C74" s="2" t="s">
        <v>1572</v>
      </c>
      <c r="D74" s="2" t="n">
        <v>26</v>
      </c>
      <c r="E74" s="2" t="n">
        <v>2</v>
      </c>
      <c r="F74" s="21" t="n">
        <f aca="false">INDEX('Scored Accounts'!$Q$2:$Q$301,MATCH($A74,'Scored Accounts'!$A$2:$A$301,0))</f>
        <v>0</v>
      </c>
      <c r="G74" s="2" t="str">
        <f aca="false">INDEX('Scored Accounts'!$R$2:$R$301,MATCH($A74,'Scored Accounts'!$A$2:$A$301,0))</f>
        <v>Low</v>
      </c>
      <c r="H74" s="2" t="str">
        <f aca="false">IF(OR(G74="High",G74="Medium"),"Broker-Reliant",IF(AND(G74="Low",B74="Account Managed"),"AM-Owned / Self-Serving",IF(AND(G74="Low",B74="Self Serve"),"Self-Serve","UNASSIGNED")))</f>
        <v>AM-Owned / Self-Serving</v>
      </c>
      <c r="I74" s="9" t="n">
        <v>1501</v>
      </c>
      <c r="J74" s="2" t="str">
        <f aca="false">IF(I74&gt;=Assumptions!$B$35,"Key",IF(I74&gt;=Assumptions!$B$34,"Core","Tail"))</f>
        <v>Tail</v>
      </c>
      <c r="K74" s="9" t="n">
        <f aca="false">INDEX('Commercial View'!$R$2:$R$301,MATCH($A74,'Commercial View'!$A$2:$A$301,0))</f>
        <v>0</v>
      </c>
      <c r="L74" s="9" t="n">
        <f aca="false">INDEX('Commercial View'!$S$2:$S$301,MATCH($A74,'Commercial View'!$A$2:$A$301,0))</f>
        <v>1501</v>
      </c>
      <c r="M74" s="17" t="str">
        <f aca="false">INDEX('Commercial View'!$T$2:$T$301,MATCH($A74,'Commercial View'!$A$2:$A$301,0))</f>
        <v/>
      </c>
      <c r="N74" s="2" t="str">
        <f aca="false">INDEX('Commercial View'!$U$2:$U$301,MATCH($A74,'Commercial View'!$A$2:$A$301,0))</f>
        <v>H2 Active / No H1 GMV</v>
      </c>
      <c r="O74" s="2" t="n">
        <v>1</v>
      </c>
      <c r="P74" s="2" t="n">
        <v>0</v>
      </c>
      <c r="Q74" s="2" t="n">
        <v>1</v>
      </c>
      <c r="R74" s="2" t="n">
        <v>11</v>
      </c>
      <c r="S74" s="2" t="n">
        <v>0</v>
      </c>
      <c r="T74" s="2" t="str">
        <f aca="false">IF(H74="Broker-Reliant",IF(J74="Tail","5. Cost-to-Serve / Low-Touch",IF(OR(N74="Growing",N74="Stable"),"1. Migration Candidate",IF(N74="Declining","2. Protect / Retain First",IF(N74="Lapsed","3. Win-Back / Verify",IF(N74="H2 Active / No H1 GMV","4. Establish / Re-establish / Observe","UNASSIGNED"))))),IF(G74="Low",IF(J74="Tail","9. Long-Tail Automated Nurture",IF(OR(N74="Growing",N74="Stable"),"6. Growth Opportunity",IF(N74="H2 Active / No H1 GMV","7. Onboard / Re-engage / Learn",IF(OR(N74="Declining",N74="Lapsed"),"8. Retention / Reactivation","UNASSIGNED")))),"UNASSIGNED"))</f>
        <v>9. Long-Tail Automated Nurture</v>
      </c>
      <c r="U74" s="10" t="b">
        <f aca="false">AND(T74="1. Migration Candidate",J74="Core",O74&gt;=Assumptions!$B$39,Q74&gt;=Assumptions!$B$40,NOT(Z74))</f>
        <v>0</v>
      </c>
      <c r="V74" s="2" t="n">
        <f aca="false">(AND(H74="Broker-Reliant",J74&lt;&gt;"Tail",OR(N74="Growing",N74="Stable")))*1+(AND(H74="Broker-Reliant",J74&lt;&gt;"Tail",N74="Declining"))*1+(AND(H74="Broker-Reliant",J74&lt;&gt;"Tail",N74="Lapsed"))*1+(AND(H74="Broker-Reliant",J74&lt;&gt;"Tail",N74="H2 Active / No H1 GMV"))*1+(AND(H74="Broker-Reliant",J74="Tail"))*1+(AND(G74="Low",J74&lt;&gt;"Tail",OR(N74="Growing",N74="Stable")))*1+(AND(G74="Low",J74&lt;&gt;"Tail",N74="H2 Active / No H1 GMV"))*1+(AND(G74="Low",J74&lt;&gt;"Tail",OR(N74="Declining",N74="Lapsed")))*1+(AND(G74="Low",J74="Tail"))*1</f>
        <v>1</v>
      </c>
      <c r="W74" s="2" t="n">
        <f aca="false">INDEX('Commercial View'!$V$2:$V$301,MATCH($A74,'Commercial View'!$A$2:$A$301,0))</f>
        <v>1</v>
      </c>
      <c r="X74" s="10" t="b">
        <f aca="false">O74&lt;=Assumptions!$B$30</f>
        <v>1</v>
      </c>
      <c r="Y74" s="10" t="b">
        <f aca="false">W74&lt;=1</f>
        <v>1</v>
      </c>
      <c r="Z74" s="10" t="b">
        <f aca="false">C74="Duplicate"</f>
        <v>0</v>
      </c>
      <c r="AA74" s="10" t="b">
        <f aca="false">C74=""</f>
        <v>0</v>
      </c>
      <c r="AB74" s="2" t="n">
        <f aca="false">IF(P74+Q74&gt;0,ROUND(P74/(P74+Q74)*100,0),"")</f>
        <v>0</v>
      </c>
      <c r="AC74" s="2" t="n">
        <f aca="false">IF(P74+Q74&gt;0,ROUND(E74-P74/(P74+Q74)*100,0),"")</f>
        <v>2</v>
      </c>
      <c r="AD74" s="10" t="b">
        <f aca="false">IF(AC74="",FALSE(),ABS(AC74)&gt;Assumptions!$B$41)</f>
        <v>0</v>
      </c>
      <c r="AE74" s="2" t="str">
        <f aca="false">IF(X74,"Low confidence (&lt;=2 orders); ","")&amp;IF(Y74,"Single-month history; ","")&amp;IF(Z74,"CRITICAL: Duplicate status; ","")&amp;IF(AA74,"Missing status; ","")&amp;IF(AD74,"Broker % vs counts gap "&amp;TEXT(AC74,"+0;-0")&amp;"pts; ","")</f>
        <v>Low confidence (&lt;=2 orders); Single-month history; </v>
      </c>
      <c r="AF74" s="2" t="str">
        <f aca="false">IF(AND(K74=0,L74&gt;0),IF(D74&lt;=Assumptions!$B$47,"New Customer","Returned Customer"),"Existing Customer")</f>
        <v>Returned Customer</v>
      </c>
      <c r="AG74" s="10" t="b">
        <f aca="false">AND(T74="1. Migration Candidate",J74="Key")</f>
        <v>0</v>
      </c>
      <c r="AH74" s="10" t="b">
        <f aca="false">IF(AND(K74&gt;0,L74&gt;0),OR(ABS(M74-Assumptions!$B$36)&lt;=Assumptions!$B$46,ABS(M74+Assumptions!$B$36)&lt;=Assumptions!$B$46),FALSE())</f>
        <v>0</v>
      </c>
      <c r="AI74" s="9" t="n">
        <f aca="false">INDEX('Commercial View'!$L$2:$L$301,MATCH($A74,'Commercial View'!$A$2:$A$301,0))+INDEX('Commercial View'!$M$2:$M$301,MATCH($A74,'Commercial View'!$A$2:$A$301,0))</f>
        <v>1501</v>
      </c>
      <c r="AJ74" s="2" t="str">
        <f aca="false">IF(AND(K74=0,AI74=0),"No activity ex-Feb",IF(AI74=0,"Lapsed",IF(K74=0,"H2 Active / No H1 GMV",IF((AI74/2)/(K74/3)-1&gt;=Assumptions!$B$36,"Growing",IF((AI74/2)/(K74/3)-1&lt;-Assumptions!$B$36,"Declining","Stable")))))</f>
        <v>H2 Active / No H1 GMV</v>
      </c>
      <c r="AK74" s="10" t="b">
        <f aca="false">IF(OR(N74="Growing",N74="Stable"),"Healthy",N74)&lt;&gt;IF(OR(AJ74="Growing",AJ74="Stable"),"Healthy",AJ74)</f>
        <v>0</v>
      </c>
      <c r="AL74" s="2" t="str">
        <f aca="false">IF(N74="Lapsed",IF(OR(O74&lt;=Assumptions!$B$48,W74&lt;=Assumptions!$B$49),"One-Off / Insufficient History — Verify","Established Buyer Lapsed"),"N/A")</f>
        <v>N/A</v>
      </c>
      <c r="AM74" s="2" t="n">
        <f aca="false">INDEX('Scored Accounts'!$M$2:$M$301,MATCH($A74,'Scored Accounts'!$A$2:$A$301,0))</f>
        <v>0</v>
      </c>
      <c r="AN74" s="2" t="n">
        <f aca="false">IF((P74/(P74+Q74)*100)&lt;=Assumptions!$B$13,0,IF((P74/(P74+Q74)*100)&lt;Assumptions!$B$14,25,IF((P74/(P74+Q74)*100)&lt;Assumptions!$B$15,50,IF((P74/(P74+Q74)*100)&lt;Assumptions!$B$16,75,100))))</f>
        <v>0</v>
      </c>
      <c r="AO74" s="21" t="n">
        <f aca="false">IF((P74/(P74+Q74)*100)&lt;=Assumptions!$B$8,0,AN74*Assumptions!$B$4+INDEX('Scored Accounts'!$N$2:$N$301,MATCH($A74,'Scored Accounts'!$A$2:$A$301,0))*Assumptions!$B$5+INDEX('Scored Accounts'!$O$2:$O$301,MATCH($A74,'Scored Accounts'!$A$2:$A$301,0))*Assumptions!$B$6)</f>
        <v>0</v>
      </c>
      <c r="AP74" s="2" t="str">
        <f aca="false">IF(AO74&gt;=Assumptions!$B$9,"High",IF(AO74&gt;=Assumptions!$B$10,"Medium","Low"))</f>
        <v>Low</v>
      </c>
      <c r="AQ74" s="10" t="b">
        <f aca="false">OR((E74&lt;=Assumptions!$B$8)&lt;&gt;((P74/(P74+Q74)*100)&lt;=Assumptions!$B$8),AM74&lt;&gt;AN74,G74&lt;&gt;AP74)</f>
        <v>0</v>
      </c>
      <c r="AR74" s="2" t="str">
        <f aca="false">IF(AP74&lt;&gt;"Low","Broker-Reliant",IF(B74="Account Managed","AM-Owned / Self-Serving","Self-Serve"))</f>
        <v>AM-Owned / Self-Serving</v>
      </c>
      <c r="AS74" s="2" t="str">
        <f aca="false">IF(AR74="Broker-Reliant",IF(J74="Tail","5. Cost-to-Serve / Low-Touch",IF(OR(N74="Growing",N74="Stable"),"1. Migration Candidate",IF(N74="Declining","2. Protect / Retain First",IF(N74="Lapsed","3. Win-Back / Verify",IF(N74="H2 Active / No H1 GMV","4. Establish / Re-establish / Observe","UNASSIGNED"))))),IF(AP74="Low",IF(J74="Tail","9. Long-Tail Automated Nurture",IF(OR(N74="Growing",N74="Stable"),"6. Growth Opportunity",IF(N74="H2 Active / No H1 GMV","7. Onboard / Re-engage / Learn",IF(OR(N74="Declining",N74="Lapsed"),"8. Retention / Reactivation","UNASSIGNED")))),"UNASSIGNED"))</f>
        <v>9. Long-Tail Automated Nurture</v>
      </c>
      <c r="AT74" s="10" t="b">
        <f aca="false">AS74&lt;&gt;T74</f>
        <v>0</v>
      </c>
      <c r="AU74" s="2" t="str">
        <f aca="false">IF(NOT(U74),"Not Eligible",IF(OR(AQ74,AH74,AK74,NOT(AND(W74&gt;=Assumptions!$B$83,O74&gt;=Assumptions!$B$84))),"Manual Review","Ready"))</f>
        <v>Not Eligible</v>
      </c>
      <c r="AV74" s="2" t="str">
        <f aca="false">IF(AG74,"Key account - human sign-off required; ","")&amp;IF(AH74,"Borderline momentum; ","")&amp;IF(AK74,"February-sensitive ("&amp;N74&amp;" -&gt; "&amp;AJ74&amp;"); ","")&amp;IF(AL74="One-Off / Insufficient History — Verify","Lapsed on thin history - verify; ","")&amp;IF(AQ74,"Material broker % inconsistency (implied tier "&amp;AP74&amp;"); ","")&amp;IF(AT74,"Implied broker % would move segment to "&amp;AS74&amp;"; ","")</f>
        <v/>
      </c>
      <c r="AW74" s="10" t="b">
        <f aca="false">AND(G74="Low",J74="Tail",I74&gt;=Assumptions!$B$64,O74&gt;=Assumptions!$B$65,OR(N74="Growing",N74="Stable",AND(N74="H2 Active / No H1 GMV",W74&gt;=2)),OR(R74&gt;=Assumptions!$B$66,S74&gt;=Assumptions!$B$67))</f>
        <v>0</v>
      </c>
    </row>
    <row r="75" customFormat="false" ht="15" hidden="false" customHeight="false" outlineLevel="0" collapsed="false">
      <c r="A75" s="2" t="s">
        <v>513</v>
      </c>
      <c r="B75" s="2" t="s">
        <v>1571</v>
      </c>
      <c r="C75" s="2" t="s">
        <v>1572</v>
      </c>
      <c r="D75" s="2" t="n">
        <v>10</v>
      </c>
      <c r="E75" s="2" t="n">
        <v>70</v>
      </c>
      <c r="F75" s="21" t="n">
        <f aca="false">INDEX('Scored Accounts'!$Q$2:$Q$301,MATCH($A75,'Scored Accounts'!$A$2:$A$301,0))</f>
        <v>80</v>
      </c>
      <c r="G75" s="2" t="str">
        <f aca="false">INDEX('Scored Accounts'!$R$2:$R$301,MATCH($A75,'Scored Accounts'!$A$2:$A$301,0))</f>
        <v>High</v>
      </c>
      <c r="H75" s="2" t="str">
        <f aca="false">IF(OR(G75="High",G75="Medium"),"Broker-Reliant",IF(AND(G75="Low",B75="Account Managed"),"AM-Owned / Self-Serving",IF(AND(G75="Low",B75="Self Serve"),"Self-Serve","UNASSIGNED")))</f>
        <v>Broker-Reliant</v>
      </c>
      <c r="I75" s="9" t="n">
        <v>1448</v>
      </c>
      <c r="J75" s="2" t="str">
        <f aca="false">IF(I75&gt;=Assumptions!$B$35,"Key",IF(I75&gt;=Assumptions!$B$34,"Core","Tail"))</f>
        <v>Tail</v>
      </c>
      <c r="K75" s="9" t="n">
        <f aca="false">INDEX('Commercial View'!$R$2:$R$301,MATCH($A75,'Commercial View'!$A$2:$A$301,0))</f>
        <v>0</v>
      </c>
      <c r="L75" s="9" t="n">
        <f aca="false">INDEX('Commercial View'!$S$2:$S$301,MATCH($A75,'Commercial View'!$A$2:$A$301,0))</f>
        <v>1448</v>
      </c>
      <c r="M75" s="17" t="str">
        <f aca="false">INDEX('Commercial View'!$T$2:$T$301,MATCH($A75,'Commercial View'!$A$2:$A$301,0))</f>
        <v/>
      </c>
      <c r="N75" s="2" t="str">
        <f aca="false">INDEX('Commercial View'!$U$2:$U$301,MATCH($A75,'Commercial View'!$A$2:$A$301,0))</f>
        <v>H2 Active / No H1 GMV</v>
      </c>
      <c r="O75" s="2" t="n">
        <v>2</v>
      </c>
      <c r="P75" s="2" t="n">
        <v>1</v>
      </c>
      <c r="Q75" s="2" t="n">
        <v>1</v>
      </c>
      <c r="R75" s="2" t="n">
        <v>8</v>
      </c>
      <c r="S75" s="2" t="n">
        <v>0</v>
      </c>
      <c r="T75" s="2" t="str">
        <f aca="false">IF(H75="Broker-Reliant",IF(J75="Tail","5. Cost-to-Serve / Low-Touch",IF(OR(N75="Growing",N75="Stable"),"1. Migration Candidate",IF(N75="Declining","2. Protect / Retain First",IF(N75="Lapsed","3. Win-Back / Verify",IF(N75="H2 Active / No H1 GMV","4. Establish / Re-establish / Observe","UNASSIGNED"))))),IF(G75="Low",IF(J75="Tail","9. Long-Tail Automated Nurture",IF(OR(N75="Growing",N75="Stable"),"6. Growth Opportunity",IF(N75="H2 Active / No H1 GMV","7. Onboard / Re-engage / Learn",IF(OR(N75="Declining",N75="Lapsed"),"8. Retention / Reactivation","UNASSIGNED")))),"UNASSIGNED"))</f>
        <v>5. Cost-to-Serve / Low-Touch</v>
      </c>
      <c r="U75" s="10" t="b">
        <f aca="false">AND(T75="1. Migration Candidate",J75="Core",O75&gt;=Assumptions!$B$39,Q75&gt;=Assumptions!$B$40,NOT(Z75))</f>
        <v>0</v>
      </c>
      <c r="V75" s="2" t="n">
        <f aca="false">(AND(H75="Broker-Reliant",J75&lt;&gt;"Tail",OR(N75="Growing",N75="Stable")))*1+(AND(H75="Broker-Reliant",J75&lt;&gt;"Tail",N75="Declining"))*1+(AND(H75="Broker-Reliant",J75&lt;&gt;"Tail",N75="Lapsed"))*1+(AND(H75="Broker-Reliant",J75&lt;&gt;"Tail",N75="H2 Active / No H1 GMV"))*1+(AND(H75="Broker-Reliant",J75="Tail"))*1+(AND(G75="Low",J75&lt;&gt;"Tail",OR(N75="Growing",N75="Stable")))*1+(AND(G75="Low",J75&lt;&gt;"Tail",N75="H2 Active / No H1 GMV"))*1+(AND(G75="Low",J75&lt;&gt;"Tail",OR(N75="Declining",N75="Lapsed")))*1+(AND(G75="Low",J75="Tail"))*1</f>
        <v>1</v>
      </c>
      <c r="W75" s="2" t="n">
        <f aca="false">INDEX('Commercial View'!$V$2:$V$301,MATCH($A75,'Commercial View'!$A$2:$A$301,0))</f>
        <v>1</v>
      </c>
      <c r="X75" s="10" t="b">
        <f aca="false">O75&lt;=Assumptions!$B$30</f>
        <v>1</v>
      </c>
      <c r="Y75" s="10" t="b">
        <f aca="false">W75&lt;=1</f>
        <v>1</v>
      </c>
      <c r="Z75" s="10" t="b">
        <f aca="false">C75="Duplicate"</f>
        <v>0</v>
      </c>
      <c r="AA75" s="10" t="b">
        <f aca="false">C75=""</f>
        <v>0</v>
      </c>
      <c r="AB75" s="2" t="n">
        <f aca="false">IF(P75+Q75&gt;0,ROUND(P75/(P75+Q75)*100,0),"")</f>
        <v>50</v>
      </c>
      <c r="AC75" s="2" t="n">
        <f aca="false">IF(P75+Q75&gt;0,ROUND(E75-P75/(P75+Q75)*100,0),"")</f>
        <v>20</v>
      </c>
      <c r="AD75" s="10" t="b">
        <f aca="false">IF(AC75="",FALSE(),ABS(AC75)&gt;Assumptions!$B$41)</f>
        <v>1</v>
      </c>
      <c r="AE75" s="2" t="str">
        <f aca="false">IF(X75,"Low confidence (&lt;=2 orders); ","")&amp;IF(Y75,"Single-month history; ","")&amp;IF(Z75,"CRITICAL: Duplicate status; ","")&amp;IF(AA75,"Missing status; ","")&amp;IF(AD75,"Broker % vs counts gap "&amp;TEXT(AC75,"+0;-0")&amp;"pts; ","")</f>
        <v>Low confidence (&lt;=2 orders); Single-month history; Broker % vs counts gap +20pts; </v>
      </c>
      <c r="AF75" s="2" t="str">
        <f aca="false">IF(AND(K75=0,L75&gt;0),IF(D75&lt;=Assumptions!$B$47,"New Customer","Returned Customer"),"Existing Customer")</f>
        <v>Returned Customer</v>
      </c>
      <c r="AG75" s="10" t="b">
        <f aca="false">AND(T75="1. Migration Candidate",J75="Key")</f>
        <v>0</v>
      </c>
      <c r="AH75" s="10" t="b">
        <f aca="false">IF(AND(K75&gt;0,L75&gt;0),OR(ABS(M75-Assumptions!$B$36)&lt;=Assumptions!$B$46,ABS(M75+Assumptions!$B$36)&lt;=Assumptions!$B$46),FALSE())</f>
        <v>0</v>
      </c>
      <c r="AI75" s="9" t="n">
        <f aca="false">INDEX('Commercial View'!$L$2:$L$301,MATCH($A75,'Commercial View'!$A$2:$A$301,0))+INDEX('Commercial View'!$M$2:$M$301,MATCH($A75,'Commercial View'!$A$2:$A$301,0))</f>
        <v>1448</v>
      </c>
      <c r="AJ75" s="2" t="str">
        <f aca="false">IF(AND(K75=0,AI75=0),"No activity ex-Feb",IF(AI75=0,"Lapsed",IF(K75=0,"H2 Active / No H1 GMV",IF((AI75/2)/(K75/3)-1&gt;=Assumptions!$B$36,"Growing",IF((AI75/2)/(K75/3)-1&lt;-Assumptions!$B$36,"Declining","Stable")))))</f>
        <v>H2 Active / No H1 GMV</v>
      </c>
      <c r="AK75" s="10" t="b">
        <f aca="false">IF(OR(N75="Growing",N75="Stable"),"Healthy",N75)&lt;&gt;IF(OR(AJ75="Growing",AJ75="Stable"),"Healthy",AJ75)</f>
        <v>0</v>
      </c>
      <c r="AL75" s="2" t="str">
        <f aca="false">IF(N75="Lapsed",IF(OR(O75&lt;=Assumptions!$B$48,W75&lt;=Assumptions!$B$49),"One-Off / Insufficient History — Verify","Established Buyer Lapsed"),"N/A")</f>
        <v>N/A</v>
      </c>
      <c r="AM75" s="2" t="n">
        <f aca="false">INDEX('Scored Accounts'!$M$2:$M$301,MATCH($A75,'Scored Accounts'!$A$2:$A$301,0))</f>
        <v>75</v>
      </c>
      <c r="AN75" s="2" t="n">
        <f aca="false">IF((P75/(P75+Q75)*100)&lt;=Assumptions!$B$13,0,IF((P75/(P75+Q75)*100)&lt;Assumptions!$B$14,25,IF((P75/(P75+Q75)*100)&lt;Assumptions!$B$15,50,IF((P75/(P75+Q75)*100)&lt;Assumptions!$B$16,75,100))))</f>
        <v>50</v>
      </c>
      <c r="AO75" s="21" t="n">
        <f aca="false">IF((P75/(P75+Q75)*100)&lt;=Assumptions!$B$8,0,AN75*Assumptions!$B$4+INDEX('Scored Accounts'!$N$2:$N$301,MATCH($A75,'Scored Accounts'!$A$2:$A$301,0))*Assumptions!$B$5+INDEX('Scored Accounts'!$O$2:$O$301,MATCH($A75,'Scored Accounts'!$A$2:$A$301,0))*Assumptions!$B$6)</f>
        <v>67.5</v>
      </c>
      <c r="AP75" s="2" t="str">
        <f aca="false">IF(AO75&gt;=Assumptions!$B$9,"High",IF(AO75&gt;=Assumptions!$B$10,"Medium","Low"))</f>
        <v>Medium</v>
      </c>
      <c r="AQ75" s="10" t="b">
        <f aca="false">OR((E75&lt;=Assumptions!$B$8)&lt;&gt;((P75/(P75+Q75)*100)&lt;=Assumptions!$B$8),AM75&lt;&gt;AN75,G75&lt;&gt;AP75)</f>
        <v>1</v>
      </c>
      <c r="AR75" s="2" t="str">
        <f aca="false">IF(AP75&lt;&gt;"Low","Broker-Reliant",IF(B75="Account Managed","AM-Owned / Self-Serving","Self-Serve"))</f>
        <v>Broker-Reliant</v>
      </c>
      <c r="AS75" s="2" t="str">
        <f aca="false">IF(AR75="Broker-Reliant",IF(J75="Tail","5. Cost-to-Serve / Low-Touch",IF(OR(N75="Growing",N75="Stable"),"1. Migration Candidate",IF(N75="Declining","2. Protect / Retain First",IF(N75="Lapsed","3. Win-Back / Verify",IF(N75="H2 Active / No H1 GMV","4. Establish / Re-establish / Observe","UNASSIGNED"))))),IF(AP75="Low",IF(J75="Tail","9. Long-Tail Automated Nurture",IF(OR(N75="Growing",N75="Stable"),"6. Growth Opportunity",IF(N75="H2 Active / No H1 GMV","7. Onboard / Re-engage / Learn",IF(OR(N75="Declining",N75="Lapsed"),"8. Retention / Reactivation","UNASSIGNED")))),"UNASSIGNED"))</f>
        <v>5. Cost-to-Serve / Low-Touch</v>
      </c>
      <c r="AT75" s="10" t="b">
        <f aca="false">AS75&lt;&gt;T75</f>
        <v>0</v>
      </c>
      <c r="AU75" s="2" t="str">
        <f aca="false">IF(NOT(U75),"Not Eligible",IF(OR(AQ75,AH75,AK75,NOT(AND(W75&gt;=Assumptions!$B$83,O75&gt;=Assumptions!$B$84))),"Manual Review","Ready"))</f>
        <v>Not Eligible</v>
      </c>
      <c r="AV75" s="2" t="str">
        <f aca="false">IF(AG75,"Key account - human sign-off required; ","")&amp;IF(AH75,"Borderline momentum; ","")&amp;IF(AK75,"February-sensitive ("&amp;N75&amp;" -&gt; "&amp;AJ75&amp;"); ","")&amp;IF(AL75="One-Off / Insufficient History — Verify","Lapsed on thin history - verify; ","")&amp;IF(AQ75,"Material broker % inconsistency (implied tier "&amp;AP75&amp;"); ","")&amp;IF(AT75,"Implied broker % would move segment to "&amp;AS75&amp;"; ","")</f>
        <v>Material broker % inconsistency (implied tier Medium); </v>
      </c>
      <c r="AW75" s="10" t="b">
        <f aca="false">AND(G75="Low",J75="Tail",I75&gt;=Assumptions!$B$64,O75&gt;=Assumptions!$B$65,OR(N75="Growing",N75="Stable",AND(N75="H2 Active / No H1 GMV",W75&gt;=2)),OR(R75&gt;=Assumptions!$B$66,S75&gt;=Assumptions!$B$67))</f>
        <v>0</v>
      </c>
    </row>
    <row r="76" customFormat="false" ht="15" hidden="false" customHeight="false" outlineLevel="0" collapsed="false">
      <c r="A76" s="2" t="s">
        <v>517</v>
      </c>
      <c r="B76" s="2" t="s">
        <v>1571</v>
      </c>
      <c r="C76" s="2" t="s">
        <v>1572</v>
      </c>
      <c r="D76" s="2" t="n">
        <v>14</v>
      </c>
      <c r="E76" s="2" t="n">
        <v>79</v>
      </c>
      <c r="F76" s="21" t="n">
        <f aca="false">INDEX('Scored Accounts'!$Q$2:$Q$301,MATCH($A76,'Scored Accounts'!$A$2:$A$301,0))</f>
        <v>77.5</v>
      </c>
      <c r="G76" s="2" t="str">
        <f aca="false">INDEX('Scored Accounts'!$R$2:$R$301,MATCH($A76,'Scored Accounts'!$A$2:$A$301,0))</f>
        <v>High</v>
      </c>
      <c r="H76" s="2" t="str">
        <f aca="false">IF(OR(G76="High",G76="Medium"),"Broker-Reliant",IF(AND(G76="Low",B76="Account Managed"),"AM-Owned / Self-Serving",IF(AND(G76="Low",B76="Self Serve"),"Self-Serve","UNASSIGNED")))</f>
        <v>Broker-Reliant</v>
      </c>
      <c r="I76" s="9" t="n">
        <v>1422</v>
      </c>
      <c r="J76" s="2" t="str">
        <f aca="false">IF(I76&gt;=Assumptions!$B$35,"Key",IF(I76&gt;=Assumptions!$B$34,"Core","Tail"))</f>
        <v>Tail</v>
      </c>
      <c r="K76" s="9" t="n">
        <f aca="false">INDEX('Commercial View'!$R$2:$R$301,MATCH($A76,'Commercial View'!$A$2:$A$301,0))</f>
        <v>690</v>
      </c>
      <c r="L76" s="9" t="n">
        <f aca="false">INDEX('Commercial View'!$S$2:$S$301,MATCH($A76,'Commercial View'!$A$2:$A$301,0))</f>
        <v>731</v>
      </c>
      <c r="M76" s="17" t="n">
        <f aca="false">INDEX('Commercial View'!$T$2:$T$301,MATCH($A76,'Commercial View'!$A$2:$A$301,0))</f>
        <v>0.0594202898550724</v>
      </c>
      <c r="N76" s="2" t="str">
        <f aca="false">INDEX('Commercial View'!$U$2:$U$301,MATCH($A76,'Commercial View'!$A$2:$A$301,0))</f>
        <v>Stable</v>
      </c>
      <c r="O76" s="2" t="n">
        <v>3</v>
      </c>
      <c r="P76" s="2" t="n">
        <v>2</v>
      </c>
      <c r="Q76" s="2" t="n">
        <v>1</v>
      </c>
      <c r="R76" s="2" t="n">
        <v>1</v>
      </c>
      <c r="S76" s="2" t="n">
        <v>2</v>
      </c>
      <c r="T76" s="2" t="str">
        <f aca="false">IF(H76="Broker-Reliant",IF(J76="Tail","5. Cost-to-Serve / Low-Touch",IF(OR(N76="Growing",N76="Stable"),"1. Migration Candidate",IF(N76="Declining","2. Protect / Retain First",IF(N76="Lapsed","3. Win-Back / Verify",IF(N76="H2 Active / No H1 GMV","4. Establish / Re-establish / Observe","UNASSIGNED"))))),IF(G76="Low",IF(J76="Tail","9. Long-Tail Automated Nurture",IF(OR(N76="Growing",N76="Stable"),"6. Growth Opportunity",IF(N76="H2 Active / No H1 GMV","7. Onboard / Re-engage / Learn",IF(OR(N76="Declining",N76="Lapsed"),"8. Retention / Reactivation","UNASSIGNED")))),"UNASSIGNED"))</f>
        <v>5. Cost-to-Serve / Low-Touch</v>
      </c>
      <c r="U76" s="10" t="b">
        <f aca="false">AND(T76="1. Migration Candidate",J76="Core",O76&gt;=Assumptions!$B$39,Q76&gt;=Assumptions!$B$40,NOT(Z76))</f>
        <v>0</v>
      </c>
      <c r="V76" s="2" t="n">
        <f aca="false">(AND(H76="Broker-Reliant",J76&lt;&gt;"Tail",OR(N76="Growing",N76="Stable")))*1+(AND(H76="Broker-Reliant",J76&lt;&gt;"Tail",N76="Declining"))*1+(AND(H76="Broker-Reliant",J76&lt;&gt;"Tail",N76="Lapsed"))*1+(AND(H76="Broker-Reliant",J76&lt;&gt;"Tail",N76="H2 Active / No H1 GMV"))*1+(AND(H76="Broker-Reliant",J76="Tail"))*1+(AND(G76="Low",J76&lt;&gt;"Tail",OR(N76="Growing",N76="Stable")))*1+(AND(G76="Low",J76&lt;&gt;"Tail",N76="H2 Active / No H1 GMV"))*1+(AND(G76="Low",J76&lt;&gt;"Tail",OR(N76="Declining",N76="Lapsed")))*1+(AND(G76="Low",J76="Tail"))*1</f>
        <v>1</v>
      </c>
      <c r="W76" s="2" t="n">
        <f aca="false">INDEX('Commercial View'!$V$2:$V$301,MATCH($A76,'Commercial View'!$A$2:$A$301,0))</f>
        <v>3</v>
      </c>
      <c r="X76" s="10" t="b">
        <f aca="false">O76&lt;=Assumptions!$B$30</f>
        <v>0</v>
      </c>
      <c r="Y76" s="10" t="b">
        <f aca="false">W76&lt;=1</f>
        <v>0</v>
      </c>
      <c r="Z76" s="10" t="b">
        <f aca="false">C76="Duplicate"</f>
        <v>0</v>
      </c>
      <c r="AA76" s="10" t="b">
        <f aca="false">C76=""</f>
        <v>0</v>
      </c>
      <c r="AB76" s="2" t="n">
        <f aca="false">IF(P76+Q76&gt;0,ROUND(P76/(P76+Q76)*100,0),"")</f>
        <v>67</v>
      </c>
      <c r="AC76" s="2" t="n">
        <f aca="false">IF(P76+Q76&gt;0,ROUND(E76-P76/(P76+Q76)*100,0),"")</f>
        <v>12</v>
      </c>
      <c r="AD76" s="10" t="b">
        <f aca="false">IF(AC76="",FALSE(),ABS(AC76)&gt;Assumptions!$B$41)</f>
        <v>1</v>
      </c>
      <c r="AE76" s="2" t="str">
        <f aca="false">IF(X76,"Low confidence (&lt;=2 orders); ","")&amp;IF(Y76,"Single-month history; ","")&amp;IF(Z76,"CRITICAL: Duplicate status; ","")&amp;IF(AA76,"Missing status; ","")&amp;IF(AD76,"Broker % vs counts gap "&amp;TEXT(AC76,"+0;-0")&amp;"pts; ","")</f>
        <v>Broker % vs counts gap +12pts; </v>
      </c>
      <c r="AF76" s="2" t="str">
        <f aca="false">IF(AND(K76=0,L76&gt;0),IF(D76&lt;=Assumptions!$B$47,"New Customer","Returned Customer"),"Existing Customer")</f>
        <v>Existing Customer</v>
      </c>
      <c r="AG76" s="10" t="b">
        <f aca="false">AND(T76="1. Migration Candidate",J76="Key")</f>
        <v>0</v>
      </c>
      <c r="AH76" s="10" t="b">
        <f aca="false">IF(AND(K76&gt;0,L76&gt;0),OR(ABS(M76-Assumptions!$B$36)&lt;=Assumptions!$B$46,ABS(M76+Assumptions!$B$36)&lt;=Assumptions!$B$46),FALSE())</f>
        <v>0</v>
      </c>
      <c r="AI76" s="9" t="n">
        <f aca="false">INDEX('Commercial View'!$L$2:$L$301,MATCH($A76,'Commercial View'!$A$2:$A$301,0))+INDEX('Commercial View'!$M$2:$M$301,MATCH($A76,'Commercial View'!$A$2:$A$301,0))</f>
        <v>731</v>
      </c>
      <c r="AJ76" s="2" t="str">
        <f aca="false">IF(AND(K76=0,AI76=0),"No activity ex-Feb",IF(AI76=0,"Lapsed",IF(K76=0,"H2 Active / No H1 GMV",IF((AI76/2)/(K76/3)-1&gt;=Assumptions!$B$36,"Growing",IF((AI76/2)/(K76/3)-1&lt;-Assumptions!$B$36,"Declining","Stable")))))</f>
        <v>Growing</v>
      </c>
      <c r="AK76" s="10" t="b">
        <f aca="false">IF(OR(N76="Growing",N76="Stable"),"Healthy",N76)&lt;&gt;IF(OR(AJ76="Growing",AJ76="Stable"),"Healthy",AJ76)</f>
        <v>0</v>
      </c>
      <c r="AL76" s="2" t="str">
        <f aca="false">IF(N76="Lapsed",IF(OR(O76&lt;=Assumptions!$B$48,W76&lt;=Assumptions!$B$49),"One-Off / Insufficient History — Verify","Established Buyer Lapsed"),"N/A")</f>
        <v>N/A</v>
      </c>
      <c r="AM76" s="2" t="n">
        <f aca="false">INDEX('Scored Accounts'!$M$2:$M$301,MATCH($A76,'Scored Accounts'!$A$2:$A$301,0))</f>
        <v>75</v>
      </c>
      <c r="AN76" s="2" t="n">
        <f aca="false">IF((P76/(P76+Q76)*100)&lt;=Assumptions!$B$13,0,IF((P76/(P76+Q76)*100)&lt;Assumptions!$B$14,25,IF((P76/(P76+Q76)*100)&lt;Assumptions!$B$15,50,IF((P76/(P76+Q76)*100)&lt;Assumptions!$B$16,75,100))))</f>
        <v>75</v>
      </c>
      <c r="AO76" s="21" t="n">
        <f aca="false">IF((P76/(P76+Q76)*100)&lt;=Assumptions!$B$8,0,AN76*Assumptions!$B$4+INDEX('Scored Accounts'!$N$2:$N$301,MATCH($A76,'Scored Accounts'!$A$2:$A$301,0))*Assumptions!$B$5+INDEX('Scored Accounts'!$O$2:$O$301,MATCH($A76,'Scored Accounts'!$A$2:$A$301,0))*Assumptions!$B$6)</f>
        <v>77.5</v>
      </c>
      <c r="AP76" s="2" t="str">
        <f aca="false">IF(AO76&gt;=Assumptions!$B$9,"High",IF(AO76&gt;=Assumptions!$B$10,"Medium","Low"))</f>
        <v>High</v>
      </c>
      <c r="AQ76" s="10" t="b">
        <f aca="false">OR((E76&lt;=Assumptions!$B$8)&lt;&gt;((P76/(P76+Q76)*100)&lt;=Assumptions!$B$8),AM76&lt;&gt;AN76,G76&lt;&gt;AP76)</f>
        <v>0</v>
      </c>
      <c r="AR76" s="2" t="str">
        <f aca="false">IF(AP76&lt;&gt;"Low","Broker-Reliant",IF(B76="Account Managed","AM-Owned / Self-Serving","Self-Serve"))</f>
        <v>Broker-Reliant</v>
      </c>
      <c r="AS76" s="2" t="str">
        <f aca="false">IF(AR76="Broker-Reliant",IF(J76="Tail","5. Cost-to-Serve / Low-Touch",IF(OR(N76="Growing",N76="Stable"),"1. Migration Candidate",IF(N76="Declining","2. Protect / Retain First",IF(N76="Lapsed","3. Win-Back / Verify",IF(N76="H2 Active / No H1 GMV","4. Establish / Re-establish / Observe","UNASSIGNED"))))),IF(AP76="Low",IF(J76="Tail","9. Long-Tail Automated Nurture",IF(OR(N76="Growing",N76="Stable"),"6. Growth Opportunity",IF(N76="H2 Active / No H1 GMV","7. Onboard / Re-engage / Learn",IF(OR(N76="Declining",N76="Lapsed"),"8. Retention / Reactivation","UNASSIGNED")))),"UNASSIGNED"))</f>
        <v>5. Cost-to-Serve / Low-Touch</v>
      </c>
      <c r="AT76" s="10" t="b">
        <f aca="false">AS76&lt;&gt;T76</f>
        <v>0</v>
      </c>
      <c r="AU76" s="2" t="str">
        <f aca="false">IF(NOT(U76),"Not Eligible",IF(OR(AQ76,AH76,AK76,NOT(AND(W76&gt;=Assumptions!$B$83,O76&gt;=Assumptions!$B$84))),"Manual Review","Ready"))</f>
        <v>Not Eligible</v>
      </c>
      <c r="AV76" s="2" t="str">
        <f aca="false">IF(AG76,"Key account - human sign-off required; ","")&amp;IF(AH76,"Borderline momentum; ","")&amp;IF(AK76,"February-sensitive ("&amp;N76&amp;" -&gt; "&amp;AJ76&amp;"); ","")&amp;IF(AL76="One-Off / Insufficient History — Verify","Lapsed on thin history - verify; ","")&amp;IF(AQ76,"Material broker % inconsistency (implied tier "&amp;AP76&amp;"); ","")&amp;IF(AT76,"Implied broker % would move segment to "&amp;AS76&amp;"; ","")</f>
        <v/>
      </c>
      <c r="AW76" s="10" t="b">
        <f aca="false">AND(G76="Low",J76="Tail",I76&gt;=Assumptions!$B$64,O76&gt;=Assumptions!$B$65,OR(N76="Growing",N76="Stable",AND(N76="H2 Active / No H1 GMV",W76&gt;=2)),OR(R76&gt;=Assumptions!$B$66,S76&gt;=Assumptions!$B$67))</f>
        <v>0</v>
      </c>
    </row>
    <row r="77" customFormat="false" ht="15" hidden="false" customHeight="false" outlineLevel="0" collapsed="false">
      <c r="A77" s="2" t="s">
        <v>591</v>
      </c>
      <c r="B77" s="2" t="s">
        <v>1571</v>
      </c>
      <c r="C77" s="2" t="s">
        <v>1572</v>
      </c>
      <c r="D77" s="2" t="n">
        <v>12</v>
      </c>
      <c r="E77" s="2" t="n">
        <v>1</v>
      </c>
      <c r="F77" s="21" t="n">
        <f aca="false">INDEX('Scored Accounts'!$Q$2:$Q$301,MATCH($A77,'Scored Accounts'!$A$2:$A$301,0))</f>
        <v>0</v>
      </c>
      <c r="G77" s="2" t="str">
        <f aca="false">INDEX('Scored Accounts'!$R$2:$R$301,MATCH($A77,'Scored Accounts'!$A$2:$A$301,0))</f>
        <v>Low</v>
      </c>
      <c r="H77" s="2" t="str">
        <f aca="false">IF(OR(G77="High",G77="Medium"),"Broker-Reliant",IF(AND(G77="Low",B77="Account Managed"),"AM-Owned / Self-Serving",IF(AND(G77="Low",B77="Self Serve"),"Self-Serve","UNASSIGNED")))</f>
        <v>AM-Owned / Self-Serving</v>
      </c>
      <c r="I77" s="9" t="n">
        <v>1422</v>
      </c>
      <c r="J77" s="2" t="str">
        <f aca="false">IF(I77&gt;=Assumptions!$B$35,"Key",IF(I77&gt;=Assumptions!$B$34,"Core","Tail"))</f>
        <v>Tail</v>
      </c>
      <c r="K77" s="9" t="n">
        <f aca="false">INDEX('Commercial View'!$R$2:$R$301,MATCH($A77,'Commercial View'!$A$2:$A$301,0))</f>
        <v>1422</v>
      </c>
      <c r="L77" s="9" t="n">
        <f aca="false">INDEX('Commercial View'!$S$2:$S$301,MATCH($A77,'Commercial View'!$A$2:$A$301,0))</f>
        <v>0</v>
      </c>
      <c r="M77" s="17" t="n">
        <f aca="false">INDEX('Commercial View'!$T$2:$T$301,MATCH($A77,'Commercial View'!$A$2:$A$301,0))</f>
        <v>-1</v>
      </c>
      <c r="N77" s="2" t="str">
        <f aca="false">INDEX('Commercial View'!$U$2:$U$301,MATCH($A77,'Commercial View'!$A$2:$A$301,0))</f>
        <v>Lapsed</v>
      </c>
      <c r="O77" s="2" t="n">
        <v>1</v>
      </c>
      <c r="P77" s="2" t="n">
        <v>0</v>
      </c>
      <c r="Q77" s="2" t="n">
        <v>1</v>
      </c>
      <c r="R77" s="2" t="n">
        <v>4</v>
      </c>
      <c r="S77" s="2" t="n">
        <v>0</v>
      </c>
      <c r="T77" s="2" t="str">
        <f aca="false">IF(H77="Broker-Reliant",IF(J77="Tail","5. Cost-to-Serve / Low-Touch",IF(OR(N77="Growing",N77="Stable"),"1. Migration Candidate",IF(N77="Declining","2. Protect / Retain First",IF(N77="Lapsed","3. Win-Back / Verify",IF(N77="H2 Active / No H1 GMV","4. Establish / Re-establish / Observe","UNASSIGNED"))))),IF(G77="Low",IF(J77="Tail","9. Long-Tail Automated Nurture",IF(OR(N77="Growing",N77="Stable"),"6. Growth Opportunity",IF(N77="H2 Active / No H1 GMV","7. Onboard / Re-engage / Learn",IF(OR(N77="Declining",N77="Lapsed"),"8. Retention / Reactivation","UNASSIGNED")))),"UNASSIGNED"))</f>
        <v>9. Long-Tail Automated Nurture</v>
      </c>
      <c r="U77" s="10" t="b">
        <f aca="false">AND(T77="1. Migration Candidate",J77="Core",O77&gt;=Assumptions!$B$39,Q77&gt;=Assumptions!$B$40,NOT(Z77))</f>
        <v>0</v>
      </c>
      <c r="V77" s="2" t="n">
        <f aca="false">(AND(H77="Broker-Reliant",J77&lt;&gt;"Tail",OR(N77="Growing",N77="Stable")))*1+(AND(H77="Broker-Reliant",J77&lt;&gt;"Tail",N77="Declining"))*1+(AND(H77="Broker-Reliant",J77&lt;&gt;"Tail",N77="Lapsed"))*1+(AND(H77="Broker-Reliant",J77&lt;&gt;"Tail",N77="H2 Active / No H1 GMV"))*1+(AND(H77="Broker-Reliant",J77="Tail"))*1+(AND(G77="Low",J77&lt;&gt;"Tail",OR(N77="Growing",N77="Stable")))*1+(AND(G77="Low",J77&lt;&gt;"Tail",N77="H2 Active / No H1 GMV"))*1+(AND(G77="Low",J77&lt;&gt;"Tail",OR(N77="Declining",N77="Lapsed")))*1+(AND(G77="Low",J77="Tail"))*1</f>
        <v>1</v>
      </c>
      <c r="W77" s="2" t="n">
        <f aca="false">INDEX('Commercial View'!$V$2:$V$301,MATCH($A77,'Commercial View'!$A$2:$A$301,0))</f>
        <v>1</v>
      </c>
      <c r="X77" s="10" t="b">
        <f aca="false">O77&lt;=Assumptions!$B$30</f>
        <v>1</v>
      </c>
      <c r="Y77" s="10" t="b">
        <f aca="false">W77&lt;=1</f>
        <v>1</v>
      </c>
      <c r="Z77" s="10" t="b">
        <f aca="false">C77="Duplicate"</f>
        <v>0</v>
      </c>
      <c r="AA77" s="10" t="b">
        <f aca="false">C77=""</f>
        <v>0</v>
      </c>
      <c r="AB77" s="2" t="n">
        <f aca="false">IF(P77+Q77&gt;0,ROUND(P77/(P77+Q77)*100,0),"")</f>
        <v>0</v>
      </c>
      <c r="AC77" s="2" t="n">
        <f aca="false">IF(P77+Q77&gt;0,ROUND(E77-P77/(P77+Q77)*100,0),"")</f>
        <v>1</v>
      </c>
      <c r="AD77" s="10" t="b">
        <f aca="false">IF(AC77="",FALSE(),ABS(AC77)&gt;Assumptions!$B$41)</f>
        <v>0</v>
      </c>
      <c r="AE77" s="2" t="str">
        <f aca="false">IF(X77,"Low confidence (&lt;=2 orders); ","")&amp;IF(Y77,"Single-month history; ","")&amp;IF(Z77,"CRITICAL: Duplicate status; ","")&amp;IF(AA77,"Missing status; ","")&amp;IF(AD77,"Broker % vs counts gap "&amp;TEXT(AC77,"+0;-0")&amp;"pts; ","")</f>
        <v>Low confidence (&lt;=2 orders); Single-month history; </v>
      </c>
      <c r="AF77" s="2" t="str">
        <f aca="false">IF(AND(K77=0,L77&gt;0),IF(D77&lt;=Assumptions!$B$47,"New Customer","Returned Customer"),"Existing Customer")</f>
        <v>Existing Customer</v>
      </c>
      <c r="AG77" s="10" t="b">
        <f aca="false">AND(T77="1. Migration Candidate",J77="Key")</f>
        <v>0</v>
      </c>
      <c r="AH77" s="10" t="b">
        <f aca="false">IF(AND(K77&gt;0,L77&gt;0),OR(ABS(M77-Assumptions!$B$36)&lt;=Assumptions!$B$46,ABS(M77+Assumptions!$B$36)&lt;=Assumptions!$B$46),FALSE())</f>
        <v>0</v>
      </c>
      <c r="AI77" s="9" t="n">
        <f aca="false">INDEX('Commercial View'!$L$2:$L$301,MATCH($A77,'Commercial View'!$A$2:$A$301,0))+INDEX('Commercial View'!$M$2:$M$301,MATCH($A77,'Commercial View'!$A$2:$A$301,0))</f>
        <v>0</v>
      </c>
      <c r="AJ77" s="2" t="str">
        <f aca="false">IF(AND(K77=0,AI77=0),"No activity ex-Feb",IF(AI77=0,"Lapsed",IF(K77=0,"H2 Active / No H1 GMV",IF((AI77/2)/(K77/3)-1&gt;=Assumptions!$B$36,"Growing",IF((AI77/2)/(K77/3)-1&lt;-Assumptions!$B$36,"Declining","Stable")))))</f>
        <v>Lapsed</v>
      </c>
      <c r="AK77" s="10" t="b">
        <f aca="false">IF(OR(N77="Growing",N77="Stable"),"Healthy",N77)&lt;&gt;IF(OR(AJ77="Growing",AJ77="Stable"),"Healthy",AJ77)</f>
        <v>0</v>
      </c>
      <c r="AL77" s="2" t="str">
        <f aca="false">IF(N77="Lapsed",IF(OR(O77&lt;=Assumptions!$B$48,W77&lt;=Assumptions!$B$49),"One-Off / Insufficient History — Verify","Established Buyer Lapsed"),"N/A")</f>
        <v>One-Off / Insufficient History — Verify</v>
      </c>
      <c r="AM77" s="2" t="n">
        <f aca="false">INDEX('Scored Accounts'!$M$2:$M$301,MATCH($A77,'Scored Accounts'!$A$2:$A$301,0))</f>
        <v>0</v>
      </c>
      <c r="AN77" s="2" t="n">
        <f aca="false">IF((P77/(P77+Q77)*100)&lt;=Assumptions!$B$13,0,IF((P77/(P77+Q77)*100)&lt;Assumptions!$B$14,25,IF((P77/(P77+Q77)*100)&lt;Assumptions!$B$15,50,IF((P77/(P77+Q77)*100)&lt;Assumptions!$B$16,75,100))))</f>
        <v>0</v>
      </c>
      <c r="AO77" s="21" t="n">
        <f aca="false">IF((P77/(P77+Q77)*100)&lt;=Assumptions!$B$8,0,AN77*Assumptions!$B$4+INDEX('Scored Accounts'!$N$2:$N$301,MATCH($A77,'Scored Accounts'!$A$2:$A$301,0))*Assumptions!$B$5+INDEX('Scored Accounts'!$O$2:$O$301,MATCH($A77,'Scored Accounts'!$A$2:$A$301,0))*Assumptions!$B$6)</f>
        <v>0</v>
      </c>
      <c r="AP77" s="2" t="str">
        <f aca="false">IF(AO77&gt;=Assumptions!$B$9,"High",IF(AO77&gt;=Assumptions!$B$10,"Medium","Low"))</f>
        <v>Low</v>
      </c>
      <c r="AQ77" s="10" t="b">
        <f aca="false">OR((E77&lt;=Assumptions!$B$8)&lt;&gt;((P77/(P77+Q77)*100)&lt;=Assumptions!$B$8),AM77&lt;&gt;AN77,G77&lt;&gt;AP77)</f>
        <v>0</v>
      </c>
      <c r="AR77" s="2" t="str">
        <f aca="false">IF(AP77&lt;&gt;"Low","Broker-Reliant",IF(B77="Account Managed","AM-Owned / Self-Serving","Self-Serve"))</f>
        <v>AM-Owned / Self-Serving</v>
      </c>
      <c r="AS77" s="2" t="str">
        <f aca="false">IF(AR77="Broker-Reliant",IF(J77="Tail","5. Cost-to-Serve / Low-Touch",IF(OR(N77="Growing",N77="Stable"),"1. Migration Candidate",IF(N77="Declining","2. Protect / Retain First",IF(N77="Lapsed","3. Win-Back / Verify",IF(N77="H2 Active / No H1 GMV","4. Establish / Re-establish / Observe","UNASSIGNED"))))),IF(AP77="Low",IF(J77="Tail","9. Long-Tail Automated Nurture",IF(OR(N77="Growing",N77="Stable"),"6. Growth Opportunity",IF(N77="H2 Active / No H1 GMV","7. Onboard / Re-engage / Learn",IF(OR(N77="Declining",N77="Lapsed"),"8. Retention / Reactivation","UNASSIGNED")))),"UNASSIGNED"))</f>
        <v>9. Long-Tail Automated Nurture</v>
      </c>
      <c r="AT77" s="10" t="b">
        <f aca="false">AS77&lt;&gt;T77</f>
        <v>0</v>
      </c>
      <c r="AU77" s="2" t="str">
        <f aca="false">IF(NOT(U77),"Not Eligible",IF(OR(AQ77,AH77,AK77,NOT(AND(W77&gt;=Assumptions!$B$83,O77&gt;=Assumptions!$B$84))),"Manual Review","Ready"))</f>
        <v>Not Eligible</v>
      </c>
      <c r="AV77" s="2" t="str">
        <f aca="false">IF(AG77,"Key account - human sign-off required; ","")&amp;IF(AH77,"Borderline momentum; ","")&amp;IF(AK77,"February-sensitive ("&amp;N77&amp;" -&gt; "&amp;AJ77&amp;"); ","")&amp;IF(AL77="One-Off / Insufficient History — Verify","Lapsed on thin history - verify; ","")&amp;IF(AQ77,"Material broker % inconsistency (implied tier "&amp;AP77&amp;"); ","")&amp;IF(AT77,"Implied broker % would move segment to "&amp;AS77&amp;"; ","")</f>
        <v>Lapsed on thin history - verify; </v>
      </c>
      <c r="AW77" s="10" t="b">
        <f aca="false">AND(G77="Low",J77="Tail",I77&gt;=Assumptions!$B$64,O77&gt;=Assumptions!$B$65,OR(N77="Growing",N77="Stable",AND(N77="H2 Active / No H1 GMV",W77&gt;=2)),OR(R77&gt;=Assumptions!$B$66,S77&gt;=Assumptions!$B$67))</f>
        <v>0</v>
      </c>
    </row>
    <row r="78" customFormat="false" ht="15" hidden="false" customHeight="false" outlineLevel="0" collapsed="false">
      <c r="A78" s="2" t="s">
        <v>520</v>
      </c>
      <c r="B78" s="2" t="s">
        <v>1571</v>
      </c>
      <c r="C78" s="2" t="s">
        <v>1572</v>
      </c>
      <c r="D78" s="2" t="n">
        <v>14</v>
      </c>
      <c r="E78" s="2" t="n">
        <v>81</v>
      </c>
      <c r="F78" s="21" t="n">
        <f aca="false">INDEX('Scored Accounts'!$Q$2:$Q$301,MATCH($A78,'Scored Accounts'!$A$2:$A$301,0))</f>
        <v>95</v>
      </c>
      <c r="G78" s="2" t="str">
        <f aca="false">INDEX('Scored Accounts'!$R$2:$R$301,MATCH($A78,'Scored Accounts'!$A$2:$A$301,0))</f>
        <v>High</v>
      </c>
      <c r="H78" s="2" t="str">
        <f aca="false">IF(OR(G78="High",G78="Medium"),"Broker-Reliant",IF(AND(G78="Low",B78="Account Managed"),"AM-Owned / Self-Serving",IF(AND(G78="Low",B78="Self Serve"),"Self-Serve","UNASSIGNED")))</f>
        <v>Broker-Reliant</v>
      </c>
      <c r="I78" s="9" t="n">
        <v>1401</v>
      </c>
      <c r="J78" s="2" t="str">
        <f aca="false">IF(I78&gt;=Assumptions!$B$35,"Key",IF(I78&gt;=Assumptions!$B$34,"Core","Tail"))</f>
        <v>Tail</v>
      </c>
      <c r="K78" s="9" t="n">
        <f aca="false">INDEX('Commercial View'!$R$2:$R$301,MATCH($A78,'Commercial View'!$A$2:$A$301,0))</f>
        <v>1130</v>
      </c>
      <c r="L78" s="9" t="n">
        <f aca="false">INDEX('Commercial View'!$S$2:$S$301,MATCH($A78,'Commercial View'!$A$2:$A$301,0))</f>
        <v>272</v>
      </c>
      <c r="M78" s="17" t="n">
        <f aca="false">INDEX('Commercial View'!$T$2:$T$301,MATCH($A78,'Commercial View'!$A$2:$A$301,0))</f>
        <v>-0.75929203539823</v>
      </c>
      <c r="N78" s="2" t="str">
        <f aca="false">INDEX('Commercial View'!$U$2:$U$301,MATCH($A78,'Commercial View'!$A$2:$A$301,0))</f>
        <v>Declining</v>
      </c>
      <c r="O78" s="2" t="n">
        <v>5</v>
      </c>
      <c r="P78" s="2" t="n">
        <v>4</v>
      </c>
      <c r="Q78" s="2" t="n">
        <v>1</v>
      </c>
      <c r="R78" s="2" t="n">
        <v>4</v>
      </c>
      <c r="S78" s="2" t="n">
        <v>1</v>
      </c>
      <c r="T78" s="2" t="str">
        <f aca="false">IF(H78="Broker-Reliant",IF(J78="Tail","5. Cost-to-Serve / Low-Touch",IF(OR(N78="Growing",N78="Stable"),"1. Migration Candidate",IF(N78="Declining","2. Protect / Retain First",IF(N78="Lapsed","3. Win-Back / Verify",IF(N78="H2 Active / No H1 GMV","4. Establish / Re-establish / Observe","UNASSIGNED"))))),IF(G78="Low",IF(J78="Tail","9. Long-Tail Automated Nurture",IF(OR(N78="Growing",N78="Stable"),"6. Growth Opportunity",IF(N78="H2 Active / No H1 GMV","7. Onboard / Re-engage / Learn",IF(OR(N78="Declining",N78="Lapsed"),"8. Retention / Reactivation","UNASSIGNED")))),"UNASSIGNED"))</f>
        <v>5. Cost-to-Serve / Low-Touch</v>
      </c>
      <c r="U78" s="10" t="b">
        <f aca="false">AND(T78="1. Migration Candidate",J78="Core",O78&gt;=Assumptions!$B$39,Q78&gt;=Assumptions!$B$40,NOT(Z78))</f>
        <v>0</v>
      </c>
      <c r="V78" s="2" t="n">
        <f aca="false">(AND(H78="Broker-Reliant",J78&lt;&gt;"Tail",OR(N78="Growing",N78="Stable")))*1+(AND(H78="Broker-Reliant",J78&lt;&gt;"Tail",N78="Declining"))*1+(AND(H78="Broker-Reliant",J78&lt;&gt;"Tail",N78="Lapsed"))*1+(AND(H78="Broker-Reliant",J78&lt;&gt;"Tail",N78="H2 Active / No H1 GMV"))*1+(AND(H78="Broker-Reliant",J78="Tail"))*1+(AND(G78="Low",J78&lt;&gt;"Tail",OR(N78="Growing",N78="Stable")))*1+(AND(G78="Low",J78&lt;&gt;"Tail",N78="H2 Active / No H1 GMV"))*1+(AND(G78="Low",J78&lt;&gt;"Tail",OR(N78="Declining",N78="Lapsed")))*1+(AND(G78="Low",J78="Tail"))*1</f>
        <v>1</v>
      </c>
      <c r="W78" s="2" t="n">
        <f aca="false">INDEX('Commercial View'!$V$2:$V$301,MATCH($A78,'Commercial View'!$A$2:$A$301,0))</f>
        <v>3</v>
      </c>
      <c r="X78" s="10" t="b">
        <f aca="false">O78&lt;=Assumptions!$B$30</f>
        <v>0</v>
      </c>
      <c r="Y78" s="10" t="b">
        <f aca="false">W78&lt;=1</f>
        <v>0</v>
      </c>
      <c r="Z78" s="10" t="b">
        <f aca="false">C78="Duplicate"</f>
        <v>0</v>
      </c>
      <c r="AA78" s="10" t="b">
        <f aca="false">C78=""</f>
        <v>0</v>
      </c>
      <c r="AB78" s="2" t="n">
        <f aca="false">IF(P78+Q78&gt;0,ROUND(P78/(P78+Q78)*100,0),"")</f>
        <v>80</v>
      </c>
      <c r="AC78" s="2" t="n">
        <f aca="false">IF(P78+Q78&gt;0,ROUND(E78-P78/(P78+Q78)*100,0),"")</f>
        <v>1</v>
      </c>
      <c r="AD78" s="10" t="b">
        <f aca="false">IF(AC78="",FALSE(),ABS(AC78)&gt;Assumptions!$B$41)</f>
        <v>0</v>
      </c>
      <c r="AE78" s="2" t="str">
        <f aca="false">IF(X78,"Low confidence (&lt;=2 orders); ","")&amp;IF(Y78,"Single-month history; ","")&amp;IF(Z78,"CRITICAL: Duplicate status; ","")&amp;IF(AA78,"Missing status; ","")&amp;IF(AD78,"Broker % vs counts gap "&amp;TEXT(AC78,"+0;-0")&amp;"pts; ","")</f>
        <v/>
      </c>
      <c r="AF78" s="2" t="str">
        <f aca="false">IF(AND(K78=0,L78&gt;0),IF(D78&lt;=Assumptions!$B$47,"New Customer","Returned Customer"),"Existing Customer")</f>
        <v>Existing Customer</v>
      </c>
      <c r="AG78" s="10" t="b">
        <f aca="false">AND(T78="1. Migration Candidate",J78="Key")</f>
        <v>0</v>
      </c>
      <c r="AH78" s="10" t="b">
        <f aca="false">IF(AND(K78&gt;0,L78&gt;0),OR(ABS(M78-Assumptions!$B$36)&lt;=Assumptions!$B$46,ABS(M78+Assumptions!$B$36)&lt;=Assumptions!$B$46),FALSE())</f>
        <v>0</v>
      </c>
      <c r="AI78" s="9" t="n">
        <f aca="false">INDEX('Commercial View'!$L$2:$L$301,MATCH($A78,'Commercial View'!$A$2:$A$301,0))+INDEX('Commercial View'!$M$2:$M$301,MATCH($A78,'Commercial View'!$A$2:$A$301,0))</f>
        <v>0</v>
      </c>
      <c r="AJ78" s="2" t="str">
        <f aca="false">IF(AND(K78=0,AI78=0),"No activity ex-Feb",IF(AI78=0,"Lapsed",IF(K78=0,"H2 Active / No H1 GMV",IF((AI78/2)/(K78/3)-1&gt;=Assumptions!$B$36,"Growing",IF((AI78/2)/(K78/3)-1&lt;-Assumptions!$B$36,"Declining","Stable")))))</f>
        <v>Lapsed</v>
      </c>
      <c r="AK78" s="10" t="b">
        <f aca="false">IF(OR(N78="Growing",N78="Stable"),"Healthy",N78)&lt;&gt;IF(OR(AJ78="Growing",AJ78="Stable"),"Healthy",AJ78)</f>
        <v>1</v>
      </c>
      <c r="AL78" s="2" t="str">
        <f aca="false">IF(N78="Lapsed",IF(OR(O78&lt;=Assumptions!$B$48,W78&lt;=Assumptions!$B$49),"One-Off / Insufficient History — Verify","Established Buyer Lapsed"),"N/A")</f>
        <v>N/A</v>
      </c>
      <c r="AM78" s="2" t="n">
        <f aca="false">INDEX('Scored Accounts'!$M$2:$M$301,MATCH($A78,'Scored Accounts'!$A$2:$A$301,0))</f>
        <v>100</v>
      </c>
      <c r="AN78" s="2" t="n">
        <f aca="false">IF((P78/(P78+Q78)*100)&lt;=Assumptions!$B$13,0,IF((P78/(P78+Q78)*100)&lt;Assumptions!$B$14,25,IF((P78/(P78+Q78)*100)&lt;Assumptions!$B$15,50,IF((P78/(P78+Q78)*100)&lt;Assumptions!$B$16,75,100))))</f>
        <v>100</v>
      </c>
      <c r="AO78" s="21" t="n">
        <f aca="false">IF((P78/(P78+Q78)*100)&lt;=Assumptions!$B$8,0,AN78*Assumptions!$B$4+INDEX('Scored Accounts'!$N$2:$N$301,MATCH($A78,'Scored Accounts'!$A$2:$A$301,0))*Assumptions!$B$5+INDEX('Scored Accounts'!$O$2:$O$301,MATCH($A78,'Scored Accounts'!$A$2:$A$301,0))*Assumptions!$B$6)</f>
        <v>95</v>
      </c>
      <c r="AP78" s="2" t="str">
        <f aca="false">IF(AO78&gt;=Assumptions!$B$9,"High",IF(AO78&gt;=Assumptions!$B$10,"Medium","Low"))</f>
        <v>High</v>
      </c>
      <c r="AQ78" s="10" t="b">
        <f aca="false">OR((E78&lt;=Assumptions!$B$8)&lt;&gt;((P78/(P78+Q78)*100)&lt;=Assumptions!$B$8),AM78&lt;&gt;AN78,G78&lt;&gt;AP78)</f>
        <v>0</v>
      </c>
      <c r="AR78" s="2" t="str">
        <f aca="false">IF(AP78&lt;&gt;"Low","Broker-Reliant",IF(B78="Account Managed","AM-Owned / Self-Serving","Self-Serve"))</f>
        <v>Broker-Reliant</v>
      </c>
      <c r="AS78" s="2" t="str">
        <f aca="false">IF(AR78="Broker-Reliant",IF(J78="Tail","5. Cost-to-Serve / Low-Touch",IF(OR(N78="Growing",N78="Stable"),"1. Migration Candidate",IF(N78="Declining","2. Protect / Retain First",IF(N78="Lapsed","3. Win-Back / Verify",IF(N78="H2 Active / No H1 GMV","4. Establish / Re-establish / Observe","UNASSIGNED"))))),IF(AP78="Low",IF(J78="Tail","9. Long-Tail Automated Nurture",IF(OR(N78="Growing",N78="Stable"),"6. Growth Opportunity",IF(N78="H2 Active / No H1 GMV","7. Onboard / Re-engage / Learn",IF(OR(N78="Declining",N78="Lapsed"),"8. Retention / Reactivation","UNASSIGNED")))),"UNASSIGNED"))</f>
        <v>5. Cost-to-Serve / Low-Touch</v>
      </c>
      <c r="AT78" s="10" t="b">
        <f aca="false">AS78&lt;&gt;T78</f>
        <v>0</v>
      </c>
      <c r="AU78" s="2" t="str">
        <f aca="false">IF(NOT(U78),"Not Eligible",IF(OR(AQ78,AH78,AK78,NOT(AND(W78&gt;=Assumptions!$B$83,O78&gt;=Assumptions!$B$84))),"Manual Review","Ready"))</f>
        <v>Not Eligible</v>
      </c>
      <c r="AV78" s="2" t="str">
        <f aca="false">IF(AG78,"Key account - human sign-off required; ","")&amp;IF(AH78,"Borderline momentum; ","")&amp;IF(AK78,"February-sensitive ("&amp;N78&amp;" -&gt; "&amp;AJ78&amp;"); ","")&amp;IF(AL78="One-Off / Insufficient History — Verify","Lapsed on thin history - verify; ","")&amp;IF(AQ78,"Material broker % inconsistency (implied tier "&amp;AP78&amp;"); ","")&amp;IF(AT78,"Implied broker % would move segment to "&amp;AS78&amp;"; ","")</f>
        <v>February-sensitive (Declining -&gt; Lapsed); </v>
      </c>
      <c r="AW78" s="10" t="b">
        <f aca="false">AND(G78="Low",J78="Tail",I78&gt;=Assumptions!$B$64,O78&gt;=Assumptions!$B$65,OR(N78="Growing",N78="Stable",AND(N78="H2 Active / No H1 GMV",W78&gt;=2)),OR(R78&gt;=Assumptions!$B$66,S78&gt;=Assumptions!$B$67))</f>
        <v>0</v>
      </c>
    </row>
    <row r="79" customFormat="false" ht="15" hidden="false" customHeight="false" outlineLevel="0" collapsed="false">
      <c r="A79" s="2" t="s">
        <v>523</v>
      </c>
      <c r="B79" s="2" t="s">
        <v>1571</v>
      </c>
      <c r="C79" s="2" t="s">
        <v>1572</v>
      </c>
      <c r="D79" s="2" t="n">
        <v>16</v>
      </c>
      <c r="E79" s="2" t="n">
        <v>16</v>
      </c>
      <c r="F79" s="21" t="n">
        <f aca="false">INDEX('Scored Accounts'!$Q$2:$Q$301,MATCH($A79,'Scored Accounts'!$A$2:$A$301,0))</f>
        <v>0</v>
      </c>
      <c r="G79" s="2" t="str">
        <f aca="false">INDEX('Scored Accounts'!$R$2:$R$301,MATCH($A79,'Scored Accounts'!$A$2:$A$301,0))</f>
        <v>Low</v>
      </c>
      <c r="H79" s="2" t="str">
        <f aca="false">IF(OR(G79="High",G79="Medium"),"Broker-Reliant",IF(AND(G79="Low",B79="Account Managed"),"AM-Owned / Self-Serving",IF(AND(G79="Low",B79="Self Serve"),"Self-Serve","UNASSIGNED")))</f>
        <v>AM-Owned / Self-Serving</v>
      </c>
      <c r="I79" s="9" t="n">
        <v>1366</v>
      </c>
      <c r="J79" s="2" t="str">
        <f aca="false">IF(I79&gt;=Assumptions!$B$35,"Key",IF(I79&gt;=Assumptions!$B$34,"Core","Tail"))</f>
        <v>Tail</v>
      </c>
      <c r="K79" s="9" t="n">
        <f aca="false">INDEX('Commercial View'!$R$2:$R$301,MATCH($A79,'Commercial View'!$A$2:$A$301,0))</f>
        <v>662</v>
      </c>
      <c r="L79" s="9" t="n">
        <f aca="false">INDEX('Commercial View'!$S$2:$S$301,MATCH($A79,'Commercial View'!$A$2:$A$301,0))</f>
        <v>704</v>
      </c>
      <c r="M79" s="17" t="n">
        <f aca="false">INDEX('Commercial View'!$T$2:$T$301,MATCH($A79,'Commercial View'!$A$2:$A$301,0))</f>
        <v>0.0634441087613293</v>
      </c>
      <c r="N79" s="2" t="str">
        <f aca="false">INDEX('Commercial View'!$U$2:$U$301,MATCH($A79,'Commercial View'!$A$2:$A$301,0))</f>
        <v>Stable</v>
      </c>
      <c r="O79" s="2" t="n">
        <v>4</v>
      </c>
      <c r="P79" s="2" t="n">
        <v>1</v>
      </c>
      <c r="Q79" s="2" t="n">
        <v>3</v>
      </c>
      <c r="R79" s="2" t="n">
        <v>10</v>
      </c>
      <c r="S79" s="2" t="n">
        <v>0</v>
      </c>
      <c r="T79" s="2" t="str">
        <f aca="false">IF(H79="Broker-Reliant",IF(J79="Tail","5. Cost-to-Serve / Low-Touch",IF(OR(N79="Growing",N79="Stable"),"1. Migration Candidate",IF(N79="Declining","2. Protect / Retain First",IF(N79="Lapsed","3. Win-Back / Verify",IF(N79="H2 Active / No H1 GMV","4. Establish / Re-establish / Observe","UNASSIGNED"))))),IF(G79="Low",IF(J79="Tail","9. Long-Tail Automated Nurture",IF(OR(N79="Growing",N79="Stable"),"6. Growth Opportunity",IF(N79="H2 Active / No H1 GMV","7. Onboard / Re-engage / Learn",IF(OR(N79="Declining",N79="Lapsed"),"8. Retention / Reactivation","UNASSIGNED")))),"UNASSIGNED"))</f>
        <v>9. Long-Tail Automated Nurture</v>
      </c>
      <c r="U79" s="10" t="b">
        <f aca="false">AND(T79="1. Migration Candidate",J79="Core",O79&gt;=Assumptions!$B$39,Q79&gt;=Assumptions!$B$40,NOT(Z79))</f>
        <v>0</v>
      </c>
      <c r="V79" s="2" t="n">
        <f aca="false">(AND(H79="Broker-Reliant",J79&lt;&gt;"Tail",OR(N79="Growing",N79="Stable")))*1+(AND(H79="Broker-Reliant",J79&lt;&gt;"Tail",N79="Declining"))*1+(AND(H79="Broker-Reliant",J79&lt;&gt;"Tail",N79="Lapsed"))*1+(AND(H79="Broker-Reliant",J79&lt;&gt;"Tail",N79="H2 Active / No H1 GMV"))*1+(AND(H79="Broker-Reliant",J79="Tail"))*1+(AND(G79="Low",J79&lt;&gt;"Tail",OR(N79="Growing",N79="Stable")))*1+(AND(G79="Low",J79&lt;&gt;"Tail",N79="H2 Active / No H1 GMV"))*1+(AND(G79="Low",J79&lt;&gt;"Tail",OR(N79="Declining",N79="Lapsed")))*1+(AND(G79="Low",J79="Tail"))*1</f>
        <v>1</v>
      </c>
      <c r="W79" s="2" t="n">
        <f aca="false">INDEX('Commercial View'!$V$2:$V$301,MATCH($A79,'Commercial View'!$A$2:$A$301,0))</f>
        <v>2</v>
      </c>
      <c r="X79" s="10" t="b">
        <f aca="false">O79&lt;=Assumptions!$B$30</f>
        <v>0</v>
      </c>
      <c r="Y79" s="10" t="b">
        <f aca="false">W79&lt;=1</f>
        <v>0</v>
      </c>
      <c r="Z79" s="10" t="b">
        <f aca="false">C79="Duplicate"</f>
        <v>0</v>
      </c>
      <c r="AA79" s="10" t="b">
        <f aca="false">C79=""</f>
        <v>0</v>
      </c>
      <c r="AB79" s="2" t="n">
        <f aca="false">IF(P79+Q79&gt;0,ROUND(P79/(P79+Q79)*100,0),"")</f>
        <v>25</v>
      </c>
      <c r="AC79" s="2" t="n">
        <f aca="false">IF(P79+Q79&gt;0,ROUND(E79-P79/(P79+Q79)*100,0),"")</f>
        <v>-9</v>
      </c>
      <c r="AD79" s="10" t="b">
        <f aca="false">IF(AC79="",FALSE(),ABS(AC79)&gt;Assumptions!$B$41)</f>
        <v>0</v>
      </c>
      <c r="AE79" s="2" t="str">
        <f aca="false">IF(X79,"Low confidence (&lt;=2 orders); ","")&amp;IF(Y79,"Single-month history; ","")&amp;IF(Z79,"CRITICAL: Duplicate status; ","")&amp;IF(AA79,"Missing status; ","")&amp;IF(AD79,"Broker % vs counts gap "&amp;TEXT(AC79,"+0;-0")&amp;"pts; ","")</f>
        <v/>
      </c>
      <c r="AF79" s="2" t="str">
        <f aca="false">IF(AND(K79=0,L79&gt;0),IF(D79&lt;=Assumptions!$B$47,"New Customer","Returned Customer"),"Existing Customer")</f>
        <v>Existing Customer</v>
      </c>
      <c r="AG79" s="10" t="b">
        <f aca="false">AND(T79="1. Migration Candidate",J79="Key")</f>
        <v>0</v>
      </c>
      <c r="AH79" s="10" t="b">
        <f aca="false">IF(AND(K79&gt;0,L79&gt;0),OR(ABS(M79-Assumptions!$B$36)&lt;=Assumptions!$B$46,ABS(M79+Assumptions!$B$36)&lt;=Assumptions!$B$46),FALSE())</f>
        <v>0</v>
      </c>
      <c r="AI79" s="9" t="n">
        <f aca="false">INDEX('Commercial View'!$L$2:$L$301,MATCH($A79,'Commercial View'!$A$2:$A$301,0))+INDEX('Commercial View'!$M$2:$M$301,MATCH($A79,'Commercial View'!$A$2:$A$301,0))</f>
        <v>704</v>
      </c>
      <c r="AJ79" s="2" t="str">
        <f aca="false">IF(AND(K79=0,AI79=0),"No activity ex-Feb",IF(AI79=0,"Lapsed",IF(K79=0,"H2 Active / No H1 GMV",IF((AI79/2)/(K79/3)-1&gt;=Assumptions!$B$36,"Growing",IF((AI79/2)/(K79/3)-1&lt;-Assumptions!$B$36,"Declining","Stable")))))</f>
        <v>Growing</v>
      </c>
      <c r="AK79" s="10" t="b">
        <f aca="false">IF(OR(N79="Growing",N79="Stable"),"Healthy",N79)&lt;&gt;IF(OR(AJ79="Growing",AJ79="Stable"),"Healthy",AJ79)</f>
        <v>0</v>
      </c>
      <c r="AL79" s="2" t="str">
        <f aca="false">IF(N79="Lapsed",IF(OR(O79&lt;=Assumptions!$B$48,W79&lt;=Assumptions!$B$49),"One-Off / Insufficient History — Verify","Established Buyer Lapsed"),"N/A")</f>
        <v>N/A</v>
      </c>
      <c r="AM79" s="2" t="n">
        <f aca="false">INDEX('Scored Accounts'!$M$2:$M$301,MATCH($A79,'Scored Accounts'!$A$2:$A$301,0))</f>
        <v>0</v>
      </c>
      <c r="AN79" s="2" t="n">
        <f aca="false">IF((P79/(P79+Q79)*100)&lt;=Assumptions!$B$13,0,IF((P79/(P79+Q79)*100)&lt;Assumptions!$B$14,25,IF((P79/(P79+Q79)*100)&lt;Assumptions!$B$15,50,IF((P79/(P79+Q79)*100)&lt;Assumptions!$B$16,75,100))))</f>
        <v>25</v>
      </c>
      <c r="AO79" s="21" t="n">
        <f aca="false">IF((P79/(P79+Q79)*100)&lt;=Assumptions!$B$8,0,AN79*Assumptions!$B$4+INDEX('Scored Accounts'!$N$2:$N$301,MATCH($A79,'Scored Accounts'!$A$2:$A$301,0))*Assumptions!$B$5+INDEX('Scored Accounts'!$O$2:$O$301,MATCH($A79,'Scored Accounts'!$A$2:$A$301,0))*Assumptions!$B$6)</f>
        <v>47.5</v>
      </c>
      <c r="AP79" s="2" t="str">
        <f aca="false">IF(AO79&gt;=Assumptions!$B$9,"High",IF(AO79&gt;=Assumptions!$B$10,"Medium","Low"))</f>
        <v>Medium</v>
      </c>
      <c r="AQ79" s="10" t="b">
        <f aca="false">OR((E79&lt;=Assumptions!$B$8)&lt;&gt;((P79/(P79+Q79)*100)&lt;=Assumptions!$B$8),AM79&lt;&gt;AN79,G79&lt;&gt;AP79)</f>
        <v>1</v>
      </c>
      <c r="AR79" s="2" t="str">
        <f aca="false">IF(AP79&lt;&gt;"Low","Broker-Reliant",IF(B79="Account Managed","AM-Owned / Self-Serving","Self-Serve"))</f>
        <v>Broker-Reliant</v>
      </c>
      <c r="AS79" s="2" t="str">
        <f aca="false">IF(AR79="Broker-Reliant",IF(J79="Tail","5. Cost-to-Serve / Low-Touch",IF(OR(N79="Growing",N79="Stable"),"1. Migration Candidate",IF(N79="Declining","2. Protect / Retain First",IF(N79="Lapsed","3. Win-Back / Verify",IF(N79="H2 Active / No H1 GMV","4. Establish / Re-establish / Observe","UNASSIGNED"))))),IF(AP79="Low",IF(J79="Tail","9. Long-Tail Automated Nurture",IF(OR(N79="Growing",N79="Stable"),"6. Growth Opportunity",IF(N79="H2 Active / No H1 GMV","7. Onboard / Re-engage / Learn",IF(OR(N79="Declining",N79="Lapsed"),"8. Retention / Reactivation","UNASSIGNED")))),"UNASSIGNED"))</f>
        <v>5. Cost-to-Serve / Low-Touch</v>
      </c>
      <c r="AT79" s="10" t="b">
        <f aca="false">AS79&lt;&gt;T79</f>
        <v>1</v>
      </c>
      <c r="AU79" s="2" t="str">
        <f aca="false">IF(NOT(U79),"Not Eligible",IF(OR(AQ79,AH79,AK79,NOT(AND(W79&gt;=Assumptions!$B$83,O79&gt;=Assumptions!$B$84))),"Manual Review","Ready"))</f>
        <v>Not Eligible</v>
      </c>
      <c r="AV79" s="2" t="str">
        <f aca="false">IF(AG79,"Key account - human sign-off required; ","")&amp;IF(AH79,"Borderline momentum; ","")&amp;IF(AK79,"February-sensitive ("&amp;N79&amp;" -&gt; "&amp;AJ79&amp;"); ","")&amp;IF(AL79="One-Off / Insufficient History — Verify","Lapsed on thin history - verify; ","")&amp;IF(AQ79,"Material broker % inconsistency (implied tier "&amp;AP79&amp;"); ","")&amp;IF(AT79,"Implied broker % would move segment to "&amp;AS79&amp;"; ","")</f>
        <v>Material broker % inconsistency (implied tier Medium); Implied broker % would move segment to 5. Cost-to-Serve / Low-Touch; </v>
      </c>
      <c r="AW79" s="10" t="b">
        <f aca="false">AND(G79="Low",J79="Tail",I79&gt;=Assumptions!$B$64,O79&gt;=Assumptions!$B$65,OR(N79="Growing",N79="Stable",AND(N79="H2 Active / No H1 GMV",W79&gt;=2)),OR(R79&gt;=Assumptions!$B$66,S79&gt;=Assumptions!$B$67))</f>
        <v>0</v>
      </c>
    </row>
    <row r="80" customFormat="false" ht="15" hidden="false" customHeight="false" outlineLevel="0" collapsed="false">
      <c r="A80" s="2" t="s">
        <v>594</v>
      </c>
      <c r="B80" s="2" t="s">
        <v>1571</v>
      </c>
      <c r="C80" s="2" t="s">
        <v>1572</v>
      </c>
      <c r="D80" s="2" t="n">
        <v>8</v>
      </c>
      <c r="E80" s="2" t="n">
        <v>53</v>
      </c>
      <c r="F80" s="21" t="n">
        <f aca="false">INDEX('Scored Accounts'!$Q$2:$Q$301,MATCH($A80,'Scored Accounts'!$A$2:$A$301,0))</f>
        <v>70</v>
      </c>
      <c r="G80" s="2" t="str">
        <f aca="false">INDEX('Scored Accounts'!$R$2:$R$301,MATCH($A80,'Scored Accounts'!$A$2:$A$301,0))</f>
        <v>High</v>
      </c>
      <c r="H80" s="2" t="str">
        <f aca="false">IF(OR(G80="High",G80="Medium"),"Broker-Reliant",IF(AND(G80="Low",B80="Account Managed"),"AM-Owned / Self-Serving",IF(AND(G80="Low",B80="Self Serve"),"Self-Serve","UNASSIGNED")))</f>
        <v>Broker-Reliant</v>
      </c>
      <c r="I80" s="9" t="n">
        <v>1342</v>
      </c>
      <c r="J80" s="2" t="str">
        <f aca="false">IF(I80&gt;=Assumptions!$B$35,"Key",IF(I80&gt;=Assumptions!$B$34,"Core","Tail"))</f>
        <v>Tail</v>
      </c>
      <c r="K80" s="9" t="n">
        <f aca="false">INDEX('Commercial View'!$R$2:$R$301,MATCH($A80,'Commercial View'!$A$2:$A$301,0))</f>
        <v>1342</v>
      </c>
      <c r="L80" s="9" t="n">
        <f aca="false">INDEX('Commercial View'!$S$2:$S$301,MATCH($A80,'Commercial View'!$A$2:$A$301,0))</f>
        <v>0</v>
      </c>
      <c r="M80" s="17" t="n">
        <f aca="false">INDEX('Commercial View'!$T$2:$T$301,MATCH($A80,'Commercial View'!$A$2:$A$301,0))</f>
        <v>-1</v>
      </c>
      <c r="N80" s="2" t="str">
        <f aca="false">INDEX('Commercial View'!$U$2:$U$301,MATCH($A80,'Commercial View'!$A$2:$A$301,0))</f>
        <v>Lapsed</v>
      </c>
      <c r="O80" s="2" t="n">
        <v>3</v>
      </c>
      <c r="P80" s="2" t="n">
        <v>2</v>
      </c>
      <c r="Q80" s="2" t="n">
        <v>1</v>
      </c>
      <c r="R80" s="2" t="n">
        <v>1</v>
      </c>
      <c r="S80" s="2" t="n">
        <v>1</v>
      </c>
      <c r="T80" s="2" t="str">
        <f aca="false">IF(H80="Broker-Reliant",IF(J80="Tail","5. Cost-to-Serve / Low-Touch",IF(OR(N80="Growing",N80="Stable"),"1. Migration Candidate",IF(N80="Declining","2. Protect / Retain First",IF(N80="Lapsed","3. Win-Back / Verify",IF(N80="H2 Active / No H1 GMV","4. Establish / Re-establish / Observe","UNASSIGNED"))))),IF(G80="Low",IF(J80="Tail","9. Long-Tail Automated Nurture",IF(OR(N80="Growing",N80="Stable"),"6. Growth Opportunity",IF(N80="H2 Active / No H1 GMV","7. Onboard / Re-engage / Learn",IF(OR(N80="Declining",N80="Lapsed"),"8. Retention / Reactivation","UNASSIGNED")))),"UNASSIGNED"))</f>
        <v>5. Cost-to-Serve / Low-Touch</v>
      </c>
      <c r="U80" s="10" t="b">
        <f aca="false">AND(T80="1. Migration Candidate",J80="Core",O80&gt;=Assumptions!$B$39,Q80&gt;=Assumptions!$B$40,NOT(Z80))</f>
        <v>0</v>
      </c>
      <c r="V80" s="2" t="n">
        <f aca="false">(AND(H80="Broker-Reliant",J80&lt;&gt;"Tail",OR(N80="Growing",N80="Stable")))*1+(AND(H80="Broker-Reliant",J80&lt;&gt;"Tail",N80="Declining"))*1+(AND(H80="Broker-Reliant",J80&lt;&gt;"Tail",N80="Lapsed"))*1+(AND(H80="Broker-Reliant",J80&lt;&gt;"Tail",N80="H2 Active / No H1 GMV"))*1+(AND(H80="Broker-Reliant",J80="Tail"))*1+(AND(G80="Low",J80&lt;&gt;"Tail",OR(N80="Growing",N80="Stable")))*1+(AND(G80="Low",J80&lt;&gt;"Tail",N80="H2 Active / No H1 GMV"))*1+(AND(G80="Low",J80&lt;&gt;"Tail",OR(N80="Declining",N80="Lapsed")))*1+(AND(G80="Low",J80="Tail"))*1</f>
        <v>1</v>
      </c>
      <c r="W80" s="2" t="n">
        <f aca="false">INDEX('Commercial View'!$V$2:$V$301,MATCH($A80,'Commercial View'!$A$2:$A$301,0))</f>
        <v>1</v>
      </c>
      <c r="X80" s="10" t="b">
        <f aca="false">O80&lt;=Assumptions!$B$30</f>
        <v>0</v>
      </c>
      <c r="Y80" s="10" t="b">
        <f aca="false">W80&lt;=1</f>
        <v>1</v>
      </c>
      <c r="Z80" s="10" t="b">
        <f aca="false">C80="Duplicate"</f>
        <v>0</v>
      </c>
      <c r="AA80" s="10" t="b">
        <f aca="false">C80=""</f>
        <v>0</v>
      </c>
      <c r="AB80" s="2" t="n">
        <f aca="false">IF(P80+Q80&gt;0,ROUND(P80/(P80+Q80)*100,0),"")</f>
        <v>67</v>
      </c>
      <c r="AC80" s="2" t="n">
        <f aca="false">IF(P80+Q80&gt;0,ROUND(E80-P80/(P80+Q80)*100,0),"")</f>
        <v>-14</v>
      </c>
      <c r="AD80" s="10" t="b">
        <f aca="false">IF(AC80="",FALSE(),ABS(AC80)&gt;Assumptions!$B$41)</f>
        <v>1</v>
      </c>
      <c r="AE80" s="2" t="str">
        <f aca="false">IF(X80,"Low confidence (&lt;=2 orders); ","")&amp;IF(Y80,"Single-month history; ","")&amp;IF(Z80,"CRITICAL: Duplicate status; ","")&amp;IF(AA80,"Missing status; ","")&amp;IF(AD80,"Broker % vs counts gap "&amp;TEXT(AC80,"+0;-0")&amp;"pts; ","")</f>
        <v>Single-month history; Broker % vs counts gap -14pts; </v>
      </c>
      <c r="AF80" s="2" t="str">
        <f aca="false">IF(AND(K80=0,L80&gt;0),IF(D80&lt;=Assumptions!$B$47,"New Customer","Returned Customer"),"Existing Customer")</f>
        <v>Existing Customer</v>
      </c>
      <c r="AG80" s="10" t="b">
        <f aca="false">AND(T80="1. Migration Candidate",J80="Key")</f>
        <v>0</v>
      </c>
      <c r="AH80" s="10" t="b">
        <f aca="false">IF(AND(K80&gt;0,L80&gt;0),OR(ABS(M80-Assumptions!$B$36)&lt;=Assumptions!$B$46,ABS(M80+Assumptions!$B$36)&lt;=Assumptions!$B$46),FALSE())</f>
        <v>0</v>
      </c>
      <c r="AI80" s="9" t="n">
        <f aca="false">INDEX('Commercial View'!$L$2:$L$301,MATCH($A80,'Commercial View'!$A$2:$A$301,0))+INDEX('Commercial View'!$M$2:$M$301,MATCH($A80,'Commercial View'!$A$2:$A$301,0))</f>
        <v>0</v>
      </c>
      <c r="AJ80" s="2" t="str">
        <f aca="false">IF(AND(K80=0,AI80=0),"No activity ex-Feb",IF(AI80=0,"Lapsed",IF(K80=0,"H2 Active / No H1 GMV",IF((AI80/2)/(K80/3)-1&gt;=Assumptions!$B$36,"Growing",IF((AI80/2)/(K80/3)-1&lt;-Assumptions!$B$36,"Declining","Stable")))))</f>
        <v>Lapsed</v>
      </c>
      <c r="AK80" s="10" t="b">
        <f aca="false">IF(OR(N80="Growing",N80="Stable"),"Healthy",N80)&lt;&gt;IF(OR(AJ80="Growing",AJ80="Stable"),"Healthy",AJ80)</f>
        <v>0</v>
      </c>
      <c r="AL80" s="2" t="str">
        <f aca="false">IF(N80="Lapsed",IF(OR(O80&lt;=Assumptions!$B$48,W80&lt;=Assumptions!$B$49),"One-Off / Insufficient History — Verify","Established Buyer Lapsed"),"N/A")</f>
        <v>One-Off / Insufficient History — Verify</v>
      </c>
      <c r="AM80" s="2" t="n">
        <f aca="false">INDEX('Scored Accounts'!$M$2:$M$301,MATCH($A80,'Scored Accounts'!$A$2:$A$301,0))</f>
        <v>50</v>
      </c>
      <c r="AN80" s="2" t="n">
        <f aca="false">IF((P80/(P80+Q80)*100)&lt;=Assumptions!$B$13,0,IF((P80/(P80+Q80)*100)&lt;Assumptions!$B$14,25,IF((P80/(P80+Q80)*100)&lt;Assumptions!$B$15,50,IF((P80/(P80+Q80)*100)&lt;Assumptions!$B$16,75,100))))</f>
        <v>75</v>
      </c>
      <c r="AO80" s="21" t="n">
        <f aca="false">IF((P80/(P80+Q80)*100)&lt;=Assumptions!$B$8,0,AN80*Assumptions!$B$4+INDEX('Scored Accounts'!$N$2:$N$301,MATCH($A80,'Scored Accounts'!$A$2:$A$301,0))*Assumptions!$B$5+INDEX('Scored Accounts'!$O$2:$O$301,MATCH($A80,'Scored Accounts'!$A$2:$A$301,0))*Assumptions!$B$6)</f>
        <v>82.5</v>
      </c>
      <c r="AP80" s="2" t="str">
        <f aca="false">IF(AO80&gt;=Assumptions!$B$9,"High",IF(AO80&gt;=Assumptions!$B$10,"Medium","Low"))</f>
        <v>High</v>
      </c>
      <c r="AQ80" s="10" t="b">
        <f aca="false">OR((E80&lt;=Assumptions!$B$8)&lt;&gt;((P80/(P80+Q80)*100)&lt;=Assumptions!$B$8),AM80&lt;&gt;AN80,G80&lt;&gt;AP80)</f>
        <v>1</v>
      </c>
      <c r="AR80" s="2" t="str">
        <f aca="false">IF(AP80&lt;&gt;"Low","Broker-Reliant",IF(B80="Account Managed","AM-Owned / Self-Serving","Self-Serve"))</f>
        <v>Broker-Reliant</v>
      </c>
      <c r="AS80" s="2" t="str">
        <f aca="false">IF(AR80="Broker-Reliant",IF(J80="Tail","5. Cost-to-Serve / Low-Touch",IF(OR(N80="Growing",N80="Stable"),"1. Migration Candidate",IF(N80="Declining","2. Protect / Retain First",IF(N80="Lapsed","3. Win-Back / Verify",IF(N80="H2 Active / No H1 GMV","4. Establish / Re-establish / Observe","UNASSIGNED"))))),IF(AP80="Low",IF(J80="Tail","9. Long-Tail Automated Nurture",IF(OR(N80="Growing",N80="Stable"),"6. Growth Opportunity",IF(N80="H2 Active / No H1 GMV","7. Onboard / Re-engage / Learn",IF(OR(N80="Declining",N80="Lapsed"),"8. Retention / Reactivation","UNASSIGNED")))),"UNASSIGNED"))</f>
        <v>5. Cost-to-Serve / Low-Touch</v>
      </c>
      <c r="AT80" s="10" t="b">
        <f aca="false">AS80&lt;&gt;T80</f>
        <v>0</v>
      </c>
      <c r="AU80" s="2" t="str">
        <f aca="false">IF(NOT(U80),"Not Eligible",IF(OR(AQ80,AH80,AK80,NOT(AND(W80&gt;=Assumptions!$B$83,O80&gt;=Assumptions!$B$84))),"Manual Review","Ready"))</f>
        <v>Not Eligible</v>
      </c>
      <c r="AV80" s="2" t="str">
        <f aca="false">IF(AG80,"Key account - human sign-off required; ","")&amp;IF(AH80,"Borderline momentum; ","")&amp;IF(AK80,"February-sensitive ("&amp;N80&amp;" -&gt; "&amp;AJ80&amp;"); ","")&amp;IF(AL80="One-Off / Insufficient History — Verify","Lapsed on thin history - verify; ","")&amp;IF(AQ80,"Material broker % inconsistency (implied tier "&amp;AP80&amp;"); ","")&amp;IF(AT80,"Implied broker % would move segment to "&amp;AS80&amp;"; ","")</f>
        <v>Lapsed on thin history - verify; Material broker % inconsistency (implied tier High); </v>
      </c>
      <c r="AW80" s="10" t="b">
        <f aca="false">AND(G80="Low",J80="Tail",I80&gt;=Assumptions!$B$64,O80&gt;=Assumptions!$B$65,OR(N80="Growing",N80="Stable",AND(N80="H2 Active / No H1 GMV",W80&gt;=2)),OR(R80&gt;=Assumptions!$B$66,S80&gt;=Assumptions!$B$67))</f>
        <v>0</v>
      </c>
    </row>
    <row r="81" customFormat="false" ht="15" hidden="false" customHeight="false" outlineLevel="0" collapsed="false">
      <c r="A81" s="2" t="s">
        <v>530</v>
      </c>
      <c r="B81" s="2" t="s">
        <v>1571</v>
      </c>
      <c r="C81" s="2" t="s">
        <v>1572</v>
      </c>
      <c r="D81" s="2" t="n">
        <v>10</v>
      </c>
      <c r="E81" s="2" t="n">
        <v>58</v>
      </c>
      <c r="F81" s="21" t="n">
        <f aca="false">INDEX('Scored Accounts'!$Q$2:$Q$301,MATCH($A81,'Scored Accounts'!$A$2:$A$301,0))</f>
        <v>70</v>
      </c>
      <c r="G81" s="2" t="str">
        <f aca="false">INDEX('Scored Accounts'!$R$2:$R$301,MATCH($A81,'Scored Accounts'!$A$2:$A$301,0))</f>
        <v>High</v>
      </c>
      <c r="H81" s="2" t="str">
        <f aca="false">IF(OR(G81="High",G81="Medium"),"Broker-Reliant",IF(AND(G81="Low",B81="Account Managed"),"AM-Owned / Self-Serving",IF(AND(G81="Low",B81="Self Serve"),"Self-Serve","UNASSIGNED")))</f>
        <v>Broker-Reliant</v>
      </c>
      <c r="I81" s="9" t="n">
        <v>1342</v>
      </c>
      <c r="J81" s="2" t="str">
        <f aca="false">IF(I81&gt;=Assumptions!$B$35,"Key",IF(I81&gt;=Assumptions!$B$34,"Core","Tail"))</f>
        <v>Tail</v>
      </c>
      <c r="K81" s="9" t="n">
        <f aca="false">INDEX('Commercial View'!$R$2:$R$301,MATCH($A81,'Commercial View'!$A$2:$A$301,0))</f>
        <v>0</v>
      </c>
      <c r="L81" s="9" t="n">
        <f aca="false">INDEX('Commercial View'!$S$2:$S$301,MATCH($A81,'Commercial View'!$A$2:$A$301,0))</f>
        <v>1342</v>
      </c>
      <c r="M81" s="17" t="str">
        <f aca="false">INDEX('Commercial View'!$T$2:$T$301,MATCH($A81,'Commercial View'!$A$2:$A$301,0))</f>
        <v/>
      </c>
      <c r="N81" s="2" t="str">
        <f aca="false">INDEX('Commercial View'!$U$2:$U$301,MATCH($A81,'Commercial View'!$A$2:$A$301,0))</f>
        <v>H2 Active / No H1 GMV</v>
      </c>
      <c r="O81" s="2" t="n">
        <v>7</v>
      </c>
      <c r="P81" s="2" t="n">
        <v>4</v>
      </c>
      <c r="Q81" s="2" t="n">
        <v>3</v>
      </c>
      <c r="R81" s="2" t="n">
        <v>3</v>
      </c>
      <c r="S81" s="2" t="n">
        <v>1</v>
      </c>
      <c r="T81" s="2" t="str">
        <f aca="false">IF(H81="Broker-Reliant",IF(J81="Tail","5. Cost-to-Serve / Low-Touch",IF(OR(N81="Growing",N81="Stable"),"1. Migration Candidate",IF(N81="Declining","2. Protect / Retain First",IF(N81="Lapsed","3. Win-Back / Verify",IF(N81="H2 Active / No H1 GMV","4. Establish / Re-establish / Observe","UNASSIGNED"))))),IF(G81="Low",IF(J81="Tail","9. Long-Tail Automated Nurture",IF(OR(N81="Growing",N81="Stable"),"6. Growth Opportunity",IF(N81="H2 Active / No H1 GMV","7. Onboard / Re-engage / Learn",IF(OR(N81="Declining",N81="Lapsed"),"8. Retention / Reactivation","UNASSIGNED")))),"UNASSIGNED"))</f>
        <v>5. Cost-to-Serve / Low-Touch</v>
      </c>
      <c r="U81" s="10" t="b">
        <f aca="false">AND(T81="1. Migration Candidate",J81="Core",O81&gt;=Assumptions!$B$39,Q81&gt;=Assumptions!$B$40,NOT(Z81))</f>
        <v>0</v>
      </c>
      <c r="V81" s="2" t="n">
        <f aca="false">(AND(H81="Broker-Reliant",J81&lt;&gt;"Tail",OR(N81="Growing",N81="Stable")))*1+(AND(H81="Broker-Reliant",J81&lt;&gt;"Tail",N81="Declining"))*1+(AND(H81="Broker-Reliant",J81&lt;&gt;"Tail",N81="Lapsed"))*1+(AND(H81="Broker-Reliant",J81&lt;&gt;"Tail",N81="H2 Active / No H1 GMV"))*1+(AND(H81="Broker-Reliant",J81="Tail"))*1+(AND(G81="Low",J81&lt;&gt;"Tail",OR(N81="Growing",N81="Stable")))*1+(AND(G81="Low",J81&lt;&gt;"Tail",N81="H2 Active / No H1 GMV"))*1+(AND(G81="Low",J81&lt;&gt;"Tail",OR(N81="Declining",N81="Lapsed")))*1+(AND(G81="Low",J81="Tail"))*1</f>
        <v>1</v>
      </c>
      <c r="W81" s="2" t="n">
        <f aca="false">INDEX('Commercial View'!$V$2:$V$301,MATCH($A81,'Commercial View'!$A$2:$A$301,0))</f>
        <v>2</v>
      </c>
      <c r="X81" s="10" t="b">
        <f aca="false">O81&lt;=Assumptions!$B$30</f>
        <v>0</v>
      </c>
      <c r="Y81" s="10" t="b">
        <f aca="false">W81&lt;=1</f>
        <v>0</v>
      </c>
      <c r="Z81" s="10" t="b">
        <f aca="false">C81="Duplicate"</f>
        <v>0</v>
      </c>
      <c r="AA81" s="10" t="b">
        <f aca="false">C81=""</f>
        <v>0</v>
      </c>
      <c r="AB81" s="2" t="n">
        <f aca="false">IF(P81+Q81&gt;0,ROUND(P81/(P81+Q81)*100,0),"")</f>
        <v>57</v>
      </c>
      <c r="AC81" s="2" t="n">
        <f aca="false">IF(P81+Q81&gt;0,ROUND(E81-P81/(P81+Q81)*100,0),"")</f>
        <v>1</v>
      </c>
      <c r="AD81" s="10" t="b">
        <f aca="false">IF(AC81="",FALSE(),ABS(AC81)&gt;Assumptions!$B$41)</f>
        <v>0</v>
      </c>
      <c r="AE81" s="2" t="str">
        <f aca="false">IF(X81,"Low confidence (&lt;=2 orders); ","")&amp;IF(Y81,"Single-month history; ","")&amp;IF(Z81,"CRITICAL: Duplicate status; ","")&amp;IF(AA81,"Missing status; ","")&amp;IF(AD81,"Broker % vs counts gap "&amp;TEXT(AC81,"+0;-0")&amp;"pts; ","")</f>
        <v/>
      </c>
      <c r="AF81" s="2" t="str">
        <f aca="false">IF(AND(K81=0,L81&gt;0),IF(D81&lt;=Assumptions!$B$47,"New Customer","Returned Customer"),"Existing Customer")</f>
        <v>Returned Customer</v>
      </c>
      <c r="AG81" s="10" t="b">
        <f aca="false">AND(T81="1. Migration Candidate",J81="Key")</f>
        <v>0</v>
      </c>
      <c r="AH81" s="10" t="b">
        <f aca="false">IF(AND(K81&gt;0,L81&gt;0),OR(ABS(M81-Assumptions!$B$36)&lt;=Assumptions!$B$46,ABS(M81+Assumptions!$B$36)&lt;=Assumptions!$B$46),FALSE())</f>
        <v>0</v>
      </c>
      <c r="AI81" s="9" t="n">
        <f aca="false">INDEX('Commercial View'!$L$2:$L$301,MATCH($A81,'Commercial View'!$A$2:$A$301,0))+INDEX('Commercial View'!$M$2:$M$301,MATCH($A81,'Commercial View'!$A$2:$A$301,0))</f>
        <v>434</v>
      </c>
      <c r="AJ81" s="2" t="str">
        <f aca="false">IF(AND(K81=0,AI81=0),"No activity ex-Feb",IF(AI81=0,"Lapsed",IF(K81=0,"H2 Active / No H1 GMV",IF((AI81/2)/(K81/3)-1&gt;=Assumptions!$B$36,"Growing",IF((AI81/2)/(K81/3)-1&lt;-Assumptions!$B$36,"Declining","Stable")))))</f>
        <v>H2 Active / No H1 GMV</v>
      </c>
      <c r="AK81" s="10" t="b">
        <f aca="false">IF(OR(N81="Growing",N81="Stable"),"Healthy",N81)&lt;&gt;IF(OR(AJ81="Growing",AJ81="Stable"),"Healthy",AJ81)</f>
        <v>0</v>
      </c>
      <c r="AL81" s="2" t="str">
        <f aca="false">IF(N81="Lapsed",IF(OR(O81&lt;=Assumptions!$B$48,W81&lt;=Assumptions!$B$49),"One-Off / Insufficient History — Verify","Established Buyer Lapsed"),"N/A")</f>
        <v>N/A</v>
      </c>
      <c r="AM81" s="2" t="n">
        <f aca="false">INDEX('Scored Accounts'!$M$2:$M$301,MATCH($A81,'Scored Accounts'!$A$2:$A$301,0))</f>
        <v>50</v>
      </c>
      <c r="AN81" s="2" t="n">
        <f aca="false">IF((P81/(P81+Q81)*100)&lt;=Assumptions!$B$13,0,IF((P81/(P81+Q81)*100)&lt;Assumptions!$B$14,25,IF((P81/(P81+Q81)*100)&lt;Assumptions!$B$15,50,IF((P81/(P81+Q81)*100)&lt;Assumptions!$B$16,75,100))))</f>
        <v>50</v>
      </c>
      <c r="AO81" s="21" t="n">
        <f aca="false">IF((P81/(P81+Q81)*100)&lt;=Assumptions!$B$8,0,AN81*Assumptions!$B$4+INDEX('Scored Accounts'!$N$2:$N$301,MATCH($A81,'Scored Accounts'!$A$2:$A$301,0))*Assumptions!$B$5+INDEX('Scored Accounts'!$O$2:$O$301,MATCH($A81,'Scored Accounts'!$A$2:$A$301,0))*Assumptions!$B$6)</f>
        <v>70</v>
      </c>
      <c r="AP81" s="2" t="str">
        <f aca="false">IF(AO81&gt;=Assumptions!$B$9,"High",IF(AO81&gt;=Assumptions!$B$10,"Medium","Low"))</f>
        <v>High</v>
      </c>
      <c r="AQ81" s="10" t="b">
        <f aca="false">OR((E81&lt;=Assumptions!$B$8)&lt;&gt;((P81/(P81+Q81)*100)&lt;=Assumptions!$B$8),AM81&lt;&gt;AN81,G81&lt;&gt;AP81)</f>
        <v>0</v>
      </c>
      <c r="AR81" s="2" t="str">
        <f aca="false">IF(AP81&lt;&gt;"Low","Broker-Reliant",IF(B81="Account Managed","AM-Owned / Self-Serving","Self-Serve"))</f>
        <v>Broker-Reliant</v>
      </c>
      <c r="AS81" s="2" t="str">
        <f aca="false">IF(AR81="Broker-Reliant",IF(J81="Tail","5. Cost-to-Serve / Low-Touch",IF(OR(N81="Growing",N81="Stable"),"1. Migration Candidate",IF(N81="Declining","2. Protect / Retain First",IF(N81="Lapsed","3. Win-Back / Verify",IF(N81="H2 Active / No H1 GMV","4. Establish / Re-establish / Observe","UNASSIGNED"))))),IF(AP81="Low",IF(J81="Tail","9. Long-Tail Automated Nurture",IF(OR(N81="Growing",N81="Stable"),"6. Growth Opportunity",IF(N81="H2 Active / No H1 GMV","7. Onboard / Re-engage / Learn",IF(OR(N81="Declining",N81="Lapsed"),"8. Retention / Reactivation","UNASSIGNED")))),"UNASSIGNED"))</f>
        <v>5. Cost-to-Serve / Low-Touch</v>
      </c>
      <c r="AT81" s="10" t="b">
        <f aca="false">AS81&lt;&gt;T81</f>
        <v>0</v>
      </c>
      <c r="AU81" s="2" t="str">
        <f aca="false">IF(NOT(U81),"Not Eligible",IF(OR(AQ81,AH81,AK81,NOT(AND(W81&gt;=Assumptions!$B$83,O81&gt;=Assumptions!$B$84))),"Manual Review","Ready"))</f>
        <v>Not Eligible</v>
      </c>
      <c r="AV81" s="2" t="str">
        <f aca="false">IF(AG81,"Key account - human sign-off required; ","")&amp;IF(AH81,"Borderline momentum; ","")&amp;IF(AK81,"February-sensitive ("&amp;N81&amp;" -&gt; "&amp;AJ81&amp;"); ","")&amp;IF(AL81="One-Off / Insufficient History — Verify","Lapsed on thin history - verify; ","")&amp;IF(AQ81,"Material broker % inconsistency (implied tier "&amp;AP81&amp;"); ","")&amp;IF(AT81,"Implied broker % would move segment to "&amp;AS81&amp;"; ","")</f>
        <v/>
      </c>
      <c r="AW81" s="10" t="b">
        <f aca="false">AND(G81="Low",J81="Tail",I81&gt;=Assumptions!$B$64,O81&gt;=Assumptions!$B$65,OR(N81="Growing",N81="Stable",AND(N81="H2 Active / No H1 GMV",W81&gt;=2)),OR(R81&gt;=Assumptions!$B$66,S81&gt;=Assumptions!$B$67))</f>
        <v>0</v>
      </c>
    </row>
    <row r="82" customFormat="false" ht="15" hidden="false" customHeight="false" outlineLevel="0" collapsed="false">
      <c r="A82" s="2" t="s">
        <v>597</v>
      </c>
      <c r="B82" s="2" t="s">
        <v>1571</v>
      </c>
      <c r="C82" s="2" t="s">
        <v>1572</v>
      </c>
      <c r="D82" s="2" t="n">
        <v>17</v>
      </c>
      <c r="E82" s="2" t="n">
        <v>74</v>
      </c>
      <c r="F82" s="21" t="n">
        <f aca="false">INDEX('Scored Accounts'!$Q$2:$Q$301,MATCH($A82,'Scored Accounts'!$A$2:$A$301,0))</f>
        <v>75</v>
      </c>
      <c r="G82" s="2" t="str">
        <f aca="false">INDEX('Scored Accounts'!$R$2:$R$301,MATCH($A82,'Scored Accounts'!$A$2:$A$301,0))</f>
        <v>High</v>
      </c>
      <c r="H82" s="2" t="str">
        <f aca="false">IF(OR(G82="High",G82="Medium"),"Broker-Reliant",IF(AND(G82="Low",B82="Account Managed"),"AM-Owned / Self-Serving",IF(AND(G82="Low",B82="Self Serve"),"Self-Serve","UNASSIGNED")))</f>
        <v>Broker-Reliant</v>
      </c>
      <c r="I82" s="9" t="n">
        <v>1289</v>
      </c>
      <c r="J82" s="2" t="str">
        <f aca="false">IF(I82&gt;=Assumptions!$B$35,"Key",IF(I82&gt;=Assumptions!$B$34,"Core","Tail"))</f>
        <v>Tail</v>
      </c>
      <c r="K82" s="9" t="n">
        <f aca="false">INDEX('Commercial View'!$R$2:$R$301,MATCH($A82,'Commercial View'!$A$2:$A$301,0))</f>
        <v>1289</v>
      </c>
      <c r="L82" s="9" t="n">
        <f aca="false">INDEX('Commercial View'!$S$2:$S$301,MATCH($A82,'Commercial View'!$A$2:$A$301,0))</f>
        <v>0</v>
      </c>
      <c r="M82" s="17" t="n">
        <f aca="false">INDEX('Commercial View'!$T$2:$T$301,MATCH($A82,'Commercial View'!$A$2:$A$301,0))</f>
        <v>-1</v>
      </c>
      <c r="N82" s="2" t="str">
        <f aca="false">INDEX('Commercial View'!$U$2:$U$301,MATCH($A82,'Commercial View'!$A$2:$A$301,0))</f>
        <v>Lapsed</v>
      </c>
      <c r="O82" s="2" t="n">
        <v>4</v>
      </c>
      <c r="P82" s="2" t="n">
        <v>3</v>
      </c>
      <c r="Q82" s="2" t="n">
        <v>1</v>
      </c>
      <c r="R82" s="2" t="n">
        <v>5</v>
      </c>
      <c r="S82" s="2" t="n">
        <v>1</v>
      </c>
      <c r="T82" s="2" t="str">
        <f aca="false">IF(H82="Broker-Reliant",IF(J82="Tail","5. Cost-to-Serve / Low-Touch",IF(OR(N82="Growing",N82="Stable"),"1. Migration Candidate",IF(N82="Declining","2. Protect / Retain First",IF(N82="Lapsed","3. Win-Back / Verify",IF(N82="H2 Active / No H1 GMV","4. Establish / Re-establish / Observe","UNASSIGNED"))))),IF(G82="Low",IF(J82="Tail","9. Long-Tail Automated Nurture",IF(OR(N82="Growing",N82="Stable"),"6. Growth Opportunity",IF(N82="H2 Active / No H1 GMV","7. Onboard / Re-engage / Learn",IF(OR(N82="Declining",N82="Lapsed"),"8. Retention / Reactivation","UNASSIGNED")))),"UNASSIGNED"))</f>
        <v>5. Cost-to-Serve / Low-Touch</v>
      </c>
      <c r="U82" s="10" t="b">
        <f aca="false">AND(T82="1. Migration Candidate",J82="Core",O82&gt;=Assumptions!$B$39,Q82&gt;=Assumptions!$B$40,NOT(Z82))</f>
        <v>0</v>
      </c>
      <c r="V82" s="2" t="n">
        <f aca="false">(AND(H82="Broker-Reliant",J82&lt;&gt;"Tail",OR(N82="Growing",N82="Stable")))*1+(AND(H82="Broker-Reliant",J82&lt;&gt;"Tail",N82="Declining"))*1+(AND(H82="Broker-Reliant",J82&lt;&gt;"Tail",N82="Lapsed"))*1+(AND(H82="Broker-Reliant",J82&lt;&gt;"Tail",N82="H2 Active / No H1 GMV"))*1+(AND(H82="Broker-Reliant",J82="Tail"))*1+(AND(G82="Low",J82&lt;&gt;"Tail",OR(N82="Growing",N82="Stable")))*1+(AND(G82="Low",J82&lt;&gt;"Tail",N82="H2 Active / No H1 GMV"))*1+(AND(G82="Low",J82&lt;&gt;"Tail",OR(N82="Declining",N82="Lapsed")))*1+(AND(G82="Low",J82="Tail"))*1</f>
        <v>1</v>
      </c>
      <c r="W82" s="2" t="n">
        <f aca="false">INDEX('Commercial View'!$V$2:$V$301,MATCH($A82,'Commercial View'!$A$2:$A$301,0))</f>
        <v>2</v>
      </c>
      <c r="X82" s="10" t="b">
        <f aca="false">O82&lt;=Assumptions!$B$30</f>
        <v>0</v>
      </c>
      <c r="Y82" s="10" t="b">
        <f aca="false">W82&lt;=1</f>
        <v>0</v>
      </c>
      <c r="Z82" s="10" t="b">
        <f aca="false">C82="Duplicate"</f>
        <v>0</v>
      </c>
      <c r="AA82" s="10" t="b">
        <f aca="false">C82=""</f>
        <v>0</v>
      </c>
      <c r="AB82" s="2" t="n">
        <f aca="false">IF(P82+Q82&gt;0,ROUND(P82/(P82+Q82)*100,0),"")</f>
        <v>75</v>
      </c>
      <c r="AC82" s="2" t="n">
        <f aca="false">IF(P82+Q82&gt;0,ROUND(E82-P82/(P82+Q82)*100,0),"")</f>
        <v>-1</v>
      </c>
      <c r="AD82" s="10" t="b">
        <f aca="false">IF(AC82="",FALSE(),ABS(AC82)&gt;Assumptions!$B$41)</f>
        <v>0</v>
      </c>
      <c r="AE82" s="2" t="str">
        <f aca="false">IF(X82,"Low confidence (&lt;=2 orders); ","")&amp;IF(Y82,"Single-month history; ","")&amp;IF(Z82,"CRITICAL: Duplicate status; ","")&amp;IF(AA82,"Missing status; ","")&amp;IF(AD82,"Broker % vs counts gap "&amp;TEXT(AC82,"+0;-0")&amp;"pts; ","")</f>
        <v/>
      </c>
      <c r="AF82" s="2" t="str">
        <f aca="false">IF(AND(K82=0,L82&gt;0),IF(D82&lt;=Assumptions!$B$47,"New Customer","Returned Customer"),"Existing Customer")</f>
        <v>Existing Customer</v>
      </c>
      <c r="AG82" s="10" t="b">
        <f aca="false">AND(T82="1. Migration Candidate",J82="Key")</f>
        <v>0</v>
      </c>
      <c r="AH82" s="10" t="b">
        <f aca="false">IF(AND(K82&gt;0,L82&gt;0),OR(ABS(M82-Assumptions!$B$36)&lt;=Assumptions!$B$46,ABS(M82+Assumptions!$B$36)&lt;=Assumptions!$B$46),FALSE())</f>
        <v>0</v>
      </c>
      <c r="AI82" s="9" t="n">
        <f aca="false">INDEX('Commercial View'!$L$2:$L$301,MATCH($A82,'Commercial View'!$A$2:$A$301,0))+INDEX('Commercial View'!$M$2:$M$301,MATCH($A82,'Commercial View'!$A$2:$A$301,0))</f>
        <v>0</v>
      </c>
      <c r="AJ82" s="2" t="str">
        <f aca="false">IF(AND(K82=0,AI82=0),"No activity ex-Feb",IF(AI82=0,"Lapsed",IF(K82=0,"H2 Active / No H1 GMV",IF((AI82/2)/(K82/3)-1&gt;=Assumptions!$B$36,"Growing",IF((AI82/2)/(K82/3)-1&lt;-Assumptions!$B$36,"Declining","Stable")))))</f>
        <v>Lapsed</v>
      </c>
      <c r="AK82" s="10" t="b">
        <f aca="false">IF(OR(N82="Growing",N82="Stable"),"Healthy",N82)&lt;&gt;IF(OR(AJ82="Growing",AJ82="Stable"),"Healthy",AJ82)</f>
        <v>0</v>
      </c>
      <c r="AL82" s="2" t="str">
        <f aca="false">IF(N82="Lapsed",IF(OR(O82&lt;=Assumptions!$B$48,W82&lt;=Assumptions!$B$49),"One-Off / Insufficient History — Verify","Established Buyer Lapsed"),"N/A")</f>
        <v>Established Buyer Lapsed</v>
      </c>
      <c r="AM82" s="2" t="n">
        <f aca="false">INDEX('Scored Accounts'!$M$2:$M$301,MATCH($A82,'Scored Accounts'!$A$2:$A$301,0))</f>
        <v>75</v>
      </c>
      <c r="AN82" s="2" t="n">
        <f aca="false">IF((P82/(P82+Q82)*100)&lt;=Assumptions!$B$13,0,IF((P82/(P82+Q82)*100)&lt;Assumptions!$B$14,25,IF((P82/(P82+Q82)*100)&lt;Assumptions!$B$15,50,IF((P82/(P82+Q82)*100)&lt;Assumptions!$B$16,75,100))))</f>
        <v>75</v>
      </c>
      <c r="AO82" s="21" t="n">
        <f aca="false">IF((P82/(P82+Q82)*100)&lt;=Assumptions!$B$8,0,AN82*Assumptions!$B$4+INDEX('Scored Accounts'!$N$2:$N$301,MATCH($A82,'Scored Accounts'!$A$2:$A$301,0))*Assumptions!$B$5+INDEX('Scored Accounts'!$O$2:$O$301,MATCH($A82,'Scored Accounts'!$A$2:$A$301,0))*Assumptions!$B$6)</f>
        <v>75</v>
      </c>
      <c r="AP82" s="2" t="str">
        <f aca="false">IF(AO82&gt;=Assumptions!$B$9,"High",IF(AO82&gt;=Assumptions!$B$10,"Medium","Low"))</f>
        <v>High</v>
      </c>
      <c r="AQ82" s="10" t="b">
        <f aca="false">OR((E82&lt;=Assumptions!$B$8)&lt;&gt;((P82/(P82+Q82)*100)&lt;=Assumptions!$B$8),AM82&lt;&gt;AN82,G82&lt;&gt;AP82)</f>
        <v>0</v>
      </c>
      <c r="AR82" s="2" t="str">
        <f aca="false">IF(AP82&lt;&gt;"Low","Broker-Reliant",IF(B82="Account Managed","AM-Owned / Self-Serving","Self-Serve"))</f>
        <v>Broker-Reliant</v>
      </c>
      <c r="AS82" s="2" t="str">
        <f aca="false">IF(AR82="Broker-Reliant",IF(J82="Tail","5. Cost-to-Serve / Low-Touch",IF(OR(N82="Growing",N82="Stable"),"1. Migration Candidate",IF(N82="Declining","2. Protect / Retain First",IF(N82="Lapsed","3. Win-Back / Verify",IF(N82="H2 Active / No H1 GMV","4. Establish / Re-establish / Observe","UNASSIGNED"))))),IF(AP82="Low",IF(J82="Tail","9. Long-Tail Automated Nurture",IF(OR(N82="Growing",N82="Stable"),"6. Growth Opportunity",IF(N82="H2 Active / No H1 GMV","7. Onboard / Re-engage / Learn",IF(OR(N82="Declining",N82="Lapsed"),"8. Retention / Reactivation","UNASSIGNED")))),"UNASSIGNED"))</f>
        <v>5. Cost-to-Serve / Low-Touch</v>
      </c>
      <c r="AT82" s="10" t="b">
        <f aca="false">AS82&lt;&gt;T82</f>
        <v>0</v>
      </c>
      <c r="AU82" s="2" t="str">
        <f aca="false">IF(NOT(U82),"Not Eligible",IF(OR(AQ82,AH82,AK82,NOT(AND(W82&gt;=Assumptions!$B$83,O82&gt;=Assumptions!$B$84))),"Manual Review","Ready"))</f>
        <v>Not Eligible</v>
      </c>
      <c r="AV82" s="2" t="str">
        <f aca="false">IF(AG82,"Key account - human sign-off required; ","")&amp;IF(AH82,"Borderline momentum; ","")&amp;IF(AK82,"February-sensitive ("&amp;N82&amp;" -&gt; "&amp;AJ82&amp;"); ","")&amp;IF(AL82="One-Off / Insufficient History — Verify","Lapsed on thin history - verify; ","")&amp;IF(AQ82,"Material broker % inconsistency (implied tier "&amp;AP82&amp;"); ","")&amp;IF(AT82,"Implied broker % would move segment to "&amp;AS82&amp;"; ","")</f>
        <v/>
      </c>
      <c r="AW82" s="10" t="b">
        <f aca="false">AND(G82="Low",J82="Tail",I82&gt;=Assumptions!$B$64,O82&gt;=Assumptions!$B$65,OR(N82="Growing",N82="Stable",AND(N82="H2 Active / No H1 GMV",W82&gt;=2)),OR(R82&gt;=Assumptions!$B$66,S82&gt;=Assumptions!$B$67))</f>
        <v>0</v>
      </c>
    </row>
    <row r="83" customFormat="false" ht="15" hidden="false" customHeight="false" outlineLevel="0" collapsed="false">
      <c r="A83" s="2" t="s">
        <v>599</v>
      </c>
      <c r="B83" s="2" t="s">
        <v>1571</v>
      </c>
      <c r="C83" s="2"/>
      <c r="D83" s="2" t="n">
        <v>6</v>
      </c>
      <c r="E83" s="2" t="n">
        <v>11</v>
      </c>
      <c r="F83" s="21" t="n">
        <f aca="false">INDEX('Scored Accounts'!$Q$2:$Q$301,MATCH($A83,'Scored Accounts'!$A$2:$A$301,0))</f>
        <v>0</v>
      </c>
      <c r="G83" s="2" t="str">
        <f aca="false">INDEX('Scored Accounts'!$R$2:$R$301,MATCH($A83,'Scored Accounts'!$A$2:$A$301,0))</f>
        <v>Low</v>
      </c>
      <c r="H83" s="2" t="str">
        <f aca="false">IF(OR(G83="High",G83="Medium"),"Broker-Reliant",IF(AND(G83="Low",B83="Account Managed"),"AM-Owned / Self-Serving",IF(AND(G83="Low",B83="Self Serve"),"Self-Serve","UNASSIGNED")))</f>
        <v>AM-Owned / Self-Serving</v>
      </c>
      <c r="I83" s="9" t="n">
        <v>1263</v>
      </c>
      <c r="J83" s="2" t="str">
        <f aca="false">IF(I83&gt;=Assumptions!$B$35,"Key",IF(I83&gt;=Assumptions!$B$34,"Core","Tail"))</f>
        <v>Tail</v>
      </c>
      <c r="K83" s="9" t="n">
        <f aca="false">INDEX('Commercial View'!$R$2:$R$301,MATCH($A83,'Commercial View'!$A$2:$A$301,0))</f>
        <v>1264</v>
      </c>
      <c r="L83" s="9" t="n">
        <f aca="false">INDEX('Commercial View'!$S$2:$S$301,MATCH($A83,'Commercial View'!$A$2:$A$301,0))</f>
        <v>0</v>
      </c>
      <c r="M83" s="17" t="n">
        <f aca="false">INDEX('Commercial View'!$T$2:$T$301,MATCH($A83,'Commercial View'!$A$2:$A$301,0))</f>
        <v>-1</v>
      </c>
      <c r="N83" s="2" t="str">
        <f aca="false">INDEX('Commercial View'!$U$2:$U$301,MATCH($A83,'Commercial View'!$A$2:$A$301,0))</f>
        <v>Lapsed</v>
      </c>
      <c r="O83" s="2" t="n">
        <v>4</v>
      </c>
      <c r="P83" s="2" t="n">
        <v>0</v>
      </c>
      <c r="Q83" s="2" t="n">
        <v>4</v>
      </c>
      <c r="R83" s="2" t="n">
        <v>53</v>
      </c>
      <c r="S83" s="2" t="n">
        <v>3</v>
      </c>
      <c r="T83" s="2" t="str">
        <f aca="false">IF(H83="Broker-Reliant",IF(J83="Tail","5. Cost-to-Serve / Low-Touch",IF(OR(N83="Growing",N83="Stable"),"1. Migration Candidate",IF(N83="Declining","2. Protect / Retain First",IF(N83="Lapsed","3. Win-Back / Verify",IF(N83="H2 Active / No H1 GMV","4. Establish / Re-establish / Observe","UNASSIGNED"))))),IF(G83="Low",IF(J83="Tail","9. Long-Tail Automated Nurture",IF(OR(N83="Growing",N83="Stable"),"6. Growth Opportunity",IF(N83="H2 Active / No H1 GMV","7. Onboard / Re-engage / Learn",IF(OR(N83="Declining",N83="Lapsed"),"8. Retention / Reactivation","UNASSIGNED")))),"UNASSIGNED"))</f>
        <v>9. Long-Tail Automated Nurture</v>
      </c>
      <c r="U83" s="10" t="b">
        <f aca="false">AND(T83="1. Migration Candidate",J83="Core",O83&gt;=Assumptions!$B$39,Q83&gt;=Assumptions!$B$40,NOT(Z83))</f>
        <v>0</v>
      </c>
      <c r="V83" s="2" t="n">
        <f aca="false">(AND(H83="Broker-Reliant",J83&lt;&gt;"Tail",OR(N83="Growing",N83="Stable")))*1+(AND(H83="Broker-Reliant",J83&lt;&gt;"Tail",N83="Declining"))*1+(AND(H83="Broker-Reliant",J83&lt;&gt;"Tail",N83="Lapsed"))*1+(AND(H83="Broker-Reliant",J83&lt;&gt;"Tail",N83="H2 Active / No H1 GMV"))*1+(AND(H83="Broker-Reliant",J83="Tail"))*1+(AND(G83="Low",J83&lt;&gt;"Tail",OR(N83="Growing",N83="Stable")))*1+(AND(G83="Low",J83&lt;&gt;"Tail",N83="H2 Active / No H1 GMV"))*1+(AND(G83="Low",J83&lt;&gt;"Tail",OR(N83="Declining",N83="Lapsed")))*1+(AND(G83="Low",J83="Tail"))*1</f>
        <v>1</v>
      </c>
      <c r="W83" s="2" t="n">
        <f aca="false">INDEX('Commercial View'!$V$2:$V$301,MATCH($A83,'Commercial View'!$A$2:$A$301,0))</f>
        <v>3</v>
      </c>
      <c r="X83" s="10" t="b">
        <f aca="false">O83&lt;=Assumptions!$B$30</f>
        <v>0</v>
      </c>
      <c r="Y83" s="10" t="b">
        <f aca="false">W83&lt;=1</f>
        <v>0</v>
      </c>
      <c r="Z83" s="10" t="b">
        <f aca="false">C83="Duplicate"</f>
        <v>0</v>
      </c>
      <c r="AA83" s="10" t="b">
        <f aca="false">C83=""</f>
        <v>1</v>
      </c>
      <c r="AB83" s="2" t="n">
        <f aca="false">IF(P83+Q83&gt;0,ROUND(P83/(P83+Q83)*100,0),"")</f>
        <v>0</v>
      </c>
      <c r="AC83" s="2" t="n">
        <f aca="false">IF(P83+Q83&gt;0,ROUND(E83-P83/(P83+Q83)*100,0),"")</f>
        <v>11</v>
      </c>
      <c r="AD83" s="10" t="b">
        <f aca="false">IF(AC83="",FALSE(),ABS(AC83)&gt;Assumptions!$B$41)</f>
        <v>1</v>
      </c>
      <c r="AE83" s="2" t="str">
        <f aca="false">IF(X83,"Low confidence (&lt;=2 orders); ","")&amp;IF(Y83,"Single-month history; ","")&amp;IF(Z83,"CRITICAL: Duplicate status; ","")&amp;IF(AA83,"Missing status; ","")&amp;IF(AD83,"Broker % vs counts gap "&amp;TEXT(AC83,"+0;-0")&amp;"pts; ","")</f>
        <v>Missing status; Broker % vs counts gap +11pts; </v>
      </c>
      <c r="AF83" s="2" t="str">
        <f aca="false">IF(AND(K83=0,L83&gt;0),IF(D83&lt;=Assumptions!$B$47,"New Customer","Returned Customer"),"Existing Customer")</f>
        <v>Existing Customer</v>
      </c>
      <c r="AG83" s="10" t="b">
        <f aca="false">AND(T83="1. Migration Candidate",J83="Key")</f>
        <v>0</v>
      </c>
      <c r="AH83" s="10" t="b">
        <f aca="false">IF(AND(K83&gt;0,L83&gt;0),OR(ABS(M83-Assumptions!$B$36)&lt;=Assumptions!$B$46,ABS(M83+Assumptions!$B$36)&lt;=Assumptions!$B$46),FALSE())</f>
        <v>0</v>
      </c>
      <c r="AI83" s="9" t="n">
        <f aca="false">INDEX('Commercial View'!$L$2:$L$301,MATCH($A83,'Commercial View'!$A$2:$A$301,0))+INDEX('Commercial View'!$M$2:$M$301,MATCH($A83,'Commercial View'!$A$2:$A$301,0))</f>
        <v>0</v>
      </c>
      <c r="AJ83" s="2" t="str">
        <f aca="false">IF(AND(K83=0,AI83=0),"No activity ex-Feb",IF(AI83=0,"Lapsed",IF(K83=0,"H2 Active / No H1 GMV",IF((AI83/2)/(K83/3)-1&gt;=Assumptions!$B$36,"Growing",IF((AI83/2)/(K83/3)-1&lt;-Assumptions!$B$36,"Declining","Stable")))))</f>
        <v>Lapsed</v>
      </c>
      <c r="AK83" s="10" t="b">
        <f aca="false">IF(OR(N83="Growing",N83="Stable"),"Healthy",N83)&lt;&gt;IF(OR(AJ83="Growing",AJ83="Stable"),"Healthy",AJ83)</f>
        <v>0</v>
      </c>
      <c r="AL83" s="2" t="str">
        <f aca="false">IF(N83="Lapsed",IF(OR(O83&lt;=Assumptions!$B$48,W83&lt;=Assumptions!$B$49),"One-Off / Insufficient History — Verify","Established Buyer Lapsed"),"N/A")</f>
        <v>Established Buyer Lapsed</v>
      </c>
      <c r="AM83" s="2" t="n">
        <f aca="false">INDEX('Scored Accounts'!$M$2:$M$301,MATCH($A83,'Scored Accounts'!$A$2:$A$301,0))</f>
        <v>0</v>
      </c>
      <c r="AN83" s="2" t="n">
        <f aca="false">IF((P83/(P83+Q83)*100)&lt;=Assumptions!$B$13,0,IF((P83/(P83+Q83)*100)&lt;Assumptions!$B$14,25,IF((P83/(P83+Q83)*100)&lt;Assumptions!$B$15,50,IF((P83/(P83+Q83)*100)&lt;Assumptions!$B$16,75,100))))</f>
        <v>0</v>
      </c>
      <c r="AO83" s="21" t="n">
        <f aca="false">IF((P83/(P83+Q83)*100)&lt;=Assumptions!$B$8,0,AN83*Assumptions!$B$4+INDEX('Scored Accounts'!$N$2:$N$301,MATCH($A83,'Scored Accounts'!$A$2:$A$301,0))*Assumptions!$B$5+INDEX('Scored Accounts'!$O$2:$O$301,MATCH($A83,'Scored Accounts'!$A$2:$A$301,0))*Assumptions!$B$6)</f>
        <v>0</v>
      </c>
      <c r="AP83" s="2" t="str">
        <f aca="false">IF(AO83&gt;=Assumptions!$B$9,"High",IF(AO83&gt;=Assumptions!$B$10,"Medium","Low"))</f>
        <v>Low</v>
      </c>
      <c r="AQ83" s="10" t="b">
        <f aca="false">OR((E83&lt;=Assumptions!$B$8)&lt;&gt;((P83/(P83+Q83)*100)&lt;=Assumptions!$B$8),AM83&lt;&gt;AN83,G83&lt;&gt;AP83)</f>
        <v>0</v>
      </c>
      <c r="AR83" s="2" t="str">
        <f aca="false">IF(AP83&lt;&gt;"Low","Broker-Reliant",IF(B83="Account Managed","AM-Owned / Self-Serving","Self-Serve"))</f>
        <v>AM-Owned / Self-Serving</v>
      </c>
      <c r="AS83" s="2" t="str">
        <f aca="false">IF(AR83="Broker-Reliant",IF(J83="Tail","5. Cost-to-Serve / Low-Touch",IF(OR(N83="Growing",N83="Stable"),"1. Migration Candidate",IF(N83="Declining","2. Protect / Retain First",IF(N83="Lapsed","3. Win-Back / Verify",IF(N83="H2 Active / No H1 GMV","4. Establish / Re-establish / Observe","UNASSIGNED"))))),IF(AP83="Low",IF(J83="Tail","9. Long-Tail Automated Nurture",IF(OR(N83="Growing",N83="Stable"),"6. Growth Opportunity",IF(N83="H2 Active / No H1 GMV","7. Onboard / Re-engage / Learn",IF(OR(N83="Declining",N83="Lapsed"),"8. Retention / Reactivation","UNASSIGNED")))),"UNASSIGNED"))</f>
        <v>9. Long-Tail Automated Nurture</v>
      </c>
      <c r="AT83" s="10" t="b">
        <f aca="false">AS83&lt;&gt;T83</f>
        <v>0</v>
      </c>
      <c r="AU83" s="2" t="str">
        <f aca="false">IF(NOT(U83),"Not Eligible",IF(OR(AQ83,AH83,AK83,NOT(AND(W83&gt;=Assumptions!$B$83,O83&gt;=Assumptions!$B$84))),"Manual Review","Ready"))</f>
        <v>Not Eligible</v>
      </c>
      <c r="AV83" s="2" t="str">
        <f aca="false">IF(AG83,"Key account - human sign-off required; ","")&amp;IF(AH83,"Borderline momentum; ","")&amp;IF(AK83,"February-sensitive ("&amp;N83&amp;" -&gt; "&amp;AJ83&amp;"); ","")&amp;IF(AL83="One-Off / Insufficient History — Verify","Lapsed on thin history - verify; ","")&amp;IF(AQ83,"Material broker % inconsistency (implied tier "&amp;AP83&amp;"); ","")&amp;IF(AT83,"Implied broker % would move segment to "&amp;AS83&amp;"; ","")</f>
        <v/>
      </c>
      <c r="AW83" s="10" t="b">
        <f aca="false">AND(G83="Low",J83="Tail",I83&gt;=Assumptions!$B$64,O83&gt;=Assumptions!$B$65,OR(N83="Growing",N83="Stable",AND(N83="H2 Active / No H1 GMV",W83&gt;=2)),OR(R83&gt;=Assumptions!$B$66,S83&gt;=Assumptions!$B$67))</f>
        <v>0</v>
      </c>
    </row>
    <row r="84" customFormat="false" ht="15" hidden="false" customHeight="false" outlineLevel="0" collapsed="false">
      <c r="A84" s="2" t="s">
        <v>533</v>
      </c>
      <c r="B84" s="2" t="s">
        <v>1571</v>
      </c>
      <c r="C84" s="2" t="s">
        <v>1572</v>
      </c>
      <c r="D84" s="2" t="n">
        <v>8</v>
      </c>
      <c r="E84" s="2" t="n">
        <v>10</v>
      </c>
      <c r="F84" s="21" t="n">
        <f aca="false">INDEX('Scored Accounts'!$Q$2:$Q$301,MATCH($A84,'Scored Accounts'!$A$2:$A$301,0))</f>
        <v>0</v>
      </c>
      <c r="G84" s="2" t="str">
        <f aca="false">INDEX('Scored Accounts'!$R$2:$R$301,MATCH($A84,'Scored Accounts'!$A$2:$A$301,0))</f>
        <v>Low</v>
      </c>
      <c r="H84" s="2" t="str">
        <f aca="false">IF(OR(G84="High",G84="Medium"),"Broker-Reliant",IF(AND(G84="Low",B84="Account Managed"),"AM-Owned / Self-Serving",IF(AND(G84="Low",B84="Self Serve"),"Self-Serve","UNASSIGNED")))</f>
        <v>AM-Owned / Self-Serving</v>
      </c>
      <c r="I84" s="9" t="n">
        <v>1217</v>
      </c>
      <c r="J84" s="2" t="str">
        <f aca="false">IF(I84&gt;=Assumptions!$B$35,"Key",IF(I84&gt;=Assumptions!$B$34,"Core","Tail"))</f>
        <v>Tail</v>
      </c>
      <c r="K84" s="9" t="n">
        <f aca="false">INDEX('Commercial View'!$R$2:$R$301,MATCH($A84,'Commercial View'!$A$2:$A$301,0))</f>
        <v>296</v>
      </c>
      <c r="L84" s="9" t="n">
        <f aca="false">INDEX('Commercial View'!$S$2:$S$301,MATCH($A84,'Commercial View'!$A$2:$A$301,0))</f>
        <v>921</v>
      </c>
      <c r="M84" s="17" t="n">
        <f aca="false">INDEX('Commercial View'!$T$2:$T$301,MATCH($A84,'Commercial View'!$A$2:$A$301,0))</f>
        <v>2.11148648648649</v>
      </c>
      <c r="N84" s="2" t="str">
        <f aca="false">INDEX('Commercial View'!$U$2:$U$301,MATCH($A84,'Commercial View'!$A$2:$A$301,0))</f>
        <v>Growing</v>
      </c>
      <c r="O84" s="2" t="n">
        <v>8</v>
      </c>
      <c r="P84" s="2" t="n">
        <v>1</v>
      </c>
      <c r="Q84" s="2" t="n">
        <v>7</v>
      </c>
      <c r="R84" s="2" t="n">
        <v>49</v>
      </c>
      <c r="S84" s="2" t="n">
        <v>14</v>
      </c>
      <c r="T84" s="2" t="str">
        <f aca="false">IF(H84="Broker-Reliant",IF(J84="Tail","5. Cost-to-Serve / Low-Touch",IF(OR(N84="Growing",N84="Stable"),"1. Migration Candidate",IF(N84="Declining","2. Protect / Retain First",IF(N84="Lapsed","3. Win-Back / Verify",IF(N84="H2 Active / No H1 GMV","4. Establish / Re-establish / Observe","UNASSIGNED"))))),IF(G84="Low",IF(J84="Tail","9. Long-Tail Automated Nurture",IF(OR(N84="Growing",N84="Stable"),"6. Growth Opportunity",IF(N84="H2 Active / No H1 GMV","7. Onboard / Re-engage / Learn",IF(OR(N84="Declining",N84="Lapsed"),"8. Retention / Reactivation","UNASSIGNED")))),"UNASSIGNED"))</f>
        <v>9. Long-Tail Automated Nurture</v>
      </c>
      <c r="U84" s="10" t="b">
        <f aca="false">AND(T84="1. Migration Candidate",J84="Core",O84&gt;=Assumptions!$B$39,Q84&gt;=Assumptions!$B$40,NOT(Z84))</f>
        <v>0</v>
      </c>
      <c r="V84" s="2" t="n">
        <f aca="false">(AND(H84="Broker-Reliant",J84&lt;&gt;"Tail",OR(N84="Growing",N84="Stable")))*1+(AND(H84="Broker-Reliant",J84&lt;&gt;"Tail",N84="Declining"))*1+(AND(H84="Broker-Reliant",J84&lt;&gt;"Tail",N84="Lapsed"))*1+(AND(H84="Broker-Reliant",J84&lt;&gt;"Tail",N84="H2 Active / No H1 GMV"))*1+(AND(H84="Broker-Reliant",J84="Tail"))*1+(AND(G84="Low",J84&lt;&gt;"Tail",OR(N84="Growing",N84="Stable")))*1+(AND(G84="Low",J84&lt;&gt;"Tail",N84="H2 Active / No H1 GMV"))*1+(AND(G84="Low",J84&lt;&gt;"Tail",OR(N84="Declining",N84="Lapsed")))*1+(AND(G84="Low",J84="Tail"))*1</f>
        <v>1</v>
      </c>
      <c r="W84" s="2" t="n">
        <f aca="false">INDEX('Commercial View'!$V$2:$V$301,MATCH($A84,'Commercial View'!$A$2:$A$301,0))</f>
        <v>4</v>
      </c>
      <c r="X84" s="10" t="b">
        <f aca="false">O84&lt;=Assumptions!$B$30</f>
        <v>0</v>
      </c>
      <c r="Y84" s="10" t="b">
        <f aca="false">W84&lt;=1</f>
        <v>0</v>
      </c>
      <c r="Z84" s="10" t="b">
        <f aca="false">C84="Duplicate"</f>
        <v>0</v>
      </c>
      <c r="AA84" s="10" t="b">
        <f aca="false">C84=""</f>
        <v>0</v>
      </c>
      <c r="AB84" s="2" t="n">
        <f aca="false">IF(P84+Q84&gt;0,ROUND(P84/(P84+Q84)*100,0),"")</f>
        <v>13</v>
      </c>
      <c r="AC84" s="2" t="n">
        <f aca="false">IF(P84+Q84&gt;0,ROUND(E84-P84/(P84+Q84)*100,0),"")</f>
        <v>-3</v>
      </c>
      <c r="AD84" s="10" t="b">
        <f aca="false">IF(AC84="",FALSE(),ABS(AC84)&gt;Assumptions!$B$41)</f>
        <v>0</v>
      </c>
      <c r="AE84" s="2" t="str">
        <f aca="false">IF(X84,"Low confidence (&lt;=2 orders); ","")&amp;IF(Y84,"Single-month history; ","")&amp;IF(Z84,"CRITICAL: Duplicate status; ","")&amp;IF(AA84,"Missing status; ","")&amp;IF(AD84,"Broker % vs counts gap "&amp;TEXT(AC84,"+0;-0")&amp;"pts; ","")</f>
        <v/>
      </c>
      <c r="AF84" s="2" t="str">
        <f aca="false">IF(AND(K84=0,L84&gt;0),IF(D84&lt;=Assumptions!$B$47,"New Customer","Returned Customer"),"Existing Customer")</f>
        <v>Existing Customer</v>
      </c>
      <c r="AG84" s="10" t="b">
        <f aca="false">AND(T84="1. Migration Candidate",J84="Key")</f>
        <v>0</v>
      </c>
      <c r="AH84" s="10" t="b">
        <f aca="false">IF(AND(K84&gt;0,L84&gt;0),OR(ABS(M84-Assumptions!$B$36)&lt;=Assumptions!$B$46,ABS(M84+Assumptions!$B$36)&lt;=Assumptions!$B$46),FALSE())</f>
        <v>0</v>
      </c>
      <c r="AI84" s="9" t="n">
        <f aca="false">INDEX('Commercial View'!$L$2:$L$301,MATCH($A84,'Commercial View'!$A$2:$A$301,0))+INDEX('Commercial View'!$M$2:$M$301,MATCH($A84,'Commercial View'!$A$2:$A$301,0))</f>
        <v>359</v>
      </c>
      <c r="AJ84" s="2" t="str">
        <f aca="false">IF(AND(K84=0,AI84=0),"No activity ex-Feb",IF(AI84=0,"Lapsed",IF(K84=0,"H2 Active / No H1 GMV",IF((AI84/2)/(K84/3)-1&gt;=Assumptions!$B$36,"Growing",IF((AI84/2)/(K84/3)-1&lt;-Assumptions!$B$36,"Declining","Stable")))))</f>
        <v>Growing</v>
      </c>
      <c r="AK84" s="10" t="b">
        <f aca="false">IF(OR(N84="Growing",N84="Stable"),"Healthy",N84)&lt;&gt;IF(OR(AJ84="Growing",AJ84="Stable"),"Healthy",AJ84)</f>
        <v>0</v>
      </c>
      <c r="AL84" s="2" t="str">
        <f aca="false">IF(N84="Lapsed",IF(OR(O84&lt;=Assumptions!$B$48,W84&lt;=Assumptions!$B$49),"One-Off / Insufficient History — Verify","Established Buyer Lapsed"),"N/A")</f>
        <v>N/A</v>
      </c>
      <c r="AM84" s="2" t="n">
        <f aca="false">INDEX('Scored Accounts'!$M$2:$M$301,MATCH($A84,'Scored Accounts'!$A$2:$A$301,0))</f>
        <v>0</v>
      </c>
      <c r="AN84" s="2" t="n">
        <f aca="false">IF((P84/(P84+Q84)*100)&lt;=Assumptions!$B$13,0,IF((P84/(P84+Q84)*100)&lt;Assumptions!$B$14,25,IF((P84/(P84+Q84)*100)&lt;Assumptions!$B$15,50,IF((P84/(P84+Q84)*100)&lt;Assumptions!$B$16,75,100))))</f>
        <v>0</v>
      </c>
      <c r="AO84" s="21" t="n">
        <f aca="false">IF((P84/(P84+Q84)*100)&lt;=Assumptions!$B$8,0,AN84*Assumptions!$B$4+INDEX('Scored Accounts'!$N$2:$N$301,MATCH($A84,'Scored Accounts'!$A$2:$A$301,0))*Assumptions!$B$5+INDEX('Scored Accounts'!$O$2:$O$301,MATCH($A84,'Scored Accounts'!$A$2:$A$301,0))*Assumptions!$B$6)</f>
        <v>0</v>
      </c>
      <c r="AP84" s="2" t="str">
        <f aca="false">IF(AO84&gt;=Assumptions!$B$9,"High",IF(AO84&gt;=Assumptions!$B$10,"Medium","Low"))</f>
        <v>Low</v>
      </c>
      <c r="AQ84" s="10" t="b">
        <f aca="false">OR((E84&lt;=Assumptions!$B$8)&lt;&gt;((P84/(P84+Q84)*100)&lt;=Assumptions!$B$8),AM84&lt;&gt;AN84,G84&lt;&gt;AP84)</f>
        <v>0</v>
      </c>
      <c r="AR84" s="2" t="str">
        <f aca="false">IF(AP84&lt;&gt;"Low","Broker-Reliant",IF(B84="Account Managed","AM-Owned / Self-Serving","Self-Serve"))</f>
        <v>AM-Owned / Self-Serving</v>
      </c>
      <c r="AS84" s="2" t="str">
        <f aca="false">IF(AR84="Broker-Reliant",IF(J84="Tail","5. Cost-to-Serve / Low-Touch",IF(OR(N84="Growing",N84="Stable"),"1. Migration Candidate",IF(N84="Declining","2. Protect / Retain First",IF(N84="Lapsed","3. Win-Back / Verify",IF(N84="H2 Active / No H1 GMV","4. Establish / Re-establish / Observe","UNASSIGNED"))))),IF(AP84="Low",IF(J84="Tail","9. Long-Tail Automated Nurture",IF(OR(N84="Growing",N84="Stable"),"6. Growth Opportunity",IF(N84="H2 Active / No H1 GMV","7. Onboard / Re-engage / Learn",IF(OR(N84="Declining",N84="Lapsed"),"8. Retention / Reactivation","UNASSIGNED")))),"UNASSIGNED"))</f>
        <v>9. Long-Tail Automated Nurture</v>
      </c>
      <c r="AT84" s="10" t="b">
        <f aca="false">AS84&lt;&gt;T84</f>
        <v>0</v>
      </c>
      <c r="AU84" s="2" t="str">
        <f aca="false">IF(NOT(U84),"Not Eligible",IF(OR(AQ84,AH84,AK84,NOT(AND(W84&gt;=Assumptions!$B$83,O84&gt;=Assumptions!$B$84))),"Manual Review","Ready"))</f>
        <v>Not Eligible</v>
      </c>
      <c r="AV84" s="2" t="str">
        <f aca="false">IF(AG84,"Key account - human sign-off required; ","")&amp;IF(AH84,"Borderline momentum; ","")&amp;IF(AK84,"February-sensitive ("&amp;N84&amp;" -&gt; "&amp;AJ84&amp;"); ","")&amp;IF(AL84="One-Off / Insufficient History — Verify","Lapsed on thin history - verify; ","")&amp;IF(AQ84,"Material broker % inconsistency (implied tier "&amp;AP84&amp;"); ","")&amp;IF(AT84,"Implied broker % would move segment to "&amp;AS84&amp;"; ","")</f>
        <v/>
      </c>
      <c r="AW84" s="10" t="b">
        <f aca="false">AND(G84="Low",J84="Tail",I84&gt;=Assumptions!$B$64,O84&gt;=Assumptions!$B$65,OR(N84="Growing",N84="Stable",AND(N84="H2 Active / No H1 GMV",W84&gt;=2)),OR(R84&gt;=Assumptions!$B$66,S84&gt;=Assumptions!$B$67))</f>
        <v>1</v>
      </c>
    </row>
    <row r="85" customFormat="false" ht="15" hidden="false" customHeight="false" outlineLevel="0" collapsed="false">
      <c r="A85" s="2" t="s">
        <v>603</v>
      </c>
      <c r="B85" s="2" t="s">
        <v>1571</v>
      </c>
      <c r="C85" s="2" t="s">
        <v>1572</v>
      </c>
      <c r="D85" s="2" t="n">
        <v>38</v>
      </c>
      <c r="E85" s="2" t="n">
        <v>3</v>
      </c>
      <c r="F85" s="21" t="n">
        <f aca="false">INDEX('Scored Accounts'!$Q$2:$Q$301,MATCH($A85,'Scored Accounts'!$A$2:$A$301,0))</f>
        <v>0</v>
      </c>
      <c r="G85" s="2" t="str">
        <f aca="false">INDEX('Scored Accounts'!$R$2:$R$301,MATCH($A85,'Scored Accounts'!$A$2:$A$301,0))</f>
        <v>Low</v>
      </c>
      <c r="H85" s="2" t="str">
        <f aca="false">IF(OR(G85="High",G85="Medium"),"Broker-Reliant",IF(AND(G85="Low",B85="Account Managed"),"AM-Owned / Self-Serving",IF(AND(G85="Low",B85="Self Serve"),"Self-Serve","UNASSIGNED")))</f>
        <v>AM-Owned / Self-Serving</v>
      </c>
      <c r="I85" s="9" t="n">
        <v>1185</v>
      </c>
      <c r="J85" s="2" t="str">
        <f aca="false">IF(I85&gt;=Assumptions!$B$35,"Key",IF(I85&gt;=Assumptions!$B$34,"Core","Tail"))</f>
        <v>Tail</v>
      </c>
      <c r="K85" s="9" t="n">
        <f aca="false">INDEX('Commercial View'!$R$2:$R$301,MATCH($A85,'Commercial View'!$A$2:$A$301,0))</f>
        <v>1185</v>
      </c>
      <c r="L85" s="9" t="n">
        <f aca="false">INDEX('Commercial View'!$S$2:$S$301,MATCH($A85,'Commercial View'!$A$2:$A$301,0))</f>
        <v>0</v>
      </c>
      <c r="M85" s="17" t="n">
        <f aca="false">INDEX('Commercial View'!$T$2:$T$301,MATCH($A85,'Commercial View'!$A$2:$A$301,0))</f>
        <v>-1</v>
      </c>
      <c r="N85" s="2" t="str">
        <f aca="false">INDEX('Commercial View'!$U$2:$U$301,MATCH($A85,'Commercial View'!$A$2:$A$301,0))</f>
        <v>Lapsed</v>
      </c>
      <c r="O85" s="2" t="n">
        <v>2</v>
      </c>
      <c r="P85" s="2" t="n">
        <v>0</v>
      </c>
      <c r="Q85" s="2" t="n">
        <v>2</v>
      </c>
      <c r="R85" s="2" t="n">
        <v>20</v>
      </c>
      <c r="S85" s="2" t="n">
        <v>0</v>
      </c>
      <c r="T85" s="2" t="str">
        <f aca="false">IF(H85="Broker-Reliant",IF(J85="Tail","5. Cost-to-Serve / Low-Touch",IF(OR(N85="Growing",N85="Stable"),"1. Migration Candidate",IF(N85="Declining","2. Protect / Retain First",IF(N85="Lapsed","3. Win-Back / Verify",IF(N85="H2 Active / No H1 GMV","4. Establish / Re-establish / Observe","UNASSIGNED"))))),IF(G85="Low",IF(J85="Tail","9. Long-Tail Automated Nurture",IF(OR(N85="Growing",N85="Stable"),"6. Growth Opportunity",IF(N85="H2 Active / No H1 GMV","7. Onboard / Re-engage / Learn",IF(OR(N85="Declining",N85="Lapsed"),"8. Retention / Reactivation","UNASSIGNED")))),"UNASSIGNED"))</f>
        <v>9. Long-Tail Automated Nurture</v>
      </c>
      <c r="U85" s="10" t="b">
        <f aca="false">AND(T85="1. Migration Candidate",J85="Core",O85&gt;=Assumptions!$B$39,Q85&gt;=Assumptions!$B$40,NOT(Z85))</f>
        <v>0</v>
      </c>
      <c r="V85" s="2" t="n">
        <f aca="false">(AND(H85="Broker-Reliant",J85&lt;&gt;"Tail",OR(N85="Growing",N85="Stable")))*1+(AND(H85="Broker-Reliant",J85&lt;&gt;"Tail",N85="Declining"))*1+(AND(H85="Broker-Reliant",J85&lt;&gt;"Tail",N85="Lapsed"))*1+(AND(H85="Broker-Reliant",J85&lt;&gt;"Tail",N85="H2 Active / No H1 GMV"))*1+(AND(H85="Broker-Reliant",J85="Tail"))*1+(AND(G85="Low",J85&lt;&gt;"Tail",OR(N85="Growing",N85="Stable")))*1+(AND(G85="Low",J85&lt;&gt;"Tail",N85="H2 Active / No H1 GMV"))*1+(AND(G85="Low",J85&lt;&gt;"Tail",OR(N85="Declining",N85="Lapsed")))*1+(AND(G85="Low",J85="Tail"))*1</f>
        <v>1</v>
      </c>
      <c r="W85" s="2" t="n">
        <f aca="false">INDEX('Commercial View'!$V$2:$V$301,MATCH($A85,'Commercial View'!$A$2:$A$301,0))</f>
        <v>2</v>
      </c>
      <c r="X85" s="10" t="b">
        <f aca="false">O85&lt;=Assumptions!$B$30</f>
        <v>1</v>
      </c>
      <c r="Y85" s="10" t="b">
        <f aca="false">W85&lt;=1</f>
        <v>0</v>
      </c>
      <c r="Z85" s="10" t="b">
        <f aca="false">C85="Duplicate"</f>
        <v>0</v>
      </c>
      <c r="AA85" s="10" t="b">
        <f aca="false">C85=""</f>
        <v>0</v>
      </c>
      <c r="AB85" s="2" t="n">
        <f aca="false">IF(P85+Q85&gt;0,ROUND(P85/(P85+Q85)*100,0),"")</f>
        <v>0</v>
      </c>
      <c r="AC85" s="2" t="n">
        <f aca="false">IF(P85+Q85&gt;0,ROUND(E85-P85/(P85+Q85)*100,0),"")</f>
        <v>3</v>
      </c>
      <c r="AD85" s="10" t="b">
        <f aca="false">IF(AC85="",FALSE(),ABS(AC85)&gt;Assumptions!$B$41)</f>
        <v>0</v>
      </c>
      <c r="AE85" s="2" t="str">
        <f aca="false">IF(X85,"Low confidence (&lt;=2 orders); ","")&amp;IF(Y85,"Single-month history; ","")&amp;IF(Z85,"CRITICAL: Duplicate status; ","")&amp;IF(AA85,"Missing status; ","")&amp;IF(AD85,"Broker % vs counts gap "&amp;TEXT(AC85,"+0;-0")&amp;"pts; ","")</f>
        <v>Low confidence (&lt;=2 orders); </v>
      </c>
      <c r="AF85" s="2" t="str">
        <f aca="false">IF(AND(K85=0,L85&gt;0),IF(D85&lt;=Assumptions!$B$47,"New Customer","Returned Customer"),"Existing Customer")</f>
        <v>Existing Customer</v>
      </c>
      <c r="AG85" s="10" t="b">
        <f aca="false">AND(T85="1. Migration Candidate",J85="Key")</f>
        <v>0</v>
      </c>
      <c r="AH85" s="10" t="b">
        <f aca="false">IF(AND(K85&gt;0,L85&gt;0),OR(ABS(M85-Assumptions!$B$36)&lt;=Assumptions!$B$46,ABS(M85+Assumptions!$B$36)&lt;=Assumptions!$B$46),FALSE())</f>
        <v>0</v>
      </c>
      <c r="AI85" s="9" t="n">
        <f aca="false">INDEX('Commercial View'!$L$2:$L$301,MATCH($A85,'Commercial View'!$A$2:$A$301,0))+INDEX('Commercial View'!$M$2:$M$301,MATCH($A85,'Commercial View'!$A$2:$A$301,0))</f>
        <v>0</v>
      </c>
      <c r="AJ85" s="2" t="str">
        <f aca="false">IF(AND(K85=0,AI85=0),"No activity ex-Feb",IF(AI85=0,"Lapsed",IF(K85=0,"H2 Active / No H1 GMV",IF((AI85/2)/(K85/3)-1&gt;=Assumptions!$B$36,"Growing",IF((AI85/2)/(K85/3)-1&lt;-Assumptions!$B$36,"Declining","Stable")))))</f>
        <v>Lapsed</v>
      </c>
      <c r="AK85" s="10" t="b">
        <f aca="false">IF(OR(N85="Growing",N85="Stable"),"Healthy",N85)&lt;&gt;IF(OR(AJ85="Growing",AJ85="Stable"),"Healthy",AJ85)</f>
        <v>0</v>
      </c>
      <c r="AL85" s="2" t="str">
        <f aca="false">IF(N85="Lapsed",IF(OR(O85&lt;=Assumptions!$B$48,W85&lt;=Assumptions!$B$49),"One-Off / Insufficient History — Verify","Established Buyer Lapsed"),"N/A")</f>
        <v>One-Off / Insufficient History — Verify</v>
      </c>
      <c r="AM85" s="2" t="n">
        <f aca="false">INDEX('Scored Accounts'!$M$2:$M$301,MATCH($A85,'Scored Accounts'!$A$2:$A$301,0))</f>
        <v>0</v>
      </c>
      <c r="AN85" s="2" t="n">
        <f aca="false">IF((P85/(P85+Q85)*100)&lt;=Assumptions!$B$13,0,IF((P85/(P85+Q85)*100)&lt;Assumptions!$B$14,25,IF((P85/(P85+Q85)*100)&lt;Assumptions!$B$15,50,IF((P85/(P85+Q85)*100)&lt;Assumptions!$B$16,75,100))))</f>
        <v>0</v>
      </c>
      <c r="AO85" s="21" t="n">
        <f aca="false">IF((P85/(P85+Q85)*100)&lt;=Assumptions!$B$8,0,AN85*Assumptions!$B$4+INDEX('Scored Accounts'!$N$2:$N$301,MATCH($A85,'Scored Accounts'!$A$2:$A$301,0))*Assumptions!$B$5+INDEX('Scored Accounts'!$O$2:$O$301,MATCH($A85,'Scored Accounts'!$A$2:$A$301,0))*Assumptions!$B$6)</f>
        <v>0</v>
      </c>
      <c r="AP85" s="2" t="str">
        <f aca="false">IF(AO85&gt;=Assumptions!$B$9,"High",IF(AO85&gt;=Assumptions!$B$10,"Medium","Low"))</f>
        <v>Low</v>
      </c>
      <c r="AQ85" s="10" t="b">
        <f aca="false">OR((E85&lt;=Assumptions!$B$8)&lt;&gt;((P85/(P85+Q85)*100)&lt;=Assumptions!$B$8),AM85&lt;&gt;AN85,G85&lt;&gt;AP85)</f>
        <v>0</v>
      </c>
      <c r="AR85" s="2" t="str">
        <f aca="false">IF(AP85&lt;&gt;"Low","Broker-Reliant",IF(B85="Account Managed","AM-Owned / Self-Serving","Self-Serve"))</f>
        <v>AM-Owned / Self-Serving</v>
      </c>
      <c r="AS85" s="2" t="str">
        <f aca="false">IF(AR85="Broker-Reliant",IF(J85="Tail","5. Cost-to-Serve / Low-Touch",IF(OR(N85="Growing",N85="Stable"),"1. Migration Candidate",IF(N85="Declining","2. Protect / Retain First",IF(N85="Lapsed","3. Win-Back / Verify",IF(N85="H2 Active / No H1 GMV","4. Establish / Re-establish / Observe","UNASSIGNED"))))),IF(AP85="Low",IF(J85="Tail","9. Long-Tail Automated Nurture",IF(OR(N85="Growing",N85="Stable"),"6. Growth Opportunity",IF(N85="H2 Active / No H1 GMV","7. Onboard / Re-engage / Learn",IF(OR(N85="Declining",N85="Lapsed"),"8. Retention / Reactivation","UNASSIGNED")))),"UNASSIGNED"))</f>
        <v>9. Long-Tail Automated Nurture</v>
      </c>
      <c r="AT85" s="10" t="b">
        <f aca="false">AS85&lt;&gt;T85</f>
        <v>0</v>
      </c>
      <c r="AU85" s="2" t="str">
        <f aca="false">IF(NOT(U85),"Not Eligible",IF(OR(AQ85,AH85,AK85,NOT(AND(W85&gt;=Assumptions!$B$83,O85&gt;=Assumptions!$B$84))),"Manual Review","Ready"))</f>
        <v>Not Eligible</v>
      </c>
      <c r="AV85" s="2" t="str">
        <f aca="false">IF(AG85,"Key account - human sign-off required; ","")&amp;IF(AH85,"Borderline momentum; ","")&amp;IF(AK85,"February-sensitive ("&amp;N85&amp;" -&gt; "&amp;AJ85&amp;"); ","")&amp;IF(AL85="One-Off / Insufficient History — Verify","Lapsed on thin history - verify; ","")&amp;IF(AQ85,"Material broker % inconsistency (implied tier "&amp;AP85&amp;"); ","")&amp;IF(AT85,"Implied broker % would move segment to "&amp;AS85&amp;"; ","")</f>
        <v>Lapsed on thin history - verify; </v>
      </c>
      <c r="AW85" s="10" t="b">
        <f aca="false">AND(G85="Low",J85="Tail",I85&gt;=Assumptions!$B$64,O85&gt;=Assumptions!$B$65,OR(N85="Growing",N85="Stable",AND(N85="H2 Active / No H1 GMV",W85&gt;=2)),OR(R85&gt;=Assumptions!$B$66,S85&gt;=Assumptions!$B$67))</f>
        <v>0</v>
      </c>
    </row>
    <row r="86" customFormat="false" ht="15" hidden="false" customHeight="false" outlineLevel="0" collapsed="false">
      <c r="A86" s="2" t="s">
        <v>539</v>
      </c>
      <c r="B86" s="2" t="s">
        <v>1571</v>
      </c>
      <c r="C86" s="2" t="s">
        <v>1572</v>
      </c>
      <c r="D86" s="2" t="n">
        <v>13</v>
      </c>
      <c r="E86" s="2" t="n">
        <v>5</v>
      </c>
      <c r="F86" s="21" t="n">
        <f aca="false">INDEX('Scored Accounts'!$Q$2:$Q$301,MATCH($A86,'Scored Accounts'!$A$2:$A$301,0))</f>
        <v>0</v>
      </c>
      <c r="G86" s="2" t="str">
        <f aca="false">INDEX('Scored Accounts'!$R$2:$R$301,MATCH($A86,'Scored Accounts'!$A$2:$A$301,0))</f>
        <v>Low</v>
      </c>
      <c r="H86" s="2" t="str">
        <f aca="false">IF(OR(G86="High",G86="Medium"),"Broker-Reliant",IF(AND(G86="Low",B86="Account Managed"),"AM-Owned / Self-Serving",IF(AND(G86="Low",B86="Self Serve"),"Self-Serve","UNASSIGNED")))</f>
        <v>AM-Owned / Self-Serving</v>
      </c>
      <c r="I86" s="9" t="n">
        <v>1166</v>
      </c>
      <c r="J86" s="2" t="str">
        <f aca="false">IF(I86&gt;=Assumptions!$B$35,"Key",IF(I86&gt;=Assumptions!$B$34,"Core","Tail"))</f>
        <v>Tail</v>
      </c>
      <c r="K86" s="9" t="n">
        <f aca="false">INDEX('Commercial View'!$R$2:$R$301,MATCH($A86,'Commercial View'!$A$2:$A$301,0))</f>
        <v>402</v>
      </c>
      <c r="L86" s="9" t="n">
        <f aca="false">INDEX('Commercial View'!$S$2:$S$301,MATCH($A86,'Commercial View'!$A$2:$A$301,0))</f>
        <v>764</v>
      </c>
      <c r="M86" s="17" t="n">
        <f aca="false">INDEX('Commercial View'!$T$2:$T$301,MATCH($A86,'Commercial View'!$A$2:$A$301,0))</f>
        <v>0.900497512437811</v>
      </c>
      <c r="N86" s="2" t="str">
        <f aca="false">INDEX('Commercial View'!$U$2:$U$301,MATCH($A86,'Commercial View'!$A$2:$A$301,0))</f>
        <v>Growing</v>
      </c>
      <c r="O86" s="2" t="n">
        <v>4</v>
      </c>
      <c r="P86" s="2" t="n">
        <v>0</v>
      </c>
      <c r="Q86" s="2" t="n">
        <v>4</v>
      </c>
      <c r="R86" s="2" t="n">
        <v>18</v>
      </c>
      <c r="S86" s="2" t="n">
        <v>5</v>
      </c>
      <c r="T86" s="2" t="str">
        <f aca="false">IF(H86="Broker-Reliant",IF(J86="Tail","5. Cost-to-Serve / Low-Touch",IF(OR(N86="Growing",N86="Stable"),"1. Migration Candidate",IF(N86="Declining","2. Protect / Retain First",IF(N86="Lapsed","3. Win-Back / Verify",IF(N86="H2 Active / No H1 GMV","4. Establish / Re-establish / Observe","UNASSIGNED"))))),IF(G86="Low",IF(J86="Tail","9. Long-Tail Automated Nurture",IF(OR(N86="Growing",N86="Stable"),"6. Growth Opportunity",IF(N86="H2 Active / No H1 GMV","7. Onboard / Re-engage / Learn",IF(OR(N86="Declining",N86="Lapsed"),"8. Retention / Reactivation","UNASSIGNED")))),"UNASSIGNED"))</f>
        <v>9. Long-Tail Automated Nurture</v>
      </c>
      <c r="U86" s="10" t="b">
        <f aca="false">AND(T86="1. Migration Candidate",J86="Core",O86&gt;=Assumptions!$B$39,Q86&gt;=Assumptions!$B$40,NOT(Z86))</f>
        <v>0</v>
      </c>
      <c r="V86" s="2" t="n">
        <f aca="false">(AND(H86="Broker-Reliant",J86&lt;&gt;"Tail",OR(N86="Growing",N86="Stable")))*1+(AND(H86="Broker-Reliant",J86&lt;&gt;"Tail",N86="Declining"))*1+(AND(H86="Broker-Reliant",J86&lt;&gt;"Tail",N86="Lapsed"))*1+(AND(H86="Broker-Reliant",J86&lt;&gt;"Tail",N86="H2 Active / No H1 GMV"))*1+(AND(H86="Broker-Reliant",J86="Tail"))*1+(AND(G86="Low",J86&lt;&gt;"Tail",OR(N86="Growing",N86="Stable")))*1+(AND(G86="Low",J86&lt;&gt;"Tail",N86="H2 Active / No H1 GMV"))*1+(AND(G86="Low",J86&lt;&gt;"Tail",OR(N86="Declining",N86="Lapsed")))*1+(AND(G86="Low",J86="Tail"))*1</f>
        <v>1</v>
      </c>
      <c r="W86" s="2" t="n">
        <f aca="false">INDEX('Commercial View'!$V$2:$V$301,MATCH($A86,'Commercial View'!$A$2:$A$301,0))</f>
        <v>4</v>
      </c>
      <c r="X86" s="10" t="b">
        <f aca="false">O86&lt;=Assumptions!$B$30</f>
        <v>0</v>
      </c>
      <c r="Y86" s="10" t="b">
        <f aca="false">W86&lt;=1</f>
        <v>0</v>
      </c>
      <c r="Z86" s="10" t="b">
        <f aca="false">C86="Duplicate"</f>
        <v>0</v>
      </c>
      <c r="AA86" s="10" t="b">
        <f aca="false">C86=""</f>
        <v>0</v>
      </c>
      <c r="AB86" s="2" t="n">
        <f aca="false">IF(P86+Q86&gt;0,ROUND(P86/(P86+Q86)*100,0),"")</f>
        <v>0</v>
      </c>
      <c r="AC86" s="2" t="n">
        <f aca="false">IF(P86+Q86&gt;0,ROUND(E86-P86/(P86+Q86)*100,0),"")</f>
        <v>5</v>
      </c>
      <c r="AD86" s="10" t="b">
        <f aca="false">IF(AC86="",FALSE(),ABS(AC86)&gt;Assumptions!$B$41)</f>
        <v>0</v>
      </c>
      <c r="AE86" s="2" t="str">
        <f aca="false">IF(X86,"Low confidence (&lt;=2 orders); ","")&amp;IF(Y86,"Single-month history; ","")&amp;IF(Z86,"CRITICAL: Duplicate status; ","")&amp;IF(AA86,"Missing status; ","")&amp;IF(AD86,"Broker % vs counts gap "&amp;TEXT(AC86,"+0;-0")&amp;"pts; ","")</f>
        <v/>
      </c>
      <c r="AF86" s="2" t="str">
        <f aca="false">IF(AND(K86=0,L86&gt;0),IF(D86&lt;=Assumptions!$B$47,"New Customer","Returned Customer"),"Existing Customer")</f>
        <v>Existing Customer</v>
      </c>
      <c r="AG86" s="10" t="b">
        <f aca="false">AND(T86="1. Migration Candidate",J86="Key")</f>
        <v>0</v>
      </c>
      <c r="AH86" s="10" t="b">
        <f aca="false">IF(AND(K86&gt;0,L86&gt;0),OR(ABS(M86-Assumptions!$B$36)&lt;=Assumptions!$B$46,ABS(M86+Assumptions!$B$36)&lt;=Assumptions!$B$46),FALSE())</f>
        <v>0</v>
      </c>
      <c r="AI86" s="9" t="n">
        <f aca="false">INDEX('Commercial View'!$L$2:$L$301,MATCH($A86,'Commercial View'!$A$2:$A$301,0))+INDEX('Commercial View'!$M$2:$M$301,MATCH($A86,'Commercial View'!$A$2:$A$301,0))</f>
        <v>573</v>
      </c>
      <c r="AJ86" s="2" t="str">
        <f aca="false">IF(AND(K86=0,AI86=0),"No activity ex-Feb",IF(AI86=0,"Lapsed",IF(K86=0,"H2 Active / No H1 GMV",IF((AI86/2)/(K86/3)-1&gt;=Assumptions!$B$36,"Growing",IF((AI86/2)/(K86/3)-1&lt;-Assumptions!$B$36,"Declining","Stable")))))</f>
        <v>Growing</v>
      </c>
      <c r="AK86" s="10" t="b">
        <f aca="false">IF(OR(N86="Growing",N86="Stable"),"Healthy",N86)&lt;&gt;IF(OR(AJ86="Growing",AJ86="Stable"),"Healthy",AJ86)</f>
        <v>0</v>
      </c>
      <c r="AL86" s="2" t="str">
        <f aca="false">IF(N86="Lapsed",IF(OR(O86&lt;=Assumptions!$B$48,W86&lt;=Assumptions!$B$49),"One-Off / Insufficient History — Verify","Established Buyer Lapsed"),"N/A")</f>
        <v>N/A</v>
      </c>
      <c r="AM86" s="2" t="n">
        <f aca="false">INDEX('Scored Accounts'!$M$2:$M$301,MATCH($A86,'Scored Accounts'!$A$2:$A$301,0))</f>
        <v>0</v>
      </c>
      <c r="AN86" s="2" t="n">
        <f aca="false">IF((P86/(P86+Q86)*100)&lt;=Assumptions!$B$13,0,IF((P86/(P86+Q86)*100)&lt;Assumptions!$B$14,25,IF((P86/(P86+Q86)*100)&lt;Assumptions!$B$15,50,IF((P86/(P86+Q86)*100)&lt;Assumptions!$B$16,75,100))))</f>
        <v>0</v>
      </c>
      <c r="AO86" s="21" t="n">
        <f aca="false">IF((P86/(P86+Q86)*100)&lt;=Assumptions!$B$8,0,AN86*Assumptions!$B$4+INDEX('Scored Accounts'!$N$2:$N$301,MATCH($A86,'Scored Accounts'!$A$2:$A$301,0))*Assumptions!$B$5+INDEX('Scored Accounts'!$O$2:$O$301,MATCH($A86,'Scored Accounts'!$A$2:$A$301,0))*Assumptions!$B$6)</f>
        <v>0</v>
      </c>
      <c r="AP86" s="2" t="str">
        <f aca="false">IF(AO86&gt;=Assumptions!$B$9,"High",IF(AO86&gt;=Assumptions!$B$10,"Medium","Low"))</f>
        <v>Low</v>
      </c>
      <c r="AQ86" s="10" t="b">
        <f aca="false">OR((E86&lt;=Assumptions!$B$8)&lt;&gt;((P86/(P86+Q86)*100)&lt;=Assumptions!$B$8),AM86&lt;&gt;AN86,G86&lt;&gt;AP86)</f>
        <v>0</v>
      </c>
      <c r="AR86" s="2" t="str">
        <f aca="false">IF(AP86&lt;&gt;"Low","Broker-Reliant",IF(B86="Account Managed","AM-Owned / Self-Serving","Self-Serve"))</f>
        <v>AM-Owned / Self-Serving</v>
      </c>
      <c r="AS86" s="2" t="str">
        <f aca="false">IF(AR86="Broker-Reliant",IF(J86="Tail","5. Cost-to-Serve / Low-Touch",IF(OR(N86="Growing",N86="Stable"),"1. Migration Candidate",IF(N86="Declining","2. Protect / Retain First",IF(N86="Lapsed","3. Win-Back / Verify",IF(N86="H2 Active / No H1 GMV","4. Establish / Re-establish / Observe","UNASSIGNED"))))),IF(AP86="Low",IF(J86="Tail","9. Long-Tail Automated Nurture",IF(OR(N86="Growing",N86="Stable"),"6. Growth Opportunity",IF(N86="H2 Active / No H1 GMV","7. Onboard / Re-engage / Learn",IF(OR(N86="Declining",N86="Lapsed"),"8. Retention / Reactivation","UNASSIGNED")))),"UNASSIGNED"))</f>
        <v>9. Long-Tail Automated Nurture</v>
      </c>
      <c r="AT86" s="10" t="b">
        <f aca="false">AS86&lt;&gt;T86</f>
        <v>0</v>
      </c>
      <c r="AU86" s="2" t="str">
        <f aca="false">IF(NOT(U86),"Not Eligible",IF(OR(AQ86,AH86,AK86,NOT(AND(W86&gt;=Assumptions!$B$83,O86&gt;=Assumptions!$B$84))),"Manual Review","Ready"))</f>
        <v>Not Eligible</v>
      </c>
      <c r="AV86" s="2" t="str">
        <f aca="false">IF(AG86,"Key account - human sign-off required; ","")&amp;IF(AH86,"Borderline momentum; ","")&amp;IF(AK86,"February-sensitive ("&amp;N86&amp;" -&gt; "&amp;AJ86&amp;"); ","")&amp;IF(AL86="One-Off / Insufficient History — Verify","Lapsed on thin history - verify; ","")&amp;IF(AQ86,"Material broker % inconsistency (implied tier "&amp;AP86&amp;"); ","")&amp;IF(AT86,"Implied broker % would move segment to "&amp;AS86&amp;"; ","")</f>
        <v/>
      </c>
      <c r="AW86" s="10" t="b">
        <f aca="false">AND(G86="Low",J86="Tail",I86&gt;=Assumptions!$B$64,O86&gt;=Assumptions!$B$65,OR(N86="Growing",N86="Stable",AND(N86="H2 Active / No H1 GMV",W86&gt;=2)),OR(R86&gt;=Assumptions!$B$66,S86&gt;=Assumptions!$B$67))</f>
        <v>1</v>
      </c>
    </row>
    <row r="87" customFormat="false" ht="15" hidden="false" customHeight="false" outlineLevel="0" collapsed="false">
      <c r="A87" s="2" t="s">
        <v>553</v>
      </c>
      <c r="B87" s="2" t="s">
        <v>1571</v>
      </c>
      <c r="C87" s="2" t="s">
        <v>1572</v>
      </c>
      <c r="D87" s="2" t="n">
        <v>7</v>
      </c>
      <c r="E87" s="2" t="n">
        <v>13</v>
      </c>
      <c r="F87" s="21" t="n">
        <f aca="false">INDEX('Scored Accounts'!$Q$2:$Q$301,MATCH($A87,'Scored Accounts'!$A$2:$A$301,0))</f>
        <v>0</v>
      </c>
      <c r="G87" s="2" t="str">
        <f aca="false">INDEX('Scored Accounts'!$R$2:$R$301,MATCH($A87,'Scored Accounts'!$A$2:$A$301,0))</f>
        <v>Low</v>
      </c>
      <c r="H87" s="2" t="str">
        <f aca="false">IF(OR(G87="High",G87="Medium"),"Broker-Reliant",IF(AND(G87="Low",B87="Account Managed"),"AM-Owned / Self-Serving",IF(AND(G87="Low",B87="Self Serve"),"Self-Serve","UNASSIGNED")))</f>
        <v>AM-Owned / Self-Serving</v>
      </c>
      <c r="I87" s="9" t="n">
        <v>1153</v>
      </c>
      <c r="J87" s="2" t="str">
        <f aca="false">IF(I87&gt;=Assumptions!$B$35,"Key",IF(I87&gt;=Assumptions!$B$34,"Core","Tail"))</f>
        <v>Tail</v>
      </c>
      <c r="K87" s="9" t="n">
        <f aca="false">INDEX('Commercial View'!$R$2:$R$301,MATCH($A87,'Commercial View'!$A$2:$A$301,0))</f>
        <v>470</v>
      </c>
      <c r="L87" s="9" t="n">
        <f aca="false">INDEX('Commercial View'!$S$2:$S$301,MATCH($A87,'Commercial View'!$A$2:$A$301,0))</f>
        <v>684</v>
      </c>
      <c r="M87" s="17" t="n">
        <f aca="false">INDEX('Commercial View'!$T$2:$T$301,MATCH($A87,'Commercial View'!$A$2:$A$301,0))</f>
        <v>0.45531914893617</v>
      </c>
      <c r="N87" s="2" t="str">
        <f aca="false">INDEX('Commercial View'!$U$2:$U$301,MATCH($A87,'Commercial View'!$A$2:$A$301,0))</f>
        <v>Growing</v>
      </c>
      <c r="O87" s="2" t="n">
        <v>3</v>
      </c>
      <c r="P87" s="2" t="n">
        <v>0</v>
      </c>
      <c r="Q87" s="2" t="n">
        <v>3</v>
      </c>
      <c r="R87" s="2" t="n">
        <v>105</v>
      </c>
      <c r="S87" s="2" t="n">
        <v>50</v>
      </c>
      <c r="T87" s="2" t="str">
        <f aca="false">IF(H87="Broker-Reliant",IF(J87="Tail","5. Cost-to-Serve / Low-Touch",IF(OR(N87="Growing",N87="Stable"),"1. Migration Candidate",IF(N87="Declining","2. Protect / Retain First",IF(N87="Lapsed","3. Win-Back / Verify",IF(N87="H2 Active / No H1 GMV","4. Establish / Re-establish / Observe","UNASSIGNED"))))),IF(G87="Low",IF(J87="Tail","9. Long-Tail Automated Nurture",IF(OR(N87="Growing",N87="Stable"),"6. Growth Opportunity",IF(N87="H2 Active / No H1 GMV","7. Onboard / Re-engage / Learn",IF(OR(N87="Declining",N87="Lapsed"),"8. Retention / Reactivation","UNASSIGNED")))),"UNASSIGNED"))</f>
        <v>9. Long-Tail Automated Nurture</v>
      </c>
      <c r="U87" s="10" t="b">
        <f aca="false">AND(T87="1. Migration Candidate",J87="Core",O87&gt;=Assumptions!$B$39,Q87&gt;=Assumptions!$B$40,NOT(Z87))</f>
        <v>0</v>
      </c>
      <c r="V87" s="2" t="n">
        <f aca="false">(AND(H87="Broker-Reliant",J87&lt;&gt;"Tail",OR(N87="Growing",N87="Stable")))*1+(AND(H87="Broker-Reliant",J87&lt;&gt;"Tail",N87="Declining"))*1+(AND(H87="Broker-Reliant",J87&lt;&gt;"Tail",N87="Lapsed"))*1+(AND(H87="Broker-Reliant",J87&lt;&gt;"Tail",N87="H2 Active / No H1 GMV"))*1+(AND(H87="Broker-Reliant",J87="Tail"))*1+(AND(G87="Low",J87&lt;&gt;"Tail",OR(N87="Growing",N87="Stable")))*1+(AND(G87="Low",J87&lt;&gt;"Tail",N87="H2 Active / No H1 GMV"))*1+(AND(G87="Low",J87&lt;&gt;"Tail",OR(N87="Declining",N87="Lapsed")))*1+(AND(G87="Low",J87="Tail"))*1</f>
        <v>1</v>
      </c>
      <c r="W87" s="2" t="n">
        <f aca="false">INDEX('Commercial View'!$V$2:$V$301,MATCH($A87,'Commercial View'!$A$2:$A$301,0))</f>
        <v>2</v>
      </c>
      <c r="X87" s="10" t="b">
        <f aca="false">O87&lt;=Assumptions!$B$30</f>
        <v>0</v>
      </c>
      <c r="Y87" s="10" t="b">
        <f aca="false">W87&lt;=1</f>
        <v>0</v>
      </c>
      <c r="Z87" s="10" t="b">
        <f aca="false">C87="Duplicate"</f>
        <v>0</v>
      </c>
      <c r="AA87" s="10" t="b">
        <f aca="false">C87=""</f>
        <v>0</v>
      </c>
      <c r="AB87" s="2" t="n">
        <f aca="false">IF(P87+Q87&gt;0,ROUND(P87/(P87+Q87)*100,0),"")</f>
        <v>0</v>
      </c>
      <c r="AC87" s="2" t="n">
        <f aca="false">IF(P87+Q87&gt;0,ROUND(E87-P87/(P87+Q87)*100,0),"")</f>
        <v>13</v>
      </c>
      <c r="AD87" s="10" t="b">
        <f aca="false">IF(AC87="",FALSE(),ABS(AC87)&gt;Assumptions!$B$41)</f>
        <v>1</v>
      </c>
      <c r="AE87" s="2" t="str">
        <f aca="false">IF(X87,"Low confidence (&lt;=2 orders); ","")&amp;IF(Y87,"Single-month history; ","")&amp;IF(Z87,"CRITICAL: Duplicate status; ","")&amp;IF(AA87,"Missing status; ","")&amp;IF(AD87,"Broker % vs counts gap "&amp;TEXT(AC87,"+0;-0")&amp;"pts; ","")</f>
        <v>Broker % vs counts gap +13pts; </v>
      </c>
      <c r="AF87" s="2" t="str">
        <f aca="false">IF(AND(K87=0,L87&gt;0),IF(D87&lt;=Assumptions!$B$47,"New Customer","Returned Customer"),"Existing Customer")</f>
        <v>Existing Customer</v>
      </c>
      <c r="AG87" s="10" t="b">
        <f aca="false">AND(T87="1. Migration Candidate",J87="Key")</f>
        <v>0</v>
      </c>
      <c r="AH87" s="10" t="b">
        <f aca="false">IF(AND(K87&gt;0,L87&gt;0),OR(ABS(M87-Assumptions!$B$36)&lt;=Assumptions!$B$46,ABS(M87+Assumptions!$B$36)&lt;=Assumptions!$B$46),FALSE())</f>
        <v>0</v>
      </c>
      <c r="AI87" s="9" t="n">
        <f aca="false">INDEX('Commercial View'!$L$2:$L$301,MATCH($A87,'Commercial View'!$A$2:$A$301,0))+INDEX('Commercial View'!$M$2:$M$301,MATCH($A87,'Commercial View'!$A$2:$A$301,0))</f>
        <v>0</v>
      </c>
      <c r="AJ87" s="2" t="str">
        <f aca="false">IF(AND(K87=0,AI87=0),"No activity ex-Feb",IF(AI87=0,"Lapsed",IF(K87=0,"H2 Active / No H1 GMV",IF((AI87/2)/(K87/3)-1&gt;=Assumptions!$B$36,"Growing",IF((AI87/2)/(K87/3)-1&lt;-Assumptions!$B$36,"Declining","Stable")))))</f>
        <v>Lapsed</v>
      </c>
      <c r="AK87" s="10" t="b">
        <f aca="false">IF(OR(N87="Growing",N87="Stable"),"Healthy",N87)&lt;&gt;IF(OR(AJ87="Growing",AJ87="Stable"),"Healthy",AJ87)</f>
        <v>1</v>
      </c>
      <c r="AL87" s="2" t="str">
        <f aca="false">IF(N87="Lapsed",IF(OR(O87&lt;=Assumptions!$B$48,W87&lt;=Assumptions!$B$49),"One-Off / Insufficient History — Verify","Established Buyer Lapsed"),"N/A")</f>
        <v>N/A</v>
      </c>
      <c r="AM87" s="2" t="n">
        <f aca="false">INDEX('Scored Accounts'!$M$2:$M$301,MATCH($A87,'Scored Accounts'!$A$2:$A$301,0))</f>
        <v>0</v>
      </c>
      <c r="AN87" s="2" t="n">
        <f aca="false">IF((P87/(P87+Q87)*100)&lt;=Assumptions!$B$13,0,IF((P87/(P87+Q87)*100)&lt;Assumptions!$B$14,25,IF((P87/(P87+Q87)*100)&lt;Assumptions!$B$15,50,IF((P87/(P87+Q87)*100)&lt;Assumptions!$B$16,75,100))))</f>
        <v>0</v>
      </c>
      <c r="AO87" s="21" t="n">
        <f aca="false">IF((P87/(P87+Q87)*100)&lt;=Assumptions!$B$8,0,AN87*Assumptions!$B$4+INDEX('Scored Accounts'!$N$2:$N$301,MATCH($A87,'Scored Accounts'!$A$2:$A$301,0))*Assumptions!$B$5+INDEX('Scored Accounts'!$O$2:$O$301,MATCH($A87,'Scored Accounts'!$A$2:$A$301,0))*Assumptions!$B$6)</f>
        <v>0</v>
      </c>
      <c r="AP87" s="2" t="str">
        <f aca="false">IF(AO87&gt;=Assumptions!$B$9,"High",IF(AO87&gt;=Assumptions!$B$10,"Medium","Low"))</f>
        <v>Low</v>
      </c>
      <c r="AQ87" s="10" t="b">
        <f aca="false">OR((E87&lt;=Assumptions!$B$8)&lt;&gt;((P87/(P87+Q87)*100)&lt;=Assumptions!$B$8),AM87&lt;&gt;AN87,G87&lt;&gt;AP87)</f>
        <v>0</v>
      </c>
      <c r="AR87" s="2" t="str">
        <f aca="false">IF(AP87&lt;&gt;"Low","Broker-Reliant",IF(B87="Account Managed","AM-Owned / Self-Serving","Self-Serve"))</f>
        <v>AM-Owned / Self-Serving</v>
      </c>
      <c r="AS87" s="2" t="str">
        <f aca="false">IF(AR87="Broker-Reliant",IF(J87="Tail","5. Cost-to-Serve / Low-Touch",IF(OR(N87="Growing",N87="Stable"),"1. Migration Candidate",IF(N87="Declining","2. Protect / Retain First",IF(N87="Lapsed","3. Win-Back / Verify",IF(N87="H2 Active / No H1 GMV","4. Establish / Re-establish / Observe","UNASSIGNED"))))),IF(AP87="Low",IF(J87="Tail","9. Long-Tail Automated Nurture",IF(OR(N87="Growing",N87="Stable"),"6. Growth Opportunity",IF(N87="H2 Active / No H1 GMV","7. Onboard / Re-engage / Learn",IF(OR(N87="Declining",N87="Lapsed"),"8. Retention / Reactivation","UNASSIGNED")))),"UNASSIGNED"))</f>
        <v>9. Long-Tail Automated Nurture</v>
      </c>
      <c r="AT87" s="10" t="b">
        <f aca="false">AS87&lt;&gt;T87</f>
        <v>0</v>
      </c>
      <c r="AU87" s="2" t="str">
        <f aca="false">IF(NOT(U87),"Not Eligible",IF(OR(AQ87,AH87,AK87,NOT(AND(W87&gt;=Assumptions!$B$83,O87&gt;=Assumptions!$B$84))),"Manual Review","Ready"))</f>
        <v>Not Eligible</v>
      </c>
      <c r="AV87" s="2" t="str">
        <f aca="false">IF(AG87,"Key account - human sign-off required; ","")&amp;IF(AH87,"Borderline momentum; ","")&amp;IF(AK87,"February-sensitive ("&amp;N87&amp;" -&gt; "&amp;AJ87&amp;"); ","")&amp;IF(AL87="One-Off / Insufficient History — Verify","Lapsed on thin history - verify; ","")&amp;IF(AQ87,"Material broker % inconsistency (implied tier "&amp;AP87&amp;"); ","")&amp;IF(AT87,"Implied broker % would move segment to "&amp;AS87&amp;"; ","")</f>
        <v>February-sensitive (Growing -&gt; Lapsed); </v>
      </c>
      <c r="AW87" s="10" t="b">
        <f aca="false">AND(G87="Low",J87="Tail",I87&gt;=Assumptions!$B$64,O87&gt;=Assumptions!$B$65,OR(N87="Growing",N87="Stable",AND(N87="H2 Active / No H1 GMV",W87&gt;=2)),OR(R87&gt;=Assumptions!$B$66,S87&gt;=Assumptions!$B$67))</f>
        <v>1</v>
      </c>
    </row>
    <row r="88" customFormat="false" ht="15" hidden="false" customHeight="false" outlineLevel="0" collapsed="false">
      <c r="A88" s="2" t="s">
        <v>610</v>
      </c>
      <c r="B88" s="2" t="s">
        <v>1571</v>
      </c>
      <c r="C88" s="2" t="s">
        <v>1572</v>
      </c>
      <c r="D88" s="2" t="n">
        <v>16</v>
      </c>
      <c r="E88" s="2" t="n">
        <v>74</v>
      </c>
      <c r="F88" s="21" t="n">
        <f aca="false">INDEX('Scored Accounts'!$Q$2:$Q$301,MATCH($A88,'Scored Accounts'!$A$2:$A$301,0))</f>
        <v>70</v>
      </c>
      <c r="G88" s="2" t="str">
        <f aca="false">INDEX('Scored Accounts'!$R$2:$R$301,MATCH($A88,'Scored Accounts'!$A$2:$A$301,0))</f>
        <v>High</v>
      </c>
      <c r="H88" s="2" t="str">
        <f aca="false">IF(OR(G88="High",G88="Medium"),"Broker-Reliant",IF(AND(G88="Low",B88="Account Managed"),"AM-Owned / Self-Serving",IF(AND(G88="Low",B88="Self Serve"),"Self-Serve","UNASSIGNED")))</f>
        <v>Broker-Reliant</v>
      </c>
      <c r="I88" s="9" t="n">
        <v>1079</v>
      </c>
      <c r="J88" s="2" t="str">
        <f aca="false">IF(I88&gt;=Assumptions!$B$35,"Key",IF(I88&gt;=Assumptions!$B$34,"Core","Tail"))</f>
        <v>Tail</v>
      </c>
      <c r="K88" s="9" t="n">
        <f aca="false">INDEX('Commercial View'!$R$2:$R$301,MATCH($A88,'Commercial View'!$A$2:$A$301,0))</f>
        <v>1079</v>
      </c>
      <c r="L88" s="9" t="n">
        <f aca="false">INDEX('Commercial View'!$S$2:$S$301,MATCH($A88,'Commercial View'!$A$2:$A$301,0))</f>
        <v>0</v>
      </c>
      <c r="M88" s="17" t="n">
        <f aca="false">INDEX('Commercial View'!$T$2:$T$301,MATCH($A88,'Commercial View'!$A$2:$A$301,0))</f>
        <v>-1</v>
      </c>
      <c r="N88" s="2" t="str">
        <f aca="false">INDEX('Commercial View'!$U$2:$U$301,MATCH($A88,'Commercial View'!$A$2:$A$301,0))</f>
        <v>Lapsed</v>
      </c>
      <c r="O88" s="2" t="n">
        <v>3</v>
      </c>
      <c r="P88" s="2" t="n">
        <v>2</v>
      </c>
      <c r="Q88" s="2" t="n">
        <v>1</v>
      </c>
      <c r="R88" s="2" t="n">
        <v>7</v>
      </c>
      <c r="S88" s="2" t="n">
        <v>2</v>
      </c>
      <c r="T88" s="2" t="str">
        <f aca="false">IF(H88="Broker-Reliant",IF(J88="Tail","5. Cost-to-Serve / Low-Touch",IF(OR(N88="Growing",N88="Stable"),"1. Migration Candidate",IF(N88="Declining","2. Protect / Retain First",IF(N88="Lapsed","3. Win-Back / Verify",IF(N88="H2 Active / No H1 GMV","4. Establish / Re-establish / Observe","UNASSIGNED"))))),IF(G88="Low",IF(J88="Tail","9. Long-Tail Automated Nurture",IF(OR(N88="Growing",N88="Stable"),"6. Growth Opportunity",IF(N88="H2 Active / No H1 GMV","7. Onboard / Re-engage / Learn",IF(OR(N88="Declining",N88="Lapsed"),"8. Retention / Reactivation","UNASSIGNED")))),"UNASSIGNED"))</f>
        <v>5. Cost-to-Serve / Low-Touch</v>
      </c>
      <c r="U88" s="10" t="b">
        <f aca="false">AND(T88="1. Migration Candidate",J88="Core",O88&gt;=Assumptions!$B$39,Q88&gt;=Assumptions!$B$40,NOT(Z88))</f>
        <v>0</v>
      </c>
      <c r="V88" s="2" t="n">
        <f aca="false">(AND(H88="Broker-Reliant",J88&lt;&gt;"Tail",OR(N88="Growing",N88="Stable")))*1+(AND(H88="Broker-Reliant",J88&lt;&gt;"Tail",N88="Declining"))*1+(AND(H88="Broker-Reliant",J88&lt;&gt;"Tail",N88="Lapsed"))*1+(AND(H88="Broker-Reliant",J88&lt;&gt;"Tail",N88="H2 Active / No H1 GMV"))*1+(AND(H88="Broker-Reliant",J88="Tail"))*1+(AND(G88="Low",J88&lt;&gt;"Tail",OR(N88="Growing",N88="Stable")))*1+(AND(G88="Low",J88&lt;&gt;"Tail",N88="H2 Active / No H1 GMV"))*1+(AND(G88="Low",J88&lt;&gt;"Tail",OR(N88="Declining",N88="Lapsed")))*1+(AND(G88="Low",J88="Tail"))*1</f>
        <v>1</v>
      </c>
      <c r="W88" s="2" t="n">
        <f aca="false">INDEX('Commercial View'!$V$2:$V$301,MATCH($A88,'Commercial View'!$A$2:$A$301,0))</f>
        <v>2</v>
      </c>
      <c r="X88" s="10" t="b">
        <f aca="false">O88&lt;=Assumptions!$B$30</f>
        <v>0</v>
      </c>
      <c r="Y88" s="10" t="b">
        <f aca="false">W88&lt;=1</f>
        <v>0</v>
      </c>
      <c r="Z88" s="10" t="b">
        <f aca="false">C88="Duplicate"</f>
        <v>0</v>
      </c>
      <c r="AA88" s="10" t="b">
        <f aca="false">C88=""</f>
        <v>0</v>
      </c>
      <c r="AB88" s="2" t="n">
        <f aca="false">IF(P88+Q88&gt;0,ROUND(P88/(P88+Q88)*100,0),"")</f>
        <v>67</v>
      </c>
      <c r="AC88" s="2" t="n">
        <f aca="false">IF(P88+Q88&gt;0,ROUND(E88-P88/(P88+Q88)*100,0),"")</f>
        <v>7</v>
      </c>
      <c r="AD88" s="10" t="b">
        <f aca="false">IF(AC88="",FALSE(),ABS(AC88)&gt;Assumptions!$B$41)</f>
        <v>0</v>
      </c>
      <c r="AE88" s="2" t="str">
        <f aca="false">IF(X88,"Low confidence (&lt;=2 orders); ","")&amp;IF(Y88,"Single-month history; ","")&amp;IF(Z88,"CRITICAL: Duplicate status; ","")&amp;IF(AA88,"Missing status; ","")&amp;IF(AD88,"Broker % vs counts gap "&amp;TEXT(AC88,"+0;-0")&amp;"pts; ","")</f>
        <v/>
      </c>
      <c r="AF88" s="2" t="str">
        <f aca="false">IF(AND(K88=0,L88&gt;0),IF(D88&lt;=Assumptions!$B$47,"New Customer","Returned Customer"),"Existing Customer")</f>
        <v>Existing Customer</v>
      </c>
      <c r="AG88" s="10" t="b">
        <f aca="false">AND(T88="1. Migration Candidate",J88="Key")</f>
        <v>0</v>
      </c>
      <c r="AH88" s="10" t="b">
        <f aca="false">IF(AND(K88&gt;0,L88&gt;0),OR(ABS(M88-Assumptions!$B$36)&lt;=Assumptions!$B$46,ABS(M88+Assumptions!$B$36)&lt;=Assumptions!$B$46),FALSE())</f>
        <v>0</v>
      </c>
      <c r="AI88" s="9" t="n">
        <f aca="false">INDEX('Commercial View'!$L$2:$L$301,MATCH($A88,'Commercial View'!$A$2:$A$301,0))+INDEX('Commercial View'!$M$2:$M$301,MATCH($A88,'Commercial View'!$A$2:$A$301,0))</f>
        <v>0</v>
      </c>
      <c r="AJ88" s="2" t="str">
        <f aca="false">IF(AND(K88=0,AI88=0),"No activity ex-Feb",IF(AI88=0,"Lapsed",IF(K88=0,"H2 Active / No H1 GMV",IF((AI88/2)/(K88/3)-1&gt;=Assumptions!$B$36,"Growing",IF((AI88/2)/(K88/3)-1&lt;-Assumptions!$B$36,"Declining","Stable")))))</f>
        <v>Lapsed</v>
      </c>
      <c r="AK88" s="10" t="b">
        <f aca="false">IF(OR(N88="Growing",N88="Stable"),"Healthy",N88)&lt;&gt;IF(OR(AJ88="Growing",AJ88="Stable"),"Healthy",AJ88)</f>
        <v>0</v>
      </c>
      <c r="AL88" s="2" t="str">
        <f aca="false">IF(N88="Lapsed",IF(OR(O88&lt;=Assumptions!$B$48,W88&lt;=Assumptions!$B$49),"One-Off / Insufficient History — Verify","Established Buyer Lapsed"),"N/A")</f>
        <v>Established Buyer Lapsed</v>
      </c>
      <c r="AM88" s="2" t="n">
        <f aca="false">INDEX('Scored Accounts'!$M$2:$M$301,MATCH($A88,'Scored Accounts'!$A$2:$A$301,0))</f>
        <v>75</v>
      </c>
      <c r="AN88" s="2" t="n">
        <f aca="false">IF((P88/(P88+Q88)*100)&lt;=Assumptions!$B$13,0,IF((P88/(P88+Q88)*100)&lt;Assumptions!$B$14,25,IF((P88/(P88+Q88)*100)&lt;Assumptions!$B$15,50,IF((P88/(P88+Q88)*100)&lt;Assumptions!$B$16,75,100))))</f>
        <v>75</v>
      </c>
      <c r="AO88" s="21" t="n">
        <f aca="false">IF((P88/(P88+Q88)*100)&lt;=Assumptions!$B$8,0,AN88*Assumptions!$B$4+INDEX('Scored Accounts'!$N$2:$N$301,MATCH($A88,'Scored Accounts'!$A$2:$A$301,0))*Assumptions!$B$5+INDEX('Scored Accounts'!$O$2:$O$301,MATCH($A88,'Scored Accounts'!$A$2:$A$301,0))*Assumptions!$B$6)</f>
        <v>70</v>
      </c>
      <c r="AP88" s="2" t="str">
        <f aca="false">IF(AO88&gt;=Assumptions!$B$9,"High",IF(AO88&gt;=Assumptions!$B$10,"Medium","Low"))</f>
        <v>High</v>
      </c>
      <c r="AQ88" s="10" t="b">
        <f aca="false">OR((E88&lt;=Assumptions!$B$8)&lt;&gt;((P88/(P88+Q88)*100)&lt;=Assumptions!$B$8),AM88&lt;&gt;AN88,G88&lt;&gt;AP88)</f>
        <v>0</v>
      </c>
      <c r="AR88" s="2" t="str">
        <f aca="false">IF(AP88&lt;&gt;"Low","Broker-Reliant",IF(B88="Account Managed","AM-Owned / Self-Serving","Self-Serve"))</f>
        <v>Broker-Reliant</v>
      </c>
      <c r="AS88" s="2" t="str">
        <f aca="false">IF(AR88="Broker-Reliant",IF(J88="Tail","5. Cost-to-Serve / Low-Touch",IF(OR(N88="Growing",N88="Stable"),"1. Migration Candidate",IF(N88="Declining","2. Protect / Retain First",IF(N88="Lapsed","3. Win-Back / Verify",IF(N88="H2 Active / No H1 GMV","4. Establish / Re-establish / Observe","UNASSIGNED"))))),IF(AP88="Low",IF(J88="Tail","9. Long-Tail Automated Nurture",IF(OR(N88="Growing",N88="Stable"),"6. Growth Opportunity",IF(N88="H2 Active / No H1 GMV","7. Onboard / Re-engage / Learn",IF(OR(N88="Declining",N88="Lapsed"),"8. Retention / Reactivation","UNASSIGNED")))),"UNASSIGNED"))</f>
        <v>5. Cost-to-Serve / Low-Touch</v>
      </c>
      <c r="AT88" s="10" t="b">
        <f aca="false">AS88&lt;&gt;T88</f>
        <v>0</v>
      </c>
      <c r="AU88" s="2" t="str">
        <f aca="false">IF(NOT(U88),"Not Eligible",IF(OR(AQ88,AH88,AK88,NOT(AND(W88&gt;=Assumptions!$B$83,O88&gt;=Assumptions!$B$84))),"Manual Review","Ready"))</f>
        <v>Not Eligible</v>
      </c>
      <c r="AV88" s="2" t="str">
        <f aca="false">IF(AG88,"Key account - human sign-off required; ","")&amp;IF(AH88,"Borderline momentum; ","")&amp;IF(AK88,"February-sensitive ("&amp;N88&amp;" -&gt; "&amp;AJ88&amp;"); ","")&amp;IF(AL88="One-Off / Insufficient History — Verify","Lapsed on thin history - verify; ","")&amp;IF(AQ88,"Material broker % inconsistency (implied tier "&amp;AP88&amp;"); ","")&amp;IF(AT88,"Implied broker % would move segment to "&amp;AS88&amp;"; ","")</f>
        <v/>
      </c>
      <c r="AW88" s="10" t="b">
        <f aca="false">AND(G88="Low",J88="Tail",I88&gt;=Assumptions!$B$64,O88&gt;=Assumptions!$B$65,OR(N88="Growing",N88="Stable",AND(N88="H2 Active / No H1 GMV",W88&gt;=2)),OR(R88&gt;=Assumptions!$B$66,S88&gt;=Assumptions!$B$67))</f>
        <v>0</v>
      </c>
    </row>
    <row r="89" customFormat="false" ht="15" hidden="false" customHeight="false" outlineLevel="0" collapsed="false">
      <c r="A89" s="2" t="s">
        <v>612</v>
      </c>
      <c r="B89" s="2" t="s">
        <v>1571</v>
      </c>
      <c r="C89" s="2" t="s">
        <v>1572</v>
      </c>
      <c r="D89" s="2" t="n">
        <v>9</v>
      </c>
      <c r="E89" s="2" t="n">
        <v>51</v>
      </c>
      <c r="F89" s="21" t="n">
        <f aca="false">INDEX('Scored Accounts'!$Q$2:$Q$301,MATCH($A89,'Scored Accounts'!$A$2:$A$301,0))</f>
        <v>70</v>
      </c>
      <c r="G89" s="2" t="str">
        <f aca="false">INDEX('Scored Accounts'!$R$2:$R$301,MATCH($A89,'Scored Accounts'!$A$2:$A$301,0))</f>
        <v>High</v>
      </c>
      <c r="H89" s="2" t="str">
        <f aca="false">IF(OR(G89="High",G89="Medium"),"Broker-Reliant",IF(AND(G89="Low",B89="Account Managed"),"AM-Owned / Self-Serving",IF(AND(G89="Low",B89="Self Serve"),"Self-Serve","UNASSIGNED")))</f>
        <v>Broker-Reliant</v>
      </c>
      <c r="I89" s="9" t="n">
        <v>1071</v>
      </c>
      <c r="J89" s="2" t="str">
        <f aca="false">IF(I89&gt;=Assumptions!$B$35,"Key",IF(I89&gt;=Assumptions!$B$34,"Core","Tail"))</f>
        <v>Tail</v>
      </c>
      <c r="K89" s="9" t="n">
        <f aca="false">INDEX('Commercial View'!$R$2:$R$301,MATCH($A89,'Commercial View'!$A$2:$A$301,0))</f>
        <v>1071</v>
      </c>
      <c r="L89" s="9" t="n">
        <f aca="false">INDEX('Commercial View'!$S$2:$S$301,MATCH($A89,'Commercial View'!$A$2:$A$301,0))</f>
        <v>0</v>
      </c>
      <c r="M89" s="17" t="n">
        <f aca="false">INDEX('Commercial View'!$T$2:$T$301,MATCH($A89,'Commercial View'!$A$2:$A$301,0))</f>
        <v>-1</v>
      </c>
      <c r="N89" s="2" t="str">
        <f aca="false">INDEX('Commercial View'!$U$2:$U$301,MATCH($A89,'Commercial View'!$A$2:$A$301,0))</f>
        <v>Lapsed</v>
      </c>
      <c r="O89" s="2" t="n">
        <v>2</v>
      </c>
      <c r="P89" s="2" t="n">
        <v>1</v>
      </c>
      <c r="Q89" s="2" t="n">
        <v>1</v>
      </c>
      <c r="R89" s="2" t="n">
        <v>3</v>
      </c>
      <c r="S89" s="2" t="n">
        <v>1</v>
      </c>
      <c r="T89" s="2" t="str">
        <f aca="false">IF(H89="Broker-Reliant",IF(J89="Tail","5. Cost-to-Serve / Low-Touch",IF(OR(N89="Growing",N89="Stable"),"1. Migration Candidate",IF(N89="Declining","2. Protect / Retain First",IF(N89="Lapsed","3. Win-Back / Verify",IF(N89="H2 Active / No H1 GMV","4. Establish / Re-establish / Observe","UNASSIGNED"))))),IF(G89="Low",IF(J89="Tail","9. Long-Tail Automated Nurture",IF(OR(N89="Growing",N89="Stable"),"6. Growth Opportunity",IF(N89="H2 Active / No H1 GMV","7. Onboard / Re-engage / Learn",IF(OR(N89="Declining",N89="Lapsed"),"8. Retention / Reactivation","UNASSIGNED")))),"UNASSIGNED"))</f>
        <v>5. Cost-to-Serve / Low-Touch</v>
      </c>
      <c r="U89" s="10" t="b">
        <f aca="false">AND(T89="1. Migration Candidate",J89="Core",O89&gt;=Assumptions!$B$39,Q89&gt;=Assumptions!$B$40,NOT(Z89))</f>
        <v>0</v>
      </c>
      <c r="V89" s="2" t="n">
        <f aca="false">(AND(H89="Broker-Reliant",J89&lt;&gt;"Tail",OR(N89="Growing",N89="Stable")))*1+(AND(H89="Broker-Reliant",J89&lt;&gt;"Tail",N89="Declining"))*1+(AND(H89="Broker-Reliant",J89&lt;&gt;"Tail",N89="Lapsed"))*1+(AND(H89="Broker-Reliant",J89&lt;&gt;"Tail",N89="H2 Active / No H1 GMV"))*1+(AND(H89="Broker-Reliant",J89="Tail"))*1+(AND(G89="Low",J89&lt;&gt;"Tail",OR(N89="Growing",N89="Stable")))*1+(AND(G89="Low",J89&lt;&gt;"Tail",N89="H2 Active / No H1 GMV"))*1+(AND(G89="Low",J89&lt;&gt;"Tail",OR(N89="Declining",N89="Lapsed")))*1+(AND(G89="Low",J89="Tail"))*1</f>
        <v>1</v>
      </c>
      <c r="W89" s="2" t="n">
        <f aca="false">INDEX('Commercial View'!$V$2:$V$301,MATCH($A89,'Commercial View'!$A$2:$A$301,0))</f>
        <v>1</v>
      </c>
      <c r="X89" s="10" t="b">
        <f aca="false">O89&lt;=Assumptions!$B$30</f>
        <v>1</v>
      </c>
      <c r="Y89" s="10" t="b">
        <f aca="false">W89&lt;=1</f>
        <v>1</v>
      </c>
      <c r="Z89" s="10" t="b">
        <f aca="false">C89="Duplicate"</f>
        <v>0</v>
      </c>
      <c r="AA89" s="10" t="b">
        <f aca="false">C89=""</f>
        <v>0</v>
      </c>
      <c r="AB89" s="2" t="n">
        <f aca="false">IF(P89+Q89&gt;0,ROUND(P89/(P89+Q89)*100,0),"")</f>
        <v>50</v>
      </c>
      <c r="AC89" s="2" t="n">
        <f aca="false">IF(P89+Q89&gt;0,ROUND(E89-P89/(P89+Q89)*100,0),"")</f>
        <v>1</v>
      </c>
      <c r="AD89" s="10" t="b">
        <f aca="false">IF(AC89="",FALSE(),ABS(AC89)&gt;Assumptions!$B$41)</f>
        <v>0</v>
      </c>
      <c r="AE89" s="2" t="str">
        <f aca="false">IF(X89,"Low confidence (&lt;=2 orders); ","")&amp;IF(Y89,"Single-month history; ","")&amp;IF(Z89,"CRITICAL: Duplicate status; ","")&amp;IF(AA89,"Missing status; ","")&amp;IF(AD89,"Broker % vs counts gap "&amp;TEXT(AC89,"+0;-0")&amp;"pts; ","")</f>
        <v>Low confidence (&lt;=2 orders); Single-month history; </v>
      </c>
      <c r="AF89" s="2" t="str">
        <f aca="false">IF(AND(K89=0,L89&gt;0),IF(D89&lt;=Assumptions!$B$47,"New Customer","Returned Customer"),"Existing Customer")</f>
        <v>Existing Customer</v>
      </c>
      <c r="AG89" s="10" t="b">
        <f aca="false">AND(T89="1. Migration Candidate",J89="Key")</f>
        <v>0</v>
      </c>
      <c r="AH89" s="10" t="b">
        <f aca="false">IF(AND(K89&gt;0,L89&gt;0),OR(ABS(M89-Assumptions!$B$36)&lt;=Assumptions!$B$46,ABS(M89+Assumptions!$B$36)&lt;=Assumptions!$B$46),FALSE())</f>
        <v>0</v>
      </c>
      <c r="AI89" s="9" t="n">
        <f aca="false">INDEX('Commercial View'!$L$2:$L$301,MATCH($A89,'Commercial View'!$A$2:$A$301,0))+INDEX('Commercial View'!$M$2:$M$301,MATCH($A89,'Commercial View'!$A$2:$A$301,0))</f>
        <v>0</v>
      </c>
      <c r="AJ89" s="2" t="str">
        <f aca="false">IF(AND(K89=0,AI89=0),"No activity ex-Feb",IF(AI89=0,"Lapsed",IF(K89=0,"H2 Active / No H1 GMV",IF((AI89/2)/(K89/3)-1&gt;=Assumptions!$B$36,"Growing",IF((AI89/2)/(K89/3)-1&lt;-Assumptions!$B$36,"Declining","Stable")))))</f>
        <v>Lapsed</v>
      </c>
      <c r="AK89" s="10" t="b">
        <f aca="false">IF(OR(N89="Growing",N89="Stable"),"Healthy",N89)&lt;&gt;IF(OR(AJ89="Growing",AJ89="Stable"),"Healthy",AJ89)</f>
        <v>0</v>
      </c>
      <c r="AL89" s="2" t="str">
        <f aca="false">IF(N89="Lapsed",IF(OR(O89&lt;=Assumptions!$B$48,W89&lt;=Assumptions!$B$49),"One-Off / Insufficient History — Verify","Established Buyer Lapsed"),"N/A")</f>
        <v>One-Off / Insufficient History — Verify</v>
      </c>
      <c r="AM89" s="2" t="n">
        <f aca="false">INDEX('Scored Accounts'!$M$2:$M$301,MATCH($A89,'Scored Accounts'!$A$2:$A$301,0))</f>
        <v>50</v>
      </c>
      <c r="AN89" s="2" t="n">
        <f aca="false">IF((P89/(P89+Q89)*100)&lt;=Assumptions!$B$13,0,IF((P89/(P89+Q89)*100)&lt;Assumptions!$B$14,25,IF((P89/(P89+Q89)*100)&lt;Assumptions!$B$15,50,IF((P89/(P89+Q89)*100)&lt;Assumptions!$B$16,75,100))))</f>
        <v>50</v>
      </c>
      <c r="AO89" s="21" t="n">
        <f aca="false">IF((P89/(P89+Q89)*100)&lt;=Assumptions!$B$8,0,AN89*Assumptions!$B$4+INDEX('Scored Accounts'!$N$2:$N$301,MATCH($A89,'Scored Accounts'!$A$2:$A$301,0))*Assumptions!$B$5+INDEX('Scored Accounts'!$O$2:$O$301,MATCH($A89,'Scored Accounts'!$A$2:$A$301,0))*Assumptions!$B$6)</f>
        <v>70</v>
      </c>
      <c r="AP89" s="2" t="str">
        <f aca="false">IF(AO89&gt;=Assumptions!$B$9,"High",IF(AO89&gt;=Assumptions!$B$10,"Medium","Low"))</f>
        <v>High</v>
      </c>
      <c r="AQ89" s="10" t="b">
        <f aca="false">OR((E89&lt;=Assumptions!$B$8)&lt;&gt;((P89/(P89+Q89)*100)&lt;=Assumptions!$B$8),AM89&lt;&gt;AN89,G89&lt;&gt;AP89)</f>
        <v>0</v>
      </c>
      <c r="AR89" s="2" t="str">
        <f aca="false">IF(AP89&lt;&gt;"Low","Broker-Reliant",IF(B89="Account Managed","AM-Owned / Self-Serving","Self-Serve"))</f>
        <v>Broker-Reliant</v>
      </c>
      <c r="AS89" s="2" t="str">
        <f aca="false">IF(AR89="Broker-Reliant",IF(J89="Tail","5. Cost-to-Serve / Low-Touch",IF(OR(N89="Growing",N89="Stable"),"1. Migration Candidate",IF(N89="Declining","2. Protect / Retain First",IF(N89="Lapsed","3. Win-Back / Verify",IF(N89="H2 Active / No H1 GMV","4. Establish / Re-establish / Observe","UNASSIGNED"))))),IF(AP89="Low",IF(J89="Tail","9. Long-Tail Automated Nurture",IF(OR(N89="Growing",N89="Stable"),"6. Growth Opportunity",IF(N89="H2 Active / No H1 GMV","7. Onboard / Re-engage / Learn",IF(OR(N89="Declining",N89="Lapsed"),"8. Retention / Reactivation","UNASSIGNED")))),"UNASSIGNED"))</f>
        <v>5. Cost-to-Serve / Low-Touch</v>
      </c>
      <c r="AT89" s="10" t="b">
        <f aca="false">AS89&lt;&gt;T89</f>
        <v>0</v>
      </c>
      <c r="AU89" s="2" t="str">
        <f aca="false">IF(NOT(U89),"Not Eligible",IF(OR(AQ89,AH89,AK89,NOT(AND(W89&gt;=Assumptions!$B$83,O89&gt;=Assumptions!$B$84))),"Manual Review","Ready"))</f>
        <v>Not Eligible</v>
      </c>
      <c r="AV89" s="2" t="str">
        <f aca="false">IF(AG89,"Key account - human sign-off required; ","")&amp;IF(AH89,"Borderline momentum; ","")&amp;IF(AK89,"February-sensitive ("&amp;N89&amp;" -&gt; "&amp;AJ89&amp;"); ","")&amp;IF(AL89="One-Off / Insufficient History — Verify","Lapsed on thin history - verify; ","")&amp;IF(AQ89,"Material broker % inconsistency (implied tier "&amp;AP89&amp;"); ","")&amp;IF(AT89,"Implied broker % would move segment to "&amp;AS89&amp;"; ","")</f>
        <v>Lapsed on thin history - verify; </v>
      </c>
      <c r="AW89" s="10" t="b">
        <f aca="false">AND(G89="Low",J89="Tail",I89&gt;=Assumptions!$B$64,O89&gt;=Assumptions!$B$65,OR(N89="Growing",N89="Stable",AND(N89="H2 Active / No H1 GMV",W89&gt;=2)),OR(R89&gt;=Assumptions!$B$66,S89&gt;=Assumptions!$B$67))</f>
        <v>0</v>
      </c>
    </row>
    <row r="90" customFormat="false" ht="15" hidden="false" customHeight="false" outlineLevel="0" collapsed="false">
      <c r="A90" s="2" t="s">
        <v>614</v>
      </c>
      <c r="B90" s="2" t="s">
        <v>1571</v>
      </c>
      <c r="C90" s="2"/>
      <c r="D90" s="2" t="n">
        <v>6</v>
      </c>
      <c r="E90" s="2" t="n">
        <v>11</v>
      </c>
      <c r="F90" s="21" t="n">
        <f aca="false">INDEX('Scored Accounts'!$Q$2:$Q$301,MATCH($A90,'Scored Accounts'!$A$2:$A$301,0))</f>
        <v>0</v>
      </c>
      <c r="G90" s="2" t="str">
        <f aca="false">INDEX('Scored Accounts'!$R$2:$R$301,MATCH($A90,'Scored Accounts'!$A$2:$A$301,0))</f>
        <v>Low</v>
      </c>
      <c r="H90" s="2" t="str">
        <f aca="false">IF(OR(G90="High",G90="Medium"),"Broker-Reliant",IF(AND(G90="Low",B90="Account Managed"),"AM-Owned / Self-Serving",IF(AND(G90="Low",B90="Self Serve"),"Self-Serve","UNASSIGNED")))</f>
        <v>AM-Owned / Self-Serving</v>
      </c>
      <c r="I90" s="9" t="n">
        <v>1011</v>
      </c>
      <c r="J90" s="2" t="str">
        <f aca="false">IF(I90&gt;=Assumptions!$B$35,"Key",IF(I90&gt;=Assumptions!$B$34,"Core","Tail"))</f>
        <v>Tail</v>
      </c>
      <c r="K90" s="9" t="n">
        <f aca="false">INDEX('Commercial View'!$R$2:$R$301,MATCH($A90,'Commercial View'!$A$2:$A$301,0))</f>
        <v>1011</v>
      </c>
      <c r="L90" s="9" t="n">
        <f aca="false">INDEX('Commercial View'!$S$2:$S$301,MATCH($A90,'Commercial View'!$A$2:$A$301,0))</f>
        <v>0</v>
      </c>
      <c r="M90" s="17" t="n">
        <f aca="false">INDEX('Commercial View'!$T$2:$T$301,MATCH($A90,'Commercial View'!$A$2:$A$301,0))</f>
        <v>-1</v>
      </c>
      <c r="N90" s="2" t="str">
        <f aca="false">INDEX('Commercial View'!$U$2:$U$301,MATCH($A90,'Commercial View'!$A$2:$A$301,0))</f>
        <v>Lapsed</v>
      </c>
      <c r="O90" s="2" t="n">
        <v>2</v>
      </c>
      <c r="P90" s="2" t="n">
        <v>0</v>
      </c>
      <c r="Q90" s="2" t="n">
        <v>2</v>
      </c>
      <c r="R90" s="2" t="n">
        <v>42</v>
      </c>
      <c r="S90" s="2" t="n">
        <v>13</v>
      </c>
      <c r="T90" s="2" t="str">
        <f aca="false">IF(H90="Broker-Reliant",IF(J90="Tail","5. Cost-to-Serve / Low-Touch",IF(OR(N90="Growing",N90="Stable"),"1. Migration Candidate",IF(N90="Declining","2. Protect / Retain First",IF(N90="Lapsed","3. Win-Back / Verify",IF(N90="H2 Active / No H1 GMV","4. Establish / Re-establish / Observe","UNASSIGNED"))))),IF(G90="Low",IF(J90="Tail","9. Long-Tail Automated Nurture",IF(OR(N90="Growing",N90="Stable"),"6. Growth Opportunity",IF(N90="H2 Active / No H1 GMV","7. Onboard / Re-engage / Learn",IF(OR(N90="Declining",N90="Lapsed"),"8. Retention / Reactivation","UNASSIGNED")))),"UNASSIGNED"))</f>
        <v>9. Long-Tail Automated Nurture</v>
      </c>
      <c r="U90" s="10" t="b">
        <f aca="false">AND(T90="1. Migration Candidate",J90="Core",O90&gt;=Assumptions!$B$39,Q90&gt;=Assumptions!$B$40,NOT(Z90))</f>
        <v>0</v>
      </c>
      <c r="V90" s="2" t="n">
        <f aca="false">(AND(H90="Broker-Reliant",J90&lt;&gt;"Tail",OR(N90="Growing",N90="Stable")))*1+(AND(H90="Broker-Reliant",J90&lt;&gt;"Tail",N90="Declining"))*1+(AND(H90="Broker-Reliant",J90&lt;&gt;"Tail",N90="Lapsed"))*1+(AND(H90="Broker-Reliant",J90&lt;&gt;"Tail",N90="H2 Active / No H1 GMV"))*1+(AND(H90="Broker-Reliant",J90="Tail"))*1+(AND(G90="Low",J90&lt;&gt;"Tail",OR(N90="Growing",N90="Stable")))*1+(AND(G90="Low",J90&lt;&gt;"Tail",N90="H2 Active / No H1 GMV"))*1+(AND(G90="Low",J90&lt;&gt;"Tail",OR(N90="Declining",N90="Lapsed")))*1+(AND(G90="Low",J90="Tail"))*1</f>
        <v>1</v>
      </c>
      <c r="W90" s="2" t="n">
        <f aca="false">INDEX('Commercial View'!$V$2:$V$301,MATCH($A90,'Commercial View'!$A$2:$A$301,0))</f>
        <v>1</v>
      </c>
      <c r="X90" s="10" t="b">
        <f aca="false">O90&lt;=Assumptions!$B$30</f>
        <v>1</v>
      </c>
      <c r="Y90" s="10" t="b">
        <f aca="false">W90&lt;=1</f>
        <v>1</v>
      </c>
      <c r="Z90" s="10" t="b">
        <f aca="false">C90="Duplicate"</f>
        <v>0</v>
      </c>
      <c r="AA90" s="10" t="b">
        <f aca="false">C90=""</f>
        <v>1</v>
      </c>
      <c r="AB90" s="2" t="n">
        <f aca="false">IF(P90+Q90&gt;0,ROUND(P90/(P90+Q90)*100,0),"")</f>
        <v>0</v>
      </c>
      <c r="AC90" s="2" t="n">
        <f aca="false">IF(P90+Q90&gt;0,ROUND(E90-P90/(P90+Q90)*100,0),"")</f>
        <v>11</v>
      </c>
      <c r="AD90" s="10" t="b">
        <f aca="false">IF(AC90="",FALSE(),ABS(AC90)&gt;Assumptions!$B$41)</f>
        <v>1</v>
      </c>
      <c r="AE90" s="2" t="str">
        <f aca="false">IF(X90,"Low confidence (&lt;=2 orders); ","")&amp;IF(Y90,"Single-month history; ","")&amp;IF(Z90,"CRITICAL: Duplicate status; ","")&amp;IF(AA90,"Missing status; ","")&amp;IF(AD90,"Broker % vs counts gap "&amp;TEXT(AC90,"+0;-0")&amp;"pts; ","")</f>
        <v>Low confidence (&lt;=2 orders); Single-month history; Missing status; Broker % vs counts gap +11pts; </v>
      </c>
      <c r="AF90" s="2" t="str">
        <f aca="false">IF(AND(K90=0,L90&gt;0),IF(D90&lt;=Assumptions!$B$47,"New Customer","Returned Customer"),"Existing Customer")</f>
        <v>Existing Customer</v>
      </c>
      <c r="AG90" s="10" t="b">
        <f aca="false">AND(T90="1. Migration Candidate",J90="Key")</f>
        <v>0</v>
      </c>
      <c r="AH90" s="10" t="b">
        <f aca="false">IF(AND(K90&gt;0,L90&gt;0),OR(ABS(M90-Assumptions!$B$36)&lt;=Assumptions!$B$46,ABS(M90+Assumptions!$B$36)&lt;=Assumptions!$B$46),FALSE())</f>
        <v>0</v>
      </c>
      <c r="AI90" s="9" t="n">
        <f aca="false">INDEX('Commercial View'!$L$2:$L$301,MATCH($A90,'Commercial View'!$A$2:$A$301,0))+INDEX('Commercial View'!$M$2:$M$301,MATCH($A90,'Commercial View'!$A$2:$A$301,0))</f>
        <v>0</v>
      </c>
      <c r="AJ90" s="2" t="str">
        <f aca="false">IF(AND(K90=0,AI90=0),"No activity ex-Feb",IF(AI90=0,"Lapsed",IF(K90=0,"H2 Active / No H1 GMV",IF((AI90/2)/(K90/3)-1&gt;=Assumptions!$B$36,"Growing",IF((AI90/2)/(K90/3)-1&lt;-Assumptions!$B$36,"Declining","Stable")))))</f>
        <v>Lapsed</v>
      </c>
      <c r="AK90" s="10" t="b">
        <f aca="false">IF(OR(N90="Growing",N90="Stable"),"Healthy",N90)&lt;&gt;IF(OR(AJ90="Growing",AJ90="Stable"),"Healthy",AJ90)</f>
        <v>0</v>
      </c>
      <c r="AL90" s="2" t="str">
        <f aca="false">IF(N90="Lapsed",IF(OR(O90&lt;=Assumptions!$B$48,W90&lt;=Assumptions!$B$49),"One-Off / Insufficient History — Verify","Established Buyer Lapsed"),"N/A")</f>
        <v>One-Off / Insufficient History — Verify</v>
      </c>
      <c r="AM90" s="2" t="n">
        <f aca="false">INDEX('Scored Accounts'!$M$2:$M$301,MATCH($A90,'Scored Accounts'!$A$2:$A$301,0))</f>
        <v>0</v>
      </c>
      <c r="AN90" s="2" t="n">
        <f aca="false">IF((P90/(P90+Q90)*100)&lt;=Assumptions!$B$13,0,IF((P90/(P90+Q90)*100)&lt;Assumptions!$B$14,25,IF((P90/(P90+Q90)*100)&lt;Assumptions!$B$15,50,IF((P90/(P90+Q90)*100)&lt;Assumptions!$B$16,75,100))))</f>
        <v>0</v>
      </c>
      <c r="AO90" s="21" t="n">
        <f aca="false">IF((P90/(P90+Q90)*100)&lt;=Assumptions!$B$8,0,AN90*Assumptions!$B$4+INDEX('Scored Accounts'!$N$2:$N$301,MATCH($A90,'Scored Accounts'!$A$2:$A$301,0))*Assumptions!$B$5+INDEX('Scored Accounts'!$O$2:$O$301,MATCH($A90,'Scored Accounts'!$A$2:$A$301,0))*Assumptions!$B$6)</f>
        <v>0</v>
      </c>
      <c r="AP90" s="2" t="str">
        <f aca="false">IF(AO90&gt;=Assumptions!$B$9,"High",IF(AO90&gt;=Assumptions!$B$10,"Medium","Low"))</f>
        <v>Low</v>
      </c>
      <c r="AQ90" s="10" t="b">
        <f aca="false">OR((E90&lt;=Assumptions!$B$8)&lt;&gt;((P90/(P90+Q90)*100)&lt;=Assumptions!$B$8),AM90&lt;&gt;AN90,G90&lt;&gt;AP90)</f>
        <v>0</v>
      </c>
      <c r="AR90" s="2" t="str">
        <f aca="false">IF(AP90&lt;&gt;"Low","Broker-Reliant",IF(B90="Account Managed","AM-Owned / Self-Serving","Self-Serve"))</f>
        <v>AM-Owned / Self-Serving</v>
      </c>
      <c r="AS90" s="2" t="str">
        <f aca="false">IF(AR90="Broker-Reliant",IF(J90="Tail","5. Cost-to-Serve / Low-Touch",IF(OR(N90="Growing",N90="Stable"),"1. Migration Candidate",IF(N90="Declining","2. Protect / Retain First",IF(N90="Lapsed","3. Win-Back / Verify",IF(N90="H2 Active / No H1 GMV","4. Establish / Re-establish / Observe","UNASSIGNED"))))),IF(AP90="Low",IF(J90="Tail","9. Long-Tail Automated Nurture",IF(OR(N90="Growing",N90="Stable"),"6. Growth Opportunity",IF(N90="H2 Active / No H1 GMV","7. Onboard / Re-engage / Learn",IF(OR(N90="Declining",N90="Lapsed"),"8. Retention / Reactivation","UNASSIGNED")))),"UNASSIGNED"))</f>
        <v>9. Long-Tail Automated Nurture</v>
      </c>
      <c r="AT90" s="10" t="b">
        <f aca="false">AS90&lt;&gt;T90</f>
        <v>0</v>
      </c>
      <c r="AU90" s="2" t="str">
        <f aca="false">IF(NOT(U90),"Not Eligible",IF(OR(AQ90,AH90,AK90,NOT(AND(W90&gt;=Assumptions!$B$83,O90&gt;=Assumptions!$B$84))),"Manual Review","Ready"))</f>
        <v>Not Eligible</v>
      </c>
      <c r="AV90" s="2" t="str">
        <f aca="false">IF(AG90,"Key account - human sign-off required; ","")&amp;IF(AH90,"Borderline momentum; ","")&amp;IF(AK90,"February-sensitive ("&amp;N90&amp;" -&gt; "&amp;AJ90&amp;"); ","")&amp;IF(AL90="One-Off / Insufficient History — Verify","Lapsed on thin history - verify; ","")&amp;IF(AQ90,"Material broker % inconsistency (implied tier "&amp;AP90&amp;"); ","")&amp;IF(AT90,"Implied broker % would move segment to "&amp;AS90&amp;"; ","")</f>
        <v>Lapsed on thin history - verify; </v>
      </c>
      <c r="AW90" s="10" t="b">
        <f aca="false">AND(G90="Low",J90="Tail",I90&gt;=Assumptions!$B$64,O90&gt;=Assumptions!$B$65,OR(N90="Growing",N90="Stable",AND(N90="H2 Active / No H1 GMV",W90&gt;=2)),OR(R90&gt;=Assumptions!$B$66,S90&gt;=Assumptions!$B$67))</f>
        <v>0</v>
      </c>
    </row>
    <row r="91" customFormat="false" ht="15" hidden="false" customHeight="false" outlineLevel="0" collapsed="false">
      <c r="A91" s="2" t="s">
        <v>616</v>
      </c>
      <c r="B91" s="2" t="s">
        <v>1571</v>
      </c>
      <c r="C91" s="2" t="s">
        <v>1572</v>
      </c>
      <c r="D91" s="2" t="n">
        <v>13</v>
      </c>
      <c r="E91" s="2" t="n">
        <v>1</v>
      </c>
      <c r="F91" s="21" t="n">
        <f aca="false">INDEX('Scored Accounts'!$Q$2:$Q$301,MATCH($A91,'Scored Accounts'!$A$2:$A$301,0))</f>
        <v>0</v>
      </c>
      <c r="G91" s="2" t="str">
        <f aca="false">INDEX('Scored Accounts'!$R$2:$R$301,MATCH($A91,'Scored Accounts'!$A$2:$A$301,0))</f>
        <v>Low</v>
      </c>
      <c r="H91" s="2" t="str">
        <f aca="false">IF(OR(G91="High",G91="Medium"),"Broker-Reliant",IF(AND(G91="Low",B91="Account Managed"),"AM-Owned / Self-Serving",IF(AND(G91="Low",B91="Self Serve"),"Self-Serve","UNASSIGNED")))</f>
        <v>AM-Owned / Self-Serving</v>
      </c>
      <c r="I91" s="9" t="n">
        <v>987</v>
      </c>
      <c r="J91" s="2" t="str">
        <f aca="false">IF(I91&gt;=Assumptions!$B$35,"Key",IF(I91&gt;=Assumptions!$B$34,"Core","Tail"))</f>
        <v>Tail</v>
      </c>
      <c r="K91" s="9" t="n">
        <f aca="false">INDEX('Commercial View'!$R$2:$R$301,MATCH($A91,'Commercial View'!$A$2:$A$301,0))</f>
        <v>178</v>
      </c>
      <c r="L91" s="9" t="n">
        <f aca="false">INDEX('Commercial View'!$S$2:$S$301,MATCH($A91,'Commercial View'!$A$2:$A$301,0))</f>
        <v>810</v>
      </c>
      <c r="M91" s="17" t="n">
        <f aca="false">INDEX('Commercial View'!$T$2:$T$301,MATCH($A91,'Commercial View'!$A$2:$A$301,0))</f>
        <v>3.55056179775281</v>
      </c>
      <c r="N91" s="2" t="str">
        <f aca="false">INDEX('Commercial View'!$U$2:$U$301,MATCH($A91,'Commercial View'!$A$2:$A$301,0))</f>
        <v>Growing</v>
      </c>
      <c r="O91" s="2" t="n">
        <v>7</v>
      </c>
      <c r="P91" s="2" t="n">
        <v>0</v>
      </c>
      <c r="Q91" s="2" t="n">
        <v>7</v>
      </c>
      <c r="R91" s="2" t="n">
        <v>27</v>
      </c>
      <c r="S91" s="2" t="n">
        <v>8</v>
      </c>
      <c r="T91" s="2" t="str">
        <f aca="false">IF(H91="Broker-Reliant",IF(J91="Tail","5. Cost-to-Serve / Low-Touch",IF(OR(N91="Growing",N91="Stable"),"1. Migration Candidate",IF(N91="Declining","2. Protect / Retain First",IF(N91="Lapsed","3. Win-Back / Verify",IF(N91="H2 Active / No H1 GMV","4. Establish / Re-establish / Observe","UNASSIGNED"))))),IF(G91="Low",IF(J91="Tail","9. Long-Tail Automated Nurture",IF(OR(N91="Growing",N91="Stable"),"6. Growth Opportunity",IF(N91="H2 Active / No H1 GMV","7. Onboard / Re-engage / Learn",IF(OR(N91="Declining",N91="Lapsed"),"8. Retention / Reactivation","UNASSIGNED")))),"UNASSIGNED"))</f>
        <v>9. Long-Tail Automated Nurture</v>
      </c>
      <c r="U91" s="10" t="b">
        <f aca="false">AND(T91="1. Migration Candidate",J91="Core",O91&gt;=Assumptions!$B$39,Q91&gt;=Assumptions!$B$40,NOT(Z91))</f>
        <v>0</v>
      </c>
      <c r="V91" s="2" t="n">
        <f aca="false">(AND(H91="Broker-Reliant",J91&lt;&gt;"Tail",OR(N91="Growing",N91="Stable")))*1+(AND(H91="Broker-Reliant",J91&lt;&gt;"Tail",N91="Declining"))*1+(AND(H91="Broker-Reliant",J91&lt;&gt;"Tail",N91="Lapsed"))*1+(AND(H91="Broker-Reliant",J91&lt;&gt;"Tail",N91="H2 Active / No H1 GMV"))*1+(AND(H91="Broker-Reliant",J91="Tail"))*1+(AND(G91="Low",J91&lt;&gt;"Tail",OR(N91="Growing",N91="Stable")))*1+(AND(G91="Low",J91&lt;&gt;"Tail",N91="H2 Active / No H1 GMV"))*1+(AND(G91="Low",J91&lt;&gt;"Tail",OR(N91="Declining",N91="Lapsed")))*1+(AND(G91="Low",J91="Tail"))*1</f>
        <v>1</v>
      </c>
      <c r="W91" s="2" t="n">
        <f aca="false">INDEX('Commercial View'!$V$2:$V$301,MATCH($A91,'Commercial View'!$A$2:$A$301,0))</f>
        <v>4</v>
      </c>
      <c r="X91" s="10" t="b">
        <f aca="false">O91&lt;=Assumptions!$B$30</f>
        <v>0</v>
      </c>
      <c r="Y91" s="10" t="b">
        <f aca="false">W91&lt;=1</f>
        <v>0</v>
      </c>
      <c r="Z91" s="10" t="b">
        <f aca="false">C91="Duplicate"</f>
        <v>0</v>
      </c>
      <c r="AA91" s="10" t="b">
        <f aca="false">C91=""</f>
        <v>0</v>
      </c>
      <c r="AB91" s="2" t="n">
        <f aca="false">IF(P91+Q91&gt;0,ROUND(P91/(P91+Q91)*100,0),"")</f>
        <v>0</v>
      </c>
      <c r="AC91" s="2" t="n">
        <f aca="false">IF(P91+Q91&gt;0,ROUND(E91-P91/(P91+Q91)*100,0),"")</f>
        <v>1</v>
      </c>
      <c r="AD91" s="10" t="b">
        <f aca="false">IF(AC91="",FALSE(),ABS(AC91)&gt;Assumptions!$B$41)</f>
        <v>0</v>
      </c>
      <c r="AE91" s="2" t="str">
        <f aca="false">IF(X91,"Low confidence (&lt;=2 orders); ","")&amp;IF(Y91,"Single-month history; ","")&amp;IF(Z91,"CRITICAL: Duplicate status; ","")&amp;IF(AA91,"Missing status; ","")&amp;IF(AD91,"Broker % vs counts gap "&amp;TEXT(AC91,"+0;-0")&amp;"pts; ","")</f>
        <v/>
      </c>
      <c r="AF91" s="2" t="str">
        <f aca="false">IF(AND(K91=0,L91&gt;0),IF(D91&lt;=Assumptions!$B$47,"New Customer","Returned Customer"),"Existing Customer")</f>
        <v>Existing Customer</v>
      </c>
      <c r="AG91" s="10" t="b">
        <f aca="false">AND(T91="1. Migration Candidate",J91="Key")</f>
        <v>0</v>
      </c>
      <c r="AH91" s="10" t="b">
        <f aca="false">IF(AND(K91&gt;0,L91&gt;0),OR(ABS(M91-Assumptions!$B$36)&lt;=Assumptions!$B$46,ABS(M91+Assumptions!$B$36)&lt;=Assumptions!$B$46),FALSE())</f>
        <v>0</v>
      </c>
      <c r="AI91" s="9" t="n">
        <f aca="false">INDEX('Commercial View'!$L$2:$L$301,MATCH($A91,'Commercial View'!$A$2:$A$301,0))+INDEX('Commercial View'!$M$2:$M$301,MATCH($A91,'Commercial View'!$A$2:$A$301,0))</f>
        <v>605</v>
      </c>
      <c r="AJ91" s="2" t="str">
        <f aca="false">IF(AND(K91=0,AI91=0),"No activity ex-Feb",IF(AI91=0,"Lapsed",IF(K91=0,"H2 Active / No H1 GMV",IF((AI91/2)/(K91/3)-1&gt;=Assumptions!$B$36,"Growing",IF((AI91/2)/(K91/3)-1&lt;-Assumptions!$B$36,"Declining","Stable")))))</f>
        <v>Growing</v>
      </c>
      <c r="AK91" s="10" t="b">
        <f aca="false">IF(OR(N91="Growing",N91="Stable"),"Healthy",N91)&lt;&gt;IF(OR(AJ91="Growing",AJ91="Stable"),"Healthy",AJ91)</f>
        <v>0</v>
      </c>
      <c r="AL91" s="2" t="str">
        <f aca="false">IF(N91="Lapsed",IF(OR(O91&lt;=Assumptions!$B$48,W91&lt;=Assumptions!$B$49),"One-Off / Insufficient History — Verify","Established Buyer Lapsed"),"N/A")</f>
        <v>N/A</v>
      </c>
      <c r="AM91" s="2" t="n">
        <f aca="false">INDEX('Scored Accounts'!$M$2:$M$301,MATCH($A91,'Scored Accounts'!$A$2:$A$301,0))</f>
        <v>0</v>
      </c>
      <c r="AN91" s="2" t="n">
        <f aca="false">IF((P91/(P91+Q91)*100)&lt;=Assumptions!$B$13,0,IF((P91/(P91+Q91)*100)&lt;Assumptions!$B$14,25,IF((P91/(P91+Q91)*100)&lt;Assumptions!$B$15,50,IF((P91/(P91+Q91)*100)&lt;Assumptions!$B$16,75,100))))</f>
        <v>0</v>
      </c>
      <c r="AO91" s="21" t="n">
        <f aca="false">IF((P91/(P91+Q91)*100)&lt;=Assumptions!$B$8,0,AN91*Assumptions!$B$4+INDEX('Scored Accounts'!$N$2:$N$301,MATCH($A91,'Scored Accounts'!$A$2:$A$301,0))*Assumptions!$B$5+INDEX('Scored Accounts'!$O$2:$O$301,MATCH($A91,'Scored Accounts'!$A$2:$A$301,0))*Assumptions!$B$6)</f>
        <v>0</v>
      </c>
      <c r="AP91" s="2" t="str">
        <f aca="false">IF(AO91&gt;=Assumptions!$B$9,"High",IF(AO91&gt;=Assumptions!$B$10,"Medium","Low"))</f>
        <v>Low</v>
      </c>
      <c r="AQ91" s="10" t="b">
        <f aca="false">OR((E91&lt;=Assumptions!$B$8)&lt;&gt;((P91/(P91+Q91)*100)&lt;=Assumptions!$B$8),AM91&lt;&gt;AN91,G91&lt;&gt;AP91)</f>
        <v>0</v>
      </c>
      <c r="AR91" s="2" t="str">
        <f aca="false">IF(AP91&lt;&gt;"Low","Broker-Reliant",IF(B91="Account Managed","AM-Owned / Self-Serving","Self-Serve"))</f>
        <v>AM-Owned / Self-Serving</v>
      </c>
      <c r="AS91" s="2" t="str">
        <f aca="false">IF(AR91="Broker-Reliant",IF(J91="Tail","5. Cost-to-Serve / Low-Touch",IF(OR(N91="Growing",N91="Stable"),"1. Migration Candidate",IF(N91="Declining","2. Protect / Retain First",IF(N91="Lapsed","3. Win-Back / Verify",IF(N91="H2 Active / No H1 GMV","4. Establish / Re-establish / Observe","UNASSIGNED"))))),IF(AP91="Low",IF(J91="Tail","9. Long-Tail Automated Nurture",IF(OR(N91="Growing",N91="Stable"),"6. Growth Opportunity",IF(N91="H2 Active / No H1 GMV","7. Onboard / Re-engage / Learn",IF(OR(N91="Declining",N91="Lapsed"),"8. Retention / Reactivation","UNASSIGNED")))),"UNASSIGNED"))</f>
        <v>9. Long-Tail Automated Nurture</v>
      </c>
      <c r="AT91" s="10" t="b">
        <f aca="false">AS91&lt;&gt;T91</f>
        <v>0</v>
      </c>
      <c r="AU91" s="2" t="str">
        <f aca="false">IF(NOT(U91),"Not Eligible",IF(OR(AQ91,AH91,AK91,NOT(AND(W91&gt;=Assumptions!$B$83,O91&gt;=Assumptions!$B$84))),"Manual Review","Ready"))</f>
        <v>Not Eligible</v>
      </c>
      <c r="AV91" s="2" t="str">
        <f aca="false">IF(AG91,"Key account - human sign-off required; ","")&amp;IF(AH91,"Borderline momentum; ","")&amp;IF(AK91,"February-sensitive ("&amp;N91&amp;" -&gt; "&amp;AJ91&amp;"); ","")&amp;IF(AL91="One-Off / Insufficient History — Verify","Lapsed on thin history - verify; ","")&amp;IF(AQ91,"Material broker % inconsistency (implied tier "&amp;AP91&amp;"); ","")&amp;IF(AT91,"Implied broker % would move segment to "&amp;AS91&amp;"; ","")</f>
        <v/>
      </c>
      <c r="AW91" s="10" t="b">
        <f aca="false">AND(G91="Low",J91="Tail",I91&gt;=Assumptions!$B$64,O91&gt;=Assumptions!$B$65,OR(N91="Growing",N91="Stable",AND(N91="H2 Active / No H1 GMV",W91&gt;=2)),OR(R91&gt;=Assumptions!$B$66,S91&gt;=Assumptions!$B$67))</f>
        <v>0</v>
      </c>
    </row>
    <row r="92" customFormat="false" ht="15" hidden="false" customHeight="false" outlineLevel="0" collapsed="false">
      <c r="A92" s="2" t="s">
        <v>618</v>
      </c>
      <c r="B92" s="2" t="s">
        <v>1571</v>
      </c>
      <c r="C92" s="2" t="s">
        <v>1572</v>
      </c>
      <c r="D92" s="2" t="n">
        <v>12</v>
      </c>
      <c r="E92" s="2" t="n">
        <v>14</v>
      </c>
      <c r="F92" s="21" t="n">
        <f aca="false">INDEX('Scored Accounts'!$Q$2:$Q$301,MATCH($A92,'Scored Accounts'!$A$2:$A$301,0))</f>
        <v>0</v>
      </c>
      <c r="G92" s="2" t="str">
        <f aca="false">INDEX('Scored Accounts'!$R$2:$R$301,MATCH($A92,'Scored Accounts'!$A$2:$A$301,0))</f>
        <v>Low</v>
      </c>
      <c r="H92" s="2" t="str">
        <f aca="false">IF(OR(G92="High",G92="Medium"),"Broker-Reliant",IF(AND(G92="Low",B92="Account Managed"),"AM-Owned / Self-Serving",IF(AND(G92="Low",B92="Self Serve"),"Self-Serve","UNASSIGNED")))</f>
        <v>AM-Owned / Self-Serving</v>
      </c>
      <c r="I92" s="9" t="n">
        <v>982</v>
      </c>
      <c r="J92" s="2" t="str">
        <f aca="false">IF(I92&gt;=Assumptions!$B$35,"Key",IF(I92&gt;=Assumptions!$B$34,"Core","Tail"))</f>
        <v>Tail</v>
      </c>
      <c r="K92" s="9" t="n">
        <f aca="false">INDEX('Commercial View'!$R$2:$R$301,MATCH($A92,'Commercial View'!$A$2:$A$301,0))</f>
        <v>982</v>
      </c>
      <c r="L92" s="9" t="n">
        <f aca="false">INDEX('Commercial View'!$S$2:$S$301,MATCH($A92,'Commercial View'!$A$2:$A$301,0))</f>
        <v>0</v>
      </c>
      <c r="M92" s="17" t="n">
        <f aca="false">INDEX('Commercial View'!$T$2:$T$301,MATCH($A92,'Commercial View'!$A$2:$A$301,0))</f>
        <v>-1</v>
      </c>
      <c r="N92" s="2" t="str">
        <f aca="false">INDEX('Commercial View'!$U$2:$U$301,MATCH($A92,'Commercial View'!$A$2:$A$301,0))</f>
        <v>Lapsed</v>
      </c>
      <c r="O92" s="2" t="n">
        <v>3</v>
      </c>
      <c r="P92" s="2" t="n">
        <v>0</v>
      </c>
      <c r="Q92" s="2" t="n">
        <v>3</v>
      </c>
      <c r="R92" s="2" t="n">
        <v>30</v>
      </c>
      <c r="S92" s="2" t="n">
        <v>4</v>
      </c>
      <c r="T92" s="2" t="str">
        <f aca="false">IF(H92="Broker-Reliant",IF(J92="Tail","5. Cost-to-Serve / Low-Touch",IF(OR(N92="Growing",N92="Stable"),"1. Migration Candidate",IF(N92="Declining","2. Protect / Retain First",IF(N92="Lapsed","3. Win-Back / Verify",IF(N92="H2 Active / No H1 GMV","4. Establish / Re-establish / Observe","UNASSIGNED"))))),IF(G92="Low",IF(J92="Tail","9. Long-Tail Automated Nurture",IF(OR(N92="Growing",N92="Stable"),"6. Growth Opportunity",IF(N92="H2 Active / No H1 GMV","7. Onboard / Re-engage / Learn",IF(OR(N92="Declining",N92="Lapsed"),"8. Retention / Reactivation","UNASSIGNED")))),"UNASSIGNED"))</f>
        <v>9. Long-Tail Automated Nurture</v>
      </c>
      <c r="U92" s="10" t="b">
        <f aca="false">AND(T92="1. Migration Candidate",J92="Core",O92&gt;=Assumptions!$B$39,Q92&gt;=Assumptions!$B$40,NOT(Z92))</f>
        <v>0</v>
      </c>
      <c r="V92" s="2" t="n">
        <f aca="false">(AND(H92="Broker-Reliant",J92&lt;&gt;"Tail",OR(N92="Growing",N92="Stable")))*1+(AND(H92="Broker-Reliant",J92&lt;&gt;"Tail",N92="Declining"))*1+(AND(H92="Broker-Reliant",J92&lt;&gt;"Tail",N92="Lapsed"))*1+(AND(H92="Broker-Reliant",J92&lt;&gt;"Tail",N92="H2 Active / No H1 GMV"))*1+(AND(H92="Broker-Reliant",J92="Tail"))*1+(AND(G92="Low",J92&lt;&gt;"Tail",OR(N92="Growing",N92="Stable")))*1+(AND(G92="Low",J92&lt;&gt;"Tail",N92="H2 Active / No H1 GMV"))*1+(AND(G92="Low",J92&lt;&gt;"Tail",OR(N92="Declining",N92="Lapsed")))*1+(AND(G92="Low",J92="Tail"))*1</f>
        <v>1</v>
      </c>
      <c r="W92" s="2" t="n">
        <f aca="false">INDEX('Commercial View'!$V$2:$V$301,MATCH($A92,'Commercial View'!$A$2:$A$301,0))</f>
        <v>1</v>
      </c>
      <c r="X92" s="10" t="b">
        <f aca="false">O92&lt;=Assumptions!$B$30</f>
        <v>0</v>
      </c>
      <c r="Y92" s="10" t="b">
        <f aca="false">W92&lt;=1</f>
        <v>1</v>
      </c>
      <c r="Z92" s="10" t="b">
        <f aca="false">C92="Duplicate"</f>
        <v>0</v>
      </c>
      <c r="AA92" s="10" t="b">
        <f aca="false">C92=""</f>
        <v>0</v>
      </c>
      <c r="AB92" s="2" t="n">
        <f aca="false">IF(P92+Q92&gt;0,ROUND(P92/(P92+Q92)*100,0),"")</f>
        <v>0</v>
      </c>
      <c r="AC92" s="2" t="n">
        <f aca="false">IF(P92+Q92&gt;0,ROUND(E92-P92/(P92+Q92)*100,0),"")</f>
        <v>14</v>
      </c>
      <c r="AD92" s="10" t="b">
        <f aca="false">IF(AC92="",FALSE(),ABS(AC92)&gt;Assumptions!$B$41)</f>
        <v>1</v>
      </c>
      <c r="AE92" s="2" t="str">
        <f aca="false">IF(X92,"Low confidence (&lt;=2 orders); ","")&amp;IF(Y92,"Single-month history; ","")&amp;IF(Z92,"CRITICAL: Duplicate status; ","")&amp;IF(AA92,"Missing status; ","")&amp;IF(AD92,"Broker % vs counts gap "&amp;TEXT(AC92,"+0;-0")&amp;"pts; ","")</f>
        <v>Single-month history; Broker % vs counts gap +14pts; </v>
      </c>
      <c r="AF92" s="2" t="str">
        <f aca="false">IF(AND(K92=0,L92&gt;0),IF(D92&lt;=Assumptions!$B$47,"New Customer","Returned Customer"),"Existing Customer")</f>
        <v>Existing Customer</v>
      </c>
      <c r="AG92" s="10" t="b">
        <f aca="false">AND(T92="1. Migration Candidate",J92="Key")</f>
        <v>0</v>
      </c>
      <c r="AH92" s="10" t="b">
        <f aca="false">IF(AND(K92&gt;0,L92&gt;0),OR(ABS(M92-Assumptions!$B$36)&lt;=Assumptions!$B$46,ABS(M92+Assumptions!$B$36)&lt;=Assumptions!$B$46),FALSE())</f>
        <v>0</v>
      </c>
      <c r="AI92" s="9" t="n">
        <f aca="false">INDEX('Commercial View'!$L$2:$L$301,MATCH($A92,'Commercial View'!$A$2:$A$301,0))+INDEX('Commercial View'!$M$2:$M$301,MATCH($A92,'Commercial View'!$A$2:$A$301,0))</f>
        <v>0</v>
      </c>
      <c r="AJ92" s="2" t="str">
        <f aca="false">IF(AND(K92=0,AI92=0),"No activity ex-Feb",IF(AI92=0,"Lapsed",IF(K92=0,"H2 Active / No H1 GMV",IF((AI92/2)/(K92/3)-1&gt;=Assumptions!$B$36,"Growing",IF((AI92/2)/(K92/3)-1&lt;-Assumptions!$B$36,"Declining","Stable")))))</f>
        <v>Lapsed</v>
      </c>
      <c r="AK92" s="10" t="b">
        <f aca="false">IF(OR(N92="Growing",N92="Stable"),"Healthy",N92)&lt;&gt;IF(OR(AJ92="Growing",AJ92="Stable"),"Healthy",AJ92)</f>
        <v>0</v>
      </c>
      <c r="AL92" s="2" t="str">
        <f aca="false">IF(N92="Lapsed",IF(OR(O92&lt;=Assumptions!$B$48,W92&lt;=Assumptions!$B$49),"One-Off / Insufficient History — Verify","Established Buyer Lapsed"),"N/A")</f>
        <v>One-Off / Insufficient History — Verify</v>
      </c>
      <c r="AM92" s="2" t="n">
        <f aca="false">INDEX('Scored Accounts'!$M$2:$M$301,MATCH($A92,'Scored Accounts'!$A$2:$A$301,0))</f>
        <v>0</v>
      </c>
      <c r="AN92" s="2" t="n">
        <f aca="false">IF((P92/(P92+Q92)*100)&lt;=Assumptions!$B$13,0,IF((P92/(P92+Q92)*100)&lt;Assumptions!$B$14,25,IF((P92/(P92+Q92)*100)&lt;Assumptions!$B$15,50,IF((P92/(P92+Q92)*100)&lt;Assumptions!$B$16,75,100))))</f>
        <v>0</v>
      </c>
      <c r="AO92" s="21" t="n">
        <f aca="false">IF((P92/(P92+Q92)*100)&lt;=Assumptions!$B$8,0,AN92*Assumptions!$B$4+INDEX('Scored Accounts'!$N$2:$N$301,MATCH($A92,'Scored Accounts'!$A$2:$A$301,0))*Assumptions!$B$5+INDEX('Scored Accounts'!$O$2:$O$301,MATCH($A92,'Scored Accounts'!$A$2:$A$301,0))*Assumptions!$B$6)</f>
        <v>0</v>
      </c>
      <c r="AP92" s="2" t="str">
        <f aca="false">IF(AO92&gt;=Assumptions!$B$9,"High",IF(AO92&gt;=Assumptions!$B$10,"Medium","Low"))</f>
        <v>Low</v>
      </c>
      <c r="AQ92" s="10" t="b">
        <f aca="false">OR((E92&lt;=Assumptions!$B$8)&lt;&gt;((P92/(P92+Q92)*100)&lt;=Assumptions!$B$8),AM92&lt;&gt;AN92,G92&lt;&gt;AP92)</f>
        <v>0</v>
      </c>
      <c r="AR92" s="2" t="str">
        <f aca="false">IF(AP92&lt;&gt;"Low","Broker-Reliant",IF(B92="Account Managed","AM-Owned / Self-Serving","Self-Serve"))</f>
        <v>AM-Owned / Self-Serving</v>
      </c>
      <c r="AS92" s="2" t="str">
        <f aca="false">IF(AR92="Broker-Reliant",IF(J92="Tail","5. Cost-to-Serve / Low-Touch",IF(OR(N92="Growing",N92="Stable"),"1. Migration Candidate",IF(N92="Declining","2. Protect / Retain First",IF(N92="Lapsed","3. Win-Back / Verify",IF(N92="H2 Active / No H1 GMV","4. Establish / Re-establish / Observe","UNASSIGNED"))))),IF(AP92="Low",IF(J92="Tail","9. Long-Tail Automated Nurture",IF(OR(N92="Growing",N92="Stable"),"6. Growth Opportunity",IF(N92="H2 Active / No H1 GMV","7. Onboard / Re-engage / Learn",IF(OR(N92="Declining",N92="Lapsed"),"8. Retention / Reactivation","UNASSIGNED")))),"UNASSIGNED"))</f>
        <v>9. Long-Tail Automated Nurture</v>
      </c>
      <c r="AT92" s="10" t="b">
        <f aca="false">AS92&lt;&gt;T92</f>
        <v>0</v>
      </c>
      <c r="AU92" s="2" t="str">
        <f aca="false">IF(NOT(U92),"Not Eligible",IF(OR(AQ92,AH92,AK92,NOT(AND(W92&gt;=Assumptions!$B$83,O92&gt;=Assumptions!$B$84))),"Manual Review","Ready"))</f>
        <v>Not Eligible</v>
      </c>
      <c r="AV92" s="2" t="str">
        <f aca="false">IF(AG92,"Key account - human sign-off required; ","")&amp;IF(AH92,"Borderline momentum; ","")&amp;IF(AK92,"February-sensitive ("&amp;N92&amp;" -&gt; "&amp;AJ92&amp;"); ","")&amp;IF(AL92="One-Off / Insufficient History — Verify","Lapsed on thin history - verify; ","")&amp;IF(AQ92,"Material broker % inconsistency (implied tier "&amp;AP92&amp;"); ","")&amp;IF(AT92,"Implied broker % would move segment to "&amp;AS92&amp;"; ","")</f>
        <v>Lapsed on thin history - verify; </v>
      </c>
      <c r="AW92" s="10" t="b">
        <f aca="false">AND(G92="Low",J92="Tail",I92&gt;=Assumptions!$B$64,O92&gt;=Assumptions!$B$65,OR(N92="Growing",N92="Stable",AND(N92="H2 Active / No H1 GMV",W92&gt;=2)),OR(R92&gt;=Assumptions!$B$66,S92&gt;=Assumptions!$B$67))</f>
        <v>0</v>
      </c>
    </row>
    <row r="93" customFormat="false" ht="15" hidden="false" customHeight="false" outlineLevel="0" collapsed="false">
      <c r="A93" s="2" t="s">
        <v>620</v>
      </c>
      <c r="B93" s="2" t="s">
        <v>1571</v>
      </c>
      <c r="C93" s="2" t="s">
        <v>1572</v>
      </c>
      <c r="D93" s="2" t="n">
        <v>25</v>
      </c>
      <c r="E93" s="2" t="n">
        <v>14</v>
      </c>
      <c r="F93" s="21" t="n">
        <f aca="false">INDEX('Scored Accounts'!$Q$2:$Q$301,MATCH($A93,'Scored Accounts'!$A$2:$A$301,0))</f>
        <v>0</v>
      </c>
      <c r="G93" s="2" t="str">
        <f aca="false">INDEX('Scored Accounts'!$R$2:$R$301,MATCH($A93,'Scored Accounts'!$A$2:$A$301,0))</f>
        <v>Low</v>
      </c>
      <c r="H93" s="2" t="str">
        <f aca="false">IF(OR(G93="High",G93="Medium"),"Broker-Reliant",IF(AND(G93="Low",B93="Account Managed"),"AM-Owned / Self-Serving",IF(AND(G93="Low",B93="Self Serve"),"Self-Serve","UNASSIGNED")))</f>
        <v>AM-Owned / Self-Serving</v>
      </c>
      <c r="I93" s="9" t="n">
        <v>944</v>
      </c>
      <c r="J93" s="2" t="str">
        <f aca="false">IF(I93&gt;=Assumptions!$B$35,"Key",IF(I93&gt;=Assumptions!$B$34,"Core","Tail"))</f>
        <v>Tail</v>
      </c>
      <c r="K93" s="9" t="n">
        <f aca="false">INDEX('Commercial View'!$R$2:$R$301,MATCH($A93,'Commercial View'!$A$2:$A$301,0))</f>
        <v>944</v>
      </c>
      <c r="L93" s="9" t="n">
        <f aca="false">INDEX('Commercial View'!$S$2:$S$301,MATCH($A93,'Commercial View'!$A$2:$A$301,0))</f>
        <v>0</v>
      </c>
      <c r="M93" s="17" t="n">
        <f aca="false">INDEX('Commercial View'!$T$2:$T$301,MATCH($A93,'Commercial View'!$A$2:$A$301,0))</f>
        <v>-1</v>
      </c>
      <c r="N93" s="2" t="str">
        <f aca="false">INDEX('Commercial View'!$U$2:$U$301,MATCH($A93,'Commercial View'!$A$2:$A$301,0))</f>
        <v>Lapsed</v>
      </c>
      <c r="O93" s="2" t="n">
        <v>2</v>
      </c>
      <c r="P93" s="2" t="n">
        <v>0</v>
      </c>
      <c r="Q93" s="2" t="n">
        <v>2</v>
      </c>
      <c r="R93" s="2" t="n">
        <v>19</v>
      </c>
      <c r="S93" s="2" t="n">
        <v>1</v>
      </c>
      <c r="T93" s="2" t="str">
        <f aca="false">IF(H93="Broker-Reliant",IF(J93="Tail","5. Cost-to-Serve / Low-Touch",IF(OR(N93="Growing",N93="Stable"),"1. Migration Candidate",IF(N93="Declining","2. Protect / Retain First",IF(N93="Lapsed","3. Win-Back / Verify",IF(N93="H2 Active / No H1 GMV","4. Establish / Re-establish / Observe","UNASSIGNED"))))),IF(G93="Low",IF(J93="Tail","9. Long-Tail Automated Nurture",IF(OR(N93="Growing",N93="Stable"),"6. Growth Opportunity",IF(N93="H2 Active / No H1 GMV","7. Onboard / Re-engage / Learn",IF(OR(N93="Declining",N93="Lapsed"),"8. Retention / Reactivation","UNASSIGNED")))),"UNASSIGNED"))</f>
        <v>9. Long-Tail Automated Nurture</v>
      </c>
      <c r="U93" s="10" t="b">
        <f aca="false">AND(T93="1. Migration Candidate",J93="Core",O93&gt;=Assumptions!$B$39,Q93&gt;=Assumptions!$B$40,NOT(Z93))</f>
        <v>0</v>
      </c>
      <c r="V93" s="2" t="n">
        <f aca="false">(AND(H93="Broker-Reliant",J93&lt;&gt;"Tail",OR(N93="Growing",N93="Stable")))*1+(AND(H93="Broker-Reliant",J93&lt;&gt;"Tail",N93="Declining"))*1+(AND(H93="Broker-Reliant",J93&lt;&gt;"Tail",N93="Lapsed"))*1+(AND(H93="Broker-Reliant",J93&lt;&gt;"Tail",N93="H2 Active / No H1 GMV"))*1+(AND(H93="Broker-Reliant",J93="Tail"))*1+(AND(G93="Low",J93&lt;&gt;"Tail",OR(N93="Growing",N93="Stable")))*1+(AND(G93="Low",J93&lt;&gt;"Tail",N93="H2 Active / No H1 GMV"))*1+(AND(G93="Low",J93&lt;&gt;"Tail",OR(N93="Declining",N93="Lapsed")))*1+(AND(G93="Low",J93="Tail"))*1</f>
        <v>1</v>
      </c>
      <c r="W93" s="2" t="n">
        <f aca="false">INDEX('Commercial View'!$V$2:$V$301,MATCH($A93,'Commercial View'!$A$2:$A$301,0))</f>
        <v>2</v>
      </c>
      <c r="X93" s="10" t="b">
        <f aca="false">O93&lt;=Assumptions!$B$30</f>
        <v>1</v>
      </c>
      <c r="Y93" s="10" t="b">
        <f aca="false">W93&lt;=1</f>
        <v>0</v>
      </c>
      <c r="Z93" s="10" t="b">
        <f aca="false">C93="Duplicate"</f>
        <v>0</v>
      </c>
      <c r="AA93" s="10" t="b">
        <f aca="false">C93=""</f>
        <v>0</v>
      </c>
      <c r="AB93" s="2" t="n">
        <f aca="false">IF(P93+Q93&gt;0,ROUND(P93/(P93+Q93)*100,0),"")</f>
        <v>0</v>
      </c>
      <c r="AC93" s="2" t="n">
        <f aca="false">IF(P93+Q93&gt;0,ROUND(E93-P93/(P93+Q93)*100,0),"")</f>
        <v>14</v>
      </c>
      <c r="AD93" s="10" t="b">
        <f aca="false">IF(AC93="",FALSE(),ABS(AC93)&gt;Assumptions!$B$41)</f>
        <v>1</v>
      </c>
      <c r="AE93" s="2" t="str">
        <f aca="false">IF(X93,"Low confidence (&lt;=2 orders); ","")&amp;IF(Y93,"Single-month history; ","")&amp;IF(Z93,"CRITICAL: Duplicate status; ","")&amp;IF(AA93,"Missing status; ","")&amp;IF(AD93,"Broker % vs counts gap "&amp;TEXT(AC93,"+0;-0")&amp;"pts; ","")</f>
        <v>Low confidence (&lt;=2 orders); Broker % vs counts gap +14pts; </v>
      </c>
      <c r="AF93" s="2" t="str">
        <f aca="false">IF(AND(K93=0,L93&gt;0),IF(D93&lt;=Assumptions!$B$47,"New Customer","Returned Customer"),"Existing Customer")</f>
        <v>Existing Customer</v>
      </c>
      <c r="AG93" s="10" t="b">
        <f aca="false">AND(T93="1. Migration Candidate",J93="Key")</f>
        <v>0</v>
      </c>
      <c r="AH93" s="10" t="b">
        <f aca="false">IF(AND(K93&gt;0,L93&gt;0),OR(ABS(M93-Assumptions!$B$36)&lt;=Assumptions!$B$46,ABS(M93+Assumptions!$B$36)&lt;=Assumptions!$B$46),FALSE())</f>
        <v>0</v>
      </c>
      <c r="AI93" s="9" t="n">
        <f aca="false">INDEX('Commercial View'!$L$2:$L$301,MATCH($A93,'Commercial View'!$A$2:$A$301,0))+INDEX('Commercial View'!$M$2:$M$301,MATCH($A93,'Commercial View'!$A$2:$A$301,0))</f>
        <v>0</v>
      </c>
      <c r="AJ93" s="2" t="str">
        <f aca="false">IF(AND(K93=0,AI93=0),"No activity ex-Feb",IF(AI93=0,"Lapsed",IF(K93=0,"H2 Active / No H1 GMV",IF((AI93/2)/(K93/3)-1&gt;=Assumptions!$B$36,"Growing",IF((AI93/2)/(K93/3)-1&lt;-Assumptions!$B$36,"Declining","Stable")))))</f>
        <v>Lapsed</v>
      </c>
      <c r="AK93" s="10" t="b">
        <f aca="false">IF(OR(N93="Growing",N93="Stable"),"Healthy",N93)&lt;&gt;IF(OR(AJ93="Growing",AJ93="Stable"),"Healthy",AJ93)</f>
        <v>0</v>
      </c>
      <c r="AL93" s="2" t="str">
        <f aca="false">IF(N93="Lapsed",IF(OR(O93&lt;=Assumptions!$B$48,W93&lt;=Assumptions!$B$49),"One-Off / Insufficient History — Verify","Established Buyer Lapsed"),"N/A")</f>
        <v>One-Off / Insufficient History — Verify</v>
      </c>
      <c r="AM93" s="2" t="n">
        <f aca="false">INDEX('Scored Accounts'!$M$2:$M$301,MATCH($A93,'Scored Accounts'!$A$2:$A$301,0))</f>
        <v>0</v>
      </c>
      <c r="AN93" s="2" t="n">
        <f aca="false">IF((P93/(P93+Q93)*100)&lt;=Assumptions!$B$13,0,IF((P93/(P93+Q93)*100)&lt;Assumptions!$B$14,25,IF((P93/(P93+Q93)*100)&lt;Assumptions!$B$15,50,IF((P93/(P93+Q93)*100)&lt;Assumptions!$B$16,75,100))))</f>
        <v>0</v>
      </c>
      <c r="AO93" s="21" t="n">
        <f aca="false">IF((P93/(P93+Q93)*100)&lt;=Assumptions!$B$8,0,AN93*Assumptions!$B$4+INDEX('Scored Accounts'!$N$2:$N$301,MATCH($A93,'Scored Accounts'!$A$2:$A$301,0))*Assumptions!$B$5+INDEX('Scored Accounts'!$O$2:$O$301,MATCH($A93,'Scored Accounts'!$A$2:$A$301,0))*Assumptions!$B$6)</f>
        <v>0</v>
      </c>
      <c r="AP93" s="2" t="str">
        <f aca="false">IF(AO93&gt;=Assumptions!$B$9,"High",IF(AO93&gt;=Assumptions!$B$10,"Medium","Low"))</f>
        <v>Low</v>
      </c>
      <c r="AQ93" s="10" t="b">
        <f aca="false">OR((E93&lt;=Assumptions!$B$8)&lt;&gt;((P93/(P93+Q93)*100)&lt;=Assumptions!$B$8),AM93&lt;&gt;AN93,G93&lt;&gt;AP93)</f>
        <v>0</v>
      </c>
      <c r="AR93" s="2" t="str">
        <f aca="false">IF(AP93&lt;&gt;"Low","Broker-Reliant",IF(B93="Account Managed","AM-Owned / Self-Serving","Self-Serve"))</f>
        <v>AM-Owned / Self-Serving</v>
      </c>
      <c r="AS93" s="2" t="str">
        <f aca="false">IF(AR93="Broker-Reliant",IF(J93="Tail","5. Cost-to-Serve / Low-Touch",IF(OR(N93="Growing",N93="Stable"),"1. Migration Candidate",IF(N93="Declining","2. Protect / Retain First",IF(N93="Lapsed","3. Win-Back / Verify",IF(N93="H2 Active / No H1 GMV","4. Establish / Re-establish / Observe","UNASSIGNED"))))),IF(AP93="Low",IF(J93="Tail","9. Long-Tail Automated Nurture",IF(OR(N93="Growing",N93="Stable"),"6. Growth Opportunity",IF(N93="H2 Active / No H1 GMV","7. Onboard / Re-engage / Learn",IF(OR(N93="Declining",N93="Lapsed"),"8. Retention / Reactivation","UNASSIGNED")))),"UNASSIGNED"))</f>
        <v>9. Long-Tail Automated Nurture</v>
      </c>
      <c r="AT93" s="10" t="b">
        <f aca="false">AS93&lt;&gt;T93</f>
        <v>0</v>
      </c>
      <c r="AU93" s="2" t="str">
        <f aca="false">IF(NOT(U93),"Not Eligible",IF(OR(AQ93,AH93,AK93,NOT(AND(W93&gt;=Assumptions!$B$83,O93&gt;=Assumptions!$B$84))),"Manual Review","Ready"))</f>
        <v>Not Eligible</v>
      </c>
      <c r="AV93" s="2" t="str">
        <f aca="false">IF(AG93,"Key account - human sign-off required; ","")&amp;IF(AH93,"Borderline momentum; ","")&amp;IF(AK93,"February-sensitive ("&amp;N93&amp;" -&gt; "&amp;AJ93&amp;"); ","")&amp;IF(AL93="One-Off / Insufficient History — Verify","Lapsed on thin history - verify; ","")&amp;IF(AQ93,"Material broker % inconsistency (implied tier "&amp;AP93&amp;"); ","")&amp;IF(AT93,"Implied broker % would move segment to "&amp;AS93&amp;"; ","")</f>
        <v>Lapsed on thin history - verify; </v>
      </c>
      <c r="AW93" s="10" t="b">
        <f aca="false">AND(G93="Low",J93="Tail",I93&gt;=Assumptions!$B$64,O93&gt;=Assumptions!$B$65,OR(N93="Growing",N93="Stable",AND(N93="H2 Active / No H1 GMV",W93&gt;=2)),OR(R93&gt;=Assumptions!$B$66,S93&gt;=Assumptions!$B$67))</f>
        <v>0</v>
      </c>
    </row>
    <row r="94" customFormat="false" ht="15" hidden="false" customHeight="false" outlineLevel="0" collapsed="false">
      <c r="A94" s="2" t="s">
        <v>624</v>
      </c>
      <c r="B94" s="2" t="s">
        <v>1571</v>
      </c>
      <c r="C94" s="2" t="s">
        <v>1572</v>
      </c>
      <c r="D94" s="2" t="n">
        <v>6</v>
      </c>
      <c r="E94" s="2" t="n">
        <v>12</v>
      </c>
      <c r="F94" s="21" t="n">
        <f aca="false">INDEX('Scored Accounts'!$Q$2:$Q$301,MATCH($A94,'Scored Accounts'!$A$2:$A$301,0))</f>
        <v>0</v>
      </c>
      <c r="G94" s="2" t="str">
        <f aca="false">INDEX('Scored Accounts'!$R$2:$R$301,MATCH($A94,'Scored Accounts'!$A$2:$A$301,0))</f>
        <v>Low</v>
      </c>
      <c r="H94" s="2" t="str">
        <f aca="false">IF(OR(G94="High",G94="Medium"),"Broker-Reliant",IF(AND(G94="Low",B94="Account Managed"),"AM-Owned / Self-Serving",IF(AND(G94="Low",B94="Self Serve"),"Self-Serve","UNASSIGNED")))</f>
        <v>AM-Owned / Self-Serving</v>
      </c>
      <c r="I94" s="9" t="n">
        <v>908</v>
      </c>
      <c r="J94" s="2" t="str">
        <f aca="false">IF(I94&gt;=Assumptions!$B$35,"Key",IF(I94&gt;=Assumptions!$B$34,"Core","Tail"))</f>
        <v>Tail</v>
      </c>
      <c r="K94" s="9" t="n">
        <f aca="false">INDEX('Commercial View'!$R$2:$R$301,MATCH($A94,'Commercial View'!$A$2:$A$301,0))</f>
        <v>321</v>
      </c>
      <c r="L94" s="9" t="n">
        <f aca="false">INDEX('Commercial View'!$S$2:$S$301,MATCH($A94,'Commercial View'!$A$2:$A$301,0))</f>
        <v>589</v>
      </c>
      <c r="M94" s="17" t="n">
        <f aca="false">INDEX('Commercial View'!$T$2:$T$301,MATCH($A94,'Commercial View'!$A$2:$A$301,0))</f>
        <v>0.834890965732087</v>
      </c>
      <c r="N94" s="2" t="str">
        <f aca="false">INDEX('Commercial View'!$U$2:$U$301,MATCH($A94,'Commercial View'!$A$2:$A$301,0))</f>
        <v>Growing</v>
      </c>
      <c r="O94" s="2" t="n">
        <v>4</v>
      </c>
      <c r="P94" s="2" t="n">
        <v>0</v>
      </c>
      <c r="Q94" s="2" t="n">
        <v>4</v>
      </c>
      <c r="R94" s="2" t="n">
        <v>30</v>
      </c>
      <c r="S94" s="2" t="n">
        <v>4</v>
      </c>
      <c r="T94" s="2" t="str">
        <f aca="false">IF(H94="Broker-Reliant",IF(J94="Tail","5. Cost-to-Serve / Low-Touch",IF(OR(N94="Growing",N94="Stable"),"1. Migration Candidate",IF(N94="Declining","2. Protect / Retain First",IF(N94="Lapsed","3. Win-Back / Verify",IF(N94="H2 Active / No H1 GMV","4. Establish / Re-establish / Observe","UNASSIGNED"))))),IF(G94="Low",IF(J94="Tail","9. Long-Tail Automated Nurture",IF(OR(N94="Growing",N94="Stable"),"6. Growth Opportunity",IF(N94="H2 Active / No H1 GMV","7. Onboard / Re-engage / Learn",IF(OR(N94="Declining",N94="Lapsed"),"8. Retention / Reactivation","UNASSIGNED")))),"UNASSIGNED"))</f>
        <v>9. Long-Tail Automated Nurture</v>
      </c>
      <c r="U94" s="10" t="b">
        <f aca="false">AND(T94="1. Migration Candidate",J94="Core",O94&gt;=Assumptions!$B$39,Q94&gt;=Assumptions!$B$40,NOT(Z94))</f>
        <v>0</v>
      </c>
      <c r="V94" s="2" t="n">
        <f aca="false">(AND(H94="Broker-Reliant",J94&lt;&gt;"Tail",OR(N94="Growing",N94="Stable")))*1+(AND(H94="Broker-Reliant",J94&lt;&gt;"Tail",N94="Declining"))*1+(AND(H94="Broker-Reliant",J94&lt;&gt;"Tail",N94="Lapsed"))*1+(AND(H94="Broker-Reliant",J94&lt;&gt;"Tail",N94="H2 Active / No H1 GMV"))*1+(AND(H94="Broker-Reliant",J94="Tail"))*1+(AND(G94="Low",J94&lt;&gt;"Tail",OR(N94="Growing",N94="Stable")))*1+(AND(G94="Low",J94&lt;&gt;"Tail",N94="H2 Active / No H1 GMV"))*1+(AND(G94="Low",J94&lt;&gt;"Tail",OR(N94="Declining",N94="Lapsed")))*1+(AND(G94="Low",J94="Tail"))*1</f>
        <v>1</v>
      </c>
      <c r="W94" s="2" t="n">
        <f aca="false">INDEX('Commercial View'!$V$2:$V$301,MATCH($A94,'Commercial View'!$A$2:$A$301,0))</f>
        <v>4</v>
      </c>
      <c r="X94" s="10" t="b">
        <f aca="false">O94&lt;=Assumptions!$B$30</f>
        <v>0</v>
      </c>
      <c r="Y94" s="10" t="b">
        <f aca="false">W94&lt;=1</f>
        <v>0</v>
      </c>
      <c r="Z94" s="10" t="b">
        <f aca="false">C94="Duplicate"</f>
        <v>0</v>
      </c>
      <c r="AA94" s="10" t="b">
        <f aca="false">C94=""</f>
        <v>0</v>
      </c>
      <c r="AB94" s="2" t="n">
        <f aca="false">IF(P94+Q94&gt;0,ROUND(P94/(P94+Q94)*100,0),"")</f>
        <v>0</v>
      </c>
      <c r="AC94" s="2" t="n">
        <f aca="false">IF(P94+Q94&gt;0,ROUND(E94-P94/(P94+Q94)*100,0),"")</f>
        <v>12</v>
      </c>
      <c r="AD94" s="10" t="b">
        <f aca="false">IF(AC94="",FALSE(),ABS(AC94)&gt;Assumptions!$B$41)</f>
        <v>1</v>
      </c>
      <c r="AE94" s="2" t="str">
        <f aca="false">IF(X94,"Low confidence (&lt;=2 orders); ","")&amp;IF(Y94,"Single-month history; ","")&amp;IF(Z94,"CRITICAL: Duplicate status; ","")&amp;IF(AA94,"Missing status; ","")&amp;IF(AD94,"Broker % vs counts gap "&amp;TEXT(AC94,"+0;-0")&amp;"pts; ","")</f>
        <v>Broker % vs counts gap +12pts; </v>
      </c>
      <c r="AF94" s="2" t="str">
        <f aca="false">IF(AND(K94=0,L94&gt;0),IF(D94&lt;=Assumptions!$B$47,"New Customer","Returned Customer"),"Existing Customer")</f>
        <v>Existing Customer</v>
      </c>
      <c r="AG94" s="10" t="b">
        <f aca="false">AND(T94="1. Migration Candidate",J94="Key")</f>
        <v>0</v>
      </c>
      <c r="AH94" s="10" t="b">
        <f aca="false">IF(AND(K94&gt;0,L94&gt;0),OR(ABS(M94-Assumptions!$B$36)&lt;=Assumptions!$B$46,ABS(M94+Assumptions!$B$36)&lt;=Assumptions!$B$46),FALSE())</f>
        <v>0</v>
      </c>
      <c r="AI94" s="9" t="n">
        <f aca="false">INDEX('Commercial View'!$L$2:$L$301,MATCH($A94,'Commercial View'!$A$2:$A$301,0))+INDEX('Commercial View'!$M$2:$M$301,MATCH($A94,'Commercial View'!$A$2:$A$301,0))</f>
        <v>589</v>
      </c>
      <c r="AJ94" s="2" t="str">
        <f aca="false">IF(AND(K94=0,AI94=0),"No activity ex-Feb",IF(AI94=0,"Lapsed",IF(K94=0,"H2 Active / No H1 GMV",IF((AI94/2)/(K94/3)-1&gt;=Assumptions!$B$36,"Growing",IF((AI94/2)/(K94/3)-1&lt;-Assumptions!$B$36,"Declining","Stable")))))</f>
        <v>Growing</v>
      </c>
      <c r="AK94" s="10" t="b">
        <f aca="false">IF(OR(N94="Growing",N94="Stable"),"Healthy",N94)&lt;&gt;IF(OR(AJ94="Growing",AJ94="Stable"),"Healthy",AJ94)</f>
        <v>0</v>
      </c>
      <c r="AL94" s="2" t="str">
        <f aca="false">IF(N94="Lapsed",IF(OR(O94&lt;=Assumptions!$B$48,W94&lt;=Assumptions!$B$49),"One-Off / Insufficient History — Verify","Established Buyer Lapsed"),"N/A")</f>
        <v>N/A</v>
      </c>
      <c r="AM94" s="2" t="n">
        <f aca="false">INDEX('Scored Accounts'!$M$2:$M$301,MATCH($A94,'Scored Accounts'!$A$2:$A$301,0))</f>
        <v>0</v>
      </c>
      <c r="AN94" s="2" t="n">
        <f aca="false">IF((P94/(P94+Q94)*100)&lt;=Assumptions!$B$13,0,IF((P94/(P94+Q94)*100)&lt;Assumptions!$B$14,25,IF((P94/(P94+Q94)*100)&lt;Assumptions!$B$15,50,IF((P94/(P94+Q94)*100)&lt;Assumptions!$B$16,75,100))))</f>
        <v>0</v>
      </c>
      <c r="AO94" s="21" t="n">
        <f aca="false">IF((P94/(P94+Q94)*100)&lt;=Assumptions!$B$8,0,AN94*Assumptions!$B$4+INDEX('Scored Accounts'!$N$2:$N$301,MATCH($A94,'Scored Accounts'!$A$2:$A$301,0))*Assumptions!$B$5+INDEX('Scored Accounts'!$O$2:$O$301,MATCH($A94,'Scored Accounts'!$A$2:$A$301,0))*Assumptions!$B$6)</f>
        <v>0</v>
      </c>
      <c r="AP94" s="2" t="str">
        <f aca="false">IF(AO94&gt;=Assumptions!$B$9,"High",IF(AO94&gt;=Assumptions!$B$10,"Medium","Low"))</f>
        <v>Low</v>
      </c>
      <c r="AQ94" s="10" t="b">
        <f aca="false">OR((E94&lt;=Assumptions!$B$8)&lt;&gt;((P94/(P94+Q94)*100)&lt;=Assumptions!$B$8),AM94&lt;&gt;AN94,G94&lt;&gt;AP94)</f>
        <v>0</v>
      </c>
      <c r="AR94" s="2" t="str">
        <f aca="false">IF(AP94&lt;&gt;"Low","Broker-Reliant",IF(B94="Account Managed","AM-Owned / Self-Serving","Self-Serve"))</f>
        <v>AM-Owned / Self-Serving</v>
      </c>
      <c r="AS94" s="2" t="str">
        <f aca="false">IF(AR94="Broker-Reliant",IF(J94="Tail","5. Cost-to-Serve / Low-Touch",IF(OR(N94="Growing",N94="Stable"),"1. Migration Candidate",IF(N94="Declining","2. Protect / Retain First",IF(N94="Lapsed","3. Win-Back / Verify",IF(N94="H2 Active / No H1 GMV","4. Establish / Re-establish / Observe","UNASSIGNED"))))),IF(AP94="Low",IF(J94="Tail","9. Long-Tail Automated Nurture",IF(OR(N94="Growing",N94="Stable"),"6. Growth Opportunity",IF(N94="H2 Active / No H1 GMV","7. Onboard / Re-engage / Learn",IF(OR(N94="Declining",N94="Lapsed"),"8. Retention / Reactivation","UNASSIGNED")))),"UNASSIGNED"))</f>
        <v>9. Long-Tail Automated Nurture</v>
      </c>
      <c r="AT94" s="10" t="b">
        <f aca="false">AS94&lt;&gt;T94</f>
        <v>0</v>
      </c>
      <c r="AU94" s="2" t="str">
        <f aca="false">IF(NOT(U94),"Not Eligible",IF(OR(AQ94,AH94,AK94,NOT(AND(W94&gt;=Assumptions!$B$83,O94&gt;=Assumptions!$B$84))),"Manual Review","Ready"))</f>
        <v>Not Eligible</v>
      </c>
      <c r="AV94" s="2" t="str">
        <f aca="false">IF(AG94,"Key account - human sign-off required; ","")&amp;IF(AH94,"Borderline momentum; ","")&amp;IF(AK94,"February-sensitive ("&amp;N94&amp;" -&gt; "&amp;AJ94&amp;"); ","")&amp;IF(AL94="One-Off / Insufficient History — Verify","Lapsed on thin history - verify; ","")&amp;IF(AQ94,"Material broker % inconsistency (implied tier "&amp;AP94&amp;"); ","")&amp;IF(AT94,"Implied broker % would move segment to "&amp;AS94&amp;"; ","")</f>
        <v/>
      </c>
      <c r="AW94" s="10" t="b">
        <f aca="false">AND(G94="Low",J94="Tail",I94&gt;=Assumptions!$B$64,O94&gt;=Assumptions!$B$65,OR(N94="Growing",N94="Stable",AND(N94="H2 Active / No H1 GMV",W94&gt;=2)),OR(R94&gt;=Assumptions!$B$66,S94&gt;=Assumptions!$B$67))</f>
        <v>0</v>
      </c>
    </row>
    <row r="95" customFormat="false" ht="15" hidden="false" customHeight="false" outlineLevel="0" collapsed="false">
      <c r="A95" s="2" t="s">
        <v>627</v>
      </c>
      <c r="B95" s="2" t="s">
        <v>1571</v>
      </c>
      <c r="C95" s="2"/>
      <c r="D95" s="2" t="n">
        <v>6</v>
      </c>
      <c r="E95" s="2" t="n">
        <v>6</v>
      </c>
      <c r="F95" s="21" t="n">
        <f aca="false">INDEX('Scored Accounts'!$Q$2:$Q$301,MATCH($A95,'Scored Accounts'!$A$2:$A$301,0))</f>
        <v>0</v>
      </c>
      <c r="G95" s="2" t="str">
        <f aca="false">INDEX('Scored Accounts'!$R$2:$R$301,MATCH($A95,'Scored Accounts'!$A$2:$A$301,0))</f>
        <v>Low</v>
      </c>
      <c r="H95" s="2" t="str">
        <f aca="false">IF(OR(G95="High",G95="Medium"),"Broker-Reliant",IF(AND(G95="Low",B95="Account Managed"),"AM-Owned / Self-Serving",IF(AND(G95="Low",B95="Self Serve"),"Self-Serve","UNASSIGNED")))</f>
        <v>AM-Owned / Self-Serving</v>
      </c>
      <c r="I95" s="9" t="n">
        <v>896</v>
      </c>
      <c r="J95" s="2" t="str">
        <f aca="false">IF(I95&gt;=Assumptions!$B$35,"Key",IF(I95&gt;=Assumptions!$B$34,"Core","Tail"))</f>
        <v>Tail</v>
      </c>
      <c r="K95" s="9" t="n">
        <f aca="false">INDEX('Commercial View'!$R$2:$R$301,MATCH($A95,'Commercial View'!$A$2:$A$301,0))</f>
        <v>896</v>
      </c>
      <c r="L95" s="9" t="n">
        <f aca="false">INDEX('Commercial View'!$S$2:$S$301,MATCH($A95,'Commercial View'!$A$2:$A$301,0))</f>
        <v>0</v>
      </c>
      <c r="M95" s="17" t="n">
        <f aca="false">INDEX('Commercial View'!$T$2:$T$301,MATCH($A95,'Commercial View'!$A$2:$A$301,0))</f>
        <v>-1</v>
      </c>
      <c r="N95" s="2" t="str">
        <f aca="false">INDEX('Commercial View'!$U$2:$U$301,MATCH($A95,'Commercial View'!$A$2:$A$301,0))</f>
        <v>Lapsed</v>
      </c>
      <c r="O95" s="2" t="n">
        <v>2</v>
      </c>
      <c r="P95" s="2" t="n">
        <v>0</v>
      </c>
      <c r="Q95" s="2" t="n">
        <v>2</v>
      </c>
      <c r="R95" s="2" t="n">
        <v>8</v>
      </c>
      <c r="S95" s="2" t="n">
        <v>0</v>
      </c>
      <c r="T95" s="2" t="str">
        <f aca="false">IF(H95="Broker-Reliant",IF(J95="Tail","5. Cost-to-Serve / Low-Touch",IF(OR(N95="Growing",N95="Stable"),"1. Migration Candidate",IF(N95="Declining","2. Protect / Retain First",IF(N95="Lapsed","3. Win-Back / Verify",IF(N95="H2 Active / No H1 GMV","4. Establish / Re-establish / Observe","UNASSIGNED"))))),IF(G95="Low",IF(J95="Tail","9. Long-Tail Automated Nurture",IF(OR(N95="Growing",N95="Stable"),"6. Growth Opportunity",IF(N95="H2 Active / No H1 GMV","7. Onboard / Re-engage / Learn",IF(OR(N95="Declining",N95="Lapsed"),"8. Retention / Reactivation","UNASSIGNED")))),"UNASSIGNED"))</f>
        <v>9. Long-Tail Automated Nurture</v>
      </c>
      <c r="U95" s="10" t="b">
        <f aca="false">AND(T95="1. Migration Candidate",J95="Core",O95&gt;=Assumptions!$B$39,Q95&gt;=Assumptions!$B$40,NOT(Z95))</f>
        <v>0</v>
      </c>
      <c r="V95" s="2" t="n">
        <f aca="false">(AND(H95="Broker-Reliant",J95&lt;&gt;"Tail",OR(N95="Growing",N95="Stable")))*1+(AND(H95="Broker-Reliant",J95&lt;&gt;"Tail",N95="Declining"))*1+(AND(H95="Broker-Reliant",J95&lt;&gt;"Tail",N95="Lapsed"))*1+(AND(H95="Broker-Reliant",J95&lt;&gt;"Tail",N95="H2 Active / No H1 GMV"))*1+(AND(H95="Broker-Reliant",J95="Tail"))*1+(AND(G95="Low",J95&lt;&gt;"Tail",OR(N95="Growing",N95="Stable")))*1+(AND(G95="Low",J95&lt;&gt;"Tail",N95="H2 Active / No H1 GMV"))*1+(AND(G95="Low",J95&lt;&gt;"Tail",OR(N95="Declining",N95="Lapsed")))*1+(AND(G95="Low",J95="Tail"))*1</f>
        <v>1</v>
      </c>
      <c r="W95" s="2" t="n">
        <f aca="false">INDEX('Commercial View'!$V$2:$V$301,MATCH($A95,'Commercial View'!$A$2:$A$301,0))</f>
        <v>2</v>
      </c>
      <c r="X95" s="10" t="b">
        <f aca="false">O95&lt;=Assumptions!$B$30</f>
        <v>1</v>
      </c>
      <c r="Y95" s="10" t="b">
        <f aca="false">W95&lt;=1</f>
        <v>0</v>
      </c>
      <c r="Z95" s="10" t="b">
        <f aca="false">C95="Duplicate"</f>
        <v>0</v>
      </c>
      <c r="AA95" s="10" t="b">
        <f aca="false">C95=""</f>
        <v>1</v>
      </c>
      <c r="AB95" s="2" t="n">
        <f aca="false">IF(P95+Q95&gt;0,ROUND(P95/(P95+Q95)*100,0),"")</f>
        <v>0</v>
      </c>
      <c r="AC95" s="2" t="n">
        <f aca="false">IF(P95+Q95&gt;0,ROUND(E95-P95/(P95+Q95)*100,0),"")</f>
        <v>6</v>
      </c>
      <c r="AD95" s="10" t="b">
        <f aca="false">IF(AC95="",FALSE(),ABS(AC95)&gt;Assumptions!$B$41)</f>
        <v>0</v>
      </c>
      <c r="AE95" s="2" t="str">
        <f aca="false">IF(X95,"Low confidence (&lt;=2 orders); ","")&amp;IF(Y95,"Single-month history; ","")&amp;IF(Z95,"CRITICAL: Duplicate status; ","")&amp;IF(AA95,"Missing status; ","")&amp;IF(AD95,"Broker % vs counts gap "&amp;TEXT(AC95,"+0;-0")&amp;"pts; ","")</f>
        <v>Low confidence (&lt;=2 orders); Missing status; </v>
      </c>
      <c r="AF95" s="2" t="str">
        <f aca="false">IF(AND(K95=0,L95&gt;0),IF(D95&lt;=Assumptions!$B$47,"New Customer","Returned Customer"),"Existing Customer")</f>
        <v>Existing Customer</v>
      </c>
      <c r="AG95" s="10" t="b">
        <f aca="false">AND(T95="1. Migration Candidate",J95="Key")</f>
        <v>0</v>
      </c>
      <c r="AH95" s="10" t="b">
        <f aca="false">IF(AND(K95&gt;0,L95&gt;0),OR(ABS(M95-Assumptions!$B$36)&lt;=Assumptions!$B$46,ABS(M95+Assumptions!$B$36)&lt;=Assumptions!$B$46),FALSE())</f>
        <v>0</v>
      </c>
      <c r="AI95" s="9" t="n">
        <f aca="false">INDEX('Commercial View'!$L$2:$L$301,MATCH($A95,'Commercial View'!$A$2:$A$301,0))+INDEX('Commercial View'!$M$2:$M$301,MATCH($A95,'Commercial View'!$A$2:$A$301,0))</f>
        <v>0</v>
      </c>
      <c r="AJ95" s="2" t="str">
        <f aca="false">IF(AND(K95=0,AI95=0),"No activity ex-Feb",IF(AI95=0,"Lapsed",IF(K95=0,"H2 Active / No H1 GMV",IF((AI95/2)/(K95/3)-1&gt;=Assumptions!$B$36,"Growing",IF((AI95/2)/(K95/3)-1&lt;-Assumptions!$B$36,"Declining","Stable")))))</f>
        <v>Lapsed</v>
      </c>
      <c r="AK95" s="10" t="b">
        <f aca="false">IF(OR(N95="Growing",N95="Stable"),"Healthy",N95)&lt;&gt;IF(OR(AJ95="Growing",AJ95="Stable"),"Healthy",AJ95)</f>
        <v>0</v>
      </c>
      <c r="AL95" s="2" t="str">
        <f aca="false">IF(N95="Lapsed",IF(OR(O95&lt;=Assumptions!$B$48,W95&lt;=Assumptions!$B$49),"One-Off / Insufficient History — Verify","Established Buyer Lapsed"),"N/A")</f>
        <v>One-Off / Insufficient History — Verify</v>
      </c>
      <c r="AM95" s="2" t="n">
        <f aca="false">INDEX('Scored Accounts'!$M$2:$M$301,MATCH($A95,'Scored Accounts'!$A$2:$A$301,0))</f>
        <v>0</v>
      </c>
      <c r="AN95" s="2" t="n">
        <f aca="false">IF((P95/(P95+Q95)*100)&lt;=Assumptions!$B$13,0,IF((P95/(P95+Q95)*100)&lt;Assumptions!$B$14,25,IF((P95/(P95+Q95)*100)&lt;Assumptions!$B$15,50,IF((P95/(P95+Q95)*100)&lt;Assumptions!$B$16,75,100))))</f>
        <v>0</v>
      </c>
      <c r="AO95" s="21" t="n">
        <f aca="false">IF((P95/(P95+Q95)*100)&lt;=Assumptions!$B$8,0,AN95*Assumptions!$B$4+INDEX('Scored Accounts'!$N$2:$N$301,MATCH($A95,'Scored Accounts'!$A$2:$A$301,0))*Assumptions!$B$5+INDEX('Scored Accounts'!$O$2:$O$301,MATCH($A95,'Scored Accounts'!$A$2:$A$301,0))*Assumptions!$B$6)</f>
        <v>0</v>
      </c>
      <c r="AP95" s="2" t="str">
        <f aca="false">IF(AO95&gt;=Assumptions!$B$9,"High",IF(AO95&gt;=Assumptions!$B$10,"Medium","Low"))</f>
        <v>Low</v>
      </c>
      <c r="AQ95" s="10" t="b">
        <f aca="false">OR((E95&lt;=Assumptions!$B$8)&lt;&gt;((P95/(P95+Q95)*100)&lt;=Assumptions!$B$8),AM95&lt;&gt;AN95,G95&lt;&gt;AP95)</f>
        <v>0</v>
      </c>
      <c r="AR95" s="2" t="str">
        <f aca="false">IF(AP95&lt;&gt;"Low","Broker-Reliant",IF(B95="Account Managed","AM-Owned / Self-Serving","Self-Serve"))</f>
        <v>AM-Owned / Self-Serving</v>
      </c>
      <c r="AS95" s="2" t="str">
        <f aca="false">IF(AR95="Broker-Reliant",IF(J95="Tail","5. Cost-to-Serve / Low-Touch",IF(OR(N95="Growing",N95="Stable"),"1. Migration Candidate",IF(N95="Declining","2. Protect / Retain First",IF(N95="Lapsed","3. Win-Back / Verify",IF(N95="H2 Active / No H1 GMV","4. Establish / Re-establish / Observe","UNASSIGNED"))))),IF(AP95="Low",IF(J95="Tail","9. Long-Tail Automated Nurture",IF(OR(N95="Growing",N95="Stable"),"6. Growth Opportunity",IF(N95="H2 Active / No H1 GMV","7. Onboard / Re-engage / Learn",IF(OR(N95="Declining",N95="Lapsed"),"8. Retention / Reactivation","UNASSIGNED")))),"UNASSIGNED"))</f>
        <v>9. Long-Tail Automated Nurture</v>
      </c>
      <c r="AT95" s="10" t="b">
        <f aca="false">AS95&lt;&gt;T95</f>
        <v>0</v>
      </c>
      <c r="AU95" s="2" t="str">
        <f aca="false">IF(NOT(U95),"Not Eligible",IF(OR(AQ95,AH95,AK95,NOT(AND(W95&gt;=Assumptions!$B$83,O95&gt;=Assumptions!$B$84))),"Manual Review","Ready"))</f>
        <v>Not Eligible</v>
      </c>
      <c r="AV95" s="2" t="str">
        <f aca="false">IF(AG95,"Key account - human sign-off required; ","")&amp;IF(AH95,"Borderline momentum; ","")&amp;IF(AK95,"February-sensitive ("&amp;N95&amp;" -&gt; "&amp;AJ95&amp;"); ","")&amp;IF(AL95="One-Off / Insufficient History — Verify","Lapsed on thin history - verify; ","")&amp;IF(AQ95,"Material broker % inconsistency (implied tier "&amp;AP95&amp;"); ","")&amp;IF(AT95,"Implied broker % would move segment to "&amp;AS95&amp;"; ","")</f>
        <v>Lapsed on thin history - verify; </v>
      </c>
      <c r="AW95" s="10" t="b">
        <f aca="false">AND(G95="Low",J95="Tail",I95&gt;=Assumptions!$B$64,O95&gt;=Assumptions!$B$65,OR(N95="Growing",N95="Stable",AND(N95="H2 Active / No H1 GMV",W95&gt;=2)),OR(R95&gt;=Assumptions!$B$66,S95&gt;=Assumptions!$B$67))</f>
        <v>0</v>
      </c>
    </row>
    <row r="96" customFormat="false" ht="15" hidden="false" customHeight="false" outlineLevel="0" collapsed="false">
      <c r="A96" s="2" t="s">
        <v>629</v>
      </c>
      <c r="B96" s="2" t="s">
        <v>1571</v>
      </c>
      <c r="C96" s="2" t="s">
        <v>1572</v>
      </c>
      <c r="D96" s="2" t="n">
        <v>9</v>
      </c>
      <c r="E96" s="2" t="n">
        <v>4</v>
      </c>
      <c r="F96" s="21" t="n">
        <f aca="false">INDEX('Scored Accounts'!$Q$2:$Q$301,MATCH($A96,'Scored Accounts'!$A$2:$A$301,0))</f>
        <v>0</v>
      </c>
      <c r="G96" s="2" t="str">
        <f aca="false">INDEX('Scored Accounts'!$R$2:$R$301,MATCH($A96,'Scored Accounts'!$A$2:$A$301,0))</f>
        <v>Low</v>
      </c>
      <c r="H96" s="2" t="str">
        <f aca="false">IF(OR(G96="High",G96="Medium"),"Broker-Reliant",IF(AND(G96="Low",B96="Account Managed"),"AM-Owned / Self-Serving",IF(AND(G96="Low",B96="Self Serve"),"Self-Serve","UNASSIGNED")))</f>
        <v>AM-Owned / Self-Serving</v>
      </c>
      <c r="I96" s="9" t="n">
        <v>892</v>
      </c>
      <c r="J96" s="2" t="str">
        <f aca="false">IF(I96&gt;=Assumptions!$B$35,"Key",IF(I96&gt;=Assumptions!$B$34,"Core","Tail"))</f>
        <v>Tail</v>
      </c>
      <c r="K96" s="9" t="n">
        <f aca="false">INDEX('Commercial View'!$R$2:$R$301,MATCH($A96,'Commercial View'!$A$2:$A$301,0))</f>
        <v>892</v>
      </c>
      <c r="L96" s="9" t="n">
        <f aca="false">INDEX('Commercial View'!$S$2:$S$301,MATCH($A96,'Commercial View'!$A$2:$A$301,0))</f>
        <v>0</v>
      </c>
      <c r="M96" s="17" t="n">
        <f aca="false">INDEX('Commercial View'!$T$2:$T$301,MATCH($A96,'Commercial View'!$A$2:$A$301,0))</f>
        <v>-1</v>
      </c>
      <c r="N96" s="2" t="str">
        <f aca="false">INDEX('Commercial View'!$U$2:$U$301,MATCH($A96,'Commercial View'!$A$2:$A$301,0))</f>
        <v>Lapsed</v>
      </c>
      <c r="O96" s="2" t="n">
        <v>1</v>
      </c>
      <c r="P96" s="2" t="n">
        <v>0</v>
      </c>
      <c r="Q96" s="2" t="n">
        <v>1</v>
      </c>
      <c r="R96" s="2" t="n">
        <v>38</v>
      </c>
      <c r="S96" s="2" t="n">
        <v>0</v>
      </c>
      <c r="T96" s="2" t="str">
        <f aca="false">IF(H96="Broker-Reliant",IF(J96="Tail","5. Cost-to-Serve / Low-Touch",IF(OR(N96="Growing",N96="Stable"),"1. Migration Candidate",IF(N96="Declining","2. Protect / Retain First",IF(N96="Lapsed","3. Win-Back / Verify",IF(N96="H2 Active / No H1 GMV","4. Establish / Re-establish / Observe","UNASSIGNED"))))),IF(G96="Low",IF(J96="Tail","9. Long-Tail Automated Nurture",IF(OR(N96="Growing",N96="Stable"),"6. Growth Opportunity",IF(N96="H2 Active / No H1 GMV","7. Onboard / Re-engage / Learn",IF(OR(N96="Declining",N96="Lapsed"),"8. Retention / Reactivation","UNASSIGNED")))),"UNASSIGNED"))</f>
        <v>9. Long-Tail Automated Nurture</v>
      </c>
      <c r="U96" s="10" t="b">
        <f aca="false">AND(T96="1. Migration Candidate",J96="Core",O96&gt;=Assumptions!$B$39,Q96&gt;=Assumptions!$B$40,NOT(Z96))</f>
        <v>0</v>
      </c>
      <c r="V96" s="2" t="n">
        <f aca="false">(AND(H96="Broker-Reliant",J96&lt;&gt;"Tail",OR(N96="Growing",N96="Stable")))*1+(AND(H96="Broker-Reliant",J96&lt;&gt;"Tail",N96="Declining"))*1+(AND(H96="Broker-Reliant",J96&lt;&gt;"Tail",N96="Lapsed"))*1+(AND(H96="Broker-Reliant",J96&lt;&gt;"Tail",N96="H2 Active / No H1 GMV"))*1+(AND(H96="Broker-Reliant",J96="Tail"))*1+(AND(G96="Low",J96&lt;&gt;"Tail",OR(N96="Growing",N96="Stable")))*1+(AND(G96="Low",J96&lt;&gt;"Tail",N96="H2 Active / No H1 GMV"))*1+(AND(G96="Low",J96&lt;&gt;"Tail",OR(N96="Declining",N96="Lapsed")))*1+(AND(G96="Low",J96="Tail"))*1</f>
        <v>1</v>
      </c>
      <c r="W96" s="2" t="n">
        <f aca="false">INDEX('Commercial View'!$V$2:$V$301,MATCH($A96,'Commercial View'!$A$2:$A$301,0))</f>
        <v>1</v>
      </c>
      <c r="X96" s="10" t="b">
        <f aca="false">O96&lt;=Assumptions!$B$30</f>
        <v>1</v>
      </c>
      <c r="Y96" s="10" t="b">
        <f aca="false">W96&lt;=1</f>
        <v>1</v>
      </c>
      <c r="Z96" s="10" t="b">
        <f aca="false">C96="Duplicate"</f>
        <v>0</v>
      </c>
      <c r="AA96" s="10" t="b">
        <f aca="false">C96=""</f>
        <v>0</v>
      </c>
      <c r="AB96" s="2" t="n">
        <f aca="false">IF(P96+Q96&gt;0,ROUND(P96/(P96+Q96)*100,0),"")</f>
        <v>0</v>
      </c>
      <c r="AC96" s="2" t="n">
        <f aca="false">IF(P96+Q96&gt;0,ROUND(E96-P96/(P96+Q96)*100,0),"")</f>
        <v>4</v>
      </c>
      <c r="AD96" s="10" t="b">
        <f aca="false">IF(AC96="",FALSE(),ABS(AC96)&gt;Assumptions!$B$41)</f>
        <v>0</v>
      </c>
      <c r="AE96" s="2" t="str">
        <f aca="false">IF(X96,"Low confidence (&lt;=2 orders); ","")&amp;IF(Y96,"Single-month history; ","")&amp;IF(Z96,"CRITICAL: Duplicate status; ","")&amp;IF(AA96,"Missing status; ","")&amp;IF(AD96,"Broker % vs counts gap "&amp;TEXT(AC96,"+0;-0")&amp;"pts; ","")</f>
        <v>Low confidence (&lt;=2 orders); Single-month history; </v>
      </c>
      <c r="AF96" s="2" t="str">
        <f aca="false">IF(AND(K96=0,L96&gt;0),IF(D96&lt;=Assumptions!$B$47,"New Customer","Returned Customer"),"Existing Customer")</f>
        <v>Existing Customer</v>
      </c>
      <c r="AG96" s="10" t="b">
        <f aca="false">AND(T96="1. Migration Candidate",J96="Key")</f>
        <v>0</v>
      </c>
      <c r="AH96" s="10" t="b">
        <f aca="false">IF(AND(K96&gt;0,L96&gt;0),OR(ABS(M96-Assumptions!$B$36)&lt;=Assumptions!$B$46,ABS(M96+Assumptions!$B$36)&lt;=Assumptions!$B$46),FALSE())</f>
        <v>0</v>
      </c>
      <c r="AI96" s="9" t="n">
        <f aca="false">INDEX('Commercial View'!$L$2:$L$301,MATCH($A96,'Commercial View'!$A$2:$A$301,0))+INDEX('Commercial View'!$M$2:$M$301,MATCH($A96,'Commercial View'!$A$2:$A$301,0))</f>
        <v>0</v>
      </c>
      <c r="AJ96" s="2" t="str">
        <f aca="false">IF(AND(K96=0,AI96=0),"No activity ex-Feb",IF(AI96=0,"Lapsed",IF(K96=0,"H2 Active / No H1 GMV",IF((AI96/2)/(K96/3)-1&gt;=Assumptions!$B$36,"Growing",IF((AI96/2)/(K96/3)-1&lt;-Assumptions!$B$36,"Declining","Stable")))))</f>
        <v>Lapsed</v>
      </c>
      <c r="AK96" s="10" t="b">
        <f aca="false">IF(OR(N96="Growing",N96="Stable"),"Healthy",N96)&lt;&gt;IF(OR(AJ96="Growing",AJ96="Stable"),"Healthy",AJ96)</f>
        <v>0</v>
      </c>
      <c r="AL96" s="2" t="str">
        <f aca="false">IF(N96="Lapsed",IF(OR(O96&lt;=Assumptions!$B$48,W96&lt;=Assumptions!$B$49),"One-Off / Insufficient History — Verify","Established Buyer Lapsed"),"N/A")</f>
        <v>One-Off / Insufficient History — Verify</v>
      </c>
      <c r="AM96" s="2" t="n">
        <f aca="false">INDEX('Scored Accounts'!$M$2:$M$301,MATCH($A96,'Scored Accounts'!$A$2:$A$301,0))</f>
        <v>0</v>
      </c>
      <c r="AN96" s="2" t="n">
        <f aca="false">IF((P96/(P96+Q96)*100)&lt;=Assumptions!$B$13,0,IF((P96/(P96+Q96)*100)&lt;Assumptions!$B$14,25,IF((P96/(P96+Q96)*100)&lt;Assumptions!$B$15,50,IF((P96/(P96+Q96)*100)&lt;Assumptions!$B$16,75,100))))</f>
        <v>0</v>
      </c>
      <c r="AO96" s="21" t="n">
        <f aca="false">IF((P96/(P96+Q96)*100)&lt;=Assumptions!$B$8,0,AN96*Assumptions!$B$4+INDEX('Scored Accounts'!$N$2:$N$301,MATCH($A96,'Scored Accounts'!$A$2:$A$301,0))*Assumptions!$B$5+INDEX('Scored Accounts'!$O$2:$O$301,MATCH($A96,'Scored Accounts'!$A$2:$A$301,0))*Assumptions!$B$6)</f>
        <v>0</v>
      </c>
      <c r="AP96" s="2" t="str">
        <f aca="false">IF(AO96&gt;=Assumptions!$B$9,"High",IF(AO96&gt;=Assumptions!$B$10,"Medium","Low"))</f>
        <v>Low</v>
      </c>
      <c r="AQ96" s="10" t="b">
        <f aca="false">OR((E96&lt;=Assumptions!$B$8)&lt;&gt;((P96/(P96+Q96)*100)&lt;=Assumptions!$B$8),AM96&lt;&gt;AN96,G96&lt;&gt;AP96)</f>
        <v>0</v>
      </c>
      <c r="AR96" s="2" t="str">
        <f aca="false">IF(AP96&lt;&gt;"Low","Broker-Reliant",IF(B96="Account Managed","AM-Owned / Self-Serving","Self-Serve"))</f>
        <v>AM-Owned / Self-Serving</v>
      </c>
      <c r="AS96" s="2" t="str">
        <f aca="false">IF(AR96="Broker-Reliant",IF(J96="Tail","5. Cost-to-Serve / Low-Touch",IF(OR(N96="Growing",N96="Stable"),"1. Migration Candidate",IF(N96="Declining","2. Protect / Retain First",IF(N96="Lapsed","3. Win-Back / Verify",IF(N96="H2 Active / No H1 GMV","4. Establish / Re-establish / Observe","UNASSIGNED"))))),IF(AP96="Low",IF(J96="Tail","9. Long-Tail Automated Nurture",IF(OR(N96="Growing",N96="Stable"),"6. Growth Opportunity",IF(N96="H2 Active / No H1 GMV","7. Onboard / Re-engage / Learn",IF(OR(N96="Declining",N96="Lapsed"),"8. Retention / Reactivation","UNASSIGNED")))),"UNASSIGNED"))</f>
        <v>9. Long-Tail Automated Nurture</v>
      </c>
      <c r="AT96" s="10" t="b">
        <f aca="false">AS96&lt;&gt;T96</f>
        <v>0</v>
      </c>
      <c r="AU96" s="2" t="str">
        <f aca="false">IF(NOT(U96),"Not Eligible",IF(OR(AQ96,AH96,AK96,NOT(AND(W96&gt;=Assumptions!$B$83,O96&gt;=Assumptions!$B$84))),"Manual Review","Ready"))</f>
        <v>Not Eligible</v>
      </c>
      <c r="AV96" s="2" t="str">
        <f aca="false">IF(AG96,"Key account - human sign-off required; ","")&amp;IF(AH96,"Borderline momentum; ","")&amp;IF(AK96,"February-sensitive ("&amp;N96&amp;" -&gt; "&amp;AJ96&amp;"); ","")&amp;IF(AL96="One-Off / Insufficient History — Verify","Lapsed on thin history - verify; ","")&amp;IF(AQ96,"Material broker % inconsistency (implied tier "&amp;AP96&amp;"); ","")&amp;IF(AT96,"Implied broker % would move segment to "&amp;AS96&amp;"; ","")</f>
        <v>Lapsed on thin history - verify; </v>
      </c>
      <c r="AW96" s="10" t="b">
        <f aca="false">AND(G96="Low",J96="Tail",I96&gt;=Assumptions!$B$64,O96&gt;=Assumptions!$B$65,OR(N96="Growing",N96="Stable",AND(N96="H2 Active / No H1 GMV",W96&gt;=2)),OR(R96&gt;=Assumptions!$B$66,S96&gt;=Assumptions!$B$67))</f>
        <v>0</v>
      </c>
    </row>
    <row r="97" customFormat="false" ht="15" hidden="false" customHeight="false" outlineLevel="0" collapsed="false">
      <c r="A97" s="2" t="s">
        <v>634</v>
      </c>
      <c r="B97" s="2" t="s">
        <v>1571</v>
      </c>
      <c r="C97" s="2"/>
      <c r="D97" s="2" t="n">
        <v>6</v>
      </c>
      <c r="E97" s="2" t="n">
        <v>49</v>
      </c>
      <c r="F97" s="21" t="n">
        <f aca="false">INDEX('Scored Accounts'!$Q$2:$Q$301,MATCH($A97,'Scored Accounts'!$A$2:$A$301,0))</f>
        <v>70</v>
      </c>
      <c r="G97" s="2" t="str">
        <f aca="false">INDEX('Scored Accounts'!$R$2:$R$301,MATCH($A97,'Scored Accounts'!$A$2:$A$301,0))</f>
        <v>High</v>
      </c>
      <c r="H97" s="2" t="str">
        <f aca="false">IF(OR(G97="High",G97="Medium"),"Broker-Reliant",IF(AND(G97="Low",B97="Account Managed"),"AM-Owned / Self-Serving",IF(AND(G97="Low",B97="Self Serve"),"Self-Serve","UNASSIGNED")))</f>
        <v>Broker-Reliant</v>
      </c>
      <c r="I97" s="9" t="n">
        <v>874</v>
      </c>
      <c r="J97" s="2" t="str">
        <f aca="false">IF(I97&gt;=Assumptions!$B$35,"Key",IF(I97&gt;=Assumptions!$B$34,"Core","Tail"))</f>
        <v>Tail</v>
      </c>
      <c r="K97" s="9" t="n">
        <f aca="false">INDEX('Commercial View'!$R$2:$R$301,MATCH($A97,'Commercial View'!$A$2:$A$301,0))</f>
        <v>874</v>
      </c>
      <c r="L97" s="9" t="n">
        <f aca="false">INDEX('Commercial View'!$S$2:$S$301,MATCH($A97,'Commercial View'!$A$2:$A$301,0))</f>
        <v>0</v>
      </c>
      <c r="M97" s="17" t="n">
        <f aca="false">INDEX('Commercial View'!$T$2:$T$301,MATCH($A97,'Commercial View'!$A$2:$A$301,0))</f>
        <v>-1</v>
      </c>
      <c r="N97" s="2" t="str">
        <f aca="false">INDEX('Commercial View'!$U$2:$U$301,MATCH($A97,'Commercial View'!$A$2:$A$301,0))</f>
        <v>Lapsed</v>
      </c>
      <c r="O97" s="2" t="n">
        <v>2</v>
      </c>
      <c r="P97" s="2" t="n">
        <v>1</v>
      </c>
      <c r="Q97" s="2" t="n">
        <v>1</v>
      </c>
      <c r="R97" s="2" t="n">
        <v>3</v>
      </c>
      <c r="S97" s="2" t="n">
        <v>1</v>
      </c>
      <c r="T97" s="2" t="str">
        <f aca="false">IF(H97="Broker-Reliant",IF(J97="Tail","5. Cost-to-Serve / Low-Touch",IF(OR(N97="Growing",N97="Stable"),"1. Migration Candidate",IF(N97="Declining","2. Protect / Retain First",IF(N97="Lapsed","3. Win-Back / Verify",IF(N97="H2 Active / No H1 GMV","4. Establish / Re-establish / Observe","UNASSIGNED"))))),IF(G97="Low",IF(J97="Tail","9. Long-Tail Automated Nurture",IF(OR(N97="Growing",N97="Stable"),"6. Growth Opportunity",IF(N97="H2 Active / No H1 GMV","7. Onboard / Re-engage / Learn",IF(OR(N97="Declining",N97="Lapsed"),"8. Retention / Reactivation","UNASSIGNED")))),"UNASSIGNED"))</f>
        <v>5. Cost-to-Serve / Low-Touch</v>
      </c>
      <c r="U97" s="10" t="b">
        <f aca="false">AND(T97="1. Migration Candidate",J97="Core",O97&gt;=Assumptions!$B$39,Q97&gt;=Assumptions!$B$40,NOT(Z97))</f>
        <v>0</v>
      </c>
      <c r="V97" s="2" t="n">
        <f aca="false">(AND(H97="Broker-Reliant",J97&lt;&gt;"Tail",OR(N97="Growing",N97="Stable")))*1+(AND(H97="Broker-Reliant",J97&lt;&gt;"Tail",N97="Declining"))*1+(AND(H97="Broker-Reliant",J97&lt;&gt;"Tail",N97="Lapsed"))*1+(AND(H97="Broker-Reliant",J97&lt;&gt;"Tail",N97="H2 Active / No H1 GMV"))*1+(AND(H97="Broker-Reliant",J97="Tail"))*1+(AND(G97="Low",J97&lt;&gt;"Tail",OR(N97="Growing",N97="Stable")))*1+(AND(G97="Low",J97&lt;&gt;"Tail",N97="H2 Active / No H1 GMV"))*1+(AND(G97="Low",J97&lt;&gt;"Tail",OR(N97="Declining",N97="Lapsed")))*1+(AND(G97="Low",J97="Tail"))*1</f>
        <v>1</v>
      </c>
      <c r="W97" s="2" t="n">
        <f aca="false">INDEX('Commercial View'!$V$2:$V$301,MATCH($A97,'Commercial View'!$A$2:$A$301,0))</f>
        <v>2</v>
      </c>
      <c r="X97" s="10" t="b">
        <f aca="false">O97&lt;=Assumptions!$B$30</f>
        <v>1</v>
      </c>
      <c r="Y97" s="10" t="b">
        <f aca="false">W97&lt;=1</f>
        <v>0</v>
      </c>
      <c r="Z97" s="10" t="b">
        <f aca="false">C97="Duplicate"</f>
        <v>0</v>
      </c>
      <c r="AA97" s="10" t="b">
        <f aca="false">C97=""</f>
        <v>1</v>
      </c>
      <c r="AB97" s="2" t="n">
        <f aca="false">IF(P97+Q97&gt;0,ROUND(P97/(P97+Q97)*100,0),"")</f>
        <v>50</v>
      </c>
      <c r="AC97" s="2" t="n">
        <f aca="false">IF(P97+Q97&gt;0,ROUND(E97-P97/(P97+Q97)*100,0),"")</f>
        <v>-1</v>
      </c>
      <c r="AD97" s="10" t="b">
        <f aca="false">IF(AC97="",FALSE(),ABS(AC97)&gt;Assumptions!$B$41)</f>
        <v>0</v>
      </c>
      <c r="AE97" s="2" t="str">
        <f aca="false">IF(X97,"Low confidence (&lt;=2 orders); ","")&amp;IF(Y97,"Single-month history; ","")&amp;IF(Z97,"CRITICAL: Duplicate status; ","")&amp;IF(AA97,"Missing status; ","")&amp;IF(AD97,"Broker % vs counts gap "&amp;TEXT(AC97,"+0;-0")&amp;"pts; ","")</f>
        <v>Low confidence (&lt;=2 orders); Missing status; </v>
      </c>
      <c r="AF97" s="2" t="str">
        <f aca="false">IF(AND(K97=0,L97&gt;0),IF(D97&lt;=Assumptions!$B$47,"New Customer","Returned Customer"),"Existing Customer")</f>
        <v>Existing Customer</v>
      </c>
      <c r="AG97" s="10" t="b">
        <f aca="false">AND(T97="1. Migration Candidate",J97="Key")</f>
        <v>0</v>
      </c>
      <c r="AH97" s="10" t="b">
        <f aca="false">IF(AND(K97&gt;0,L97&gt;0),OR(ABS(M97-Assumptions!$B$36)&lt;=Assumptions!$B$46,ABS(M97+Assumptions!$B$36)&lt;=Assumptions!$B$46),FALSE())</f>
        <v>0</v>
      </c>
      <c r="AI97" s="9" t="n">
        <f aca="false">INDEX('Commercial View'!$L$2:$L$301,MATCH($A97,'Commercial View'!$A$2:$A$301,0))+INDEX('Commercial View'!$M$2:$M$301,MATCH($A97,'Commercial View'!$A$2:$A$301,0))</f>
        <v>0</v>
      </c>
      <c r="AJ97" s="2" t="str">
        <f aca="false">IF(AND(K97=0,AI97=0),"No activity ex-Feb",IF(AI97=0,"Lapsed",IF(K97=0,"H2 Active / No H1 GMV",IF((AI97/2)/(K97/3)-1&gt;=Assumptions!$B$36,"Growing",IF((AI97/2)/(K97/3)-1&lt;-Assumptions!$B$36,"Declining","Stable")))))</f>
        <v>Lapsed</v>
      </c>
      <c r="AK97" s="10" t="b">
        <f aca="false">IF(OR(N97="Growing",N97="Stable"),"Healthy",N97)&lt;&gt;IF(OR(AJ97="Growing",AJ97="Stable"),"Healthy",AJ97)</f>
        <v>0</v>
      </c>
      <c r="AL97" s="2" t="str">
        <f aca="false">IF(N97="Lapsed",IF(OR(O97&lt;=Assumptions!$B$48,W97&lt;=Assumptions!$B$49),"One-Off / Insufficient History — Verify","Established Buyer Lapsed"),"N/A")</f>
        <v>One-Off / Insufficient History — Verify</v>
      </c>
      <c r="AM97" s="2" t="n">
        <f aca="false">INDEX('Scored Accounts'!$M$2:$M$301,MATCH($A97,'Scored Accounts'!$A$2:$A$301,0))</f>
        <v>50</v>
      </c>
      <c r="AN97" s="2" t="n">
        <f aca="false">IF((P97/(P97+Q97)*100)&lt;=Assumptions!$B$13,0,IF((P97/(P97+Q97)*100)&lt;Assumptions!$B$14,25,IF((P97/(P97+Q97)*100)&lt;Assumptions!$B$15,50,IF((P97/(P97+Q97)*100)&lt;Assumptions!$B$16,75,100))))</f>
        <v>50</v>
      </c>
      <c r="AO97" s="21" t="n">
        <f aca="false">IF((P97/(P97+Q97)*100)&lt;=Assumptions!$B$8,0,AN97*Assumptions!$B$4+INDEX('Scored Accounts'!$N$2:$N$301,MATCH($A97,'Scored Accounts'!$A$2:$A$301,0))*Assumptions!$B$5+INDEX('Scored Accounts'!$O$2:$O$301,MATCH($A97,'Scored Accounts'!$A$2:$A$301,0))*Assumptions!$B$6)</f>
        <v>70</v>
      </c>
      <c r="AP97" s="2" t="str">
        <f aca="false">IF(AO97&gt;=Assumptions!$B$9,"High",IF(AO97&gt;=Assumptions!$B$10,"Medium","Low"))</f>
        <v>High</v>
      </c>
      <c r="AQ97" s="10" t="b">
        <f aca="false">OR((E97&lt;=Assumptions!$B$8)&lt;&gt;((P97/(P97+Q97)*100)&lt;=Assumptions!$B$8),AM97&lt;&gt;AN97,G97&lt;&gt;AP97)</f>
        <v>0</v>
      </c>
      <c r="AR97" s="2" t="str">
        <f aca="false">IF(AP97&lt;&gt;"Low","Broker-Reliant",IF(B97="Account Managed","AM-Owned / Self-Serving","Self-Serve"))</f>
        <v>Broker-Reliant</v>
      </c>
      <c r="AS97" s="2" t="str">
        <f aca="false">IF(AR97="Broker-Reliant",IF(J97="Tail","5. Cost-to-Serve / Low-Touch",IF(OR(N97="Growing",N97="Stable"),"1. Migration Candidate",IF(N97="Declining","2. Protect / Retain First",IF(N97="Lapsed","3. Win-Back / Verify",IF(N97="H2 Active / No H1 GMV","4. Establish / Re-establish / Observe","UNASSIGNED"))))),IF(AP97="Low",IF(J97="Tail","9. Long-Tail Automated Nurture",IF(OR(N97="Growing",N97="Stable"),"6. Growth Opportunity",IF(N97="H2 Active / No H1 GMV","7. Onboard / Re-engage / Learn",IF(OR(N97="Declining",N97="Lapsed"),"8. Retention / Reactivation","UNASSIGNED")))),"UNASSIGNED"))</f>
        <v>5. Cost-to-Serve / Low-Touch</v>
      </c>
      <c r="AT97" s="10" t="b">
        <f aca="false">AS97&lt;&gt;T97</f>
        <v>0</v>
      </c>
      <c r="AU97" s="2" t="str">
        <f aca="false">IF(NOT(U97),"Not Eligible",IF(OR(AQ97,AH97,AK97,NOT(AND(W97&gt;=Assumptions!$B$83,O97&gt;=Assumptions!$B$84))),"Manual Review","Ready"))</f>
        <v>Not Eligible</v>
      </c>
      <c r="AV97" s="2" t="str">
        <f aca="false">IF(AG97,"Key account - human sign-off required; ","")&amp;IF(AH97,"Borderline momentum; ","")&amp;IF(AK97,"February-sensitive ("&amp;N97&amp;" -&gt; "&amp;AJ97&amp;"); ","")&amp;IF(AL97="One-Off / Insufficient History — Verify","Lapsed on thin history - verify; ","")&amp;IF(AQ97,"Material broker % inconsistency (implied tier "&amp;AP97&amp;"); ","")&amp;IF(AT97,"Implied broker % would move segment to "&amp;AS97&amp;"; ","")</f>
        <v>Lapsed on thin history - verify; </v>
      </c>
      <c r="AW97" s="10" t="b">
        <f aca="false">AND(G97="Low",J97="Tail",I97&gt;=Assumptions!$B$64,O97&gt;=Assumptions!$B$65,OR(N97="Growing",N97="Stable",AND(N97="H2 Active / No H1 GMV",W97&gt;=2)),OR(R97&gt;=Assumptions!$B$66,S97&gt;=Assumptions!$B$67))</f>
        <v>0</v>
      </c>
    </row>
    <row r="98" customFormat="false" ht="15" hidden="false" customHeight="false" outlineLevel="0" collapsed="false">
      <c r="A98" s="2" t="s">
        <v>636</v>
      </c>
      <c r="B98" s="2" t="s">
        <v>1571</v>
      </c>
      <c r="C98" s="2" t="s">
        <v>1572</v>
      </c>
      <c r="D98" s="2" t="n">
        <v>8</v>
      </c>
      <c r="E98" s="2" t="n">
        <v>8</v>
      </c>
      <c r="F98" s="21" t="n">
        <f aca="false">INDEX('Scored Accounts'!$Q$2:$Q$301,MATCH($A98,'Scored Accounts'!$A$2:$A$301,0))</f>
        <v>0</v>
      </c>
      <c r="G98" s="2" t="str">
        <f aca="false">INDEX('Scored Accounts'!$R$2:$R$301,MATCH($A98,'Scored Accounts'!$A$2:$A$301,0))</f>
        <v>Low</v>
      </c>
      <c r="H98" s="2" t="str">
        <f aca="false">IF(OR(G98="High",G98="Medium"),"Broker-Reliant",IF(AND(G98="Low",B98="Account Managed"),"AM-Owned / Self-Serving",IF(AND(G98="Low",B98="Self Serve"),"Self-Serve","UNASSIGNED")))</f>
        <v>AM-Owned / Self-Serving</v>
      </c>
      <c r="I98" s="9" t="n">
        <v>852</v>
      </c>
      <c r="J98" s="2" t="str">
        <f aca="false">IF(I98&gt;=Assumptions!$B$35,"Key",IF(I98&gt;=Assumptions!$B$34,"Core","Tail"))</f>
        <v>Tail</v>
      </c>
      <c r="K98" s="9" t="n">
        <f aca="false">INDEX('Commercial View'!$R$2:$R$301,MATCH($A98,'Commercial View'!$A$2:$A$301,0))</f>
        <v>852</v>
      </c>
      <c r="L98" s="9" t="n">
        <f aca="false">INDEX('Commercial View'!$S$2:$S$301,MATCH($A98,'Commercial View'!$A$2:$A$301,0))</f>
        <v>0</v>
      </c>
      <c r="M98" s="17" t="n">
        <f aca="false">INDEX('Commercial View'!$T$2:$T$301,MATCH($A98,'Commercial View'!$A$2:$A$301,0))</f>
        <v>-1</v>
      </c>
      <c r="N98" s="2" t="str">
        <f aca="false">INDEX('Commercial View'!$U$2:$U$301,MATCH($A98,'Commercial View'!$A$2:$A$301,0))</f>
        <v>Lapsed</v>
      </c>
      <c r="O98" s="2" t="n">
        <v>6</v>
      </c>
      <c r="P98" s="2" t="n">
        <v>0</v>
      </c>
      <c r="Q98" s="2" t="n">
        <v>6</v>
      </c>
      <c r="R98" s="2" t="n">
        <v>21</v>
      </c>
      <c r="S98" s="2" t="n">
        <v>21</v>
      </c>
      <c r="T98" s="2" t="str">
        <f aca="false">IF(H98="Broker-Reliant",IF(J98="Tail","5. Cost-to-Serve / Low-Touch",IF(OR(N98="Growing",N98="Stable"),"1. Migration Candidate",IF(N98="Declining","2. Protect / Retain First",IF(N98="Lapsed","3. Win-Back / Verify",IF(N98="H2 Active / No H1 GMV","4. Establish / Re-establish / Observe","UNASSIGNED"))))),IF(G98="Low",IF(J98="Tail","9. Long-Tail Automated Nurture",IF(OR(N98="Growing",N98="Stable"),"6. Growth Opportunity",IF(N98="H2 Active / No H1 GMV","7. Onboard / Re-engage / Learn",IF(OR(N98="Declining",N98="Lapsed"),"8. Retention / Reactivation","UNASSIGNED")))),"UNASSIGNED"))</f>
        <v>9. Long-Tail Automated Nurture</v>
      </c>
      <c r="U98" s="10" t="b">
        <f aca="false">AND(T98="1. Migration Candidate",J98="Core",O98&gt;=Assumptions!$B$39,Q98&gt;=Assumptions!$B$40,NOT(Z98))</f>
        <v>0</v>
      </c>
      <c r="V98" s="2" t="n">
        <f aca="false">(AND(H98="Broker-Reliant",J98&lt;&gt;"Tail",OR(N98="Growing",N98="Stable")))*1+(AND(H98="Broker-Reliant",J98&lt;&gt;"Tail",N98="Declining"))*1+(AND(H98="Broker-Reliant",J98&lt;&gt;"Tail",N98="Lapsed"))*1+(AND(H98="Broker-Reliant",J98&lt;&gt;"Tail",N98="H2 Active / No H1 GMV"))*1+(AND(H98="Broker-Reliant",J98="Tail"))*1+(AND(G98="Low",J98&lt;&gt;"Tail",OR(N98="Growing",N98="Stable")))*1+(AND(G98="Low",J98&lt;&gt;"Tail",N98="H2 Active / No H1 GMV"))*1+(AND(G98="Low",J98&lt;&gt;"Tail",OR(N98="Declining",N98="Lapsed")))*1+(AND(G98="Low",J98="Tail"))*1</f>
        <v>1</v>
      </c>
      <c r="W98" s="2" t="n">
        <f aca="false">INDEX('Commercial View'!$V$2:$V$301,MATCH($A98,'Commercial View'!$A$2:$A$301,0))</f>
        <v>2</v>
      </c>
      <c r="X98" s="10" t="b">
        <f aca="false">O98&lt;=Assumptions!$B$30</f>
        <v>0</v>
      </c>
      <c r="Y98" s="10" t="b">
        <f aca="false">W98&lt;=1</f>
        <v>0</v>
      </c>
      <c r="Z98" s="10" t="b">
        <f aca="false">C98="Duplicate"</f>
        <v>0</v>
      </c>
      <c r="AA98" s="10" t="b">
        <f aca="false">C98=""</f>
        <v>0</v>
      </c>
      <c r="AB98" s="2" t="n">
        <f aca="false">IF(P98+Q98&gt;0,ROUND(P98/(P98+Q98)*100,0),"")</f>
        <v>0</v>
      </c>
      <c r="AC98" s="2" t="n">
        <f aca="false">IF(P98+Q98&gt;0,ROUND(E98-P98/(P98+Q98)*100,0),"")</f>
        <v>8</v>
      </c>
      <c r="AD98" s="10" t="b">
        <f aca="false">IF(AC98="",FALSE(),ABS(AC98)&gt;Assumptions!$B$41)</f>
        <v>0</v>
      </c>
      <c r="AE98" s="2" t="str">
        <f aca="false">IF(X98,"Low confidence (&lt;=2 orders); ","")&amp;IF(Y98,"Single-month history; ","")&amp;IF(Z98,"CRITICAL: Duplicate status; ","")&amp;IF(AA98,"Missing status; ","")&amp;IF(AD98,"Broker % vs counts gap "&amp;TEXT(AC98,"+0;-0")&amp;"pts; ","")</f>
        <v/>
      </c>
      <c r="AF98" s="2" t="str">
        <f aca="false">IF(AND(K98=0,L98&gt;0),IF(D98&lt;=Assumptions!$B$47,"New Customer","Returned Customer"),"Existing Customer")</f>
        <v>Existing Customer</v>
      </c>
      <c r="AG98" s="10" t="b">
        <f aca="false">AND(T98="1. Migration Candidate",J98="Key")</f>
        <v>0</v>
      </c>
      <c r="AH98" s="10" t="b">
        <f aca="false">IF(AND(K98&gt;0,L98&gt;0),OR(ABS(M98-Assumptions!$B$36)&lt;=Assumptions!$B$46,ABS(M98+Assumptions!$B$36)&lt;=Assumptions!$B$46),FALSE())</f>
        <v>0</v>
      </c>
      <c r="AI98" s="9" t="n">
        <f aca="false">INDEX('Commercial View'!$L$2:$L$301,MATCH($A98,'Commercial View'!$A$2:$A$301,0))+INDEX('Commercial View'!$M$2:$M$301,MATCH($A98,'Commercial View'!$A$2:$A$301,0))</f>
        <v>0</v>
      </c>
      <c r="AJ98" s="2" t="str">
        <f aca="false">IF(AND(K98=0,AI98=0),"No activity ex-Feb",IF(AI98=0,"Lapsed",IF(K98=0,"H2 Active / No H1 GMV",IF((AI98/2)/(K98/3)-1&gt;=Assumptions!$B$36,"Growing",IF((AI98/2)/(K98/3)-1&lt;-Assumptions!$B$36,"Declining","Stable")))))</f>
        <v>Lapsed</v>
      </c>
      <c r="AK98" s="10" t="b">
        <f aca="false">IF(OR(N98="Growing",N98="Stable"),"Healthy",N98)&lt;&gt;IF(OR(AJ98="Growing",AJ98="Stable"),"Healthy",AJ98)</f>
        <v>0</v>
      </c>
      <c r="AL98" s="2" t="str">
        <f aca="false">IF(N98="Lapsed",IF(OR(O98&lt;=Assumptions!$B$48,W98&lt;=Assumptions!$B$49),"One-Off / Insufficient History — Verify","Established Buyer Lapsed"),"N/A")</f>
        <v>Established Buyer Lapsed</v>
      </c>
      <c r="AM98" s="2" t="n">
        <f aca="false">INDEX('Scored Accounts'!$M$2:$M$301,MATCH($A98,'Scored Accounts'!$A$2:$A$301,0))</f>
        <v>0</v>
      </c>
      <c r="AN98" s="2" t="n">
        <f aca="false">IF((P98/(P98+Q98)*100)&lt;=Assumptions!$B$13,0,IF((P98/(P98+Q98)*100)&lt;Assumptions!$B$14,25,IF((P98/(P98+Q98)*100)&lt;Assumptions!$B$15,50,IF((P98/(P98+Q98)*100)&lt;Assumptions!$B$16,75,100))))</f>
        <v>0</v>
      </c>
      <c r="AO98" s="21" t="n">
        <f aca="false">IF((P98/(P98+Q98)*100)&lt;=Assumptions!$B$8,0,AN98*Assumptions!$B$4+INDEX('Scored Accounts'!$N$2:$N$301,MATCH($A98,'Scored Accounts'!$A$2:$A$301,0))*Assumptions!$B$5+INDEX('Scored Accounts'!$O$2:$O$301,MATCH($A98,'Scored Accounts'!$A$2:$A$301,0))*Assumptions!$B$6)</f>
        <v>0</v>
      </c>
      <c r="AP98" s="2" t="str">
        <f aca="false">IF(AO98&gt;=Assumptions!$B$9,"High",IF(AO98&gt;=Assumptions!$B$10,"Medium","Low"))</f>
        <v>Low</v>
      </c>
      <c r="AQ98" s="10" t="b">
        <f aca="false">OR((E98&lt;=Assumptions!$B$8)&lt;&gt;((P98/(P98+Q98)*100)&lt;=Assumptions!$B$8),AM98&lt;&gt;AN98,G98&lt;&gt;AP98)</f>
        <v>0</v>
      </c>
      <c r="AR98" s="2" t="str">
        <f aca="false">IF(AP98&lt;&gt;"Low","Broker-Reliant",IF(B98="Account Managed","AM-Owned / Self-Serving","Self-Serve"))</f>
        <v>AM-Owned / Self-Serving</v>
      </c>
      <c r="AS98" s="2" t="str">
        <f aca="false">IF(AR98="Broker-Reliant",IF(J98="Tail","5. Cost-to-Serve / Low-Touch",IF(OR(N98="Growing",N98="Stable"),"1. Migration Candidate",IF(N98="Declining","2. Protect / Retain First",IF(N98="Lapsed","3. Win-Back / Verify",IF(N98="H2 Active / No H1 GMV","4. Establish / Re-establish / Observe","UNASSIGNED"))))),IF(AP98="Low",IF(J98="Tail","9. Long-Tail Automated Nurture",IF(OR(N98="Growing",N98="Stable"),"6. Growth Opportunity",IF(N98="H2 Active / No H1 GMV","7. Onboard / Re-engage / Learn",IF(OR(N98="Declining",N98="Lapsed"),"8. Retention / Reactivation","UNASSIGNED")))),"UNASSIGNED"))</f>
        <v>9. Long-Tail Automated Nurture</v>
      </c>
      <c r="AT98" s="10" t="b">
        <f aca="false">AS98&lt;&gt;T98</f>
        <v>0</v>
      </c>
      <c r="AU98" s="2" t="str">
        <f aca="false">IF(NOT(U98),"Not Eligible",IF(OR(AQ98,AH98,AK98,NOT(AND(W98&gt;=Assumptions!$B$83,O98&gt;=Assumptions!$B$84))),"Manual Review","Ready"))</f>
        <v>Not Eligible</v>
      </c>
      <c r="AV98" s="2" t="str">
        <f aca="false">IF(AG98,"Key account - human sign-off required; ","")&amp;IF(AH98,"Borderline momentum; ","")&amp;IF(AK98,"February-sensitive ("&amp;N98&amp;" -&gt; "&amp;AJ98&amp;"); ","")&amp;IF(AL98="One-Off / Insufficient History — Verify","Lapsed on thin history - verify; ","")&amp;IF(AQ98,"Material broker % inconsistency (implied tier "&amp;AP98&amp;"); ","")&amp;IF(AT98,"Implied broker % would move segment to "&amp;AS98&amp;"; ","")</f>
        <v/>
      </c>
      <c r="AW98" s="10" t="b">
        <f aca="false">AND(G98="Low",J98="Tail",I98&gt;=Assumptions!$B$64,O98&gt;=Assumptions!$B$65,OR(N98="Growing",N98="Stable",AND(N98="H2 Active / No H1 GMV",W98&gt;=2)),OR(R98&gt;=Assumptions!$B$66,S98&gt;=Assumptions!$B$67))</f>
        <v>0</v>
      </c>
    </row>
    <row r="99" customFormat="false" ht="15" hidden="false" customHeight="false" outlineLevel="0" collapsed="false">
      <c r="A99" s="2" t="s">
        <v>638</v>
      </c>
      <c r="B99" s="2" t="s">
        <v>1571</v>
      </c>
      <c r="C99" s="2" t="s">
        <v>1572</v>
      </c>
      <c r="D99" s="2" t="n">
        <v>8</v>
      </c>
      <c r="E99" s="2" t="n">
        <v>13</v>
      </c>
      <c r="F99" s="21" t="n">
        <f aca="false">INDEX('Scored Accounts'!$Q$2:$Q$301,MATCH($A99,'Scored Accounts'!$A$2:$A$301,0))</f>
        <v>0</v>
      </c>
      <c r="G99" s="2" t="str">
        <f aca="false">INDEX('Scored Accounts'!$R$2:$R$301,MATCH($A99,'Scored Accounts'!$A$2:$A$301,0))</f>
        <v>Low</v>
      </c>
      <c r="H99" s="2" t="str">
        <f aca="false">IF(OR(G99="High",G99="Medium"),"Broker-Reliant",IF(AND(G99="Low",B99="Account Managed"),"AM-Owned / Self-Serving",IF(AND(G99="Low",B99="Self Serve"),"Self-Serve","UNASSIGNED")))</f>
        <v>AM-Owned / Self-Serving</v>
      </c>
      <c r="I99" s="9" t="n">
        <v>844</v>
      </c>
      <c r="J99" s="2" t="str">
        <f aca="false">IF(I99&gt;=Assumptions!$B$35,"Key",IF(I99&gt;=Assumptions!$B$34,"Core","Tail"))</f>
        <v>Tail</v>
      </c>
      <c r="K99" s="9" t="n">
        <f aca="false">INDEX('Commercial View'!$R$2:$R$301,MATCH($A99,'Commercial View'!$A$2:$A$301,0))</f>
        <v>844</v>
      </c>
      <c r="L99" s="9" t="n">
        <f aca="false">INDEX('Commercial View'!$S$2:$S$301,MATCH($A99,'Commercial View'!$A$2:$A$301,0))</f>
        <v>0</v>
      </c>
      <c r="M99" s="17" t="n">
        <f aca="false">INDEX('Commercial View'!$T$2:$T$301,MATCH($A99,'Commercial View'!$A$2:$A$301,0))</f>
        <v>-1</v>
      </c>
      <c r="N99" s="2" t="str">
        <f aca="false">INDEX('Commercial View'!$U$2:$U$301,MATCH($A99,'Commercial View'!$A$2:$A$301,0))</f>
        <v>Lapsed</v>
      </c>
      <c r="O99" s="2" t="n">
        <v>3</v>
      </c>
      <c r="P99" s="2" t="n">
        <v>0</v>
      </c>
      <c r="Q99" s="2" t="n">
        <v>3</v>
      </c>
      <c r="R99" s="2" t="n">
        <v>30</v>
      </c>
      <c r="S99" s="2" t="n">
        <v>11</v>
      </c>
      <c r="T99" s="2" t="str">
        <f aca="false">IF(H99="Broker-Reliant",IF(J99="Tail","5. Cost-to-Serve / Low-Touch",IF(OR(N99="Growing",N99="Stable"),"1. Migration Candidate",IF(N99="Declining","2. Protect / Retain First",IF(N99="Lapsed","3. Win-Back / Verify",IF(N99="H2 Active / No H1 GMV","4. Establish / Re-establish / Observe","UNASSIGNED"))))),IF(G99="Low",IF(J99="Tail","9. Long-Tail Automated Nurture",IF(OR(N99="Growing",N99="Stable"),"6. Growth Opportunity",IF(N99="H2 Active / No H1 GMV","7. Onboard / Re-engage / Learn",IF(OR(N99="Declining",N99="Lapsed"),"8. Retention / Reactivation","UNASSIGNED")))),"UNASSIGNED"))</f>
        <v>9. Long-Tail Automated Nurture</v>
      </c>
      <c r="U99" s="10" t="b">
        <f aca="false">AND(T99="1. Migration Candidate",J99="Core",O99&gt;=Assumptions!$B$39,Q99&gt;=Assumptions!$B$40,NOT(Z99))</f>
        <v>0</v>
      </c>
      <c r="V99" s="2" t="n">
        <f aca="false">(AND(H99="Broker-Reliant",J99&lt;&gt;"Tail",OR(N99="Growing",N99="Stable")))*1+(AND(H99="Broker-Reliant",J99&lt;&gt;"Tail",N99="Declining"))*1+(AND(H99="Broker-Reliant",J99&lt;&gt;"Tail",N99="Lapsed"))*1+(AND(H99="Broker-Reliant",J99&lt;&gt;"Tail",N99="H2 Active / No H1 GMV"))*1+(AND(H99="Broker-Reliant",J99="Tail"))*1+(AND(G99="Low",J99&lt;&gt;"Tail",OR(N99="Growing",N99="Stable")))*1+(AND(G99="Low",J99&lt;&gt;"Tail",N99="H2 Active / No H1 GMV"))*1+(AND(G99="Low",J99&lt;&gt;"Tail",OR(N99="Declining",N99="Lapsed")))*1+(AND(G99="Low",J99="Tail"))*1</f>
        <v>1</v>
      </c>
      <c r="W99" s="2" t="n">
        <f aca="false">INDEX('Commercial View'!$V$2:$V$301,MATCH($A99,'Commercial View'!$A$2:$A$301,0))</f>
        <v>2</v>
      </c>
      <c r="X99" s="10" t="b">
        <f aca="false">O99&lt;=Assumptions!$B$30</f>
        <v>0</v>
      </c>
      <c r="Y99" s="10" t="b">
        <f aca="false">W99&lt;=1</f>
        <v>0</v>
      </c>
      <c r="Z99" s="10" t="b">
        <f aca="false">C99="Duplicate"</f>
        <v>0</v>
      </c>
      <c r="AA99" s="10" t="b">
        <f aca="false">C99=""</f>
        <v>0</v>
      </c>
      <c r="AB99" s="2" t="n">
        <f aca="false">IF(P99+Q99&gt;0,ROUND(P99/(P99+Q99)*100,0),"")</f>
        <v>0</v>
      </c>
      <c r="AC99" s="2" t="n">
        <f aca="false">IF(P99+Q99&gt;0,ROUND(E99-P99/(P99+Q99)*100,0),"")</f>
        <v>13</v>
      </c>
      <c r="AD99" s="10" t="b">
        <f aca="false">IF(AC99="",FALSE(),ABS(AC99)&gt;Assumptions!$B$41)</f>
        <v>1</v>
      </c>
      <c r="AE99" s="2" t="str">
        <f aca="false">IF(X99,"Low confidence (&lt;=2 orders); ","")&amp;IF(Y99,"Single-month history; ","")&amp;IF(Z99,"CRITICAL: Duplicate status; ","")&amp;IF(AA99,"Missing status; ","")&amp;IF(AD99,"Broker % vs counts gap "&amp;TEXT(AC99,"+0;-0")&amp;"pts; ","")</f>
        <v>Broker % vs counts gap +13pts; </v>
      </c>
      <c r="AF99" s="2" t="str">
        <f aca="false">IF(AND(K99=0,L99&gt;0),IF(D99&lt;=Assumptions!$B$47,"New Customer","Returned Customer"),"Existing Customer")</f>
        <v>Existing Customer</v>
      </c>
      <c r="AG99" s="10" t="b">
        <f aca="false">AND(T99="1. Migration Candidate",J99="Key")</f>
        <v>0</v>
      </c>
      <c r="AH99" s="10" t="b">
        <f aca="false">IF(AND(K99&gt;0,L99&gt;0),OR(ABS(M99-Assumptions!$B$36)&lt;=Assumptions!$B$46,ABS(M99+Assumptions!$B$36)&lt;=Assumptions!$B$46),FALSE())</f>
        <v>0</v>
      </c>
      <c r="AI99" s="9" t="n">
        <f aca="false">INDEX('Commercial View'!$L$2:$L$301,MATCH($A99,'Commercial View'!$A$2:$A$301,0))+INDEX('Commercial View'!$M$2:$M$301,MATCH($A99,'Commercial View'!$A$2:$A$301,0))</f>
        <v>0</v>
      </c>
      <c r="AJ99" s="2" t="str">
        <f aca="false">IF(AND(K99=0,AI99=0),"No activity ex-Feb",IF(AI99=0,"Lapsed",IF(K99=0,"H2 Active / No H1 GMV",IF((AI99/2)/(K99/3)-1&gt;=Assumptions!$B$36,"Growing",IF((AI99/2)/(K99/3)-1&lt;-Assumptions!$B$36,"Declining","Stable")))))</f>
        <v>Lapsed</v>
      </c>
      <c r="AK99" s="10" t="b">
        <f aca="false">IF(OR(N99="Growing",N99="Stable"),"Healthy",N99)&lt;&gt;IF(OR(AJ99="Growing",AJ99="Stable"),"Healthy",AJ99)</f>
        <v>0</v>
      </c>
      <c r="AL99" s="2" t="str">
        <f aca="false">IF(N99="Lapsed",IF(OR(O99&lt;=Assumptions!$B$48,W99&lt;=Assumptions!$B$49),"One-Off / Insufficient History — Verify","Established Buyer Lapsed"),"N/A")</f>
        <v>Established Buyer Lapsed</v>
      </c>
      <c r="AM99" s="2" t="n">
        <f aca="false">INDEX('Scored Accounts'!$M$2:$M$301,MATCH($A99,'Scored Accounts'!$A$2:$A$301,0))</f>
        <v>0</v>
      </c>
      <c r="AN99" s="2" t="n">
        <f aca="false">IF((P99/(P99+Q99)*100)&lt;=Assumptions!$B$13,0,IF((P99/(P99+Q99)*100)&lt;Assumptions!$B$14,25,IF((P99/(P99+Q99)*100)&lt;Assumptions!$B$15,50,IF((P99/(P99+Q99)*100)&lt;Assumptions!$B$16,75,100))))</f>
        <v>0</v>
      </c>
      <c r="AO99" s="21" t="n">
        <f aca="false">IF((P99/(P99+Q99)*100)&lt;=Assumptions!$B$8,0,AN99*Assumptions!$B$4+INDEX('Scored Accounts'!$N$2:$N$301,MATCH($A99,'Scored Accounts'!$A$2:$A$301,0))*Assumptions!$B$5+INDEX('Scored Accounts'!$O$2:$O$301,MATCH($A99,'Scored Accounts'!$A$2:$A$301,0))*Assumptions!$B$6)</f>
        <v>0</v>
      </c>
      <c r="AP99" s="2" t="str">
        <f aca="false">IF(AO99&gt;=Assumptions!$B$9,"High",IF(AO99&gt;=Assumptions!$B$10,"Medium","Low"))</f>
        <v>Low</v>
      </c>
      <c r="AQ99" s="10" t="b">
        <f aca="false">OR((E99&lt;=Assumptions!$B$8)&lt;&gt;((P99/(P99+Q99)*100)&lt;=Assumptions!$B$8),AM99&lt;&gt;AN99,G99&lt;&gt;AP99)</f>
        <v>0</v>
      </c>
      <c r="AR99" s="2" t="str">
        <f aca="false">IF(AP99&lt;&gt;"Low","Broker-Reliant",IF(B99="Account Managed","AM-Owned / Self-Serving","Self-Serve"))</f>
        <v>AM-Owned / Self-Serving</v>
      </c>
      <c r="AS99" s="2" t="str">
        <f aca="false">IF(AR99="Broker-Reliant",IF(J99="Tail","5. Cost-to-Serve / Low-Touch",IF(OR(N99="Growing",N99="Stable"),"1. Migration Candidate",IF(N99="Declining","2. Protect / Retain First",IF(N99="Lapsed","3. Win-Back / Verify",IF(N99="H2 Active / No H1 GMV","4. Establish / Re-establish / Observe","UNASSIGNED"))))),IF(AP99="Low",IF(J99="Tail","9. Long-Tail Automated Nurture",IF(OR(N99="Growing",N99="Stable"),"6. Growth Opportunity",IF(N99="H2 Active / No H1 GMV","7. Onboard / Re-engage / Learn",IF(OR(N99="Declining",N99="Lapsed"),"8. Retention / Reactivation","UNASSIGNED")))),"UNASSIGNED"))</f>
        <v>9. Long-Tail Automated Nurture</v>
      </c>
      <c r="AT99" s="10" t="b">
        <f aca="false">AS99&lt;&gt;T99</f>
        <v>0</v>
      </c>
      <c r="AU99" s="2" t="str">
        <f aca="false">IF(NOT(U99),"Not Eligible",IF(OR(AQ99,AH99,AK99,NOT(AND(W99&gt;=Assumptions!$B$83,O99&gt;=Assumptions!$B$84))),"Manual Review","Ready"))</f>
        <v>Not Eligible</v>
      </c>
      <c r="AV99" s="2" t="str">
        <f aca="false">IF(AG99,"Key account - human sign-off required; ","")&amp;IF(AH99,"Borderline momentum; ","")&amp;IF(AK99,"February-sensitive ("&amp;N99&amp;" -&gt; "&amp;AJ99&amp;"); ","")&amp;IF(AL99="One-Off / Insufficient History — Verify","Lapsed on thin history - verify; ","")&amp;IF(AQ99,"Material broker % inconsistency (implied tier "&amp;AP99&amp;"); ","")&amp;IF(AT99,"Implied broker % would move segment to "&amp;AS99&amp;"; ","")</f>
        <v/>
      </c>
      <c r="AW99" s="10" t="b">
        <f aca="false">AND(G99="Low",J99="Tail",I99&gt;=Assumptions!$B$64,O99&gt;=Assumptions!$B$65,OR(N99="Growing",N99="Stable",AND(N99="H2 Active / No H1 GMV",W99&gt;=2)),OR(R99&gt;=Assumptions!$B$66,S99&gt;=Assumptions!$B$67))</f>
        <v>0</v>
      </c>
    </row>
    <row r="100" customFormat="false" ht="15" hidden="false" customHeight="false" outlineLevel="0" collapsed="false">
      <c r="A100" s="2" t="s">
        <v>640</v>
      </c>
      <c r="B100" s="2" t="s">
        <v>1571</v>
      </c>
      <c r="C100" s="2"/>
      <c r="D100" s="2" t="n">
        <v>6</v>
      </c>
      <c r="E100" s="2" t="n">
        <v>18</v>
      </c>
      <c r="F100" s="21" t="n">
        <f aca="false">INDEX('Scored Accounts'!$Q$2:$Q$301,MATCH($A100,'Scored Accounts'!$A$2:$A$301,0))</f>
        <v>0</v>
      </c>
      <c r="G100" s="2" t="str">
        <f aca="false">INDEX('Scored Accounts'!$R$2:$R$301,MATCH($A100,'Scored Accounts'!$A$2:$A$301,0))</f>
        <v>Low</v>
      </c>
      <c r="H100" s="2" t="str">
        <f aca="false">IF(OR(G100="High",G100="Medium"),"Broker-Reliant",IF(AND(G100="Low",B100="Account Managed"),"AM-Owned / Self-Serving",IF(AND(G100="Low",B100="Self Serve"),"Self-Serve","UNASSIGNED")))</f>
        <v>AM-Owned / Self-Serving</v>
      </c>
      <c r="I100" s="9" t="n">
        <v>840</v>
      </c>
      <c r="J100" s="2" t="str">
        <f aca="false">IF(I100&gt;=Assumptions!$B$35,"Key",IF(I100&gt;=Assumptions!$B$34,"Core","Tail"))</f>
        <v>Tail</v>
      </c>
      <c r="K100" s="9" t="n">
        <f aca="false">INDEX('Commercial View'!$R$2:$R$301,MATCH($A100,'Commercial View'!$A$2:$A$301,0))</f>
        <v>839</v>
      </c>
      <c r="L100" s="9" t="n">
        <f aca="false">INDEX('Commercial View'!$S$2:$S$301,MATCH($A100,'Commercial View'!$A$2:$A$301,0))</f>
        <v>0</v>
      </c>
      <c r="M100" s="17" t="n">
        <f aca="false">INDEX('Commercial View'!$T$2:$T$301,MATCH($A100,'Commercial View'!$A$2:$A$301,0))</f>
        <v>-1</v>
      </c>
      <c r="N100" s="2" t="str">
        <f aca="false">INDEX('Commercial View'!$U$2:$U$301,MATCH($A100,'Commercial View'!$A$2:$A$301,0))</f>
        <v>Lapsed</v>
      </c>
      <c r="O100" s="2" t="n">
        <v>2</v>
      </c>
      <c r="P100" s="2" t="n">
        <v>0</v>
      </c>
      <c r="Q100" s="2" t="n">
        <v>2</v>
      </c>
      <c r="R100" s="2" t="n">
        <v>10</v>
      </c>
      <c r="S100" s="2" t="n">
        <v>1</v>
      </c>
      <c r="T100" s="2" t="str">
        <f aca="false">IF(H100="Broker-Reliant",IF(J100="Tail","5. Cost-to-Serve / Low-Touch",IF(OR(N100="Growing",N100="Stable"),"1. Migration Candidate",IF(N100="Declining","2. Protect / Retain First",IF(N100="Lapsed","3. Win-Back / Verify",IF(N100="H2 Active / No H1 GMV","4. Establish / Re-establish / Observe","UNASSIGNED"))))),IF(G100="Low",IF(J100="Tail","9. Long-Tail Automated Nurture",IF(OR(N100="Growing",N100="Stable"),"6. Growth Opportunity",IF(N100="H2 Active / No H1 GMV","7. Onboard / Re-engage / Learn",IF(OR(N100="Declining",N100="Lapsed"),"8. Retention / Reactivation","UNASSIGNED")))),"UNASSIGNED"))</f>
        <v>9. Long-Tail Automated Nurture</v>
      </c>
      <c r="U100" s="10" t="b">
        <f aca="false">AND(T100="1. Migration Candidate",J100="Core",O100&gt;=Assumptions!$B$39,Q100&gt;=Assumptions!$B$40,NOT(Z100))</f>
        <v>0</v>
      </c>
      <c r="V100" s="2" t="n">
        <f aca="false">(AND(H100="Broker-Reliant",J100&lt;&gt;"Tail",OR(N100="Growing",N100="Stable")))*1+(AND(H100="Broker-Reliant",J100&lt;&gt;"Tail",N100="Declining"))*1+(AND(H100="Broker-Reliant",J100&lt;&gt;"Tail",N100="Lapsed"))*1+(AND(H100="Broker-Reliant",J100&lt;&gt;"Tail",N100="H2 Active / No H1 GMV"))*1+(AND(H100="Broker-Reliant",J100="Tail"))*1+(AND(G100="Low",J100&lt;&gt;"Tail",OR(N100="Growing",N100="Stable")))*1+(AND(G100="Low",J100&lt;&gt;"Tail",N100="H2 Active / No H1 GMV"))*1+(AND(G100="Low",J100&lt;&gt;"Tail",OR(N100="Declining",N100="Lapsed")))*1+(AND(G100="Low",J100="Tail"))*1</f>
        <v>1</v>
      </c>
      <c r="W100" s="2" t="n">
        <f aca="false">INDEX('Commercial View'!$V$2:$V$301,MATCH($A100,'Commercial View'!$A$2:$A$301,0))</f>
        <v>2</v>
      </c>
      <c r="X100" s="10" t="b">
        <f aca="false">O100&lt;=Assumptions!$B$30</f>
        <v>1</v>
      </c>
      <c r="Y100" s="10" t="b">
        <f aca="false">W100&lt;=1</f>
        <v>0</v>
      </c>
      <c r="Z100" s="10" t="b">
        <f aca="false">C100="Duplicate"</f>
        <v>0</v>
      </c>
      <c r="AA100" s="10" t="b">
        <f aca="false">C100=""</f>
        <v>1</v>
      </c>
      <c r="AB100" s="2" t="n">
        <f aca="false">IF(P100+Q100&gt;0,ROUND(P100/(P100+Q100)*100,0),"")</f>
        <v>0</v>
      </c>
      <c r="AC100" s="2" t="n">
        <f aca="false">IF(P100+Q100&gt;0,ROUND(E100-P100/(P100+Q100)*100,0),"")</f>
        <v>18</v>
      </c>
      <c r="AD100" s="10" t="b">
        <f aca="false">IF(AC100="",FALSE(),ABS(AC100)&gt;Assumptions!$B$41)</f>
        <v>1</v>
      </c>
      <c r="AE100" s="2" t="str">
        <f aca="false">IF(X100,"Low confidence (&lt;=2 orders); ","")&amp;IF(Y100,"Single-month history; ","")&amp;IF(Z100,"CRITICAL: Duplicate status; ","")&amp;IF(AA100,"Missing status; ","")&amp;IF(AD100,"Broker % vs counts gap "&amp;TEXT(AC100,"+0;-0")&amp;"pts; ","")</f>
        <v>Low confidence (&lt;=2 orders); Missing status; Broker % vs counts gap +18pts; </v>
      </c>
      <c r="AF100" s="2" t="str">
        <f aca="false">IF(AND(K100=0,L100&gt;0),IF(D100&lt;=Assumptions!$B$47,"New Customer","Returned Customer"),"Existing Customer")</f>
        <v>Existing Customer</v>
      </c>
      <c r="AG100" s="10" t="b">
        <f aca="false">AND(T100="1. Migration Candidate",J100="Key")</f>
        <v>0</v>
      </c>
      <c r="AH100" s="10" t="b">
        <f aca="false">IF(AND(K100&gt;0,L100&gt;0),OR(ABS(M100-Assumptions!$B$36)&lt;=Assumptions!$B$46,ABS(M100+Assumptions!$B$36)&lt;=Assumptions!$B$46),FALSE())</f>
        <v>0</v>
      </c>
      <c r="AI100" s="9" t="n">
        <f aca="false">INDEX('Commercial View'!$L$2:$L$301,MATCH($A100,'Commercial View'!$A$2:$A$301,0))+INDEX('Commercial View'!$M$2:$M$301,MATCH($A100,'Commercial View'!$A$2:$A$301,0))</f>
        <v>0</v>
      </c>
      <c r="AJ100" s="2" t="str">
        <f aca="false">IF(AND(K100=0,AI100=0),"No activity ex-Feb",IF(AI100=0,"Lapsed",IF(K100=0,"H2 Active / No H1 GMV",IF((AI100/2)/(K100/3)-1&gt;=Assumptions!$B$36,"Growing",IF((AI100/2)/(K100/3)-1&lt;-Assumptions!$B$36,"Declining","Stable")))))</f>
        <v>Lapsed</v>
      </c>
      <c r="AK100" s="10" t="b">
        <f aca="false">IF(OR(N100="Growing",N100="Stable"),"Healthy",N100)&lt;&gt;IF(OR(AJ100="Growing",AJ100="Stable"),"Healthy",AJ100)</f>
        <v>0</v>
      </c>
      <c r="AL100" s="2" t="str">
        <f aca="false">IF(N100="Lapsed",IF(OR(O100&lt;=Assumptions!$B$48,W100&lt;=Assumptions!$B$49),"One-Off / Insufficient History — Verify","Established Buyer Lapsed"),"N/A")</f>
        <v>One-Off / Insufficient History — Verify</v>
      </c>
      <c r="AM100" s="2" t="n">
        <f aca="false">INDEX('Scored Accounts'!$M$2:$M$301,MATCH($A100,'Scored Accounts'!$A$2:$A$301,0))</f>
        <v>0</v>
      </c>
      <c r="AN100" s="2" t="n">
        <f aca="false">IF((P100/(P100+Q100)*100)&lt;=Assumptions!$B$13,0,IF((P100/(P100+Q100)*100)&lt;Assumptions!$B$14,25,IF((P100/(P100+Q100)*100)&lt;Assumptions!$B$15,50,IF((P100/(P100+Q100)*100)&lt;Assumptions!$B$16,75,100))))</f>
        <v>0</v>
      </c>
      <c r="AO100" s="21" t="n">
        <f aca="false">IF((P100/(P100+Q100)*100)&lt;=Assumptions!$B$8,0,AN100*Assumptions!$B$4+INDEX('Scored Accounts'!$N$2:$N$301,MATCH($A100,'Scored Accounts'!$A$2:$A$301,0))*Assumptions!$B$5+INDEX('Scored Accounts'!$O$2:$O$301,MATCH($A100,'Scored Accounts'!$A$2:$A$301,0))*Assumptions!$B$6)</f>
        <v>0</v>
      </c>
      <c r="AP100" s="2" t="str">
        <f aca="false">IF(AO100&gt;=Assumptions!$B$9,"High",IF(AO100&gt;=Assumptions!$B$10,"Medium","Low"))</f>
        <v>Low</v>
      </c>
      <c r="AQ100" s="10" t="b">
        <f aca="false">OR((E100&lt;=Assumptions!$B$8)&lt;&gt;((P100/(P100+Q100)*100)&lt;=Assumptions!$B$8),AM100&lt;&gt;AN100,G100&lt;&gt;AP100)</f>
        <v>0</v>
      </c>
      <c r="AR100" s="2" t="str">
        <f aca="false">IF(AP100&lt;&gt;"Low","Broker-Reliant",IF(B100="Account Managed","AM-Owned / Self-Serving","Self-Serve"))</f>
        <v>AM-Owned / Self-Serving</v>
      </c>
      <c r="AS100" s="2" t="str">
        <f aca="false">IF(AR100="Broker-Reliant",IF(J100="Tail","5. Cost-to-Serve / Low-Touch",IF(OR(N100="Growing",N100="Stable"),"1. Migration Candidate",IF(N100="Declining","2. Protect / Retain First",IF(N100="Lapsed","3. Win-Back / Verify",IF(N100="H2 Active / No H1 GMV","4. Establish / Re-establish / Observe","UNASSIGNED"))))),IF(AP100="Low",IF(J100="Tail","9. Long-Tail Automated Nurture",IF(OR(N100="Growing",N100="Stable"),"6. Growth Opportunity",IF(N100="H2 Active / No H1 GMV","7. Onboard / Re-engage / Learn",IF(OR(N100="Declining",N100="Lapsed"),"8. Retention / Reactivation","UNASSIGNED")))),"UNASSIGNED"))</f>
        <v>9. Long-Tail Automated Nurture</v>
      </c>
      <c r="AT100" s="10" t="b">
        <f aca="false">AS100&lt;&gt;T100</f>
        <v>0</v>
      </c>
      <c r="AU100" s="2" t="str">
        <f aca="false">IF(NOT(U100),"Not Eligible",IF(OR(AQ100,AH100,AK100,NOT(AND(W100&gt;=Assumptions!$B$83,O100&gt;=Assumptions!$B$84))),"Manual Review","Ready"))</f>
        <v>Not Eligible</v>
      </c>
      <c r="AV100" s="2" t="str">
        <f aca="false">IF(AG100,"Key account - human sign-off required; ","")&amp;IF(AH100,"Borderline momentum; ","")&amp;IF(AK100,"February-sensitive ("&amp;N100&amp;" -&gt; "&amp;AJ100&amp;"); ","")&amp;IF(AL100="One-Off / Insufficient History — Verify","Lapsed on thin history - verify; ","")&amp;IF(AQ100,"Material broker % inconsistency (implied tier "&amp;AP100&amp;"); ","")&amp;IF(AT100,"Implied broker % would move segment to "&amp;AS100&amp;"; ","")</f>
        <v>Lapsed on thin history - verify; </v>
      </c>
      <c r="AW100" s="10" t="b">
        <f aca="false">AND(G100="Low",J100="Tail",I100&gt;=Assumptions!$B$64,O100&gt;=Assumptions!$B$65,OR(N100="Growing",N100="Stable",AND(N100="H2 Active / No H1 GMV",W100&gt;=2)),OR(R100&gt;=Assumptions!$B$66,S100&gt;=Assumptions!$B$67))</f>
        <v>0</v>
      </c>
    </row>
    <row r="101" customFormat="false" ht="15" hidden="false" customHeight="false" outlineLevel="0" collapsed="false">
      <c r="A101" s="2" t="s">
        <v>642</v>
      </c>
      <c r="B101" s="2" t="s">
        <v>1571</v>
      </c>
      <c r="C101" s="2"/>
      <c r="D101" s="2" t="n">
        <v>6</v>
      </c>
      <c r="E101" s="2" t="n">
        <v>7</v>
      </c>
      <c r="F101" s="21" t="n">
        <f aca="false">INDEX('Scored Accounts'!$Q$2:$Q$301,MATCH($A101,'Scored Accounts'!$A$2:$A$301,0))</f>
        <v>0</v>
      </c>
      <c r="G101" s="2" t="str">
        <f aca="false">INDEX('Scored Accounts'!$R$2:$R$301,MATCH($A101,'Scored Accounts'!$A$2:$A$301,0))</f>
        <v>Low</v>
      </c>
      <c r="H101" s="2" t="str">
        <f aca="false">IF(OR(G101="High",G101="Medium"),"Broker-Reliant",IF(AND(G101="Low",B101="Account Managed"),"AM-Owned / Self-Serving",IF(AND(G101="Low",B101="Self Serve"),"Self-Serve","UNASSIGNED")))</f>
        <v>AM-Owned / Self-Serving</v>
      </c>
      <c r="I101" s="9" t="n">
        <v>834</v>
      </c>
      <c r="J101" s="2" t="str">
        <f aca="false">IF(I101&gt;=Assumptions!$B$35,"Key",IF(I101&gt;=Assumptions!$B$34,"Core","Tail"))</f>
        <v>Tail</v>
      </c>
      <c r="K101" s="9" t="n">
        <f aca="false">INDEX('Commercial View'!$R$2:$R$301,MATCH($A101,'Commercial View'!$A$2:$A$301,0))</f>
        <v>834</v>
      </c>
      <c r="L101" s="9" t="n">
        <f aca="false">INDEX('Commercial View'!$S$2:$S$301,MATCH($A101,'Commercial View'!$A$2:$A$301,0))</f>
        <v>0</v>
      </c>
      <c r="M101" s="17" t="n">
        <f aca="false">INDEX('Commercial View'!$T$2:$T$301,MATCH($A101,'Commercial View'!$A$2:$A$301,0))</f>
        <v>-1</v>
      </c>
      <c r="N101" s="2" t="str">
        <f aca="false">INDEX('Commercial View'!$U$2:$U$301,MATCH($A101,'Commercial View'!$A$2:$A$301,0))</f>
        <v>Lapsed</v>
      </c>
      <c r="O101" s="2" t="n">
        <v>4</v>
      </c>
      <c r="P101" s="2" t="n">
        <v>0</v>
      </c>
      <c r="Q101" s="2" t="n">
        <v>4</v>
      </c>
      <c r="R101" s="2" t="n">
        <v>3</v>
      </c>
      <c r="S101" s="2" t="n">
        <v>0</v>
      </c>
      <c r="T101" s="2" t="str">
        <f aca="false">IF(H101="Broker-Reliant",IF(J101="Tail","5. Cost-to-Serve / Low-Touch",IF(OR(N101="Growing",N101="Stable"),"1. Migration Candidate",IF(N101="Declining","2. Protect / Retain First",IF(N101="Lapsed","3. Win-Back / Verify",IF(N101="H2 Active / No H1 GMV","4. Establish / Re-establish / Observe","UNASSIGNED"))))),IF(G101="Low",IF(J101="Tail","9. Long-Tail Automated Nurture",IF(OR(N101="Growing",N101="Stable"),"6. Growth Opportunity",IF(N101="H2 Active / No H1 GMV","7. Onboard / Re-engage / Learn",IF(OR(N101="Declining",N101="Lapsed"),"8. Retention / Reactivation","UNASSIGNED")))),"UNASSIGNED"))</f>
        <v>9. Long-Tail Automated Nurture</v>
      </c>
      <c r="U101" s="10" t="b">
        <f aca="false">AND(T101="1. Migration Candidate",J101="Core",O101&gt;=Assumptions!$B$39,Q101&gt;=Assumptions!$B$40,NOT(Z101))</f>
        <v>0</v>
      </c>
      <c r="V101" s="2" t="n">
        <f aca="false">(AND(H101="Broker-Reliant",J101&lt;&gt;"Tail",OR(N101="Growing",N101="Stable")))*1+(AND(H101="Broker-Reliant",J101&lt;&gt;"Tail",N101="Declining"))*1+(AND(H101="Broker-Reliant",J101&lt;&gt;"Tail",N101="Lapsed"))*1+(AND(H101="Broker-Reliant",J101&lt;&gt;"Tail",N101="H2 Active / No H1 GMV"))*1+(AND(H101="Broker-Reliant",J101="Tail"))*1+(AND(G101="Low",J101&lt;&gt;"Tail",OR(N101="Growing",N101="Stable")))*1+(AND(G101="Low",J101&lt;&gt;"Tail",N101="H2 Active / No H1 GMV"))*1+(AND(G101="Low",J101&lt;&gt;"Tail",OR(N101="Declining",N101="Lapsed")))*1+(AND(G101="Low",J101="Tail"))*1</f>
        <v>1</v>
      </c>
      <c r="W101" s="2" t="n">
        <f aca="false">INDEX('Commercial View'!$V$2:$V$301,MATCH($A101,'Commercial View'!$A$2:$A$301,0))</f>
        <v>2</v>
      </c>
      <c r="X101" s="10" t="b">
        <f aca="false">O101&lt;=Assumptions!$B$30</f>
        <v>0</v>
      </c>
      <c r="Y101" s="10" t="b">
        <f aca="false">W101&lt;=1</f>
        <v>0</v>
      </c>
      <c r="Z101" s="10" t="b">
        <f aca="false">C101="Duplicate"</f>
        <v>0</v>
      </c>
      <c r="AA101" s="10" t="b">
        <f aca="false">C101=""</f>
        <v>1</v>
      </c>
      <c r="AB101" s="2" t="n">
        <f aca="false">IF(P101+Q101&gt;0,ROUND(P101/(P101+Q101)*100,0),"")</f>
        <v>0</v>
      </c>
      <c r="AC101" s="2" t="n">
        <f aca="false">IF(P101+Q101&gt;0,ROUND(E101-P101/(P101+Q101)*100,0),"")</f>
        <v>7</v>
      </c>
      <c r="AD101" s="10" t="b">
        <f aca="false">IF(AC101="",FALSE(),ABS(AC101)&gt;Assumptions!$B$41)</f>
        <v>0</v>
      </c>
      <c r="AE101" s="2" t="str">
        <f aca="false">IF(X101,"Low confidence (&lt;=2 orders); ","")&amp;IF(Y101,"Single-month history; ","")&amp;IF(Z101,"CRITICAL: Duplicate status; ","")&amp;IF(AA101,"Missing status; ","")&amp;IF(AD101,"Broker % vs counts gap "&amp;TEXT(AC101,"+0;-0")&amp;"pts; ","")</f>
        <v>Missing status; </v>
      </c>
      <c r="AF101" s="2" t="str">
        <f aca="false">IF(AND(K101=0,L101&gt;0),IF(D101&lt;=Assumptions!$B$47,"New Customer","Returned Customer"),"Existing Customer")</f>
        <v>Existing Customer</v>
      </c>
      <c r="AG101" s="10" t="b">
        <f aca="false">AND(T101="1. Migration Candidate",J101="Key")</f>
        <v>0</v>
      </c>
      <c r="AH101" s="10" t="b">
        <f aca="false">IF(AND(K101&gt;0,L101&gt;0),OR(ABS(M101-Assumptions!$B$36)&lt;=Assumptions!$B$46,ABS(M101+Assumptions!$B$36)&lt;=Assumptions!$B$46),FALSE())</f>
        <v>0</v>
      </c>
      <c r="AI101" s="9" t="n">
        <f aca="false">INDEX('Commercial View'!$L$2:$L$301,MATCH($A101,'Commercial View'!$A$2:$A$301,0))+INDEX('Commercial View'!$M$2:$M$301,MATCH($A101,'Commercial View'!$A$2:$A$301,0))</f>
        <v>0</v>
      </c>
      <c r="AJ101" s="2" t="str">
        <f aca="false">IF(AND(K101=0,AI101=0),"No activity ex-Feb",IF(AI101=0,"Lapsed",IF(K101=0,"H2 Active / No H1 GMV",IF((AI101/2)/(K101/3)-1&gt;=Assumptions!$B$36,"Growing",IF((AI101/2)/(K101/3)-1&lt;-Assumptions!$B$36,"Declining","Stable")))))</f>
        <v>Lapsed</v>
      </c>
      <c r="AK101" s="10" t="b">
        <f aca="false">IF(OR(N101="Growing",N101="Stable"),"Healthy",N101)&lt;&gt;IF(OR(AJ101="Growing",AJ101="Stable"),"Healthy",AJ101)</f>
        <v>0</v>
      </c>
      <c r="AL101" s="2" t="str">
        <f aca="false">IF(N101="Lapsed",IF(OR(O101&lt;=Assumptions!$B$48,W101&lt;=Assumptions!$B$49),"One-Off / Insufficient History — Verify","Established Buyer Lapsed"),"N/A")</f>
        <v>Established Buyer Lapsed</v>
      </c>
      <c r="AM101" s="2" t="n">
        <f aca="false">INDEX('Scored Accounts'!$M$2:$M$301,MATCH($A101,'Scored Accounts'!$A$2:$A$301,0))</f>
        <v>0</v>
      </c>
      <c r="AN101" s="2" t="n">
        <f aca="false">IF((P101/(P101+Q101)*100)&lt;=Assumptions!$B$13,0,IF((P101/(P101+Q101)*100)&lt;Assumptions!$B$14,25,IF((P101/(P101+Q101)*100)&lt;Assumptions!$B$15,50,IF((P101/(P101+Q101)*100)&lt;Assumptions!$B$16,75,100))))</f>
        <v>0</v>
      </c>
      <c r="AO101" s="21" t="n">
        <f aca="false">IF((P101/(P101+Q101)*100)&lt;=Assumptions!$B$8,0,AN101*Assumptions!$B$4+INDEX('Scored Accounts'!$N$2:$N$301,MATCH($A101,'Scored Accounts'!$A$2:$A$301,0))*Assumptions!$B$5+INDEX('Scored Accounts'!$O$2:$O$301,MATCH($A101,'Scored Accounts'!$A$2:$A$301,0))*Assumptions!$B$6)</f>
        <v>0</v>
      </c>
      <c r="AP101" s="2" t="str">
        <f aca="false">IF(AO101&gt;=Assumptions!$B$9,"High",IF(AO101&gt;=Assumptions!$B$10,"Medium","Low"))</f>
        <v>Low</v>
      </c>
      <c r="AQ101" s="10" t="b">
        <f aca="false">OR((E101&lt;=Assumptions!$B$8)&lt;&gt;((P101/(P101+Q101)*100)&lt;=Assumptions!$B$8),AM101&lt;&gt;AN101,G101&lt;&gt;AP101)</f>
        <v>0</v>
      </c>
      <c r="AR101" s="2" t="str">
        <f aca="false">IF(AP101&lt;&gt;"Low","Broker-Reliant",IF(B101="Account Managed","AM-Owned / Self-Serving","Self-Serve"))</f>
        <v>AM-Owned / Self-Serving</v>
      </c>
      <c r="AS101" s="2" t="str">
        <f aca="false">IF(AR101="Broker-Reliant",IF(J101="Tail","5. Cost-to-Serve / Low-Touch",IF(OR(N101="Growing",N101="Stable"),"1. Migration Candidate",IF(N101="Declining","2. Protect / Retain First",IF(N101="Lapsed","3. Win-Back / Verify",IF(N101="H2 Active / No H1 GMV","4. Establish / Re-establish / Observe","UNASSIGNED"))))),IF(AP101="Low",IF(J101="Tail","9. Long-Tail Automated Nurture",IF(OR(N101="Growing",N101="Stable"),"6. Growth Opportunity",IF(N101="H2 Active / No H1 GMV","7. Onboard / Re-engage / Learn",IF(OR(N101="Declining",N101="Lapsed"),"8. Retention / Reactivation","UNASSIGNED")))),"UNASSIGNED"))</f>
        <v>9. Long-Tail Automated Nurture</v>
      </c>
      <c r="AT101" s="10" t="b">
        <f aca="false">AS101&lt;&gt;T101</f>
        <v>0</v>
      </c>
      <c r="AU101" s="2" t="str">
        <f aca="false">IF(NOT(U101),"Not Eligible",IF(OR(AQ101,AH101,AK101,NOT(AND(W101&gt;=Assumptions!$B$83,O101&gt;=Assumptions!$B$84))),"Manual Review","Ready"))</f>
        <v>Not Eligible</v>
      </c>
      <c r="AV101" s="2" t="str">
        <f aca="false">IF(AG101,"Key account - human sign-off required; ","")&amp;IF(AH101,"Borderline momentum; ","")&amp;IF(AK101,"February-sensitive ("&amp;N101&amp;" -&gt; "&amp;AJ101&amp;"); ","")&amp;IF(AL101="One-Off / Insufficient History — Verify","Lapsed on thin history - verify; ","")&amp;IF(AQ101,"Material broker % inconsistency (implied tier "&amp;AP101&amp;"); ","")&amp;IF(AT101,"Implied broker % would move segment to "&amp;AS101&amp;"; ","")</f>
        <v/>
      </c>
      <c r="AW101" s="10" t="b">
        <f aca="false">AND(G101="Low",J101="Tail",I101&gt;=Assumptions!$B$64,O101&gt;=Assumptions!$B$65,OR(N101="Growing",N101="Stable",AND(N101="H2 Active / No H1 GMV",W101&gt;=2)),OR(R101&gt;=Assumptions!$B$66,S101&gt;=Assumptions!$B$67))</f>
        <v>0</v>
      </c>
    </row>
    <row r="102" customFormat="false" ht="15" hidden="false" customHeight="false" outlineLevel="0" collapsed="false">
      <c r="A102" s="2" t="s">
        <v>644</v>
      </c>
      <c r="B102" s="2" t="s">
        <v>1571</v>
      </c>
      <c r="C102" s="2" t="s">
        <v>1572</v>
      </c>
      <c r="D102" s="2" t="n">
        <v>11</v>
      </c>
      <c r="E102" s="2" t="n">
        <v>18</v>
      </c>
      <c r="F102" s="21" t="n">
        <f aca="false">INDEX('Scored Accounts'!$Q$2:$Q$301,MATCH($A102,'Scored Accounts'!$A$2:$A$301,0))</f>
        <v>0</v>
      </c>
      <c r="G102" s="2" t="str">
        <f aca="false">INDEX('Scored Accounts'!$R$2:$R$301,MATCH($A102,'Scored Accounts'!$A$2:$A$301,0))</f>
        <v>Low</v>
      </c>
      <c r="H102" s="2" t="str">
        <f aca="false">IF(OR(G102="High",G102="Medium"),"Broker-Reliant",IF(AND(G102="Low",B102="Account Managed"),"AM-Owned / Self-Serving",IF(AND(G102="Low",B102="Self Serve"),"Self-Serve","UNASSIGNED")))</f>
        <v>AM-Owned / Self-Serving</v>
      </c>
      <c r="I102" s="9" t="n">
        <v>788</v>
      </c>
      <c r="J102" s="2" t="str">
        <f aca="false">IF(I102&gt;=Assumptions!$B$35,"Key",IF(I102&gt;=Assumptions!$B$34,"Core","Tail"))</f>
        <v>Tail</v>
      </c>
      <c r="K102" s="9" t="n">
        <f aca="false">INDEX('Commercial View'!$R$2:$R$301,MATCH($A102,'Commercial View'!$A$2:$A$301,0))</f>
        <v>0</v>
      </c>
      <c r="L102" s="9" t="n">
        <f aca="false">INDEX('Commercial View'!$S$2:$S$301,MATCH($A102,'Commercial View'!$A$2:$A$301,0))</f>
        <v>788</v>
      </c>
      <c r="M102" s="17" t="str">
        <f aca="false">INDEX('Commercial View'!$T$2:$T$301,MATCH($A102,'Commercial View'!$A$2:$A$301,0))</f>
        <v/>
      </c>
      <c r="N102" s="2" t="str">
        <f aca="false">INDEX('Commercial View'!$U$2:$U$301,MATCH($A102,'Commercial View'!$A$2:$A$301,0))</f>
        <v>H2 Active / No H1 GMV</v>
      </c>
      <c r="O102" s="2" t="n">
        <v>2</v>
      </c>
      <c r="P102" s="2" t="n">
        <v>0</v>
      </c>
      <c r="Q102" s="2" t="n">
        <v>2</v>
      </c>
      <c r="R102" s="2" t="n">
        <v>19</v>
      </c>
      <c r="S102" s="2" t="n">
        <v>5</v>
      </c>
      <c r="T102" s="2" t="str">
        <f aca="false">IF(H102="Broker-Reliant",IF(J102="Tail","5. Cost-to-Serve / Low-Touch",IF(OR(N102="Growing",N102="Stable"),"1. Migration Candidate",IF(N102="Declining","2. Protect / Retain First",IF(N102="Lapsed","3. Win-Back / Verify",IF(N102="H2 Active / No H1 GMV","4. Establish / Re-establish / Observe","UNASSIGNED"))))),IF(G102="Low",IF(J102="Tail","9. Long-Tail Automated Nurture",IF(OR(N102="Growing",N102="Stable"),"6. Growth Opportunity",IF(N102="H2 Active / No H1 GMV","7. Onboard / Re-engage / Learn",IF(OR(N102="Declining",N102="Lapsed"),"8. Retention / Reactivation","UNASSIGNED")))),"UNASSIGNED"))</f>
        <v>9. Long-Tail Automated Nurture</v>
      </c>
      <c r="U102" s="10" t="b">
        <f aca="false">AND(T102="1. Migration Candidate",J102="Core",O102&gt;=Assumptions!$B$39,Q102&gt;=Assumptions!$B$40,NOT(Z102))</f>
        <v>0</v>
      </c>
      <c r="V102" s="2" t="n">
        <f aca="false">(AND(H102="Broker-Reliant",J102&lt;&gt;"Tail",OR(N102="Growing",N102="Stable")))*1+(AND(H102="Broker-Reliant",J102&lt;&gt;"Tail",N102="Declining"))*1+(AND(H102="Broker-Reliant",J102&lt;&gt;"Tail",N102="Lapsed"))*1+(AND(H102="Broker-Reliant",J102&lt;&gt;"Tail",N102="H2 Active / No H1 GMV"))*1+(AND(H102="Broker-Reliant",J102="Tail"))*1+(AND(G102="Low",J102&lt;&gt;"Tail",OR(N102="Growing",N102="Stable")))*1+(AND(G102="Low",J102&lt;&gt;"Tail",N102="H2 Active / No H1 GMV"))*1+(AND(G102="Low",J102&lt;&gt;"Tail",OR(N102="Declining",N102="Lapsed")))*1+(AND(G102="Low",J102="Tail"))*1</f>
        <v>1</v>
      </c>
      <c r="W102" s="2" t="n">
        <f aca="false">INDEX('Commercial View'!$V$2:$V$301,MATCH($A102,'Commercial View'!$A$2:$A$301,0))</f>
        <v>1</v>
      </c>
      <c r="X102" s="10" t="b">
        <f aca="false">O102&lt;=Assumptions!$B$30</f>
        <v>1</v>
      </c>
      <c r="Y102" s="10" t="b">
        <f aca="false">W102&lt;=1</f>
        <v>1</v>
      </c>
      <c r="Z102" s="10" t="b">
        <f aca="false">C102="Duplicate"</f>
        <v>0</v>
      </c>
      <c r="AA102" s="10" t="b">
        <f aca="false">C102=""</f>
        <v>0</v>
      </c>
      <c r="AB102" s="2" t="n">
        <f aca="false">IF(P102+Q102&gt;0,ROUND(P102/(P102+Q102)*100,0),"")</f>
        <v>0</v>
      </c>
      <c r="AC102" s="2" t="n">
        <f aca="false">IF(P102+Q102&gt;0,ROUND(E102-P102/(P102+Q102)*100,0),"")</f>
        <v>18</v>
      </c>
      <c r="AD102" s="10" t="b">
        <f aca="false">IF(AC102="",FALSE(),ABS(AC102)&gt;Assumptions!$B$41)</f>
        <v>1</v>
      </c>
      <c r="AE102" s="2" t="str">
        <f aca="false">IF(X102,"Low confidence (&lt;=2 orders); ","")&amp;IF(Y102,"Single-month history; ","")&amp;IF(Z102,"CRITICAL: Duplicate status; ","")&amp;IF(AA102,"Missing status; ","")&amp;IF(AD102,"Broker % vs counts gap "&amp;TEXT(AC102,"+0;-0")&amp;"pts; ","")</f>
        <v>Low confidence (&lt;=2 orders); Single-month history; Broker % vs counts gap +18pts; </v>
      </c>
      <c r="AF102" s="2" t="str">
        <f aca="false">IF(AND(K102=0,L102&gt;0),IF(D102&lt;=Assumptions!$B$47,"New Customer","Returned Customer"),"Existing Customer")</f>
        <v>Returned Customer</v>
      </c>
      <c r="AG102" s="10" t="b">
        <f aca="false">AND(T102="1. Migration Candidate",J102="Key")</f>
        <v>0</v>
      </c>
      <c r="AH102" s="10" t="b">
        <f aca="false">IF(AND(K102&gt;0,L102&gt;0),OR(ABS(M102-Assumptions!$B$36)&lt;=Assumptions!$B$46,ABS(M102+Assumptions!$B$36)&lt;=Assumptions!$B$46),FALSE())</f>
        <v>0</v>
      </c>
      <c r="AI102" s="9" t="n">
        <f aca="false">INDEX('Commercial View'!$L$2:$L$301,MATCH($A102,'Commercial View'!$A$2:$A$301,0))+INDEX('Commercial View'!$M$2:$M$301,MATCH($A102,'Commercial View'!$A$2:$A$301,0))</f>
        <v>788</v>
      </c>
      <c r="AJ102" s="2" t="str">
        <f aca="false">IF(AND(K102=0,AI102=0),"No activity ex-Feb",IF(AI102=0,"Lapsed",IF(K102=0,"H2 Active / No H1 GMV",IF((AI102/2)/(K102/3)-1&gt;=Assumptions!$B$36,"Growing",IF((AI102/2)/(K102/3)-1&lt;-Assumptions!$B$36,"Declining","Stable")))))</f>
        <v>H2 Active / No H1 GMV</v>
      </c>
      <c r="AK102" s="10" t="b">
        <f aca="false">IF(OR(N102="Growing",N102="Stable"),"Healthy",N102)&lt;&gt;IF(OR(AJ102="Growing",AJ102="Stable"),"Healthy",AJ102)</f>
        <v>0</v>
      </c>
      <c r="AL102" s="2" t="str">
        <f aca="false">IF(N102="Lapsed",IF(OR(O102&lt;=Assumptions!$B$48,W102&lt;=Assumptions!$B$49),"One-Off / Insufficient History — Verify","Established Buyer Lapsed"),"N/A")</f>
        <v>N/A</v>
      </c>
      <c r="AM102" s="2" t="n">
        <f aca="false">INDEX('Scored Accounts'!$M$2:$M$301,MATCH($A102,'Scored Accounts'!$A$2:$A$301,0))</f>
        <v>0</v>
      </c>
      <c r="AN102" s="2" t="n">
        <f aca="false">IF((P102/(P102+Q102)*100)&lt;=Assumptions!$B$13,0,IF((P102/(P102+Q102)*100)&lt;Assumptions!$B$14,25,IF((P102/(P102+Q102)*100)&lt;Assumptions!$B$15,50,IF((P102/(P102+Q102)*100)&lt;Assumptions!$B$16,75,100))))</f>
        <v>0</v>
      </c>
      <c r="AO102" s="21" t="n">
        <f aca="false">IF((P102/(P102+Q102)*100)&lt;=Assumptions!$B$8,0,AN102*Assumptions!$B$4+INDEX('Scored Accounts'!$N$2:$N$301,MATCH($A102,'Scored Accounts'!$A$2:$A$301,0))*Assumptions!$B$5+INDEX('Scored Accounts'!$O$2:$O$301,MATCH($A102,'Scored Accounts'!$A$2:$A$301,0))*Assumptions!$B$6)</f>
        <v>0</v>
      </c>
      <c r="AP102" s="2" t="str">
        <f aca="false">IF(AO102&gt;=Assumptions!$B$9,"High",IF(AO102&gt;=Assumptions!$B$10,"Medium","Low"))</f>
        <v>Low</v>
      </c>
      <c r="AQ102" s="10" t="b">
        <f aca="false">OR((E102&lt;=Assumptions!$B$8)&lt;&gt;((P102/(P102+Q102)*100)&lt;=Assumptions!$B$8),AM102&lt;&gt;AN102,G102&lt;&gt;AP102)</f>
        <v>0</v>
      </c>
      <c r="AR102" s="2" t="str">
        <f aca="false">IF(AP102&lt;&gt;"Low","Broker-Reliant",IF(B102="Account Managed","AM-Owned / Self-Serving","Self-Serve"))</f>
        <v>AM-Owned / Self-Serving</v>
      </c>
      <c r="AS102" s="2" t="str">
        <f aca="false">IF(AR102="Broker-Reliant",IF(J102="Tail","5. Cost-to-Serve / Low-Touch",IF(OR(N102="Growing",N102="Stable"),"1. Migration Candidate",IF(N102="Declining","2. Protect / Retain First",IF(N102="Lapsed","3. Win-Back / Verify",IF(N102="H2 Active / No H1 GMV","4. Establish / Re-establish / Observe","UNASSIGNED"))))),IF(AP102="Low",IF(J102="Tail","9. Long-Tail Automated Nurture",IF(OR(N102="Growing",N102="Stable"),"6. Growth Opportunity",IF(N102="H2 Active / No H1 GMV","7. Onboard / Re-engage / Learn",IF(OR(N102="Declining",N102="Lapsed"),"8. Retention / Reactivation","UNASSIGNED")))),"UNASSIGNED"))</f>
        <v>9. Long-Tail Automated Nurture</v>
      </c>
      <c r="AT102" s="10" t="b">
        <f aca="false">AS102&lt;&gt;T102</f>
        <v>0</v>
      </c>
      <c r="AU102" s="2" t="str">
        <f aca="false">IF(NOT(U102),"Not Eligible",IF(OR(AQ102,AH102,AK102,NOT(AND(W102&gt;=Assumptions!$B$83,O102&gt;=Assumptions!$B$84))),"Manual Review","Ready"))</f>
        <v>Not Eligible</v>
      </c>
      <c r="AV102" s="2" t="str">
        <f aca="false">IF(AG102,"Key account - human sign-off required; ","")&amp;IF(AH102,"Borderline momentum; ","")&amp;IF(AK102,"February-sensitive ("&amp;N102&amp;" -&gt; "&amp;AJ102&amp;"); ","")&amp;IF(AL102="One-Off / Insufficient History — Verify","Lapsed on thin history - verify; ","")&amp;IF(AQ102,"Material broker % inconsistency (implied tier "&amp;AP102&amp;"); ","")&amp;IF(AT102,"Implied broker % would move segment to "&amp;AS102&amp;"; ","")</f>
        <v/>
      </c>
      <c r="AW102" s="10" t="b">
        <f aca="false">AND(G102="Low",J102="Tail",I102&gt;=Assumptions!$B$64,O102&gt;=Assumptions!$B$65,OR(N102="Growing",N102="Stable",AND(N102="H2 Active / No H1 GMV",W102&gt;=2)),OR(R102&gt;=Assumptions!$B$66,S102&gt;=Assumptions!$B$67))</f>
        <v>0</v>
      </c>
    </row>
    <row r="103" customFormat="false" ht="15" hidden="false" customHeight="false" outlineLevel="0" collapsed="false">
      <c r="A103" s="2" t="s">
        <v>647</v>
      </c>
      <c r="B103" s="2" t="s">
        <v>1571</v>
      </c>
      <c r="C103" s="2"/>
      <c r="D103" s="2" t="n">
        <v>6</v>
      </c>
      <c r="E103" s="2" t="n">
        <v>14</v>
      </c>
      <c r="F103" s="21" t="n">
        <f aca="false">INDEX('Scored Accounts'!$Q$2:$Q$301,MATCH($A103,'Scored Accounts'!$A$2:$A$301,0))</f>
        <v>0</v>
      </c>
      <c r="G103" s="2" t="str">
        <f aca="false">INDEX('Scored Accounts'!$R$2:$R$301,MATCH($A103,'Scored Accounts'!$A$2:$A$301,0))</f>
        <v>Low</v>
      </c>
      <c r="H103" s="2" t="str">
        <f aca="false">IF(OR(G103="High",G103="Medium"),"Broker-Reliant",IF(AND(G103="Low",B103="Account Managed"),"AM-Owned / Self-Serving",IF(AND(G103="Low",B103="Self Serve"),"Self-Serve","UNASSIGNED")))</f>
        <v>AM-Owned / Self-Serving</v>
      </c>
      <c r="I103" s="9" t="n">
        <v>763</v>
      </c>
      <c r="J103" s="2" t="str">
        <f aca="false">IF(I103&gt;=Assumptions!$B$35,"Key",IF(I103&gt;=Assumptions!$B$34,"Core","Tail"))</f>
        <v>Tail</v>
      </c>
      <c r="K103" s="9" t="n">
        <f aca="false">INDEX('Commercial View'!$R$2:$R$301,MATCH($A103,'Commercial View'!$A$2:$A$301,0))</f>
        <v>762</v>
      </c>
      <c r="L103" s="9" t="n">
        <f aca="false">INDEX('Commercial View'!$S$2:$S$301,MATCH($A103,'Commercial View'!$A$2:$A$301,0))</f>
        <v>0</v>
      </c>
      <c r="M103" s="17" t="n">
        <f aca="false">INDEX('Commercial View'!$T$2:$T$301,MATCH($A103,'Commercial View'!$A$2:$A$301,0))</f>
        <v>-1</v>
      </c>
      <c r="N103" s="2" t="str">
        <f aca="false">INDEX('Commercial View'!$U$2:$U$301,MATCH($A103,'Commercial View'!$A$2:$A$301,0))</f>
        <v>Lapsed</v>
      </c>
      <c r="O103" s="2" t="n">
        <v>2</v>
      </c>
      <c r="P103" s="2" t="n">
        <v>0</v>
      </c>
      <c r="Q103" s="2" t="n">
        <v>2</v>
      </c>
      <c r="R103" s="2" t="n">
        <v>15</v>
      </c>
      <c r="S103" s="2" t="n">
        <v>0</v>
      </c>
      <c r="T103" s="2" t="str">
        <f aca="false">IF(H103="Broker-Reliant",IF(J103="Tail","5. Cost-to-Serve / Low-Touch",IF(OR(N103="Growing",N103="Stable"),"1. Migration Candidate",IF(N103="Declining","2. Protect / Retain First",IF(N103="Lapsed","3. Win-Back / Verify",IF(N103="H2 Active / No H1 GMV","4. Establish / Re-establish / Observe","UNASSIGNED"))))),IF(G103="Low",IF(J103="Tail","9. Long-Tail Automated Nurture",IF(OR(N103="Growing",N103="Stable"),"6. Growth Opportunity",IF(N103="H2 Active / No H1 GMV","7. Onboard / Re-engage / Learn",IF(OR(N103="Declining",N103="Lapsed"),"8. Retention / Reactivation","UNASSIGNED")))),"UNASSIGNED"))</f>
        <v>9. Long-Tail Automated Nurture</v>
      </c>
      <c r="U103" s="10" t="b">
        <f aca="false">AND(T103="1. Migration Candidate",J103="Core",O103&gt;=Assumptions!$B$39,Q103&gt;=Assumptions!$B$40,NOT(Z103))</f>
        <v>0</v>
      </c>
      <c r="V103" s="2" t="n">
        <f aca="false">(AND(H103="Broker-Reliant",J103&lt;&gt;"Tail",OR(N103="Growing",N103="Stable")))*1+(AND(H103="Broker-Reliant",J103&lt;&gt;"Tail",N103="Declining"))*1+(AND(H103="Broker-Reliant",J103&lt;&gt;"Tail",N103="Lapsed"))*1+(AND(H103="Broker-Reliant",J103&lt;&gt;"Tail",N103="H2 Active / No H1 GMV"))*1+(AND(H103="Broker-Reliant",J103="Tail"))*1+(AND(G103="Low",J103&lt;&gt;"Tail",OR(N103="Growing",N103="Stable")))*1+(AND(G103="Low",J103&lt;&gt;"Tail",N103="H2 Active / No H1 GMV"))*1+(AND(G103="Low",J103&lt;&gt;"Tail",OR(N103="Declining",N103="Lapsed")))*1+(AND(G103="Low",J103="Tail"))*1</f>
        <v>1</v>
      </c>
      <c r="W103" s="2" t="n">
        <f aca="false">INDEX('Commercial View'!$V$2:$V$301,MATCH($A103,'Commercial View'!$A$2:$A$301,0))</f>
        <v>2</v>
      </c>
      <c r="X103" s="10" t="b">
        <f aca="false">O103&lt;=Assumptions!$B$30</f>
        <v>1</v>
      </c>
      <c r="Y103" s="10" t="b">
        <f aca="false">W103&lt;=1</f>
        <v>0</v>
      </c>
      <c r="Z103" s="10" t="b">
        <f aca="false">C103="Duplicate"</f>
        <v>0</v>
      </c>
      <c r="AA103" s="10" t="b">
        <f aca="false">C103=""</f>
        <v>1</v>
      </c>
      <c r="AB103" s="2" t="n">
        <f aca="false">IF(P103+Q103&gt;0,ROUND(P103/(P103+Q103)*100,0),"")</f>
        <v>0</v>
      </c>
      <c r="AC103" s="2" t="n">
        <f aca="false">IF(P103+Q103&gt;0,ROUND(E103-P103/(P103+Q103)*100,0),"")</f>
        <v>14</v>
      </c>
      <c r="AD103" s="10" t="b">
        <f aca="false">IF(AC103="",FALSE(),ABS(AC103)&gt;Assumptions!$B$41)</f>
        <v>1</v>
      </c>
      <c r="AE103" s="2" t="str">
        <f aca="false">IF(X103,"Low confidence (&lt;=2 orders); ","")&amp;IF(Y103,"Single-month history; ","")&amp;IF(Z103,"CRITICAL: Duplicate status; ","")&amp;IF(AA103,"Missing status; ","")&amp;IF(AD103,"Broker % vs counts gap "&amp;TEXT(AC103,"+0;-0")&amp;"pts; ","")</f>
        <v>Low confidence (&lt;=2 orders); Missing status; Broker % vs counts gap +14pts; </v>
      </c>
      <c r="AF103" s="2" t="str">
        <f aca="false">IF(AND(K103=0,L103&gt;0),IF(D103&lt;=Assumptions!$B$47,"New Customer","Returned Customer"),"Existing Customer")</f>
        <v>Existing Customer</v>
      </c>
      <c r="AG103" s="10" t="b">
        <f aca="false">AND(T103="1. Migration Candidate",J103="Key")</f>
        <v>0</v>
      </c>
      <c r="AH103" s="10" t="b">
        <f aca="false">IF(AND(K103&gt;0,L103&gt;0),OR(ABS(M103-Assumptions!$B$36)&lt;=Assumptions!$B$46,ABS(M103+Assumptions!$B$36)&lt;=Assumptions!$B$46),FALSE())</f>
        <v>0</v>
      </c>
      <c r="AI103" s="9" t="n">
        <f aca="false">INDEX('Commercial View'!$L$2:$L$301,MATCH($A103,'Commercial View'!$A$2:$A$301,0))+INDEX('Commercial View'!$M$2:$M$301,MATCH($A103,'Commercial View'!$A$2:$A$301,0))</f>
        <v>0</v>
      </c>
      <c r="AJ103" s="2" t="str">
        <f aca="false">IF(AND(K103=0,AI103=0),"No activity ex-Feb",IF(AI103=0,"Lapsed",IF(K103=0,"H2 Active / No H1 GMV",IF((AI103/2)/(K103/3)-1&gt;=Assumptions!$B$36,"Growing",IF((AI103/2)/(K103/3)-1&lt;-Assumptions!$B$36,"Declining","Stable")))))</f>
        <v>Lapsed</v>
      </c>
      <c r="AK103" s="10" t="b">
        <f aca="false">IF(OR(N103="Growing",N103="Stable"),"Healthy",N103)&lt;&gt;IF(OR(AJ103="Growing",AJ103="Stable"),"Healthy",AJ103)</f>
        <v>0</v>
      </c>
      <c r="AL103" s="2" t="str">
        <f aca="false">IF(N103="Lapsed",IF(OR(O103&lt;=Assumptions!$B$48,W103&lt;=Assumptions!$B$49),"One-Off / Insufficient History — Verify","Established Buyer Lapsed"),"N/A")</f>
        <v>One-Off / Insufficient History — Verify</v>
      </c>
      <c r="AM103" s="2" t="n">
        <f aca="false">INDEX('Scored Accounts'!$M$2:$M$301,MATCH($A103,'Scored Accounts'!$A$2:$A$301,0))</f>
        <v>0</v>
      </c>
      <c r="AN103" s="2" t="n">
        <f aca="false">IF((P103/(P103+Q103)*100)&lt;=Assumptions!$B$13,0,IF((P103/(P103+Q103)*100)&lt;Assumptions!$B$14,25,IF((P103/(P103+Q103)*100)&lt;Assumptions!$B$15,50,IF((P103/(P103+Q103)*100)&lt;Assumptions!$B$16,75,100))))</f>
        <v>0</v>
      </c>
      <c r="AO103" s="21" t="n">
        <f aca="false">IF((P103/(P103+Q103)*100)&lt;=Assumptions!$B$8,0,AN103*Assumptions!$B$4+INDEX('Scored Accounts'!$N$2:$N$301,MATCH($A103,'Scored Accounts'!$A$2:$A$301,0))*Assumptions!$B$5+INDEX('Scored Accounts'!$O$2:$O$301,MATCH($A103,'Scored Accounts'!$A$2:$A$301,0))*Assumptions!$B$6)</f>
        <v>0</v>
      </c>
      <c r="AP103" s="2" t="str">
        <f aca="false">IF(AO103&gt;=Assumptions!$B$9,"High",IF(AO103&gt;=Assumptions!$B$10,"Medium","Low"))</f>
        <v>Low</v>
      </c>
      <c r="AQ103" s="10" t="b">
        <f aca="false">OR((E103&lt;=Assumptions!$B$8)&lt;&gt;((P103/(P103+Q103)*100)&lt;=Assumptions!$B$8),AM103&lt;&gt;AN103,G103&lt;&gt;AP103)</f>
        <v>0</v>
      </c>
      <c r="AR103" s="2" t="str">
        <f aca="false">IF(AP103&lt;&gt;"Low","Broker-Reliant",IF(B103="Account Managed","AM-Owned / Self-Serving","Self-Serve"))</f>
        <v>AM-Owned / Self-Serving</v>
      </c>
      <c r="AS103" s="2" t="str">
        <f aca="false">IF(AR103="Broker-Reliant",IF(J103="Tail","5. Cost-to-Serve / Low-Touch",IF(OR(N103="Growing",N103="Stable"),"1. Migration Candidate",IF(N103="Declining","2. Protect / Retain First",IF(N103="Lapsed","3. Win-Back / Verify",IF(N103="H2 Active / No H1 GMV","4. Establish / Re-establish / Observe","UNASSIGNED"))))),IF(AP103="Low",IF(J103="Tail","9. Long-Tail Automated Nurture",IF(OR(N103="Growing",N103="Stable"),"6. Growth Opportunity",IF(N103="H2 Active / No H1 GMV","7. Onboard / Re-engage / Learn",IF(OR(N103="Declining",N103="Lapsed"),"8. Retention / Reactivation","UNASSIGNED")))),"UNASSIGNED"))</f>
        <v>9. Long-Tail Automated Nurture</v>
      </c>
      <c r="AT103" s="10" t="b">
        <f aca="false">AS103&lt;&gt;T103</f>
        <v>0</v>
      </c>
      <c r="AU103" s="2" t="str">
        <f aca="false">IF(NOT(U103),"Not Eligible",IF(OR(AQ103,AH103,AK103,NOT(AND(W103&gt;=Assumptions!$B$83,O103&gt;=Assumptions!$B$84))),"Manual Review","Ready"))</f>
        <v>Not Eligible</v>
      </c>
      <c r="AV103" s="2" t="str">
        <f aca="false">IF(AG103,"Key account - human sign-off required; ","")&amp;IF(AH103,"Borderline momentum; ","")&amp;IF(AK103,"February-sensitive ("&amp;N103&amp;" -&gt; "&amp;AJ103&amp;"); ","")&amp;IF(AL103="One-Off / Insufficient History — Verify","Lapsed on thin history - verify; ","")&amp;IF(AQ103,"Material broker % inconsistency (implied tier "&amp;AP103&amp;"); ","")&amp;IF(AT103,"Implied broker % would move segment to "&amp;AS103&amp;"; ","")</f>
        <v>Lapsed on thin history - verify; </v>
      </c>
      <c r="AW103" s="10" t="b">
        <f aca="false">AND(G103="Low",J103="Tail",I103&gt;=Assumptions!$B$64,O103&gt;=Assumptions!$B$65,OR(N103="Growing",N103="Stable",AND(N103="H2 Active / No H1 GMV",W103&gt;=2)),OR(R103&gt;=Assumptions!$B$66,S103&gt;=Assumptions!$B$67))</f>
        <v>0</v>
      </c>
    </row>
    <row r="104" customFormat="false" ht="15" hidden="false" customHeight="false" outlineLevel="0" collapsed="false">
      <c r="A104" s="2" t="s">
        <v>649</v>
      </c>
      <c r="B104" s="2" t="s">
        <v>1571</v>
      </c>
      <c r="C104" s="2" t="s">
        <v>1572</v>
      </c>
      <c r="D104" s="2" t="n">
        <v>29</v>
      </c>
      <c r="E104" s="2" t="n">
        <v>13</v>
      </c>
      <c r="F104" s="21" t="n">
        <f aca="false">INDEX('Scored Accounts'!$Q$2:$Q$301,MATCH($A104,'Scored Accounts'!$A$2:$A$301,0))</f>
        <v>0</v>
      </c>
      <c r="G104" s="2" t="str">
        <f aca="false">INDEX('Scored Accounts'!$R$2:$R$301,MATCH($A104,'Scored Accounts'!$A$2:$A$301,0))</f>
        <v>Low</v>
      </c>
      <c r="H104" s="2" t="str">
        <f aca="false">IF(OR(G104="High",G104="Medium"),"Broker-Reliant",IF(AND(G104="Low",B104="Account Managed"),"AM-Owned / Self-Serving",IF(AND(G104="Low",B104="Self Serve"),"Self-Serve","UNASSIGNED")))</f>
        <v>AM-Owned / Self-Serving</v>
      </c>
      <c r="I104" s="9" t="n">
        <v>757</v>
      </c>
      <c r="J104" s="2" t="str">
        <f aca="false">IF(I104&gt;=Assumptions!$B$35,"Key",IF(I104&gt;=Assumptions!$B$34,"Core","Tail"))</f>
        <v>Tail</v>
      </c>
      <c r="K104" s="9" t="n">
        <f aca="false">INDEX('Commercial View'!$R$2:$R$301,MATCH($A104,'Commercial View'!$A$2:$A$301,0))</f>
        <v>757</v>
      </c>
      <c r="L104" s="9" t="n">
        <f aca="false">INDEX('Commercial View'!$S$2:$S$301,MATCH($A104,'Commercial View'!$A$2:$A$301,0))</f>
        <v>0</v>
      </c>
      <c r="M104" s="17" t="n">
        <f aca="false">INDEX('Commercial View'!$T$2:$T$301,MATCH($A104,'Commercial View'!$A$2:$A$301,0))</f>
        <v>-1</v>
      </c>
      <c r="N104" s="2" t="str">
        <f aca="false">INDEX('Commercial View'!$U$2:$U$301,MATCH($A104,'Commercial View'!$A$2:$A$301,0))</f>
        <v>Lapsed</v>
      </c>
      <c r="O104" s="2" t="n">
        <v>1</v>
      </c>
      <c r="P104" s="2" t="n">
        <v>0</v>
      </c>
      <c r="Q104" s="2" t="n">
        <v>1</v>
      </c>
      <c r="R104" s="2" t="n">
        <v>42</v>
      </c>
      <c r="S104" s="2" t="n">
        <v>1</v>
      </c>
      <c r="T104" s="2" t="str">
        <f aca="false">IF(H104="Broker-Reliant",IF(J104="Tail","5. Cost-to-Serve / Low-Touch",IF(OR(N104="Growing",N104="Stable"),"1. Migration Candidate",IF(N104="Declining","2. Protect / Retain First",IF(N104="Lapsed","3. Win-Back / Verify",IF(N104="H2 Active / No H1 GMV","4. Establish / Re-establish / Observe","UNASSIGNED"))))),IF(G104="Low",IF(J104="Tail","9. Long-Tail Automated Nurture",IF(OR(N104="Growing",N104="Stable"),"6. Growth Opportunity",IF(N104="H2 Active / No H1 GMV","7. Onboard / Re-engage / Learn",IF(OR(N104="Declining",N104="Lapsed"),"8. Retention / Reactivation","UNASSIGNED")))),"UNASSIGNED"))</f>
        <v>9. Long-Tail Automated Nurture</v>
      </c>
      <c r="U104" s="10" t="b">
        <f aca="false">AND(T104="1. Migration Candidate",J104="Core",O104&gt;=Assumptions!$B$39,Q104&gt;=Assumptions!$B$40,NOT(Z104))</f>
        <v>0</v>
      </c>
      <c r="V104" s="2" t="n">
        <f aca="false">(AND(H104="Broker-Reliant",J104&lt;&gt;"Tail",OR(N104="Growing",N104="Stable")))*1+(AND(H104="Broker-Reliant",J104&lt;&gt;"Tail",N104="Declining"))*1+(AND(H104="Broker-Reliant",J104&lt;&gt;"Tail",N104="Lapsed"))*1+(AND(H104="Broker-Reliant",J104&lt;&gt;"Tail",N104="H2 Active / No H1 GMV"))*1+(AND(H104="Broker-Reliant",J104="Tail"))*1+(AND(G104="Low",J104&lt;&gt;"Tail",OR(N104="Growing",N104="Stable")))*1+(AND(G104="Low",J104&lt;&gt;"Tail",N104="H2 Active / No H1 GMV"))*1+(AND(G104="Low",J104&lt;&gt;"Tail",OR(N104="Declining",N104="Lapsed")))*1+(AND(G104="Low",J104="Tail"))*1</f>
        <v>1</v>
      </c>
      <c r="W104" s="2" t="n">
        <f aca="false">INDEX('Commercial View'!$V$2:$V$301,MATCH($A104,'Commercial View'!$A$2:$A$301,0))</f>
        <v>1</v>
      </c>
      <c r="X104" s="10" t="b">
        <f aca="false">O104&lt;=Assumptions!$B$30</f>
        <v>1</v>
      </c>
      <c r="Y104" s="10" t="b">
        <f aca="false">W104&lt;=1</f>
        <v>1</v>
      </c>
      <c r="Z104" s="10" t="b">
        <f aca="false">C104="Duplicate"</f>
        <v>0</v>
      </c>
      <c r="AA104" s="10" t="b">
        <f aca="false">C104=""</f>
        <v>0</v>
      </c>
      <c r="AB104" s="2" t="n">
        <f aca="false">IF(P104+Q104&gt;0,ROUND(P104/(P104+Q104)*100,0),"")</f>
        <v>0</v>
      </c>
      <c r="AC104" s="2" t="n">
        <f aca="false">IF(P104+Q104&gt;0,ROUND(E104-P104/(P104+Q104)*100,0),"")</f>
        <v>13</v>
      </c>
      <c r="AD104" s="10" t="b">
        <f aca="false">IF(AC104="",FALSE(),ABS(AC104)&gt;Assumptions!$B$41)</f>
        <v>1</v>
      </c>
      <c r="AE104" s="2" t="str">
        <f aca="false">IF(X104,"Low confidence (&lt;=2 orders); ","")&amp;IF(Y104,"Single-month history; ","")&amp;IF(Z104,"CRITICAL: Duplicate status; ","")&amp;IF(AA104,"Missing status; ","")&amp;IF(AD104,"Broker % vs counts gap "&amp;TEXT(AC104,"+0;-0")&amp;"pts; ","")</f>
        <v>Low confidence (&lt;=2 orders); Single-month history; Broker % vs counts gap +13pts; </v>
      </c>
      <c r="AF104" s="2" t="str">
        <f aca="false">IF(AND(K104=0,L104&gt;0),IF(D104&lt;=Assumptions!$B$47,"New Customer","Returned Customer"),"Existing Customer")</f>
        <v>Existing Customer</v>
      </c>
      <c r="AG104" s="10" t="b">
        <f aca="false">AND(T104="1. Migration Candidate",J104="Key")</f>
        <v>0</v>
      </c>
      <c r="AH104" s="10" t="b">
        <f aca="false">IF(AND(K104&gt;0,L104&gt;0),OR(ABS(M104-Assumptions!$B$36)&lt;=Assumptions!$B$46,ABS(M104+Assumptions!$B$36)&lt;=Assumptions!$B$46),FALSE())</f>
        <v>0</v>
      </c>
      <c r="AI104" s="9" t="n">
        <f aca="false">INDEX('Commercial View'!$L$2:$L$301,MATCH($A104,'Commercial View'!$A$2:$A$301,0))+INDEX('Commercial View'!$M$2:$M$301,MATCH($A104,'Commercial View'!$A$2:$A$301,0))</f>
        <v>0</v>
      </c>
      <c r="AJ104" s="2" t="str">
        <f aca="false">IF(AND(K104=0,AI104=0),"No activity ex-Feb",IF(AI104=0,"Lapsed",IF(K104=0,"H2 Active / No H1 GMV",IF((AI104/2)/(K104/3)-1&gt;=Assumptions!$B$36,"Growing",IF((AI104/2)/(K104/3)-1&lt;-Assumptions!$B$36,"Declining","Stable")))))</f>
        <v>Lapsed</v>
      </c>
      <c r="AK104" s="10" t="b">
        <f aca="false">IF(OR(N104="Growing",N104="Stable"),"Healthy",N104)&lt;&gt;IF(OR(AJ104="Growing",AJ104="Stable"),"Healthy",AJ104)</f>
        <v>0</v>
      </c>
      <c r="AL104" s="2" t="str">
        <f aca="false">IF(N104="Lapsed",IF(OR(O104&lt;=Assumptions!$B$48,W104&lt;=Assumptions!$B$49),"One-Off / Insufficient History — Verify","Established Buyer Lapsed"),"N/A")</f>
        <v>One-Off / Insufficient History — Verify</v>
      </c>
      <c r="AM104" s="2" t="n">
        <f aca="false">INDEX('Scored Accounts'!$M$2:$M$301,MATCH($A104,'Scored Accounts'!$A$2:$A$301,0))</f>
        <v>0</v>
      </c>
      <c r="AN104" s="2" t="n">
        <f aca="false">IF((P104/(P104+Q104)*100)&lt;=Assumptions!$B$13,0,IF((P104/(P104+Q104)*100)&lt;Assumptions!$B$14,25,IF((P104/(P104+Q104)*100)&lt;Assumptions!$B$15,50,IF((P104/(P104+Q104)*100)&lt;Assumptions!$B$16,75,100))))</f>
        <v>0</v>
      </c>
      <c r="AO104" s="21" t="n">
        <f aca="false">IF((P104/(P104+Q104)*100)&lt;=Assumptions!$B$8,0,AN104*Assumptions!$B$4+INDEX('Scored Accounts'!$N$2:$N$301,MATCH($A104,'Scored Accounts'!$A$2:$A$301,0))*Assumptions!$B$5+INDEX('Scored Accounts'!$O$2:$O$301,MATCH($A104,'Scored Accounts'!$A$2:$A$301,0))*Assumptions!$B$6)</f>
        <v>0</v>
      </c>
      <c r="AP104" s="2" t="str">
        <f aca="false">IF(AO104&gt;=Assumptions!$B$9,"High",IF(AO104&gt;=Assumptions!$B$10,"Medium","Low"))</f>
        <v>Low</v>
      </c>
      <c r="AQ104" s="10" t="b">
        <f aca="false">OR((E104&lt;=Assumptions!$B$8)&lt;&gt;((P104/(P104+Q104)*100)&lt;=Assumptions!$B$8),AM104&lt;&gt;AN104,G104&lt;&gt;AP104)</f>
        <v>0</v>
      </c>
      <c r="AR104" s="2" t="str">
        <f aca="false">IF(AP104&lt;&gt;"Low","Broker-Reliant",IF(B104="Account Managed","AM-Owned / Self-Serving","Self-Serve"))</f>
        <v>AM-Owned / Self-Serving</v>
      </c>
      <c r="AS104" s="2" t="str">
        <f aca="false">IF(AR104="Broker-Reliant",IF(J104="Tail","5. Cost-to-Serve / Low-Touch",IF(OR(N104="Growing",N104="Stable"),"1. Migration Candidate",IF(N104="Declining","2. Protect / Retain First",IF(N104="Lapsed","3. Win-Back / Verify",IF(N104="H2 Active / No H1 GMV","4. Establish / Re-establish / Observe","UNASSIGNED"))))),IF(AP104="Low",IF(J104="Tail","9. Long-Tail Automated Nurture",IF(OR(N104="Growing",N104="Stable"),"6. Growth Opportunity",IF(N104="H2 Active / No H1 GMV","7. Onboard / Re-engage / Learn",IF(OR(N104="Declining",N104="Lapsed"),"8. Retention / Reactivation","UNASSIGNED")))),"UNASSIGNED"))</f>
        <v>9. Long-Tail Automated Nurture</v>
      </c>
      <c r="AT104" s="10" t="b">
        <f aca="false">AS104&lt;&gt;T104</f>
        <v>0</v>
      </c>
      <c r="AU104" s="2" t="str">
        <f aca="false">IF(NOT(U104),"Not Eligible",IF(OR(AQ104,AH104,AK104,NOT(AND(W104&gt;=Assumptions!$B$83,O104&gt;=Assumptions!$B$84))),"Manual Review","Ready"))</f>
        <v>Not Eligible</v>
      </c>
      <c r="AV104" s="2" t="str">
        <f aca="false">IF(AG104,"Key account - human sign-off required; ","")&amp;IF(AH104,"Borderline momentum; ","")&amp;IF(AK104,"February-sensitive ("&amp;N104&amp;" -&gt; "&amp;AJ104&amp;"); ","")&amp;IF(AL104="One-Off / Insufficient History — Verify","Lapsed on thin history - verify; ","")&amp;IF(AQ104,"Material broker % inconsistency (implied tier "&amp;AP104&amp;"); ","")&amp;IF(AT104,"Implied broker % would move segment to "&amp;AS104&amp;"; ","")</f>
        <v>Lapsed on thin history - verify; </v>
      </c>
      <c r="AW104" s="10" t="b">
        <f aca="false">AND(G104="Low",J104="Tail",I104&gt;=Assumptions!$B$64,O104&gt;=Assumptions!$B$65,OR(N104="Growing",N104="Stable",AND(N104="H2 Active / No H1 GMV",W104&gt;=2)),OR(R104&gt;=Assumptions!$B$66,S104&gt;=Assumptions!$B$67))</f>
        <v>0</v>
      </c>
    </row>
    <row r="105" customFormat="false" ht="15" hidden="false" customHeight="false" outlineLevel="0" collapsed="false">
      <c r="A105" s="2" t="s">
        <v>556</v>
      </c>
      <c r="B105" s="2" t="s">
        <v>1571</v>
      </c>
      <c r="C105" s="2" t="s">
        <v>1572</v>
      </c>
      <c r="D105" s="2" t="n">
        <v>18</v>
      </c>
      <c r="E105" s="2" t="n">
        <v>53</v>
      </c>
      <c r="F105" s="21" t="n">
        <f aca="false">INDEX('Scored Accounts'!$Q$2:$Q$301,MATCH($A105,'Scored Accounts'!$A$2:$A$301,0))</f>
        <v>65</v>
      </c>
      <c r="G105" s="2" t="str">
        <f aca="false">INDEX('Scored Accounts'!$R$2:$R$301,MATCH($A105,'Scored Accounts'!$A$2:$A$301,0))</f>
        <v>Medium</v>
      </c>
      <c r="H105" s="2" t="str">
        <f aca="false">IF(OR(G105="High",G105="Medium"),"Broker-Reliant",IF(AND(G105="Low",B105="Account Managed"),"AM-Owned / Self-Serving",IF(AND(G105="Low",B105="Self Serve"),"Self-Serve","UNASSIGNED")))</f>
        <v>Broker-Reliant</v>
      </c>
      <c r="I105" s="9" t="n">
        <v>718</v>
      </c>
      <c r="J105" s="2" t="str">
        <f aca="false">IF(I105&gt;=Assumptions!$B$35,"Key",IF(I105&gt;=Assumptions!$B$34,"Core","Tail"))</f>
        <v>Tail</v>
      </c>
      <c r="K105" s="9" t="n">
        <f aca="false">INDEX('Commercial View'!$R$2:$R$301,MATCH($A105,'Commercial View'!$A$2:$A$301,0))</f>
        <v>383</v>
      </c>
      <c r="L105" s="9" t="n">
        <f aca="false">INDEX('Commercial View'!$S$2:$S$301,MATCH($A105,'Commercial View'!$A$2:$A$301,0))</f>
        <v>335</v>
      </c>
      <c r="M105" s="17" t="n">
        <f aca="false">INDEX('Commercial View'!$T$2:$T$301,MATCH($A105,'Commercial View'!$A$2:$A$301,0))</f>
        <v>-0.12532637075718</v>
      </c>
      <c r="N105" s="2" t="str">
        <f aca="false">INDEX('Commercial View'!$U$2:$U$301,MATCH($A105,'Commercial View'!$A$2:$A$301,0))</f>
        <v>Stable</v>
      </c>
      <c r="O105" s="2" t="n">
        <v>2</v>
      </c>
      <c r="P105" s="2" t="n">
        <v>1</v>
      </c>
      <c r="Q105" s="2" t="n">
        <v>1</v>
      </c>
      <c r="R105" s="2" t="n">
        <v>3</v>
      </c>
      <c r="S105" s="2" t="n">
        <v>2</v>
      </c>
      <c r="T105" s="2" t="str">
        <f aca="false">IF(H105="Broker-Reliant",IF(J105="Tail","5. Cost-to-Serve / Low-Touch",IF(OR(N105="Growing",N105="Stable"),"1. Migration Candidate",IF(N105="Declining","2. Protect / Retain First",IF(N105="Lapsed","3. Win-Back / Verify",IF(N105="H2 Active / No H1 GMV","4. Establish / Re-establish / Observe","UNASSIGNED"))))),IF(G105="Low",IF(J105="Tail","9. Long-Tail Automated Nurture",IF(OR(N105="Growing",N105="Stable"),"6. Growth Opportunity",IF(N105="H2 Active / No H1 GMV","7. Onboard / Re-engage / Learn",IF(OR(N105="Declining",N105="Lapsed"),"8. Retention / Reactivation","UNASSIGNED")))),"UNASSIGNED"))</f>
        <v>5. Cost-to-Serve / Low-Touch</v>
      </c>
      <c r="U105" s="10" t="b">
        <f aca="false">AND(T105="1. Migration Candidate",J105="Core",O105&gt;=Assumptions!$B$39,Q105&gt;=Assumptions!$B$40,NOT(Z105))</f>
        <v>0</v>
      </c>
      <c r="V105" s="2" t="n">
        <f aca="false">(AND(H105="Broker-Reliant",J105&lt;&gt;"Tail",OR(N105="Growing",N105="Stable")))*1+(AND(H105="Broker-Reliant",J105&lt;&gt;"Tail",N105="Declining"))*1+(AND(H105="Broker-Reliant",J105&lt;&gt;"Tail",N105="Lapsed"))*1+(AND(H105="Broker-Reliant",J105&lt;&gt;"Tail",N105="H2 Active / No H1 GMV"))*1+(AND(H105="Broker-Reliant",J105="Tail"))*1+(AND(G105="Low",J105&lt;&gt;"Tail",OR(N105="Growing",N105="Stable")))*1+(AND(G105="Low",J105&lt;&gt;"Tail",N105="H2 Active / No H1 GMV"))*1+(AND(G105="Low",J105&lt;&gt;"Tail",OR(N105="Declining",N105="Lapsed")))*1+(AND(G105="Low",J105="Tail"))*1</f>
        <v>1</v>
      </c>
      <c r="W105" s="2" t="n">
        <f aca="false">INDEX('Commercial View'!$V$2:$V$301,MATCH($A105,'Commercial View'!$A$2:$A$301,0))</f>
        <v>2</v>
      </c>
      <c r="X105" s="10" t="b">
        <f aca="false">O105&lt;=Assumptions!$B$30</f>
        <v>1</v>
      </c>
      <c r="Y105" s="10" t="b">
        <f aca="false">W105&lt;=1</f>
        <v>0</v>
      </c>
      <c r="Z105" s="10" t="b">
        <f aca="false">C105="Duplicate"</f>
        <v>0</v>
      </c>
      <c r="AA105" s="10" t="b">
        <f aca="false">C105=""</f>
        <v>0</v>
      </c>
      <c r="AB105" s="2" t="n">
        <f aca="false">IF(P105+Q105&gt;0,ROUND(P105/(P105+Q105)*100,0),"")</f>
        <v>50</v>
      </c>
      <c r="AC105" s="2" t="n">
        <f aca="false">IF(P105+Q105&gt;0,ROUND(E105-P105/(P105+Q105)*100,0),"")</f>
        <v>3</v>
      </c>
      <c r="AD105" s="10" t="b">
        <f aca="false">IF(AC105="",FALSE(),ABS(AC105)&gt;Assumptions!$B$41)</f>
        <v>0</v>
      </c>
      <c r="AE105" s="2" t="str">
        <f aca="false">IF(X105,"Low confidence (&lt;=2 orders); ","")&amp;IF(Y105,"Single-month history; ","")&amp;IF(Z105,"CRITICAL: Duplicate status; ","")&amp;IF(AA105,"Missing status; ","")&amp;IF(AD105,"Broker % vs counts gap "&amp;TEXT(AC105,"+0;-0")&amp;"pts; ","")</f>
        <v>Low confidence (&lt;=2 orders); </v>
      </c>
      <c r="AF105" s="2" t="str">
        <f aca="false">IF(AND(K105=0,L105&gt;0),IF(D105&lt;=Assumptions!$B$47,"New Customer","Returned Customer"),"Existing Customer")</f>
        <v>Existing Customer</v>
      </c>
      <c r="AG105" s="10" t="b">
        <f aca="false">AND(T105="1. Migration Candidate",J105="Key")</f>
        <v>0</v>
      </c>
      <c r="AH105" s="10" t="b">
        <f aca="false">IF(AND(K105&gt;0,L105&gt;0),OR(ABS(M105-Assumptions!$B$36)&lt;=Assumptions!$B$46,ABS(M105+Assumptions!$B$36)&lt;=Assumptions!$B$46),FALSE())</f>
        <v>0</v>
      </c>
      <c r="AI105" s="9" t="n">
        <f aca="false">INDEX('Commercial View'!$L$2:$L$301,MATCH($A105,'Commercial View'!$A$2:$A$301,0))+INDEX('Commercial View'!$M$2:$M$301,MATCH($A105,'Commercial View'!$A$2:$A$301,0))</f>
        <v>335</v>
      </c>
      <c r="AJ105" s="2" t="str">
        <f aca="false">IF(AND(K105=0,AI105=0),"No activity ex-Feb",IF(AI105=0,"Lapsed",IF(K105=0,"H2 Active / No H1 GMV",IF((AI105/2)/(K105/3)-1&gt;=Assumptions!$B$36,"Growing",IF((AI105/2)/(K105/3)-1&lt;-Assumptions!$B$36,"Declining","Stable")))))</f>
        <v>Growing</v>
      </c>
      <c r="AK105" s="10" t="b">
        <f aca="false">IF(OR(N105="Growing",N105="Stable"),"Healthy",N105)&lt;&gt;IF(OR(AJ105="Growing",AJ105="Stable"),"Healthy",AJ105)</f>
        <v>0</v>
      </c>
      <c r="AL105" s="2" t="str">
        <f aca="false">IF(N105="Lapsed",IF(OR(O105&lt;=Assumptions!$B$48,W105&lt;=Assumptions!$B$49),"One-Off / Insufficient History — Verify","Established Buyer Lapsed"),"N/A")</f>
        <v>N/A</v>
      </c>
      <c r="AM105" s="2" t="n">
        <f aca="false">INDEX('Scored Accounts'!$M$2:$M$301,MATCH($A105,'Scored Accounts'!$A$2:$A$301,0))</f>
        <v>50</v>
      </c>
      <c r="AN105" s="2" t="n">
        <f aca="false">IF((P105/(P105+Q105)*100)&lt;=Assumptions!$B$13,0,IF((P105/(P105+Q105)*100)&lt;Assumptions!$B$14,25,IF((P105/(P105+Q105)*100)&lt;Assumptions!$B$15,50,IF((P105/(P105+Q105)*100)&lt;Assumptions!$B$16,75,100))))</f>
        <v>50</v>
      </c>
      <c r="AO105" s="21" t="n">
        <f aca="false">IF((P105/(P105+Q105)*100)&lt;=Assumptions!$B$8,0,AN105*Assumptions!$B$4+INDEX('Scored Accounts'!$N$2:$N$301,MATCH($A105,'Scored Accounts'!$A$2:$A$301,0))*Assumptions!$B$5+INDEX('Scored Accounts'!$O$2:$O$301,MATCH($A105,'Scored Accounts'!$A$2:$A$301,0))*Assumptions!$B$6)</f>
        <v>65</v>
      </c>
      <c r="AP105" s="2" t="str">
        <f aca="false">IF(AO105&gt;=Assumptions!$B$9,"High",IF(AO105&gt;=Assumptions!$B$10,"Medium","Low"))</f>
        <v>Medium</v>
      </c>
      <c r="AQ105" s="10" t="b">
        <f aca="false">OR((E105&lt;=Assumptions!$B$8)&lt;&gt;((P105/(P105+Q105)*100)&lt;=Assumptions!$B$8),AM105&lt;&gt;AN105,G105&lt;&gt;AP105)</f>
        <v>0</v>
      </c>
      <c r="AR105" s="2" t="str">
        <f aca="false">IF(AP105&lt;&gt;"Low","Broker-Reliant",IF(B105="Account Managed","AM-Owned / Self-Serving","Self-Serve"))</f>
        <v>Broker-Reliant</v>
      </c>
      <c r="AS105" s="2" t="str">
        <f aca="false">IF(AR105="Broker-Reliant",IF(J105="Tail","5. Cost-to-Serve / Low-Touch",IF(OR(N105="Growing",N105="Stable"),"1. Migration Candidate",IF(N105="Declining","2. Protect / Retain First",IF(N105="Lapsed","3. Win-Back / Verify",IF(N105="H2 Active / No H1 GMV","4. Establish / Re-establish / Observe","UNASSIGNED"))))),IF(AP105="Low",IF(J105="Tail","9. Long-Tail Automated Nurture",IF(OR(N105="Growing",N105="Stable"),"6. Growth Opportunity",IF(N105="H2 Active / No H1 GMV","7. Onboard / Re-engage / Learn",IF(OR(N105="Declining",N105="Lapsed"),"8. Retention / Reactivation","UNASSIGNED")))),"UNASSIGNED"))</f>
        <v>5. Cost-to-Serve / Low-Touch</v>
      </c>
      <c r="AT105" s="10" t="b">
        <f aca="false">AS105&lt;&gt;T105</f>
        <v>0</v>
      </c>
      <c r="AU105" s="2" t="str">
        <f aca="false">IF(NOT(U105),"Not Eligible",IF(OR(AQ105,AH105,AK105,NOT(AND(W105&gt;=Assumptions!$B$83,O105&gt;=Assumptions!$B$84))),"Manual Review","Ready"))</f>
        <v>Not Eligible</v>
      </c>
      <c r="AV105" s="2" t="str">
        <f aca="false">IF(AG105,"Key account - human sign-off required; ","")&amp;IF(AH105,"Borderline momentum; ","")&amp;IF(AK105,"February-sensitive ("&amp;N105&amp;" -&gt; "&amp;AJ105&amp;"); ","")&amp;IF(AL105="One-Off / Insufficient History — Verify","Lapsed on thin history - verify; ","")&amp;IF(AQ105,"Material broker % inconsistency (implied tier "&amp;AP105&amp;"); ","")&amp;IF(AT105,"Implied broker % would move segment to "&amp;AS105&amp;"; ","")</f>
        <v/>
      </c>
      <c r="AW105" s="10" t="b">
        <f aca="false">AND(G105="Low",J105="Tail",I105&gt;=Assumptions!$B$64,O105&gt;=Assumptions!$B$65,OR(N105="Growing",N105="Stable",AND(N105="H2 Active / No H1 GMV",W105&gt;=2)),OR(R105&gt;=Assumptions!$B$66,S105&gt;=Assumptions!$B$67))</f>
        <v>0</v>
      </c>
    </row>
    <row r="106" customFormat="false" ht="15" hidden="false" customHeight="false" outlineLevel="0" collapsed="false">
      <c r="A106" s="2" t="s">
        <v>651</v>
      </c>
      <c r="B106" s="2" t="s">
        <v>1571</v>
      </c>
      <c r="C106" s="2" t="s">
        <v>1572</v>
      </c>
      <c r="D106" s="2" t="n">
        <v>6</v>
      </c>
      <c r="E106" s="2" t="n">
        <v>82</v>
      </c>
      <c r="F106" s="21" t="n">
        <f aca="false">INDEX('Scored Accounts'!$Q$2:$Q$301,MATCH($A106,'Scored Accounts'!$A$2:$A$301,0))</f>
        <v>95</v>
      </c>
      <c r="G106" s="2" t="str">
        <f aca="false">INDEX('Scored Accounts'!$R$2:$R$301,MATCH($A106,'Scored Accounts'!$A$2:$A$301,0))</f>
        <v>High</v>
      </c>
      <c r="H106" s="2" t="str">
        <f aca="false">IF(OR(G106="High",G106="Medium"),"Broker-Reliant",IF(AND(G106="Low",B106="Account Managed"),"AM-Owned / Self-Serving",IF(AND(G106="Low",B106="Self Serve"),"Self-Serve","UNASSIGNED")))</f>
        <v>Broker-Reliant</v>
      </c>
      <c r="I106" s="9" t="n">
        <v>710</v>
      </c>
      <c r="J106" s="2" t="str">
        <f aca="false">IF(I106&gt;=Assumptions!$B$35,"Key",IF(I106&gt;=Assumptions!$B$34,"Core","Tail"))</f>
        <v>Tail</v>
      </c>
      <c r="K106" s="9" t="n">
        <f aca="false">INDEX('Commercial View'!$R$2:$R$301,MATCH($A106,'Commercial View'!$A$2:$A$301,0))</f>
        <v>710</v>
      </c>
      <c r="L106" s="9" t="n">
        <f aca="false">INDEX('Commercial View'!$S$2:$S$301,MATCH($A106,'Commercial View'!$A$2:$A$301,0))</f>
        <v>0</v>
      </c>
      <c r="M106" s="17" t="n">
        <f aca="false">INDEX('Commercial View'!$T$2:$T$301,MATCH($A106,'Commercial View'!$A$2:$A$301,0))</f>
        <v>-1</v>
      </c>
      <c r="N106" s="2" t="str">
        <f aca="false">INDEX('Commercial View'!$U$2:$U$301,MATCH($A106,'Commercial View'!$A$2:$A$301,0))</f>
        <v>Lapsed</v>
      </c>
      <c r="O106" s="2" t="n">
        <v>1</v>
      </c>
      <c r="P106" s="2" t="n">
        <v>1</v>
      </c>
      <c r="Q106" s="2" t="n">
        <v>0</v>
      </c>
      <c r="R106" s="2" t="n">
        <v>4</v>
      </c>
      <c r="S106" s="2" t="n">
        <v>1</v>
      </c>
      <c r="T106" s="2" t="str">
        <f aca="false">IF(H106="Broker-Reliant",IF(J106="Tail","5. Cost-to-Serve / Low-Touch",IF(OR(N106="Growing",N106="Stable"),"1. Migration Candidate",IF(N106="Declining","2. Protect / Retain First",IF(N106="Lapsed","3. Win-Back / Verify",IF(N106="H2 Active / No H1 GMV","4. Establish / Re-establish / Observe","UNASSIGNED"))))),IF(G106="Low",IF(J106="Tail","9. Long-Tail Automated Nurture",IF(OR(N106="Growing",N106="Stable"),"6. Growth Opportunity",IF(N106="H2 Active / No H1 GMV","7. Onboard / Re-engage / Learn",IF(OR(N106="Declining",N106="Lapsed"),"8. Retention / Reactivation","UNASSIGNED")))),"UNASSIGNED"))</f>
        <v>5. Cost-to-Serve / Low-Touch</v>
      </c>
      <c r="U106" s="10" t="b">
        <f aca="false">AND(T106="1. Migration Candidate",J106="Core",O106&gt;=Assumptions!$B$39,Q106&gt;=Assumptions!$B$40,NOT(Z106))</f>
        <v>0</v>
      </c>
      <c r="V106" s="2" t="n">
        <f aca="false">(AND(H106="Broker-Reliant",J106&lt;&gt;"Tail",OR(N106="Growing",N106="Stable")))*1+(AND(H106="Broker-Reliant",J106&lt;&gt;"Tail",N106="Declining"))*1+(AND(H106="Broker-Reliant",J106&lt;&gt;"Tail",N106="Lapsed"))*1+(AND(H106="Broker-Reliant",J106&lt;&gt;"Tail",N106="H2 Active / No H1 GMV"))*1+(AND(H106="Broker-Reliant",J106="Tail"))*1+(AND(G106="Low",J106&lt;&gt;"Tail",OR(N106="Growing",N106="Stable")))*1+(AND(G106="Low",J106&lt;&gt;"Tail",N106="H2 Active / No H1 GMV"))*1+(AND(G106="Low",J106&lt;&gt;"Tail",OR(N106="Declining",N106="Lapsed")))*1+(AND(G106="Low",J106="Tail"))*1</f>
        <v>1</v>
      </c>
      <c r="W106" s="2" t="n">
        <f aca="false">INDEX('Commercial View'!$V$2:$V$301,MATCH($A106,'Commercial View'!$A$2:$A$301,0))</f>
        <v>1</v>
      </c>
      <c r="X106" s="10" t="b">
        <f aca="false">O106&lt;=Assumptions!$B$30</f>
        <v>1</v>
      </c>
      <c r="Y106" s="10" t="b">
        <f aca="false">W106&lt;=1</f>
        <v>1</v>
      </c>
      <c r="Z106" s="10" t="b">
        <f aca="false">C106="Duplicate"</f>
        <v>0</v>
      </c>
      <c r="AA106" s="10" t="b">
        <f aca="false">C106=""</f>
        <v>0</v>
      </c>
      <c r="AB106" s="2" t="n">
        <f aca="false">IF(P106+Q106&gt;0,ROUND(P106/(P106+Q106)*100,0),"")</f>
        <v>100</v>
      </c>
      <c r="AC106" s="2" t="n">
        <f aca="false">IF(P106+Q106&gt;0,ROUND(E106-P106/(P106+Q106)*100,0),"")</f>
        <v>-18</v>
      </c>
      <c r="AD106" s="10" t="b">
        <f aca="false">IF(AC106="",FALSE(),ABS(AC106)&gt;Assumptions!$B$41)</f>
        <v>1</v>
      </c>
      <c r="AE106" s="2" t="str">
        <f aca="false">IF(X106,"Low confidence (&lt;=2 orders); ","")&amp;IF(Y106,"Single-month history; ","")&amp;IF(Z106,"CRITICAL: Duplicate status; ","")&amp;IF(AA106,"Missing status; ","")&amp;IF(AD106,"Broker % vs counts gap "&amp;TEXT(AC106,"+0;-0")&amp;"pts; ","")</f>
        <v>Low confidence (&lt;=2 orders); Single-month history; Broker % vs counts gap -18pts; </v>
      </c>
      <c r="AF106" s="2" t="str">
        <f aca="false">IF(AND(K106=0,L106&gt;0),IF(D106&lt;=Assumptions!$B$47,"New Customer","Returned Customer"),"Existing Customer")</f>
        <v>Existing Customer</v>
      </c>
      <c r="AG106" s="10" t="b">
        <f aca="false">AND(T106="1. Migration Candidate",J106="Key")</f>
        <v>0</v>
      </c>
      <c r="AH106" s="10" t="b">
        <f aca="false">IF(AND(K106&gt;0,L106&gt;0),OR(ABS(M106-Assumptions!$B$36)&lt;=Assumptions!$B$46,ABS(M106+Assumptions!$B$36)&lt;=Assumptions!$B$46),FALSE())</f>
        <v>0</v>
      </c>
      <c r="AI106" s="9" t="n">
        <f aca="false">INDEX('Commercial View'!$L$2:$L$301,MATCH($A106,'Commercial View'!$A$2:$A$301,0))+INDEX('Commercial View'!$M$2:$M$301,MATCH($A106,'Commercial View'!$A$2:$A$301,0))</f>
        <v>0</v>
      </c>
      <c r="AJ106" s="2" t="str">
        <f aca="false">IF(AND(K106=0,AI106=0),"No activity ex-Feb",IF(AI106=0,"Lapsed",IF(K106=0,"H2 Active / No H1 GMV",IF((AI106/2)/(K106/3)-1&gt;=Assumptions!$B$36,"Growing",IF((AI106/2)/(K106/3)-1&lt;-Assumptions!$B$36,"Declining","Stable")))))</f>
        <v>Lapsed</v>
      </c>
      <c r="AK106" s="10" t="b">
        <f aca="false">IF(OR(N106="Growing",N106="Stable"),"Healthy",N106)&lt;&gt;IF(OR(AJ106="Growing",AJ106="Stable"),"Healthy",AJ106)</f>
        <v>0</v>
      </c>
      <c r="AL106" s="2" t="str">
        <f aca="false">IF(N106="Lapsed",IF(OR(O106&lt;=Assumptions!$B$48,W106&lt;=Assumptions!$B$49),"One-Off / Insufficient History — Verify","Established Buyer Lapsed"),"N/A")</f>
        <v>One-Off / Insufficient History — Verify</v>
      </c>
      <c r="AM106" s="2" t="n">
        <f aca="false">INDEX('Scored Accounts'!$M$2:$M$301,MATCH($A106,'Scored Accounts'!$A$2:$A$301,0))</f>
        <v>100</v>
      </c>
      <c r="AN106" s="2" t="n">
        <f aca="false">IF((P106/(P106+Q106)*100)&lt;=Assumptions!$B$13,0,IF((P106/(P106+Q106)*100)&lt;Assumptions!$B$14,25,IF((P106/(P106+Q106)*100)&lt;Assumptions!$B$15,50,IF((P106/(P106+Q106)*100)&lt;Assumptions!$B$16,75,100))))</f>
        <v>100</v>
      </c>
      <c r="AO106" s="21" t="n">
        <f aca="false">IF((P106/(P106+Q106)*100)&lt;=Assumptions!$B$8,0,AN106*Assumptions!$B$4+INDEX('Scored Accounts'!$N$2:$N$301,MATCH($A106,'Scored Accounts'!$A$2:$A$301,0))*Assumptions!$B$5+INDEX('Scored Accounts'!$O$2:$O$301,MATCH($A106,'Scored Accounts'!$A$2:$A$301,0))*Assumptions!$B$6)</f>
        <v>95</v>
      </c>
      <c r="AP106" s="2" t="str">
        <f aca="false">IF(AO106&gt;=Assumptions!$B$9,"High",IF(AO106&gt;=Assumptions!$B$10,"Medium","Low"))</f>
        <v>High</v>
      </c>
      <c r="AQ106" s="10" t="b">
        <f aca="false">OR((E106&lt;=Assumptions!$B$8)&lt;&gt;((P106/(P106+Q106)*100)&lt;=Assumptions!$B$8),AM106&lt;&gt;AN106,G106&lt;&gt;AP106)</f>
        <v>0</v>
      </c>
      <c r="AR106" s="2" t="str">
        <f aca="false">IF(AP106&lt;&gt;"Low","Broker-Reliant",IF(B106="Account Managed","AM-Owned / Self-Serving","Self-Serve"))</f>
        <v>Broker-Reliant</v>
      </c>
      <c r="AS106" s="2" t="str">
        <f aca="false">IF(AR106="Broker-Reliant",IF(J106="Tail","5. Cost-to-Serve / Low-Touch",IF(OR(N106="Growing",N106="Stable"),"1. Migration Candidate",IF(N106="Declining","2. Protect / Retain First",IF(N106="Lapsed","3. Win-Back / Verify",IF(N106="H2 Active / No H1 GMV","4. Establish / Re-establish / Observe","UNASSIGNED"))))),IF(AP106="Low",IF(J106="Tail","9. Long-Tail Automated Nurture",IF(OR(N106="Growing",N106="Stable"),"6. Growth Opportunity",IF(N106="H2 Active / No H1 GMV","7. Onboard / Re-engage / Learn",IF(OR(N106="Declining",N106="Lapsed"),"8. Retention / Reactivation","UNASSIGNED")))),"UNASSIGNED"))</f>
        <v>5. Cost-to-Serve / Low-Touch</v>
      </c>
      <c r="AT106" s="10" t="b">
        <f aca="false">AS106&lt;&gt;T106</f>
        <v>0</v>
      </c>
      <c r="AU106" s="2" t="str">
        <f aca="false">IF(NOT(U106),"Not Eligible",IF(OR(AQ106,AH106,AK106,NOT(AND(W106&gt;=Assumptions!$B$83,O106&gt;=Assumptions!$B$84))),"Manual Review","Ready"))</f>
        <v>Not Eligible</v>
      </c>
      <c r="AV106" s="2" t="str">
        <f aca="false">IF(AG106,"Key account - human sign-off required; ","")&amp;IF(AH106,"Borderline momentum; ","")&amp;IF(AK106,"February-sensitive ("&amp;N106&amp;" -&gt; "&amp;AJ106&amp;"); ","")&amp;IF(AL106="One-Off / Insufficient History — Verify","Lapsed on thin history - verify; ","")&amp;IF(AQ106,"Material broker % inconsistency (implied tier "&amp;AP106&amp;"); ","")&amp;IF(AT106,"Implied broker % would move segment to "&amp;AS106&amp;"; ","")</f>
        <v>Lapsed on thin history - verify; </v>
      </c>
      <c r="AW106" s="10" t="b">
        <f aca="false">AND(G106="Low",J106="Tail",I106&gt;=Assumptions!$B$64,O106&gt;=Assumptions!$B$65,OR(N106="Growing",N106="Stable",AND(N106="H2 Active / No H1 GMV",W106&gt;=2)),OR(R106&gt;=Assumptions!$B$66,S106&gt;=Assumptions!$B$67))</f>
        <v>0</v>
      </c>
    </row>
    <row r="107" customFormat="false" ht="15" hidden="false" customHeight="false" outlineLevel="0" collapsed="false">
      <c r="A107" s="2" t="s">
        <v>653</v>
      </c>
      <c r="B107" s="2" t="s">
        <v>1571</v>
      </c>
      <c r="C107" s="2" t="s">
        <v>1572</v>
      </c>
      <c r="D107" s="2" t="n">
        <v>24</v>
      </c>
      <c r="E107" s="2" t="n">
        <v>10</v>
      </c>
      <c r="F107" s="21" t="n">
        <f aca="false">INDEX('Scored Accounts'!$Q$2:$Q$301,MATCH($A107,'Scored Accounts'!$A$2:$A$301,0))</f>
        <v>0</v>
      </c>
      <c r="G107" s="2" t="str">
        <f aca="false">INDEX('Scored Accounts'!$R$2:$R$301,MATCH($A107,'Scored Accounts'!$A$2:$A$301,0))</f>
        <v>Low</v>
      </c>
      <c r="H107" s="2" t="str">
        <f aca="false">IF(OR(G107="High",G107="Medium"),"Broker-Reliant",IF(AND(G107="Low",B107="Account Managed"),"AM-Owned / Self-Serving",IF(AND(G107="Low",B107="Self Serve"),"Self-Serve","UNASSIGNED")))</f>
        <v>AM-Owned / Self-Serving</v>
      </c>
      <c r="I107" s="9" t="n">
        <v>680</v>
      </c>
      <c r="J107" s="2" t="str">
        <f aca="false">IF(I107&gt;=Assumptions!$B$35,"Key",IF(I107&gt;=Assumptions!$B$34,"Core","Tail"))</f>
        <v>Tail</v>
      </c>
      <c r="K107" s="9" t="n">
        <f aca="false">INDEX('Commercial View'!$R$2:$R$301,MATCH($A107,'Commercial View'!$A$2:$A$301,0))</f>
        <v>0</v>
      </c>
      <c r="L107" s="9" t="n">
        <f aca="false">INDEX('Commercial View'!$S$2:$S$301,MATCH($A107,'Commercial View'!$A$2:$A$301,0))</f>
        <v>680</v>
      </c>
      <c r="M107" s="17" t="str">
        <f aca="false">INDEX('Commercial View'!$T$2:$T$301,MATCH($A107,'Commercial View'!$A$2:$A$301,0))</f>
        <v/>
      </c>
      <c r="N107" s="2" t="str">
        <f aca="false">INDEX('Commercial View'!$U$2:$U$301,MATCH($A107,'Commercial View'!$A$2:$A$301,0))</f>
        <v>H2 Active / No H1 GMV</v>
      </c>
      <c r="O107" s="2" t="n">
        <v>1</v>
      </c>
      <c r="P107" s="2" t="n">
        <v>0</v>
      </c>
      <c r="Q107" s="2" t="n">
        <v>1</v>
      </c>
      <c r="R107" s="2" t="n">
        <v>28</v>
      </c>
      <c r="S107" s="2" t="n">
        <v>3</v>
      </c>
      <c r="T107" s="2" t="str">
        <f aca="false">IF(H107="Broker-Reliant",IF(J107="Tail","5. Cost-to-Serve / Low-Touch",IF(OR(N107="Growing",N107="Stable"),"1. Migration Candidate",IF(N107="Declining","2. Protect / Retain First",IF(N107="Lapsed","3. Win-Back / Verify",IF(N107="H2 Active / No H1 GMV","4. Establish / Re-establish / Observe","UNASSIGNED"))))),IF(G107="Low",IF(J107="Tail","9. Long-Tail Automated Nurture",IF(OR(N107="Growing",N107="Stable"),"6. Growth Opportunity",IF(N107="H2 Active / No H1 GMV","7. Onboard / Re-engage / Learn",IF(OR(N107="Declining",N107="Lapsed"),"8. Retention / Reactivation","UNASSIGNED")))),"UNASSIGNED"))</f>
        <v>9. Long-Tail Automated Nurture</v>
      </c>
      <c r="U107" s="10" t="b">
        <f aca="false">AND(T107="1. Migration Candidate",J107="Core",O107&gt;=Assumptions!$B$39,Q107&gt;=Assumptions!$B$40,NOT(Z107))</f>
        <v>0</v>
      </c>
      <c r="V107" s="2" t="n">
        <f aca="false">(AND(H107="Broker-Reliant",J107&lt;&gt;"Tail",OR(N107="Growing",N107="Stable")))*1+(AND(H107="Broker-Reliant",J107&lt;&gt;"Tail",N107="Declining"))*1+(AND(H107="Broker-Reliant",J107&lt;&gt;"Tail",N107="Lapsed"))*1+(AND(H107="Broker-Reliant",J107&lt;&gt;"Tail",N107="H2 Active / No H1 GMV"))*1+(AND(H107="Broker-Reliant",J107="Tail"))*1+(AND(G107="Low",J107&lt;&gt;"Tail",OR(N107="Growing",N107="Stable")))*1+(AND(G107="Low",J107&lt;&gt;"Tail",N107="H2 Active / No H1 GMV"))*1+(AND(G107="Low",J107&lt;&gt;"Tail",OR(N107="Declining",N107="Lapsed")))*1+(AND(G107="Low",J107="Tail"))*1</f>
        <v>1</v>
      </c>
      <c r="W107" s="2" t="n">
        <f aca="false">INDEX('Commercial View'!$V$2:$V$301,MATCH($A107,'Commercial View'!$A$2:$A$301,0))</f>
        <v>1</v>
      </c>
      <c r="X107" s="10" t="b">
        <f aca="false">O107&lt;=Assumptions!$B$30</f>
        <v>1</v>
      </c>
      <c r="Y107" s="10" t="b">
        <f aca="false">W107&lt;=1</f>
        <v>1</v>
      </c>
      <c r="Z107" s="10" t="b">
        <f aca="false">C107="Duplicate"</f>
        <v>0</v>
      </c>
      <c r="AA107" s="10" t="b">
        <f aca="false">C107=""</f>
        <v>0</v>
      </c>
      <c r="AB107" s="2" t="n">
        <f aca="false">IF(P107+Q107&gt;0,ROUND(P107/(P107+Q107)*100,0),"")</f>
        <v>0</v>
      </c>
      <c r="AC107" s="2" t="n">
        <f aca="false">IF(P107+Q107&gt;0,ROUND(E107-P107/(P107+Q107)*100,0),"")</f>
        <v>10</v>
      </c>
      <c r="AD107" s="10" t="b">
        <f aca="false">IF(AC107="",FALSE(),ABS(AC107)&gt;Assumptions!$B$41)</f>
        <v>0</v>
      </c>
      <c r="AE107" s="2" t="str">
        <f aca="false">IF(X107,"Low confidence (&lt;=2 orders); ","")&amp;IF(Y107,"Single-month history; ","")&amp;IF(Z107,"CRITICAL: Duplicate status; ","")&amp;IF(AA107,"Missing status; ","")&amp;IF(AD107,"Broker % vs counts gap "&amp;TEXT(AC107,"+0;-0")&amp;"pts; ","")</f>
        <v>Low confidence (&lt;=2 orders); Single-month history; </v>
      </c>
      <c r="AF107" s="2" t="str">
        <f aca="false">IF(AND(K107=0,L107&gt;0),IF(D107&lt;=Assumptions!$B$47,"New Customer","Returned Customer"),"Existing Customer")</f>
        <v>Returned Customer</v>
      </c>
      <c r="AG107" s="10" t="b">
        <f aca="false">AND(T107="1. Migration Candidate",J107="Key")</f>
        <v>0</v>
      </c>
      <c r="AH107" s="10" t="b">
        <f aca="false">IF(AND(K107&gt;0,L107&gt;0),OR(ABS(M107-Assumptions!$B$36)&lt;=Assumptions!$B$46,ABS(M107+Assumptions!$B$36)&lt;=Assumptions!$B$46),FALSE())</f>
        <v>0</v>
      </c>
      <c r="AI107" s="9" t="n">
        <f aca="false">INDEX('Commercial View'!$L$2:$L$301,MATCH($A107,'Commercial View'!$A$2:$A$301,0))+INDEX('Commercial View'!$M$2:$M$301,MATCH($A107,'Commercial View'!$A$2:$A$301,0))</f>
        <v>680</v>
      </c>
      <c r="AJ107" s="2" t="str">
        <f aca="false">IF(AND(K107=0,AI107=0),"No activity ex-Feb",IF(AI107=0,"Lapsed",IF(K107=0,"H2 Active / No H1 GMV",IF((AI107/2)/(K107/3)-1&gt;=Assumptions!$B$36,"Growing",IF((AI107/2)/(K107/3)-1&lt;-Assumptions!$B$36,"Declining","Stable")))))</f>
        <v>H2 Active / No H1 GMV</v>
      </c>
      <c r="AK107" s="10" t="b">
        <f aca="false">IF(OR(N107="Growing",N107="Stable"),"Healthy",N107)&lt;&gt;IF(OR(AJ107="Growing",AJ107="Stable"),"Healthy",AJ107)</f>
        <v>0</v>
      </c>
      <c r="AL107" s="2" t="str">
        <f aca="false">IF(N107="Lapsed",IF(OR(O107&lt;=Assumptions!$B$48,W107&lt;=Assumptions!$B$49),"One-Off / Insufficient History — Verify","Established Buyer Lapsed"),"N/A")</f>
        <v>N/A</v>
      </c>
      <c r="AM107" s="2" t="n">
        <f aca="false">INDEX('Scored Accounts'!$M$2:$M$301,MATCH($A107,'Scored Accounts'!$A$2:$A$301,0))</f>
        <v>0</v>
      </c>
      <c r="AN107" s="2" t="n">
        <f aca="false">IF((P107/(P107+Q107)*100)&lt;=Assumptions!$B$13,0,IF((P107/(P107+Q107)*100)&lt;Assumptions!$B$14,25,IF((P107/(P107+Q107)*100)&lt;Assumptions!$B$15,50,IF((P107/(P107+Q107)*100)&lt;Assumptions!$B$16,75,100))))</f>
        <v>0</v>
      </c>
      <c r="AO107" s="21" t="n">
        <f aca="false">IF((P107/(P107+Q107)*100)&lt;=Assumptions!$B$8,0,AN107*Assumptions!$B$4+INDEX('Scored Accounts'!$N$2:$N$301,MATCH($A107,'Scored Accounts'!$A$2:$A$301,0))*Assumptions!$B$5+INDEX('Scored Accounts'!$O$2:$O$301,MATCH($A107,'Scored Accounts'!$A$2:$A$301,0))*Assumptions!$B$6)</f>
        <v>0</v>
      </c>
      <c r="AP107" s="2" t="str">
        <f aca="false">IF(AO107&gt;=Assumptions!$B$9,"High",IF(AO107&gt;=Assumptions!$B$10,"Medium","Low"))</f>
        <v>Low</v>
      </c>
      <c r="AQ107" s="10" t="b">
        <f aca="false">OR((E107&lt;=Assumptions!$B$8)&lt;&gt;((P107/(P107+Q107)*100)&lt;=Assumptions!$B$8),AM107&lt;&gt;AN107,G107&lt;&gt;AP107)</f>
        <v>0</v>
      </c>
      <c r="AR107" s="2" t="str">
        <f aca="false">IF(AP107&lt;&gt;"Low","Broker-Reliant",IF(B107="Account Managed","AM-Owned / Self-Serving","Self-Serve"))</f>
        <v>AM-Owned / Self-Serving</v>
      </c>
      <c r="AS107" s="2" t="str">
        <f aca="false">IF(AR107="Broker-Reliant",IF(J107="Tail","5. Cost-to-Serve / Low-Touch",IF(OR(N107="Growing",N107="Stable"),"1. Migration Candidate",IF(N107="Declining","2. Protect / Retain First",IF(N107="Lapsed","3. Win-Back / Verify",IF(N107="H2 Active / No H1 GMV","4. Establish / Re-establish / Observe","UNASSIGNED"))))),IF(AP107="Low",IF(J107="Tail","9. Long-Tail Automated Nurture",IF(OR(N107="Growing",N107="Stable"),"6. Growth Opportunity",IF(N107="H2 Active / No H1 GMV","7. Onboard / Re-engage / Learn",IF(OR(N107="Declining",N107="Lapsed"),"8. Retention / Reactivation","UNASSIGNED")))),"UNASSIGNED"))</f>
        <v>9. Long-Tail Automated Nurture</v>
      </c>
      <c r="AT107" s="10" t="b">
        <f aca="false">AS107&lt;&gt;T107</f>
        <v>0</v>
      </c>
      <c r="AU107" s="2" t="str">
        <f aca="false">IF(NOT(U107),"Not Eligible",IF(OR(AQ107,AH107,AK107,NOT(AND(W107&gt;=Assumptions!$B$83,O107&gt;=Assumptions!$B$84))),"Manual Review","Ready"))</f>
        <v>Not Eligible</v>
      </c>
      <c r="AV107" s="2" t="str">
        <f aca="false">IF(AG107,"Key account - human sign-off required; ","")&amp;IF(AH107,"Borderline momentum; ","")&amp;IF(AK107,"February-sensitive ("&amp;N107&amp;" -&gt; "&amp;AJ107&amp;"); ","")&amp;IF(AL107="One-Off / Insufficient History — Verify","Lapsed on thin history - verify; ","")&amp;IF(AQ107,"Material broker % inconsistency (implied tier "&amp;AP107&amp;"); ","")&amp;IF(AT107,"Implied broker % would move segment to "&amp;AS107&amp;"; ","")</f>
        <v/>
      </c>
      <c r="AW107" s="10" t="b">
        <f aca="false">AND(G107="Low",J107="Tail",I107&gt;=Assumptions!$B$64,O107&gt;=Assumptions!$B$65,OR(N107="Growing",N107="Stable",AND(N107="H2 Active / No H1 GMV",W107&gt;=2)),OR(R107&gt;=Assumptions!$B$66,S107&gt;=Assumptions!$B$67))</f>
        <v>0</v>
      </c>
    </row>
    <row r="108" customFormat="false" ht="15" hidden="false" customHeight="false" outlineLevel="0" collapsed="false">
      <c r="A108" s="2" t="s">
        <v>655</v>
      </c>
      <c r="B108" s="2" t="s">
        <v>1571</v>
      </c>
      <c r="C108" s="2" t="s">
        <v>1572</v>
      </c>
      <c r="D108" s="2" t="n">
        <v>16</v>
      </c>
      <c r="E108" s="2" t="n">
        <v>82</v>
      </c>
      <c r="F108" s="21" t="n">
        <f aca="false">INDEX('Scored Accounts'!$Q$2:$Q$301,MATCH($A108,'Scored Accounts'!$A$2:$A$301,0))</f>
        <v>90</v>
      </c>
      <c r="G108" s="2" t="str">
        <f aca="false">INDEX('Scored Accounts'!$R$2:$R$301,MATCH($A108,'Scored Accounts'!$A$2:$A$301,0))</f>
        <v>High</v>
      </c>
      <c r="H108" s="2" t="str">
        <f aca="false">IF(OR(G108="High",G108="Medium"),"Broker-Reliant",IF(AND(G108="Low",B108="Account Managed"),"AM-Owned / Self-Serving",IF(AND(G108="Low",B108="Self Serve"),"Self-Serve","UNASSIGNED")))</f>
        <v>Broker-Reliant</v>
      </c>
      <c r="I108" s="9" t="n">
        <v>675</v>
      </c>
      <c r="J108" s="2" t="str">
        <f aca="false">IF(I108&gt;=Assumptions!$B$35,"Key",IF(I108&gt;=Assumptions!$B$34,"Core","Tail"))</f>
        <v>Tail</v>
      </c>
      <c r="K108" s="9" t="n">
        <f aca="false">INDEX('Commercial View'!$R$2:$R$301,MATCH($A108,'Commercial View'!$A$2:$A$301,0))</f>
        <v>675</v>
      </c>
      <c r="L108" s="9" t="n">
        <f aca="false">INDEX('Commercial View'!$S$2:$S$301,MATCH($A108,'Commercial View'!$A$2:$A$301,0))</f>
        <v>0</v>
      </c>
      <c r="M108" s="17" t="n">
        <f aca="false">INDEX('Commercial View'!$T$2:$T$301,MATCH($A108,'Commercial View'!$A$2:$A$301,0))</f>
        <v>-1</v>
      </c>
      <c r="N108" s="2" t="str">
        <f aca="false">INDEX('Commercial View'!$U$2:$U$301,MATCH($A108,'Commercial View'!$A$2:$A$301,0))</f>
        <v>Lapsed</v>
      </c>
      <c r="O108" s="2" t="n">
        <v>2</v>
      </c>
      <c r="P108" s="2" t="n">
        <v>2</v>
      </c>
      <c r="Q108" s="2" t="n">
        <v>0</v>
      </c>
      <c r="R108" s="2" t="n">
        <v>2</v>
      </c>
      <c r="S108" s="2" t="n">
        <v>2</v>
      </c>
      <c r="T108" s="2" t="str">
        <f aca="false">IF(H108="Broker-Reliant",IF(J108="Tail","5. Cost-to-Serve / Low-Touch",IF(OR(N108="Growing",N108="Stable"),"1. Migration Candidate",IF(N108="Declining","2. Protect / Retain First",IF(N108="Lapsed","3. Win-Back / Verify",IF(N108="H2 Active / No H1 GMV","4. Establish / Re-establish / Observe","UNASSIGNED"))))),IF(G108="Low",IF(J108="Tail","9. Long-Tail Automated Nurture",IF(OR(N108="Growing",N108="Stable"),"6. Growth Opportunity",IF(N108="H2 Active / No H1 GMV","7. Onboard / Re-engage / Learn",IF(OR(N108="Declining",N108="Lapsed"),"8. Retention / Reactivation","UNASSIGNED")))),"UNASSIGNED"))</f>
        <v>5. Cost-to-Serve / Low-Touch</v>
      </c>
      <c r="U108" s="10" t="b">
        <f aca="false">AND(T108="1. Migration Candidate",J108="Core",O108&gt;=Assumptions!$B$39,Q108&gt;=Assumptions!$B$40,NOT(Z108))</f>
        <v>0</v>
      </c>
      <c r="V108" s="2" t="n">
        <f aca="false">(AND(H108="Broker-Reliant",J108&lt;&gt;"Tail",OR(N108="Growing",N108="Stable")))*1+(AND(H108="Broker-Reliant",J108&lt;&gt;"Tail",N108="Declining"))*1+(AND(H108="Broker-Reliant",J108&lt;&gt;"Tail",N108="Lapsed"))*1+(AND(H108="Broker-Reliant",J108&lt;&gt;"Tail",N108="H2 Active / No H1 GMV"))*1+(AND(H108="Broker-Reliant",J108="Tail"))*1+(AND(G108="Low",J108&lt;&gt;"Tail",OR(N108="Growing",N108="Stable")))*1+(AND(G108="Low",J108&lt;&gt;"Tail",N108="H2 Active / No H1 GMV"))*1+(AND(G108="Low",J108&lt;&gt;"Tail",OR(N108="Declining",N108="Lapsed")))*1+(AND(G108="Low",J108="Tail"))*1</f>
        <v>1</v>
      </c>
      <c r="W108" s="2" t="n">
        <f aca="false">INDEX('Commercial View'!$V$2:$V$301,MATCH($A108,'Commercial View'!$A$2:$A$301,0))</f>
        <v>2</v>
      </c>
      <c r="X108" s="10" t="b">
        <f aca="false">O108&lt;=Assumptions!$B$30</f>
        <v>1</v>
      </c>
      <c r="Y108" s="10" t="b">
        <f aca="false">W108&lt;=1</f>
        <v>0</v>
      </c>
      <c r="Z108" s="10" t="b">
        <f aca="false">C108="Duplicate"</f>
        <v>0</v>
      </c>
      <c r="AA108" s="10" t="b">
        <f aca="false">C108=""</f>
        <v>0</v>
      </c>
      <c r="AB108" s="2" t="n">
        <f aca="false">IF(P108+Q108&gt;0,ROUND(P108/(P108+Q108)*100,0),"")</f>
        <v>100</v>
      </c>
      <c r="AC108" s="2" t="n">
        <f aca="false">IF(P108+Q108&gt;0,ROUND(E108-P108/(P108+Q108)*100,0),"")</f>
        <v>-18</v>
      </c>
      <c r="AD108" s="10" t="b">
        <f aca="false">IF(AC108="",FALSE(),ABS(AC108)&gt;Assumptions!$B$41)</f>
        <v>1</v>
      </c>
      <c r="AE108" s="2" t="str">
        <f aca="false">IF(X108,"Low confidence (&lt;=2 orders); ","")&amp;IF(Y108,"Single-month history; ","")&amp;IF(Z108,"CRITICAL: Duplicate status; ","")&amp;IF(AA108,"Missing status; ","")&amp;IF(AD108,"Broker % vs counts gap "&amp;TEXT(AC108,"+0;-0")&amp;"pts; ","")</f>
        <v>Low confidence (&lt;=2 orders); Broker % vs counts gap -18pts; </v>
      </c>
      <c r="AF108" s="2" t="str">
        <f aca="false">IF(AND(K108=0,L108&gt;0),IF(D108&lt;=Assumptions!$B$47,"New Customer","Returned Customer"),"Existing Customer")</f>
        <v>Existing Customer</v>
      </c>
      <c r="AG108" s="10" t="b">
        <f aca="false">AND(T108="1. Migration Candidate",J108="Key")</f>
        <v>0</v>
      </c>
      <c r="AH108" s="10" t="b">
        <f aca="false">IF(AND(K108&gt;0,L108&gt;0),OR(ABS(M108-Assumptions!$B$36)&lt;=Assumptions!$B$46,ABS(M108+Assumptions!$B$36)&lt;=Assumptions!$B$46),FALSE())</f>
        <v>0</v>
      </c>
      <c r="AI108" s="9" t="n">
        <f aca="false">INDEX('Commercial View'!$L$2:$L$301,MATCH($A108,'Commercial View'!$A$2:$A$301,0))+INDEX('Commercial View'!$M$2:$M$301,MATCH($A108,'Commercial View'!$A$2:$A$301,0))</f>
        <v>0</v>
      </c>
      <c r="AJ108" s="2" t="str">
        <f aca="false">IF(AND(K108=0,AI108=0),"No activity ex-Feb",IF(AI108=0,"Lapsed",IF(K108=0,"H2 Active / No H1 GMV",IF((AI108/2)/(K108/3)-1&gt;=Assumptions!$B$36,"Growing",IF((AI108/2)/(K108/3)-1&lt;-Assumptions!$B$36,"Declining","Stable")))))</f>
        <v>Lapsed</v>
      </c>
      <c r="AK108" s="10" t="b">
        <f aca="false">IF(OR(N108="Growing",N108="Stable"),"Healthy",N108)&lt;&gt;IF(OR(AJ108="Growing",AJ108="Stable"),"Healthy",AJ108)</f>
        <v>0</v>
      </c>
      <c r="AL108" s="2" t="str">
        <f aca="false">IF(N108="Lapsed",IF(OR(O108&lt;=Assumptions!$B$48,W108&lt;=Assumptions!$B$49),"One-Off / Insufficient History — Verify","Established Buyer Lapsed"),"N/A")</f>
        <v>One-Off / Insufficient History — Verify</v>
      </c>
      <c r="AM108" s="2" t="n">
        <f aca="false">INDEX('Scored Accounts'!$M$2:$M$301,MATCH($A108,'Scored Accounts'!$A$2:$A$301,0))</f>
        <v>100</v>
      </c>
      <c r="AN108" s="2" t="n">
        <f aca="false">IF((P108/(P108+Q108)*100)&lt;=Assumptions!$B$13,0,IF((P108/(P108+Q108)*100)&lt;Assumptions!$B$14,25,IF((P108/(P108+Q108)*100)&lt;Assumptions!$B$15,50,IF((P108/(P108+Q108)*100)&lt;Assumptions!$B$16,75,100))))</f>
        <v>100</v>
      </c>
      <c r="AO108" s="21" t="n">
        <f aca="false">IF((P108/(P108+Q108)*100)&lt;=Assumptions!$B$8,0,AN108*Assumptions!$B$4+INDEX('Scored Accounts'!$N$2:$N$301,MATCH($A108,'Scored Accounts'!$A$2:$A$301,0))*Assumptions!$B$5+INDEX('Scored Accounts'!$O$2:$O$301,MATCH($A108,'Scored Accounts'!$A$2:$A$301,0))*Assumptions!$B$6)</f>
        <v>90</v>
      </c>
      <c r="AP108" s="2" t="str">
        <f aca="false">IF(AO108&gt;=Assumptions!$B$9,"High",IF(AO108&gt;=Assumptions!$B$10,"Medium","Low"))</f>
        <v>High</v>
      </c>
      <c r="AQ108" s="10" t="b">
        <f aca="false">OR((E108&lt;=Assumptions!$B$8)&lt;&gt;((P108/(P108+Q108)*100)&lt;=Assumptions!$B$8),AM108&lt;&gt;AN108,G108&lt;&gt;AP108)</f>
        <v>0</v>
      </c>
      <c r="AR108" s="2" t="str">
        <f aca="false">IF(AP108&lt;&gt;"Low","Broker-Reliant",IF(B108="Account Managed","AM-Owned / Self-Serving","Self-Serve"))</f>
        <v>Broker-Reliant</v>
      </c>
      <c r="AS108" s="2" t="str">
        <f aca="false">IF(AR108="Broker-Reliant",IF(J108="Tail","5. Cost-to-Serve / Low-Touch",IF(OR(N108="Growing",N108="Stable"),"1. Migration Candidate",IF(N108="Declining","2. Protect / Retain First",IF(N108="Lapsed","3. Win-Back / Verify",IF(N108="H2 Active / No H1 GMV","4. Establish / Re-establish / Observe","UNASSIGNED"))))),IF(AP108="Low",IF(J108="Tail","9. Long-Tail Automated Nurture",IF(OR(N108="Growing",N108="Stable"),"6. Growth Opportunity",IF(N108="H2 Active / No H1 GMV","7. Onboard / Re-engage / Learn",IF(OR(N108="Declining",N108="Lapsed"),"8. Retention / Reactivation","UNASSIGNED")))),"UNASSIGNED"))</f>
        <v>5. Cost-to-Serve / Low-Touch</v>
      </c>
      <c r="AT108" s="10" t="b">
        <f aca="false">AS108&lt;&gt;T108</f>
        <v>0</v>
      </c>
      <c r="AU108" s="2" t="str">
        <f aca="false">IF(NOT(U108),"Not Eligible",IF(OR(AQ108,AH108,AK108,NOT(AND(W108&gt;=Assumptions!$B$83,O108&gt;=Assumptions!$B$84))),"Manual Review","Ready"))</f>
        <v>Not Eligible</v>
      </c>
      <c r="AV108" s="2" t="str">
        <f aca="false">IF(AG108,"Key account - human sign-off required; ","")&amp;IF(AH108,"Borderline momentum; ","")&amp;IF(AK108,"February-sensitive ("&amp;N108&amp;" -&gt; "&amp;AJ108&amp;"); ","")&amp;IF(AL108="One-Off / Insufficient History — Verify","Lapsed on thin history - verify; ","")&amp;IF(AQ108,"Material broker % inconsistency (implied tier "&amp;AP108&amp;"); ","")&amp;IF(AT108,"Implied broker % would move segment to "&amp;AS108&amp;"; ","")</f>
        <v>Lapsed on thin history - verify; </v>
      </c>
      <c r="AW108" s="10" t="b">
        <f aca="false">AND(G108="Low",J108="Tail",I108&gt;=Assumptions!$B$64,O108&gt;=Assumptions!$B$65,OR(N108="Growing",N108="Stable",AND(N108="H2 Active / No H1 GMV",W108&gt;=2)),OR(R108&gt;=Assumptions!$B$66,S108&gt;=Assumptions!$B$67))</f>
        <v>0</v>
      </c>
    </row>
    <row r="109" customFormat="false" ht="15" hidden="false" customHeight="false" outlineLevel="0" collapsed="false">
      <c r="A109" s="2" t="s">
        <v>657</v>
      </c>
      <c r="B109" s="2" t="s">
        <v>1571</v>
      </c>
      <c r="C109" s="2" t="s">
        <v>1572</v>
      </c>
      <c r="D109" s="2" t="n">
        <v>7</v>
      </c>
      <c r="E109" s="2" t="n">
        <v>13</v>
      </c>
      <c r="F109" s="21" t="n">
        <f aca="false">INDEX('Scored Accounts'!$Q$2:$Q$301,MATCH($A109,'Scored Accounts'!$A$2:$A$301,0))</f>
        <v>0</v>
      </c>
      <c r="G109" s="2" t="str">
        <f aca="false">INDEX('Scored Accounts'!$R$2:$R$301,MATCH($A109,'Scored Accounts'!$A$2:$A$301,0))</f>
        <v>Low</v>
      </c>
      <c r="H109" s="2" t="str">
        <f aca="false">IF(OR(G109="High",G109="Medium"),"Broker-Reliant",IF(AND(G109="Low",B109="Account Managed"),"AM-Owned / Self-Serving",IF(AND(G109="Low",B109="Self Serve"),"Self-Serve","UNASSIGNED")))</f>
        <v>AM-Owned / Self-Serving</v>
      </c>
      <c r="I109" s="9" t="n">
        <v>663</v>
      </c>
      <c r="J109" s="2" t="str">
        <f aca="false">IF(I109&gt;=Assumptions!$B$35,"Key",IF(I109&gt;=Assumptions!$B$34,"Core","Tail"))</f>
        <v>Tail</v>
      </c>
      <c r="K109" s="9" t="n">
        <f aca="false">INDEX('Commercial View'!$R$2:$R$301,MATCH($A109,'Commercial View'!$A$2:$A$301,0))</f>
        <v>605</v>
      </c>
      <c r="L109" s="9" t="n">
        <f aca="false">INDEX('Commercial View'!$S$2:$S$301,MATCH($A109,'Commercial View'!$A$2:$A$301,0))</f>
        <v>58</v>
      </c>
      <c r="M109" s="17" t="n">
        <f aca="false">INDEX('Commercial View'!$T$2:$T$301,MATCH($A109,'Commercial View'!$A$2:$A$301,0))</f>
        <v>-0.904132231404959</v>
      </c>
      <c r="N109" s="2" t="str">
        <f aca="false">INDEX('Commercial View'!$U$2:$U$301,MATCH($A109,'Commercial View'!$A$2:$A$301,0))</f>
        <v>Declining</v>
      </c>
      <c r="O109" s="2" t="n">
        <v>6</v>
      </c>
      <c r="P109" s="2" t="n">
        <v>1</v>
      </c>
      <c r="Q109" s="2" t="n">
        <v>5</v>
      </c>
      <c r="R109" s="2" t="n">
        <v>19</v>
      </c>
      <c r="S109" s="2" t="n">
        <v>5</v>
      </c>
      <c r="T109" s="2" t="str">
        <f aca="false">IF(H109="Broker-Reliant",IF(J109="Tail","5. Cost-to-Serve / Low-Touch",IF(OR(N109="Growing",N109="Stable"),"1. Migration Candidate",IF(N109="Declining","2. Protect / Retain First",IF(N109="Lapsed","3. Win-Back / Verify",IF(N109="H2 Active / No H1 GMV","4. Establish / Re-establish / Observe","UNASSIGNED"))))),IF(G109="Low",IF(J109="Tail","9. Long-Tail Automated Nurture",IF(OR(N109="Growing",N109="Stable"),"6. Growth Opportunity",IF(N109="H2 Active / No H1 GMV","7. Onboard / Re-engage / Learn",IF(OR(N109="Declining",N109="Lapsed"),"8. Retention / Reactivation","UNASSIGNED")))),"UNASSIGNED"))</f>
        <v>9. Long-Tail Automated Nurture</v>
      </c>
      <c r="U109" s="10" t="b">
        <f aca="false">AND(T109="1. Migration Candidate",J109="Core",O109&gt;=Assumptions!$B$39,Q109&gt;=Assumptions!$B$40,NOT(Z109))</f>
        <v>0</v>
      </c>
      <c r="V109" s="2" t="n">
        <f aca="false">(AND(H109="Broker-Reliant",J109&lt;&gt;"Tail",OR(N109="Growing",N109="Stable")))*1+(AND(H109="Broker-Reliant",J109&lt;&gt;"Tail",N109="Declining"))*1+(AND(H109="Broker-Reliant",J109&lt;&gt;"Tail",N109="Lapsed"))*1+(AND(H109="Broker-Reliant",J109&lt;&gt;"Tail",N109="H2 Active / No H1 GMV"))*1+(AND(H109="Broker-Reliant",J109="Tail"))*1+(AND(G109="Low",J109&lt;&gt;"Tail",OR(N109="Growing",N109="Stable")))*1+(AND(G109="Low",J109&lt;&gt;"Tail",N109="H2 Active / No H1 GMV"))*1+(AND(G109="Low",J109&lt;&gt;"Tail",OR(N109="Declining",N109="Lapsed")))*1+(AND(G109="Low",J109="Tail"))*1</f>
        <v>1</v>
      </c>
      <c r="W109" s="2" t="n">
        <f aca="false">INDEX('Commercial View'!$V$2:$V$301,MATCH($A109,'Commercial View'!$A$2:$A$301,0))</f>
        <v>3</v>
      </c>
      <c r="X109" s="10" t="b">
        <f aca="false">O109&lt;=Assumptions!$B$30</f>
        <v>0</v>
      </c>
      <c r="Y109" s="10" t="b">
        <f aca="false">W109&lt;=1</f>
        <v>0</v>
      </c>
      <c r="Z109" s="10" t="b">
        <f aca="false">C109="Duplicate"</f>
        <v>0</v>
      </c>
      <c r="AA109" s="10" t="b">
        <f aca="false">C109=""</f>
        <v>0</v>
      </c>
      <c r="AB109" s="2" t="n">
        <f aca="false">IF(P109+Q109&gt;0,ROUND(P109/(P109+Q109)*100,0),"")</f>
        <v>17</v>
      </c>
      <c r="AC109" s="2" t="n">
        <f aca="false">IF(P109+Q109&gt;0,ROUND(E109-P109/(P109+Q109)*100,0),"")</f>
        <v>-4</v>
      </c>
      <c r="AD109" s="10" t="b">
        <f aca="false">IF(AC109="",FALSE(),ABS(AC109)&gt;Assumptions!$B$41)</f>
        <v>0</v>
      </c>
      <c r="AE109" s="2" t="str">
        <f aca="false">IF(X109,"Low confidence (&lt;=2 orders); ","")&amp;IF(Y109,"Single-month history; ","")&amp;IF(Z109,"CRITICAL: Duplicate status; ","")&amp;IF(AA109,"Missing status; ","")&amp;IF(AD109,"Broker % vs counts gap "&amp;TEXT(AC109,"+0;-0")&amp;"pts; ","")</f>
        <v/>
      </c>
      <c r="AF109" s="2" t="str">
        <f aca="false">IF(AND(K109=0,L109&gt;0),IF(D109&lt;=Assumptions!$B$47,"New Customer","Returned Customer"),"Existing Customer")</f>
        <v>Existing Customer</v>
      </c>
      <c r="AG109" s="10" t="b">
        <f aca="false">AND(T109="1. Migration Candidate",J109="Key")</f>
        <v>0</v>
      </c>
      <c r="AH109" s="10" t="b">
        <f aca="false">IF(AND(K109&gt;0,L109&gt;0),OR(ABS(M109-Assumptions!$B$36)&lt;=Assumptions!$B$46,ABS(M109+Assumptions!$B$36)&lt;=Assumptions!$B$46),FALSE())</f>
        <v>0</v>
      </c>
      <c r="AI109" s="9" t="n">
        <f aca="false">INDEX('Commercial View'!$L$2:$L$301,MATCH($A109,'Commercial View'!$A$2:$A$301,0))+INDEX('Commercial View'!$M$2:$M$301,MATCH($A109,'Commercial View'!$A$2:$A$301,0))</f>
        <v>58</v>
      </c>
      <c r="AJ109" s="2" t="str">
        <f aca="false">IF(AND(K109=0,AI109=0),"No activity ex-Feb",IF(AI109=0,"Lapsed",IF(K109=0,"H2 Active / No H1 GMV",IF((AI109/2)/(K109/3)-1&gt;=Assumptions!$B$36,"Growing",IF((AI109/2)/(K109/3)-1&lt;-Assumptions!$B$36,"Declining","Stable")))))</f>
        <v>Declining</v>
      </c>
      <c r="AK109" s="10" t="b">
        <f aca="false">IF(OR(N109="Growing",N109="Stable"),"Healthy",N109)&lt;&gt;IF(OR(AJ109="Growing",AJ109="Stable"),"Healthy",AJ109)</f>
        <v>0</v>
      </c>
      <c r="AL109" s="2" t="str">
        <f aca="false">IF(N109="Lapsed",IF(OR(O109&lt;=Assumptions!$B$48,W109&lt;=Assumptions!$B$49),"One-Off / Insufficient History — Verify","Established Buyer Lapsed"),"N/A")</f>
        <v>N/A</v>
      </c>
      <c r="AM109" s="2" t="n">
        <f aca="false">INDEX('Scored Accounts'!$M$2:$M$301,MATCH($A109,'Scored Accounts'!$A$2:$A$301,0))</f>
        <v>0</v>
      </c>
      <c r="AN109" s="2" t="n">
        <f aca="false">IF((P109/(P109+Q109)*100)&lt;=Assumptions!$B$13,0,IF((P109/(P109+Q109)*100)&lt;Assumptions!$B$14,25,IF((P109/(P109+Q109)*100)&lt;Assumptions!$B$15,50,IF((P109/(P109+Q109)*100)&lt;Assumptions!$B$16,75,100))))</f>
        <v>0</v>
      </c>
      <c r="AO109" s="21" t="n">
        <f aca="false">IF((P109/(P109+Q109)*100)&lt;=Assumptions!$B$8,0,AN109*Assumptions!$B$4+INDEX('Scored Accounts'!$N$2:$N$301,MATCH($A109,'Scored Accounts'!$A$2:$A$301,0))*Assumptions!$B$5+INDEX('Scored Accounts'!$O$2:$O$301,MATCH($A109,'Scored Accounts'!$A$2:$A$301,0))*Assumptions!$B$6)</f>
        <v>0</v>
      </c>
      <c r="AP109" s="2" t="str">
        <f aca="false">IF(AO109&gt;=Assumptions!$B$9,"High",IF(AO109&gt;=Assumptions!$B$10,"Medium","Low"))</f>
        <v>Low</v>
      </c>
      <c r="AQ109" s="10" t="b">
        <f aca="false">OR((E109&lt;=Assumptions!$B$8)&lt;&gt;((P109/(P109+Q109)*100)&lt;=Assumptions!$B$8),AM109&lt;&gt;AN109,G109&lt;&gt;AP109)</f>
        <v>0</v>
      </c>
      <c r="AR109" s="2" t="str">
        <f aca="false">IF(AP109&lt;&gt;"Low","Broker-Reliant",IF(B109="Account Managed","AM-Owned / Self-Serving","Self-Serve"))</f>
        <v>AM-Owned / Self-Serving</v>
      </c>
      <c r="AS109" s="2" t="str">
        <f aca="false">IF(AR109="Broker-Reliant",IF(J109="Tail","5. Cost-to-Serve / Low-Touch",IF(OR(N109="Growing",N109="Stable"),"1. Migration Candidate",IF(N109="Declining","2. Protect / Retain First",IF(N109="Lapsed","3. Win-Back / Verify",IF(N109="H2 Active / No H1 GMV","4. Establish / Re-establish / Observe","UNASSIGNED"))))),IF(AP109="Low",IF(J109="Tail","9. Long-Tail Automated Nurture",IF(OR(N109="Growing",N109="Stable"),"6. Growth Opportunity",IF(N109="H2 Active / No H1 GMV","7. Onboard / Re-engage / Learn",IF(OR(N109="Declining",N109="Lapsed"),"8. Retention / Reactivation","UNASSIGNED")))),"UNASSIGNED"))</f>
        <v>9. Long-Tail Automated Nurture</v>
      </c>
      <c r="AT109" s="10" t="b">
        <f aca="false">AS109&lt;&gt;T109</f>
        <v>0</v>
      </c>
      <c r="AU109" s="2" t="str">
        <f aca="false">IF(NOT(U109),"Not Eligible",IF(OR(AQ109,AH109,AK109,NOT(AND(W109&gt;=Assumptions!$B$83,O109&gt;=Assumptions!$B$84))),"Manual Review","Ready"))</f>
        <v>Not Eligible</v>
      </c>
      <c r="AV109" s="2" t="str">
        <f aca="false">IF(AG109,"Key account - human sign-off required; ","")&amp;IF(AH109,"Borderline momentum; ","")&amp;IF(AK109,"February-sensitive ("&amp;N109&amp;" -&gt; "&amp;AJ109&amp;"); ","")&amp;IF(AL109="One-Off / Insufficient History — Verify","Lapsed on thin history - verify; ","")&amp;IF(AQ109,"Material broker % inconsistency (implied tier "&amp;AP109&amp;"); ","")&amp;IF(AT109,"Implied broker % would move segment to "&amp;AS109&amp;"; ","")</f>
        <v/>
      </c>
      <c r="AW109" s="10" t="b">
        <f aca="false">AND(G109="Low",J109="Tail",I109&gt;=Assumptions!$B$64,O109&gt;=Assumptions!$B$65,OR(N109="Growing",N109="Stable",AND(N109="H2 Active / No H1 GMV",W109&gt;=2)),OR(R109&gt;=Assumptions!$B$66,S109&gt;=Assumptions!$B$67))</f>
        <v>0</v>
      </c>
    </row>
    <row r="110" customFormat="false" ht="15" hidden="false" customHeight="false" outlineLevel="0" collapsed="false">
      <c r="A110" s="2" t="s">
        <v>661</v>
      </c>
      <c r="B110" s="2" t="s">
        <v>1571</v>
      </c>
      <c r="C110" s="2" t="s">
        <v>1572</v>
      </c>
      <c r="D110" s="2" t="n">
        <v>25</v>
      </c>
      <c r="E110" s="2" t="n">
        <v>17</v>
      </c>
      <c r="F110" s="21" t="n">
        <f aca="false">INDEX('Scored Accounts'!$Q$2:$Q$301,MATCH($A110,'Scored Accounts'!$A$2:$A$301,0))</f>
        <v>0</v>
      </c>
      <c r="G110" s="2" t="str">
        <f aca="false">INDEX('Scored Accounts'!$R$2:$R$301,MATCH($A110,'Scored Accounts'!$A$2:$A$301,0))</f>
        <v>Low</v>
      </c>
      <c r="H110" s="2" t="str">
        <f aca="false">IF(OR(G110="High",G110="Medium"),"Broker-Reliant",IF(AND(G110="Low",B110="Account Managed"),"AM-Owned / Self-Serving",IF(AND(G110="Low",B110="Self Serve"),"Self-Serve","UNASSIGNED")))</f>
        <v>AM-Owned / Self-Serving</v>
      </c>
      <c r="I110" s="9" t="n">
        <v>607</v>
      </c>
      <c r="J110" s="2" t="str">
        <f aca="false">IF(I110&gt;=Assumptions!$B$35,"Key",IF(I110&gt;=Assumptions!$B$34,"Core","Tail"))</f>
        <v>Tail</v>
      </c>
      <c r="K110" s="9" t="n">
        <f aca="false">INDEX('Commercial View'!$R$2:$R$301,MATCH($A110,'Commercial View'!$A$2:$A$301,0))</f>
        <v>243</v>
      </c>
      <c r="L110" s="9" t="n">
        <f aca="false">INDEX('Commercial View'!$S$2:$S$301,MATCH($A110,'Commercial View'!$A$2:$A$301,0))</f>
        <v>365</v>
      </c>
      <c r="M110" s="17" t="n">
        <f aca="false">INDEX('Commercial View'!$T$2:$T$301,MATCH($A110,'Commercial View'!$A$2:$A$301,0))</f>
        <v>0.502057613168724</v>
      </c>
      <c r="N110" s="2" t="str">
        <f aca="false">INDEX('Commercial View'!$U$2:$U$301,MATCH($A110,'Commercial View'!$A$2:$A$301,0))</f>
        <v>Growing</v>
      </c>
      <c r="O110" s="2" t="n">
        <v>2</v>
      </c>
      <c r="P110" s="2" t="n">
        <v>0</v>
      </c>
      <c r="Q110" s="2" t="n">
        <v>2</v>
      </c>
      <c r="R110" s="2" t="n">
        <v>34</v>
      </c>
      <c r="S110" s="2" t="n">
        <v>5</v>
      </c>
      <c r="T110" s="2" t="str">
        <f aca="false">IF(H110="Broker-Reliant",IF(J110="Tail","5. Cost-to-Serve / Low-Touch",IF(OR(N110="Growing",N110="Stable"),"1. Migration Candidate",IF(N110="Declining","2. Protect / Retain First",IF(N110="Lapsed","3. Win-Back / Verify",IF(N110="H2 Active / No H1 GMV","4. Establish / Re-establish / Observe","UNASSIGNED"))))),IF(G110="Low",IF(J110="Tail","9. Long-Tail Automated Nurture",IF(OR(N110="Growing",N110="Stable"),"6. Growth Opportunity",IF(N110="H2 Active / No H1 GMV","7. Onboard / Re-engage / Learn",IF(OR(N110="Declining",N110="Lapsed"),"8. Retention / Reactivation","UNASSIGNED")))),"UNASSIGNED"))</f>
        <v>9. Long-Tail Automated Nurture</v>
      </c>
      <c r="U110" s="10" t="b">
        <f aca="false">AND(T110="1. Migration Candidate",J110="Core",O110&gt;=Assumptions!$B$39,Q110&gt;=Assumptions!$B$40,NOT(Z110))</f>
        <v>0</v>
      </c>
      <c r="V110" s="2" t="n">
        <f aca="false">(AND(H110="Broker-Reliant",J110&lt;&gt;"Tail",OR(N110="Growing",N110="Stable")))*1+(AND(H110="Broker-Reliant",J110&lt;&gt;"Tail",N110="Declining"))*1+(AND(H110="Broker-Reliant",J110&lt;&gt;"Tail",N110="Lapsed"))*1+(AND(H110="Broker-Reliant",J110&lt;&gt;"Tail",N110="H2 Active / No H1 GMV"))*1+(AND(H110="Broker-Reliant",J110="Tail"))*1+(AND(G110="Low",J110&lt;&gt;"Tail",OR(N110="Growing",N110="Stable")))*1+(AND(G110="Low",J110&lt;&gt;"Tail",N110="H2 Active / No H1 GMV"))*1+(AND(G110="Low",J110&lt;&gt;"Tail",OR(N110="Declining",N110="Lapsed")))*1+(AND(G110="Low",J110="Tail"))*1</f>
        <v>1</v>
      </c>
      <c r="W110" s="2" t="n">
        <f aca="false">INDEX('Commercial View'!$V$2:$V$301,MATCH($A110,'Commercial View'!$A$2:$A$301,0))</f>
        <v>2</v>
      </c>
      <c r="X110" s="10" t="b">
        <f aca="false">O110&lt;=Assumptions!$B$30</f>
        <v>1</v>
      </c>
      <c r="Y110" s="10" t="b">
        <f aca="false">W110&lt;=1</f>
        <v>0</v>
      </c>
      <c r="Z110" s="10" t="b">
        <f aca="false">C110="Duplicate"</f>
        <v>0</v>
      </c>
      <c r="AA110" s="10" t="b">
        <f aca="false">C110=""</f>
        <v>0</v>
      </c>
      <c r="AB110" s="2" t="n">
        <f aca="false">IF(P110+Q110&gt;0,ROUND(P110/(P110+Q110)*100,0),"")</f>
        <v>0</v>
      </c>
      <c r="AC110" s="2" t="n">
        <f aca="false">IF(P110+Q110&gt;0,ROUND(E110-P110/(P110+Q110)*100,0),"")</f>
        <v>17</v>
      </c>
      <c r="AD110" s="10" t="b">
        <f aca="false">IF(AC110="",FALSE(),ABS(AC110)&gt;Assumptions!$B$41)</f>
        <v>1</v>
      </c>
      <c r="AE110" s="2" t="str">
        <f aca="false">IF(X110,"Low confidence (&lt;=2 orders); ","")&amp;IF(Y110,"Single-month history; ","")&amp;IF(Z110,"CRITICAL: Duplicate status; ","")&amp;IF(AA110,"Missing status; ","")&amp;IF(AD110,"Broker % vs counts gap "&amp;TEXT(AC110,"+0;-0")&amp;"pts; ","")</f>
        <v>Low confidence (&lt;=2 orders); Broker % vs counts gap +17pts; </v>
      </c>
      <c r="AF110" s="2" t="str">
        <f aca="false">IF(AND(K110=0,L110&gt;0),IF(D110&lt;=Assumptions!$B$47,"New Customer","Returned Customer"),"Existing Customer")</f>
        <v>Existing Customer</v>
      </c>
      <c r="AG110" s="10" t="b">
        <f aca="false">AND(T110="1. Migration Candidate",J110="Key")</f>
        <v>0</v>
      </c>
      <c r="AH110" s="10" t="b">
        <f aca="false">IF(AND(K110&gt;0,L110&gt;0),OR(ABS(M110-Assumptions!$B$36)&lt;=Assumptions!$B$46,ABS(M110+Assumptions!$B$36)&lt;=Assumptions!$B$46),FALSE())</f>
        <v>0</v>
      </c>
      <c r="AI110" s="9" t="n">
        <f aca="false">INDEX('Commercial View'!$L$2:$L$301,MATCH($A110,'Commercial View'!$A$2:$A$301,0))+INDEX('Commercial View'!$M$2:$M$301,MATCH($A110,'Commercial View'!$A$2:$A$301,0))</f>
        <v>0</v>
      </c>
      <c r="AJ110" s="2" t="str">
        <f aca="false">IF(AND(K110=0,AI110=0),"No activity ex-Feb",IF(AI110=0,"Lapsed",IF(K110=0,"H2 Active / No H1 GMV",IF((AI110/2)/(K110/3)-1&gt;=Assumptions!$B$36,"Growing",IF((AI110/2)/(K110/3)-1&lt;-Assumptions!$B$36,"Declining","Stable")))))</f>
        <v>Lapsed</v>
      </c>
      <c r="AK110" s="10" t="b">
        <f aca="false">IF(OR(N110="Growing",N110="Stable"),"Healthy",N110)&lt;&gt;IF(OR(AJ110="Growing",AJ110="Stable"),"Healthy",AJ110)</f>
        <v>1</v>
      </c>
      <c r="AL110" s="2" t="str">
        <f aca="false">IF(N110="Lapsed",IF(OR(O110&lt;=Assumptions!$B$48,W110&lt;=Assumptions!$B$49),"One-Off / Insufficient History — Verify","Established Buyer Lapsed"),"N/A")</f>
        <v>N/A</v>
      </c>
      <c r="AM110" s="2" t="n">
        <f aca="false">INDEX('Scored Accounts'!$M$2:$M$301,MATCH($A110,'Scored Accounts'!$A$2:$A$301,0))</f>
        <v>0</v>
      </c>
      <c r="AN110" s="2" t="n">
        <f aca="false">IF((P110/(P110+Q110)*100)&lt;=Assumptions!$B$13,0,IF((P110/(P110+Q110)*100)&lt;Assumptions!$B$14,25,IF((P110/(P110+Q110)*100)&lt;Assumptions!$B$15,50,IF((P110/(P110+Q110)*100)&lt;Assumptions!$B$16,75,100))))</f>
        <v>0</v>
      </c>
      <c r="AO110" s="21" t="n">
        <f aca="false">IF((P110/(P110+Q110)*100)&lt;=Assumptions!$B$8,0,AN110*Assumptions!$B$4+INDEX('Scored Accounts'!$N$2:$N$301,MATCH($A110,'Scored Accounts'!$A$2:$A$301,0))*Assumptions!$B$5+INDEX('Scored Accounts'!$O$2:$O$301,MATCH($A110,'Scored Accounts'!$A$2:$A$301,0))*Assumptions!$B$6)</f>
        <v>0</v>
      </c>
      <c r="AP110" s="2" t="str">
        <f aca="false">IF(AO110&gt;=Assumptions!$B$9,"High",IF(AO110&gt;=Assumptions!$B$10,"Medium","Low"))</f>
        <v>Low</v>
      </c>
      <c r="AQ110" s="10" t="b">
        <f aca="false">OR((E110&lt;=Assumptions!$B$8)&lt;&gt;((P110/(P110+Q110)*100)&lt;=Assumptions!$B$8),AM110&lt;&gt;AN110,G110&lt;&gt;AP110)</f>
        <v>0</v>
      </c>
      <c r="AR110" s="2" t="str">
        <f aca="false">IF(AP110&lt;&gt;"Low","Broker-Reliant",IF(B110="Account Managed","AM-Owned / Self-Serving","Self-Serve"))</f>
        <v>AM-Owned / Self-Serving</v>
      </c>
      <c r="AS110" s="2" t="str">
        <f aca="false">IF(AR110="Broker-Reliant",IF(J110="Tail","5. Cost-to-Serve / Low-Touch",IF(OR(N110="Growing",N110="Stable"),"1. Migration Candidate",IF(N110="Declining","2. Protect / Retain First",IF(N110="Lapsed","3. Win-Back / Verify",IF(N110="H2 Active / No H1 GMV","4. Establish / Re-establish / Observe","UNASSIGNED"))))),IF(AP110="Low",IF(J110="Tail","9. Long-Tail Automated Nurture",IF(OR(N110="Growing",N110="Stable"),"6. Growth Opportunity",IF(N110="H2 Active / No H1 GMV","7. Onboard / Re-engage / Learn",IF(OR(N110="Declining",N110="Lapsed"),"8. Retention / Reactivation","UNASSIGNED")))),"UNASSIGNED"))</f>
        <v>9. Long-Tail Automated Nurture</v>
      </c>
      <c r="AT110" s="10" t="b">
        <f aca="false">AS110&lt;&gt;T110</f>
        <v>0</v>
      </c>
      <c r="AU110" s="2" t="str">
        <f aca="false">IF(NOT(U110),"Not Eligible",IF(OR(AQ110,AH110,AK110,NOT(AND(W110&gt;=Assumptions!$B$83,O110&gt;=Assumptions!$B$84))),"Manual Review","Ready"))</f>
        <v>Not Eligible</v>
      </c>
      <c r="AV110" s="2" t="str">
        <f aca="false">IF(AG110,"Key account - human sign-off required; ","")&amp;IF(AH110,"Borderline momentum; ","")&amp;IF(AK110,"February-sensitive ("&amp;N110&amp;" -&gt; "&amp;AJ110&amp;"); ","")&amp;IF(AL110="One-Off / Insufficient History — Verify","Lapsed on thin history - verify; ","")&amp;IF(AQ110,"Material broker % inconsistency (implied tier "&amp;AP110&amp;"); ","")&amp;IF(AT110,"Implied broker % would move segment to "&amp;AS110&amp;"; ","")</f>
        <v>February-sensitive (Growing -&gt; Lapsed); </v>
      </c>
      <c r="AW110" s="10" t="b">
        <f aca="false">AND(G110="Low",J110="Tail",I110&gt;=Assumptions!$B$64,O110&gt;=Assumptions!$B$65,OR(N110="Growing",N110="Stable",AND(N110="H2 Active / No H1 GMV",W110&gt;=2)),OR(R110&gt;=Assumptions!$B$66,S110&gt;=Assumptions!$B$67))</f>
        <v>0</v>
      </c>
    </row>
    <row r="111" customFormat="false" ht="15" hidden="false" customHeight="false" outlineLevel="0" collapsed="false">
      <c r="A111" s="2" t="s">
        <v>666</v>
      </c>
      <c r="B111" s="2" t="s">
        <v>1571</v>
      </c>
      <c r="C111" s="2" t="s">
        <v>1572</v>
      </c>
      <c r="D111" s="2" t="n">
        <v>11</v>
      </c>
      <c r="E111" s="2" t="n">
        <v>3</v>
      </c>
      <c r="F111" s="21" t="n">
        <f aca="false">INDEX('Scored Accounts'!$Q$2:$Q$301,MATCH($A111,'Scored Accounts'!$A$2:$A$301,0))</f>
        <v>0</v>
      </c>
      <c r="G111" s="2" t="str">
        <f aca="false">INDEX('Scored Accounts'!$R$2:$R$301,MATCH($A111,'Scored Accounts'!$A$2:$A$301,0))</f>
        <v>Low</v>
      </c>
      <c r="H111" s="2" t="str">
        <f aca="false">IF(OR(G111="High",G111="Medium"),"Broker-Reliant",IF(AND(G111="Low",B111="Account Managed"),"AM-Owned / Self-Serving",IF(AND(G111="Low",B111="Self Serve"),"Self-Serve","UNASSIGNED")))</f>
        <v>AM-Owned / Self-Serving</v>
      </c>
      <c r="I111" s="9" t="n">
        <v>594</v>
      </c>
      <c r="J111" s="2" t="str">
        <f aca="false">IF(I111&gt;=Assumptions!$B$35,"Key",IF(I111&gt;=Assumptions!$B$34,"Core","Tail"))</f>
        <v>Tail</v>
      </c>
      <c r="K111" s="9" t="n">
        <f aca="false">INDEX('Commercial View'!$R$2:$R$301,MATCH($A111,'Commercial View'!$A$2:$A$301,0))</f>
        <v>594</v>
      </c>
      <c r="L111" s="9" t="n">
        <f aca="false">INDEX('Commercial View'!$S$2:$S$301,MATCH($A111,'Commercial View'!$A$2:$A$301,0))</f>
        <v>0</v>
      </c>
      <c r="M111" s="17" t="n">
        <f aca="false">INDEX('Commercial View'!$T$2:$T$301,MATCH($A111,'Commercial View'!$A$2:$A$301,0))</f>
        <v>-1</v>
      </c>
      <c r="N111" s="2" t="str">
        <f aca="false">INDEX('Commercial View'!$U$2:$U$301,MATCH($A111,'Commercial View'!$A$2:$A$301,0))</f>
        <v>Lapsed</v>
      </c>
      <c r="O111" s="2" t="n">
        <v>2</v>
      </c>
      <c r="P111" s="2" t="n">
        <v>0</v>
      </c>
      <c r="Q111" s="2" t="n">
        <v>2</v>
      </c>
      <c r="R111" s="2" t="n">
        <v>16</v>
      </c>
      <c r="S111" s="2" t="n">
        <v>5</v>
      </c>
      <c r="T111" s="2" t="str">
        <f aca="false">IF(H111="Broker-Reliant",IF(J111="Tail","5. Cost-to-Serve / Low-Touch",IF(OR(N111="Growing",N111="Stable"),"1. Migration Candidate",IF(N111="Declining","2. Protect / Retain First",IF(N111="Lapsed","3. Win-Back / Verify",IF(N111="H2 Active / No H1 GMV","4. Establish / Re-establish / Observe","UNASSIGNED"))))),IF(G111="Low",IF(J111="Tail","9. Long-Tail Automated Nurture",IF(OR(N111="Growing",N111="Stable"),"6. Growth Opportunity",IF(N111="H2 Active / No H1 GMV","7. Onboard / Re-engage / Learn",IF(OR(N111="Declining",N111="Lapsed"),"8. Retention / Reactivation","UNASSIGNED")))),"UNASSIGNED"))</f>
        <v>9. Long-Tail Automated Nurture</v>
      </c>
      <c r="U111" s="10" t="b">
        <f aca="false">AND(T111="1. Migration Candidate",J111="Core",O111&gt;=Assumptions!$B$39,Q111&gt;=Assumptions!$B$40,NOT(Z111))</f>
        <v>0</v>
      </c>
      <c r="V111" s="2" t="n">
        <f aca="false">(AND(H111="Broker-Reliant",J111&lt;&gt;"Tail",OR(N111="Growing",N111="Stable")))*1+(AND(H111="Broker-Reliant",J111&lt;&gt;"Tail",N111="Declining"))*1+(AND(H111="Broker-Reliant",J111&lt;&gt;"Tail",N111="Lapsed"))*1+(AND(H111="Broker-Reliant",J111&lt;&gt;"Tail",N111="H2 Active / No H1 GMV"))*1+(AND(H111="Broker-Reliant",J111="Tail"))*1+(AND(G111="Low",J111&lt;&gt;"Tail",OR(N111="Growing",N111="Stable")))*1+(AND(G111="Low",J111&lt;&gt;"Tail",N111="H2 Active / No H1 GMV"))*1+(AND(G111="Low",J111&lt;&gt;"Tail",OR(N111="Declining",N111="Lapsed")))*1+(AND(G111="Low",J111="Tail"))*1</f>
        <v>1</v>
      </c>
      <c r="W111" s="2" t="n">
        <f aca="false">INDEX('Commercial View'!$V$2:$V$301,MATCH($A111,'Commercial View'!$A$2:$A$301,0))</f>
        <v>1</v>
      </c>
      <c r="X111" s="10" t="b">
        <f aca="false">O111&lt;=Assumptions!$B$30</f>
        <v>1</v>
      </c>
      <c r="Y111" s="10" t="b">
        <f aca="false">W111&lt;=1</f>
        <v>1</v>
      </c>
      <c r="Z111" s="10" t="b">
        <f aca="false">C111="Duplicate"</f>
        <v>0</v>
      </c>
      <c r="AA111" s="10" t="b">
        <f aca="false">C111=""</f>
        <v>0</v>
      </c>
      <c r="AB111" s="2" t="n">
        <f aca="false">IF(P111+Q111&gt;0,ROUND(P111/(P111+Q111)*100,0),"")</f>
        <v>0</v>
      </c>
      <c r="AC111" s="2" t="n">
        <f aca="false">IF(P111+Q111&gt;0,ROUND(E111-P111/(P111+Q111)*100,0),"")</f>
        <v>3</v>
      </c>
      <c r="AD111" s="10" t="b">
        <f aca="false">IF(AC111="",FALSE(),ABS(AC111)&gt;Assumptions!$B$41)</f>
        <v>0</v>
      </c>
      <c r="AE111" s="2" t="str">
        <f aca="false">IF(X111,"Low confidence (&lt;=2 orders); ","")&amp;IF(Y111,"Single-month history; ","")&amp;IF(Z111,"CRITICAL: Duplicate status; ","")&amp;IF(AA111,"Missing status; ","")&amp;IF(AD111,"Broker % vs counts gap "&amp;TEXT(AC111,"+0;-0")&amp;"pts; ","")</f>
        <v>Low confidence (&lt;=2 orders); Single-month history; </v>
      </c>
      <c r="AF111" s="2" t="str">
        <f aca="false">IF(AND(K111=0,L111&gt;0),IF(D111&lt;=Assumptions!$B$47,"New Customer","Returned Customer"),"Existing Customer")</f>
        <v>Existing Customer</v>
      </c>
      <c r="AG111" s="10" t="b">
        <f aca="false">AND(T111="1. Migration Candidate",J111="Key")</f>
        <v>0</v>
      </c>
      <c r="AH111" s="10" t="b">
        <f aca="false">IF(AND(K111&gt;0,L111&gt;0),OR(ABS(M111-Assumptions!$B$36)&lt;=Assumptions!$B$46,ABS(M111+Assumptions!$B$36)&lt;=Assumptions!$B$46),FALSE())</f>
        <v>0</v>
      </c>
      <c r="AI111" s="9" t="n">
        <f aca="false">INDEX('Commercial View'!$L$2:$L$301,MATCH($A111,'Commercial View'!$A$2:$A$301,0))+INDEX('Commercial View'!$M$2:$M$301,MATCH($A111,'Commercial View'!$A$2:$A$301,0))</f>
        <v>0</v>
      </c>
      <c r="AJ111" s="2" t="str">
        <f aca="false">IF(AND(K111=0,AI111=0),"No activity ex-Feb",IF(AI111=0,"Lapsed",IF(K111=0,"H2 Active / No H1 GMV",IF((AI111/2)/(K111/3)-1&gt;=Assumptions!$B$36,"Growing",IF((AI111/2)/(K111/3)-1&lt;-Assumptions!$B$36,"Declining","Stable")))))</f>
        <v>Lapsed</v>
      </c>
      <c r="AK111" s="10" t="b">
        <f aca="false">IF(OR(N111="Growing",N111="Stable"),"Healthy",N111)&lt;&gt;IF(OR(AJ111="Growing",AJ111="Stable"),"Healthy",AJ111)</f>
        <v>0</v>
      </c>
      <c r="AL111" s="2" t="str">
        <f aca="false">IF(N111="Lapsed",IF(OR(O111&lt;=Assumptions!$B$48,W111&lt;=Assumptions!$B$49),"One-Off / Insufficient History — Verify","Established Buyer Lapsed"),"N/A")</f>
        <v>One-Off / Insufficient History — Verify</v>
      </c>
      <c r="AM111" s="2" t="n">
        <f aca="false">INDEX('Scored Accounts'!$M$2:$M$301,MATCH($A111,'Scored Accounts'!$A$2:$A$301,0))</f>
        <v>0</v>
      </c>
      <c r="AN111" s="2" t="n">
        <f aca="false">IF((P111/(P111+Q111)*100)&lt;=Assumptions!$B$13,0,IF((P111/(P111+Q111)*100)&lt;Assumptions!$B$14,25,IF((P111/(P111+Q111)*100)&lt;Assumptions!$B$15,50,IF((P111/(P111+Q111)*100)&lt;Assumptions!$B$16,75,100))))</f>
        <v>0</v>
      </c>
      <c r="AO111" s="21" t="n">
        <f aca="false">IF((P111/(P111+Q111)*100)&lt;=Assumptions!$B$8,0,AN111*Assumptions!$B$4+INDEX('Scored Accounts'!$N$2:$N$301,MATCH($A111,'Scored Accounts'!$A$2:$A$301,0))*Assumptions!$B$5+INDEX('Scored Accounts'!$O$2:$O$301,MATCH($A111,'Scored Accounts'!$A$2:$A$301,0))*Assumptions!$B$6)</f>
        <v>0</v>
      </c>
      <c r="AP111" s="2" t="str">
        <f aca="false">IF(AO111&gt;=Assumptions!$B$9,"High",IF(AO111&gt;=Assumptions!$B$10,"Medium","Low"))</f>
        <v>Low</v>
      </c>
      <c r="AQ111" s="10" t="b">
        <f aca="false">OR((E111&lt;=Assumptions!$B$8)&lt;&gt;((P111/(P111+Q111)*100)&lt;=Assumptions!$B$8),AM111&lt;&gt;AN111,G111&lt;&gt;AP111)</f>
        <v>0</v>
      </c>
      <c r="AR111" s="2" t="str">
        <f aca="false">IF(AP111&lt;&gt;"Low","Broker-Reliant",IF(B111="Account Managed","AM-Owned / Self-Serving","Self-Serve"))</f>
        <v>AM-Owned / Self-Serving</v>
      </c>
      <c r="AS111" s="2" t="str">
        <f aca="false">IF(AR111="Broker-Reliant",IF(J111="Tail","5. Cost-to-Serve / Low-Touch",IF(OR(N111="Growing",N111="Stable"),"1. Migration Candidate",IF(N111="Declining","2. Protect / Retain First",IF(N111="Lapsed","3. Win-Back / Verify",IF(N111="H2 Active / No H1 GMV","4. Establish / Re-establish / Observe","UNASSIGNED"))))),IF(AP111="Low",IF(J111="Tail","9. Long-Tail Automated Nurture",IF(OR(N111="Growing",N111="Stable"),"6. Growth Opportunity",IF(N111="H2 Active / No H1 GMV","7. Onboard / Re-engage / Learn",IF(OR(N111="Declining",N111="Lapsed"),"8. Retention / Reactivation","UNASSIGNED")))),"UNASSIGNED"))</f>
        <v>9. Long-Tail Automated Nurture</v>
      </c>
      <c r="AT111" s="10" t="b">
        <f aca="false">AS111&lt;&gt;T111</f>
        <v>0</v>
      </c>
      <c r="AU111" s="2" t="str">
        <f aca="false">IF(NOT(U111),"Not Eligible",IF(OR(AQ111,AH111,AK111,NOT(AND(W111&gt;=Assumptions!$B$83,O111&gt;=Assumptions!$B$84))),"Manual Review","Ready"))</f>
        <v>Not Eligible</v>
      </c>
      <c r="AV111" s="2" t="str">
        <f aca="false">IF(AG111,"Key account - human sign-off required; ","")&amp;IF(AH111,"Borderline momentum; ","")&amp;IF(AK111,"February-sensitive ("&amp;N111&amp;" -&gt; "&amp;AJ111&amp;"); ","")&amp;IF(AL111="One-Off / Insufficient History — Verify","Lapsed on thin history - verify; ","")&amp;IF(AQ111,"Material broker % inconsistency (implied tier "&amp;AP111&amp;"); ","")&amp;IF(AT111,"Implied broker % would move segment to "&amp;AS111&amp;"; ","")</f>
        <v>Lapsed on thin history - verify; </v>
      </c>
      <c r="AW111" s="10" t="b">
        <f aca="false">AND(G111="Low",J111="Tail",I111&gt;=Assumptions!$B$64,O111&gt;=Assumptions!$B$65,OR(N111="Growing",N111="Stable",AND(N111="H2 Active / No H1 GMV",W111&gt;=2)),OR(R111&gt;=Assumptions!$B$66,S111&gt;=Assumptions!$B$67))</f>
        <v>0</v>
      </c>
    </row>
    <row r="112" customFormat="false" ht="15" hidden="false" customHeight="false" outlineLevel="0" collapsed="false">
      <c r="A112" s="2" t="s">
        <v>560</v>
      </c>
      <c r="B112" s="2" t="s">
        <v>1571</v>
      </c>
      <c r="C112" s="2" t="s">
        <v>1572</v>
      </c>
      <c r="D112" s="2" t="n">
        <v>14</v>
      </c>
      <c r="E112" s="2" t="n">
        <v>19</v>
      </c>
      <c r="F112" s="21" t="n">
        <f aca="false">INDEX('Scored Accounts'!$Q$2:$Q$301,MATCH($A112,'Scored Accounts'!$A$2:$A$301,0))</f>
        <v>0</v>
      </c>
      <c r="G112" s="2" t="str">
        <f aca="false">INDEX('Scored Accounts'!$R$2:$R$301,MATCH($A112,'Scored Accounts'!$A$2:$A$301,0))</f>
        <v>Low</v>
      </c>
      <c r="H112" s="2" t="str">
        <f aca="false">IF(OR(G112="High",G112="Medium"),"Broker-Reliant",IF(AND(G112="Low",B112="Account Managed"),"AM-Owned / Self-Serving",IF(AND(G112="Low",B112="Self Serve"),"Self-Serve","UNASSIGNED")))</f>
        <v>AM-Owned / Self-Serving</v>
      </c>
      <c r="I112" s="9" t="n">
        <v>592</v>
      </c>
      <c r="J112" s="2" t="str">
        <f aca="false">IF(I112&gt;=Assumptions!$B$35,"Key",IF(I112&gt;=Assumptions!$B$34,"Core","Tail"))</f>
        <v>Tail</v>
      </c>
      <c r="K112" s="9" t="n">
        <f aca="false">INDEX('Commercial View'!$R$2:$R$301,MATCH($A112,'Commercial View'!$A$2:$A$301,0))</f>
        <v>288</v>
      </c>
      <c r="L112" s="9" t="n">
        <f aca="false">INDEX('Commercial View'!$S$2:$S$301,MATCH($A112,'Commercial View'!$A$2:$A$301,0))</f>
        <v>304</v>
      </c>
      <c r="M112" s="17" t="n">
        <f aca="false">INDEX('Commercial View'!$T$2:$T$301,MATCH($A112,'Commercial View'!$A$2:$A$301,0))</f>
        <v>0.0555555555555556</v>
      </c>
      <c r="N112" s="2" t="str">
        <f aca="false">INDEX('Commercial View'!$U$2:$U$301,MATCH($A112,'Commercial View'!$A$2:$A$301,0))</f>
        <v>Stable</v>
      </c>
      <c r="O112" s="2" t="n">
        <v>4</v>
      </c>
      <c r="P112" s="2" t="n">
        <v>1</v>
      </c>
      <c r="Q112" s="2" t="n">
        <v>3</v>
      </c>
      <c r="R112" s="2" t="n">
        <v>29</v>
      </c>
      <c r="S112" s="2" t="n">
        <v>0</v>
      </c>
      <c r="T112" s="2" t="str">
        <f aca="false">IF(H112="Broker-Reliant",IF(J112="Tail","5. Cost-to-Serve / Low-Touch",IF(OR(N112="Growing",N112="Stable"),"1. Migration Candidate",IF(N112="Declining","2. Protect / Retain First",IF(N112="Lapsed","3. Win-Back / Verify",IF(N112="H2 Active / No H1 GMV","4. Establish / Re-establish / Observe","UNASSIGNED"))))),IF(G112="Low",IF(J112="Tail","9. Long-Tail Automated Nurture",IF(OR(N112="Growing",N112="Stable"),"6. Growth Opportunity",IF(N112="H2 Active / No H1 GMV","7. Onboard / Re-engage / Learn",IF(OR(N112="Declining",N112="Lapsed"),"8. Retention / Reactivation","UNASSIGNED")))),"UNASSIGNED"))</f>
        <v>9. Long-Tail Automated Nurture</v>
      </c>
      <c r="U112" s="10" t="b">
        <f aca="false">AND(T112="1. Migration Candidate",J112="Core",O112&gt;=Assumptions!$B$39,Q112&gt;=Assumptions!$B$40,NOT(Z112))</f>
        <v>0</v>
      </c>
      <c r="V112" s="2" t="n">
        <f aca="false">(AND(H112="Broker-Reliant",J112&lt;&gt;"Tail",OR(N112="Growing",N112="Stable")))*1+(AND(H112="Broker-Reliant",J112&lt;&gt;"Tail",N112="Declining"))*1+(AND(H112="Broker-Reliant",J112&lt;&gt;"Tail",N112="Lapsed"))*1+(AND(H112="Broker-Reliant",J112&lt;&gt;"Tail",N112="H2 Active / No H1 GMV"))*1+(AND(H112="Broker-Reliant",J112="Tail"))*1+(AND(G112="Low",J112&lt;&gt;"Tail",OR(N112="Growing",N112="Stable")))*1+(AND(G112="Low",J112&lt;&gt;"Tail",N112="H2 Active / No H1 GMV"))*1+(AND(G112="Low",J112&lt;&gt;"Tail",OR(N112="Declining",N112="Lapsed")))*1+(AND(G112="Low",J112="Tail"))*1</f>
        <v>1</v>
      </c>
      <c r="W112" s="2" t="n">
        <f aca="false">INDEX('Commercial View'!$V$2:$V$301,MATCH($A112,'Commercial View'!$A$2:$A$301,0))</f>
        <v>4</v>
      </c>
      <c r="X112" s="10" t="b">
        <f aca="false">O112&lt;=Assumptions!$B$30</f>
        <v>0</v>
      </c>
      <c r="Y112" s="10" t="b">
        <f aca="false">W112&lt;=1</f>
        <v>0</v>
      </c>
      <c r="Z112" s="10" t="b">
        <f aca="false">C112="Duplicate"</f>
        <v>0</v>
      </c>
      <c r="AA112" s="10" t="b">
        <f aca="false">C112=""</f>
        <v>0</v>
      </c>
      <c r="AB112" s="2" t="n">
        <f aca="false">IF(P112+Q112&gt;0,ROUND(P112/(P112+Q112)*100,0),"")</f>
        <v>25</v>
      </c>
      <c r="AC112" s="2" t="n">
        <f aca="false">IF(P112+Q112&gt;0,ROUND(E112-P112/(P112+Q112)*100,0),"")</f>
        <v>-6</v>
      </c>
      <c r="AD112" s="10" t="b">
        <f aca="false">IF(AC112="",FALSE(),ABS(AC112)&gt;Assumptions!$B$41)</f>
        <v>0</v>
      </c>
      <c r="AE112" s="2" t="str">
        <f aca="false">IF(X112,"Low confidence (&lt;=2 orders); ","")&amp;IF(Y112,"Single-month history; ","")&amp;IF(Z112,"CRITICAL: Duplicate status; ","")&amp;IF(AA112,"Missing status; ","")&amp;IF(AD112,"Broker % vs counts gap "&amp;TEXT(AC112,"+0;-0")&amp;"pts; ","")</f>
        <v/>
      </c>
      <c r="AF112" s="2" t="str">
        <f aca="false">IF(AND(K112=0,L112&gt;0),IF(D112&lt;=Assumptions!$B$47,"New Customer","Returned Customer"),"Existing Customer")</f>
        <v>Existing Customer</v>
      </c>
      <c r="AG112" s="10" t="b">
        <f aca="false">AND(T112="1. Migration Candidate",J112="Key")</f>
        <v>0</v>
      </c>
      <c r="AH112" s="10" t="b">
        <f aca="false">IF(AND(K112&gt;0,L112&gt;0),OR(ABS(M112-Assumptions!$B$36)&lt;=Assumptions!$B$46,ABS(M112+Assumptions!$B$36)&lt;=Assumptions!$B$46),FALSE())</f>
        <v>0</v>
      </c>
      <c r="AI112" s="9" t="n">
        <f aca="false">INDEX('Commercial View'!$L$2:$L$301,MATCH($A112,'Commercial View'!$A$2:$A$301,0))+INDEX('Commercial View'!$M$2:$M$301,MATCH($A112,'Commercial View'!$A$2:$A$301,0))</f>
        <v>304</v>
      </c>
      <c r="AJ112" s="2" t="str">
        <f aca="false">IF(AND(K112=0,AI112=0),"No activity ex-Feb",IF(AI112=0,"Lapsed",IF(K112=0,"H2 Active / No H1 GMV",IF((AI112/2)/(K112/3)-1&gt;=Assumptions!$B$36,"Growing",IF((AI112/2)/(K112/3)-1&lt;-Assumptions!$B$36,"Declining","Stable")))))</f>
        <v>Growing</v>
      </c>
      <c r="AK112" s="10" t="b">
        <f aca="false">IF(OR(N112="Growing",N112="Stable"),"Healthy",N112)&lt;&gt;IF(OR(AJ112="Growing",AJ112="Stable"),"Healthy",AJ112)</f>
        <v>0</v>
      </c>
      <c r="AL112" s="2" t="str">
        <f aca="false">IF(N112="Lapsed",IF(OR(O112&lt;=Assumptions!$B$48,W112&lt;=Assumptions!$B$49),"One-Off / Insufficient History — Verify","Established Buyer Lapsed"),"N/A")</f>
        <v>N/A</v>
      </c>
      <c r="AM112" s="2" t="n">
        <f aca="false">INDEX('Scored Accounts'!$M$2:$M$301,MATCH($A112,'Scored Accounts'!$A$2:$A$301,0))</f>
        <v>0</v>
      </c>
      <c r="AN112" s="2" t="n">
        <f aca="false">IF((P112/(P112+Q112)*100)&lt;=Assumptions!$B$13,0,IF((P112/(P112+Q112)*100)&lt;Assumptions!$B$14,25,IF((P112/(P112+Q112)*100)&lt;Assumptions!$B$15,50,IF((P112/(P112+Q112)*100)&lt;Assumptions!$B$16,75,100))))</f>
        <v>25</v>
      </c>
      <c r="AO112" s="21" t="n">
        <f aca="false">IF((P112/(P112+Q112)*100)&lt;=Assumptions!$B$8,0,AN112*Assumptions!$B$4+INDEX('Scored Accounts'!$N$2:$N$301,MATCH($A112,'Scored Accounts'!$A$2:$A$301,0))*Assumptions!$B$5+INDEX('Scored Accounts'!$O$2:$O$301,MATCH($A112,'Scored Accounts'!$A$2:$A$301,0))*Assumptions!$B$6)</f>
        <v>40</v>
      </c>
      <c r="AP112" s="2" t="str">
        <f aca="false">IF(AO112&gt;=Assumptions!$B$9,"High",IF(AO112&gt;=Assumptions!$B$10,"Medium","Low"))</f>
        <v>Medium</v>
      </c>
      <c r="AQ112" s="10" t="b">
        <f aca="false">OR((E112&lt;=Assumptions!$B$8)&lt;&gt;((P112/(P112+Q112)*100)&lt;=Assumptions!$B$8),AM112&lt;&gt;AN112,G112&lt;&gt;AP112)</f>
        <v>1</v>
      </c>
      <c r="AR112" s="2" t="str">
        <f aca="false">IF(AP112&lt;&gt;"Low","Broker-Reliant",IF(B112="Account Managed","AM-Owned / Self-Serving","Self-Serve"))</f>
        <v>Broker-Reliant</v>
      </c>
      <c r="AS112" s="2" t="str">
        <f aca="false">IF(AR112="Broker-Reliant",IF(J112="Tail","5. Cost-to-Serve / Low-Touch",IF(OR(N112="Growing",N112="Stable"),"1. Migration Candidate",IF(N112="Declining","2. Protect / Retain First",IF(N112="Lapsed","3. Win-Back / Verify",IF(N112="H2 Active / No H1 GMV","4. Establish / Re-establish / Observe","UNASSIGNED"))))),IF(AP112="Low",IF(J112="Tail","9. Long-Tail Automated Nurture",IF(OR(N112="Growing",N112="Stable"),"6. Growth Opportunity",IF(N112="H2 Active / No H1 GMV","7. Onboard / Re-engage / Learn",IF(OR(N112="Declining",N112="Lapsed"),"8. Retention / Reactivation","UNASSIGNED")))),"UNASSIGNED"))</f>
        <v>5. Cost-to-Serve / Low-Touch</v>
      </c>
      <c r="AT112" s="10" t="b">
        <f aca="false">AS112&lt;&gt;T112</f>
        <v>1</v>
      </c>
      <c r="AU112" s="2" t="str">
        <f aca="false">IF(NOT(U112),"Not Eligible",IF(OR(AQ112,AH112,AK112,NOT(AND(W112&gt;=Assumptions!$B$83,O112&gt;=Assumptions!$B$84))),"Manual Review","Ready"))</f>
        <v>Not Eligible</v>
      </c>
      <c r="AV112" s="2" t="str">
        <f aca="false">IF(AG112,"Key account - human sign-off required; ","")&amp;IF(AH112,"Borderline momentum; ","")&amp;IF(AK112,"February-sensitive ("&amp;N112&amp;" -&gt; "&amp;AJ112&amp;"); ","")&amp;IF(AL112="One-Off / Insufficient History — Verify","Lapsed on thin history - verify; ","")&amp;IF(AQ112,"Material broker % inconsistency (implied tier "&amp;AP112&amp;"); ","")&amp;IF(AT112,"Implied broker % would move segment to "&amp;AS112&amp;"; ","")</f>
        <v>Material broker % inconsistency (implied tier Medium); Implied broker % would move segment to 5. Cost-to-Serve / Low-Touch; </v>
      </c>
      <c r="AW112" s="10" t="b">
        <f aca="false">AND(G112="Low",J112="Tail",I112&gt;=Assumptions!$B$64,O112&gt;=Assumptions!$B$65,OR(N112="Growing",N112="Stable",AND(N112="H2 Active / No H1 GMV",W112&gt;=2)),OR(R112&gt;=Assumptions!$B$66,S112&gt;=Assumptions!$B$67))</f>
        <v>0</v>
      </c>
    </row>
    <row r="113" customFormat="false" ht="15" hidden="false" customHeight="false" outlineLevel="0" collapsed="false">
      <c r="A113" s="2" t="s">
        <v>668</v>
      </c>
      <c r="B113" s="2" t="s">
        <v>1571</v>
      </c>
      <c r="C113" s="2" t="s">
        <v>1572</v>
      </c>
      <c r="D113" s="2" t="n">
        <v>23</v>
      </c>
      <c r="E113" s="2" t="n">
        <v>4</v>
      </c>
      <c r="F113" s="21" t="n">
        <f aca="false">INDEX('Scored Accounts'!$Q$2:$Q$301,MATCH($A113,'Scored Accounts'!$A$2:$A$301,0))</f>
        <v>0</v>
      </c>
      <c r="G113" s="2" t="str">
        <f aca="false">INDEX('Scored Accounts'!$R$2:$R$301,MATCH($A113,'Scored Accounts'!$A$2:$A$301,0))</f>
        <v>Low</v>
      </c>
      <c r="H113" s="2" t="str">
        <f aca="false">IF(OR(G113="High",G113="Medium"),"Broker-Reliant",IF(AND(G113="Low",B113="Account Managed"),"AM-Owned / Self-Serving",IF(AND(G113="Low",B113="Self Serve"),"Self-Serve","UNASSIGNED")))</f>
        <v>AM-Owned / Self-Serving</v>
      </c>
      <c r="I113" s="9" t="n">
        <v>586</v>
      </c>
      <c r="J113" s="2" t="str">
        <f aca="false">IF(I113&gt;=Assumptions!$B$35,"Key",IF(I113&gt;=Assumptions!$B$34,"Core","Tail"))</f>
        <v>Tail</v>
      </c>
      <c r="K113" s="9" t="n">
        <f aca="false">INDEX('Commercial View'!$R$2:$R$301,MATCH($A113,'Commercial View'!$A$2:$A$301,0))</f>
        <v>586</v>
      </c>
      <c r="L113" s="9" t="n">
        <f aca="false">INDEX('Commercial View'!$S$2:$S$301,MATCH($A113,'Commercial View'!$A$2:$A$301,0))</f>
        <v>0</v>
      </c>
      <c r="M113" s="17" t="n">
        <f aca="false">INDEX('Commercial View'!$T$2:$T$301,MATCH($A113,'Commercial View'!$A$2:$A$301,0))</f>
        <v>-1</v>
      </c>
      <c r="N113" s="2" t="str">
        <f aca="false">INDEX('Commercial View'!$U$2:$U$301,MATCH($A113,'Commercial View'!$A$2:$A$301,0))</f>
        <v>Lapsed</v>
      </c>
      <c r="O113" s="2" t="n">
        <v>1</v>
      </c>
      <c r="P113" s="2" t="n">
        <v>0</v>
      </c>
      <c r="Q113" s="2" t="n">
        <v>1</v>
      </c>
      <c r="R113" s="2" t="n">
        <v>21</v>
      </c>
      <c r="S113" s="2" t="n">
        <v>8</v>
      </c>
      <c r="T113" s="2" t="str">
        <f aca="false">IF(H113="Broker-Reliant",IF(J113="Tail","5. Cost-to-Serve / Low-Touch",IF(OR(N113="Growing",N113="Stable"),"1. Migration Candidate",IF(N113="Declining","2. Protect / Retain First",IF(N113="Lapsed","3. Win-Back / Verify",IF(N113="H2 Active / No H1 GMV","4. Establish / Re-establish / Observe","UNASSIGNED"))))),IF(G113="Low",IF(J113="Tail","9. Long-Tail Automated Nurture",IF(OR(N113="Growing",N113="Stable"),"6. Growth Opportunity",IF(N113="H2 Active / No H1 GMV","7. Onboard / Re-engage / Learn",IF(OR(N113="Declining",N113="Lapsed"),"8. Retention / Reactivation","UNASSIGNED")))),"UNASSIGNED"))</f>
        <v>9. Long-Tail Automated Nurture</v>
      </c>
      <c r="U113" s="10" t="b">
        <f aca="false">AND(T113="1. Migration Candidate",J113="Core",O113&gt;=Assumptions!$B$39,Q113&gt;=Assumptions!$B$40,NOT(Z113))</f>
        <v>0</v>
      </c>
      <c r="V113" s="2" t="n">
        <f aca="false">(AND(H113="Broker-Reliant",J113&lt;&gt;"Tail",OR(N113="Growing",N113="Stable")))*1+(AND(H113="Broker-Reliant",J113&lt;&gt;"Tail",N113="Declining"))*1+(AND(H113="Broker-Reliant",J113&lt;&gt;"Tail",N113="Lapsed"))*1+(AND(H113="Broker-Reliant",J113&lt;&gt;"Tail",N113="H2 Active / No H1 GMV"))*1+(AND(H113="Broker-Reliant",J113="Tail"))*1+(AND(G113="Low",J113&lt;&gt;"Tail",OR(N113="Growing",N113="Stable")))*1+(AND(G113="Low",J113&lt;&gt;"Tail",N113="H2 Active / No H1 GMV"))*1+(AND(G113="Low",J113&lt;&gt;"Tail",OR(N113="Declining",N113="Lapsed")))*1+(AND(G113="Low",J113="Tail"))*1</f>
        <v>1</v>
      </c>
      <c r="W113" s="2" t="n">
        <f aca="false">INDEX('Commercial View'!$V$2:$V$301,MATCH($A113,'Commercial View'!$A$2:$A$301,0))</f>
        <v>1</v>
      </c>
      <c r="X113" s="10" t="b">
        <f aca="false">O113&lt;=Assumptions!$B$30</f>
        <v>1</v>
      </c>
      <c r="Y113" s="10" t="b">
        <f aca="false">W113&lt;=1</f>
        <v>1</v>
      </c>
      <c r="Z113" s="10" t="b">
        <f aca="false">C113="Duplicate"</f>
        <v>0</v>
      </c>
      <c r="AA113" s="10" t="b">
        <f aca="false">C113=""</f>
        <v>0</v>
      </c>
      <c r="AB113" s="2" t="n">
        <f aca="false">IF(P113+Q113&gt;0,ROUND(P113/(P113+Q113)*100,0),"")</f>
        <v>0</v>
      </c>
      <c r="AC113" s="2" t="n">
        <f aca="false">IF(P113+Q113&gt;0,ROUND(E113-P113/(P113+Q113)*100,0),"")</f>
        <v>4</v>
      </c>
      <c r="AD113" s="10" t="b">
        <f aca="false">IF(AC113="",FALSE(),ABS(AC113)&gt;Assumptions!$B$41)</f>
        <v>0</v>
      </c>
      <c r="AE113" s="2" t="str">
        <f aca="false">IF(X113,"Low confidence (&lt;=2 orders); ","")&amp;IF(Y113,"Single-month history; ","")&amp;IF(Z113,"CRITICAL: Duplicate status; ","")&amp;IF(AA113,"Missing status; ","")&amp;IF(AD113,"Broker % vs counts gap "&amp;TEXT(AC113,"+0;-0")&amp;"pts; ","")</f>
        <v>Low confidence (&lt;=2 orders); Single-month history; </v>
      </c>
      <c r="AF113" s="2" t="str">
        <f aca="false">IF(AND(K113=0,L113&gt;0),IF(D113&lt;=Assumptions!$B$47,"New Customer","Returned Customer"),"Existing Customer")</f>
        <v>Existing Customer</v>
      </c>
      <c r="AG113" s="10" t="b">
        <f aca="false">AND(T113="1. Migration Candidate",J113="Key")</f>
        <v>0</v>
      </c>
      <c r="AH113" s="10" t="b">
        <f aca="false">IF(AND(K113&gt;0,L113&gt;0),OR(ABS(M113-Assumptions!$B$36)&lt;=Assumptions!$B$46,ABS(M113+Assumptions!$B$36)&lt;=Assumptions!$B$46),FALSE())</f>
        <v>0</v>
      </c>
      <c r="AI113" s="9" t="n">
        <f aca="false">INDEX('Commercial View'!$L$2:$L$301,MATCH($A113,'Commercial View'!$A$2:$A$301,0))+INDEX('Commercial View'!$M$2:$M$301,MATCH($A113,'Commercial View'!$A$2:$A$301,0))</f>
        <v>0</v>
      </c>
      <c r="AJ113" s="2" t="str">
        <f aca="false">IF(AND(K113=0,AI113=0),"No activity ex-Feb",IF(AI113=0,"Lapsed",IF(K113=0,"H2 Active / No H1 GMV",IF((AI113/2)/(K113/3)-1&gt;=Assumptions!$B$36,"Growing",IF((AI113/2)/(K113/3)-1&lt;-Assumptions!$B$36,"Declining","Stable")))))</f>
        <v>Lapsed</v>
      </c>
      <c r="AK113" s="10" t="b">
        <f aca="false">IF(OR(N113="Growing",N113="Stable"),"Healthy",N113)&lt;&gt;IF(OR(AJ113="Growing",AJ113="Stable"),"Healthy",AJ113)</f>
        <v>0</v>
      </c>
      <c r="AL113" s="2" t="str">
        <f aca="false">IF(N113="Lapsed",IF(OR(O113&lt;=Assumptions!$B$48,W113&lt;=Assumptions!$B$49),"One-Off / Insufficient History — Verify","Established Buyer Lapsed"),"N/A")</f>
        <v>One-Off / Insufficient History — Verify</v>
      </c>
      <c r="AM113" s="2" t="n">
        <f aca="false">INDEX('Scored Accounts'!$M$2:$M$301,MATCH($A113,'Scored Accounts'!$A$2:$A$301,0))</f>
        <v>0</v>
      </c>
      <c r="AN113" s="2" t="n">
        <f aca="false">IF((P113/(P113+Q113)*100)&lt;=Assumptions!$B$13,0,IF((P113/(P113+Q113)*100)&lt;Assumptions!$B$14,25,IF((P113/(P113+Q113)*100)&lt;Assumptions!$B$15,50,IF((P113/(P113+Q113)*100)&lt;Assumptions!$B$16,75,100))))</f>
        <v>0</v>
      </c>
      <c r="AO113" s="21" t="n">
        <f aca="false">IF((P113/(P113+Q113)*100)&lt;=Assumptions!$B$8,0,AN113*Assumptions!$B$4+INDEX('Scored Accounts'!$N$2:$N$301,MATCH($A113,'Scored Accounts'!$A$2:$A$301,0))*Assumptions!$B$5+INDEX('Scored Accounts'!$O$2:$O$301,MATCH($A113,'Scored Accounts'!$A$2:$A$301,0))*Assumptions!$B$6)</f>
        <v>0</v>
      </c>
      <c r="AP113" s="2" t="str">
        <f aca="false">IF(AO113&gt;=Assumptions!$B$9,"High",IF(AO113&gt;=Assumptions!$B$10,"Medium","Low"))</f>
        <v>Low</v>
      </c>
      <c r="AQ113" s="10" t="b">
        <f aca="false">OR((E113&lt;=Assumptions!$B$8)&lt;&gt;((P113/(P113+Q113)*100)&lt;=Assumptions!$B$8),AM113&lt;&gt;AN113,G113&lt;&gt;AP113)</f>
        <v>0</v>
      </c>
      <c r="AR113" s="2" t="str">
        <f aca="false">IF(AP113&lt;&gt;"Low","Broker-Reliant",IF(B113="Account Managed","AM-Owned / Self-Serving","Self-Serve"))</f>
        <v>AM-Owned / Self-Serving</v>
      </c>
      <c r="AS113" s="2" t="str">
        <f aca="false">IF(AR113="Broker-Reliant",IF(J113="Tail","5. Cost-to-Serve / Low-Touch",IF(OR(N113="Growing",N113="Stable"),"1. Migration Candidate",IF(N113="Declining","2. Protect / Retain First",IF(N113="Lapsed","3. Win-Back / Verify",IF(N113="H2 Active / No H1 GMV","4. Establish / Re-establish / Observe","UNASSIGNED"))))),IF(AP113="Low",IF(J113="Tail","9. Long-Tail Automated Nurture",IF(OR(N113="Growing",N113="Stable"),"6. Growth Opportunity",IF(N113="H2 Active / No H1 GMV","7. Onboard / Re-engage / Learn",IF(OR(N113="Declining",N113="Lapsed"),"8. Retention / Reactivation","UNASSIGNED")))),"UNASSIGNED"))</f>
        <v>9. Long-Tail Automated Nurture</v>
      </c>
      <c r="AT113" s="10" t="b">
        <f aca="false">AS113&lt;&gt;T113</f>
        <v>0</v>
      </c>
      <c r="AU113" s="2" t="str">
        <f aca="false">IF(NOT(U113),"Not Eligible",IF(OR(AQ113,AH113,AK113,NOT(AND(W113&gt;=Assumptions!$B$83,O113&gt;=Assumptions!$B$84))),"Manual Review","Ready"))</f>
        <v>Not Eligible</v>
      </c>
      <c r="AV113" s="2" t="str">
        <f aca="false">IF(AG113,"Key account - human sign-off required; ","")&amp;IF(AH113,"Borderline momentum; ","")&amp;IF(AK113,"February-sensitive ("&amp;N113&amp;" -&gt; "&amp;AJ113&amp;"); ","")&amp;IF(AL113="One-Off / Insufficient History — Verify","Lapsed on thin history - verify; ","")&amp;IF(AQ113,"Material broker % inconsistency (implied tier "&amp;AP113&amp;"); ","")&amp;IF(AT113,"Implied broker % would move segment to "&amp;AS113&amp;"; ","")</f>
        <v>Lapsed on thin history - verify; </v>
      </c>
      <c r="AW113" s="10" t="b">
        <f aca="false">AND(G113="Low",J113="Tail",I113&gt;=Assumptions!$B$64,O113&gt;=Assumptions!$B$65,OR(N113="Growing",N113="Stable",AND(N113="H2 Active / No H1 GMV",W113&gt;=2)),OR(R113&gt;=Assumptions!$B$66,S113&gt;=Assumptions!$B$67))</f>
        <v>0</v>
      </c>
    </row>
    <row r="114" customFormat="false" ht="15" hidden="false" customHeight="false" outlineLevel="0" collapsed="false">
      <c r="A114" s="2" t="s">
        <v>670</v>
      </c>
      <c r="B114" s="2" t="s">
        <v>1571</v>
      </c>
      <c r="C114" s="2"/>
      <c r="D114" s="2" t="n">
        <v>7</v>
      </c>
      <c r="E114" s="2" t="n">
        <v>67</v>
      </c>
      <c r="F114" s="21" t="n">
        <f aca="false">INDEX('Scored Accounts'!$Q$2:$Q$301,MATCH($A114,'Scored Accounts'!$A$2:$A$301,0))</f>
        <v>77.5</v>
      </c>
      <c r="G114" s="2" t="str">
        <f aca="false">INDEX('Scored Accounts'!$R$2:$R$301,MATCH($A114,'Scored Accounts'!$A$2:$A$301,0))</f>
        <v>High</v>
      </c>
      <c r="H114" s="2" t="str">
        <f aca="false">IF(OR(G114="High",G114="Medium"),"Broker-Reliant",IF(AND(G114="Low",B114="Account Managed"),"AM-Owned / Self-Serving",IF(AND(G114="Low",B114="Self Serve"),"Self-Serve","UNASSIGNED")))</f>
        <v>Broker-Reliant</v>
      </c>
      <c r="I114" s="9" t="n">
        <v>580</v>
      </c>
      <c r="J114" s="2" t="str">
        <f aca="false">IF(I114&gt;=Assumptions!$B$35,"Key",IF(I114&gt;=Assumptions!$B$34,"Core","Tail"))</f>
        <v>Tail</v>
      </c>
      <c r="K114" s="9" t="n">
        <f aca="false">INDEX('Commercial View'!$R$2:$R$301,MATCH($A114,'Commercial View'!$A$2:$A$301,0))</f>
        <v>581</v>
      </c>
      <c r="L114" s="9" t="n">
        <f aca="false">INDEX('Commercial View'!$S$2:$S$301,MATCH($A114,'Commercial View'!$A$2:$A$301,0))</f>
        <v>0</v>
      </c>
      <c r="M114" s="17" t="n">
        <f aca="false">INDEX('Commercial View'!$T$2:$T$301,MATCH($A114,'Commercial View'!$A$2:$A$301,0))</f>
        <v>-1</v>
      </c>
      <c r="N114" s="2" t="str">
        <f aca="false">INDEX('Commercial View'!$U$2:$U$301,MATCH($A114,'Commercial View'!$A$2:$A$301,0))</f>
        <v>Lapsed</v>
      </c>
      <c r="O114" s="2" t="n">
        <v>2</v>
      </c>
      <c r="P114" s="2" t="n">
        <v>1</v>
      </c>
      <c r="Q114" s="2" t="n">
        <v>1</v>
      </c>
      <c r="R114" s="2" t="n">
        <v>3</v>
      </c>
      <c r="S114" s="2" t="n">
        <v>2</v>
      </c>
      <c r="T114" s="2" t="str">
        <f aca="false">IF(H114="Broker-Reliant",IF(J114="Tail","5. Cost-to-Serve / Low-Touch",IF(OR(N114="Growing",N114="Stable"),"1. Migration Candidate",IF(N114="Declining","2. Protect / Retain First",IF(N114="Lapsed","3. Win-Back / Verify",IF(N114="H2 Active / No H1 GMV","4. Establish / Re-establish / Observe","UNASSIGNED"))))),IF(G114="Low",IF(J114="Tail","9. Long-Tail Automated Nurture",IF(OR(N114="Growing",N114="Stable"),"6. Growth Opportunity",IF(N114="H2 Active / No H1 GMV","7. Onboard / Re-engage / Learn",IF(OR(N114="Declining",N114="Lapsed"),"8. Retention / Reactivation","UNASSIGNED")))),"UNASSIGNED"))</f>
        <v>5. Cost-to-Serve / Low-Touch</v>
      </c>
      <c r="U114" s="10" t="b">
        <f aca="false">AND(T114="1. Migration Candidate",J114="Core",O114&gt;=Assumptions!$B$39,Q114&gt;=Assumptions!$B$40,NOT(Z114))</f>
        <v>0</v>
      </c>
      <c r="V114" s="2" t="n">
        <f aca="false">(AND(H114="Broker-Reliant",J114&lt;&gt;"Tail",OR(N114="Growing",N114="Stable")))*1+(AND(H114="Broker-Reliant",J114&lt;&gt;"Tail",N114="Declining"))*1+(AND(H114="Broker-Reliant",J114&lt;&gt;"Tail",N114="Lapsed"))*1+(AND(H114="Broker-Reliant",J114&lt;&gt;"Tail",N114="H2 Active / No H1 GMV"))*1+(AND(H114="Broker-Reliant",J114="Tail"))*1+(AND(G114="Low",J114&lt;&gt;"Tail",OR(N114="Growing",N114="Stable")))*1+(AND(G114="Low",J114&lt;&gt;"Tail",N114="H2 Active / No H1 GMV"))*1+(AND(G114="Low",J114&lt;&gt;"Tail",OR(N114="Declining",N114="Lapsed")))*1+(AND(G114="Low",J114="Tail"))*1</f>
        <v>1</v>
      </c>
      <c r="W114" s="2" t="n">
        <f aca="false">INDEX('Commercial View'!$V$2:$V$301,MATCH($A114,'Commercial View'!$A$2:$A$301,0))</f>
        <v>2</v>
      </c>
      <c r="X114" s="10" t="b">
        <f aca="false">O114&lt;=Assumptions!$B$30</f>
        <v>1</v>
      </c>
      <c r="Y114" s="10" t="b">
        <f aca="false">W114&lt;=1</f>
        <v>0</v>
      </c>
      <c r="Z114" s="10" t="b">
        <f aca="false">C114="Duplicate"</f>
        <v>0</v>
      </c>
      <c r="AA114" s="10" t="b">
        <f aca="false">C114=""</f>
        <v>1</v>
      </c>
      <c r="AB114" s="2" t="n">
        <f aca="false">IF(P114+Q114&gt;0,ROUND(P114/(P114+Q114)*100,0),"")</f>
        <v>50</v>
      </c>
      <c r="AC114" s="2" t="n">
        <f aca="false">IF(P114+Q114&gt;0,ROUND(E114-P114/(P114+Q114)*100,0),"")</f>
        <v>17</v>
      </c>
      <c r="AD114" s="10" t="b">
        <f aca="false">IF(AC114="",FALSE(),ABS(AC114)&gt;Assumptions!$B$41)</f>
        <v>1</v>
      </c>
      <c r="AE114" s="2" t="str">
        <f aca="false">IF(X114,"Low confidence (&lt;=2 orders); ","")&amp;IF(Y114,"Single-month history; ","")&amp;IF(Z114,"CRITICAL: Duplicate status; ","")&amp;IF(AA114,"Missing status; ","")&amp;IF(AD114,"Broker % vs counts gap "&amp;TEXT(AC114,"+0;-0")&amp;"pts; ","")</f>
        <v>Low confidence (&lt;=2 orders); Missing status; Broker % vs counts gap +17pts; </v>
      </c>
      <c r="AF114" s="2" t="str">
        <f aca="false">IF(AND(K114=0,L114&gt;0),IF(D114&lt;=Assumptions!$B$47,"New Customer","Returned Customer"),"Existing Customer")</f>
        <v>Existing Customer</v>
      </c>
      <c r="AG114" s="10" t="b">
        <f aca="false">AND(T114="1. Migration Candidate",J114="Key")</f>
        <v>0</v>
      </c>
      <c r="AH114" s="10" t="b">
        <f aca="false">IF(AND(K114&gt;0,L114&gt;0),OR(ABS(M114-Assumptions!$B$36)&lt;=Assumptions!$B$46,ABS(M114+Assumptions!$B$36)&lt;=Assumptions!$B$46),FALSE())</f>
        <v>0</v>
      </c>
      <c r="AI114" s="9" t="n">
        <f aca="false">INDEX('Commercial View'!$L$2:$L$301,MATCH($A114,'Commercial View'!$A$2:$A$301,0))+INDEX('Commercial View'!$M$2:$M$301,MATCH($A114,'Commercial View'!$A$2:$A$301,0))</f>
        <v>0</v>
      </c>
      <c r="AJ114" s="2" t="str">
        <f aca="false">IF(AND(K114=0,AI114=0),"No activity ex-Feb",IF(AI114=0,"Lapsed",IF(K114=0,"H2 Active / No H1 GMV",IF((AI114/2)/(K114/3)-1&gt;=Assumptions!$B$36,"Growing",IF((AI114/2)/(K114/3)-1&lt;-Assumptions!$B$36,"Declining","Stable")))))</f>
        <v>Lapsed</v>
      </c>
      <c r="AK114" s="10" t="b">
        <f aca="false">IF(OR(N114="Growing",N114="Stable"),"Healthy",N114)&lt;&gt;IF(OR(AJ114="Growing",AJ114="Stable"),"Healthy",AJ114)</f>
        <v>0</v>
      </c>
      <c r="AL114" s="2" t="str">
        <f aca="false">IF(N114="Lapsed",IF(OR(O114&lt;=Assumptions!$B$48,W114&lt;=Assumptions!$B$49),"One-Off / Insufficient History — Verify","Established Buyer Lapsed"),"N/A")</f>
        <v>One-Off / Insufficient History — Verify</v>
      </c>
      <c r="AM114" s="2" t="n">
        <f aca="false">INDEX('Scored Accounts'!$M$2:$M$301,MATCH($A114,'Scored Accounts'!$A$2:$A$301,0))</f>
        <v>75</v>
      </c>
      <c r="AN114" s="2" t="n">
        <f aca="false">IF((P114/(P114+Q114)*100)&lt;=Assumptions!$B$13,0,IF((P114/(P114+Q114)*100)&lt;Assumptions!$B$14,25,IF((P114/(P114+Q114)*100)&lt;Assumptions!$B$15,50,IF((P114/(P114+Q114)*100)&lt;Assumptions!$B$16,75,100))))</f>
        <v>50</v>
      </c>
      <c r="AO114" s="21" t="n">
        <f aca="false">IF((P114/(P114+Q114)*100)&lt;=Assumptions!$B$8,0,AN114*Assumptions!$B$4+INDEX('Scored Accounts'!$N$2:$N$301,MATCH($A114,'Scored Accounts'!$A$2:$A$301,0))*Assumptions!$B$5+INDEX('Scored Accounts'!$O$2:$O$301,MATCH($A114,'Scored Accounts'!$A$2:$A$301,0))*Assumptions!$B$6)</f>
        <v>65</v>
      </c>
      <c r="AP114" s="2" t="str">
        <f aca="false">IF(AO114&gt;=Assumptions!$B$9,"High",IF(AO114&gt;=Assumptions!$B$10,"Medium","Low"))</f>
        <v>Medium</v>
      </c>
      <c r="AQ114" s="10" t="b">
        <f aca="false">OR((E114&lt;=Assumptions!$B$8)&lt;&gt;((P114/(P114+Q114)*100)&lt;=Assumptions!$B$8),AM114&lt;&gt;AN114,G114&lt;&gt;AP114)</f>
        <v>1</v>
      </c>
      <c r="AR114" s="2" t="str">
        <f aca="false">IF(AP114&lt;&gt;"Low","Broker-Reliant",IF(B114="Account Managed","AM-Owned / Self-Serving","Self-Serve"))</f>
        <v>Broker-Reliant</v>
      </c>
      <c r="AS114" s="2" t="str">
        <f aca="false">IF(AR114="Broker-Reliant",IF(J114="Tail","5. Cost-to-Serve / Low-Touch",IF(OR(N114="Growing",N114="Stable"),"1. Migration Candidate",IF(N114="Declining","2. Protect / Retain First",IF(N114="Lapsed","3. Win-Back / Verify",IF(N114="H2 Active / No H1 GMV","4. Establish / Re-establish / Observe","UNASSIGNED"))))),IF(AP114="Low",IF(J114="Tail","9. Long-Tail Automated Nurture",IF(OR(N114="Growing",N114="Stable"),"6. Growth Opportunity",IF(N114="H2 Active / No H1 GMV","7. Onboard / Re-engage / Learn",IF(OR(N114="Declining",N114="Lapsed"),"8. Retention / Reactivation","UNASSIGNED")))),"UNASSIGNED"))</f>
        <v>5. Cost-to-Serve / Low-Touch</v>
      </c>
      <c r="AT114" s="10" t="b">
        <f aca="false">AS114&lt;&gt;T114</f>
        <v>0</v>
      </c>
      <c r="AU114" s="2" t="str">
        <f aca="false">IF(NOT(U114),"Not Eligible",IF(OR(AQ114,AH114,AK114,NOT(AND(W114&gt;=Assumptions!$B$83,O114&gt;=Assumptions!$B$84))),"Manual Review","Ready"))</f>
        <v>Not Eligible</v>
      </c>
      <c r="AV114" s="2" t="str">
        <f aca="false">IF(AG114,"Key account - human sign-off required; ","")&amp;IF(AH114,"Borderline momentum; ","")&amp;IF(AK114,"February-sensitive ("&amp;N114&amp;" -&gt; "&amp;AJ114&amp;"); ","")&amp;IF(AL114="One-Off / Insufficient History — Verify","Lapsed on thin history - verify; ","")&amp;IF(AQ114,"Material broker % inconsistency (implied tier "&amp;AP114&amp;"); ","")&amp;IF(AT114,"Implied broker % would move segment to "&amp;AS114&amp;"; ","")</f>
        <v>Lapsed on thin history - verify; Material broker % inconsistency (implied tier Medium); </v>
      </c>
      <c r="AW114" s="10" t="b">
        <f aca="false">AND(G114="Low",J114="Tail",I114&gt;=Assumptions!$B$64,O114&gt;=Assumptions!$B$65,OR(N114="Growing",N114="Stable",AND(N114="H2 Active / No H1 GMV",W114&gt;=2)),OR(R114&gt;=Assumptions!$B$66,S114&gt;=Assumptions!$B$67))</f>
        <v>0</v>
      </c>
    </row>
    <row r="115" customFormat="false" ht="15" hidden="false" customHeight="false" outlineLevel="0" collapsed="false">
      <c r="A115" s="2" t="s">
        <v>672</v>
      </c>
      <c r="B115" s="2" t="s">
        <v>1571</v>
      </c>
      <c r="C115" s="2" t="s">
        <v>1572</v>
      </c>
      <c r="D115" s="2" t="n">
        <v>18</v>
      </c>
      <c r="E115" s="2" t="n">
        <v>57</v>
      </c>
      <c r="F115" s="21" t="n">
        <f aca="false">INDEX('Scored Accounts'!$Q$2:$Q$301,MATCH($A115,'Scored Accounts'!$A$2:$A$301,0))</f>
        <v>70</v>
      </c>
      <c r="G115" s="2" t="str">
        <f aca="false">INDEX('Scored Accounts'!$R$2:$R$301,MATCH($A115,'Scored Accounts'!$A$2:$A$301,0))</f>
        <v>High</v>
      </c>
      <c r="H115" s="2" t="str">
        <f aca="false">IF(OR(G115="High",G115="Medium"),"Broker-Reliant",IF(AND(G115="Low",B115="Account Managed"),"AM-Owned / Self-Serving",IF(AND(G115="Low",B115="Self Serve"),"Self-Serve","UNASSIGNED")))</f>
        <v>Broker-Reliant</v>
      </c>
      <c r="I115" s="9" t="n">
        <v>576</v>
      </c>
      <c r="J115" s="2" t="str">
        <f aca="false">IF(I115&gt;=Assumptions!$B$35,"Key",IF(I115&gt;=Assumptions!$B$34,"Core","Tail"))</f>
        <v>Tail</v>
      </c>
      <c r="K115" s="9" t="n">
        <f aca="false">INDEX('Commercial View'!$R$2:$R$301,MATCH($A115,'Commercial View'!$A$2:$A$301,0))</f>
        <v>576</v>
      </c>
      <c r="L115" s="9" t="n">
        <f aca="false">INDEX('Commercial View'!$S$2:$S$301,MATCH($A115,'Commercial View'!$A$2:$A$301,0))</f>
        <v>0</v>
      </c>
      <c r="M115" s="17" t="n">
        <f aca="false">INDEX('Commercial View'!$T$2:$T$301,MATCH($A115,'Commercial View'!$A$2:$A$301,0))</f>
        <v>-1</v>
      </c>
      <c r="N115" s="2" t="str">
        <f aca="false">INDEX('Commercial View'!$U$2:$U$301,MATCH($A115,'Commercial View'!$A$2:$A$301,0))</f>
        <v>Lapsed</v>
      </c>
      <c r="O115" s="2" t="n">
        <v>2</v>
      </c>
      <c r="P115" s="2" t="n">
        <v>1</v>
      </c>
      <c r="Q115" s="2" t="n">
        <v>1</v>
      </c>
      <c r="R115" s="2" t="n">
        <v>3</v>
      </c>
      <c r="S115" s="2" t="n">
        <v>1</v>
      </c>
      <c r="T115" s="2" t="str">
        <f aca="false">IF(H115="Broker-Reliant",IF(J115="Tail","5. Cost-to-Serve / Low-Touch",IF(OR(N115="Growing",N115="Stable"),"1. Migration Candidate",IF(N115="Declining","2. Protect / Retain First",IF(N115="Lapsed","3. Win-Back / Verify",IF(N115="H2 Active / No H1 GMV","4. Establish / Re-establish / Observe","UNASSIGNED"))))),IF(G115="Low",IF(J115="Tail","9. Long-Tail Automated Nurture",IF(OR(N115="Growing",N115="Stable"),"6. Growth Opportunity",IF(N115="H2 Active / No H1 GMV","7. Onboard / Re-engage / Learn",IF(OR(N115="Declining",N115="Lapsed"),"8. Retention / Reactivation","UNASSIGNED")))),"UNASSIGNED"))</f>
        <v>5. Cost-to-Serve / Low-Touch</v>
      </c>
      <c r="U115" s="10" t="b">
        <f aca="false">AND(T115="1. Migration Candidate",J115="Core",O115&gt;=Assumptions!$B$39,Q115&gt;=Assumptions!$B$40,NOT(Z115))</f>
        <v>0</v>
      </c>
      <c r="V115" s="2" t="n">
        <f aca="false">(AND(H115="Broker-Reliant",J115&lt;&gt;"Tail",OR(N115="Growing",N115="Stable")))*1+(AND(H115="Broker-Reliant",J115&lt;&gt;"Tail",N115="Declining"))*1+(AND(H115="Broker-Reliant",J115&lt;&gt;"Tail",N115="Lapsed"))*1+(AND(H115="Broker-Reliant",J115&lt;&gt;"Tail",N115="H2 Active / No H1 GMV"))*1+(AND(H115="Broker-Reliant",J115="Tail"))*1+(AND(G115="Low",J115&lt;&gt;"Tail",OR(N115="Growing",N115="Stable")))*1+(AND(G115="Low",J115&lt;&gt;"Tail",N115="H2 Active / No H1 GMV"))*1+(AND(G115="Low",J115&lt;&gt;"Tail",OR(N115="Declining",N115="Lapsed")))*1+(AND(G115="Low",J115="Tail"))*1</f>
        <v>1</v>
      </c>
      <c r="W115" s="2" t="n">
        <f aca="false">INDEX('Commercial View'!$V$2:$V$301,MATCH($A115,'Commercial View'!$A$2:$A$301,0))</f>
        <v>2</v>
      </c>
      <c r="X115" s="10" t="b">
        <f aca="false">O115&lt;=Assumptions!$B$30</f>
        <v>1</v>
      </c>
      <c r="Y115" s="10" t="b">
        <f aca="false">W115&lt;=1</f>
        <v>0</v>
      </c>
      <c r="Z115" s="10" t="b">
        <f aca="false">C115="Duplicate"</f>
        <v>0</v>
      </c>
      <c r="AA115" s="10" t="b">
        <f aca="false">C115=""</f>
        <v>0</v>
      </c>
      <c r="AB115" s="2" t="n">
        <f aca="false">IF(P115+Q115&gt;0,ROUND(P115/(P115+Q115)*100,0),"")</f>
        <v>50</v>
      </c>
      <c r="AC115" s="2" t="n">
        <f aca="false">IF(P115+Q115&gt;0,ROUND(E115-P115/(P115+Q115)*100,0),"")</f>
        <v>7</v>
      </c>
      <c r="AD115" s="10" t="b">
        <f aca="false">IF(AC115="",FALSE(),ABS(AC115)&gt;Assumptions!$B$41)</f>
        <v>0</v>
      </c>
      <c r="AE115" s="2" t="str">
        <f aca="false">IF(X115,"Low confidence (&lt;=2 orders); ","")&amp;IF(Y115,"Single-month history; ","")&amp;IF(Z115,"CRITICAL: Duplicate status; ","")&amp;IF(AA115,"Missing status; ","")&amp;IF(AD115,"Broker % vs counts gap "&amp;TEXT(AC115,"+0;-0")&amp;"pts; ","")</f>
        <v>Low confidence (&lt;=2 orders); </v>
      </c>
      <c r="AF115" s="2" t="str">
        <f aca="false">IF(AND(K115=0,L115&gt;0),IF(D115&lt;=Assumptions!$B$47,"New Customer","Returned Customer"),"Existing Customer")</f>
        <v>Existing Customer</v>
      </c>
      <c r="AG115" s="10" t="b">
        <f aca="false">AND(T115="1. Migration Candidate",J115="Key")</f>
        <v>0</v>
      </c>
      <c r="AH115" s="10" t="b">
        <f aca="false">IF(AND(K115&gt;0,L115&gt;0),OR(ABS(M115-Assumptions!$B$36)&lt;=Assumptions!$B$46,ABS(M115+Assumptions!$B$36)&lt;=Assumptions!$B$46),FALSE())</f>
        <v>0</v>
      </c>
      <c r="AI115" s="9" t="n">
        <f aca="false">INDEX('Commercial View'!$L$2:$L$301,MATCH($A115,'Commercial View'!$A$2:$A$301,0))+INDEX('Commercial View'!$M$2:$M$301,MATCH($A115,'Commercial View'!$A$2:$A$301,0))</f>
        <v>0</v>
      </c>
      <c r="AJ115" s="2" t="str">
        <f aca="false">IF(AND(K115=0,AI115=0),"No activity ex-Feb",IF(AI115=0,"Lapsed",IF(K115=0,"H2 Active / No H1 GMV",IF((AI115/2)/(K115/3)-1&gt;=Assumptions!$B$36,"Growing",IF((AI115/2)/(K115/3)-1&lt;-Assumptions!$B$36,"Declining","Stable")))))</f>
        <v>Lapsed</v>
      </c>
      <c r="AK115" s="10" t="b">
        <f aca="false">IF(OR(N115="Growing",N115="Stable"),"Healthy",N115)&lt;&gt;IF(OR(AJ115="Growing",AJ115="Stable"),"Healthy",AJ115)</f>
        <v>0</v>
      </c>
      <c r="AL115" s="2" t="str">
        <f aca="false">IF(N115="Lapsed",IF(OR(O115&lt;=Assumptions!$B$48,W115&lt;=Assumptions!$B$49),"One-Off / Insufficient History — Verify","Established Buyer Lapsed"),"N/A")</f>
        <v>One-Off / Insufficient History — Verify</v>
      </c>
      <c r="AM115" s="2" t="n">
        <f aca="false">INDEX('Scored Accounts'!$M$2:$M$301,MATCH($A115,'Scored Accounts'!$A$2:$A$301,0))</f>
        <v>50</v>
      </c>
      <c r="AN115" s="2" t="n">
        <f aca="false">IF((P115/(P115+Q115)*100)&lt;=Assumptions!$B$13,0,IF((P115/(P115+Q115)*100)&lt;Assumptions!$B$14,25,IF((P115/(P115+Q115)*100)&lt;Assumptions!$B$15,50,IF((P115/(P115+Q115)*100)&lt;Assumptions!$B$16,75,100))))</f>
        <v>50</v>
      </c>
      <c r="AO115" s="21" t="n">
        <f aca="false">IF((P115/(P115+Q115)*100)&lt;=Assumptions!$B$8,0,AN115*Assumptions!$B$4+INDEX('Scored Accounts'!$N$2:$N$301,MATCH($A115,'Scored Accounts'!$A$2:$A$301,0))*Assumptions!$B$5+INDEX('Scored Accounts'!$O$2:$O$301,MATCH($A115,'Scored Accounts'!$A$2:$A$301,0))*Assumptions!$B$6)</f>
        <v>70</v>
      </c>
      <c r="AP115" s="2" t="str">
        <f aca="false">IF(AO115&gt;=Assumptions!$B$9,"High",IF(AO115&gt;=Assumptions!$B$10,"Medium","Low"))</f>
        <v>High</v>
      </c>
      <c r="AQ115" s="10" t="b">
        <f aca="false">OR((E115&lt;=Assumptions!$B$8)&lt;&gt;((P115/(P115+Q115)*100)&lt;=Assumptions!$B$8),AM115&lt;&gt;AN115,G115&lt;&gt;AP115)</f>
        <v>0</v>
      </c>
      <c r="AR115" s="2" t="str">
        <f aca="false">IF(AP115&lt;&gt;"Low","Broker-Reliant",IF(B115="Account Managed","AM-Owned / Self-Serving","Self-Serve"))</f>
        <v>Broker-Reliant</v>
      </c>
      <c r="AS115" s="2" t="str">
        <f aca="false">IF(AR115="Broker-Reliant",IF(J115="Tail","5. Cost-to-Serve / Low-Touch",IF(OR(N115="Growing",N115="Stable"),"1. Migration Candidate",IF(N115="Declining","2. Protect / Retain First",IF(N115="Lapsed","3. Win-Back / Verify",IF(N115="H2 Active / No H1 GMV","4. Establish / Re-establish / Observe","UNASSIGNED"))))),IF(AP115="Low",IF(J115="Tail","9. Long-Tail Automated Nurture",IF(OR(N115="Growing",N115="Stable"),"6. Growth Opportunity",IF(N115="H2 Active / No H1 GMV","7. Onboard / Re-engage / Learn",IF(OR(N115="Declining",N115="Lapsed"),"8. Retention / Reactivation","UNASSIGNED")))),"UNASSIGNED"))</f>
        <v>5. Cost-to-Serve / Low-Touch</v>
      </c>
      <c r="AT115" s="10" t="b">
        <f aca="false">AS115&lt;&gt;T115</f>
        <v>0</v>
      </c>
      <c r="AU115" s="2" t="str">
        <f aca="false">IF(NOT(U115),"Not Eligible",IF(OR(AQ115,AH115,AK115,NOT(AND(W115&gt;=Assumptions!$B$83,O115&gt;=Assumptions!$B$84))),"Manual Review","Ready"))</f>
        <v>Not Eligible</v>
      </c>
      <c r="AV115" s="2" t="str">
        <f aca="false">IF(AG115,"Key account - human sign-off required; ","")&amp;IF(AH115,"Borderline momentum; ","")&amp;IF(AK115,"February-sensitive ("&amp;N115&amp;" -&gt; "&amp;AJ115&amp;"); ","")&amp;IF(AL115="One-Off / Insufficient History — Verify","Lapsed on thin history - verify; ","")&amp;IF(AQ115,"Material broker % inconsistency (implied tier "&amp;AP115&amp;"); ","")&amp;IF(AT115,"Implied broker % would move segment to "&amp;AS115&amp;"; ","")</f>
        <v>Lapsed on thin history - verify; </v>
      </c>
      <c r="AW115" s="10" t="b">
        <f aca="false">AND(G115="Low",J115="Tail",I115&gt;=Assumptions!$B$64,O115&gt;=Assumptions!$B$65,OR(N115="Growing",N115="Stable",AND(N115="H2 Active / No H1 GMV",W115&gt;=2)),OR(R115&gt;=Assumptions!$B$66,S115&gt;=Assumptions!$B$67))</f>
        <v>0</v>
      </c>
    </row>
    <row r="116" customFormat="false" ht="15" hidden="false" customHeight="false" outlineLevel="0" collapsed="false">
      <c r="A116" s="2" t="s">
        <v>674</v>
      </c>
      <c r="B116" s="2" t="s">
        <v>1571</v>
      </c>
      <c r="C116" s="2" t="s">
        <v>1572</v>
      </c>
      <c r="D116" s="2" t="n">
        <v>7</v>
      </c>
      <c r="E116" s="2" t="n">
        <v>12</v>
      </c>
      <c r="F116" s="21" t="n">
        <f aca="false">INDEX('Scored Accounts'!$Q$2:$Q$301,MATCH($A116,'Scored Accounts'!$A$2:$A$301,0))</f>
        <v>0</v>
      </c>
      <c r="G116" s="2" t="str">
        <f aca="false">INDEX('Scored Accounts'!$R$2:$R$301,MATCH($A116,'Scored Accounts'!$A$2:$A$301,0))</f>
        <v>Low</v>
      </c>
      <c r="H116" s="2" t="str">
        <f aca="false">IF(OR(G116="High",G116="Medium"),"Broker-Reliant",IF(AND(G116="Low",B116="Account Managed"),"AM-Owned / Self-Serving",IF(AND(G116="Low",B116="Self Serve"),"Self-Serve","UNASSIGNED")))</f>
        <v>AM-Owned / Self-Serving</v>
      </c>
      <c r="I116" s="9" t="n">
        <v>574</v>
      </c>
      <c r="J116" s="2" t="str">
        <f aca="false">IF(I116&gt;=Assumptions!$B$35,"Key",IF(I116&gt;=Assumptions!$B$34,"Core","Tail"))</f>
        <v>Tail</v>
      </c>
      <c r="K116" s="9" t="n">
        <f aca="false">INDEX('Commercial View'!$R$2:$R$301,MATCH($A116,'Commercial View'!$A$2:$A$301,0))</f>
        <v>574</v>
      </c>
      <c r="L116" s="9" t="n">
        <f aca="false">INDEX('Commercial View'!$S$2:$S$301,MATCH($A116,'Commercial View'!$A$2:$A$301,0))</f>
        <v>0</v>
      </c>
      <c r="M116" s="17" t="n">
        <f aca="false">INDEX('Commercial View'!$T$2:$T$301,MATCH($A116,'Commercial View'!$A$2:$A$301,0))</f>
        <v>-1</v>
      </c>
      <c r="N116" s="2" t="str">
        <f aca="false">INDEX('Commercial View'!$U$2:$U$301,MATCH($A116,'Commercial View'!$A$2:$A$301,0))</f>
        <v>Lapsed</v>
      </c>
      <c r="O116" s="2" t="n">
        <v>1</v>
      </c>
      <c r="P116" s="2" t="n">
        <v>0</v>
      </c>
      <c r="Q116" s="2" t="n">
        <v>1</v>
      </c>
      <c r="R116" s="2" t="n">
        <v>3</v>
      </c>
      <c r="S116" s="2" t="n">
        <v>0</v>
      </c>
      <c r="T116" s="2" t="str">
        <f aca="false">IF(H116="Broker-Reliant",IF(J116="Tail","5. Cost-to-Serve / Low-Touch",IF(OR(N116="Growing",N116="Stable"),"1. Migration Candidate",IF(N116="Declining","2. Protect / Retain First",IF(N116="Lapsed","3. Win-Back / Verify",IF(N116="H2 Active / No H1 GMV","4. Establish / Re-establish / Observe","UNASSIGNED"))))),IF(G116="Low",IF(J116="Tail","9. Long-Tail Automated Nurture",IF(OR(N116="Growing",N116="Stable"),"6. Growth Opportunity",IF(N116="H2 Active / No H1 GMV","7. Onboard / Re-engage / Learn",IF(OR(N116="Declining",N116="Lapsed"),"8. Retention / Reactivation","UNASSIGNED")))),"UNASSIGNED"))</f>
        <v>9. Long-Tail Automated Nurture</v>
      </c>
      <c r="U116" s="10" t="b">
        <f aca="false">AND(T116="1. Migration Candidate",J116="Core",O116&gt;=Assumptions!$B$39,Q116&gt;=Assumptions!$B$40,NOT(Z116))</f>
        <v>0</v>
      </c>
      <c r="V116" s="2" t="n">
        <f aca="false">(AND(H116="Broker-Reliant",J116&lt;&gt;"Tail",OR(N116="Growing",N116="Stable")))*1+(AND(H116="Broker-Reliant",J116&lt;&gt;"Tail",N116="Declining"))*1+(AND(H116="Broker-Reliant",J116&lt;&gt;"Tail",N116="Lapsed"))*1+(AND(H116="Broker-Reliant",J116&lt;&gt;"Tail",N116="H2 Active / No H1 GMV"))*1+(AND(H116="Broker-Reliant",J116="Tail"))*1+(AND(G116="Low",J116&lt;&gt;"Tail",OR(N116="Growing",N116="Stable")))*1+(AND(G116="Low",J116&lt;&gt;"Tail",N116="H2 Active / No H1 GMV"))*1+(AND(G116="Low",J116&lt;&gt;"Tail",OR(N116="Declining",N116="Lapsed")))*1+(AND(G116="Low",J116="Tail"))*1</f>
        <v>1</v>
      </c>
      <c r="W116" s="2" t="n">
        <f aca="false">INDEX('Commercial View'!$V$2:$V$301,MATCH($A116,'Commercial View'!$A$2:$A$301,0))</f>
        <v>1</v>
      </c>
      <c r="X116" s="10" t="b">
        <f aca="false">O116&lt;=Assumptions!$B$30</f>
        <v>1</v>
      </c>
      <c r="Y116" s="10" t="b">
        <f aca="false">W116&lt;=1</f>
        <v>1</v>
      </c>
      <c r="Z116" s="10" t="b">
        <f aca="false">C116="Duplicate"</f>
        <v>0</v>
      </c>
      <c r="AA116" s="10" t="b">
        <f aca="false">C116=""</f>
        <v>0</v>
      </c>
      <c r="AB116" s="2" t="n">
        <f aca="false">IF(P116+Q116&gt;0,ROUND(P116/(P116+Q116)*100,0),"")</f>
        <v>0</v>
      </c>
      <c r="AC116" s="2" t="n">
        <f aca="false">IF(P116+Q116&gt;0,ROUND(E116-P116/(P116+Q116)*100,0),"")</f>
        <v>12</v>
      </c>
      <c r="AD116" s="10" t="b">
        <f aca="false">IF(AC116="",FALSE(),ABS(AC116)&gt;Assumptions!$B$41)</f>
        <v>1</v>
      </c>
      <c r="AE116" s="2" t="str">
        <f aca="false">IF(X116,"Low confidence (&lt;=2 orders); ","")&amp;IF(Y116,"Single-month history; ","")&amp;IF(Z116,"CRITICAL: Duplicate status; ","")&amp;IF(AA116,"Missing status; ","")&amp;IF(AD116,"Broker % vs counts gap "&amp;TEXT(AC116,"+0;-0")&amp;"pts; ","")</f>
        <v>Low confidence (&lt;=2 orders); Single-month history; Broker % vs counts gap +12pts; </v>
      </c>
      <c r="AF116" s="2" t="str">
        <f aca="false">IF(AND(K116=0,L116&gt;0),IF(D116&lt;=Assumptions!$B$47,"New Customer","Returned Customer"),"Existing Customer")</f>
        <v>Existing Customer</v>
      </c>
      <c r="AG116" s="10" t="b">
        <f aca="false">AND(T116="1. Migration Candidate",J116="Key")</f>
        <v>0</v>
      </c>
      <c r="AH116" s="10" t="b">
        <f aca="false">IF(AND(K116&gt;0,L116&gt;0),OR(ABS(M116-Assumptions!$B$36)&lt;=Assumptions!$B$46,ABS(M116+Assumptions!$B$36)&lt;=Assumptions!$B$46),FALSE())</f>
        <v>0</v>
      </c>
      <c r="AI116" s="9" t="n">
        <f aca="false">INDEX('Commercial View'!$L$2:$L$301,MATCH($A116,'Commercial View'!$A$2:$A$301,0))+INDEX('Commercial View'!$M$2:$M$301,MATCH($A116,'Commercial View'!$A$2:$A$301,0))</f>
        <v>0</v>
      </c>
      <c r="AJ116" s="2" t="str">
        <f aca="false">IF(AND(K116=0,AI116=0),"No activity ex-Feb",IF(AI116=0,"Lapsed",IF(K116=0,"H2 Active / No H1 GMV",IF((AI116/2)/(K116/3)-1&gt;=Assumptions!$B$36,"Growing",IF((AI116/2)/(K116/3)-1&lt;-Assumptions!$B$36,"Declining","Stable")))))</f>
        <v>Lapsed</v>
      </c>
      <c r="AK116" s="10" t="b">
        <f aca="false">IF(OR(N116="Growing",N116="Stable"),"Healthy",N116)&lt;&gt;IF(OR(AJ116="Growing",AJ116="Stable"),"Healthy",AJ116)</f>
        <v>0</v>
      </c>
      <c r="AL116" s="2" t="str">
        <f aca="false">IF(N116="Lapsed",IF(OR(O116&lt;=Assumptions!$B$48,W116&lt;=Assumptions!$B$49),"One-Off / Insufficient History — Verify","Established Buyer Lapsed"),"N/A")</f>
        <v>One-Off / Insufficient History — Verify</v>
      </c>
      <c r="AM116" s="2" t="n">
        <f aca="false">INDEX('Scored Accounts'!$M$2:$M$301,MATCH($A116,'Scored Accounts'!$A$2:$A$301,0))</f>
        <v>0</v>
      </c>
      <c r="AN116" s="2" t="n">
        <f aca="false">IF((P116/(P116+Q116)*100)&lt;=Assumptions!$B$13,0,IF((P116/(P116+Q116)*100)&lt;Assumptions!$B$14,25,IF((P116/(P116+Q116)*100)&lt;Assumptions!$B$15,50,IF((P116/(P116+Q116)*100)&lt;Assumptions!$B$16,75,100))))</f>
        <v>0</v>
      </c>
      <c r="AO116" s="21" t="n">
        <f aca="false">IF((P116/(P116+Q116)*100)&lt;=Assumptions!$B$8,0,AN116*Assumptions!$B$4+INDEX('Scored Accounts'!$N$2:$N$301,MATCH($A116,'Scored Accounts'!$A$2:$A$301,0))*Assumptions!$B$5+INDEX('Scored Accounts'!$O$2:$O$301,MATCH($A116,'Scored Accounts'!$A$2:$A$301,0))*Assumptions!$B$6)</f>
        <v>0</v>
      </c>
      <c r="AP116" s="2" t="str">
        <f aca="false">IF(AO116&gt;=Assumptions!$B$9,"High",IF(AO116&gt;=Assumptions!$B$10,"Medium","Low"))</f>
        <v>Low</v>
      </c>
      <c r="AQ116" s="10" t="b">
        <f aca="false">OR((E116&lt;=Assumptions!$B$8)&lt;&gt;((P116/(P116+Q116)*100)&lt;=Assumptions!$B$8),AM116&lt;&gt;AN116,G116&lt;&gt;AP116)</f>
        <v>0</v>
      </c>
      <c r="AR116" s="2" t="str">
        <f aca="false">IF(AP116&lt;&gt;"Low","Broker-Reliant",IF(B116="Account Managed","AM-Owned / Self-Serving","Self-Serve"))</f>
        <v>AM-Owned / Self-Serving</v>
      </c>
      <c r="AS116" s="2" t="str">
        <f aca="false">IF(AR116="Broker-Reliant",IF(J116="Tail","5. Cost-to-Serve / Low-Touch",IF(OR(N116="Growing",N116="Stable"),"1. Migration Candidate",IF(N116="Declining","2. Protect / Retain First",IF(N116="Lapsed","3. Win-Back / Verify",IF(N116="H2 Active / No H1 GMV","4. Establish / Re-establish / Observe","UNASSIGNED"))))),IF(AP116="Low",IF(J116="Tail","9. Long-Tail Automated Nurture",IF(OR(N116="Growing",N116="Stable"),"6. Growth Opportunity",IF(N116="H2 Active / No H1 GMV","7. Onboard / Re-engage / Learn",IF(OR(N116="Declining",N116="Lapsed"),"8. Retention / Reactivation","UNASSIGNED")))),"UNASSIGNED"))</f>
        <v>9. Long-Tail Automated Nurture</v>
      </c>
      <c r="AT116" s="10" t="b">
        <f aca="false">AS116&lt;&gt;T116</f>
        <v>0</v>
      </c>
      <c r="AU116" s="2" t="str">
        <f aca="false">IF(NOT(U116),"Not Eligible",IF(OR(AQ116,AH116,AK116,NOT(AND(W116&gt;=Assumptions!$B$83,O116&gt;=Assumptions!$B$84))),"Manual Review","Ready"))</f>
        <v>Not Eligible</v>
      </c>
      <c r="AV116" s="2" t="str">
        <f aca="false">IF(AG116,"Key account - human sign-off required; ","")&amp;IF(AH116,"Borderline momentum; ","")&amp;IF(AK116,"February-sensitive ("&amp;N116&amp;" -&gt; "&amp;AJ116&amp;"); ","")&amp;IF(AL116="One-Off / Insufficient History — Verify","Lapsed on thin history - verify; ","")&amp;IF(AQ116,"Material broker % inconsistency (implied tier "&amp;AP116&amp;"); ","")&amp;IF(AT116,"Implied broker % would move segment to "&amp;AS116&amp;"; ","")</f>
        <v>Lapsed on thin history - verify; </v>
      </c>
      <c r="AW116" s="10" t="b">
        <f aca="false">AND(G116="Low",J116="Tail",I116&gt;=Assumptions!$B$64,O116&gt;=Assumptions!$B$65,OR(N116="Growing",N116="Stable",AND(N116="H2 Active / No H1 GMV",W116&gt;=2)),OR(R116&gt;=Assumptions!$B$66,S116&gt;=Assumptions!$B$67))</f>
        <v>0</v>
      </c>
    </row>
    <row r="117" customFormat="false" ht="15" hidden="false" customHeight="false" outlineLevel="0" collapsed="false">
      <c r="A117" s="2" t="s">
        <v>678</v>
      </c>
      <c r="B117" s="2" t="s">
        <v>1571</v>
      </c>
      <c r="C117" s="2" t="s">
        <v>1572</v>
      </c>
      <c r="D117" s="2" t="n">
        <v>8</v>
      </c>
      <c r="E117" s="2" t="n">
        <v>4</v>
      </c>
      <c r="F117" s="21" t="n">
        <f aca="false">INDEX('Scored Accounts'!$Q$2:$Q$301,MATCH($A117,'Scored Accounts'!$A$2:$A$301,0))</f>
        <v>0</v>
      </c>
      <c r="G117" s="2" t="str">
        <f aca="false">INDEX('Scored Accounts'!$R$2:$R$301,MATCH($A117,'Scored Accounts'!$A$2:$A$301,0))</f>
        <v>Low</v>
      </c>
      <c r="H117" s="2" t="str">
        <f aca="false">IF(OR(G117="High",G117="Medium"),"Broker-Reliant",IF(AND(G117="Low",B117="Account Managed"),"AM-Owned / Self-Serving",IF(AND(G117="Low",B117="Self Serve"),"Self-Serve","UNASSIGNED")))</f>
        <v>AM-Owned / Self-Serving</v>
      </c>
      <c r="I117" s="9" t="n">
        <v>523</v>
      </c>
      <c r="J117" s="2" t="str">
        <f aca="false">IF(I117&gt;=Assumptions!$B$35,"Key",IF(I117&gt;=Assumptions!$B$34,"Core","Tail"))</f>
        <v>Tail</v>
      </c>
      <c r="K117" s="9" t="n">
        <f aca="false">INDEX('Commercial View'!$R$2:$R$301,MATCH($A117,'Commercial View'!$A$2:$A$301,0))</f>
        <v>524</v>
      </c>
      <c r="L117" s="9" t="n">
        <f aca="false">INDEX('Commercial View'!$S$2:$S$301,MATCH($A117,'Commercial View'!$A$2:$A$301,0))</f>
        <v>0</v>
      </c>
      <c r="M117" s="17" t="n">
        <f aca="false">INDEX('Commercial View'!$T$2:$T$301,MATCH($A117,'Commercial View'!$A$2:$A$301,0))</f>
        <v>-1</v>
      </c>
      <c r="N117" s="2" t="str">
        <f aca="false">INDEX('Commercial View'!$U$2:$U$301,MATCH($A117,'Commercial View'!$A$2:$A$301,0))</f>
        <v>Lapsed</v>
      </c>
      <c r="O117" s="2" t="n">
        <v>5</v>
      </c>
      <c r="P117" s="2" t="n">
        <v>0</v>
      </c>
      <c r="Q117" s="2" t="n">
        <v>5</v>
      </c>
      <c r="R117" s="2" t="n">
        <v>23</v>
      </c>
      <c r="S117" s="2" t="n">
        <v>0</v>
      </c>
      <c r="T117" s="2" t="str">
        <f aca="false">IF(H117="Broker-Reliant",IF(J117="Tail","5. Cost-to-Serve / Low-Touch",IF(OR(N117="Growing",N117="Stable"),"1. Migration Candidate",IF(N117="Declining","2. Protect / Retain First",IF(N117="Lapsed","3. Win-Back / Verify",IF(N117="H2 Active / No H1 GMV","4. Establish / Re-establish / Observe","UNASSIGNED"))))),IF(G117="Low",IF(J117="Tail","9. Long-Tail Automated Nurture",IF(OR(N117="Growing",N117="Stable"),"6. Growth Opportunity",IF(N117="H2 Active / No H1 GMV","7. Onboard / Re-engage / Learn",IF(OR(N117="Declining",N117="Lapsed"),"8. Retention / Reactivation","UNASSIGNED")))),"UNASSIGNED"))</f>
        <v>9. Long-Tail Automated Nurture</v>
      </c>
      <c r="U117" s="10" t="b">
        <f aca="false">AND(T117="1. Migration Candidate",J117="Core",O117&gt;=Assumptions!$B$39,Q117&gt;=Assumptions!$B$40,NOT(Z117))</f>
        <v>0</v>
      </c>
      <c r="V117" s="2" t="n">
        <f aca="false">(AND(H117="Broker-Reliant",J117&lt;&gt;"Tail",OR(N117="Growing",N117="Stable")))*1+(AND(H117="Broker-Reliant",J117&lt;&gt;"Tail",N117="Declining"))*1+(AND(H117="Broker-Reliant",J117&lt;&gt;"Tail",N117="Lapsed"))*1+(AND(H117="Broker-Reliant",J117&lt;&gt;"Tail",N117="H2 Active / No H1 GMV"))*1+(AND(H117="Broker-Reliant",J117="Tail"))*1+(AND(G117="Low",J117&lt;&gt;"Tail",OR(N117="Growing",N117="Stable")))*1+(AND(G117="Low",J117&lt;&gt;"Tail",N117="H2 Active / No H1 GMV"))*1+(AND(G117="Low",J117&lt;&gt;"Tail",OR(N117="Declining",N117="Lapsed")))*1+(AND(G117="Low",J117="Tail"))*1</f>
        <v>1</v>
      </c>
      <c r="W117" s="2" t="n">
        <f aca="false">INDEX('Commercial View'!$V$2:$V$301,MATCH($A117,'Commercial View'!$A$2:$A$301,0))</f>
        <v>2</v>
      </c>
      <c r="X117" s="10" t="b">
        <f aca="false">O117&lt;=Assumptions!$B$30</f>
        <v>0</v>
      </c>
      <c r="Y117" s="10" t="b">
        <f aca="false">W117&lt;=1</f>
        <v>0</v>
      </c>
      <c r="Z117" s="10" t="b">
        <f aca="false">C117="Duplicate"</f>
        <v>0</v>
      </c>
      <c r="AA117" s="10" t="b">
        <f aca="false">C117=""</f>
        <v>0</v>
      </c>
      <c r="AB117" s="2" t="n">
        <f aca="false">IF(P117+Q117&gt;0,ROUND(P117/(P117+Q117)*100,0),"")</f>
        <v>0</v>
      </c>
      <c r="AC117" s="2" t="n">
        <f aca="false">IF(P117+Q117&gt;0,ROUND(E117-P117/(P117+Q117)*100,0),"")</f>
        <v>4</v>
      </c>
      <c r="AD117" s="10" t="b">
        <f aca="false">IF(AC117="",FALSE(),ABS(AC117)&gt;Assumptions!$B$41)</f>
        <v>0</v>
      </c>
      <c r="AE117" s="2" t="str">
        <f aca="false">IF(X117,"Low confidence (&lt;=2 orders); ","")&amp;IF(Y117,"Single-month history; ","")&amp;IF(Z117,"CRITICAL: Duplicate status; ","")&amp;IF(AA117,"Missing status; ","")&amp;IF(AD117,"Broker % vs counts gap "&amp;TEXT(AC117,"+0;-0")&amp;"pts; ","")</f>
        <v/>
      </c>
      <c r="AF117" s="2" t="str">
        <f aca="false">IF(AND(K117=0,L117&gt;0),IF(D117&lt;=Assumptions!$B$47,"New Customer","Returned Customer"),"Existing Customer")</f>
        <v>Existing Customer</v>
      </c>
      <c r="AG117" s="10" t="b">
        <f aca="false">AND(T117="1. Migration Candidate",J117="Key")</f>
        <v>0</v>
      </c>
      <c r="AH117" s="10" t="b">
        <f aca="false">IF(AND(K117&gt;0,L117&gt;0),OR(ABS(M117-Assumptions!$B$36)&lt;=Assumptions!$B$46,ABS(M117+Assumptions!$B$36)&lt;=Assumptions!$B$46),FALSE())</f>
        <v>0</v>
      </c>
      <c r="AI117" s="9" t="n">
        <f aca="false">INDEX('Commercial View'!$L$2:$L$301,MATCH($A117,'Commercial View'!$A$2:$A$301,0))+INDEX('Commercial View'!$M$2:$M$301,MATCH($A117,'Commercial View'!$A$2:$A$301,0))</f>
        <v>0</v>
      </c>
      <c r="AJ117" s="2" t="str">
        <f aca="false">IF(AND(K117=0,AI117=0),"No activity ex-Feb",IF(AI117=0,"Lapsed",IF(K117=0,"H2 Active / No H1 GMV",IF((AI117/2)/(K117/3)-1&gt;=Assumptions!$B$36,"Growing",IF((AI117/2)/(K117/3)-1&lt;-Assumptions!$B$36,"Declining","Stable")))))</f>
        <v>Lapsed</v>
      </c>
      <c r="AK117" s="10" t="b">
        <f aca="false">IF(OR(N117="Growing",N117="Stable"),"Healthy",N117)&lt;&gt;IF(OR(AJ117="Growing",AJ117="Stable"),"Healthy",AJ117)</f>
        <v>0</v>
      </c>
      <c r="AL117" s="2" t="str">
        <f aca="false">IF(N117="Lapsed",IF(OR(O117&lt;=Assumptions!$B$48,W117&lt;=Assumptions!$B$49),"One-Off / Insufficient History — Verify","Established Buyer Lapsed"),"N/A")</f>
        <v>Established Buyer Lapsed</v>
      </c>
      <c r="AM117" s="2" t="n">
        <f aca="false">INDEX('Scored Accounts'!$M$2:$M$301,MATCH($A117,'Scored Accounts'!$A$2:$A$301,0))</f>
        <v>0</v>
      </c>
      <c r="AN117" s="2" t="n">
        <f aca="false">IF((P117/(P117+Q117)*100)&lt;=Assumptions!$B$13,0,IF((P117/(P117+Q117)*100)&lt;Assumptions!$B$14,25,IF((P117/(P117+Q117)*100)&lt;Assumptions!$B$15,50,IF((P117/(P117+Q117)*100)&lt;Assumptions!$B$16,75,100))))</f>
        <v>0</v>
      </c>
      <c r="AO117" s="21" t="n">
        <f aca="false">IF((P117/(P117+Q117)*100)&lt;=Assumptions!$B$8,0,AN117*Assumptions!$B$4+INDEX('Scored Accounts'!$N$2:$N$301,MATCH($A117,'Scored Accounts'!$A$2:$A$301,0))*Assumptions!$B$5+INDEX('Scored Accounts'!$O$2:$O$301,MATCH($A117,'Scored Accounts'!$A$2:$A$301,0))*Assumptions!$B$6)</f>
        <v>0</v>
      </c>
      <c r="AP117" s="2" t="str">
        <f aca="false">IF(AO117&gt;=Assumptions!$B$9,"High",IF(AO117&gt;=Assumptions!$B$10,"Medium","Low"))</f>
        <v>Low</v>
      </c>
      <c r="AQ117" s="10" t="b">
        <f aca="false">OR((E117&lt;=Assumptions!$B$8)&lt;&gt;((P117/(P117+Q117)*100)&lt;=Assumptions!$B$8),AM117&lt;&gt;AN117,G117&lt;&gt;AP117)</f>
        <v>0</v>
      </c>
      <c r="AR117" s="2" t="str">
        <f aca="false">IF(AP117&lt;&gt;"Low","Broker-Reliant",IF(B117="Account Managed","AM-Owned / Self-Serving","Self-Serve"))</f>
        <v>AM-Owned / Self-Serving</v>
      </c>
      <c r="AS117" s="2" t="str">
        <f aca="false">IF(AR117="Broker-Reliant",IF(J117="Tail","5. Cost-to-Serve / Low-Touch",IF(OR(N117="Growing",N117="Stable"),"1. Migration Candidate",IF(N117="Declining","2. Protect / Retain First",IF(N117="Lapsed","3. Win-Back / Verify",IF(N117="H2 Active / No H1 GMV","4. Establish / Re-establish / Observe","UNASSIGNED"))))),IF(AP117="Low",IF(J117="Tail","9. Long-Tail Automated Nurture",IF(OR(N117="Growing",N117="Stable"),"6. Growth Opportunity",IF(N117="H2 Active / No H1 GMV","7. Onboard / Re-engage / Learn",IF(OR(N117="Declining",N117="Lapsed"),"8. Retention / Reactivation","UNASSIGNED")))),"UNASSIGNED"))</f>
        <v>9. Long-Tail Automated Nurture</v>
      </c>
      <c r="AT117" s="10" t="b">
        <f aca="false">AS117&lt;&gt;T117</f>
        <v>0</v>
      </c>
      <c r="AU117" s="2" t="str">
        <f aca="false">IF(NOT(U117),"Not Eligible",IF(OR(AQ117,AH117,AK117,NOT(AND(W117&gt;=Assumptions!$B$83,O117&gt;=Assumptions!$B$84))),"Manual Review","Ready"))</f>
        <v>Not Eligible</v>
      </c>
      <c r="AV117" s="2" t="str">
        <f aca="false">IF(AG117,"Key account - human sign-off required; ","")&amp;IF(AH117,"Borderline momentum; ","")&amp;IF(AK117,"February-sensitive ("&amp;N117&amp;" -&gt; "&amp;AJ117&amp;"); ","")&amp;IF(AL117="One-Off / Insufficient History — Verify","Lapsed on thin history - verify; ","")&amp;IF(AQ117,"Material broker % inconsistency (implied tier "&amp;AP117&amp;"); ","")&amp;IF(AT117,"Implied broker % would move segment to "&amp;AS117&amp;"; ","")</f>
        <v/>
      </c>
      <c r="AW117" s="10" t="b">
        <f aca="false">AND(G117="Low",J117="Tail",I117&gt;=Assumptions!$B$64,O117&gt;=Assumptions!$B$65,OR(N117="Growing",N117="Stable",AND(N117="H2 Active / No H1 GMV",W117&gt;=2)),OR(R117&gt;=Assumptions!$B$66,S117&gt;=Assumptions!$B$67))</f>
        <v>0</v>
      </c>
    </row>
    <row r="118" customFormat="false" ht="15" hidden="false" customHeight="false" outlineLevel="0" collapsed="false">
      <c r="A118" s="2" t="s">
        <v>680</v>
      </c>
      <c r="B118" s="2" t="s">
        <v>1571</v>
      </c>
      <c r="C118" s="2" t="s">
        <v>1572</v>
      </c>
      <c r="D118" s="2" t="n">
        <v>7</v>
      </c>
      <c r="E118" s="2" t="n">
        <v>15</v>
      </c>
      <c r="F118" s="21" t="n">
        <f aca="false">INDEX('Scored Accounts'!$Q$2:$Q$301,MATCH($A118,'Scored Accounts'!$A$2:$A$301,0))</f>
        <v>0</v>
      </c>
      <c r="G118" s="2" t="str">
        <f aca="false">INDEX('Scored Accounts'!$R$2:$R$301,MATCH($A118,'Scored Accounts'!$A$2:$A$301,0))</f>
        <v>Low</v>
      </c>
      <c r="H118" s="2" t="str">
        <f aca="false">IF(OR(G118="High",G118="Medium"),"Broker-Reliant",IF(AND(G118="Low",B118="Account Managed"),"AM-Owned / Self-Serving",IF(AND(G118="Low",B118="Self Serve"),"Self-Serve","UNASSIGNED")))</f>
        <v>AM-Owned / Self-Serving</v>
      </c>
      <c r="I118" s="9" t="n">
        <v>519</v>
      </c>
      <c r="J118" s="2" t="str">
        <f aca="false">IF(I118&gt;=Assumptions!$B$35,"Key",IF(I118&gt;=Assumptions!$B$34,"Core","Tail"))</f>
        <v>Tail</v>
      </c>
      <c r="K118" s="9" t="n">
        <f aca="false">INDEX('Commercial View'!$R$2:$R$301,MATCH($A118,'Commercial View'!$A$2:$A$301,0))</f>
        <v>0</v>
      </c>
      <c r="L118" s="9" t="n">
        <f aca="false">INDEX('Commercial View'!$S$2:$S$301,MATCH($A118,'Commercial View'!$A$2:$A$301,0))</f>
        <v>519</v>
      </c>
      <c r="M118" s="17" t="str">
        <f aca="false">INDEX('Commercial View'!$T$2:$T$301,MATCH($A118,'Commercial View'!$A$2:$A$301,0))</f>
        <v/>
      </c>
      <c r="N118" s="2" t="str">
        <f aca="false">INDEX('Commercial View'!$U$2:$U$301,MATCH($A118,'Commercial View'!$A$2:$A$301,0))</f>
        <v>H2 Active / No H1 GMV</v>
      </c>
      <c r="O118" s="2" t="n">
        <v>1</v>
      </c>
      <c r="P118" s="2" t="n">
        <v>0</v>
      </c>
      <c r="Q118" s="2" t="n">
        <v>1</v>
      </c>
      <c r="R118" s="2" t="n">
        <v>20</v>
      </c>
      <c r="S118" s="2" t="n">
        <v>3</v>
      </c>
      <c r="T118" s="2" t="str">
        <f aca="false">IF(H118="Broker-Reliant",IF(J118="Tail","5. Cost-to-Serve / Low-Touch",IF(OR(N118="Growing",N118="Stable"),"1. Migration Candidate",IF(N118="Declining","2. Protect / Retain First",IF(N118="Lapsed","3. Win-Back / Verify",IF(N118="H2 Active / No H1 GMV","4. Establish / Re-establish / Observe","UNASSIGNED"))))),IF(G118="Low",IF(J118="Tail","9. Long-Tail Automated Nurture",IF(OR(N118="Growing",N118="Stable"),"6. Growth Opportunity",IF(N118="H2 Active / No H1 GMV","7. Onboard / Re-engage / Learn",IF(OR(N118="Declining",N118="Lapsed"),"8. Retention / Reactivation","UNASSIGNED")))),"UNASSIGNED"))</f>
        <v>9. Long-Tail Automated Nurture</v>
      </c>
      <c r="U118" s="10" t="b">
        <f aca="false">AND(T118="1. Migration Candidate",J118="Core",O118&gt;=Assumptions!$B$39,Q118&gt;=Assumptions!$B$40,NOT(Z118))</f>
        <v>0</v>
      </c>
      <c r="V118" s="2" t="n">
        <f aca="false">(AND(H118="Broker-Reliant",J118&lt;&gt;"Tail",OR(N118="Growing",N118="Stable")))*1+(AND(H118="Broker-Reliant",J118&lt;&gt;"Tail",N118="Declining"))*1+(AND(H118="Broker-Reliant",J118&lt;&gt;"Tail",N118="Lapsed"))*1+(AND(H118="Broker-Reliant",J118&lt;&gt;"Tail",N118="H2 Active / No H1 GMV"))*1+(AND(H118="Broker-Reliant",J118="Tail"))*1+(AND(G118="Low",J118&lt;&gt;"Tail",OR(N118="Growing",N118="Stable")))*1+(AND(G118="Low",J118&lt;&gt;"Tail",N118="H2 Active / No H1 GMV"))*1+(AND(G118="Low",J118&lt;&gt;"Tail",OR(N118="Declining",N118="Lapsed")))*1+(AND(G118="Low",J118="Tail"))*1</f>
        <v>1</v>
      </c>
      <c r="W118" s="2" t="n">
        <f aca="false">INDEX('Commercial View'!$V$2:$V$301,MATCH($A118,'Commercial View'!$A$2:$A$301,0))</f>
        <v>1</v>
      </c>
      <c r="X118" s="10" t="b">
        <f aca="false">O118&lt;=Assumptions!$B$30</f>
        <v>1</v>
      </c>
      <c r="Y118" s="10" t="b">
        <f aca="false">W118&lt;=1</f>
        <v>1</v>
      </c>
      <c r="Z118" s="10" t="b">
        <f aca="false">C118="Duplicate"</f>
        <v>0</v>
      </c>
      <c r="AA118" s="10" t="b">
        <f aca="false">C118=""</f>
        <v>0</v>
      </c>
      <c r="AB118" s="2" t="n">
        <f aca="false">IF(P118+Q118&gt;0,ROUND(P118/(P118+Q118)*100,0),"")</f>
        <v>0</v>
      </c>
      <c r="AC118" s="2" t="n">
        <f aca="false">IF(P118+Q118&gt;0,ROUND(E118-P118/(P118+Q118)*100,0),"")</f>
        <v>15</v>
      </c>
      <c r="AD118" s="10" t="b">
        <f aca="false">IF(AC118="",FALSE(),ABS(AC118)&gt;Assumptions!$B$41)</f>
        <v>1</v>
      </c>
      <c r="AE118" s="2" t="str">
        <f aca="false">IF(X118,"Low confidence (&lt;=2 orders); ","")&amp;IF(Y118,"Single-month history; ","")&amp;IF(Z118,"CRITICAL: Duplicate status; ","")&amp;IF(AA118,"Missing status; ","")&amp;IF(AD118,"Broker % vs counts gap "&amp;TEXT(AC118,"+0;-0")&amp;"pts; ","")</f>
        <v>Low confidence (&lt;=2 orders); Single-month history; Broker % vs counts gap +15pts; </v>
      </c>
      <c r="AF118" s="2" t="str">
        <f aca="false">IF(AND(K118=0,L118&gt;0),IF(D118&lt;=Assumptions!$B$47,"New Customer","Returned Customer"),"Existing Customer")</f>
        <v>Returned Customer</v>
      </c>
      <c r="AG118" s="10" t="b">
        <f aca="false">AND(T118="1. Migration Candidate",J118="Key")</f>
        <v>0</v>
      </c>
      <c r="AH118" s="10" t="b">
        <f aca="false">IF(AND(K118&gt;0,L118&gt;0),OR(ABS(M118-Assumptions!$B$36)&lt;=Assumptions!$B$46,ABS(M118+Assumptions!$B$36)&lt;=Assumptions!$B$46),FALSE())</f>
        <v>0</v>
      </c>
      <c r="AI118" s="9" t="n">
        <f aca="false">INDEX('Commercial View'!$L$2:$L$301,MATCH($A118,'Commercial View'!$A$2:$A$301,0))+INDEX('Commercial View'!$M$2:$M$301,MATCH($A118,'Commercial View'!$A$2:$A$301,0))</f>
        <v>519</v>
      </c>
      <c r="AJ118" s="2" t="str">
        <f aca="false">IF(AND(K118=0,AI118=0),"No activity ex-Feb",IF(AI118=0,"Lapsed",IF(K118=0,"H2 Active / No H1 GMV",IF((AI118/2)/(K118/3)-1&gt;=Assumptions!$B$36,"Growing",IF((AI118/2)/(K118/3)-1&lt;-Assumptions!$B$36,"Declining","Stable")))))</f>
        <v>H2 Active / No H1 GMV</v>
      </c>
      <c r="AK118" s="10" t="b">
        <f aca="false">IF(OR(N118="Growing",N118="Stable"),"Healthy",N118)&lt;&gt;IF(OR(AJ118="Growing",AJ118="Stable"),"Healthy",AJ118)</f>
        <v>0</v>
      </c>
      <c r="AL118" s="2" t="str">
        <f aca="false">IF(N118="Lapsed",IF(OR(O118&lt;=Assumptions!$B$48,W118&lt;=Assumptions!$B$49),"One-Off / Insufficient History — Verify","Established Buyer Lapsed"),"N/A")</f>
        <v>N/A</v>
      </c>
      <c r="AM118" s="2" t="n">
        <f aca="false">INDEX('Scored Accounts'!$M$2:$M$301,MATCH($A118,'Scored Accounts'!$A$2:$A$301,0))</f>
        <v>0</v>
      </c>
      <c r="AN118" s="2" t="n">
        <f aca="false">IF((P118/(P118+Q118)*100)&lt;=Assumptions!$B$13,0,IF((P118/(P118+Q118)*100)&lt;Assumptions!$B$14,25,IF((P118/(P118+Q118)*100)&lt;Assumptions!$B$15,50,IF((P118/(P118+Q118)*100)&lt;Assumptions!$B$16,75,100))))</f>
        <v>0</v>
      </c>
      <c r="AO118" s="21" t="n">
        <f aca="false">IF((P118/(P118+Q118)*100)&lt;=Assumptions!$B$8,0,AN118*Assumptions!$B$4+INDEX('Scored Accounts'!$N$2:$N$301,MATCH($A118,'Scored Accounts'!$A$2:$A$301,0))*Assumptions!$B$5+INDEX('Scored Accounts'!$O$2:$O$301,MATCH($A118,'Scored Accounts'!$A$2:$A$301,0))*Assumptions!$B$6)</f>
        <v>0</v>
      </c>
      <c r="AP118" s="2" t="str">
        <f aca="false">IF(AO118&gt;=Assumptions!$B$9,"High",IF(AO118&gt;=Assumptions!$B$10,"Medium","Low"))</f>
        <v>Low</v>
      </c>
      <c r="AQ118" s="10" t="b">
        <f aca="false">OR((E118&lt;=Assumptions!$B$8)&lt;&gt;((P118/(P118+Q118)*100)&lt;=Assumptions!$B$8),AM118&lt;&gt;AN118,G118&lt;&gt;AP118)</f>
        <v>0</v>
      </c>
      <c r="AR118" s="2" t="str">
        <f aca="false">IF(AP118&lt;&gt;"Low","Broker-Reliant",IF(B118="Account Managed","AM-Owned / Self-Serving","Self-Serve"))</f>
        <v>AM-Owned / Self-Serving</v>
      </c>
      <c r="AS118" s="2" t="str">
        <f aca="false">IF(AR118="Broker-Reliant",IF(J118="Tail","5. Cost-to-Serve / Low-Touch",IF(OR(N118="Growing",N118="Stable"),"1. Migration Candidate",IF(N118="Declining","2. Protect / Retain First",IF(N118="Lapsed","3. Win-Back / Verify",IF(N118="H2 Active / No H1 GMV","4. Establish / Re-establish / Observe","UNASSIGNED"))))),IF(AP118="Low",IF(J118="Tail","9. Long-Tail Automated Nurture",IF(OR(N118="Growing",N118="Stable"),"6. Growth Opportunity",IF(N118="H2 Active / No H1 GMV","7. Onboard / Re-engage / Learn",IF(OR(N118="Declining",N118="Lapsed"),"8. Retention / Reactivation","UNASSIGNED")))),"UNASSIGNED"))</f>
        <v>9. Long-Tail Automated Nurture</v>
      </c>
      <c r="AT118" s="10" t="b">
        <f aca="false">AS118&lt;&gt;T118</f>
        <v>0</v>
      </c>
      <c r="AU118" s="2" t="str">
        <f aca="false">IF(NOT(U118),"Not Eligible",IF(OR(AQ118,AH118,AK118,NOT(AND(W118&gt;=Assumptions!$B$83,O118&gt;=Assumptions!$B$84))),"Manual Review","Ready"))</f>
        <v>Not Eligible</v>
      </c>
      <c r="AV118" s="2" t="str">
        <f aca="false">IF(AG118,"Key account - human sign-off required; ","")&amp;IF(AH118,"Borderline momentum; ","")&amp;IF(AK118,"February-sensitive ("&amp;N118&amp;" -&gt; "&amp;AJ118&amp;"); ","")&amp;IF(AL118="One-Off / Insufficient History — Verify","Lapsed on thin history - verify; ","")&amp;IF(AQ118,"Material broker % inconsistency (implied tier "&amp;AP118&amp;"); ","")&amp;IF(AT118,"Implied broker % would move segment to "&amp;AS118&amp;"; ","")</f>
        <v/>
      </c>
      <c r="AW118" s="10" t="b">
        <f aca="false">AND(G118="Low",J118="Tail",I118&gt;=Assumptions!$B$64,O118&gt;=Assumptions!$B$65,OR(N118="Growing",N118="Stable",AND(N118="H2 Active / No H1 GMV",W118&gt;=2)),OR(R118&gt;=Assumptions!$B$66,S118&gt;=Assumptions!$B$67))</f>
        <v>0</v>
      </c>
    </row>
    <row r="119" customFormat="false" ht="15" hidden="false" customHeight="false" outlineLevel="0" collapsed="false">
      <c r="A119" s="2" t="s">
        <v>686</v>
      </c>
      <c r="B119" s="2" t="s">
        <v>1571</v>
      </c>
      <c r="C119" s="2" t="s">
        <v>1572</v>
      </c>
      <c r="D119" s="2" t="n">
        <v>13</v>
      </c>
      <c r="E119" s="2" t="n">
        <v>15</v>
      </c>
      <c r="F119" s="21" t="n">
        <f aca="false">INDEX('Scored Accounts'!$Q$2:$Q$301,MATCH($A119,'Scored Accounts'!$A$2:$A$301,0))</f>
        <v>0</v>
      </c>
      <c r="G119" s="2" t="str">
        <f aca="false">INDEX('Scored Accounts'!$R$2:$R$301,MATCH($A119,'Scored Accounts'!$A$2:$A$301,0))</f>
        <v>Low</v>
      </c>
      <c r="H119" s="2" t="str">
        <f aca="false">IF(OR(G119="High",G119="Medium"),"Broker-Reliant",IF(AND(G119="Low",B119="Account Managed"),"AM-Owned / Self-Serving",IF(AND(G119="Low",B119="Self Serve"),"Self-Serve","UNASSIGNED")))</f>
        <v>AM-Owned / Self-Serving</v>
      </c>
      <c r="I119" s="9" t="n">
        <v>489</v>
      </c>
      <c r="J119" s="2" t="str">
        <f aca="false">IF(I119&gt;=Assumptions!$B$35,"Key",IF(I119&gt;=Assumptions!$B$34,"Core","Tail"))</f>
        <v>Tail</v>
      </c>
      <c r="K119" s="9" t="n">
        <f aca="false">INDEX('Commercial View'!$R$2:$R$301,MATCH($A119,'Commercial View'!$A$2:$A$301,0))</f>
        <v>136</v>
      </c>
      <c r="L119" s="9" t="n">
        <f aca="false">INDEX('Commercial View'!$S$2:$S$301,MATCH($A119,'Commercial View'!$A$2:$A$301,0))</f>
        <v>353</v>
      </c>
      <c r="M119" s="17" t="n">
        <f aca="false">INDEX('Commercial View'!$T$2:$T$301,MATCH($A119,'Commercial View'!$A$2:$A$301,0))</f>
        <v>1.59558823529412</v>
      </c>
      <c r="N119" s="2" t="str">
        <f aca="false">INDEX('Commercial View'!$U$2:$U$301,MATCH($A119,'Commercial View'!$A$2:$A$301,0))</f>
        <v>Growing</v>
      </c>
      <c r="O119" s="2" t="n">
        <v>3</v>
      </c>
      <c r="P119" s="2" t="n">
        <v>0</v>
      </c>
      <c r="Q119" s="2" t="n">
        <v>3</v>
      </c>
      <c r="R119" s="2" t="n">
        <v>11</v>
      </c>
      <c r="S119" s="2" t="n">
        <v>4</v>
      </c>
      <c r="T119" s="2" t="str">
        <f aca="false">IF(H119="Broker-Reliant",IF(J119="Tail","5. Cost-to-Serve / Low-Touch",IF(OR(N119="Growing",N119="Stable"),"1. Migration Candidate",IF(N119="Declining","2. Protect / Retain First",IF(N119="Lapsed","3. Win-Back / Verify",IF(N119="H2 Active / No H1 GMV","4. Establish / Re-establish / Observe","UNASSIGNED"))))),IF(G119="Low",IF(J119="Tail","9. Long-Tail Automated Nurture",IF(OR(N119="Growing",N119="Stable"),"6. Growth Opportunity",IF(N119="H2 Active / No H1 GMV","7. Onboard / Re-engage / Learn",IF(OR(N119="Declining",N119="Lapsed"),"8. Retention / Reactivation","UNASSIGNED")))),"UNASSIGNED"))</f>
        <v>9. Long-Tail Automated Nurture</v>
      </c>
      <c r="U119" s="10" t="b">
        <f aca="false">AND(T119="1. Migration Candidate",J119="Core",O119&gt;=Assumptions!$B$39,Q119&gt;=Assumptions!$B$40,NOT(Z119))</f>
        <v>0</v>
      </c>
      <c r="V119" s="2" t="n">
        <f aca="false">(AND(H119="Broker-Reliant",J119&lt;&gt;"Tail",OR(N119="Growing",N119="Stable")))*1+(AND(H119="Broker-Reliant",J119&lt;&gt;"Tail",N119="Declining"))*1+(AND(H119="Broker-Reliant",J119&lt;&gt;"Tail",N119="Lapsed"))*1+(AND(H119="Broker-Reliant",J119&lt;&gt;"Tail",N119="H2 Active / No H1 GMV"))*1+(AND(H119="Broker-Reliant",J119="Tail"))*1+(AND(G119="Low",J119&lt;&gt;"Tail",OR(N119="Growing",N119="Stable")))*1+(AND(G119="Low",J119&lt;&gt;"Tail",N119="H2 Active / No H1 GMV"))*1+(AND(G119="Low",J119&lt;&gt;"Tail",OR(N119="Declining",N119="Lapsed")))*1+(AND(G119="Low",J119="Tail"))*1</f>
        <v>1</v>
      </c>
      <c r="W119" s="2" t="n">
        <f aca="false">INDEX('Commercial View'!$V$2:$V$301,MATCH($A119,'Commercial View'!$A$2:$A$301,0))</f>
        <v>3</v>
      </c>
      <c r="X119" s="10" t="b">
        <f aca="false">O119&lt;=Assumptions!$B$30</f>
        <v>0</v>
      </c>
      <c r="Y119" s="10" t="b">
        <f aca="false">W119&lt;=1</f>
        <v>0</v>
      </c>
      <c r="Z119" s="10" t="b">
        <f aca="false">C119="Duplicate"</f>
        <v>0</v>
      </c>
      <c r="AA119" s="10" t="b">
        <f aca="false">C119=""</f>
        <v>0</v>
      </c>
      <c r="AB119" s="2" t="n">
        <f aca="false">IF(P119+Q119&gt;0,ROUND(P119/(P119+Q119)*100,0),"")</f>
        <v>0</v>
      </c>
      <c r="AC119" s="2" t="n">
        <f aca="false">IF(P119+Q119&gt;0,ROUND(E119-P119/(P119+Q119)*100,0),"")</f>
        <v>15</v>
      </c>
      <c r="AD119" s="10" t="b">
        <f aca="false">IF(AC119="",FALSE(),ABS(AC119)&gt;Assumptions!$B$41)</f>
        <v>1</v>
      </c>
      <c r="AE119" s="2" t="str">
        <f aca="false">IF(X119,"Low confidence (&lt;=2 orders); ","")&amp;IF(Y119,"Single-month history; ","")&amp;IF(Z119,"CRITICAL: Duplicate status; ","")&amp;IF(AA119,"Missing status; ","")&amp;IF(AD119,"Broker % vs counts gap "&amp;TEXT(AC119,"+0;-0")&amp;"pts; ","")</f>
        <v>Broker % vs counts gap +15pts; </v>
      </c>
      <c r="AF119" s="2" t="str">
        <f aca="false">IF(AND(K119=0,L119&gt;0),IF(D119&lt;=Assumptions!$B$47,"New Customer","Returned Customer"),"Existing Customer")</f>
        <v>Existing Customer</v>
      </c>
      <c r="AG119" s="10" t="b">
        <f aca="false">AND(T119="1. Migration Candidate",J119="Key")</f>
        <v>0</v>
      </c>
      <c r="AH119" s="10" t="b">
        <f aca="false">IF(AND(K119&gt;0,L119&gt;0),OR(ABS(M119-Assumptions!$B$36)&lt;=Assumptions!$B$46,ABS(M119+Assumptions!$B$36)&lt;=Assumptions!$B$46),FALSE())</f>
        <v>0</v>
      </c>
      <c r="AI119" s="9" t="n">
        <f aca="false">INDEX('Commercial View'!$L$2:$L$301,MATCH($A119,'Commercial View'!$A$2:$A$301,0))+INDEX('Commercial View'!$M$2:$M$301,MATCH($A119,'Commercial View'!$A$2:$A$301,0))</f>
        <v>186</v>
      </c>
      <c r="AJ119" s="2" t="str">
        <f aca="false">IF(AND(K119=0,AI119=0),"No activity ex-Feb",IF(AI119=0,"Lapsed",IF(K119=0,"H2 Active / No H1 GMV",IF((AI119/2)/(K119/3)-1&gt;=Assumptions!$B$36,"Growing",IF((AI119/2)/(K119/3)-1&lt;-Assumptions!$B$36,"Declining","Stable")))))</f>
        <v>Growing</v>
      </c>
      <c r="AK119" s="10" t="b">
        <f aca="false">IF(OR(N119="Growing",N119="Stable"),"Healthy",N119)&lt;&gt;IF(OR(AJ119="Growing",AJ119="Stable"),"Healthy",AJ119)</f>
        <v>0</v>
      </c>
      <c r="AL119" s="2" t="str">
        <f aca="false">IF(N119="Lapsed",IF(OR(O119&lt;=Assumptions!$B$48,W119&lt;=Assumptions!$B$49),"One-Off / Insufficient History — Verify","Established Buyer Lapsed"),"N/A")</f>
        <v>N/A</v>
      </c>
      <c r="AM119" s="2" t="n">
        <f aca="false">INDEX('Scored Accounts'!$M$2:$M$301,MATCH($A119,'Scored Accounts'!$A$2:$A$301,0))</f>
        <v>0</v>
      </c>
      <c r="AN119" s="2" t="n">
        <f aca="false">IF((P119/(P119+Q119)*100)&lt;=Assumptions!$B$13,0,IF((P119/(P119+Q119)*100)&lt;Assumptions!$B$14,25,IF((P119/(P119+Q119)*100)&lt;Assumptions!$B$15,50,IF((P119/(P119+Q119)*100)&lt;Assumptions!$B$16,75,100))))</f>
        <v>0</v>
      </c>
      <c r="AO119" s="21" t="n">
        <f aca="false">IF((P119/(P119+Q119)*100)&lt;=Assumptions!$B$8,0,AN119*Assumptions!$B$4+INDEX('Scored Accounts'!$N$2:$N$301,MATCH($A119,'Scored Accounts'!$A$2:$A$301,0))*Assumptions!$B$5+INDEX('Scored Accounts'!$O$2:$O$301,MATCH($A119,'Scored Accounts'!$A$2:$A$301,0))*Assumptions!$B$6)</f>
        <v>0</v>
      </c>
      <c r="AP119" s="2" t="str">
        <f aca="false">IF(AO119&gt;=Assumptions!$B$9,"High",IF(AO119&gt;=Assumptions!$B$10,"Medium","Low"))</f>
        <v>Low</v>
      </c>
      <c r="AQ119" s="10" t="b">
        <f aca="false">OR((E119&lt;=Assumptions!$B$8)&lt;&gt;((P119/(P119+Q119)*100)&lt;=Assumptions!$B$8),AM119&lt;&gt;AN119,G119&lt;&gt;AP119)</f>
        <v>0</v>
      </c>
      <c r="AR119" s="2" t="str">
        <f aca="false">IF(AP119&lt;&gt;"Low","Broker-Reliant",IF(B119="Account Managed","AM-Owned / Self-Serving","Self-Serve"))</f>
        <v>AM-Owned / Self-Serving</v>
      </c>
      <c r="AS119" s="2" t="str">
        <f aca="false">IF(AR119="Broker-Reliant",IF(J119="Tail","5. Cost-to-Serve / Low-Touch",IF(OR(N119="Growing",N119="Stable"),"1. Migration Candidate",IF(N119="Declining","2. Protect / Retain First",IF(N119="Lapsed","3. Win-Back / Verify",IF(N119="H2 Active / No H1 GMV","4. Establish / Re-establish / Observe","UNASSIGNED"))))),IF(AP119="Low",IF(J119="Tail","9. Long-Tail Automated Nurture",IF(OR(N119="Growing",N119="Stable"),"6. Growth Opportunity",IF(N119="H2 Active / No H1 GMV","7. Onboard / Re-engage / Learn",IF(OR(N119="Declining",N119="Lapsed"),"8. Retention / Reactivation","UNASSIGNED")))),"UNASSIGNED"))</f>
        <v>9. Long-Tail Automated Nurture</v>
      </c>
      <c r="AT119" s="10" t="b">
        <f aca="false">AS119&lt;&gt;T119</f>
        <v>0</v>
      </c>
      <c r="AU119" s="2" t="str">
        <f aca="false">IF(NOT(U119),"Not Eligible",IF(OR(AQ119,AH119,AK119,NOT(AND(W119&gt;=Assumptions!$B$83,O119&gt;=Assumptions!$B$84))),"Manual Review","Ready"))</f>
        <v>Not Eligible</v>
      </c>
      <c r="AV119" s="2" t="str">
        <f aca="false">IF(AG119,"Key account - human sign-off required; ","")&amp;IF(AH119,"Borderline momentum; ","")&amp;IF(AK119,"February-sensitive ("&amp;N119&amp;" -&gt; "&amp;AJ119&amp;"); ","")&amp;IF(AL119="One-Off / Insufficient History — Verify","Lapsed on thin history - verify; ","")&amp;IF(AQ119,"Material broker % inconsistency (implied tier "&amp;AP119&amp;"); ","")&amp;IF(AT119,"Implied broker % would move segment to "&amp;AS119&amp;"; ","")</f>
        <v/>
      </c>
      <c r="AW119" s="10" t="b">
        <f aca="false">AND(G119="Low",J119="Tail",I119&gt;=Assumptions!$B$64,O119&gt;=Assumptions!$B$65,OR(N119="Growing",N119="Stable",AND(N119="H2 Active / No H1 GMV",W119&gt;=2)),OR(R119&gt;=Assumptions!$B$66,S119&gt;=Assumptions!$B$67))</f>
        <v>0</v>
      </c>
    </row>
    <row r="120" customFormat="false" ht="15" hidden="false" customHeight="false" outlineLevel="0" collapsed="false">
      <c r="A120" s="2" t="s">
        <v>689</v>
      </c>
      <c r="B120" s="2" t="s">
        <v>1571</v>
      </c>
      <c r="C120" s="2"/>
      <c r="D120" s="2" t="n">
        <v>6</v>
      </c>
      <c r="E120" s="2" t="n">
        <v>20</v>
      </c>
      <c r="F120" s="21" t="n">
        <f aca="false">INDEX('Scored Accounts'!$Q$2:$Q$301,MATCH($A120,'Scored Accounts'!$A$2:$A$301,0))</f>
        <v>0</v>
      </c>
      <c r="G120" s="2" t="str">
        <f aca="false">INDEX('Scored Accounts'!$R$2:$R$301,MATCH($A120,'Scored Accounts'!$A$2:$A$301,0))</f>
        <v>Low</v>
      </c>
      <c r="H120" s="2" t="str">
        <f aca="false">IF(OR(G120="High",G120="Medium"),"Broker-Reliant",IF(AND(G120="Low",B120="Account Managed"),"AM-Owned / Self-Serving",IF(AND(G120="Low",B120="Self Serve"),"Self-Serve","UNASSIGNED")))</f>
        <v>AM-Owned / Self-Serving</v>
      </c>
      <c r="I120" s="9" t="n">
        <v>489</v>
      </c>
      <c r="J120" s="2" t="str">
        <f aca="false">IF(I120&gt;=Assumptions!$B$35,"Key",IF(I120&gt;=Assumptions!$B$34,"Core","Tail"))</f>
        <v>Tail</v>
      </c>
      <c r="K120" s="9" t="n">
        <f aca="false">INDEX('Commercial View'!$R$2:$R$301,MATCH($A120,'Commercial View'!$A$2:$A$301,0))</f>
        <v>489</v>
      </c>
      <c r="L120" s="9" t="n">
        <f aca="false">INDEX('Commercial View'!$S$2:$S$301,MATCH($A120,'Commercial View'!$A$2:$A$301,0))</f>
        <v>0</v>
      </c>
      <c r="M120" s="17" t="n">
        <f aca="false">INDEX('Commercial View'!$T$2:$T$301,MATCH($A120,'Commercial View'!$A$2:$A$301,0))</f>
        <v>-1</v>
      </c>
      <c r="N120" s="2" t="str">
        <f aca="false">INDEX('Commercial View'!$U$2:$U$301,MATCH($A120,'Commercial View'!$A$2:$A$301,0))</f>
        <v>Lapsed</v>
      </c>
      <c r="O120" s="2" t="n">
        <v>2</v>
      </c>
      <c r="P120" s="2" t="n">
        <v>0</v>
      </c>
      <c r="Q120" s="2" t="n">
        <v>2</v>
      </c>
      <c r="R120" s="2" t="n">
        <v>37</v>
      </c>
      <c r="S120" s="2" t="n">
        <v>1</v>
      </c>
      <c r="T120" s="2" t="str">
        <f aca="false">IF(H120="Broker-Reliant",IF(J120="Tail","5. Cost-to-Serve / Low-Touch",IF(OR(N120="Growing",N120="Stable"),"1. Migration Candidate",IF(N120="Declining","2. Protect / Retain First",IF(N120="Lapsed","3. Win-Back / Verify",IF(N120="H2 Active / No H1 GMV","4. Establish / Re-establish / Observe","UNASSIGNED"))))),IF(G120="Low",IF(J120="Tail","9. Long-Tail Automated Nurture",IF(OR(N120="Growing",N120="Stable"),"6. Growth Opportunity",IF(N120="H2 Active / No H1 GMV","7. Onboard / Re-engage / Learn",IF(OR(N120="Declining",N120="Lapsed"),"8. Retention / Reactivation","UNASSIGNED")))),"UNASSIGNED"))</f>
        <v>9. Long-Tail Automated Nurture</v>
      </c>
      <c r="U120" s="10" t="b">
        <f aca="false">AND(T120="1. Migration Candidate",J120="Core",O120&gt;=Assumptions!$B$39,Q120&gt;=Assumptions!$B$40,NOT(Z120))</f>
        <v>0</v>
      </c>
      <c r="V120" s="2" t="n">
        <f aca="false">(AND(H120="Broker-Reliant",J120&lt;&gt;"Tail",OR(N120="Growing",N120="Stable")))*1+(AND(H120="Broker-Reliant",J120&lt;&gt;"Tail",N120="Declining"))*1+(AND(H120="Broker-Reliant",J120&lt;&gt;"Tail",N120="Lapsed"))*1+(AND(H120="Broker-Reliant",J120&lt;&gt;"Tail",N120="H2 Active / No H1 GMV"))*1+(AND(H120="Broker-Reliant",J120="Tail"))*1+(AND(G120="Low",J120&lt;&gt;"Tail",OR(N120="Growing",N120="Stable")))*1+(AND(G120="Low",J120&lt;&gt;"Tail",N120="H2 Active / No H1 GMV"))*1+(AND(G120="Low",J120&lt;&gt;"Tail",OR(N120="Declining",N120="Lapsed")))*1+(AND(G120="Low",J120="Tail"))*1</f>
        <v>1</v>
      </c>
      <c r="W120" s="2" t="n">
        <f aca="false">INDEX('Commercial View'!$V$2:$V$301,MATCH($A120,'Commercial View'!$A$2:$A$301,0))</f>
        <v>1</v>
      </c>
      <c r="X120" s="10" t="b">
        <f aca="false">O120&lt;=Assumptions!$B$30</f>
        <v>1</v>
      </c>
      <c r="Y120" s="10" t="b">
        <f aca="false">W120&lt;=1</f>
        <v>1</v>
      </c>
      <c r="Z120" s="10" t="b">
        <f aca="false">C120="Duplicate"</f>
        <v>0</v>
      </c>
      <c r="AA120" s="10" t="b">
        <f aca="false">C120=""</f>
        <v>1</v>
      </c>
      <c r="AB120" s="2" t="n">
        <f aca="false">IF(P120+Q120&gt;0,ROUND(P120/(P120+Q120)*100,0),"")</f>
        <v>0</v>
      </c>
      <c r="AC120" s="2" t="n">
        <f aca="false">IF(P120+Q120&gt;0,ROUND(E120-P120/(P120+Q120)*100,0),"")</f>
        <v>20</v>
      </c>
      <c r="AD120" s="10" t="b">
        <f aca="false">IF(AC120="",FALSE(),ABS(AC120)&gt;Assumptions!$B$41)</f>
        <v>1</v>
      </c>
      <c r="AE120" s="2" t="str">
        <f aca="false">IF(X120,"Low confidence (&lt;=2 orders); ","")&amp;IF(Y120,"Single-month history; ","")&amp;IF(Z120,"CRITICAL: Duplicate status; ","")&amp;IF(AA120,"Missing status; ","")&amp;IF(AD120,"Broker % vs counts gap "&amp;TEXT(AC120,"+0;-0")&amp;"pts; ","")</f>
        <v>Low confidence (&lt;=2 orders); Single-month history; Missing status; Broker % vs counts gap +20pts; </v>
      </c>
      <c r="AF120" s="2" t="str">
        <f aca="false">IF(AND(K120=0,L120&gt;0),IF(D120&lt;=Assumptions!$B$47,"New Customer","Returned Customer"),"Existing Customer")</f>
        <v>Existing Customer</v>
      </c>
      <c r="AG120" s="10" t="b">
        <f aca="false">AND(T120="1. Migration Candidate",J120="Key")</f>
        <v>0</v>
      </c>
      <c r="AH120" s="10" t="b">
        <f aca="false">IF(AND(K120&gt;0,L120&gt;0),OR(ABS(M120-Assumptions!$B$36)&lt;=Assumptions!$B$46,ABS(M120+Assumptions!$B$36)&lt;=Assumptions!$B$46),FALSE())</f>
        <v>0</v>
      </c>
      <c r="AI120" s="9" t="n">
        <f aca="false">INDEX('Commercial View'!$L$2:$L$301,MATCH($A120,'Commercial View'!$A$2:$A$301,0))+INDEX('Commercial View'!$M$2:$M$301,MATCH($A120,'Commercial View'!$A$2:$A$301,0))</f>
        <v>0</v>
      </c>
      <c r="AJ120" s="2" t="str">
        <f aca="false">IF(AND(K120=0,AI120=0),"No activity ex-Feb",IF(AI120=0,"Lapsed",IF(K120=0,"H2 Active / No H1 GMV",IF((AI120/2)/(K120/3)-1&gt;=Assumptions!$B$36,"Growing",IF((AI120/2)/(K120/3)-1&lt;-Assumptions!$B$36,"Declining","Stable")))))</f>
        <v>Lapsed</v>
      </c>
      <c r="AK120" s="10" t="b">
        <f aca="false">IF(OR(N120="Growing",N120="Stable"),"Healthy",N120)&lt;&gt;IF(OR(AJ120="Growing",AJ120="Stable"),"Healthy",AJ120)</f>
        <v>0</v>
      </c>
      <c r="AL120" s="2" t="str">
        <f aca="false">IF(N120="Lapsed",IF(OR(O120&lt;=Assumptions!$B$48,W120&lt;=Assumptions!$B$49),"One-Off / Insufficient History — Verify","Established Buyer Lapsed"),"N/A")</f>
        <v>One-Off / Insufficient History — Verify</v>
      </c>
      <c r="AM120" s="2" t="n">
        <f aca="false">INDEX('Scored Accounts'!$M$2:$M$301,MATCH($A120,'Scored Accounts'!$A$2:$A$301,0))</f>
        <v>0</v>
      </c>
      <c r="AN120" s="2" t="n">
        <f aca="false">IF((P120/(P120+Q120)*100)&lt;=Assumptions!$B$13,0,IF((P120/(P120+Q120)*100)&lt;Assumptions!$B$14,25,IF((P120/(P120+Q120)*100)&lt;Assumptions!$B$15,50,IF((P120/(P120+Q120)*100)&lt;Assumptions!$B$16,75,100))))</f>
        <v>0</v>
      </c>
      <c r="AO120" s="21" t="n">
        <f aca="false">IF((P120/(P120+Q120)*100)&lt;=Assumptions!$B$8,0,AN120*Assumptions!$B$4+INDEX('Scored Accounts'!$N$2:$N$301,MATCH($A120,'Scored Accounts'!$A$2:$A$301,0))*Assumptions!$B$5+INDEX('Scored Accounts'!$O$2:$O$301,MATCH($A120,'Scored Accounts'!$A$2:$A$301,0))*Assumptions!$B$6)</f>
        <v>0</v>
      </c>
      <c r="AP120" s="2" t="str">
        <f aca="false">IF(AO120&gt;=Assumptions!$B$9,"High",IF(AO120&gt;=Assumptions!$B$10,"Medium","Low"))</f>
        <v>Low</v>
      </c>
      <c r="AQ120" s="10" t="b">
        <f aca="false">OR((E120&lt;=Assumptions!$B$8)&lt;&gt;((P120/(P120+Q120)*100)&lt;=Assumptions!$B$8),AM120&lt;&gt;AN120,G120&lt;&gt;AP120)</f>
        <v>0</v>
      </c>
      <c r="AR120" s="2" t="str">
        <f aca="false">IF(AP120&lt;&gt;"Low","Broker-Reliant",IF(B120="Account Managed","AM-Owned / Self-Serving","Self-Serve"))</f>
        <v>AM-Owned / Self-Serving</v>
      </c>
      <c r="AS120" s="2" t="str">
        <f aca="false">IF(AR120="Broker-Reliant",IF(J120="Tail","5. Cost-to-Serve / Low-Touch",IF(OR(N120="Growing",N120="Stable"),"1. Migration Candidate",IF(N120="Declining","2. Protect / Retain First",IF(N120="Lapsed","3. Win-Back / Verify",IF(N120="H2 Active / No H1 GMV","4. Establish / Re-establish / Observe","UNASSIGNED"))))),IF(AP120="Low",IF(J120="Tail","9. Long-Tail Automated Nurture",IF(OR(N120="Growing",N120="Stable"),"6. Growth Opportunity",IF(N120="H2 Active / No H1 GMV","7. Onboard / Re-engage / Learn",IF(OR(N120="Declining",N120="Lapsed"),"8. Retention / Reactivation","UNASSIGNED")))),"UNASSIGNED"))</f>
        <v>9. Long-Tail Automated Nurture</v>
      </c>
      <c r="AT120" s="10" t="b">
        <f aca="false">AS120&lt;&gt;T120</f>
        <v>0</v>
      </c>
      <c r="AU120" s="2" t="str">
        <f aca="false">IF(NOT(U120),"Not Eligible",IF(OR(AQ120,AH120,AK120,NOT(AND(W120&gt;=Assumptions!$B$83,O120&gt;=Assumptions!$B$84))),"Manual Review","Ready"))</f>
        <v>Not Eligible</v>
      </c>
      <c r="AV120" s="2" t="str">
        <f aca="false">IF(AG120,"Key account - human sign-off required; ","")&amp;IF(AH120,"Borderline momentum; ","")&amp;IF(AK120,"February-sensitive ("&amp;N120&amp;" -&gt; "&amp;AJ120&amp;"); ","")&amp;IF(AL120="One-Off / Insufficient History — Verify","Lapsed on thin history - verify; ","")&amp;IF(AQ120,"Material broker % inconsistency (implied tier "&amp;AP120&amp;"); ","")&amp;IF(AT120,"Implied broker % would move segment to "&amp;AS120&amp;"; ","")</f>
        <v>Lapsed on thin history - verify; </v>
      </c>
      <c r="AW120" s="10" t="b">
        <f aca="false">AND(G120="Low",J120="Tail",I120&gt;=Assumptions!$B$64,O120&gt;=Assumptions!$B$65,OR(N120="Growing",N120="Stable",AND(N120="H2 Active / No H1 GMV",W120&gt;=2)),OR(R120&gt;=Assumptions!$B$66,S120&gt;=Assumptions!$B$67))</f>
        <v>0</v>
      </c>
    </row>
    <row r="121" customFormat="false" ht="15" hidden="false" customHeight="false" outlineLevel="0" collapsed="false">
      <c r="A121" s="2" t="s">
        <v>693</v>
      </c>
      <c r="B121" s="2" t="s">
        <v>1571</v>
      </c>
      <c r="C121" s="2" t="s">
        <v>1572</v>
      </c>
      <c r="D121" s="2" t="n">
        <v>18</v>
      </c>
      <c r="E121" s="2" t="n">
        <v>19</v>
      </c>
      <c r="F121" s="21" t="n">
        <f aca="false">INDEX('Scored Accounts'!$Q$2:$Q$301,MATCH($A121,'Scored Accounts'!$A$2:$A$301,0))</f>
        <v>0</v>
      </c>
      <c r="G121" s="2" t="str">
        <f aca="false">INDEX('Scored Accounts'!$R$2:$R$301,MATCH($A121,'Scored Accounts'!$A$2:$A$301,0))</f>
        <v>Low</v>
      </c>
      <c r="H121" s="2" t="str">
        <f aca="false">IF(OR(G121="High",G121="Medium"),"Broker-Reliant",IF(AND(G121="Low",B121="Account Managed"),"AM-Owned / Self-Serving",IF(AND(G121="Low",B121="Self Serve"),"Self-Serve","UNASSIGNED")))</f>
        <v>AM-Owned / Self-Serving</v>
      </c>
      <c r="I121" s="9" t="n">
        <v>471</v>
      </c>
      <c r="J121" s="2" t="str">
        <f aca="false">IF(I121&gt;=Assumptions!$B$35,"Key",IF(I121&gt;=Assumptions!$B$34,"Core","Tail"))</f>
        <v>Tail</v>
      </c>
      <c r="K121" s="9" t="n">
        <f aca="false">INDEX('Commercial View'!$R$2:$R$301,MATCH($A121,'Commercial View'!$A$2:$A$301,0))</f>
        <v>471</v>
      </c>
      <c r="L121" s="9" t="n">
        <f aca="false">INDEX('Commercial View'!$S$2:$S$301,MATCH($A121,'Commercial View'!$A$2:$A$301,0))</f>
        <v>0</v>
      </c>
      <c r="M121" s="17" t="n">
        <f aca="false">INDEX('Commercial View'!$T$2:$T$301,MATCH($A121,'Commercial View'!$A$2:$A$301,0))</f>
        <v>-1</v>
      </c>
      <c r="N121" s="2" t="str">
        <f aca="false">INDEX('Commercial View'!$U$2:$U$301,MATCH($A121,'Commercial View'!$A$2:$A$301,0))</f>
        <v>Lapsed</v>
      </c>
      <c r="O121" s="2" t="n">
        <v>3</v>
      </c>
      <c r="P121" s="2" t="n">
        <v>1</v>
      </c>
      <c r="Q121" s="2" t="n">
        <v>2</v>
      </c>
      <c r="R121" s="2" t="n">
        <v>21</v>
      </c>
      <c r="S121" s="2" t="n">
        <v>9</v>
      </c>
      <c r="T121" s="2" t="str">
        <f aca="false">IF(H121="Broker-Reliant",IF(J121="Tail","5. Cost-to-Serve / Low-Touch",IF(OR(N121="Growing",N121="Stable"),"1. Migration Candidate",IF(N121="Declining","2. Protect / Retain First",IF(N121="Lapsed","3. Win-Back / Verify",IF(N121="H2 Active / No H1 GMV","4. Establish / Re-establish / Observe","UNASSIGNED"))))),IF(G121="Low",IF(J121="Tail","9. Long-Tail Automated Nurture",IF(OR(N121="Growing",N121="Stable"),"6. Growth Opportunity",IF(N121="H2 Active / No H1 GMV","7. Onboard / Re-engage / Learn",IF(OR(N121="Declining",N121="Lapsed"),"8. Retention / Reactivation","UNASSIGNED")))),"UNASSIGNED"))</f>
        <v>9. Long-Tail Automated Nurture</v>
      </c>
      <c r="U121" s="10" t="b">
        <f aca="false">AND(T121="1. Migration Candidate",J121="Core",O121&gt;=Assumptions!$B$39,Q121&gt;=Assumptions!$B$40,NOT(Z121))</f>
        <v>0</v>
      </c>
      <c r="V121" s="2" t="n">
        <f aca="false">(AND(H121="Broker-Reliant",J121&lt;&gt;"Tail",OR(N121="Growing",N121="Stable")))*1+(AND(H121="Broker-Reliant",J121&lt;&gt;"Tail",N121="Declining"))*1+(AND(H121="Broker-Reliant",J121&lt;&gt;"Tail",N121="Lapsed"))*1+(AND(H121="Broker-Reliant",J121&lt;&gt;"Tail",N121="H2 Active / No H1 GMV"))*1+(AND(H121="Broker-Reliant",J121="Tail"))*1+(AND(G121="Low",J121&lt;&gt;"Tail",OR(N121="Growing",N121="Stable")))*1+(AND(G121="Low",J121&lt;&gt;"Tail",N121="H2 Active / No H1 GMV"))*1+(AND(G121="Low",J121&lt;&gt;"Tail",OR(N121="Declining",N121="Lapsed")))*1+(AND(G121="Low",J121="Tail"))*1</f>
        <v>1</v>
      </c>
      <c r="W121" s="2" t="n">
        <f aca="false">INDEX('Commercial View'!$V$2:$V$301,MATCH($A121,'Commercial View'!$A$2:$A$301,0))</f>
        <v>2</v>
      </c>
      <c r="X121" s="10" t="b">
        <f aca="false">O121&lt;=Assumptions!$B$30</f>
        <v>0</v>
      </c>
      <c r="Y121" s="10" t="b">
        <f aca="false">W121&lt;=1</f>
        <v>0</v>
      </c>
      <c r="Z121" s="10" t="b">
        <f aca="false">C121="Duplicate"</f>
        <v>0</v>
      </c>
      <c r="AA121" s="10" t="b">
        <f aca="false">C121=""</f>
        <v>0</v>
      </c>
      <c r="AB121" s="2" t="n">
        <f aca="false">IF(P121+Q121&gt;0,ROUND(P121/(P121+Q121)*100,0),"")</f>
        <v>33</v>
      </c>
      <c r="AC121" s="2" t="n">
        <f aca="false">IF(P121+Q121&gt;0,ROUND(E121-P121/(P121+Q121)*100,0),"")</f>
        <v>-14</v>
      </c>
      <c r="AD121" s="10" t="b">
        <f aca="false">IF(AC121="",FALSE(),ABS(AC121)&gt;Assumptions!$B$41)</f>
        <v>1</v>
      </c>
      <c r="AE121" s="2" t="str">
        <f aca="false">IF(X121,"Low confidence (&lt;=2 orders); ","")&amp;IF(Y121,"Single-month history; ","")&amp;IF(Z121,"CRITICAL: Duplicate status; ","")&amp;IF(AA121,"Missing status; ","")&amp;IF(AD121,"Broker % vs counts gap "&amp;TEXT(AC121,"+0;-0")&amp;"pts; ","")</f>
        <v>Broker % vs counts gap -14pts; </v>
      </c>
      <c r="AF121" s="2" t="str">
        <f aca="false">IF(AND(K121=0,L121&gt;0),IF(D121&lt;=Assumptions!$B$47,"New Customer","Returned Customer"),"Existing Customer")</f>
        <v>Existing Customer</v>
      </c>
      <c r="AG121" s="10" t="b">
        <f aca="false">AND(T121="1. Migration Candidate",J121="Key")</f>
        <v>0</v>
      </c>
      <c r="AH121" s="10" t="b">
        <f aca="false">IF(AND(K121&gt;0,L121&gt;0),OR(ABS(M121-Assumptions!$B$36)&lt;=Assumptions!$B$46,ABS(M121+Assumptions!$B$36)&lt;=Assumptions!$B$46),FALSE())</f>
        <v>0</v>
      </c>
      <c r="AI121" s="9" t="n">
        <f aca="false">INDEX('Commercial View'!$L$2:$L$301,MATCH($A121,'Commercial View'!$A$2:$A$301,0))+INDEX('Commercial View'!$M$2:$M$301,MATCH($A121,'Commercial View'!$A$2:$A$301,0))</f>
        <v>0</v>
      </c>
      <c r="AJ121" s="2" t="str">
        <f aca="false">IF(AND(K121=0,AI121=0),"No activity ex-Feb",IF(AI121=0,"Lapsed",IF(K121=0,"H2 Active / No H1 GMV",IF((AI121/2)/(K121/3)-1&gt;=Assumptions!$B$36,"Growing",IF((AI121/2)/(K121/3)-1&lt;-Assumptions!$B$36,"Declining","Stable")))))</f>
        <v>Lapsed</v>
      </c>
      <c r="AK121" s="10" t="b">
        <f aca="false">IF(OR(N121="Growing",N121="Stable"),"Healthy",N121)&lt;&gt;IF(OR(AJ121="Growing",AJ121="Stable"),"Healthy",AJ121)</f>
        <v>0</v>
      </c>
      <c r="AL121" s="2" t="str">
        <f aca="false">IF(N121="Lapsed",IF(OR(O121&lt;=Assumptions!$B$48,W121&lt;=Assumptions!$B$49),"One-Off / Insufficient History — Verify","Established Buyer Lapsed"),"N/A")</f>
        <v>Established Buyer Lapsed</v>
      </c>
      <c r="AM121" s="2" t="n">
        <f aca="false">INDEX('Scored Accounts'!$M$2:$M$301,MATCH($A121,'Scored Accounts'!$A$2:$A$301,0))</f>
        <v>0</v>
      </c>
      <c r="AN121" s="2" t="n">
        <f aca="false">IF((P121/(P121+Q121)*100)&lt;=Assumptions!$B$13,0,IF((P121/(P121+Q121)*100)&lt;Assumptions!$B$14,25,IF((P121/(P121+Q121)*100)&lt;Assumptions!$B$15,50,IF((P121/(P121+Q121)*100)&lt;Assumptions!$B$16,75,100))))</f>
        <v>25</v>
      </c>
      <c r="AO121" s="21" t="n">
        <f aca="false">IF((P121/(P121+Q121)*100)&lt;=Assumptions!$B$8,0,AN121*Assumptions!$B$4+INDEX('Scored Accounts'!$N$2:$N$301,MATCH($A121,'Scored Accounts'!$A$2:$A$301,0))*Assumptions!$B$5+INDEX('Scored Accounts'!$O$2:$O$301,MATCH($A121,'Scored Accounts'!$A$2:$A$301,0))*Assumptions!$B$6)</f>
        <v>20</v>
      </c>
      <c r="AP121" s="2" t="str">
        <f aca="false">IF(AO121&gt;=Assumptions!$B$9,"High",IF(AO121&gt;=Assumptions!$B$10,"Medium","Low"))</f>
        <v>Low</v>
      </c>
      <c r="AQ121" s="10" t="b">
        <f aca="false">OR((E121&lt;=Assumptions!$B$8)&lt;&gt;((P121/(P121+Q121)*100)&lt;=Assumptions!$B$8),AM121&lt;&gt;AN121,G121&lt;&gt;AP121)</f>
        <v>1</v>
      </c>
      <c r="AR121" s="2" t="str">
        <f aca="false">IF(AP121&lt;&gt;"Low","Broker-Reliant",IF(B121="Account Managed","AM-Owned / Self-Serving","Self-Serve"))</f>
        <v>AM-Owned / Self-Serving</v>
      </c>
      <c r="AS121" s="2" t="str">
        <f aca="false">IF(AR121="Broker-Reliant",IF(J121="Tail","5. Cost-to-Serve / Low-Touch",IF(OR(N121="Growing",N121="Stable"),"1. Migration Candidate",IF(N121="Declining","2. Protect / Retain First",IF(N121="Lapsed","3. Win-Back / Verify",IF(N121="H2 Active / No H1 GMV","4. Establish / Re-establish / Observe","UNASSIGNED"))))),IF(AP121="Low",IF(J121="Tail","9. Long-Tail Automated Nurture",IF(OR(N121="Growing",N121="Stable"),"6. Growth Opportunity",IF(N121="H2 Active / No H1 GMV","7. Onboard / Re-engage / Learn",IF(OR(N121="Declining",N121="Lapsed"),"8. Retention / Reactivation","UNASSIGNED")))),"UNASSIGNED"))</f>
        <v>9. Long-Tail Automated Nurture</v>
      </c>
      <c r="AT121" s="10" t="b">
        <f aca="false">AS121&lt;&gt;T121</f>
        <v>0</v>
      </c>
      <c r="AU121" s="2" t="str">
        <f aca="false">IF(NOT(U121),"Not Eligible",IF(OR(AQ121,AH121,AK121,NOT(AND(W121&gt;=Assumptions!$B$83,O121&gt;=Assumptions!$B$84))),"Manual Review","Ready"))</f>
        <v>Not Eligible</v>
      </c>
      <c r="AV121" s="2" t="str">
        <f aca="false">IF(AG121,"Key account - human sign-off required; ","")&amp;IF(AH121,"Borderline momentum; ","")&amp;IF(AK121,"February-sensitive ("&amp;N121&amp;" -&gt; "&amp;AJ121&amp;"); ","")&amp;IF(AL121="One-Off / Insufficient History — Verify","Lapsed on thin history - verify; ","")&amp;IF(AQ121,"Material broker % inconsistency (implied tier "&amp;AP121&amp;"); ","")&amp;IF(AT121,"Implied broker % would move segment to "&amp;AS121&amp;"; ","")</f>
        <v>Material broker % inconsistency (implied tier Low); </v>
      </c>
      <c r="AW121" s="10" t="b">
        <f aca="false">AND(G121="Low",J121="Tail",I121&gt;=Assumptions!$B$64,O121&gt;=Assumptions!$B$65,OR(N121="Growing",N121="Stable",AND(N121="H2 Active / No H1 GMV",W121&gt;=2)),OR(R121&gt;=Assumptions!$B$66,S121&gt;=Assumptions!$B$67))</f>
        <v>0</v>
      </c>
    </row>
    <row r="122" customFormat="false" ht="15" hidden="false" customHeight="false" outlineLevel="0" collapsed="false">
      <c r="A122" s="2" t="s">
        <v>695</v>
      </c>
      <c r="B122" s="2" t="s">
        <v>1571</v>
      </c>
      <c r="C122" s="2" t="s">
        <v>1572</v>
      </c>
      <c r="D122" s="2" t="n">
        <v>30</v>
      </c>
      <c r="E122" s="2" t="n">
        <v>14</v>
      </c>
      <c r="F122" s="21" t="n">
        <f aca="false">INDEX('Scored Accounts'!$Q$2:$Q$301,MATCH($A122,'Scored Accounts'!$A$2:$A$301,0))</f>
        <v>0</v>
      </c>
      <c r="G122" s="2" t="str">
        <f aca="false">INDEX('Scored Accounts'!$R$2:$R$301,MATCH($A122,'Scored Accounts'!$A$2:$A$301,0))</f>
        <v>Low</v>
      </c>
      <c r="H122" s="2" t="str">
        <f aca="false">IF(OR(G122="High",G122="Medium"),"Broker-Reliant",IF(AND(G122="Low",B122="Account Managed"),"AM-Owned / Self-Serving",IF(AND(G122="Low",B122="Self Serve"),"Self-Serve","UNASSIGNED")))</f>
        <v>AM-Owned / Self-Serving</v>
      </c>
      <c r="I122" s="9" t="n">
        <v>468</v>
      </c>
      <c r="J122" s="2" t="str">
        <f aca="false">IF(I122&gt;=Assumptions!$B$35,"Key",IF(I122&gt;=Assumptions!$B$34,"Core","Tail"))</f>
        <v>Tail</v>
      </c>
      <c r="K122" s="9" t="n">
        <f aca="false">INDEX('Commercial View'!$R$2:$R$301,MATCH($A122,'Commercial View'!$A$2:$A$301,0))</f>
        <v>468</v>
      </c>
      <c r="L122" s="9" t="n">
        <f aca="false">INDEX('Commercial View'!$S$2:$S$301,MATCH($A122,'Commercial View'!$A$2:$A$301,0))</f>
        <v>0</v>
      </c>
      <c r="M122" s="17" t="n">
        <f aca="false">INDEX('Commercial View'!$T$2:$T$301,MATCH($A122,'Commercial View'!$A$2:$A$301,0))</f>
        <v>-1</v>
      </c>
      <c r="N122" s="2" t="str">
        <f aca="false">INDEX('Commercial View'!$U$2:$U$301,MATCH($A122,'Commercial View'!$A$2:$A$301,0))</f>
        <v>Lapsed</v>
      </c>
      <c r="O122" s="2" t="n">
        <v>1</v>
      </c>
      <c r="P122" s="2" t="n">
        <v>0</v>
      </c>
      <c r="Q122" s="2" t="n">
        <v>1</v>
      </c>
      <c r="R122" s="2" t="n">
        <v>2</v>
      </c>
      <c r="S122" s="2" t="n">
        <v>0</v>
      </c>
      <c r="T122" s="2" t="str">
        <f aca="false">IF(H122="Broker-Reliant",IF(J122="Tail","5. Cost-to-Serve / Low-Touch",IF(OR(N122="Growing",N122="Stable"),"1. Migration Candidate",IF(N122="Declining","2. Protect / Retain First",IF(N122="Lapsed","3. Win-Back / Verify",IF(N122="H2 Active / No H1 GMV","4. Establish / Re-establish / Observe","UNASSIGNED"))))),IF(G122="Low",IF(J122="Tail","9. Long-Tail Automated Nurture",IF(OR(N122="Growing",N122="Stable"),"6. Growth Opportunity",IF(N122="H2 Active / No H1 GMV","7. Onboard / Re-engage / Learn",IF(OR(N122="Declining",N122="Lapsed"),"8. Retention / Reactivation","UNASSIGNED")))),"UNASSIGNED"))</f>
        <v>9. Long-Tail Automated Nurture</v>
      </c>
      <c r="U122" s="10" t="b">
        <f aca="false">AND(T122="1. Migration Candidate",J122="Core",O122&gt;=Assumptions!$B$39,Q122&gt;=Assumptions!$B$40,NOT(Z122))</f>
        <v>0</v>
      </c>
      <c r="V122" s="2" t="n">
        <f aca="false">(AND(H122="Broker-Reliant",J122&lt;&gt;"Tail",OR(N122="Growing",N122="Stable")))*1+(AND(H122="Broker-Reliant",J122&lt;&gt;"Tail",N122="Declining"))*1+(AND(H122="Broker-Reliant",J122&lt;&gt;"Tail",N122="Lapsed"))*1+(AND(H122="Broker-Reliant",J122&lt;&gt;"Tail",N122="H2 Active / No H1 GMV"))*1+(AND(H122="Broker-Reliant",J122="Tail"))*1+(AND(G122="Low",J122&lt;&gt;"Tail",OR(N122="Growing",N122="Stable")))*1+(AND(G122="Low",J122&lt;&gt;"Tail",N122="H2 Active / No H1 GMV"))*1+(AND(G122="Low",J122&lt;&gt;"Tail",OR(N122="Declining",N122="Lapsed")))*1+(AND(G122="Low",J122="Tail"))*1</f>
        <v>1</v>
      </c>
      <c r="W122" s="2" t="n">
        <f aca="false">INDEX('Commercial View'!$V$2:$V$301,MATCH($A122,'Commercial View'!$A$2:$A$301,0))</f>
        <v>1</v>
      </c>
      <c r="X122" s="10" t="b">
        <f aca="false">O122&lt;=Assumptions!$B$30</f>
        <v>1</v>
      </c>
      <c r="Y122" s="10" t="b">
        <f aca="false">W122&lt;=1</f>
        <v>1</v>
      </c>
      <c r="Z122" s="10" t="b">
        <f aca="false">C122="Duplicate"</f>
        <v>0</v>
      </c>
      <c r="AA122" s="10" t="b">
        <f aca="false">C122=""</f>
        <v>0</v>
      </c>
      <c r="AB122" s="2" t="n">
        <f aca="false">IF(P122+Q122&gt;0,ROUND(P122/(P122+Q122)*100,0),"")</f>
        <v>0</v>
      </c>
      <c r="AC122" s="2" t="n">
        <f aca="false">IF(P122+Q122&gt;0,ROUND(E122-P122/(P122+Q122)*100,0),"")</f>
        <v>14</v>
      </c>
      <c r="AD122" s="10" t="b">
        <f aca="false">IF(AC122="",FALSE(),ABS(AC122)&gt;Assumptions!$B$41)</f>
        <v>1</v>
      </c>
      <c r="AE122" s="2" t="str">
        <f aca="false">IF(X122,"Low confidence (&lt;=2 orders); ","")&amp;IF(Y122,"Single-month history; ","")&amp;IF(Z122,"CRITICAL: Duplicate status; ","")&amp;IF(AA122,"Missing status; ","")&amp;IF(AD122,"Broker % vs counts gap "&amp;TEXT(AC122,"+0;-0")&amp;"pts; ","")</f>
        <v>Low confidence (&lt;=2 orders); Single-month history; Broker % vs counts gap +14pts; </v>
      </c>
      <c r="AF122" s="2" t="str">
        <f aca="false">IF(AND(K122=0,L122&gt;0),IF(D122&lt;=Assumptions!$B$47,"New Customer","Returned Customer"),"Existing Customer")</f>
        <v>Existing Customer</v>
      </c>
      <c r="AG122" s="10" t="b">
        <f aca="false">AND(T122="1. Migration Candidate",J122="Key")</f>
        <v>0</v>
      </c>
      <c r="AH122" s="10" t="b">
        <f aca="false">IF(AND(K122&gt;0,L122&gt;0),OR(ABS(M122-Assumptions!$B$36)&lt;=Assumptions!$B$46,ABS(M122+Assumptions!$B$36)&lt;=Assumptions!$B$46),FALSE())</f>
        <v>0</v>
      </c>
      <c r="AI122" s="9" t="n">
        <f aca="false">INDEX('Commercial View'!$L$2:$L$301,MATCH($A122,'Commercial View'!$A$2:$A$301,0))+INDEX('Commercial View'!$M$2:$M$301,MATCH($A122,'Commercial View'!$A$2:$A$301,0))</f>
        <v>0</v>
      </c>
      <c r="AJ122" s="2" t="str">
        <f aca="false">IF(AND(K122=0,AI122=0),"No activity ex-Feb",IF(AI122=0,"Lapsed",IF(K122=0,"H2 Active / No H1 GMV",IF((AI122/2)/(K122/3)-1&gt;=Assumptions!$B$36,"Growing",IF((AI122/2)/(K122/3)-1&lt;-Assumptions!$B$36,"Declining","Stable")))))</f>
        <v>Lapsed</v>
      </c>
      <c r="AK122" s="10" t="b">
        <f aca="false">IF(OR(N122="Growing",N122="Stable"),"Healthy",N122)&lt;&gt;IF(OR(AJ122="Growing",AJ122="Stable"),"Healthy",AJ122)</f>
        <v>0</v>
      </c>
      <c r="AL122" s="2" t="str">
        <f aca="false">IF(N122="Lapsed",IF(OR(O122&lt;=Assumptions!$B$48,W122&lt;=Assumptions!$B$49),"One-Off / Insufficient History — Verify","Established Buyer Lapsed"),"N/A")</f>
        <v>One-Off / Insufficient History — Verify</v>
      </c>
      <c r="AM122" s="2" t="n">
        <f aca="false">INDEX('Scored Accounts'!$M$2:$M$301,MATCH($A122,'Scored Accounts'!$A$2:$A$301,0))</f>
        <v>0</v>
      </c>
      <c r="AN122" s="2" t="n">
        <f aca="false">IF((P122/(P122+Q122)*100)&lt;=Assumptions!$B$13,0,IF((P122/(P122+Q122)*100)&lt;Assumptions!$B$14,25,IF((P122/(P122+Q122)*100)&lt;Assumptions!$B$15,50,IF((P122/(P122+Q122)*100)&lt;Assumptions!$B$16,75,100))))</f>
        <v>0</v>
      </c>
      <c r="AO122" s="21" t="n">
        <f aca="false">IF((P122/(P122+Q122)*100)&lt;=Assumptions!$B$8,0,AN122*Assumptions!$B$4+INDEX('Scored Accounts'!$N$2:$N$301,MATCH($A122,'Scored Accounts'!$A$2:$A$301,0))*Assumptions!$B$5+INDEX('Scored Accounts'!$O$2:$O$301,MATCH($A122,'Scored Accounts'!$A$2:$A$301,0))*Assumptions!$B$6)</f>
        <v>0</v>
      </c>
      <c r="AP122" s="2" t="str">
        <f aca="false">IF(AO122&gt;=Assumptions!$B$9,"High",IF(AO122&gt;=Assumptions!$B$10,"Medium","Low"))</f>
        <v>Low</v>
      </c>
      <c r="AQ122" s="10" t="b">
        <f aca="false">OR((E122&lt;=Assumptions!$B$8)&lt;&gt;((P122/(P122+Q122)*100)&lt;=Assumptions!$B$8),AM122&lt;&gt;AN122,G122&lt;&gt;AP122)</f>
        <v>0</v>
      </c>
      <c r="AR122" s="2" t="str">
        <f aca="false">IF(AP122&lt;&gt;"Low","Broker-Reliant",IF(B122="Account Managed","AM-Owned / Self-Serving","Self-Serve"))</f>
        <v>AM-Owned / Self-Serving</v>
      </c>
      <c r="AS122" s="2" t="str">
        <f aca="false">IF(AR122="Broker-Reliant",IF(J122="Tail","5. Cost-to-Serve / Low-Touch",IF(OR(N122="Growing",N122="Stable"),"1. Migration Candidate",IF(N122="Declining","2. Protect / Retain First",IF(N122="Lapsed","3. Win-Back / Verify",IF(N122="H2 Active / No H1 GMV","4. Establish / Re-establish / Observe","UNASSIGNED"))))),IF(AP122="Low",IF(J122="Tail","9. Long-Tail Automated Nurture",IF(OR(N122="Growing",N122="Stable"),"6. Growth Opportunity",IF(N122="H2 Active / No H1 GMV","7. Onboard / Re-engage / Learn",IF(OR(N122="Declining",N122="Lapsed"),"8. Retention / Reactivation","UNASSIGNED")))),"UNASSIGNED"))</f>
        <v>9. Long-Tail Automated Nurture</v>
      </c>
      <c r="AT122" s="10" t="b">
        <f aca="false">AS122&lt;&gt;T122</f>
        <v>0</v>
      </c>
      <c r="AU122" s="2" t="str">
        <f aca="false">IF(NOT(U122),"Not Eligible",IF(OR(AQ122,AH122,AK122,NOT(AND(W122&gt;=Assumptions!$B$83,O122&gt;=Assumptions!$B$84))),"Manual Review","Ready"))</f>
        <v>Not Eligible</v>
      </c>
      <c r="AV122" s="2" t="str">
        <f aca="false">IF(AG122,"Key account - human sign-off required; ","")&amp;IF(AH122,"Borderline momentum; ","")&amp;IF(AK122,"February-sensitive ("&amp;N122&amp;" -&gt; "&amp;AJ122&amp;"); ","")&amp;IF(AL122="One-Off / Insufficient History — Verify","Lapsed on thin history - verify; ","")&amp;IF(AQ122,"Material broker % inconsistency (implied tier "&amp;AP122&amp;"); ","")&amp;IF(AT122,"Implied broker % would move segment to "&amp;AS122&amp;"; ","")</f>
        <v>Lapsed on thin history - verify; </v>
      </c>
      <c r="AW122" s="10" t="b">
        <f aca="false">AND(G122="Low",J122="Tail",I122&gt;=Assumptions!$B$64,O122&gt;=Assumptions!$B$65,OR(N122="Growing",N122="Stable",AND(N122="H2 Active / No H1 GMV",W122&gt;=2)),OR(R122&gt;=Assumptions!$B$66,S122&gt;=Assumptions!$B$67))</f>
        <v>0</v>
      </c>
    </row>
    <row r="123" customFormat="false" ht="15" hidden="false" customHeight="false" outlineLevel="0" collapsed="false">
      <c r="A123" s="2" t="s">
        <v>699</v>
      </c>
      <c r="B123" s="2" t="s">
        <v>1571</v>
      </c>
      <c r="C123" s="2"/>
      <c r="D123" s="2" t="n">
        <v>6</v>
      </c>
      <c r="E123" s="2" t="n">
        <v>2</v>
      </c>
      <c r="F123" s="21" t="n">
        <f aca="false">INDEX('Scored Accounts'!$Q$2:$Q$301,MATCH($A123,'Scored Accounts'!$A$2:$A$301,0))</f>
        <v>0</v>
      </c>
      <c r="G123" s="2" t="str">
        <f aca="false">INDEX('Scored Accounts'!$R$2:$R$301,MATCH($A123,'Scored Accounts'!$A$2:$A$301,0))</f>
        <v>Low</v>
      </c>
      <c r="H123" s="2" t="str">
        <f aca="false">IF(OR(G123="High",G123="Medium"),"Broker-Reliant",IF(AND(G123="Low",B123="Account Managed"),"AM-Owned / Self-Serving",IF(AND(G123="Low",B123="Self Serve"),"Self-Serve","UNASSIGNED")))</f>
        <v>AM-Owned / Self-Serving</v>
      </c>
      <c r="I123" s="9" t="n">
        <v>459</v>
      </c>
      <c r="J123" s="2" t="str">
        <f aca="false">IF(I123&gt;=Assumptions!$B$35,"Key",IF(I123&gt;=Assumptions!$B$34,"Core","Tail"))</f>
        <v>Tail</v>
      </c>
      <c r="K123" s="9" t="n">
        <f aca="false">INDEX('Commercial View'!$R$2:$R$301,MATCH($A123,'Commercial View'!$A$2:$A$301,0))</f>
        <v>459</v>
      </c>
      <c r="L123" s="9" t="n">
        <f aca="false">INDEX('Commercial View'!$S$2:$S$301,MATCH($A123,'Commercial View'!$A$2:$A$301,0))</f>
        <v>0</v>
      </c>
      <c r="M123" s="17" t="n">
        <f aca="false">INDEX('Commercial View'!$T$2:$T$301,MATCH($A123,'Commercial View'!$A$2:$A$301,0))</f>
        <v>-1</v>
      </c>
      <c r="N123" s="2" t="str">
        <f aca="false">INDEX('Commercial View'!$U$2:$U$301,MATCH($A123,'Commercial View'!$A$2:$A$301,0))</f>
        <v>Lapsed</v>
      </c>
      <c r="O123" s="2" t="n">
        <v>4</v>
      </c>
      <c r="P123" s="2" t="n">
        <v>0</v>
      </c>
      <c r="Q123" s="2" t="n">
        <v>4</v>
      </c>
      <c r="R123" s="2" t="n">
        <v>26</v>
      </c>
      <c r="S123" s="2" t="n">
        <v>9</v>
      </c>
      <c r="T123" s="2" t="str">
        <f aca="false">IF(H123="Broker-Reliant",IF(J123="Tail","5. Cost-to-Serve / Low-Touch",IF(OR(N123="Growing",N123="Stable"),"1. Migration Candidate",IF(N123="Declining","2. Protect / Retain First",IF(N123="Lapsed","3. Win-Back / Verify",IF(N123="H2 Active / No H1 GMV","4. Establish / Re-establish / Observe","UNASSIGNED"))))),IF(G123="Low",IF(J123="Tail","9. Long-Tail Automated Nurture",IF(OR(N123="Growing",N123="Stable"),"6. Growth Opportunity",IF(N123="H2 Active / No H1 GMV","7. Onboard / Re-engage / Learn",IF(OR(N123="Declining",N123="Lapsed"),"8. Retention / Reactivation","UNASSIGNED")))),"UNASSIGNED"))</f>
        <v>9. Long-Tail Automated Nurture</v>
      </c>
      <c r="U123" s="10" t="b">
        <f aca="false">AND(T123="1. Migration Candidate",J123="Core",O123&gt;=Assumptions!$B$39,Q123&gt;=Assumptions!$B$40,NOT(Z123))</f>
        <v>0</v>
      </c>
      <c r="V123" s="2" t="n">
        <f aca="false">(AND(H123="Broker-Reliant",J123&lt;&gt;"Tail",OR(N123="Growing",N123="Stable")))*1+(AND(H123="Broker-Reliant",J123&lt;&gt;"Tail",N123="Declining"))*1+(AND(H123="Broker-Reliant",J123&lt;&gt;"Tail",N123="Lapsed"))*1+(AND(H123="Broker-Reliant",J123&lt;&gt;"Tail",N123="H2 Active / No H1 GMV"))*1+(AND(H123="Broker-Reliant",J123="Tail"))*1+(AND(G123="Low",J123&lt;&gt;"Tail",OR(N123="Growing",N123="Stable")))*1+(AND(G123="Low",J123&lt;&gt;"Tail",N123="H2 Active / No H1 GMV"))*1+(AND(G123="Low",J123&lt;&gt;"Tail",OR(N123="Declining",N123="Lapsed")))*1+(AND(G123="Low",J123="Tail"))*1</f>
        <v>1</v>
      </c>
      <c r="W123" s="2" t="n">
        <f aca="false">INDEX('Commercial View'!$V$2:$V$301,MATCH($A123,'Commercial View'!$A$2:$A$301,0))</f>
        <v>2</v>
      </c>
      <c r="X123" s="10" t="b">
        <f aca="false">O123&lt;=Assumptions!$B$30</f>
        <v>0</v>
      </c>
      <c r="Y123" s="10" t="b">
        <f aca="false">W123&lt;=1</f>
        <v>0</v>
      </c>
      <c r="Z123" s="10" t="b">
        <f aca="false">C123="Duplicate"</f>
        <v>0</v>
      </c>
      <c r="AA123" s="10" t="b">
        <f aca="false">C123=""</f>
        <v>1</v>
      </c>
      <c r="AB123" s="2" t="n">
        <f aca="false">IF(P123+Q123&gt;0,ROUND(P123/(P123+Q123)*100,0),"")</f>
        <v>0</v>
      </c>
      <c r="AC123" s="2" t="n">
        <f aca="false">IF(P123+Q123&gt;0,ROUND(E123-P123/(P123+Q123)*100,0),"")</f>
        <v>2</v>
      </c>
      <c r="AD123" s="10" t="b">
        <f aca="false">IF(AC123="",FALSE(),ABS(AC123)&gt;Assumptions!$B$41)</f>
        <v>0</v>
      </c>
      <c r="AE123" s="2" t="str">
        <f aca="false">IF(X123,"Low confidence (&lt;=2 orders); ","")&amp;IF(Y123,"Single-month history; ","")&amp;IF(Z123,"CRITICAL: Duplicate status; ","")&amp;IF(AA123,"Missing status; ","")&amp;IF(AD123,"Broker % vs counts gap "&amp;TEXT(AC123,"+0;-0")&amp;"pts; ","")</f>
        <v>Missing status; </v>
      </c>
      <c r="AF123" s="2" t="str">
        <f aca="false">IF(AND(K123=0,L123&gt;0),IF(D123&lt;=Assumptions!$B$47,"New Customer","Returned Customer"),"Existing Customer")</f>
        <v>Existing Customer</v>
      </c>
      <c r="AG123" s="10" t="b">
        <f aca="false">AND(T123="1. Migration Candidate",J123="Key")</f>
        <v>0</v>
      </c>
      <c r="AH123" s="10" t="b">
        <f aca="false">IF(AND(K123&gt;0,L123&gt;0),OR(ABS(M123-Assumptions!$B$36)&lt;=Assumptions!$B$46,ABS(M123+Assumptions!$B$36)&lt;=Assumptions!$B$46),FALSE())</f>
        <v>0</v>
      </c>
      <c r="AI123" s="9" t="n">
        <f aca="false">INDEX('Commercial View'!$L$2:$L$301,MATCH($A123,'Commercial View'!$A$2:$A$301,0))+INDEX('Commercial View'!$M$2:$M$301,MATCH($A123,'Commercial View'!$A$2:$A$301,0))</f>
        <v>0</v>
      </c>
      <c r="AJ123" s="2" t="str">
        <f aca="false">IF(AND(K123=0,AI123=0),"No activity ex-Feb",IF(AI123=0,"Lapsed",IF(K123=0,"H2 Active / No H1 GMV",IF((AI123/2)/(K123/3)-1&gt;=Assumptions!$B$36,"Growing",IF((AI123/2)/(K123/3)-1&lt;-Assumptions!$B$36,"Declining","Stable")))))</f>
        <v>Lapsed</v>
      </c>
      <c r="AK123" s="10" t="b">
        <f aca="false">IF(OR(N123="Growing",N123="Stable"),"Healthy",N123)&lt;&gt;IF(OR(AJ123="Growing",AJ123="Stable"),"Healthy",AJ123)</f>
        <v>0</v>
      </c>
      <c r="AL123" s="2" t="str">
        <f aca="false">IF(N123="Lapsed",IF(OR(O123&lt;=Assumptions!$B$48,W123&lt;=Assumptions!$B$49),"One-Off / Insufficient History — Verify","Established Buyer Lapsed"),"N/A")</f>
        <v>Established Buyer Lapsed</v>
      </c>
      <c r="AM123" s="2" t="n">
        <f aca="false">INDEX('Scored Accounts'!$M$2:$M$301,MATCH($A123,'Scored Accounts'!$A$2:$A$301,0))</f>
        <v>0</v>
      </c>
      <c r="AN123" s="2" t="n">
        <f aca="false">IF((P123/(P123+Q123)*100)&lt;=Assumptions!$B$13,0,IF((P123/(P123+Q123)*100)&lt;Assumptions!$B$14,25,IF((P123/(P123+Q123)*100)&lt;Assumptions!$B$15,50,IF((P123/(P123+Q123)*100)&lt;Assumptions!$B$16,75,100))))</f>
        <v>0</v>
      </c>
      <c r="AO123" s="21" t="n">
        <f aca="false">IF((P123/(P123+Q123)*100)&lt;=Assumptions!$B$8,0,AN123*Assumptions!$B$4+INDEX('Scored Accounts'!$N$2:$N$301,MATCH($A123,'Scored Accounts'!$A$2:$A$301,0))*Assumptions!$B$5+INDEX('Scored Accounts'!$O$2:$O$301,MATCH($A123,'Scored Accounts'!$A$2:$A$301,0))*Assumptions!$B$6)</f>
        <v>0</v>
      </c>
      <c r="AP123" s="2" t="str">
        <f aca="false">IF(AO123&gt;=Assumptions!$B$9,"High",IF(AO123&gt;=Assumptions!$B$10,"Medium","Low"))</f>
        <v>Low</v>
      </c>
      <c r="AQ123" s="10" t="b">
        <f aca="false">OR((E123&lt;=Assumptions!$B$8)&lt;&gt;((P123/(P123+Q123)*100)&lt;=Assumptions!$B$8),AM123&lt;&gt;AN123,G123&lt;&gt;AP123)</f>
        <v>0</v>
      </c>
      <c r="AR123" s="2" t="str">
        <f aca="false">IF(AP123&lt;&gt;"Low","Broker-Reliant",IF(B123="Account Managed","AM-Owned / Self-Serving","Self-Serve"))</f>
        <v>AM-Owned / Self-Serving</v>
      </c>
      <c r="AS123" s="2" t="str">
        <f aca="false">IF(AR123="Broker-Reliant",IF(J123="Tail","5. Cost-to-Serve / Low-Touch",IF(OR(N123="Growing",N123="Stable"),"1. Migration Candidate",IF(N123="Declining","2. Protect / Retain First",IF(N123="Lapsed","3. Win-Back / Verify",IF(N123="H2 Active / No H1 GMV","4. Establish / Re-establish / Observe","UNASSIGNED"))))),IF(AP123="Low",IF(J123="Tail","9. Long-Tail Automated Nurture",IF(OR(N123="Growing",N123="Stable"),"6. Growth Opportunity",IF(N123="H2 Active / No H1 GMV","7. Onboard / Re-engage / Learn",IF(OR(N123="Declining",N123="Lapsed"),"8. Retention / Reactivation","UNASSIGNED")))),"UNASSIGNED"))</f>
        <v>9. Long-Tail Automated Nurture</v>
      </c>
      <c r="AT123" s="10" t="b">
        <f aca="false">AS123&lt;&gt;T123</f>
        <v>0</v>
      </c>
      <c r="AU123" s="2" t="str">
        <f aca="false">IF(NOT(U123),"Not Eligible",IF(OR(AQ123,AH123,AK123,NOT(AND(W123&gt;=Assumptions!$B$83,O123&gt;=Assumptions!$B$84))),"Manual Review","Ready"))</f>
        <v>Not Eligible</v>
      </c>
      <c r="AV123" s="2" t="str">
        <f aca="false">IF(AG123,"Key account - human sign-off required; ","")&amp;IF(AH123,"Borderline momentum; ","")&amp;IF(AK123,"February-sensitive ("&amp;N123&amp;" -&gt; "&amp;AJ123&amp;"); ","")&amp;IF(AL123="One-Off / Insufficient History — Verify","Lapsed on thin history - verify; ","")&amp;IF(AQ123,"Material broker % inconsistency (implied tier "&amp;AP123&amp;"); ","")&amp;IF(AT123,"Implied broker % would move segment to "&amp;AS123&amp;"; ","")</f>
        <v/>
      </c>
      <c r="AW123" s="10" t="b">
        <f aca="false">AND(G123="Low",J123="Tail",I123&gt;=Assumptions!$B$64,O123&gt;=Assumptions!$B$65,OR(N123="Growing",N123="Stable",AND(N123="H2 Active / No H1 GMV",W123&gt;=2)),OR(R123&gt;=Assumptions!$B$66,S123&gt;=Assumptions!$B$67))</f>
        <v>0</v>
      </c>
    </row>
    <row r="124" customFormat="false" ht="15" hidden="false" customHeight="false" outlineLevel="0" collapsed="false">
      <c r="A124" s="2" t="s">
        <v>703</v>
      </c>
      <c r="B124" s="2" t="s">
        <v>1571</v>
      </c>
      <c r="C124" s="2" t="s">
        <v>1572</v>
      </c>
      <c r="D124" s="2" t="n">
        <v>7</v>
      </c>
      <c r="E124" s="2" t="n">
        <v>70</v>
      </c>
      <c r="F124" s="21" t="n">
        <f aca="false">INDEX('Scored Accounts'!$Q$2:$Q$301,MATCH($A124,'Scored Accounts'!$A$2:$A$301,0))</f>
        <v>82.5</v>
      </c>
      <c r="G124" s="2" t="str">
        <f aca="false">INDEX('Scored Accounts'!$R$2:$R$301,MATCH($A124,'Scored Accounts'!$A$2:$A$301,0))</f>
        <v>High</v>
      </c>
      <c r="H124" s="2" t="str">
        <f aca="false">IF(OR(G124="High",G124="Medium"),"Broker-Reliant",IF(AND(G124="Low",B124="Account Managed"),"AM-Owned / Self-Serving",IF(AND(G124="Low",B124="Self Serve"),"Self-Serve","UNASSIGNED")))</f>
        <v>Broker-Reliant</v>
      </c>
      <c r="I124" s="9" t="n">
        <v>454</v>
      </c>
      <c r="J124" s="2" t="str">
        <f aca="false">IF(I124&gt;=Assumptions!$B$35,"Key",IF(I124&gt;=Assumptions!$B$34,"Core","Tail"))</f>
        <v>Tail</v>
      </c>
      <c r="K124" s="9" t="n">
        <f aca="false">INDEX('Commercial View'!$R$2:$R$301,MATCH($A124,'Commercial View'!$A$2:$A$301,0))</f>
        <v>0</v>
      </c>
      <c r="L124" s="9" t="n">
        <f aca="false">INDEX('Commercial View'!$S$2:$S$301,MATCH($A124,'Commercial View'!$A$2:$A$301,0))</f>
        <v>454</v>
      </c>
      <c r="M124" s="17" t="str">
        <f aca="false">INDEX('Commercial View'!$T$2:$T$301,MATCH($A124,'Commercial View'!$A$2:$A$301,0))</f>
        <v/>
      </c>
      <c r="N124" s="2" t="str">
        <f aca="false">INDEX('Commercial View'!$U$2:$U$301,MATCH($A124,'Commercial View'!$A$2:$A$301,0))</f>
        <v>H2 Active / No H1 GMV</v>
      </c>
      <c r="O124" s="2" t="n">
        <v>3</v>
      </c>
      <c r="P124" s="2" t="n">
        <v>2</v>
      </c>
      <c r="Q124" s="2" t="n">
        <v>1</v>
      </c>
      <c r="R124" s="2" t="n">
        <v>4</v>
      </c>
      <c r="S124" s="2" t="n">
        <v>1</v>
      </c>
      <c r="T124" s="2" t="str">
        <f aca="false">IF(H124="Broker-Reliant",IF(J124="Tail","5. Cost-to-Serve / Low-Touch",IF(OR(N124="Growing",N124="Stable"),"1. Migration Candidate",IF(N124="Declining","2. Protect / Retain First",IF(N124="Lapsed","3. Win-Back / Verify",IF(N124="H2 Active / No H1 GMV","4. Establish / Re-establish / Observe","UNASSIGNED"))))),IF(G124="Low",IF(J124="Tail","9. Long-Tail Automated Nurture",IF(OR(N124="Growing",N124="Stable"),"6. Growth Opportunity",IF(N124="H2 Active / No H1 GMV","7. Onboard / Re-engage / Learn",IF(OR(N124="Declining",N124="Lapsed"),"8. Retention / Reactivation","UNASSIGNED")))),"UNASSIGNED"))</f>
        <v>5. Cost-to-Serve / Low-Touch</v>
      </c>
      <c r="U124" s="10" t="b">
        <f aca="false">AND(T124="1. Migration Candidate",J124="Core",O124&gt;=Assumptions!$B$39,Q124&gt;=Assumptions!$B$40,NOT(Z124))</f>
        <v>0</v>
      </c>
      <c r="V124" s="2" t="n">
        <f aca="false">(AND(H124="Broker-Reliant",J124&lt;&gt;"Tail",OR(N124="Growing",N124="Stable")))*1+(AND(H124="Broker-Reliant",J124&lt;&gt;"Tail",N124="Declining"))*1+(AND(H124="Broker-Reliant",J124&lt;&gt;"Tail",N124="Lapsed"))*1+(AND(H124="Broker-Reliant",J124&lt;&gt;"Tail",N124="H2 Active / No H1 GMV"))*1+(AND(H124="Broker-Reliant",J124="Tail"))*1+(AND(G124="Low",J124&lt;&gt;"Tail",OR(N124="Growing",N124="Stable")))*1+(AND(G124="Low",J124&lt;&gt;"Tail",N124="H2 Active / No H1 GMV"))*1+(AND(G124="Low",J124&lt;&gt;"Tail",OR(N124="Declining",N124="Lapsed")))*1+(AND(G124="Low",J124="Tail"))*1</f>
        <v>1</v>
      </c>
      <c r="W124" s="2" t="n">
        <f aca="false">INDEX('Commercial View'!$V$2:$V$301,MATCH($A124,'Commercial View'!$A$2:$A$301,0))</f>
        <v>1</v>
      </c>
      <c r="X124" s="10" t="b">
        <f aca="false">O124&lt;=Assumptions!$B$30</f>
        <v>0</v>
      </c>
      <c r="Y124" s="10" t="b">
        <f aca="false">W124&lt;=1</f>
        <v>1</v>
      </c>
      <c r="Z124" s="10" t="b">
        <f aca="false">C124="Duplicate"</f>
        <v>0</v>
      </c>
      <c r="AA124" s="10" t="b">
        <f aca="false">C124=""</f>
        <v>0</v>
      </c>
      <c r="AB124" s="2" t="n">
        <f aca="false">IF(P124+Q124&gt;0,ROUND(P124/(P124+Q124)*100,0),"")</f>
        <v>67</v>
      </c>
      <c r="AC124" s="2" t="n">
        <f aca="false">IF(P124+Q124&gt;0,ROUND(E124-P124/(P124+Q124)*100,0),"")</f>
        <v>3</v>
      </c>
      <c r="AD124" s="10" t="b">
        <f aca="false">IF(AC124="",FALSE(),ABS(AC124)&gt;Assumptions!$B$41)</f>
        <v>0</v>
      </c>
      <c r="AE124" s="2" t="str">
        <f aca="false">IF(X124,"Low confidence (&lt;=2 orders); ","")&amp;IF(Y124,"Single-month history; ","")&amp;IF(Z124,"CRITICAL: Duplicate status; ","")&amp;IF(AA124,"Missing status; ","")&amp;IF(AD124,"Broker % vs counts gap "&amp;TEXT(AC124,"+0;-0")&amp;"pts; ","")</f>
        <v>Single-month history; </v>
      </c>
      <c r="AF124" s="2" t="str">
        <f aca="false">IF(AND(K124=0,L124&gt;0),IF(D124&lt;=Assumptions!$B$47,"New Customer","Returned Customer"),"Existing Customer")</f>
        <v>Returned Customer</v>
      </c>
      <c r="AG124" s="10" t="b">
        <f aca="false">AND(T124="1. Migration Candidate",J124="Key")</f>
        <v>0</v>
      </c>
      <c r="AH124" s="10" t="b">
        <f aca="false">IF(AND(K124&gt;0,L124&gt;0),OR(ABS(M124-Assumptions!$B$36)&lt;=Assumptions!$B$46,ABS(M124+Assumptions!$B$36)&lt;=Assumptions!$B$46),FALSE())</f>
        <v>0</v>
      </c>
      <c r="AI124" s="9" t="n">
        <f aca="false">INDEX('Commercial View'!$L$2:$L$301,MATCH($A124,'Commercial View'!$A$2:$A$301,0))+INDEX('Commercial View'!$M$2:$M$301,MATCH($A124,'Commercial View'!$A$2:$A$301,0))</f>
        <v>454</v>
      </c>
      <c r="AJ124" s="2" t="str">
        <f aca="false">IF(AND(K124=0,AI124=0),"No activity ex-Feb",IF(AI124=0,"Lapsed",IF(K124=0,"H2 Active / No H1 GMV",IF((AI124/2)/(K124/3)-1&gt;=Assumptions!$B$36,"Growing",IF((AI124/2)/(K124/3)-1&lt;-Assumptions!$B$36,"Declining","Stable")))))</f>
        <v>H2 Active / No H1 GMV</v>
      </c>
      <c r="AK124" s="10" t="b">
        <f aca="false">IF(OR(N124="Growing",N124="Stable"),"Healthy",N124)&lt;&gt;IF(OR(AJ124="Growing",AJ124="Stable"),"Healthy",AJ124)</f>
        <v>0</v>
      </c>
      <c r="AL124" s="2" t="str">
        <f aca="false">IF(N124="Lapsed",IF(OR(O124&lt;=Assumptions!$B$48,W124&lt;=Assumptions!$B$49),"One-Off / Insufficient History — Verify","Established Buyer Lapsed"),"N/A")</f>
        <v>N/A</v>
      </c>
      <c r="AM124" s="2" t="n">
        <f aca="false">INDEX('Scored Accounts'!$M$2:$M$301,MATCH($A124,'Scored Accounts'!$A$2:$A$301,0))</f>
        <v>75</v>
      </c>
      <c r="AN124" s="2" t="n">
        <f aca="false">IF((P124/(P124+Q124)*100)&lt;=Assumptions!$B$13,0,IF((P124/(P124+Q124)*100)&lt;Assumptions!$B$14,25,IF((P124/(P124+Q124)*100)&lt;Assumptions!$B$15,50,IF((P124/(P124+Q124)*100)&lt;Assumptions!$B$16,75,100))))</f>
        <v>75</v>
      </c>
      <c r="AO124" s="21" t="n">
        <f aca="false">IF((P124/(P124+Q124)*100)&lt;=Assumptions!$B$8,0,AN124*Assumptions!$B$4+INDEX('Scored Accounts'!$N$2:$N$301,MATCH($A124,'Scored Accounts'!$A$2:$A$301,0))*Assumptions!$B$5+INDEX('Scored Accounts'!$O$2:$O$301,MATCH($A124,'Scored Accounts'!$A$2:$A$301,0))*Assumptions!$B$6)</f>
        <v>82.5</v>
      </c>
      <c r="AP124" s="2" t="str">
        <f aca="false">IF(AO124&gt;=Assumptions!$B$9,"High",IF(AO124&gt;=Assumptions!$B$10,"Medium","Low"))</f>
        <v>High</v>
      </c>
      <c r="AQ124" s="10" t="b">
        <f aca="false">OR((E124&lt;=Assumptions!$B$8)&lt;&gt;((P124/(P124+Q124)*100)&lt;=Assumptions!$B$8),AM124&lt;&gt;AN124,G124&lt;&gt;AP124)</f>
        <v>0</v>
      </c>
      <c r="AR124" s="2" t="str">
        <f aca="false">IF(AP124&lt;&gt;"Low","Broker-Reliant",IF(B124="Account Managed","AM-Owned / Self-Serving","Self-Serve"))</f>
        <v>Broker-Reliant</v>
      </c>
      <c r="AS124" s="2" t="str">
        <f aca="false">IF(AR124="Broker-Reliant",IF(J124="Tail","5. Cost-to-Serve / Low-Touch",IF(OR(N124="Growing",N124="Stable"),"1. Migration Candidate",IF(N124="Declining","2. Protect / Retain First",IF(N124="Lapsed","3. Win-Back / Verify",IF(N124="H2 Active / No H1 GMV","4. Establish / Re-establish / Observe","UNASSIGNED"))))),IF(AP124="Low",IF(J124="Tail","9. Long-Tail Automated Nurture",IF(OR(N124="Growing",N124="Stable"),"6. Growth Opportunity",IF(N124="H2 Active / No H1 GMV","7. Onboard / Re-engage / Learn",IF(OR(N124="Declining",N124="Lapsed"),"8. Retention / Reactivation","UNASSIGNED")))),"UNASSIGNED"))</f>
        <v>5. Cost-to-Serve / Low-Touch</v>
      </c>
      <c r="AT124" s="10" t="b">
        <f aca="false">AS124&lt;&gt;T124</f>
        <v>0</v>
      </c>
      <c r="AU124" s="2" t="str">
        <f aca="false">IF(NOT(U124),"Not Eligible",IF(OR(AQ124,AH124,AK124,NOT(AND(W124&gt;=Assumptions!$B$83,O124&gt;=Assumptions!$B$84))),"Manual Review","Ready"))</f>
        <v>Not Eligible</v>
      </c>
      <c r="AV124" s="2" t="str">
        <f aca="false">IF(AG124,"Key account - human sign-off required; ","")&amp;IF(AH124,"Borderline momentum; ","")&amp;IF(AK124,"February-sensitive ("&amp;N124&amp;" -&gt; "&amp;AJ124&amp;"); ","")&amp;IF(AL124="One-Off / Insufficient History — Verify","Lapsed on thin history - verify; ","")&amp;IF(AQ124,"Material broker % inconsistency (implied tier "&amp;AP124&amp;"); ","")&amp;IF(AT124,"Implied broker % would move segment to "&amp;AS124&amp;"; ","")</f>
        <v/>
      </c>
      <c r="AW124" s="10" t="b">
        <f aca="false">AND(G124="Low",J124="Tail",I124&gt;=Assumptions!$B$64,O124&gt;=Assumptions!$B$65,OR(N124="Growing",N124="Stable",AND(N124="H2 Active / No H1 GMV",W124&gt;=2)),OR(R124&gt;=Assumptions!$B$66,S124&gt;=Assumptions!$B$67))</f>
        <v>0</v>
      </c>
    </row>
    <row r="125" customFormat="false" ht="15" hidden="false" customHeight="false" outlineLevel="0" collapsed="false">
      <c r="A125" s="2" t="s">
        <v>705</v>
      </c>
      <c r="B125" s="2" t="s">
        <v>1571</v>
      </c>
      <c r="C125" s="2" t="s">
        <v>1572</v>
      </c>
      <c r="D125" s="2" t="n">
        <v>14</v>
      </c>
      <c r="E125" s="2" t="n">
        <v>15</v>
      </c>
      <c r="F125" s="21" t="n">
        <f aca="false">INDEX('Scored Accounts'!$Q$2:$Q$301,MATCH($A125,'Scored Accounts'!$A$2:$A$301,0))</f>
        <v>0</v>
      </c>
      <c r="G125" s="2" t="str">
        <f aca="false">INDEX('Scored Accounts'!$R$2:$R$301,MATCH($A125,'Scored Accounts'!$A$2:$A$301,0))</f>
        <v>Low</v>
      </c>
      <c r="H125" s="2" t="str">
        <f aca="false">IF(OR(G125="High",G125="Medium"),"Broker-Reliant",IF(AND(G125="Low",B125="Account Managed"),"AM-Owned / Self-Serving",IF(AND(G125="Low",B125="Self Serve"),"Self-Serve","UNASSIGNED")))</f>
        <v>AM-Owned / Self-Serving</v>
      </c>
      <c r="I125" s="9" t="n">
        <v>447</v>
      </c>
      <c r="J125" s="2" t="str">
        <f aca="false">IF(I125&gt;=Assumptions!$B$35,"Key",IF(I125&gt;=Assumptions!$B$34,"Core","Tail"))</f>
        <v>Tail</v>
      </c>
      <c r="K125" s="9" t="n">
        <f aca="false">INDEX('Commercial View'!$R$2:$R$301,MATCH($A125,'Commercial View'!$A$2:$A$301,0))</f>
        <v>447</v>
      </c>
      <c r="L125" s="9" t="n">
        <f aca="false">INDEX('Commercial View'!$S$2:$S$301,MATCH($A125,'Commercial View'!$A$2:$A$301,0))</f>
        <v>0</v>
      </c>
      <c r="M125" s="17" t="n">
        <f aca="false">INDEX('Commercial View'!$T$2:$T$301,MATCH($A125,'Commercial View'!$A$2:$A$301,0))</f>
        <v>-1</v>
      </c>
      <c r="N125" s="2" t="str">
        <f aca="false">INDEX('Commercial View'!$U$2:$U$301,MATCH($A125,'Commercial View'!$A$2:$A$301,0))</f>
        <v>Lapsed</v>
      </c>
      <c r="O125" s="2" t="n">
        <v>1</v>
      </c>
      <c r="P125" s="2" t="n">
        <v>0</v>
      </c>
      <c r="Q125" s="2" t="n">
        <v>1</v>
      </c>
      <c r="R125" s="2" t="n">
        <v>4</v>
      </c>
      <c r="S125" s="2" t="n">
        <v>2</v>
      </c>
      <c r="T125" s="2" t="str">
        <f aca="false">IF(H125="Broker-Reliant",IF(J125="Tail","5. Cost-to-Serve / Low-Touch",IF(OR(N125="Growing",N125="Stable"),"1. Migration Candidate",IF(N125="Declining","2. Protect / Retain First",IF(N125="Lapsed","3. Win-Back / Verify",IF(N125="H2 Active / No H1 GMV","4. Establish / Re-establish / Observe","UNASSIGNED"))))),IF(G125="Low",IF(J125="Tail","9. Long-Tail Automated Nurture",IF(OR(N125="Growing",N125="Stable"),"6. Growth Opportunity",IF(N125="H2 Active / No H1 GMV","7. Onboard / Re-engage / Learn",IF(OR(N125="Declining",N125="Lapsed"),"8. Retention / Reactivation","UNASSIGNED")))),"UNASSIGNED"))</f>
        <v>9. Long-Tail Automated Nurture</v>
      </c>
      <c r="U125" s="10" t="b">
        <f aca="false">AND(T125="1. Migration Candidate",J125="Core",O125&gt;=Assumptions!$B$39,Q125&gt;=Assumptions!$B$40,NOT(Z125))</f>
        <v>0</v>
      </c>
      <c r="V125" s="2" t="n">
        <f aca="false">(AND(H125="Broker-Reliant",J125&lt;&gt;"Tail",OR(N125="Growing",N125="Stable")))*1+(AND(H125="Broker-Reliant",J125&lt;&gt;"Tail",N125="Declining"))*1+(AND(H125="Broker-Reliant",J125&lt;&gt;"Tail",N125="Lapsed"))*1+(AND(H125="Broker-Reliant",J125&lt;&gt;"Tail",N125="H2 Active / No H1 GMV"))*1+(AND(H125="Broker-Reliant",J125="Tail"))*1+(AND(G125="Low",J125&lt;&gt;"Tail",OR(N125="Growing",N125="Stable")))*1+(AND(G125="Low",J125&lt;&gt;"Tail",N125="H2 Active / No H1 GMV"))*1+(AND(G125="Low",J125&lt;&gt;"Tail",OR(N125="Declining",N125="Lapsed")))*1+(AND(G125="Low",J125="Tail"))*1</f>
        <v>1</v>
      </c>
      <c r="W125" s="2" t="n">
        <f aca="false">INDEX('Commercial View'!$V$2:$V$301,MATCH($A125,'Commercial View'!$A$2:$A$301,0))</f>
        <v>1</v>
      </c>
      <c r="X125" s="10" t="b">
        <f aca="false">O125&lt;=Assumptions!$B$30</f>
        <v>1</v>
      </c>
      <c r="Y125" s="10" t="b">
        <f aca="false">W125&lt;=1</f>
        <v>1</v>
      </c>
      <c r="Z125" s="10" t="b">
        <f aca="false">C125="Duplicate"</f>
        <v>0</v>
      </c>
      <c r="AA125" s="10" t="b">
        <f aca="false">C125=""</f>
        <v>0</v>
      </c>
      <c r="AB125" s="2" t="n">
        <f aca="false">IF(P125+Q125&gt;0,ROUND(P125/(P125+Q125)*100,0),"")</f>
        <v>0</v>
      </c>
      <c r="AC125" s="2" t="n">
        <f aca="false">IF(P125+Q125&gt;0,ROUND(E125-P125/(P125+Q125)*100,0),"")</f>
        <v>15</v>
      </c>
      <c r="AD125" s="10" t="b">
        <f aca="false">IF(AC125="",FALSE(),ABS(AC125)&gt;Assumptions!$B$41)</f>
        <v>1</v>
      </c>
      <c r="AE125" s="2" t="str">
        <f aca="false">IF(X125,"Low confidence (&lt;=2 orders); ","")&amp;IF(Y125,"Single-month history; ","")&amp;IF(Z125,"CRITICAL: Duplicate status; ","")&amp;IF(AA125,"Missing status; ","")&amp;IF(AD125,"Broker % vs counts gap "&amp;TEXT(AC125,"+0;-0")&amp;"pts; ","")</f>
        <v>Low confidence (&lt;=2 orders); Single-month history; Broker % vs counts gap +15pts; </v>
      </c>
      <c r="AF125" s="2" t="str">
        <f aca="false">IF(AND(K125=0,L125&gt;0),IF(D125&lt;=Assumptions!$B$47,"New Customer","Returned Customer"),"Existing Customer")</f>
        <v>Existing Customer</v>
      </c>
      <c r="AG125" s="10" t="b">
        <f aca="false">AND(T125="1. Migration Candidate",J125="Key")</f>
        <v>0</v>
      </c>
      <c r="AH125" s="10" t="b">
        <f aca="false">IF(AND(K125&gt;0,L125&gt;0),OR(ABS(M125-Assumptions!$B$36)&lt;=Assumptions!$B$46,ABS(M125+Assumptions!$B$36)&lt;=Assumptions!$B$46),FALSE())</f>
        <v>0</v>
      </c>
      <c r="AI125" s="9" t="n">
        <f aca="false">INDEX('Commercial View'!$L$2:$L$301,MATCH($A125,'Commercial View'!$A$2:$A$301,0))+INDEX('Commercial View'!$M$2:$M$301,MATCH($A125,'Commercial View'!$A$2:$A$301,0))</f>
        <v>0</v>
      </c>
      <c r="AJ125" s="2" t="str">
        <f aca="false">IF(AND(K125=0,AI125=0),"No activity ex-Feb",IF(AI125=0,"Lapsed",IF(K125=0,"H2 Active / No H1 GMV",IF((AI125/2)/(K125/3)-1&gt;=Assumptions!$B$36,"Growing",IF((AI125/2)/(K125/3)-1&lt;-Assumptions!$B$36,"Declining","Stable")))))</f>
        <v>Lapsed</v>
      </c>
      <c r="AK125" s="10" t="b">
        <f aca="false">IF(OR(N125="Growing",N125="Stable"),"Healthy",N125)&lt;&gt;IF(OR(AJ125="Growing",AJ125="Stable"),"Healthy",AJ125)</f>
        <v>0</v>
      </c>
      <c r="AL125" s="2" t="str">
        <f aca="false">IF(N125="Lapsed",IF(OR(O125&lt;=Assumptions!$B$48,W125&lt;=Assumptions!$B$49),"One-Off / Insufficient History — Verify","Established Buyer Lapsed"),"N/A")</f>
        <v>One-Off / Insufficient History — Verify</v>
      </c>
      <c r="AM125" s="2" t="n">
        <f aca="false">INDEX('Scored Accounts'!$M$2:$M$301,MATCH($A125,'Scored Accounts'!$A$2:$A$301,0))</f>
        <v>0</v>
      </c>
      <c r="AN125" s="2" t="n">
        <f aca="false">IF((P125/(P125+Q125)*100)&lt;=Assumptions!$B$13,0,IF((P125/(P125+Q125)*100)&lt;Assumptions!$B$14,25,IF((P125/(P125+Q125)*100)&lt;Assumptions!$B$15,50,IF((P125/(P125+Q125)*100)&lt;Assumptions!$B$16,75,100))))</f>
        <v>0</v>
      </c>
      <c r="AO125" s="21" t="n">
        <f aca="false">IF((P125/(P125+Q125)*100)&lt;=Assumptions!$B$8,0,AN125*Assumptions!$B$4+INDEX('Scored Accounts'!$N$2:$N$301,MATCH($A125,'Scored Accounts'!$A$2:$A$301,0))*Assumptions!$B$5+INDEX('Scored Accounts'!$O$2:$O$301,MATCH($A125,'Scored Accounts'!$A$2:$A$301,0))*Assumptions!$B$6)</f>
        <v>0</v>
      </c>
      <c r="AP125" s="2" t="str">
        <f aca="false">IF(AO125&gt;=Assumptions!$B$9,"High",IF(AO125&gt;=Assumptions!$B$10,"Medium","Low"))</f>
        <v>Low</v>
      </c>
      <c r="AQ125" s="10" t="b">
        <f aca="false">OR((E125&lt;=Assumptions!$B$8)&lt;&gt;((P125/(P125+Q125)*100)&lt;=Assumptions!$B$8),AM125&lt;&gt;AN125,G125&lt;&gt;AP125)</f>
        <v>0</v>
      </c>
      <c r="AR125" s="2" t="str">
        <f aca="false">IF(AP125&lt;&gt;"Low","Broker-Reliant",IF(B125="Account Managed","AM-Owned / Self-Serving","Self-Serve"))</f>
        <v>AM-Owned / Self-Serving</v>
      </c>
      <c r="AS125" s="2" t="str">
        <f aca="false">IF(AR125="Broker-Reliant",IF(J125="Tail","5. Cost-to-Serve / Low-Touch",IF(OR(N125="Growing",N125="Stable"),"1. Migration Candidate",IF(N125="Declining","2. Protect / Retain First",IF(N125="Lapsed","3. Win-Back / Verify",IF(N125="H2 Active / No H1 GMV","4. Establish / Re-establish / Observe","UNASSIGNED"))))),IF(AP125="Low",IF(J125="Tail","9. Long-Tail Automated Nurture",IF(OR(N125="Growing",N125="Stable"),"6. Growth Opportunity",IF(N125="H2 Active / No H1 GMV","7. Onboard / Re-engage / Learn",IF(OR(N125="Declining",N125="Lapsed"),"8. Retention / Reactivation","UNASSIGNED")))),"UNASSIGNED"))</f>
        <v>9. Long-Tail Automated Nurture</v>
      </c>
      <c r="AT125" s="10" t="b">
        <f aca="false">AS125&lt;&gt;T125</f>
        <v>0</v>
      </c>
      <c r="AU125" s="2" t="str">
        <f aca="false">IF(NOT(U125),"Not Eligible",IF(OR(AQ125,AH125,AK125,NOT(AND(W125&gt;=Assumptions!$B$83,O125&gt;=Assumptions!$B$84))),"Manual Review","Ready"))</f>
        <v>Not Eligible</v>
      </c>
      <c r="AV125" s="2" t="str">
        <f aca="false">IF(AG125,"Key account - human sign-off required; ","")&amp;IF(AH125,"Borderline momentum; ","")&amp;IF(AK125,"February-sensitive ("&amp;N125&amp;" -&gt; "&amp;AJ125&amp;"); ","")&amp;IF(AL125="One-Off / Insufficient History — Verify","Lapsed on thin history - verify; ","")&amp;IF(AQ125,"Material broker % inconsistency (implied tier "&amp;AP125&amp;"); ","")&amp;IF(AT125,"Implied broker % would move segment to "&amp;AS125&amp;"; ","")</f>
        <v>Lapsed on thin history - verify; </v>
      </c>
      <c r="AW125" s="10" t="b">
        <f aca="false">AND(G125="Low",J125="Tail",I125&gt;=Assumptions!$B$64,O125&gt;=Assumptions!$B$65,OR(N125="Growing",N125="Stable",AND(N125="H2 Active / No H1 GMV",W125&gt;=2)),OR(R125&gt;=Assumptions!$B$66,S125&gt;=Assumptions!$B$67))</f>
        <v>0</v>
      </c>
    </row>
    <row r="126" customFormat="false" ht="15" hidden="false" customHeight="false" outlineLevel="0" collapsed="false">
      <c r="A126" s="2" t="s">
        <v>707</v>
      </c>
      <c r="B126" s="2" t="s">
        <v>1571</v>
      </c>
      <c r="C126" s="2" t="s">
        <v>1572</v>
      </c>
      <c r="D126" s="2" t="n">
        <v>8</v>
      </c>
      <c r="E126" s="2" t="n">
        <v>6</v>
      </c>
      <c r="F126" s="21" t="n">
        <f aca="false">INDEX('Scored Accounts'!$Q$2:$Q$301,MATCH($A126,'Scored Accounts'!$A$2:$A$301,0))</f>
        <v>0</v>
      </c>
      <c r="G126" s="2" t="str">
        <f aca="false">INDEX('Scored Accounts'!$R$2:$R$301,MATCH($A126,'Scored Accounts'!$A$2:$A$301,0))</f>
        <v>Low</v>
      </c>
      <c r="H126" s="2" t="str">
        <f aca="false">IF(OR(G126="High",G126="Medium"),"Broker-Reliant",IF(AND(G126="Low",B126="Account Managed"),"AM-Owned / Self-Serving",IF(AND(G126="Low",B126="Self Serve"),"Self-Serve","UNASSIGNED")))</f>
        <v>AM-Owned / Self-Serving</v>
      </c>
      <c r="I126" s="9" t="n">
        <v>446</v>
      </c>
      <c r="J126" s="2" t="str">
        <f aca="false">IF(I126&gt;=Assumptions!$B$35,"Key",IF(I126&gt;=Assumptions!$B$34,"Core","Tail"))</f>
        <v>Tail</v>
      </c>
      <c r="K126" s="9" t="n">
        <f aca="false">INDEX('Commercial View'!$R$2:$R$301,MATCH($A126,'Commercial View'!$A$2:$A$301,0))</f>
        <v>446</v>
      </c>
      <c r="L126" s="9" t="n">
        <f aca="false">INDEX('Commercial View'!$S$2:$S$301,MATCH($A126,'Commercial View'!$A$2:$A$301,0))</f>
        <v>0</v>
      </c>
      <c r="M126" s="17" t="n">
        <f aca="false">INDEX('Commercial View'!$T$2:$T$301,MATCH($A126,'Commercial View'!$A$2:$A$301,0))</f>
        <v>-1</v>
      </c>
      <c r="N126" s="2" t="str">
        <f aca="false">INDEX('Commercial View'!$U$2:$U$301,MATCH($A126,'Commercial View'!$A$2:$A$301,0))</f>
        <v>Lapsed</v>
      </c>
      <c r="O126" s="2" t="n">
        <v>2</v>
      </c>
      <c r="P126" s="2" t="n">
        <v>0</v>
      </c>
      <c r="Q126" s="2" t="n">
        <v>2</v>
      </c>
      <c r="R126" s="2" t="n">
        <v>22</v>
      </c>
      <c r="S126" s="2" t="n">
        <v>2</v>
      </c>
      <c r="T126" s="2" t="str">
        <f aca="false">IF(H126="Broker-Reliant",IF(J126="Tail","5. Cost-to-Serve / Low-Touch",IF(OR(N126="Growing",N126="Stable"),"1. Migration Candidate",IF(N126="Declining","2. Protect / Retain First",IF(N126="Lapsed","3. Win-Back / Verify",IF(N126="H2 Active / No H1 GMV","4. Establish / Re-establish / Observe","UNASSIGNED"))))),IF(G126="Low",IF(J126="Tail","9. Long-Tail Automated Nurture",IF(OR(N126="Growing",N126="Stable"),"6. Growth Opportunity",IF(N126="H2 Active / No H1 GMV","7. Onboard / Re-engage / Learn",IF(OR(N126="Declining",N126="Lapsed"),"8. Retention / Reactivation","UNASSIGNED")))),"UNASSIGNED"))</f>
        <v>9. Long-Tail Automated Nurture</v>
      </c>
      <c r="U126" s="10" t="b">
        <f aca="false">AND(T126="1. Migration Candidate",J126="Core",O126&gt;=Assumptions!$B$39,Q126&gt;=Assumptions!$B$40,NOT(Z126))</f>
        <v>0</v>
      </c>
      <c r="V126" s="2" t="n">
        <f aca="false">(AND(H126="Broker-Reliant",J126&lt;&gt;"Tail",OR(N126="Growing",N126="Stable")))*1+(AND(H126="Broker-Reliant",J126&lt;&gt;"Tail",N126="Declining"))*1+(AND(H126="Broker-Reliant",J126&lt;&gt;"Tail",N126="Lapsed"))*1+(AND(H126="Broker-Reliant",J126&lt;&gt;"Tail",N126="H2 Active / No H1 GMV"))*1+(AND(H126="Broker-Reliant",J126="Tail"))*1+(AND(G126="Low",J126&lt;&gt;"Tail",OR(N126="Growing",N126="Stable")))*1+(AND(G126="Low",J126&lt;&gt;"Tail",N126="H2 Active / No H1 GMV"))*1+(AND(G126="Low",J126&lt;&gt;"Tail",OR(N126="Declining",N126="Lapsed")))*1+(AND(G126="Low",J126="Tail"))*1</f>
        <v>1</v>
      </c>
      <c r="W126" s="2" t="n">
        <f aca="false">INDEX('Commercial View'!$V$2:$V$301,MATCH($A126,'Commercial View'!$A$2:$A$301,0))</f>
        <v>1</v>
      </c>
      <c r="X126" s="10" t="b">
        <f aca="false">O126&lt;=Assumptions!$B$30</f>
        <v>1</v>
      </c>
      <c r="Y126" s="10" t="b">
        <f aca="false">W126&lt;=1</f>
        <v>1</v>
      </c>
      <c r="Z126" s="10" t="b">
        <f aca="false">C126="Duplicate"</f>
        <v>0</v>
      </c>
      <c r="AA126" s="10" t="b">
        <f aca="false">C126=""</f>
        <v>0</v>
      </c>
      <c r="AB126" s="2" t="n">
        <f aca="false">IF(P126+Q126&gt;0,ROUND(P126/(P126+Q126)*100,0),"")</f>
        <v>0</v>
      </c>
      <c r="AC126" s="2" t="n">
        <f aca="false">IF(P126+Q126&gt;0,ROUND(E126-P126/(P126+Q126)*100,0),"")</f>
        <v>6</v>
      </c>
      <c r="AD126" s="10" t="b">
        <f aca="false">IF(AC126="",FALSE(),ABS(AC126)&gt;Assumptions!$B$41)</f>
        <v>0</v>
      </c>
      <c r="AE126" s="2" t="str">
        <f aca="false">IF(X126,"Low confidence (&lt;=2 orders); ","")&amp;IF(Y126,"Single-month history; ","")&amp;IF(Z126,"CRITICAL: Duplicate status; ","")&amp;IF(AA126,"Missing status; ","")&amp;IF(AD126,"Broker % vs counts gap "&amp;TEXT(AC126,"+0;-0")&amp;"pts; ","")</f>
        <v>Low confidence (&lt;=2 orders); Single-month history; </v>
      </c>
      <c r="AF126" s="2" t="str">
        <f aca="false">IF(AND(K126=0,L126&gt;0),IF(D126&lt;=Assumptions!$B$47,"New Customer","Returned Customer"),"Existing Customer")</f>
        <v>Existing Customer</v>
      </c>
      <c r="AG126" s="10" t="b">
        <f aca="false">AND(T126="1. Migration Candidate",J126="Key")</f>
        <v>0</v>
      </c>
      <c r="AH126" s="10" t="b">
        <f aca="false">IF(AND(K126&gt;0,L126&gt;0),OR(ABS(M126-Assumptions!$B$36)&lt;=Assumptions!$B$46,ABS(M126+Assumptions!$B$36)&lt;=Assumptions!$B$46),FALSE())</f>
        <v>0</v>
      </c>
      <c r="AI126" s="9" t="n">
        <f aca="false">INDEX('Commercial View'!$L$2:$L$301,MATCH($A126,'Commercial View'!$A$2:$A$301,0))+INDEX('Commercial View'!$M$2:$M$301,MATCH($A126,'Commercial View'!$A$2:$A$301,0))</f>
        <v>0</v>
      </c>
      <c r="AJ126" s="2" t="str">
        <f aca="false">IF(AND(K126=0,AI126=0),"No activity ex-Feb",IF(AI126=0,"Lapsed",IF(K126=0,"H2 Active / No H1 GMV",IF((AI126/2)/(K126/3)-1&gt;=Assumptions!$B$36,"Growing",IF((AI126/2)/(K126/3)-1&lt;-Assumptions!$B$36,"Declining","Stable")))))</f>
        <v>Lapsed</v>
      </c>
      <c r="AK126" s="10" t="b">
        <f aca="false">IF(OR(N126="Growing",N126="Stable"),"Healthy",N126)&lt;&gt;IF(OR(AJ126="Growing",AJ126="Stable"),"Healthy",AJ126)</f>
        <v>0</v>
      </c>
      <c r="AL126" s="2" t="str">
        <f aca="false">IF(N126="Lapsed",IF(OR(O126&lt;=Assumptions!$B$48,W126&lt;=Assumptions!$B$49),"One-Off / Insufficient History — Verify","Established Buyer Lapsed"),"N/A")</f>
        <v>One-Off / Insufficient History — Verify</v>
      </c>
      <c r="AM126" s="2" t="n">
        <f aca="false">INDEX('Scored Accounts'!$M$2:$M$301,MATCH($A126,'Scored Accounts'!$A$2:$A$301,0))</f>
        <v>0</v>
      </c>
      <c r="AN126" s="2" t="n">
        <f aca="false">IF((P126/(P126+Q126)*100)&lt;=Assumptions!$B$13,0,IF((P126/(P126+Q126)*100)&lt;Assumptions!$B$14,25,IF((P126/(P126+Q126)*100)&lt;Assumptions!$B$15,50,IF((P126/(P126+Q126)*100)&lt;Assumptions!$B$16,75,100))))</f>
        <v>0</v>
      </c>
      <c r="AO126" s="21" t="n">
        <f aca="false">IF((P126/(P126+Q126)*100)&lt;=Assumptions!$B$8,0,AN126*Assumptions!$B$4+INDEX('Scored Accounts'!$N$2:$N$301,MATCH($A126,'Scored Accounts'!$A$2:$A$301,0))*Assumptions!$B$5+INDEX('Scored Accounts'!$O$2:$O$301,MATCH($A126,'Scored Accounts'!$A$2:$A$301,0))*Assumptions!$B$6)</f>
        <v>0</v>
      </c>
      <c r="AP126" s="2" t="str">
        <f aca="false">IF(AO126&gt;=Assumptions!$B$9,"High",IF(AO126&gt;=Assumptions!$B$10,"Medium","Low"))</f>
        <v>Low</v>
      </c>
      <c r="AQ126" s="10" t="b">
        <f aca="false">OR((E126&lt;=Assumptions!$B$8)&lt;&gt;((P126/(P126+Q126)*100)&lt;=Assumptions!$B$8),AM126&lt;&gt;AN126,G126&lt;&gt;AP126)</f>
        <v>0</v>
      </c>
      <c r="AR126" s="2" t="str">
        <f aca="false">IF(AP126&lt;&gt;"Low","Broker-Reliant",IF(B126="Account Managed","AM-Owned / Self-Serving","Self-Serve"))</f>
        <v>AM-Owned / Self-Serving</v>
      </c>
      <c r="AS126" s="2" t="str">
        <f aca="false">IF(AR126="Broker-Reliant",IF(J126="Tail","5. Cost-to-Serve / Low-Touch",IF(OR(N126="Growing",N126="Stable"),"1. Migration Candidate",IF(N126="Declining","2. Protect / Retain First",IF(N126="Lapsed","3. Win-Back / Verify",IF(N126="H2 Active / No H1 GMV","4. Establish / Re-establish / Observe","UNASSIGNED"))))),IF(AP126="Low",IF(J126="Tail","9. Long-Tail Automated Nurture",IF(OR(N126="Growing",N126="Stable"),"6. Growth Opportunity",IF(N126="H2 Active / No H1 GMV","7. Onboard / Re-engage / Learn",IF(OR(N126="Declining",N126="Lapsed"),"8. Retention / Reactivation","UNASSIGNED")))),"UNASSIGNED"))</f>
        <v>9. Long-Tail Automated Nurture</v>
      </c>
      <c r="AT126" s="10" t="b">
        <f aca="false">AS126&lt;&gt;T126</f>
        <v>0</v>
      </c>
      <c r="AU126" s="2" t="str">
        <f aca="false">IF(NOT(U126),"Not Eligible",IF(OR(AQ126,AH126,AK126,NOT(AND(W126&gt;=Assumptions!$B$83,O126&gt;=Assumptions!$B$84))),"Manual Review","Ready"))</f>
        <v>Not Eligible</v>
      </c>
      <c r="AV126" s="2" t="str">
        <f aca="false">IF(AG126,"Key account - human sign-off required; ","")&amp;IF(AH126,"Borderline momentum; ","")&amp;IF(AK126,"February-sensitive ("&amp;N126&amp;" -&gt; "&amp;AJ126&amp;"); ","")&amp;IF(AL126="One-Off / Insufficient History — Verify","Lapsed on thin history - verify; ","")&amp;IF(AQ126,"Material broker % inconsistency (implied tier "&amp;AP126&amp;"); ","")&amp;IF(AT126,"Implied broker % would move segment to "&amp;AS126&amp;"; ","")</f>
        <v>Lapsed on thin history - verify; </v>
      </c>
      <c r="AW126" s="10" t="b">
        <f aca="false">AND(G126="Low",J126="Tail",I126&gt;=Assumptions!$B$64,O126&gt;=Assumptions!$B$65,OR(N126="Growing",N126="Stable",AND(N126="H2 Active / No H1 GMV",W126&gt;=2)),OR(R126&gt;=Assumptions!$B$66,S126&gt;=Assumptions!$B$67))</f>
        <v>0</v>
      </c>
    </row>
    <row r="127" customFormat="false" ht="15" hidden="false" customHeight="false" outlineLevel="0" collapsed="false">
      <c r="A127" s="2" t="s">
        <v>709</v>
      </c>
      <c r="B127" s="2" t="s">
        <v>1571</v>
      </c>
      <c r="C127" s="2" t="s">
        <v>1572</v>
      </c>
      <c r="D127" s="2" t="n">
        <v>9</v>
      </c>
      <c r="E127" s="2" t="n">
        <v>18</v>
      </c>
      <c r="F127" s="21" t="n">
        <f aca="false">INDEX('Scored Accounts'!$Q$2:$Q$301,MATCH($A127,'Scored Accounts'!$A$2:$A$301,0))</f>
        <v>0</v>
      </c>
      <c r="G127" s="2" t="str">
        <f aca="false">INDEX('Scored Accounts'!$R$2:$R$301,MATCH($A127,'Scored Accounts'!$A$2:$A$301,0))</f>
        <v>Low</v>
      </c>
      <c r="H127" s="2" t="str">
        <f aca="false">IF(OR(G127="High",G127="Medium"),"Broker-Reliant",IF(AND(G127="Low",B127="Account Managed"),"AM-Owned / Self-Serving",IF(AND(G127="Low",B127="Self Serve"),"Self-Serve","UNASSIGNED")))</f>
        <v>AM-Owned / Self-Serving</v>
      </c>
      <c r="I127" s="9" t="n">
        <v>443</v>
      </c>
      <c r="J127" s="2" t="str">
        <f aca="false">IF(I127&gt;=Assumptions!$B$35,"Key",IF(I127&gt;=Assumptions!$B$34,"Core","Tail"))</f>
        <v>Tail</v>
      </c>
      <c r="K127" s="9" t="n">
        <f aca="false">INDEX('Commercial View'!$R$2:$R$301,MATCH($A127,'Commercial View'!$A$2:$A$301,0))</f>
        <v>443</v>
      </c>
      <c r="L127" s="9" t="n">
        <f aca="false">INDEX('Commercial View'!$S$2:$S$301,MATCH($A127,'Commercial View'!$A$2:$A$301,0))</f>
        <v>0</v>
      </c>
      <c r="M127" s="17" t="n">
        <f aca="false">INDEX('Commercial View'!$T$2:$T$301,MATCH($A127,'Commercial View'!$A$2:$A$301,0))</f>
        <v>-1</v>
      </c>
      <c r="N127" s="2" t="str">
        <f aca="false">INDEX('Commercial View'!$U$2:$U$301,MATCH($A127,'Commercial View'!$A$2:$A$301,0))</f>
        <v>Lapsed</v>
      </c>
      <c r="O127" s="2" t="n">
        <v>1</v>
      </c>
      <c r="P127" s="2" t="n">
        <v>0</v>
      </c>
      <c r="Q127" s="2" t="n">
        <v>1</v>
      </c>
      <c r="R127" s="2" t="n">
        <v>16</v>
      </c>
      <c r="S127" s="2" t="n">
        <v>0</v>
      </c>
      <c r="T127" s="2" t="str">
        <f aca="false">IF(H127="Broker-Reliant",IF(J127="Tail","5. Cost-to-Serve / Low-Touch",IF(OR(N127="Growing",N127="Stable"),"1. Migration Candidate",IF(N127="Declining","2. Protect / Retain First",IF(N127="Lapsed","3. Win-Back / Verify",IF(N127="H2 Active / No H1 GMV","4. Establish / Re-establish / Observe","UNASSIGNED"))))),IF(G127="Low",IF(J127="Tail","9. Long-Tail Automated Nurture",IF(OR(N127="Growing",N127="Stable"),"6. Growth Opportunity",IF(N127="H2 Active / No H1 GMV","7. Onboard / Re-engage / Learn",IF(OR(N127="Declining",N127="Lapsed"),"8. Retention / Reactivation","UNASSIGNED")))),"UNASSIGNED"))</f>
        <v>9. Long-Tail Automated Nurture</v>
      </c>
      <c r="U127" s="10" t="b">
        <f aca="false">AND(T127="1. Migration Candidate",J127="Core",O127&gt;=Assumptions!$B$39,Q127&gt;=Assumptions!$B$40,NOT(Z127))</f>
        <v>0</v>
      </c>
      <c r="V127" s="2" t="n">
        <f aca="false">(AND(H127="Broker-Reliant",J127&lt;&gt;"Tail",OR(N127="Growing",N127="Stable")))*1+(AND(H127="Broker-Reliant",J127&lt;&gt;"Tail",N127="Declining"))*1+(AND(H127="Broker-Reliant",J127&lt;&gt;"Tail",N127="Lapsed"))*1+(AND(H127="Broker-Reliant",J127&lt;&gt;"Tail",N127="H2 Active / No H1 GMV"))*1+(AND(H127="Broker-Reliant",J127="Tail"))*1+(AND(G127="Low",J127&lt;&gt;"Tail",OR(N127="Growing",N127="Stable")))*1+(AND(G127="Low",J127&lt;&gt;"Tail",N127="H2 Active / No H1 GMV"))*1+(AND(G127="Low",J127&lt;&gt;"Tail",OR(N127="Declining",N127="Lapsed")))*1+(AND(G127="Low",J127="Tail"))*1</f>
        <v>1</v>
      </c>
      <c r="W127" s="2" t="n">
        <f aca="false">INDEX('Commercial View'!$V$2:$V$301,MATCH($A127,'Commercial View'!$A$2:$A$301,0))</f>
        <v>1</v>
      </c>
      <c r="X127" s="10" t="b">
        <f aca="false">O127&lt;=Assumptions!$B$30</f>
        <v>1</v>
      </c>
      <c r="Y127" s="10" t="b">
        <f aca="false">W127&lt;=1</f>
        <v>1</v>
      </c>
      <c r="Z127" s="10" t="b">
        <f aca="false">C127="Duplicate"</f>
        <v>0</v>
      </c>
      <c r="AA127" s="10" t="b">
        <f aca="false">C127=""</f>
        <v>0</v>
      </c>
      <c r="AB127" s="2" t="n">
        <f aca="false">IF(P127+Q127&gt;0,ROUND(P127/(P127+Q127)*100,0),"")</f>
        <v>0</v>
      </c>
      <c r="AC127" s="2" t="n">
        <f aca="false">IF(P127+Q127&gt;0,ROUND(E127-P127/(P127+Q127)*100,0),"")</f>
        <v>18</v>
      </c>
      <c r="AD127" s="10" t="b">
        <f aca="false">IF(AC127="",FALSE(),ABS(AC127)&gt;Assumptions!$B$41)</f>
        <v>1</v>
      </c>
      <c r="AE127" s="2" t="str">
        <f aca="false">IF(X127,"Low confidence (&lt;=2 orders); ","")&amp;IF(Y127,"Single-month history; ","")&amp;IF(Z127,"CRITICAL: Duplicate status; ","")&amp;IF(AA127,"Missing status; ","")&amp;IF(AD127,"Broker % vs counts gap "&amp;TEXT(AC127,"+0;-0")&amp;"pts; ","")</f>
        <v>Low confidence (&lt;=2 orders); Single-month history; Broker % vs counts gap +18pts; </v>
      </c>
      <c r="AF127" s="2" t="str">
        <f aca="false">IF(AND(K127=0,L127&gt;0),IF(D127&lt;=Assumptions!$B$47,"New Customer","Returned Customer"),"Existing Customer")</f>
        <v>Existing Customer</v>
      </c>
      <c r="AG127" s="10" t="b">
        <f aca="false">AND(T127="1. Migration Candidate",J127="Key")</f>
        <v>0</v>
      </c>
      <c r="AH127" s="10" t="b">
        <f aca="false">IF(AND(K127&gt;0,L127&gt;0),OR(ABS(M127-Assumptions!$B$36)&lt;=Assumptions!$B$46,ABS(M127+Assumptions!$B$36)&lt;=Assumptions!$B$46),FALSE())</f>
        <v>0</v>
      </c>
      <c r="AI127" s="9" t="n">
        <f aca="false">INDEX('Commercial View'!$L$2:$L$301,MATCH($A127,'Commercial View'!$A$2:$A$301,0))+INDEX('Commercial View'!$M$2:$M$301,MATCH($A127,'Commercial View'!$A$2:$A$301,0))</f>
        <v>0</v>
      </c>
      <c r="AJ127" s="2" t="str">
        <f aca="false">IF(AND(K127=0,AI127=0),"No activity ex-Feb",IF(AI127=0,"Lapsed",IF(K127=0,"H2 Active / No H1 GMV",IF((AI127/2)/(K127/3)-1&gt;=Assumptions!$B$36,"Growing",IF((AI127/2)/(K127/3)-1&lt;-Assumptions!$B$36,"Declining","Stable")))))</f>
        <v>Lapsed</v>
      </c>
      <c r="AK127" s="10" t="b">
        <f aca="false">IF(OR(N127="Growing",N127="Stable"),"Healthy",N127)&lt;&gt;IF(OR(AJ127="Growing",AJ127="Stable"),"Healthy",AJ127)</f>
        <v>0</v>
      </c>
      <c r="AL127" s="2" t="str">
        <f aca="false">IF(N127="Lapsed",IF(OR(O127&lt;=Assumptions!$B$48,W127&lt;=Assumptions!$B$49),"One-Off / Insufficient History — Verify","Established Buyer Lapsed"),"N/A")</f>
        <v>One-Off / Insufficient History — Verify</v>
      </c>
      <c r="AM127" s="2" t="n">
        <f aca="false">INDEX('Scored Accounts'!$M$2:$M$301,MATCH($A127,'Scored Accounts'!$A$2:$A$301,0))</f>
        <v>0</v>
      </c>
      <c r="AN127" s="2" t="n">
        <f aca="false">IF((P127/(P127+Q127)*100)&lt;=Assumptions!$B$13,0,IF((P127/(P127+Q127)*100)&lt;Assumptions!$B$14,25,IF((P127/(P127+Q127)*100)&lt;Assumptions!$B$15,50,IF((P127/(P127+Q127)*100)&lt;Assumptions!$B$16,75,100))))</f>
        <v>0</v>
      </c>
      <c r="AO127" s="21" t="n">
        <f aca="false">IF((P127/(P127+Q127)*100)&lt;=Assumptions!$B$8,0,AN127*Assumptions!$B$4+INDEX('Scored Accounts'!$N$2:$N$301,MATCH($A127,'Scored Accounts'!$A$2:$A$301,0))*Assumptions!$B$5+INDEX('Scored Accounts'!$O$2:$O$301,MATCH($A127,'Scored Accounts'!$A$2:$A$301,0))*Assumptions!$B$6)</f>
        <v>0</v>
      </c>
      <c r="AP127" s="2" t="str">
        <f aca="false">IF(AO127&gt;=Assumptions!$B$9,"High",IF(AO127&gt;=Assumptions!$B$10,"Medium","Low"))</f>
        <v>Low</v>
      </c>
      <c r="AQ127" s="10" t="b">
        <f aca="false">OR((E127&lt;=Assumptions!$B$8)&lt;&gt;((P127/(P127+Q127)*100)&lt;=Assumptions!$B$8),AM127&lt;&gt;AN127,G127&lt;&gt;AP127)</f>
        <v>0</v>
      </c>
      <c r="AR127" s="2" t="str">
        <f aca="false">IF(AP127&lt;&gt;"Low","Broker-Reliant",IF(B127="Account Managed","AM-Owned / Self-Serving","Self-Serve"))</f>
        <v>AM-Owned / Self-Serving</v>
      </c>
      <c r="AS127" s="2" t="str">
        <f aca="false">IF(AR127="Broker-Reliant",IF(J127="Tail","5. Cost-to-Serve / Low-Touch",IF(OR(N127="Growing",N127="Stable"),"1. Migration Candidate",IF(N127="Declining","2. Protect / Retain First",IF(N127="Lapsed","3. Win-Back / Verify",IF(N127="H2 Active / No H1 GMV","4. Establish / Re-establish / Observe","UNASSIGNED"))))),IF(AP127="Low",IF(J127="Tail","9. Long-Tail Automated Nurture",IF(OR(N127="Growing",N127="Stable"),"6. Growth Opportunity",IF(N127="H2 Active / No H1 GMV","7. Onboard / Re-engage / Learn",IF(OR(N127="Declining",N127="Lapsed"),"8. Retention / Reactivation","UNASSIGNED")))),"UNASSIGNED"))</f>
        <v>9. Long-Tail Automated Nurture</v>
      </c>
      <c r="AT127" s="10" t="b">
        <f aca="false">AS127&lt;&gt;T127</f>
        <v>0</v>
      </c>
      <c r="AU127" s="2" t="str">
        <f aca="false">IF(NOT(U127),"Not Eligible",IF(OR(AQ127,AH127,AK127,NOT(AND(W127&gt;=Assumptions!$B$83,O127&gt;=Assumptions!$B$84))),"Manual Review","Ready"))</f>
        <v>Not Eligible</v>
      </c>
      <c r="AV127" s="2" t="str">
        <f aca="false">IF(AG127,"Key account - human sign-off required; ","")&amp;IF(AH127,"Borderline momentum; ","")&amp;IF(AK127,"February-sensitive ("&amp;N127&amp;" -&gt; "&amp;AJ127&amp;"); ","")&amp;IF(AL127="One-Off / Insufficient History — Verify","Lapsed on thin history - verify; ","")&amp;IF(AQ127,"Material broker % inconsistency (implied tier "&amp;AP127&amp;"); ","")&amp;IF(AT127,"Implied broker % would move segment to "&amp;AS127&amp;"; ","")</f>
        <v>Lapsed on thin history - verify; </v>
      </c>
      <c r="AW127" s="10" t="b">
        <f aca="false">AND(G127="Low",J127="Tail",I127&gt;=Assumptions!$B$64,O127&gt;=Assumptions!$B$65,OR(N127="Growing",N127="Stable",AND(N127="H2 Active / No H1 GMV",W127&gt;=2)),OR(R127&gt;=Assumptions!$B$66,S127&gt;=Assumptions!$B$67))</f>
        <v>0</v>
      </c>
    </row>
    <row r="128" customFormat="false" ht="15" hidden="false" customHeight="false" outlineLevel="0" collapsed="false">
      <c r="A128" s="2" t="s">
        <v>724</v>
      </c>
      <c r="B128" s="2" t="s">
        <v>1571</v>
      </c>
      <c r="C128" s="2" t="s">
        <v>1572</v>
      </c>
      <c r="D128" s="2" t="n">
        <v>14</v>
      </c>
      <c r="E128" s="2" t="n">
        <v>12</v>
      </c>
      <c r="F128" s="21" t="n">
        <f aca="false">INDEX('Scored Accounts'!$Q$2:$Q$301,MATCH($A128,'Scored Accounts'!$A$2:$A$301,0))</f>
        <v>0</v>
      </c>
      <c r="G128" s="2" t="str">
        <f aca="false">INDEX('Scored Accounts'!$R$2:$R$301,MATCH($A128,'Scored Accounts'!$A$2:$A$301,0))</f>
        <v>Low</v>
      </c>
      <c r="H128" s="2" t="str">
        <f aca="false">IF(OR(G128="High",G128="Medium"),"Broker-Reliant",IF(AND(G128="Low",B128="Account Managed"),"AM-Owned / Self-Serving",IF(AND(G128="Low",B128="Self Serve"),"Self-Serve","UNASSIGNED")))</f>
        <v>AM-Owned / Self-Serving</v>
      </c>
      <c r="I128" s="9" t="n">
        <v>392</v>
      </c>
      <c r="J128" s="2" t="str">
        <f aca="false">IF(I128&gt;=Assumptions!$B$35,"Key",IF(I128&gt;=Assumptions!$B$34,"Core","Tail"))</f>
        <v>Tail</v>
      </c>
      <c r="K128" s="9" t="n">
        <f aca="false">INDEX('Commercial View'!$R$2:$R$301,MATCH($A128,'Commercial View'!$A$2:$A$301,0))</f>
        <v>392</v>
      </c>
      <c r="L128" s="9" t="n">
        <f aca="false">INDEX('Commercial View'!$S$2:$S$301,MATCH($A128,'Commercial View'!$A$2:$A$301,0))</f>
        <v>0</v>
      </c>
      <c r="M128" s="17" t="n">
        <f aca="false">INDEX('Commercial View'!$T$2:$T$301,MATCH($A128,'Commercial View'!$A$2:$A$301,0))</f>
        <v>-1</v>
      </c>
      <c r="N128" s="2" t="str">
        <f aca="false">INDEX('Commercial View'!$U$2:$U$301,MATCH($A128,'Commercial View'!$A$2:$A$301,0))</f>
        <v>Lapsed</v>
      </c>
      <c r="O128" s="2" t="n">
        <v>1</v>
      </c>
      <c r="P128" s="2" t="n">
        <v>0</v>
      </c>
      <c r="Q128" s="2" t="n">
        <v>1</v>
      </c>
      <c r="R128" s="2" t="n">
        <v>13</v>
      </c>
      <c r="S128" s="2" t="n">
        <v>1</v>
      </c>
      <c r="T128" s="2" t="str">
        <f aca="false">IF(H128="Broker-Reliant",IF(J128="Tail","5. Cost-to-Serve / Low-Touch",IF(OR(N128="Growing",N128="Stable"),"1. Migration Candidate",IF(N128="Declining","2. Protect / Retain First",IF(N128="Lapsed","3. Win-Back / Verify",IF(N128="H2 Active / No H1 GMV","4. Establish / Re-establish / Observe","UNASSIGNED"))))),IF(G128="Low",IF(J128="Tail","9. Long-Tail Automated Nurture",IF(OR(N128="Growing",N128="Stable"),"6. Growth Opportunity",IF(N128="H2 Active / No H1 GMV","7. Onboard / Re-engage / Learn",IF(OR(N128="Declining",N128="Lapsed"),"8. Retention / Reactivation","UNASSIGNED")))),"UNASSIGNED"))</f>
        <v>9. Long-Tail Automated Nurture</v>
      </c>
      <c r="U128" s="10" t="b">
        <f aca="false">AND(T128="1. Migration Candidate",J128="Core",O128&gt;=Assumptions!$B$39,Q128&gt;=Assumptions!$B$40,NOT(Z128))</f>
        <v>0</v>
      </c>
      <c r="V128" s="2" t="n">
        <f aca="false">(AND(H128="Broker-Reliant",J128&lt;&gt;"Tail",OR(N128="Growing",N128="Stable")))*1+(AND(H128="Broker-Reliant",J128&lt;&gt;"Tail",N128="Declining"))*1+(AND(H128="Broker-Reliant",J128&lt;&gt;"Tail",N128="Lapsed"))*1+(AND(H128="Broker-Reliant",J128&lt;&gt;"Tail",N128="H2 Active / No H1 GMV"))*1+(AND(H128="Broker-Reliant",J128="Tail"))*1+(AND(G128="Low",J128&lt;&gt;"Tail",OR(N128="Growing",N128="Stable")))*1+(AND(G128="Low",J128&lt;&gt;"Tail",N128="H2 Active / No H1 GMV"))*1+(AND(G128="Low",J128&lt;&gt;"Tail",OR(N128="Declining",N128="Lapsed")))*1+(AND(G128="Low",J128="Tail"))*1</f>
        <v>1</v>
      </c>
      <c r="W128" s="2" t="n">
        <f aca="false">INDEX('Commercial View'!$V$2:$V$301,MATCH($A128,'Commercial View'!$A$2:$A$301,0))</f>
        <v>1</v>
      </c>
      <c r="X128" s="10" t="b">
        <f aca="false">O128&lt;=Assumptions!$B$30</f>
        <v>1</v>
      </c>
      <c r="Y128" s="10" t="b">
        <f aca="false">W128&lt;=1</f>
        <v>1</v>
      </c>
      <c r="Z128" s="10" t="b">
        <f aca="false">C128="Duplicate"</f>
        <v>0</v>
      </c>
      <c r="AA128" s="10" t="b">
        <f aca="false">C128=""</f>
        <v>0</v>
      </c>
      <c r="AB128" s="2" t="n">
        <f aca="false">IF(P128+Q128&gt;0,ROUND(P128/(P128+Q128)*100,0),"")</f>
        <v>0</v>
      </c>
      <c r="AC128" s="2" t="n">
        <f aca="false">IF(P128+Q128&gt;0,ROUND(E128-P128/(P128+Q128)*100,0),"")</f>
        <v>12</v>
      </c>
      <c r="AD128" s="10" t="b">
        <f aca="false">IF(AC128="",FALSE(),ABS(AC128)&gt;Assumptions!$B$41)</f>
        <v>1</v>
      </c>
      <c r="AE128" s="2" t="str">
        <f aca="false">IF(X128,"Low confidence (&lt;=2 orders); ","")&amp;IF(Y128,"Single-month history; ","")&amp;IF(Z128,"CRITICAL: Duplicate status; ","")&amp;IF(AA128,"Missing status; ","")&amp;IF(AD128,"Broker % vs counts gap "&amp;TEXT(AC128,"+0;-0")&amp;"pts; ","")</f>
        <v>Low confidence (&lt;=2 orders); Single-month history; Broker % vs counts gap +12pts; </v>
      </c>
      <c r="AF128" s="2" t="str">
        <f aca="false">IF(AND(K128=0,L128&gt;0),IF(D128&lt;=Assumptions!$B$47,"New Customer","Returned Customer"),"Existing Customer")</f>
        <v>Existing Customer</v>
      </c>
      <c r="AG128" s="10" t="b">
        <f aca="false">AND(T128="1. Migration Candidate",J128="Key")</f>
        <v>0</v>
      </c>
      <c r="AH128" s="10" t="b">
        <f aca="false">IF(AND(K128&gt;0,L128&gt;0),OR(ABS(M128-Assumptions!$B$36)&lt;=Assumptions!$B$46,ABS(M128+Assumptions!$B$36)&lt;=Assumptions!$B$46),FALSE())</f>
        <v>0</v>
      </c>
      <c r="AI128" s="9" t="n">
        <f aca="false">INDEX('Commercial View'!$L$2:$L$301,MATCH($A128,'Commercial View'!$A$2:$A$301,0))+INDEX('Commercial View'!$M$2:$M$301,MATCH($A128,'Commercial View'!$A$2:$A$301,0))</f>
        <v>0</v>
      </c>
      <c r="AJ128" s="2" t="str">
        <f aca="false">IF(AND(K128=0,AI128=0),"No activity ex-Feb",IF(AI128=0,"Lapsed",IF(K128=0,"H2 Active / No H1 GMV",IF((AI128/2)/(K128/3)-1&gt;=Assumptions!$B$36,"Growing",IF((AI128/2)/(K128/3)-1&lt;-Assumptions!$B$36,"Declining","Stable")))))</f>
        <v>Lapsed</v>
      </c>
      <c r="AK128" s="10" t="b">
        <f aca="false">IF(OR(N128="Growing",N128="Stable"),"Healthy",N128)&lt;&gt;IF(OR(AJ128="Growing",AJ128="Stable"),"Healthy",AJ128)</f>
        <v>0</v>
      </c>
      <c r="AL128" s="2" t="str">
        <f aca="false">IF(N128="Lapsed",IF(OR(O128&lt;=Assumptions!$B$48,W128&lt;=Assumptions!$B$49),"One-Off / Insufficient History — Verify","Established Buyer Lapsed"),"N/A")</f>
        <v>One-Off / Insufficient History — Verify</v>
      </c>
      <c r="AM128" s="2" t="n">
        <f aca="false">INDEX('Scored Accounts'!$M$2:$M$301,MATCH($A128,'Scored Accounts'!$A$2:$A$301,0))</f>
        <v>0</v>
      </c>
      <c r="AN128" s="2" t="n">
        <f aca="false">IF((P128/(P128+Q128)*100)&lt;=Assumptions!$B$13,0,IF((P128/(P128+Q128)*100)&lt;Assumptions!$B$14,25,IF((P128/(P128+Q128)*100)&lt;Assumptions!$B$15,50,IF((P128/(P128+Q128)*100)&lt;Assumptions!$B$16,75,100))))</f>
        <v>0</v>
      </c>
      <c r="AO128" s="21" t="n">
        <f aca="false">IF((P128/(P128+Q128)*100)&lt;=Assumptions!$B$8,0,AN128*Assumptions!$B$4+INDEX('Scored Accounts'!$N$2:$N$301,MATCH($A128,'Scored Accounts'!$A$2:$A$301,0))*Assumptions!$B$5+INDEX('Scored Accounts'!$O$2:$O$301,MATCH($A128,'Scored Accounts'!$A$2:$A$301,0))*Assumptions!$B$6)</f>
        <v>0</v>
      </c>
      <c r="AP128" s="2" t="str">
        <f aca="false">IF(AO128&gt;=Assumptions!$B$9,"High",IF(AO128&gt;=Assumptions!$B$10,"Medium","Low"))</f>
        <v>Low</v>
      </c>
      <c r="AQ128" s="10" t="b">
        <f aca="false">OR((E128&lt;=Assumptions!$B$8)&lt;&gt;((P128/(P128+Q128)*100)&lt;=Assumptions!$B$8),AM128&lt;&gt;AN128,G128&lt;&gt;AP128)</f>
        <v>0</v>
      </c>
      <c r="AR128" s="2" t="str">
        <f aca="false">IF(AP128&lt;&gt;"Low","Broker-Reliant",IF(B128="Account Managed","AM-Owned / Self-Serving","Self-Serve"))</f>
        <v>AM-Owned / Self-Serving</v>
      </c>
      <c r="AS128" s="2" t="str">
        <f aca="false">IF(AR128="Broker-Reliant",IF(J128="Tail","5. Cost-to-Serve / Low-Touch",IF(OR(N128="Growing",N128="Stable"),"1. Migration Candidate",IF(N128="Declining","2. Protect / Retain First",IF(N128="Lapsed","3. Win-Back / Verify",IF(N128="H2 Active / No H1 GMV","4. Establish / Re-establish / Observe","UNASSIGNED"))))),IF(AP128="Low",IF(J128="Tail","9. Long-Tail Automated Nurture",IF(OR(N128="Growing",N128="Stable"),"6. Growth Opportunity",IF(N128="H2 Active / No H1 GMV","7. Onboard / Re-engage / Learn",IF(OR(N128="Declining",N128="Lapsed"),"8. Retention / Reactivation","UNASSIGNED")))),"UNASSIGNED"))</f>
        <v>9. Long-Tail Automated Nurture</v>
      </c>
      <c r="AT128" s="10" t="b">
        <f aca="false">AS128&lt;&gt;T128</f>
        <v>0</v>
      </c>
      <c r="AU128" s="2" t="str">
        <f aca="false">IF(NOT(U128),"Not Eligible",IF(OR(AQ128,AH128,AK128,NOT(AND(W128&gt;=Assumptions!$B$83,O128&gt;=Assumptions!$B$84))),"Manual Review","Ready"))</f>
        <v>Not Eligible</v>
      </c>
      <c r="AV128" s="2" t="str">
        <f aca="false">IF(AG128,"Key account - human sign-off required; ","")&amp;IF(AH128,"Borderline momentum; ","")&amp;IF(AK128,"February-sensitive ("&amp;N128&amp;" -&gt; "&amp;AJ128&amp;"); ","")&amp;IF(AL128="One-Off / Insufficient History — Verify","Lapsed on thin history - verify; ","")&amp;IF(AQ128,"Material broker % inconsistency (implied tier "&amp;AP128&amp;"); ","")&amp;IF(AT128,"Implied broker % would move segment to "&amp;AS128&amp;"; ","")</f>
        <v>Lapsed on thin history - verify; </v>
      </c>
      <c r="AW128" s="10" t="b">
        <f aca="false">AND(G128="Low",J128="Tail",I128&gt;=Assumptions!$B$64,O128&gt;=Assumptions!$B$65,OR(N128="Growing",N128="Stable",AND(N128="H2 Active / No H1 GMV",W128&gt;=2)),OR(R128&gt;=Assumptions!$B$66,S128&gt;=Assumptions!$B$67))</f>
        <v>0</v>
      </c>
    </row>
    <row r="129" customFormat="false" ht="15" hidden="false" customHeight="false" outlineLevel="0" collapsed="false">
      <c r="A129" s="2" t="s">
        <v>726</v>
      </c>
      <c r="B129" s="2" t="s">
        <v>1571</v>
      </c>
      <c r="C129" s="2" t="s">
        <v>1572</v>
      </c>
      <c r="D129" s="2" t="n">
        <v>9</v>
      </c>
      <c r="E129" s="2" t="n">
        <v>63</v>
      </c>
      <c r="F129" s="21" t="n">
        <f aca="false">INDEX('Scored Accounts'!$Q$2:$Q$301,MATCH($A129,'Scored Accounts'!$A$2:$A$301,0))</f>
        <v>75</v>
      </c>
      <c r="G129" s="2" t="str">
        <f aca="false">INDEX('Scored Accounts'!$R$2:$R$301,MATCH($A129,'Scored Accounts'!$A$2:$A$301,0))</f>
        <v>High</v>
      </c>
      <c r="H129" s="2" t="str">
        <f aca="false">IF(OR(G129="High",G129="Medium"),"Broker-Reliant",IF(AND(G129="Low",B129="Account Managed"),"AM-Owned / Self-Serving",IF(AND(G129="Low",B129="Self Serve"),"Self-Serve","UNASSIGNED")))</f>
        <v>Broker-Reliant</v>
      </c>
      <c r="I129" s="9" t="n">
        <v>386</v>
      </c>
      <c r="J129" s="2" t="str">
        <f aca="false">IF(I129&gt;=Assumptions!$B$35,"Key",IF(I129&gt;=Assumptions!$B$34,"Core","Tail"))</f>
        <v>Tail</v>
      </c>
      <c r="K129" s="9" t="n">
        <f aca="false">INDEX('Commercial View'!$R$2:$R$301,MATCH($A129,'Commercial View'!$A$2:$A$301,0))</f>
        <v>386</v>
      </c>
      <c r="L129" s="9" t="n">
        <f aca="false">INDEX('Commercial View'!$S$2:$S$301,MATCH($A129,'Commercial View'!$A$2:$A$301,0))</f>
        <v>0</v>
      </c>
      <c r="M129" s="17" t="n">
        <f aca="false">INDEX('Commercial View'!$T$2:$T$301,MATCH($A129,'Commercial View'!$A$2:$A$301,0))</f>
        <v>-1</v>
      </c>
      <c r="N129" s="2" t="str">
        <f aca="false">INDEX('Commercial View'!$U$2:$U$301,MATCH($A129,'Commercial View'!$A$2:$A$301,0))</f>
        <v>Lapsed</v>
      </c>
      <c r="O129" s="2" t="n">
        <v>2</v>
      </c>
      <c r="P129" s="2" t="n">
        <v>1</v>
      </c>
      <c r="Q129" s="2" t="n">
        <v>1</v>
      </c>
      <c r="R129" s="2" t="n">
        <v>7</v>
      </c>
      <c r="S129" s="2" t="n">
        <v>1</v>
      </c>
      <c r="T129" s="2" t="str">
        <f aca="false">IF(H129="Broker-Reliant",IF(J129="Tail","5. Cost-to-Serve / Low-Touch",IF(OR(N129="Growing",N129="Stable"),"1. Migration Candidate",IF(N129="Declining","2. Protect / Retain First",IF(N129="Lapsed","3. Win-Back / Verify",IF(N129="H2 Active / No H1 GMV","4. Establish / Re-establish / Observe","UNASSIGNED"))))),IF(G129="Low",IF(J129="Tail","9. Long-Tail Automated Nurture",IF(OR(N129="Growing",N129="Stable"),"6. Growth Opportunity",IF(N129="H2 Active / No H1 GMV","7. Onboard / Re-engage / Learn",IF(OR(N129="Declining",N129="Lapsed"),"8. Retention / Reactivation","UNASSIGNED")))),"UNASSIGNED"))</f>
        <v>5. Cost-to-Serve / Low-Touch</v>
      </c>
      <c r="U129" s="10" t="b">
        <f aca="false">AND(T129="1. Migration Candidate",J129="Core",O129&gt;=Assumptions!$B$39,Q129&gt;=Assumptions!$B$40,NOT(Z129))</f>
        <v>0</v>
      </c>
      <c r="V129" s="2" t="n">
        <f aca="false">(AND(H129="Broker-Reliant",J129&lt;&gt;"Tail",OR(N129="Growing",N129="Stable")))*1+(AND(H129="Broker-Reliant",J129&lt;&gt;"Tail",N129="Declining"))*1+(AND(H129="Broker-Reliant",J129&lt;&gt;"Tail",N129="Lapsed"))*1+(AND(H129="Broker-Reliant",J129&lt;&gt;"Tail",N129="H2 Active / No H1 GMV"))*1+(AND(H129="Broker-Reliant",J129="Tail"))*1+(AND(G129="Low",J129&lt;&gt;"Tail",OR(N129="Growing",N129="Stable")))*1+(AND(G129="Low",J129&lt;&gt;"Tail",N129="H2 Active / No H1 GMV"))*1+(AND(G129="Low",J129&lt;&gt;"Tail",OR(N129="Declining",N129="Lapsed")))*1+(AND(G129="Low",J129="Tail"))*1</f>
        <v>1</v>
      </c>
      <c r="W129" s="2" t="n">
        <f aca="false">INDEX('Commercial View'!$V$2:$V$301,MATCH($A129,'Commercial View'!$A$2:$A$301,0))</f>
        <v>1</v>
      </c>
      <c r="X129" s="10" t="b">
        <f aca="false">O129&lt;=Assumptions!$B$30</f>
        <v>1</v>
      </c>
      <c r="Y129" s="10" t="b">
        <f aca="false">W129&lt;=1</f>
        <v>1</v>
      </c>
      <c r="Z129" s="10" t="b">
        <f aca="false">C129="Duplicate"</f>
        <v>0</v>
      </c>
      <c r="AA129" s="10" t="b">
        <f aca="false">C129=""</f>
        <v>0</v>
      </c>
      <c r="AB129" s="2" t="n">
        <f aca="false">IF(P129+Q129&gt;0,ROUND(P129/(P129+Q129)*100,0),"")</f>
        <v>50</v>
      </c>
      <c r="AC129" s="2" t="n">
        <f aca="false">IF(P129+Q129&gt;0,ROUND(E129-P129/(P129+Q129)*100,0),"")</f>
        <v>13</v>
      </c>
      <c r="AD129" s="10" t="b">
        <f aca="false">IF(AC129="",FALSE(),ABS(AC129)&gt;Assumptions!$B$41)</f>
        <v>1</v>
      </c>
      <c r="AE129" s="2" t="str">
        <f aca="false">IF(X129,"Low confidence (&lt;=2 orders); ","")&amp;IF(Y129,"Single-month history; ","")&amp;IF(Z129,"CRITICAL: Duplicate status; ","")&amp;IF(AA129,"Missing status; ","")&amp;IF(AD129,"Broker % vs counts gap "&amp;TEXT(AC129,"+0;-0")&amp;"pts; ","")</f>
        <v>Low confidence (&lt;=2 orders); Single-month history; Broker % vs counts gap +13pts; </v>
      </c>
      <c r="AF129" s="2" t="str">
        <f aca="false">IF(AND(K129=0,L129&gt;0),IF(D129&lt;=Assumptions!$B$47,"New Customer","Returned Customer"),"Existing Customer")</f>
        <v>Existing Customer</v>
      </c>
      <c r="AG129" s="10" t="b">
        <f aca="false">AND(T129="1. Migration Candidate",J129="Key")</f>
        <v>0</v>
      </c>
      <c r="AH129" s="10" t="b">
        <f aca="false">IF(AND(K129&gt;0,L129&gt;0),OR(ABS(M129-Assumptions!$B$36)&lt;=Assumptions!$B$46,ABS(M129+Assumptions!$B$36)&lt;=Assumptions!$B$46),FALSE())</f>
        <v>0</v>
      </c>
      <c r="AI129" s="9" t="n">
        <f aca="false">INDEX('Commercial View'!$L$2:$L$301,MATCH($A129,'Commercial View'!$A$2:$A$301,0))+INDEX('Commercial View'!$M$2:$M$301,MATCH($A129,'Commercial View'!$A$2:$A$301,0))</f>
        <v>0</v>
      </c>
      <c r="AJ129" s="2" t="str">
        <f aca="false">IF(AND(K129=0,AI129=0),"No activity ex-Feb",IF(AI129=0,"Lapsed",IF(K129=0,"H2 Active / No H1 GMV",IF((AI129/2)/(K129/3)-1&gt;=Assumptions!$B$36,"Growing",IF((AI129/2)/(K129/3)-1&lt;-Assumptions!$B$36,"Declining","Stable")))))</f>
        <v>Lapsed</v>
      </c>
      <c r="AK129" s="10" t="b">
        <f aca="false">IF(OR(N129="Growing",N129="Stable"),"Healthy",N129)&lt;&gt;IF(OR(AJ129="Growing",AJ129="Stable"),"Healthy",AJ129)</f>
        <v>0</v>
      </c>
      <c r="AL129" s="2" t="str">
        <f aca="false">IF(N129="Lapsed",IF(OR(O129&lt;=Assumptions!$B$48,W129&lt;=Assumptions!$B$49),"One-Off / Insufficient History — Verify","Established Buyer Lapsed"),"N/A")</f>
        <v>One-Off / Insufficient History — Verify</v>
      </c>
      <c r="AM129" s="2" t="n">
        <f aca="false">INDEX('Scored Accounts'!$M$2:$M$301,MATCH($A129,'Scored Accounts'!$A$2:$A$301,0))</f>
        <v>75</v>
      </c>
      <c r="AN129" s="2" t="n">
        <f aca="false">IF((P129/(P129+Q129)*100)&lt;=Assumptions!$B$13,0,IF((P129/(P129+Q129)*100)&lt;Assumptions!$B$14,25,IF((P129/(P129+Q129)*100)&lt;Assumptions!$B$15,50,IF((P129/(P129+Q129)*100)&lt;Assumptions!$B$16,75,100))))</f>
        <v>50</v>
      </c>
      <c r="AO129" s="21" t="n">
        <f aca="false">IF((P129/(P129+Q129)*100)&lt;=Assumptions!$B$8,0,AN129*Assumptions!$B$4+INDEX('Scored Accounts'!$N$2:$N$301,MATCH($A129,'Scored Accounts'!$A$2:$A$301,0))*Assumptions!$B$5+INDEX('Scored Accounts'!$O$2:$O$301,MATCH($A129,'Scored Accounts'!$A$2:$A$301,0))*Assumptions!$B$6)</f>
        <v>62.5</v>
      </c>
      <c r="AP129" s="2" t="str">
        <f aca="false">IF(AO129&gt;=Assumptions!$B$9,"High",IF(AO129&gt;=Assumptions!$B$10,"Medium","Low"))</f>
        <v>Medium</v>
      </c>
      <c r="AQ129" s="10" t="b">
        <f aca="false">OR((E129&lt;=Assumptions!$B$8)&lt;&gt;((P129/(P129+Q129)*100)&lt;=Assumptions!$B$8),AM129&lt;&gt;AN129,G129&lt;&gt;AP129)</f>
        <v>1</v>
      </c>
      <c r="AR129" s="2" t="str">
        <f aca="false">IF(AP129&lt;&gt;"Low","Broker-Reliant",IF(B129="Account Managed","AM-Owned / Self-Serving","Self-Serve"))</f>
        <v>Broker-Reliant</v>
      </c>
      <c r="AS129" s="2" t="str">
        <f aca="false">IF(AR129="Broker-Reliant",IF(J129="Tail","5. Cost-to-Serve / Low-Touch",IF(OR(N129="Growing",N129="Stable"),"1. Migration Candidate",IF(N129="Declining","2. Protect / Retain First",IF(N129="Lapsed","3. Win-Back / Verify",IF(N129="H2 Active / No H1 GMV","4. Establish / Re-establish / Observe","UNASSIGNED"))))),IF(AP129="Low",IF(J129="Tail","9. Long-Tail Automated Nurture",IF(OR(N129="Growing",N129="Stable"),"6. Growth Opportunity",IF(N129="H2 Active / No H1 GMV","7. Onboard / Re-engage / Learn",IF(OR(N129="Declining",N129="Lapsed"),"8. Retention / Reactivation","UNASSIGNED")))),"UNASSIGNED"))</f>
        <v>5. Cost-to-Serve / Low-Touch</v>
      </c>
      <c r="AT129" s="10" t="b">
        <f aca="false">AS129&lt;&gt;T129</f>
        <v>0</v>
      </c>
      <c r="AU129" s="2" t="str">
        <f aca="false">IF(NOT(U129),"Not Eligible",IF(OR(AQ129,AH129,AK129,NOT(AND(W129&gt;=Assumptions!$B$83,O129&gt;=Assumptions!$B$84))),"Manual Review","Ready"))</f>
        <v>Not Eligible</v>
      </c>
      <c r="AV129" s="2" t="str">
        <f aca="false">IF(AG129,"Key account - human sign-off required; ","")&amp;IF(AH129,"Borderline momentum; ","")&amp;IF(AK129,"February-sensitive ("&amp;N129&amp;" -&gt; "&amp;AJ129&amp;"); ","")&amp;IF(AL129="One-Off / Insufficient History — Verify","Lapsed on thin history - verify; ","")&amp;IF(AQ129,"Material broker % inconsistency (implied tier "&amp;AP129&amp;"); ","")&amp;IF(AT129,"Implied broker % would move segment to "&amp;AS129&amp;"; ","")</f>
        <v>Lapsed on thin history - verify; Material broker % inconsistency (implied tier Medium); </v>
      </c>
      <c r="AW129" s="10" t="b">
        <f aca="false">AND(G129="Low",J129="Tail",I129&gt;=Assumptions!$B$64,O129&gt;=Assumptions!$B$65,OR(N129="Growing",N129="Stable",AND(N129="H2 Active / No H1 GMV",W129&gt;=2)),OR(R129&gt;=Assumptions!$B$66,S129&gt;=Assumptions!$B$67))</f>
        <v>0</v>
      </c>
    </row>
    <row r="130" customFormat="false" ht="15" hidden="false" customHeight="false" outlineLevel="0" collapsed="false">
      <c r="A130" s="2" t="s">
        <v>730</v>
      </c>
      <c r="B130" s="2" t="s">
        <v>1571</v>
      </c>
      <c r="C130" s="2"/>
      <c r="D130" s="2" t="n">
        <v>6</v>
      </c>
      <c r="E130" s="2" t="n">
        <v>54</v>
      </c>
      <c r="F130" s="21" t="n">
        <f aca="false">INDEX('Scored Accounts'!$Q$2:$Q$301,MATCH($A130,'Scored Accounts'!$A$2:$A$301,0))</f>
        <v>70</v>
      </c>
      <c r="G130" s="2" t="str">
        <f aca="false">INDEX('Scored Accounts'!$R$2:$R$301,MATCH($A130,'Scored Accounts'!$A$2:$A$301,0))</f>
        <v>High</v>
      </c>
      <c r="H130" s="2" t="str">
        <f aca="false">IF(OR(G130="High",G130="Medium"),"Broker-Reliant",IF(AND(G130="Low",B130="Account Managed"),"AM-Owned / Self-Serving",IF(AND(G130="Low",B130="Self Serve"),"Self-Serve","UNASSIGNED")))</f>
        <v>Broker-Reliant</v>
      </c>
      <c r="I130" s="9" t="n">
        <v>379</v>
      </c>
      <c r="J130" s="2" t="str">
        <f aca="false">IF(I130&gt;=Assumptions!$B$35,"Key",IF(I130&gt;=Assumptions!$B$34,"Core","Tail"))</f>
        <v>Tail</v>
      </c>
      <c r="K130" s="9" t="n">
        <f aca="false">INDEX('Commercial View'!$R$2:$R$301,MATCH($A130,'Commercial View'!$A$2:$A$301,0))</f>
        <v>379</v>
      </c>
      <c r="L130" s="9" t="n">
        <f aca="false">INDEX('Commercial View'!$S$2:$S$301,MATCH($A130,'Commercial View'!$A$2:$A$301,0))</f>
        <v>0</v>
      </c>
      <c r="M130" s="17" t="n">
        <f aca="false">INDEX('Commercial View'!$T$2:$T$301,MATCH($A130,'Commercial View'!$A$2:$A$301,0))</f>
        <v>-1</v>
      </c>
      <c r="N130" s="2" t="str">
        <f aca="false">INDEX('Commercial View'!$U$2:$U$301,MATCH($A130,'Commercial View'!$A$2:$A$301,0))</f>
        <v>Lapsed</v>
      </c>
      <c r="O130" s="2" t="n">
        <v>2</v>
      </c>
      <c r="P130" s="2" t="n">
        <v>1</v>
      </c>
      <c r="Q130" s="2" t="n">
        <v>1</v>
      </c>
      <c r="R130" s="2" t="n">
        <v>4</v>
      </c>
      <c r="S130" s="2" t="n">
        <v>1</v>
      </c>
      <c r="T130" s="2" t="str">
        <f aca="false">IF(H130="Broker-Reliant",IF(J130="Tail","5. Cost-to-Serve / Low-Touch",IF(OR(N130="Growing",N130="Stable"),"1. Migration Candidate",IF(N130="Declining","2. Protect / Retain First",IF(N130="Lapsed","3. Win-Back / Verify",IF(N130="H2 Active / No H1 GMV","4. Establish / Re-establish / Observe","UNASSIGNED"))))),IF(G130="Low",IF(J130="Tail","9. Long-Tail Automated Nurture",IF(OR(N130="Growing",N130="Stable"),"6. Growth Opportunity",IF(N130="H2 Active / No H1 GMV","7. Onboard / Re-engage / Learn",IF(OR(N130="Declining",N130="Lapsed"),"8. Retention / Reactivation","UNASSIGNED")))),"UNASSIGNED"))</f>
        <v>5. Cost-to-Serve / Low-Touch</v>
      </c>
      <c r="U130" s="10" t="b">
        <f aca="false">AND(T130="1. Migration Candidate",J130="Core",O130&gt;=Assumptions!$B$39,Q130&gt;=Assumptions!$B$40,NOT(Z130))</f>
        <v>0</v>
      </c>
      <c r="V130" s="2" t="n">
        <f aca="false">(AND(H130="Broker-Reliant",J130&lt;&gt;"Tail",OR(N130="Growing",N130="Stable")))*1+(AND(H130="Broker-Reliant",J130&lt;&gt;"Tail",N130="Declining"))*1+(AND(H130="Broker-Reliant",J130&lt;&gt;"Tail",N130="Lapsed"))*1+(AND(H130="Broker-Reliant",J130&lt;&gt;"Tail",N130="H2 Active / No H1 GMV"))*1+(AND(H130="Broker-Reliant",J130="Tail"))*1+(AND(G130="Low",J130&lt;&gt;"Tail",OR(N130="Growing",N130="Stable")))*1+(AND(G130="Low",J130&lt;&gt;"Tail",N130="H2 Active / No H1 GMV"))*1+(AND(G130="Low",J130&lt;&gt;"Tail",OR(N130="Declining",N130="Lapsed")))*1+(AND(G130="Low",J130="Tail"))*1</f>
        <v>1</v>
      </c>
      <c r="W130" s="2" t="n">
        <f aca="false">INDEX('Commercial View'!$V$2:$V$301,MATCH($A130,'Commercial View'!$A$2:$A$301,0))</f>
        <v>2</v>
      </c>
      <c r="X130" s="10" t="b">
        <f aca="false">O130&lt;=Assumptions!$B$30</f>
        <v>1</v>
      </c>
      <c r="Y130" s="10" t="b">
        <f aca="false">W130&lt;=1</f>
        <v>0</v>
      </c>
      <c r="Z130" s="10" t="b">
        <f aca="false">C130="Duplicate"</f>
        <v>0</v>
      </c>
      <c r="AA130" s="10" t="b">
        <f aca="false">C130=""</f>
        <v>1</v>
      </c>
      <c r="AB130" s="2" t="n">
        <f aca="false">IF(P130+Q130&gt;0,ROUND(P130/(P130+Q130)*100,0),"")</f>
        <v>50</v>
      </c>
      <c r="AC130" s="2" t="n">
        <f aca="false">IF(P130+Q130&gt;0,ROUND(E130-P130/(P130+Q130)*100,0),"")</f>
        <v>4</v>
      </c>
      <c r="AD130" s="10" t="b">
        <f aca="false">IF(AC130="",FALSE(),ABS(AC130)&gt;Assumptions!$B$41)</f>
        <v>0</v>
      </c>
      <c r="AE130" s="2" t="str">
        <f aca="false">IF(X130,"Low confidence (&lt;=2 orders); ","")&amp;IF(Y130,"Single-month history; ","")&amp;IF(Z130,"CRITICAL: Duplicate status; ","")&amp;IF(AA130,"Missing status; ","")&amp;IF(AD130,"Broker % vs counts gap "&amp;TEXT(AC130,"+0;-0")&amp;"pts; ","")</f>
        <v>Low confidence (&lt;=2 orders); Missing status; </v>
      </c>
      <c r="AF130" s="2" t="str">
        <f aca="false">IF(AND(K130=0,L130&gt;0),IF(D130&lt;=Assumptions!$B$47,"New Customer","Returned Customer"),"Existing Customer")</f>
        <v>Existing Customer</v>
      </c>
      <c r="AG130" s="10" t="b">
        <f aca="false">AND(T130="1. Migration Candidate",J130="Key")</f>
        <v>0</v>
      </c>
      <c r="AH130" s="10" t="b">
        <f aca="false">IF(AND(K130&gt;0,L130&gt;0),OR(ABS(M130-Assumptions!$B$36)&lt;=Assumptions!$B$46,ABS(M130+Assumptions!$B$36)&lt;=Assumptions!$B$46),FALSE())</f>
        <v>0</v>
      </c>
      <c r="AI130" s="9" t="n">
        <f aca="false">INDEX('Commercial View'!$L$2:$L$301,MATCH($A130,'Commercial View'!$A$2:$A$301,0))+INDEX('Commercial View'!$M$2:$M$301,MATCH($A130,'Commercial View'!$A$2:$A$301,0))</f>
        <v>0</v>
      </c>
      <c r="AJ130" s="2" t="str">
        <f aca="false">IF(AND(K130=0,AI130=0),"No activity ex-Feb",IF(AI130=0,"Lapsed",IF(K130=0,"H2 Active / No H1 GMV",IF((AI130/2)/(K130/3)-1&gt;=Assumptions!$B$36,"Growing",IF((AI130/2)/(K130/3)-1&lt;-Assumptions!$B$36,"Declining","Stable")))))</f>
        <v>Lapsed</v>
      </c>
      <c r="AK130" s="10" t="b">
        <f aca="false">IF(OR(N130="Growing",N130="Stable"),"Healthy",N130)&lt;&gt;IF(OR(AJ130="Growing",AJ130="Stable"),"Healthy",AJ130)</f>
        <v>0</v>
      </c>
      <c r="AL130" s="2" t="str">
        <f aca="false">IF(N130="Lapsed",IF(OR(O130&lt;=Assumptions!$B$48,W130&lt;=Assumptions!$B$49),"One-Off / Insufficient History — Verify","Established Buyer Lapsed"),"N/A")</f>
        <v>One-Off / Insufficient History — Verify</v>
      </c>
      <c r="AM130" s="2" t="n">
        <f aca="false">INDEX('Scored Accounts'!$M$2:$M$301,MATCH($A130,'Scored Accounts'!$A$2:$A$301,0))</f>
        <v>50</v>
      </c>
      <c r="AN130" s="2" t="n">
        <f aca="false">IF((P130/(P130+Q130)*100)&lt;=Assumptions!$B$13,0,IF((P130/(P130+Q130)*100)&lt;Assumptions!$B$14,25,IF((P130/(P130+Q130)*100)&lt;Assumptions!$B$15,50,IF((P130/(P130+Q130)*100)&lt;Assumptions!$B$16,75,100))))</f>
        <v>50</v>
      </c>
      <c r="AO130" s="21" t="n">
        <f aca="false">IF((P130/(P130+Q130)*100)&lt;=Assumptions!$B$8,0,AN130*Assumptions!$B$4+INDEX('Scored Accounts'!$N$2:$N$301,MATCH($A130,'Scored Accounts'!$A$2:$A$301,0))*Assumptions!$B$5+INDEX('Scored Accounts'!$O$2:$O$301,MATCH($A130,'Scored Accounts'!$A$2:$A$301,0))*Assumptions!$B$6)</f>
        <v>70</v>
      </c>
      <c r="AP130" s="2" t="str">
        <f aca="false">IF(AO130&gt;=Assumptions!$B$9,"High",IF(AO130&gt;=Assumptions!$B$10,"Medium","Low"))</f>
        <v>High</v>
      </c>
      <c r="AQ130" s="10" t="b">
        <f aca="false">OR((E130&lt;=Assumptions!$B$8)&lt;&gt;((P130/(P130+Q130)*100)&lt;=Assumptions!$B$8),AM130&lt;&gt;AN130,G130&lt;&gt;AP130)</f>
        <v>0</v>
      </c>
      <c r="AR130" s="2" t="str">
        <f aca="false">IF(AP130&lt;&gt;"Low","Broker-Reliant",IF(B130="Account Managed","AM-Owned / Self-Serving","Self-Serve"))</f>
        <v>Broker-Reliant</v>
      </c>
      <c r="AS130" s="2" t="str">
        <f aca="false">IF(AR130="Broker-Reliant",IF(J130="Tail","5. Cost-to-Serve / Low-Touch",IF(OR(N130="Growing",N130="Stable"),"1. Migration Candidate",IF(N130="Declining","2. Protect / Retain First",IF(N130="Lapsed","3. Win-Back / Verify",IF(N130="H2 Active / No H1 GMV","4. Establish / Re-establish / Observe","UNASSIGNED"))))),IF(AP130="Low",IF(J130="Tail","9. Long-Tail Automated Nurture",IF(OR(N130="Growing",N130="Stable"),"6. Growth Opportunity",IF(N130="H2 Active / No H1 GMV","7. Onboard / Re-engage / Learn",IF(OR(N130="Declining",N130="Lapsed"),"8. Retention / Reactivation","UNASSIGNED")))),"UNASSIGNED"))</f>
        <v>5. Cost-to-Serve / Low-Touch</v>
      </c>
      <c r="AT130" s="10" t="b">
        <f aca="false">AS130&lt;&gt;T130</f>
        <v>0</v>
      </c>
      <c r="AU130" s="2" t="str">
        <f aca="false">IF(NOT(U130),"Not Eligible",IF(OR(AQ130,AH130,AK130,NOT(AND(W130&gt;=Assumptions!$B$83,O130&gt;=Assumptions!$B$84))),"Manual Review","Ready"))</f>
        <v>Not Eligible</v>
      </c>
      <c r="AV130" s="2" t="str">
        <f aca="false">IF(AG130,"Key account - human sign-off required; ","")&amp;IF(AH130,"Borderline momentum; ","")&amp;IF(AK130,"February-sensitive ("&amp;N130&amp;" -&gt; "&amp;AJ130&amp;"); ","")&amp;IF(AL130="One-Off / Insufficient History — Verify","Lapsed on thin history - verify; ","")&amp;IF(AQ130,"Material broker % inconsistency (implied tier "&amp;AP130&amp;"); ","")&amp;IF(AT130,"Implied broker % would move segment to "&amp;AS130&amp;"; ","")</f>
        <v>Lapsed on thin history - verify; </v>
      </c>
      <c r="AW130" s="10" t="b">
        <f aca="false">AND(G130="Low",J130="Tail",I130&gt;=Assumptions!$B$64,O130&gt;=Assumptions!$B$65,OR(N130="Growing",N130="Stable",AND(N130="H2 Active / No H1 GMV",W130&gt;=2)),OR(R130&gt;=Assumptions!$B$66,S130&gt;=Assumptions!$B$67))</f>
        <v>0</v>
      </c>
    </row>
    <row r="131" customFormat="false" ht="15" hidden="false" customHeight="false" outlineLevel="0" collapsed="false">
      <c r="A131" s="2" t="s">
        <v>732</v>
      </c>
      <c r="B131" s="2" t="s">
        <v>1571</v>
      </c>
      <c r="C131" s="2" t="s">
        <v>1572</v>
      </c>
      <c r="D131" s="2" t="n">
        <v>7</v>
      </c>
      <c r="E131" s="2" t="n">
        <v>17</v>
      </c>
      <c r="F131" s="21" t="n">
        <f aca="false">INDEX('Scored Accounts'!$Q$2:$Q$301,MATCH($A131,'Scored Accounts'!$A$2:$A$301,0))</f>
        <v>0</v>
      </c>
      <c r="G131" s="2" t="str">
        <f aca="false">INDEX('Scored Accounts'!$R$2:$R$301,MATCH($A131,'Scored Accounts'!$A$2:$A$301,0))</f>
        <v>Low</v>
      </c>
      <c r="H131" s="2" t="str">
        <f aca="false">IF(OR(G131="High",G131="Medium"),"Broker-Reliant",IF(AND(G131="Low",B131="Account Managed"),"AM-Owned / Self-Serving",IF(AND(G131="Low",B131="Self Serve"),"Self-Serve","UNASSIGNED")))</f>
        <v>AM-Owned / Self-Serving</v>
      </c>
      <c r="I131" s="9" t="n">
        <v>377</v>
      </c>
      <c r="J131" s="2" t="str">
        <f aca="false">IF(I131&gt;=Assumptions!$B$35,"Key",IF(I131&gt;=Assumptions!$B$34,"Core","Tail"))</f>
        <v>Tail</v>
      </c>
      <c r="K131" s="9" t="n">
        <f aca="false">INDEX('Commercial View'!$R$2:$R$301,MATCH($A131,'Commercial View'!$A$2:$A$301,0))</f>
        <v>377</v>
      </c>
      <c r="L131" s="9" t="n">
        <f aca="false">INDEX('Commercial View'!$S$2:$S$301,MATCH($A131,'Commercial View'!$A$2:$A$301,0))</f>
        <v>0</v>
      </c>
      <c r="M131" s="17" t="n">
        <f aca="false">INDEX('Commercial View'!$T$2:$T$301,MATCH($A131,'Commercial View'!$A$2:$A$301,0))</f>
        <v>-1</v>
      </c>
      <c r="N131" s="2" t="str">
        <f aca="false">INDEX('Commercial View'!$U$2:$U$301,MATCH($A131,'Commercial View'!$A$2:$A$301,0))</f>
        <v>Lapsed</v>
      </c>
      <c r="O131" s="2" t="n">
        <v>1</v>
      </c>
      <c r="P131" s="2" t="n">
        <v>0</v>
      </c>
      <c r="Q131" s="2" t="n">
        <v>1</v>
      </c>
      <c r="R131" s="2" t="n">
        <v>8</v>
      </c>
      <c r="S131" s="2" t="n">
        <v>1</v>
      </c>
      <c r="T131" s="2" t="str">
        <f aca="false">IF(H131="Broker-Reliant",IF(J131="Tail","5. Cost-to-Serve / Low-Touch",IF(OR(N131="Growing",N131="Stable"),"1. Migration Candidate",IF(N131="Declining","2. Protect / Retain First",IF(N131="Lapsed","3. Win-Back / Verify",IF(N131="H2 Active / No H1 GMV","4. Establish / Re-establish / Observe","UNASSIGNED"))))),IF(G131="Low",IF(J131="Tail","9. Long-Tail Automated Nurture",IF(OR(N131="Growing",N131="Stable"),"6. Growth Opportunity",IF(N131="H2 Active / No H1 GMV","7. Onboard / Re-engage / Learn",IF(OR(N131="Declining",N131="Lapsed"),"8. Retention / Reactivation","UNASSIGNED")))),"UNASSIGNED"))</f>
        <v>9. Long-Tail Automated Nurture</v>
      </c>
      <c r="U131" s="10" t="b">
        <f aca="false">AND(T131="1. Migration Candidate",J131="Core",O131&gt;=Assumptions!$B$39,Q131&gt;=Assumptions!$B$40,NOT(Z131))</f>
        <v>0</v>
      </c>
      <c r="V131" s="2" t="n">
        <f aca="false">(AND(H131="Broker-Reliant",J131&lt;&gt;"Tail",OR(N131="Growing",N131="Stable")))*1+(AND(H131="Broker-Reliant",J131&lt;&gt;"Tail",N131="Declining"))*1+(AND(H131="Broker-Reliant",J131&lt;&gt;"Tail",N131="Lapsed"))*1+(AND(H131="Broker-Reliant",J131&lt;&gt;"Tail",N131="H2 Active / No H1 GMV"))*1+(AND(H131="Broker-Reliant",J131="Tail"))*1+(AND(G131="Low",J131&lt;&gt;"Tail",OR(N131="Growing",N131="Stable")))*1+(AND(G131="Low",J131&lt;&gt;"Tail",N131="H2 Active / No H1 GMV"))*1+(AND(G131="Low",J131&lt;&gt;"Tail",OR(N131="Declining",N131="Lapsed")))*1+(AND(G131="Low",J131="Tail"))*1</f>
        <v>1</v>
      </c>
      <c r="W131" s="2" t="n">
        <f aca="false">INDEX('Commercial View'!$V$2:$V$301,MATCH($A131,'Commercial View'!$A$2:$A$301,0))</f>
        <v>1</v>
      </c>
      <c r="X131" s="10" t="b">
        <f aca="false">O131&lt;=Assumptions!$B$30</f>
        <v>1</v>
      </c>
      <c r="Y131" s="10" t="b">
        <f aca="false">W131&lt;=1</f>
        <v>1</v>
      </c>
      <c r="Z131" s="10" t="b">
        <f aca="false">C131="Duplicate"</f>
        <v>0</v>
      </c>
      <c r="AA131" s="10" t="b">
        <f aca="false">C131=""</f>
        <v>0</v>
      </c>
      <c r="AB131" s="2" t="n">
        <f aca="false">IF(P131+Q131&gt;0,ROUND(P131/(P131+Q131)*100,0),"")</f>
        <v>0</v>
      </c>
      <c r="AC131" s="2" t="n">
        <f aca="false">IF(P131+Q131&gt;0,ROUND(E131-P131/(P131+Q131)*100,0),"")</f>
        <v>17</v>
      </c>
      <c r="AD131" s="10" t="b">
        <f aca="false">IF(AC131="",FALSE(),ABS(AC131)&gt;Assumptions!$B$41)</f>
        <v>1</v>
      </c>
      <c r="AE131" s="2" t="str">
        <f aca="false">IF(X131,"Low confidence (&lt;=2 orders); ","")&amp;IF(Y131,"Single-month history; ","")&amp;IF(Z131,"CRITICAL: Duplicate status; ","")&amp;IF(AA131,"Missing status; ","")&amp;IF(AD131,"Broker % vs counts gap "&amp;TEXT(AC131,"+0;-0")&amp;"pts; ","")</f>
        <v>Low confidence (&lt;=2 orders); Single-month history; Broker % vs counts gap +17pts; </v>
      </c>
      <c r="AF131" s="2" t="str">
        <f aca="false">IF(AND(K131=0,L131&gt;0),IF(D131&lt;=Assumptions!$B$47,"New Customer","Returned Customer"),"Existing Customer")</f>
        <v>Existing Customer</v>
      </c>
      <c r="AG131" s="10" t="b">
        <f aca="false">AND(T131="1. Migration Candidate",J131="Key")</f>
        <v>0</v>
      </c>
      <c r="AH131" s="10" t="b">
        <f aca="false">IF(AND(K131&gt;0,L131&gt;0),OR(ABS(M131-Assumptions!$B$36)&lt;=Assumptions!$B$46,ABS(M131+Assumptions!$B$36)&lt;=Assumptions!$B$46),FALSE())</f>
        <v>0</v>
      </c>
      <c r="AI131" s="9" t="n">
        <f aca="false">INDEX('Commercial View'!$L$2:$L$301,MATCH($A131,'Commercial View'!$A$2:$A$301,0))+INDEX('Commercial View'!$M$2:$M$301,MATCH($A131,'Commercial View'!$A$2:$A$301,0))</f>
        <v>0</v>
      </c>
      <c r="AJ131" s="2" t="str">
        <f aca="false">IF(AND(K131=0,AI131=0),"No activity ex-Feb",IF(AI131=0,"Lapsed",IF(K131=0,"H2 Active / No H1 GMV",IF((AI131/2)/(K131/3)-1&gt;=Assumptions!$B$36,"Growing",IF((AI131/2)/(K131/3)-1&lt;-Assumptions!$B$36,"Declining","Stable")))))</f>
        <v>Lapsed</v>
      </c>
      <c r="AK131" s="10" t="b">
        <f aca="false">IF(OR(N131="Growing",N131="Stable"),"Healthy",N131)&lt;&gt;IF(OR(AJ131="Growing",AJ131="Stable"),"Healthy",AJ131)</f>
        <v>0</v>
      </c>
      <c r="AL131" s="2" t="str">
        <f aca="false">IF(N131="Lapsed",IF(OR(O131&lt;=Assumptions!$B$48,W131&lt;=Assumptions!$B$49),"One-Off / Insufficient History — Verify","Established Buyer Lapsed"),"N/A")</f>
        <v>One-Off / Insufficient History — Verify</v>
      </c>
      <c r="AM131" s="2" t="n">
        <f aca="false">INDEX('Scored Accounts'!$M$2:$M$301,MATCH($A131,'Scored Accounts'!$A$2:$A$301,0))</f>
        <v>0</v>
      </c>
      <c r="AN131" s="2" t="n">
        <f aca="false">IF((P131/(P131+Q131)*100)&lt;=Assumptions!$B$13,0,IF((P131/(P131+Q131)*100)&lt;Assumptions!$B$14,25,IF((P131/(P131+Q131)*100)&lt;Assumptions!$B$15,50,IF((P131/(P131+Q131)*100)&lt;Assumptions!$B$16,75,100))))</f>
        <v>0</v>
      </c>
      <c r="AO131" s="21" t="n">
        <f aca="false">IF((P131/(P131+Q131)*100)&lt;=Assumptions!$B$8,0,AN131*Assumptions!$B$4+INDEX('Scored Accounts'!$N$2:$N$301,MATCH($A131,'Scored Accounts'!$A$2:$A$301,0))*Assumptions!$B$5+INDEX('Scored Accounts'!$O$2:$O$301,MATCH($A131,'Scored Accounts'!$A$2:$A$301,0))*Assumptions!$B$6)</f>
        <v>0</v>
      </c>
      <c r="AP131" s="2" t="str">
        <f aca="false">IF(AO131&gt;=Assumptions!$B$9,"High",IF(AO131&gt;=Assumptions!$B$10,"Medium","Low"))</f>
        <v>Low</v>
      </c>
      <c r="AQ131" s="10" t="b">
        <f aca="false">OR((E131&lt;=Assumptions!$B$8)&lt;&gt;((P131/(P131+Q131)*100)&lt;=Assumptions!$B$8),AM131&lt;&gt;AN131,G131&lt;&gt;AP131)</f>
        <v>0</v>
      </c>
      <c r="AR131" s="2" t="str">
        <f aca="false">IF(AP131&lt;&gt;"Low","Broker-Reliant",IF(B131="Account Managed","AM-Owned / Self-Serving","Self-Serve"))</f>
        <v>AM-Owned / Self-Serving</v>
      </c>
      <c r="AS131" s="2" t="str">
        <f aca="false">IF(AR131="Broker-Reliant",IF(J131="Tail","5. Cost-to-Serve / Low-Touch",IF(OR(N131="Growing",N131="Stable"),"1. Migration Candidate",IF(N131="Declining","2. Protect / Retain First",IF(N131="Lapsed","3. Win-Back / Verify",IF(N131="H2 Active / No H1 GMV","4. Establish / Re-establish / Observe","UNASSIGNED"))))),IF(AP131="Low",IF(J131="Tail","9. Long-Tail Automated Nurture",IF(OR(N131="Growing",N131="Stable"),"6. Growth Opportunity",IF(N131="H2 Active / No H1 GMV","7. Onboard / Re-engage / Learn",IF(OR(N131="Declining",N131="Lapsed"),"8. Retention / Reactivation","UNASSIGNED")))),"UNASSIGNED"))</f>
        <v>9. Long-Tail Automated Nurture</v>
      </c>
      <c r="AT131" s="10" t="b">
        <f aca="false">AS131&lt;&gt;T131</f>
        <v>0</v>
      </c>
      <c r="AU131" s="2" t="str">
        <f aca="false">IF(NOT(U131),"Not Eligible",IF(OR(AQ131,AH131,AK131,NOT(AND(W131&gt;=Assumptions!$B$83,O131&gt;=Assumptions!$B$84))),"Manual Review","Ready"))</f>
        <v>Not Eligible</v>
      </c>
      <c r="AV131" s="2" t="str">
        <f aca="false">IF(AG131,"Key account - human sign-off required; ","")&amp;IF(AH131,"Borderline momentum; ","")&amp;IF(AK131,"February-sensitive ("&amp;N131&amp;" -&gt; "&amp;AJ131&amp;"); ","")&amp;IF(AL131="One-Off / Insufficient History — Verify","Lapsed on thin history - verify; ","")&amp;IF(AQ131,"Material broker % inconsistency (implied tier "&amp;AP131&amp;"); ","")&amp;IF(AT131,"Implied broker % would move segment to "&amp;AS131&amp;"; ","")</f>
        <v>Lapsed on thin history - verify; </v>
      </c>
      <c r="AW131" s="10" t="b">
        <f aca="false">AND(G131="Low",J131="Tail",I131&gt;=Assumptions!$B$64,O131&gt;=Assumptions!$B$65,OR(N131="Growing",N131="Stable",AND(N131="H2 Active / No H1 GMV",W131&gt;=2)),OR(R131&gt;=Assumptions!$B$66,S131&gt;=Assumptions!$B$67))</f>
        <v>0</v>
      </c>
    </row>
    <row r="132" customFormat="false" ht="15" hidden="false" customHeight="false" outlineLevel="0" collapsed="false">
      <c r="A132" s="2" t="s">
        <v>738</v>
      </c>
      <c r="B132" s="2" t="s">
        <v>1571</v>
      </c>
      <c r="C132" s="2" t="s">
        <v>1572</v>
      </c>
      <c r="D132" s="2" t="n">
        <v>18</v>
      </c>
      <c r="E132" s="2" t="n">
        <v>7</v>
      </c>
      <c r="F132" s="21" t="n">
        <f aca="false">INDEX('Scored Accounts'!$Q$2:$Q$301,MATCH($A132,'Scored Accounts'!$A$2:$A$301,0))</f>
        <v>0</v>
      </c>
      <c r="G132" s="2" t="str">
        <f aca="false">INDEX('Scored Accounts'!$R$2:$R$301,MATCH($A132,'Scored Accounts'!$A$2:$A$301,0))</f>
        <v>Low</v>
      </c>
      <c r="H132" s="2" t="str">
        <f aca="false">IF(OR(G132="High",G132="Medium"),"Broker-Reliant",IF(AND(G132="Low",B132="Account Managed"),"AM-Owned / Self-Serving",IF(AND(G132="Low",B132="Self Serve"),"Self-Serve","UNASSIGNED")))</f>
        <v>AM-Owned / Self-Serving</v>
      </c>
      <c r="I132" s="9" t="n">
        <v>363</v>
      </c>
      <c r="J132" s="2" t="str">
        <f aca="false">IF(I132&gt;=Assumptions!$B$35,"Key",IF(I132&gt;=Assumptions!$B$34,"Core","Tail"))</f>
        <v>Tail</v>
      </c>
      <c r="K132" s="9" t="n">
        <f aca="false">INDEX('Commercial View'!$R$2:$R$301,MATCH($A132,'Commercial View'!$A$2:$A$301,0))</f>
        <v>0</v>
      </c>
      <c r="L132" s="9" t="n">
        <f aca="false">INDEX('Commercial View'!$S$2:$S$301,MATCH($A132,'Commercial View'!$A$2:$A$301,0))</f>
        <v>363</v>
      </c>
      <c r="M132" s="17" t="str">
        <f aca="false">INDEX('Commercial View'!$T$2:$T$301,MATCH($A132,'Commercial View'!$A$2:$A$301,0))</f>
        <v/>
      </c>
      <c r="N132" s="2" t="str">
        <f aca="false">INDEX('Commercial View'!$U$2:$U$301,MATCH($A132,'Commercial View'!$A$2:$A$301,0))</f>
        <v>H2 Active / No H1 GMV</v>
      </c>
      <c r="O132" s="2" t="n">
        <v>1</v>
      </c>
      <c r="P132" s="2" t="n">
        <v>0</v>
      </c>
      <c r="Q132" s="2" t="n">
        <v>1</v>
      </c>
      <c r="R132" s="2" t="n">
        <v>10</v>
      </c>
      <c r="S132" s="2" t="n">
        <v>0</v>
      </c>
      <c r="T132" s="2" t="str">
        <f aca="false">IF(H132="Broker-Reliant",IF(J132="Tail","5. Cost-to-Serve / Low-Touch",IF(OR(N132="Growing",N132="Stable"),"1. Migration Candidate",IF(N132="Declining","2. Protect / Retain First",IF(N132="Lapsed","3. Win-Back / Verify",IF(N132="H2 Active / No H1 GMV","4. Establish / Re-establish / Observe","UNASSIGNED"))))),IF(G132="Low",IF(J132="Tail","9. Long-Tail Automated Nurture",IF(OR(N132="Growing",N132="Stable"),"6. Growth Opportunity",IF(N132="H2 Active / No H1 GMV","7. Onboard / Re-engage / Learn",IF(OR(N132="Declining",N132="Lapsed"),"8. Retention / Reactivation","UNASSIGNED")))),"UNASSIGNED"))</f>
        <v>9. Long-Tail Automated Nurture</v>
      </c>
      <c r="U132" s="10" t="b">
        <f aca="false">AND(T132="1. Migration Candidate",J132="Core",O132&gt;=Assumptions!$B$39,Q132&gt;=Assumptions!$B$40,NOT(Z132))</f>
        <v>0</v>
      </c>
      <c r="V132" s="2" t="n">
        <f aca="false">(AND(H132="Broker-Reliant",J132&lt;&gt;"Tail",OR(N132="Growing",N132="Stable")))*1+(AND(H132="Broker-Reliant",J132&lt;&gt;"Tail",N132="Declining"))*1+(AND(H132="Broker-Reliant",J132&lt;&gt;"Tail",N132="Lapsed"))*1+(AND(H132="Broker-Reliant",J132&lt;&gt;"Tail",N132="H2 Active / No H1 GMV"))*1+(AND(H132="Broker-Reliant",J132="Tail"))*1+(AND(G132="Low",J132&lt;&gt;"Tail",OR(N132="Growing",N132="Stable")))*1+(AND(G132="Low",J132&lt;&gt;"Tail",N132="H2 Active / No H1 GMV"))*1+(AND(G132="Low",J132&lt;&gt;"Tail",OR(N132="Declining",N132="Lapsed")))*1+(AND(G132="Low",J132="Tail"))*1</f>
        <v>1</v>
      </c>
      <c r="W132" s="2" t="n">
        <f aca="false">INDEX('Commercial View'!$V$2:$V$301,MATCH($A132,'Commercial View'!$A$2:$A$301,0))</f>
        <v>1</v>
      </c>
      <c r="X132" s="10" t="b">
        <f aca="false">O132&lt;=Assumptions!$B$30</f>
        <v>1</v>
      </c>
      <c r="Y132" s="10" t="b">
        <f aca="false">W132&lt;=1</f>
        <v>1</v>
      </c>
      <c r="Z132" s="10" t="b">
        <f aca="false">C132="Duplicate"</f>
        <v>0</v>
      </c>
      <c r="AA132" s="10" t="b">
        <f aca="false">C132=""</f>
        <v>0</v>
      </c>
      <c r="AB132" s="2" t="n">
        <f aca="false">IF(P132+Q132&gt;0,ROUND(P132/(P132+Q132)*100,0),"")</f>
        <v>0</v>
      </c>
      <c r="AC132" s="2" t="n">
        <f aca="false">IF(P132+Q132&gt;0,ROUND(E132-P132/(P132+Q132)*100,0),"")</f>
        <v>7</v>
      </c>
      <c r="AD132" s="10" t="b">
        <f aca="false">IF(AC132="",FALSE(),ABS(AC132)&gt;Assumptions!$B$41)</f>
        <v>0</v>
      </c>
      <c r="AE132" s="2" t="str">
        <f aca="false">IF(X132,"Low confidence (&lt;=2 orders); ","")&amp;IF(Y132,"Single-month history; ","")&amp;IF(Z132,"CRITICAL: Duplicate status; ","")&amp;IF(AA132,"Missing status; ","")&amp;IF(AD132,"Broker % vs counts gap "&amp;TEXT(AC132,"+0;-0")&amp;"pts; ","")</f>
        <v>Low confidence (&lt;=2 orders); Single-month history; </v>
      </c>
      <c r="AF132" s="2" t="str">
        <f aca="false">IF(AND(K132=0,L132&gt;0),IF(D132&lt;=Assumptions!$B$47,"New Customer","Returned Customer"),"Existing Customer")</f>
        <v>Returned Customer</v>
      </c>
      <c r="AG132" s="10" t="b">
        <f aca="false">AND(T132="1. Migration Candidate",J132="Key")</f>
        <v>0</v>
      </c>
      <c r="AH132" s="10" t="b">
        <f aca="false">IF(AND(K132&gt;0,L132&gt;0),OR(ABS(M132-Assumptions!$B$36)&lt;=Assumptions!$B$46,ABS(M132+Assumptions!$B$36)&lt;=Assumptions!$B$46),FALSE())</f>
        <v>0</v>
      </c>
      <c r="AI132" s="9" t="n">
        <f aca="false">INDEX('Commercial View'!$L$2:$L$301,MATCH($A132,'Commercial View'!$A$2:$A$301,0))+INDEX('Commercial View'!$M$2:$M$301,MATCH($A132,'Commercial View'!$A$2:$A$301,0))</f>
        <v>363</v>
      </c>
      <c r="AJ132" s="2" t="str">
        <f aca="false">IF(AND(K132=0,AI132=0),"No activity ex-Feb",IF(AI132=0,"Lapsed",IF(K132=0,"H2 Active / No H1 GMV",IF((AI132/2)/(K132/3)-1&gt;=Assumptions!$B$36,"Growing",IF((AI132/2)/(K132/3)-1&lt;-Assumptions!$B$36,"Declining","Stable")))))</f>
        <v>H2 Active / No H1 GMV</v>
      </c>
      <c r="AK132" s="10" t="b">
        <f aca="false">IF(OR(N132="Growing",N132="Stable"),"Healthy",N132)&lt;&gt;IF(OR(AJ132="Growing",AJ132="Stable"),"Healthy",AJ132)</f>
        <v>0</v>
      </c>
      <c r="AL132" s="2" t="str">
        <f aca="false">IF(N132="Lapsed",IF(OR(O132&lt;=Assumptions!$B$48,W132&lt;=Assumptions!$B$49),"One-Off / Insufficient History — Verify","Established Buyer Lapsed"),"N/A")</f>
        <v>N/A</v>
      </c>
      <c r="AM132" s="2" t="n">
        <f aca="false">INDEX('Scored Accounts'!$M$2:$M$301,MATCH($A132,'Scored Accounts'!$A$2:$A$301,0))</f>
        <v>0</v>
      </c>
      <c r="AN132" s="2" t="n">
        <f aca="false">IF((P132/(P132+Q132)*100)&lt;=Assumptions!$B$13,0,IF((P132/(P132+Q132)*100)&lt;Assumptions!$B$14,25,IF((P132/(P132+Q132)*100)&lt;Assumptions!$B$15,50,IF((P132/(P132+Q132)*100)&lt;Assumptions!$B$16,75,100))))</f>
        <v>0</v>
      </c>
      <c r="AO132" s="21" t="n">
        <f aca="false">IF((P132/(P132+Q132)*100)&lt;=Assumptions!$B$8,0,AN132*Assumptions!$B$4+INDEX('Scored Accounts'!$N$2:$N$301,MATCH($A132,'Scored Accounts'!$A$2:$A$301,0))*Assumptions!$B$5+INDEX('Scored Accounts'!$O$2:$O$301,MATCH($A132,'Scored Accounts'!$A$2:$A$301,0))*Assumptions!$B$6)</f>
        <v>0</v>
      </c>
      <c r="AP132" s="2" t="str">
        <f aca="false">IF(AO132&gt;=Assumptions!$B$9,"High",IF(AO132&gt;=Assumptions!$B$10,"Medium","Low"))</f>
        <v>Low</v>
      </c>
      <c r="AQ132" s="10" t="b">
        <f aca="false">OR((E132&lt;=Assumptions!$B$8)&lt;&gt;((P132/(P132+Q132)*100)&lt;=Assumptions!$B$8),AM132&lt;&gt;AN132,G132&lt;&gt;AP132)</f>
        <v>0</v>
      </c>
      <c r="AR132" s="2" t="str">
        <f aca="false">IF(AP132&lt;&gt;"Low","Broker-Reliant",IF(B132="Account Managed","AM-Owned / Self-Serving","Self-Serve"))</f>
        <v>AM-Owned / Self-Serving</v>
      </c>
      <c r="AS132" s="2" t="str">
        <f aca="false">IF(AR132="Broker-Reliant",IF(J132="Tail","5. Cost-to-Serve / Low-Touch",IF(OR(N132="Growing",N132="Stable"),"1. Migration Candidate",IF(N132="Declining","2. Protect / Retain First",IF(N132="Lapsed","3. Win-Back / Verify",IF(N132="H2 Active / No H1 GMV","4. Establish / Re-establish / Observe","UNASSIGNED"))))),IF(AP132="Low",IF(J132="Tail","9. Long-Tail Automated Nurture",IF(OR(N132="Growing",N132="Stable"),"6. Growth Opportunity",IF(N132="H2 Active / No H1 GMV","7. Onboard / Re-engage / Learn",IF(OR(N132="Declining",N132="Lapsed"),"8. Retention / Reactivation","UNASSIGNED")))),"UNASSIGNED"))</f>
        <v>9. Long-Tail Automated Nurture</v>
      </c>
      <c r="AT132" s="10" t="b">
        <f aca="false">AS132&lt;&gt;T132</f>
        <v>0</v>
      </c>
      <c r="AU132" s="2" t="str">
        <f aca="false">IF(NOT(U132),"Not Eligible",IF(OR(AQ132,AH132,AK132,NOT(AND(W132&gt;=Assumptions!$B$83,O132&gt;=Assumptions!$B$84))),"Manual Review","Ready"))</f>
        <v>Not Eligible</v>
      </c>
      <c r="AV132" s="2" t="str">
        <f aca="false">IF(AG132,"Key account - human sign-off required; ","")&amp;IF(AH132,"Borderline momentum; ","")&amp;IF(AK132,"February-sensitive ("&amp;N132&amp;" -&gt; "&amp;AJ132&amp;"); ","")&amp;IF(AL132="One-Off / Insufficient History — Verify","Lapsed on thin history - verify; ","")&amp;IF(AQ132,"Material broker % inconsistency (implied tier "&amp;AP132&amp;"); ","")&amp;IF(AT132,"Implied broker % would move segment to "&amp;AS132&amp;"; ","")</f>
        <v/>
      </c>
      <c r="AW132" s="10" t="b">
        <f aca="false">AND(G132="Low",J132="Tail",I132&gt;=Assumptions!$B$64,O132&gt;=Assumptions!$B$65,OR(N132="Growing",N132="Stable",AND(N132="H2 Active / No H1 GMV",W132&gt;=2)),OR(R132&gt;=Assumptions!$B$66,S132&gt;=Assumptions!$B$67))</f>
        <v>0</v>
      </c>
    </row>
    <row r="133" customFormat="false" ht="15" hidden="false" customHeight="false" outlineLevel="0" collapsed="false">
      <c r="A133" s="2" t="s">
        <v>740</v>
      </c>
      <c r="B133" s="2" t="s">
        <v>1571</v>
      </c>
      <c r="C133" s="2" t="s">
        <v>1572</v>
      </c>
      <c r="D133" s="2" t="n">
        <v>28</v>
      </c>
      <c r="E133" s="2" t="n">
        <v>18</v>
      </c>
      <c r="F133" s="21" t="n">
        <f aca="false">INDEX('Scored Accounts'!$Q$2:$Q$301,MATCH($A133,'Scored Accounts'!$A$2:$A$301,0))</f>
        <v>0</v>
      </c>
      <c r="G133" s="2" t="str">
        <f aca="false">INDEX('Scored Accounts'!$R$2:$R$301,MATCH($A133,'Scored Accounts'!$A$2:$A$301,0))</f>
        <v>Low</v>
      </c>
      <c r="H133" s="2" t="str">
        <f aca="false">IF(OR(G133="High",G133="Medium"),"Broker-Reliant",IF(AND(G133="Low",B133="Account Managed"),"AM-Owned / Self-Serving",IF(AND(G133="Low",B133="Self Serve"),"Self-Serve","UNASSIGNED")))</f>
        <v>AM-Owned / Self-Serving</v>
      </c>
      <c r="I133" s="9" t="n">
        <v>360</v>
      </c>
      <c r="J133" s="2" t="str">
        <f aca="false">IF(I133&gt;=Assumptions!$B$35,"Key",IF(I133&gt;=Assumptions!$B$34,"Core","Tail"))</f>
        <v>Tail</v>
      </c>
      <c r="K133" s="9" t="n">
        <f aca="false">INDEX('Commercial View'!$R$2:$R$301,MATCH($A133,'Commercial View'!$A$2:$A$301,0))</f>
        <v>360</v>
      </c>
      <c r="L133" s="9" t="n">
        <f aca="false">INDEX('Commercial View'!$S$2:$S$301,MATCH($A133,'Commercial View'!$A$2:$A$301,0))</f>
        <v>0</v>
      </c>
      <c r="M133" s="17" t="n">
        <f aca="false">INDEX('Commercial View'!$T$2:$T$301,MATCH($A133,'Commercial View'!$A$2:$A$301,0))</f>
        <v>-1</v>
      </c>
      <c r="N133" s="2" t="str">
        <f aca="false">INDEX('Commercial View'!$U$2:$U$301,MATCH($A133,'Commercial View'!$A$2:$A$301,0))</f>
        <v>Lapsed</v>
      </c>
      <c r="O133" s="2" t="n">
        <v>1</v>
      </c>
      <c r="P133" s="2" t="n">
        <v>0</v>
      </c>
      <c r="Q133" s="2" t="n">
        <v>1</v>
      </c>
      <c r="R133" s="2" t="n">
        <v>21</v>
      </c>
      <c r="S133" s="2" t="n">
        <v>0</v>
      </c>
      <c r="T133" s="2" t="str">
        <f aca="false">IF(H133="Broker-Reliant",IF(J133="Tail","5. Cost-to-Serve / Low-Touch",IF(OR(N133="Growing",N133="Stable"),"1. Migration Candidate",IF(N133="Declining","2. Protect / Retain First",IF(N133="Lapsed","3. Win-Back / Verify",IF(N133="H2 Active / No H1 GMV","4. Establish / Re-establish / Observe","UNASSIGNED"))))),IF(G133="Low",IF(J133="Tail","9. Long-Tail Automated Nurture",IF(OR(N133="Growing",N133="Stable"),"6. Growth Opportunity",IF(N133="H2 Active / No H1 GMV","7. Onboard / Re-engage / Learn",IF(OR(N133="Declining",N133="Lapsed"),"8. Retention / Reactivation","UNASSIGNED")))),"UNASSIGNED"))</f>
        <v>9. Long-Tail Automated Nurture</v>
      </c>
      <c r="U133" s="10" t="b">
        <f aca="false">AND(T133="1. Migration Candidate",J133="Core",O133&gt;=Assumptions!$B$39,Q133&gt;=Assumptions!$B$40,NOT(Z133))</f>
        <v>0</v>
      </c>
      <c r="V133" s="2" t="n">
        <f aca="false">(AND(H133="Broker-Reliant",J133&lt;&gt;"Tail",OR(N133="Growing",N133="Stable")))*1+(AND(H133="Broker-Reliant",J133&lt;&gt;"Tail",N133="Declining"))*1+(AND(H133="Broker-Reliant",J133&lt;&gt;"Tail",N133="Lapsed"))*1+(AND(H133="Broker-Reliant",J133&lt;&gt;"Tail",N133="H2 Active / No H1 GMV"))*1+(AND(H133="Broker-Reliant",J133="Tail"))*1+(AND(G133="Low",J133&lt;&gt;"Tail",OR(N133="Growing",N133="Stable")))*1+(AND(G133="Low",J133&lt;&gt;"Tail",N133="H2 Active / No H1 GMV"))*1+(AND(G133="Low",J133&lt;&gt;"Tail",OR(N133="Declining",N133="Lapsed")))*1+(AND(G133="Low",J133="Tail"))*1</f>
        <v>1</v>
      </c>
      <c r="W133" s="2" t="n">
        <f aca="false">INDEX('Commercial View'!$V$2:$V$301,MATCH($A133,'Commercial View'!$A$2:$A$301,0))</f>
        <v>1</v>
      </c>
      <c r="X133" s="10" t="b">
        <f aca="false">O133&lt;=Assumptions!$B$30</f>
        <v>1</v>
      </c>
      <c r="Y133" s="10" t="b">
        <f aca="false">W133&lt;=1</f>
        <v>1</v>
      </c>
      <c r="Z133" s="10" t="b">
        <f aca="false">C133="Duplicate"</f>
        <v>0</v>
      </c>
      <c r="AA133" s="10" t="b">
        <f aca="false">C133=""</f>
        <v>0</v>
      </c>
      <c r="AB133" s="2" t="n">
        <f aca="false">IF(P133+Q133&gt;0,ROUND(P133/(P133+Q133)*100,0),"")</f>
        <v>0</v>
      </c>
      <c r="AC133" s="2" t="n">
        <f aca="false">IF(P133+Q133&gt;0,ROUND(E133-P133/(P133+Q133)*100,0),"")</f>
        <v>18</v>
      </c>
      <c r="AD133" s="10" t="b">
        <f aca="false">IF(AC133="",FALSE(),ABS(AC133)&gt;Assumptions!$B$41)</f>
        <v>1</v>
      </c>
      <c r="AE133" s="2" t="str">
        <f aca="false">IF(X133,"Low confidence (&lt;=2 orders); ","")&amp;IF(Y133,"Single-month history; ","")&amp;IF(Z133,"CRITICAL: Duplicate status; ","")&amp;IF(AA133,"Missing status; ","")&amp;IF(AD133,"Broker % vs counts gap "&amp;TEXT(AC133,"+0;-0")&amp;"pts; ","")</f>
        <v>Low confidence (&lt;=2 orders); Single-month history; Broker % vs counts gap +18pts; </v>
      </c>
      <c r="AF133" s="2" t="str">
        <f aca="false">IF(AND(K133=0,L133&gt;0),IF(D133&lt;=Assumptions!$B$47,"New Customer","Returned Customer"),"Existing Customer")</f>
        <v>Existing Customer</v>
      </c>
      <c r="AG133" s="10" t="b">
        <f aca="false">AND(T133="1. Migration Candidate",J133="Key")</f>
        <v>0</v>
      </c>
      <c r="AH133" s="10" t="b">
        <f aca="false">IF(AND(K133&gt;0,L133&gt;0),OR(ABS(M133-Assumptions!$B$36)&lt;=Assumptions!$B$46,ABS(M133+Assumptions!$B$36)&lt;=Assumptions!$B$46),FALSE())</f>
        <v>0</v>
      </c>
      <c r="AI133" s="9" t="n">
        <f aca="false">INDEX('Commercial View'!$L$2:$L$301,MATCH($A133,'Commercial View'!$A$2:$A$301,0))+INDEX('Commercial View'!$M$2:$M$301,MATCH($A133,'Commercial View'!$A$2:$A$301,0))</f>
        <v>0</v>
      </c>
      <c r="AJ133" s="2" t="str">
        <f aca="false">IF(AND(K133=0,AI133=0),"No activity ex-Feb",IF(AI133=0,"Lapsed",IF(K133=0,"H2 Active / No H1 GMV",IF((AI133/2)/(K133/3)-1&gt;=Assumptions!$B$36,"Growing",IF((AI133/2)/(K133/3)-1&lt;-Assumptions!$B$36,"Declining","Stable")))))</f>
        <v>Lapsed</v>
      </c>
      <c r="AK133" s="10" t="b">
        <f aca="false">IF(OR(N133="Growing",N133="Stable"),"Healthy",N133)&lt;&gt;IF(OR(AJ133="Growing",AJ133="Stable"),"Healthy",AJ133)</f>
        <v>0</v>
      </c>
      <c r="AL133" s="2" t="str">
        <f aca="false">IF(N133="Lapsed",IF(OR(O133&lt;=Assumptions!$B$48,W133&lt;=Assumptions!$B$49),"One-Off / Insufficient History — Verify","Established Buyer Lapsed"),"N/A")</f>
        <v>One-Off / Insufficient History — Verify</v>
      </c>
      <c r="AM133" s="2" t="n">
        <f aca="false">INDEX('Scored Accounts'!$M$2:$M$301,MATCH($A133,'Scored Accounts'!$A$2:$A$301,0))</f>
        <v>0</v>
      </c>
      <c r="AN133" s="2" t="n">
        <f aca="false">IF((P133/(P133+Q133)*100)&lt;=Assumptions!$B$13,0,IF((P133/(P133+Q133)*100)&lt;Assumptions!$B$14,25,IF((P133/(P133+Q133)*100)&lt;Assumptions!$B$15,50,IF((P133/(P133+Q133)*100)&lt;Assumptions!$B$16,75,100))))</f>
        <v>0</v>
      </c>
      <c r="AO133" s="21" t="n">
        <f aca="false">IF((P133/(P133+Q133)*100)&lt;=Assumptions!$B$8,0,AN133*Assumptions!$B$4+INDEX('Scored Accounts'!$N$2:$N$301,MATCH($A133,'Scored Accounts'!$A$2:$A$301,0))*Assumptions!$B$5+INDEX('Scored Accounts'!$O$2:$O$301,MATCH($A133,'Scored Accounts'!$A$2:$A$301,0))*Assumptions!$B$6)</f>
        <v>0</v>
      </c>
      <c r="AP133" s="2" t="str">
        <f aca="false">IF(AO133&gt;=Assumptions!$B$9,"High",IF(AO133&gt;=Assumptions!$B$10,"Medium","Low"))</f>
        <v>Low</v>
      </c>
      <c r="AQ133" s="10" t="b">
        <f aca="false">OR((E133&lt;=Assumptions!$B$8)&lt;&gt;((P133/(P133+Q133)*100)&lt;=Assumptions!$B$8),AM133&lt;&gt;AN133,G133&lt;&gt;AP133)</f>
        <v>0</v>
      </c>
      <c r="AR133" s="2" t="str">
        <f aca="false">IF(AP133&lt;&gt;"Low","Broker-Reliant",IF(B133="Account Managed","AM-Owned / Self-Serving","Self-Serve"))</f>
        <v>AM-Owned / Self-Serving</v>
      </c>
      <c r="AS133" s="2" t="str">
        <f aca="false">IF(AR133="Broker-Reliant",IF(J133="Tail","5. Cost-to-Serve / Low-Touch",IF(OR(N133="Growing",N133="Stable"),"1. Migration Candidate",IF(N133="Declining","2. Protect / Retain First",IF(N133="Lapsed","3. Win-Back / Verify",IF(N133="H2 Active / No H1 GMV","4. Establish / Re-establish / Observe","UNASSIGNED"))))),IF(AP133="Low",IF(J133="Tail","9. Long-Tail Automated Nurture",IF(OR(N133="Growing",N133="Stable"),"6. Growth Opportunity",IF(N133="H2 Active / No H1 GMV","7. Onboard / Re-engage / Learn",IF(OR(N133="Declining",N133="Lapsed"),"8. Retention / Reactivation","UNASSIGNED")))),"UNASSIGNED"))</f>
        <v>9. Long-Tail Automated Nurture</v>
      </c>
      <c r="AT133" s="10" t="b">
        <f aca="false">AS133&lt;&gt;T133</f>
        <v>0</v>
      </c>
      <c r="AU133" s="2" t="str">
        <f aca="false">IF(NOT(U133),"Not Eligible",IF(OR(AQ133,AH133,AK133,NOT(AND(W133&gt;=Assumptions!$B$83,O133&gt;=Assumptions!$B$84))),"Manual Review","Ready"))</f>
        <v>Not Eligible</v>
      </c>
      <c r="AV133" s="2" t="str">
        <f aca="false">IF(AG133,"Key account - human sign-off required; ","")&amp;IF(AH133,"Borderline momentum; ","")&amp;IF(AK133,"February-sensitive ("&amp;N133&amp;" -&gt; "&amp;AJ133&amp;"); ","")&amp;IF(AL133="One-Off / Insufficient History — Verify","Lapsed on thin history - verify; ","")&amp;IF(AQ133,"Material broker % inconsistency (implied tier "&amp;AP133&amp;"); ","")&amp;IF(AT133,"Implied broker % would move segment to "&amp;AS133&amp;"; ","")</f>
        <v>Lapsed on thin history - verify; </v>
      </c>
      <c r="AW133" s="10" t="b">
        <f aca="false">AND(G133="Low",J133="Tail",I133&gt;=Assumptions!$B$64,O133&gt;=Assumptions!$B$65,OR(N133="Growing",N133="Stable",AND(N133="H2 Active / No H1 GMV",W133&gt;=2)),OR(R133&gt;=Assumptions!$B$66,S133&gt;=Assumptions!$B$67))</f>
        <v>0</v>
      </c>
    </row>
    <row r="134" customFormat="false" ht="15" hidden="false" customHeight="false" outlineLevel="0" collapsed="false">
      <c r="A134" s="2" t="s">
        <v>742</v>
      </c>
      <c r="B134" s="2" t="s">
        <v>1571</v>
      </c>
      <c r="C134" s="2"/>
      <c r="D134" s="2" t="n">
        <v>6</v>
      </c>
      <c r="E134" s="2" t="n">
        <v>7</v>
      </c>
      <c r="F134" s="21" t="n">
        <f aca="false">INDEX('Scored Accounts'!$Q$2:$Q$301,MATCH($A134,'Scored Accounts'!$A$2:$A$301,0))</f>
        <v>0</v>
      </c>
      <c r="G134" s="2" t="str">
        <f aca="false">INDEX('Scored Accounts'!$R$2:$R$301,MATCH($A134,'Scored Accounts'!$A$2:$A$301,0))</f>
        <v>Low</v>
      </c>
      <c r="H134" s="2" t="str">
        <f aca="false">IF(OR(G134="High",G134="Medium"),"Broker-Reliant",IF(AND(G134="Low",B134="Account Managed"),"AM-Owned / Self-Serving",IF(AND(G134="Low",B134="Self Serve"),"Self-Serve","UNASSIGNED")))</f>
        <v>AM-Owned / Self-Serving</v>
      </c>
      <c r="I134" s="9" t="n">
        <v>356</v>
      </c>
      <c r="J134" s="2" t="str">
        <f aca="false">IF(I134&gt;=Assumptions!$B$35,"Key",IF(I134&gt;=Assumptions!$B$34,"Core","Tail"))</f>
        <v>Tail</v>
      </c>
      <c r="K134" s="9" t="n">
        <f aca="false">INDEX('Commercial View'!$R$2:$R$301,MATCH($A134,'Commercial View'!$A$2:$A$301,0))</f>
        <v>356</v>
      </c>
      <c r="L134" s="9" t="n">
        <f aca="false">INDEX('Commercial View'!$S$2:$S$301,MATCH($A134,'Commercial View'!$A$2:$A$301,0))</f>
        <v>0</v>
      </c>
      <c r="M134" s="17" t="n">
        <f aca="false">INDEX('Commercial View'!$T$2:$T$301,MATCH($A134,'Commercial View'!$A$2:$A$301,0))</f>
        <v>-1</v>
      </c>
      <c r="N134" s="2" t="str">
        <f aca="false">INDEX('Commercial View'!$U$2:$U$301,MATCH($A134,'Commercial View'!$A$2:$A$301,0))</f>
        <v>Lapsed</v>
      </c>
      <c r="O134" s="2" t="n">
        <v>1</v>
      </c>
      <c r="P134" s="2" t="n">
        <v>0</v>
      </c>
      <c r="Q134" s="2" t="n">
        <v>1</v>
      </c>
      <c r="R134" s="2" t="n">
        <v>3</v>
      </c>
      <c r="S134" s="2" t="n">
        <v>0</v>
      </c>
      <c r="T134" s="2" t="str">
        <f aca="false">IF(H134="Broker-Reliant",IF(J134="Tail","5. Cost-to-Serve / Low-Touch",IF(OR(N134="Growing",N134="Stable"),"1. Migration Candidate",IF(N134="Declining","2. Protect / Retain First",IF(N134="Lapsed","3. Win-Back / Verify",IF(N134="H2 Active / No H1 GMV","4. Establish / Re-establish / Observe","UNASSIGNED"))))),IF(G134="Low",IF(J134="Tail","9. Long-Tail Automated Nurture",IF(OR(N134="Growing",N134="Stable"),"6. Growth Opportunity",IF(N134="H2 Active / No H1 GMV","7. Onboard / Re-engage / Learn",IF(OR(N134="Declining",N134="Lapsed"),"8. Retention / Reactivation","UNASSIGNED")))),"UNASSIGNED"))</f>
        <v>9. Long-Tail Automated Nurture</v>
      </c>
      <c r="U134" s="10" t="b">
        <f aca="false">AND(T134="1. Migration Candidate",J134="Core",O134&gt;=Assumptions!$B$39,Q134&gt;=Assumptions!$B$40,NOT(Z134))</f>
        <v>0</v>
      </c>
      <c r="V134" s="2" t="n">
        <f aca="false">(AND(H134="Broker-Reliant",J134&lt;&gt;"Tail",OR(N134="Growing",N134="Stable")))*1+(AND(H134="Broker-Reliant",J134&lt;&gt;"Tail",N134="Declining"))*1+(AND(H134="Broker-Reliant",J134&lt;&gt;"Tail",N134="Lapsed"))*1+(AND(H134="Broker-Reliant",J134&lt;&gt;"Tail",N134="H2 Active / No H1 GMV"))*1+(AND(H134="Broker-Reliant",J134="Tail"))*1+(AND(G134="Low",J134&lt;&gt;"Tail",OR(N134="Growing",N134="Stable")))*1+(AND(G134="Low",J134&lt;&gt;"Tail",N134="H2 Active / No H1 GMV"))*1+(AND(G134="Low",J134&lt;&gt;"Tail",OR(N134="Declining",N134="Lapsed")))*1+(AND(G134="Low",J134="Tail"))*1</f>
        <v>1</v>
      </c>
      <c r="W134" s="2" t="n">
        <f aca="false">INDEX('Commercial View'!$V$2:$V$301,MATCH($A134,'Commercial View'!$A$2:$A$301,0))</f>
        <v>1</v>
      </c>
      <c r="X134" s="10" t="b">
        <f aca="false">O134&lt;=Assumptions!$B$30</f>
        <v>1</v>
      </c>
      <c r="Y134" s="10" t="b">
        <f aca="false">W134&lt;=1</f>
        <v>1</v>
      </c>
      <c r="Z134" s="10" t="b">
        <f aca="false">C134="Duplicate"</f>
        <v>0</v>
      </c>
      <c r="AA134" s="10" t="b">
        <f aca="false">C134=""</f>
        <v>1</v>
      </c>
      <c r="AB134" s="2" t="n">
        <f aca="false">IF(P134+Q134&gt;0,ROUND(P134/(P134+Q134)*100,0),"")</f>
        <v>0</v>
      </c>
      <c r="AC134" s="2" t="n">
        <f aca="false">IF(P134+Q134&gt;0,ROUND(E134-P134/(P134+Q134)*100,0),"")</f>
        <v>7</v>
      </c>
      <c r="AD134" s="10" t="b">
        <f aca="false">IF(AC134="",FALSE(),ABS(AC134)&gt;Assumptions!$B$41)</f>
        <v>0</v>
      </c>
      <c r="AE134" s="2" t="str">
        <f aca="false">IF(X134,"Low confidence (&lt;=2 orders); ","")&amp;IF(Y134,"Single-month history; ","")&amp;IF(Z134,"CRITICAL: Duplicate status; ","")&amp;IF(AA134,"Missing status; ","")&amp;IF(AD134,"Broker % vs counts gap "&amp;TEXT(AC134,"+0;-0")&amp;"pts; ","")</f>
        <v>Low confidence (&lt;=2 orders); Single-month history; Missing status; </v>
      </c>
      <c r="AF134" s="2" t="str">
        <f aca="false">IF(AND(K134=0,L134&gt;0),IF(D134&lt;=Assumptions!$B$47,"New Customer","Returned Customer"),"Existing Customer")</f>
        <v>Existing Customer</v>
      </c>
      <c r="AG134" s="10" t="b">
        <f aca="false">AND(T134="1. Migration Candidate",J134="Key")</f>
        <v>0</v>
      </c>
      <c r="AH134" s="10" t="b">
        <f aca="false">IF(AND(K134&gt;0,L134&gt;0),OR(ABS(M134-Assumptions!$B$36)&lt;=Assumptions!$B$46,ABS(M134+Assumptions!$B$36)&lt;=Assumptions!$B$46),FALSE())</f>
        <v>0</v>
      </c>
      <c r="AI134" s="9" t="n">
        <f aca="false">INDEX('Commercial View'!$L$2:$L$301,MATCH($A134,'Commercial View'!$A$2:$A$301,0))+INDEX('Commercial View'!$M$2:$M$301,MATCH($A134,'Commercial View'!$A$2:$A$301,0))</f>
        <v>0</v>
      </c>
      <c r="AJ134" s="2" t="str">
        <f aca="false">IF(AND(K134=0,AI134=0),"No activity ex-Feb",IF(AI134=0,"Lapsed",IF(K134=0,"H2 Active / No H1 GMV",IF((AI134/2)/(K134/3)-1&gt;=Assumptions!$B$36,"Growing",IF((AI134/2)/(K134/3)-1&lt;-Assumptions!$B$36,"Declining","Stable")))))</f>
        <v>Lapsed</v>
      </c>
      <c r="AK134" s="10" t="b">
        <f aca="false">IF(OR(N134="Growing",N134="Stable"),"Healthy",N134)&lt;&gt;IF(OR(AJ134="Growing",AJ134="Stable"),"Healthy",AJ134)</f>
        <v>0</v>
      </c>
      <c r="AL134" s="2" t="str">
        <f aca="false">IF(N134="Lapsed",IF(OR(O134&lt;=Assumptions!$B$48,W134&lt;=Assumptions!$B$49),"One-Off / Insufficient History — Verify","Established Buyer Lapsed"),"N/A")</f>
        <v>One-Off / Insufficient History — Verify</v>
      </c>
      <c r="AM134" s="2" t="n">
        <f aca="false">INDEX('Scored Accounts'!$M$2:$M$301,MATCH($A134,'Scored Accounts'!$A$2:$A$301,0))</f>
        <v>0</v>
      </c>
      <c r="AN134" s="2" t="n">
        <f aca="false">IF((P134/(P134+Q134)*100)&lt;=Assumptions!$B$13,0,IF((P134/(P134+Q134)*100)&lt;Assumptions!$B$14,25,IF((P134/(P134+Q134)*100)&lt;Assumptions!$B$15,50,IF((P134/(P134+Q134)*100)&lt;Assumptions!$B$16,75,100))))</f>
        <v>0</v>
      </c>
      <c r="AO134" s="21" t="n">
        <f aca="false">IF((P134/(P134+Q134)*100)&lt;=Assumptions!$B$8,0,AN134*Assumptions!$B$4+INDEX('Scored Accounts'!$N$2:$N$301,MATCH($A134,'Scored Accounts'!$A$2:$A$301,0))*Assumptions!$B$5+INDEX('Scored Accounts'!$O$2:$O$301,MATCH($A134,'Scored Accounts'!$A$2:$A$301,0))*Assumptions!$B$6)</f>
        <v>0</v>
      </c>
      <c r="AP134" s="2" t="str">
        <f aca="false">IF(AO134&gt;=Assumptions!$B$9,"High",IF(AO134&gt;=Assumptions!$B$10,"Medium","Low"))</f>
        <v>Low</v>
      </c>
      <c r="AQ134" s="10" t="b">
        <f aca="false">OR((E134&lt;=Assumptions!$B$8)&lt;&gt;((P134/(P134+Q134)*100)&lt;=Assumptions!$B$8),AM134&lt;&gt;AN134,G134&lt;&gt;AP134)</f>
        <v>0</v>
      </c>
      <c r="AR134" s="2" t="str">
        <f aca="false">IF(AP134&lt;&gt;"Low","Broker-Reliant",IF(B134="Account Managed","AM-Owned / Self-Serving","Self-Serve"))</f>
        <v>AM-Owned / Self-Serving</v>
      </c>
      <c r="AS134" s="2" t="str">
        <f aca="false">IF(AR134="Broker-Reliant",IF(J134="Tail","5. Cost-to-Serve / Low-Touch",IF(OR(N134="Growing",N134="Stable"),"1. Migration Candidate",IF(N134="Declining","2. Protect / Retain First",IF(N134="Lapsed","3. Win-Back / Verify",IF(N134="H2 Active / No H1 GMV","4. Establish / Re-establish / Observe","UNASSIGNED"))))),IF(AP134="Low",IF(J134="Tail","9. Long-Tail Automated Nurture",IF(OR(N134="Growing",N134="Stable"),"6. Growth Opportunity",IF(N134="H2 Active / No H1 GMV","7. Onboard / Re-engage / Learn",IF(OR(N134="Declining",N134="Lapsed"),"8. Retention / Reactivation","UNASSIGNED")))),"UNASSIGNED"))</f>
        <v>9. Long-Tail Automated Nurture</v>
      </c>
      <c r="AT134" s="10" t="b">
        <f aca="false">AS134&lt;&gt;T134</f>
        <v>0</v>
      </c>
      <c r="AU134" s="2" t="str">
        <f aca="false">IF(NOT(U134),"Not Eligible",IF(OR(AQ134,AH134,AK134,NOT(AND(W134&gt;=Assumptions!$B$83,O134&gt;=Assumptions!$B$84))),"Manual Review","Ready"))</f>
        <v>Not Eligible</v>
      </c>
      <c r="AV134" s="2" t="str">
        <f aca="false">IF(AG134,"Key account - human sign-off required; ","")&amp;IF(AH134,"Borderline momentum; ","")&amp;IF(AK134,"February-sensitive ("&amp;N134&amp;" -&gt; "&amp;AJ134&amp;"); ","")&amp;IF(AL134="One-Off / Insufficient History — Verify","Lapsed on thin history - verify; ","")&amp;IF(AQ134,"Material broker % inconsistency (implied tier "&amp;AP134&amp;"); ","")&amp;IF(AT134,"Implied broker % would move segment to "&amp;AS134&amp;"; ","")</f>
        <v>Lapsed on thin history - verify; </v>
      </c>
      <c r="AW134" s="10" t="b">
        <f aca="false">AND(G134="Low",J134="Tail",I134&gt;=Assumptions!$B$64,O134&gt;=Assumptions!$B$65,OR(N134="Growing",N134="Stable",AND(N134="H2 Active / No H1 GMV",W134&gt;=2)),OR(R134&gt;=Assumptions!$B$66,S134&gt;=Assumptions!$B$67))</f>
        <v>0</v>
      </c>
    </row>
    <row r="135" customFormat="false" ht="15" hidden="false" customHeight="false" outlineLevel="0" collapsed="false">
      <c r="A135" s="2" t="s">
        <v>744</v>
      </c>
      <c r="B135" s="2" t="s">
        <v>1571</v>
      </c>
      <c r="C135" s="2" t="s">
        <v>1572</v>
      </c>
      <c r="D135" s="2" t="n">
        <v>11</v>
      </c>
      <c r="E135" s="2" t="n">
        <v>7</v>
      </c>
      <c r="F135" s="21" t="n">
        <f aca="false">INDEX('Scored Accounts'!$Q$2:$Q$301,MATCH($A135,'Scored Accounts'!$A$2:$A$301,0))</f>
        <v>0</v>
      </c>
      <c r="G135" s="2" t="str">
        <f aca="false">INDEX('Scored Accounts'!$R$2:$R$301,MATCH($A135,'Scored Accounts'!$A$2:$A$301,0))</f>
        <v>Low</v>
      </c>
      <c r="H135" s="2" t="str">
        <f aca="false">IF(OR(G135="High",G135="Medium"),"Broker-Reliant",IF(AND(G135="Low",B135="Account Managed"),"AM-Owned / Self-Serving",IF(AND(G135="Low",B135="Self Serve"),"Self-Serve","UNASSIGNED")))</f>
        <v>AM-Owned / Self-Serving</v>
      </c>
      <c r="I135" s="9" t="n">
        <v>355</v>
      </c>
      <c r="J135" s="2" t="str">
        <f aca="false">IF(I135&gt;=Assumptions!$B$35,"Key",IF(I135&gt;=Assumptions!$B$34,"Core","Tail"))</f>
        <v>Tail</v>
      </c>
      <c r="K135" s="9" t="n">
        <f aca="false">INDEX('Commercial View'!$R$2:$R$301,MATCH($A135,'Commercial View'!$A$2:$A$301,0))</f>
        <v>0</v>
      </c>
      <c r="L135" s="9" t="n">
        <f aca="false">INDEX('Commercial View'!$S$2:$S$301,MATCH($A135,'Commercial View'!$A$2:$A$301,0))</f>
        <v>355</v>
      </c>
      <c r="M135" s="17" t="str">
        <f aca="false">INDEX('Commercial View'!$T$2:$T$301,MATCH($A135,'Commercial View'!$A$2:$A$301,0))</f>
        <v/>
      </c>
      <c r="N135" s="2" t="str">
        <f aca="false">INDEX('Commercial View'!$U$2:$U$301,MATCH($A135,'Commercial View'!$A$2:$A$301,0))</f>
        <v>H2 Active / No H1 GMV</v>
      </c>
      <c r="O135" s="2" t="n">
        <v>1</v>
      </c>
      <c r="P135" s="2" t="n">
        <v>0</v>
      </c>
      <c r="Q135" s="2" t="n">
        <v>1</v>
      </c>
      <c r="R135" s="2" t="n">
        <v>11</v>
      </c>
      <c r="S135" s="2" t="n">
        <v>16</v>
      </c>
      <c r="T135" s="2" t="str">
        <f aca="false">IF(H135="Broker-Reliant",IF(J135="Tail","5. Cost-to-Serve / Low-Touch",IF(OR(N135="Growing",N135="Stable"),"1. Migration Candidate",IF(N135="Declining","2. Protect / Retain First",IF(N135="Lapsed","3. Win-Back / Verify",IF(N135="H2 Active / No H1 GMV","4. Establish / Re-establish / Observe","UNASSIGNED"))))),IF(G135="Low",IF(J135="Tail","9. Long-Tail Automated Nurture",IF(OR(N135="Growing",N135="Stable"),"6. Growth Opportunity",IF(N135="H2 Active / No H1 GMV","7. Onboard / Re-engage / Learn",IF(OR(N135="Declining",N135="Lapsed"),"8. Retention / Reactivation","UNASSIGNED")))),"UNASSIGNED"))</f>
        <v>9. Long-Tail Automated Nurture</v>
      </c>
      <c r="U135" s="10" t="b">
        <f aca="false">AND(T135="1. Migration Candidate",J135="Core",O135&gt;=Assumptions!$B$39,Q135&gt;=Assumptions!$B$40,NOT(Z135))</f>
        <v>0</v>
      </c>
      <c r="V135" s="2" t="n">
        <f aca="false">(AND(H135="Broker-Reliant",J135&lt;&gt;"Tail",OR(N135="Growing",N135="Stable")))*1+(AND(H135="Broker-Reliant",J135&lt;&gt;"Tail",N135="Declining"))*1+(AND(H135="Broker-Reliant",J135&lt;&gt;"Tail",N135="Lapsed"))*1+(AND(H135="Broker-Reliant",J135&lt;&gt;"Tail",N135="H2 Active / No H1 GMV"))*1+(AND(H135="Broker-Reliant",J135="Tail"))*1+(AND(G135="Low",J135&lt;&gt;"Tail",OR(N135="Growing",N135="Stable")))*1+(AND(G135="Low",J135&lt;&gt;"Tail",N135="H2 Active / No H1 GMV"))*1+(AND(G135="Low",J135&lt;&gt;"Tail",OR(N135="Declining",N135="Lapsed")))*1+(AND(G135="Low",J135="Tail"))*1</f>
        <v>1</v>
      </c>
      <c r="W135" s="2" t="n">
        <f aca="false">INDEX('Commercial View'!$V$2:$V$301,MATCH($A135,'Commercial View'!$A$2:$A$301,0))</f>
        <v>1</v>
      </c>
      <c r="X135" s="10" t="b">
        <f aca="false">O135&lt;=Assumptions!$B$30</f>
        <v>1</v>
      </c>
      <c r="Y135" s="10" t="b">
        <f aca="false">W135&lt;=1</f>
        <v>1</v>
      </c>
      <c r="Z135" s="10" t="b">
        <f aca="false">C135="Duplicate"</f>
        <v>0</v>
      </c>
      <c r="AA135" s="10" t="b">
        <f aca="false">C135=""</f>
        <v>0</v>
      </c>
      <c r="AB135" s="2" t="n">
        <f aca="false">IF(P135+Q135&gt;0,ROUND(P135/(P135+Q135)*100,0),"")</f>
        <v>0</v>
      </c>
      <c r="AC135" s="2" t="n">
        <f aca="false">IF(P135+Q135&gt;0,ROUND(E135-P135/(P135+Q135)*100,0),"")</f>
        <v>7</v>
      </c>
      <c r="AD135" s="10" t="b">
        <f aca="false">IF(AC135="",FALSE(),ABS(AC135)&gt;Assumptions!$B$41)</f>
        <v>0</v>
      </c>
      <c r="AE135" s="2" t="str">
        <f aca="false">IF(X135,"Low confidence (&lt;=2 orders); ","")&amp;IF(Y135,"Single-month history; ","")&amp;IF(Z135,"CRITICAL: Duplicate status; ","")&amp;IF(AA135,"Missing status; ","")&amp;IF(AD135,"Broker % vs counts gap "&amp;TEXT(AC135,"+0;-0")&amp;"pts; ","")</f>
        <v>Low confidence (&lt;=2 orders); Single-month history; </v>
      </c>
      <c r="AF135" s="2" t="str">
        <f aca="false">IF(AND(K135=0,L135&gt;0),IF(D135&lt;=Assumptions!$B$47,"New Customer","Returned Customer"),"Existing Customer")</f>
        <v>Returned Customer</v>
      </c>
      <c r="AG135" s="10" t="b">
        <f aca="false">AND(T135="1. Migration Candidate",J135="Key")</f>
        <v>0</v>
      </c>
      <c r="AH135" s="10" t="b">
        <f aca="false">IF(AND(K135&gt;0,L135&gt;0),OR(ABS(M135-Assumptions!$B$36)&lt;=Assumptions!$B$46,ABS(M135+Assumptions!$B$36)&lt;=Assumptions!$B$46),FALSE())</f>
        <v>0</v>
      </c>
      <c r="AI135" s="9" t="n">
        <f aca="false">INDEX('Commercial View'!$L$2:$L$301,MATCH($A135,'Commercial View'!$A$2:$A$301,0))+INDEX('Commercial View'!$M$2:$M$301,MATCH($A135,'Commercial View'!$A$2:$A$301,0))</f>
        <v>0</v>
      </c>
      <c r="AJ135" s="2" t="str">
        <f aca="false">IF(AND(K135=0,AI135=0),"No activity ex-Feb",IF(AI135=0,"Lapsed",IF(K135=0,"H2 Active / No H1 GMV",IF((AI135/2)/(K135/3)-1&gt;=Assumptions!$B$36,"Growing",IF((AI135/2)/(K135/3)-1&lt;-Assumptions!$B$36,"Declining","Stable")))))</f>
        <v>No activity ex-Feb</v>
      </c>
      <c r="AK135" s="10" t="b">
        <f aca="false">IF(OR(N135="Growing",N135="Stable"),"Healthy",N135)&lt;&gt;IF(OR(AJ135="Growing",AJ135="Stable"),"Healthy",AJ135)</f>
        <v>1</v>
      </c>
      <c r="AL135" s="2" t="str">
        <f aca="false">IF(N135="Lapsed",IF(OR(O135&lt;=Assumptions!$B$48,W135&lt;=Assumptions!$B$49),"One-Off / Insufficient History — Verify","Established Buyer Lapsed"),"N/A")</f>
        <v>N/A</v>
      </c>
      <c r="AM135" s="2" t="n">
        <f aca="false">INDEX('Scored Accounts'!$M$2:$M$301,MATCH($A135,'Scored Accounts'!$A$2:$A$301,0))</f>
        <v>0</v>
      </c>
      <c r="AN135" s="2" t="n">
        <f aca="false">IF((P135/(P135+Q135)*100)&lt;=Assumptions!$B$13,0,IF((P135/(P135+Q135)*100)&lt;Assumptions!$B$14,25,IF((P135/(P135+Q135)*100)&lt;Assumptions!$B$15,50,IF((P135/(P135+Q135)*100)&lt;Assumptions!$B$16,75,100))))</f>
        <v>0</v>
      </c>
      <c r="AO135" s="21" t="n">
        <f aca="false">IF((P135/(P135+Q135)*100)&lt;=Assumptions!$B$8,0,AN135*Assumptions!$B$4+INDEX('Scored Accounts'!$N$2:$N$301,MATCH($A135,'Scored Accounts'!$A$2:$A$301,0))*Assumptions!$B$5+INDEX('Scored Accounts'!$O$2:$O$301,MATCH($A135,'Scored Accounts'!$A$2:$A$301,0))*Assumptions!$B$6)</f>
        <v>0</v>
      </c>
      <c r="AP135" s="2" t="str">
        <f aca="false">IF(AO135&gt;=Assumptions!$B$9,"High",IF(AO135&gt;=Assumptions!$B$10,"Medium","Low"))</f>
        <v>Low</v>
      </c>
      <c r="AQ135" s="10" t="b">
        <f aca="false">OR((E135&lt;=Assumptions!$B$8)&lt;&gt;((P135/(P135+Q135)*100)&lt;=Assumptions!$B$8),AM135&lt;&gt;AN135,G135&lt;&gt;AP135)</f>
        <v>0</v>
      </c>
      <c r="AR135" s="2" t="str">
        <f aca="false">IF(AP135&lt;&gt;"Low","Broker-Reliant",IF(B135="Account Managed","AM-Owned / Self-Serving","Self-Serve"))</f>
        <v>AM-Owned / Self-Serving</v>
      </c>
      <c r="AS135" s="2" t="str">
        <f aca="false">IF(AR135="Broker-Reliant",IF(J135="Tail","5. Cost-to-Serve / Low-Touch",IF(OR(N135="Growing",N135="Stable"),"1. Migration Candidate",IF(N135="Declining","2. Protect / Retain First",IF(N135="Lapsed","3. Win-Back / Verify",IF(N135="H2 Active / No H1 GMV","4. Establish / Re-establish / Observe","UNASSIGNED"))))),IF(AP135="Low",IF(J135="Tail","9. Long-Tail Automated Nurture",IF(OR(N135="Growing",N135="Stable"),"6. Growth Opportunity",IF(N135="H2 Active / No H1 GMV","7. Onboard / Re-engage / Learn",IF(OR(N135="Declining",N135="Lapsed"),"8. Retention / Reactivation","UNASSIGNED")))),"UNASSIGNED"))</f>
        <v>9. Long-Tail Automated Nurture</v>
      </c>
      <c r="AT135" s="10" t="b">
        <f aca="false">AS135&lt;&gt;T135</f>
        <v>0</v>
      </c>
      <c r="AU135" s="2" t="str">
        <f aca="false">IF(NOT(U135),"Not Eligible",IF(OR(AQ135,AH135,AK135,NOT(AND(W135&gt;=Assumptions!$B$83,O135&gt;=Assumptions!$B$84))),"Manual Review","Ready"))</f>
        <v>Not Eligible</v>
      </c>
      <c r="AV135" s="2" t="str">
        <f aca="false">IF(AG135,"Key account - human sign-off required; ","")&amp;IF(AH135,"Borderline momentum; ","")&amp;IF(AK135,"February-sensitive ("&amp;N135&amp;" -&gt; "&amp;AJ135&amp;"); ","")&amp;IF(AL135="One-Off / Insufficient History — Verify","Lapsed on thin history - verify; ","")&amp;IF(AQ135,"Material broker % inconsistency (implied tier "&amp;AP135&amp;"); ","")&amp;IF(AT135,"Implied broker % would move segment to "&amp;AS135&amp;"; ","")</f>
        <v>February-sensitive (H2 Active / No H1 GMV -&gt; No activity ex-Feb); </v>
      </c>
      <c r="AW135" s="10" t="b">
        <f aca="false">AND(G135="Low",J135="Tail",I135&gt;=Assumptions!$B$64,O135&gt;=Assumptions!$B$65,OR(N135="Growing",N135="Stable",AND(N135="H2 Active / No H1 GMV",W135&gt;=2)),OR(R135&gt;=Assumptions!$B$66,S135&gt;=Assumptions!$B$67))</f>
        <v>0</v>
      </c>
    </row>
    <row r="136" customFormat="false" ht="15" hidden="false" customHeight="false" outlineLevel="0" collapsed="false">
      <c r="A136" s="2" t="s">
        <v>746</v>
      </c>
      <c r="B136" s="2" t="s">
        <v>1571</v>
      </c>
      <c r="C136" s="2" t="s">
        <v>1572</v>
      </c>
      <c r="D136" s="2" t="n">
        <v>6</v>
      </c>
      <c r="E136" s="2" t="n">
        <v>11</v>
      </c>
      <c r="F136" s="21" t="n">
        <f aca="false">INDEX('Scored Accounts'!$Q$2:$Q$301,MATCH($A136,'Scored Accounts'!$A$2:$A$301,0))</f>
        <v>0</v>
      </c>
      <c r="G136" s="2" t="str">
        <f aca="false">INDEX('Scored Accounts'!$R$2:$R$301,MATCH($A136,'Scored Accounts'!$A$2:$A$301,0))</f>
        <v>Low</v>
      </c>
      <c r="H136" s="2" t="str">
        <f aca="false">IF(OR(G136="High",G136="Medium"),"Broker-Reliant",IF(AND(G136="Low",B136="Account Managed"),"AM-Owned / Self-Serving",IF(AND(G136="Low",B136="Self Serve"),"Self-Serve","UNASSIGNED")))</f>
        <v>AM-Owned / Self-Serving</v>
      </c>
      <c r="I136" s="9" t="n">
        <v>353</v>
      </c>
      <c r="J136" s="2" t="str">
        <f aca="false">IF(I136&gt;=Assumptions!$B$35,"Key",IF(I136&gt;=Assumptions!$B$34,"Core","Tail"))</f>
        <v>Tail</v>
      </c>
      <c r="K136" s="9" t="n">
        <f aca="false">INDEX('Commercial View'!$R$2:$R$301,MATCH($A136,'Commercial View'!$A$2:$A$301,0))</f>
        <v>353</v>
      </c>
      <c r="L136" s="9" t="n">
        <f aca="false">INDEX('Commercial View'!$S$2:$S$301,MATCH($A136,'Commercial View'!$A$2:$A$301,0))</f>
        <v>0</v>
      </c>
      <c r="M136" s="17" t="n">
        <f aca="false">INDEX('Commercial View'!$T$2:$T$301,MATCH($A136,'Commercial View'!$A$2:$A$301,0))</f>
        <v>-1</v>
      </c>
      <c r="N136" s="2" t="str">
        <f aca="false">INDEX('Commercial View'!$U$2:$U$301,MATCH($A136,'Commercial View'!$A$2:$A$301,0))</f>
        <v>Lapsed</v>
      </c>
      <c r="O136" s="2" t="n">
        <v>2</v>
      </c>
      <c r="P136" s="2" t="n">
        <v>0</v>
      </c>
      <c r="Q136" s="2" t="n">
        <v>2</v>
      </c>
      <c r="R136" s="2" t="n">
        <v>7</v>
      </c>
      <c r="S136" s="2" t="n">
        <v>0</v>
      </c>
      <c r="T136" s="2" t="str">
        <f aca="false">IF(H136="Broker-Reliant",IF(J136="Tail","5. Cost-to-Serve / Low-Touch",IF(OR(N136="Growing",N136="Stable"),"1. Migration Candidate",IF(N136="Declining","2. Protect / Retain First",IF(N136="Lapsed","3. Win-Back / Verify",IF(N136="H2 Active / No H1 GMV","4. Establish / Re-establish / Observe","UNASSIGNED"))))),IF(G136="Low",IF(J136="Tail","9. Long-Tail Automated Nurture",IF(OR(N136="Growing",N136="Stable"),"6. Growth Opportunity",IF(N136="H2 Active / No H1 GMV","7. Onboard / Re-engage / Learn",IF(OR(N136="Declining",N136="Lapsed"),"8. Retention / Reactivation","UNASSIGNED")))),"UNASSIGNED"))</f>
        <v>9. Long-Tail Automated Nurture</v>
      </c>
      <c r="U136" s="10" t="b">
        <f aca="false">AND(T136="1. Migration Candidate",J136="Core",O136&gt;=Assumptions!$B$39,Q136&gt;=Assumptions!$B$40,NOT(Z136))</f>
        <v>0</v>
      </c>
      <c r="V136" s="2" t="n">
        <f aca="false">(AND(H136="Broker-Reliant",J136&lt;&gt;"Tail",OR(N136="Growing",N136="Stable")))*1+(AND(H136="Broker-Reliant",J136&lt;&gt;"Tail",N136="Declining"))*1+(AND(H136="Broker-Reliant",J136&lt;&gt;"Tail",N136="Lapsed"))*1+(AND(H136="Broker-Reliant",J136&lt;&gt;"Tail",N136="H2 Active / No H1 GMV"))*1+(AND(H136="Broker-Reliant",J136="Tail"))*1+(AND(G136="Low",J136&lt;&gt;"Tail",OR(N136="Growing",N136="Stable")))*1+(AND(G136="Low",J136&lt;&gt;"Tail",N136="H2 Active / No H1 GMV"))*1+(AND(G136="Low",J136&lt;&gt;"Tail",OR(N136="Declining",N136="Lapsed")))*1+(AND(G136="Low",J136="Tail"))*1</f>
        <v>1</v>
      </c>
      <c r="W136" s="2" t="n">
        <f aca="false">INDEX('Commercial View'!$V$2:$V$301,MATCH($A136,'Commercial View'!$A$2:$A$301,0))</f>
        <v>2</v>
      </c>
      <c r="X136" s="10" t="b">
        <f aca="false">O136&lt;=Assumptions!$B$30</f>
        <v>1</v>
      </c>
      <c r="Y136" s="10" t="b">
        <f aca="false">W136&lt;=1</f>
        <v>0</v>
      </c>
      <c r="Z136" s="10" t="b">
        <f aca="false">C136="Duplicate"</f>
        <v>0</v>
      </c>
      <c r="AA136" s="10" t="b">
        <f aca="false">C136=""</f>
        <v>0</v>
      </c>
      <c r="AB136" s="2" t="n">
        <f aca="false">IF(P136+Q136&gt;0,ROUND(P136/(P136+Q136)*100,0),"")</f>
        <v>0</v>
      </c>
      <c r="AC136" s="2" t="n">
        <f aca="false">IF(P136+Q136&gt;0,ROUND(E136-P136/(P136+Q136)*100,0),"")</f>
        <v>11</v>
      </c>
      <c r="AD136" s="10" t="b">
        <f aca="false">IF(AC136="",FALSE(),ABS(AC136)&gt;Assumptions!$B$41)</f>
        <v>1</v>
      </c>
      <c r="AE136" s="2" t="str">
        <f aca="false">IF(X136,"Low confidence (&lt;=2 orders); ","")&amp;IF(Y136,"Single-month history; ","")&amp;IF(Z136,"CRITICAL: Duplicate status; ","")&amp;IF(AA136,"Missing status; ","")&amp;IF(AD136,"Broker % vs counts gap "&amp;TEXT(AC136,"+0;-0")&amp;"pts; ","")</f>
        <v>Low confidence (&lt;=2 orders); Broker % vs counts gap +11pts; </v>
      </c>
      <c r="AF136" s="2" t="str">
        <f aca="false">IF(AND(K136=0,L136&gt;0),IF(D136&lt;=Assumptions!$B$47,"New Customer","Returned Customer"),"Existing Customer")</f>
        <v>Existing Customer</v>
      </c>
      <c r="AG136" s="10" t="b">
        <f aca="false">AND(T136="1. Migration Candidate",J136="Key")</f>
        <v>0</v>
      </c>
      <c r="AH136" s="10" t="b">
        <f aca="false">IF(AND(K136&gt;0,L136&gt;0),OR(ABS(M136-Assumptions!$B$36)&lt;=Assumptions!$B$46,ABS(M136+Assumptions!$B$36)&lt;=Assumptions!$B$46),FALSE())</f>
        <v>0</v>
      </c>
      <c r="AI136" s="9" t="n">
        <f aca="false">INDEX('Commercial View'!$L$2:$L$301,MATCH($A136,'Commercial View'!$A$2:$A$301,0))+INDEX('Commercial View'!$M$2:$M$301,MATCH($A136,'Commercial View'!$A$2:$A$301,0))</f>
        <v>0</v>
      </c>
      <c r="AJ136" s="2" t="str">
        <f aca="false">IF(AND(K136=0,AI136=0),"No activity ex-Feb",IF(AI136=0,"Lapsed",IF(K136=0,"H2 Active / No H1 GMV",IF((AI136/2)/(K136/3)-1&gt;=Assumptions!$B$36,"Growing",IF((AI136/2)/(K136/3)-1&lt;-Assumptions!$B$36,"Declining","Stable")))))</f>
        <v>Lapsed</v>
      </c>
      <c r="AK136" s="10" t="b">
        <f aca="false">IF(OR(N136="Growing",N136="Stable"),"Healthy",N136)&lt;&gt;IF(OR(AJ136="Growing",AJ136="Stable"),"Healthy",AJ136)</f>
        <v>0</v>
      </c>
      <c r="AL136" s="2" t="str">
        <f aca="false">IF(N136="Lapsed",IF(OR(O136&lt;=Assumptions!$B$48,W136&lt;=Assumptions!$B$49),"One-Off / Insufficient History — Verify","Established Buyer Lapsed"),"N/A")</f>
        <v>One-Off / Insufficient History — Verify</v>
      </c>
      <c r="AM136" s="2" t="n">
        <f aca="false">INDEX('Scored Accounts'!$M$2:$M$301,MATCH($A136,'Scored Accounts'!$A$2:$A$301,0))</f>
        <v>0</v>
      </c>
      <c r="AN136" s="2" t="n">
        <f aca="false">IF((P136/(P136+Q136)*100)&lt;=Assumptions!$B$13,0,IF((P136/(P136+Q136)*100)&lt;Assumptions!$B$14,25,IF((P136/(P136+Q136)*100)&lt;Assumptions!$B$15,50,IF((P136/(P136+Q136)*100)&lt;Assumptions!$B$16,75,100))))</f>
        <v>0</v>
      </c>
      <c r="AO136" s="21" t="n">
        <f aca="false">IF((P136/(P136+Q136)*100)&lt;=Assumptions!$B$8,0,AN136*Assumptions!$B$4+INDEX('Scored Accounts'!$N$2:$N$301,MATCH($A136,'Scored Accounts'!$A$2:$A$301,0))*Assumptions!$B$5+INDEX('Scored Accounts'!$O$2:$O$301,MATCH($A136,'Scored Accounts'!$A$2:$A$301,0))*Assumptions!$B$6)</f>
        <v>0</v>
      </c>
      <c r="AP136" s="2" t="str">
        <f aca="false">IF(AO136&gt;=Assumptions!$B$9,"High",IF(AO136&gt;=Assumptions!$B$10,"Medium","Low"))</f>
        <v>Low</v>
      </c>
      <c r="AQ136" s="10" t="b">
        <f aca="false">OR((E136&lt;=Assumptions!$B$8)&lt;&gt;((P136/(P136+Q136)*100)&lt;=Assumptions!$B$8),AM136&lt;&gt;AN136,G136&lt;&gt;AP136)</f>
        <v>0</v>
      </c>
      <c r="AR136" s="2" t="str">
        <f aca="false">IF(AP136&lt;&gt;"Low","Broker-Reliant",IF(B136="Account Managed","AM-Owned / Self-Serving","Self-Serve"))</f>
        <v>AM-Owned / Self-Serving</v>
      </c>
      <c r="AS136" s="2" t="str">
        <f aca="false">IF(AR136="Broker-Reliant",IF(J136="Tail","5. Cost-to-Serve / Low-Touch",IF(OR(N136="Growing",N136="Stable"),"1. Migration Candidate",IF(N136="Declining","2. Protect / Retain First",IF(N136="Lapsed","3. Win-Back / Verify",IF(N136="H2 Active / No H1 GMV","4. Establish / Re-establish / Observe","UNASSIGNED"))))),IF(AP136="Low",IF(J136="Tail","9. Long-Tail Automated Nurture",IF(OR(N136="Growing",N136="Stable"),"6. Growth Opportunity",IF(N136="H2 Active / No H1 GMV","7. Onboard / Re-engage / Learn",IF(OR(N136="Declining",N136="Lapsed"),"8. Retention / Reactivation","UNASSIGNED")))),"UNASSIGNED"))</f>
        <v>9. Long-Tail Automated Nurture</v>
      </c>
      <c r="AT136" s="10" t="b">
        <f aca="false">AS136&lt;&gt;T136</f>
        <v>0</v>
      </c>
      <c r="AU136" s="2" t="str">
        <f aca="false">IF(NOT(U136),"Not Eligible",IF(OR(AQ136,AH136,AK136,NOT(AND(W136&gt;=Assumptions!$B$83,O136&gt;=Assumptions!$B$84))),"Manual Review","Ready"))</f>
        <v>Not Eligible</v>
      </c>
      <c r="AV136" s="2" t="str">
        <f aca="false">IF(AG136,"Key account - human sign-off required; ","")&amp;IF(AH136,"Borderline momentum; ","")&amp;IF(AK136,"February-sensitive ("&amp;N136&amp;" -&gt; "&amp;AJ136&amp;"); ","")&amp;IF(AL136="One-Off / Insufficient History — Verify","Lapsed on thin history - verify; ","")&amp;IF(AQ136,"Material broker % inconsistency (implied tier "&amp;AP136&amp;"); ","")&amp;IF(AT136,"Implied broker % would move segment to "&amp;AS136&amp;"; ","")</f>
        <v>Lapsed on thin history - verify; </v>
      </c>
      <c r="AW136" s="10" t="b">
        <f aca="false">AND(G136="Low",J136="Tail",I136&gt;=Assumptions!$B$64,O136&gt;=Assumptions!$B$65,OR(N136="Growing",N136="Stable",AND(N136="H2 Active / No H1 GMV",W136&gt;=2)),OR(R136&gt;=Assumptions!$B$66,S136&gt;=Assumptions!$B$67))</f>
        <v>0</v>
      </c>
    </row>
    <row r="137" customFormat="false" ht="15" hidden="false" customHeight="false" outlineLevel="0" collapsed="false">
      <c r="A137" s="2" t="s">
        <v>750</v>
      </c>
      <c r="B137" s="2" t="s">
        <v>1571</v>
      </c>
      <c r="C137" s="2" t="s">
        <v>1572</v>
      </c>
      <c r="D137" s="2" t="n">
        <v>7</v>
      </c>
      <c r="E137" s="2" t="n">
        <v>48</v>
      </c>
      <c r="F137" s="21" t="n">
        <f aca="false">INDEX('Scored Accounts'!$Q$2:$Q$301,MATCH($A137,'Scored Accounts'!$A$2:$A$301,0))</f>
        <v>70</v>
      </c>
      <c r="G137" s="2" t="str">
        <f aca="false">INDEX('Scored Accounts'!$R$2:$R$301,MATCH($A137,'Scored Accounts'!$A$2:$A$301,0))</f>
        <v>High</v>
      </c>
      <c r="H137" s="2" t="str">
        <f aca="false">IF(OR(G137="High",G137="Medium"),"Broker-Reliant",IF(AND(G137="Low",B137="Account Managed"),"AM-Owned / Self-Serving",IF(AND(G137="Low",B137="Self Serve"),"Self-Serve","UNASSIGNED")))</f>
        <v>Broker-Reliant</v>
      </c>
      <c r="I137" s="9" t="n">
        <v>345</v>
      </c>
      <c r="J137" s="2" t="str">
        <f aca="false">IF(I137&gt;=Assumptions!$B$35,"Key",IF(I137&gt;=Assumptions!$B$34,"Core","Tail"))</f>
        <v>Tail</v>
      </c>
      <c r="K137" s="9" t="n">
        <f aca="false">INDEX('Commercial View'!$R$2:$R$301,MATCH($A137,'Commercial View'!$A$2:$A$301,0))</f>
        <v>345</v>
      </c>
      <c r="L137" s="9" t="n">
        <f aca="false">INDEX('Commercial View'!$S$2:$S$301,MATCH($A137,'Commercial View'!$A$2:$A$301,0))</f>
        <v>0</v>
      </c>
      <c r="M137" s="17" t="n">
        <f aca="false">INDEX('Commercial View'!$T$2:$T$301,MATCH($A137,'Commercial View'!$A$2:$A$301,0))</f>
        <v>-1</v>
      </c>
      <c r="N137" s="2" t="str">
        <f aca="false">INDEX('Commercial View'!$U$2:$U$301,MATCH($A137,'Commercial View'!$A$2:$A$301,0))</f>
        <v>Lapsed</v>
      </c>
      <c r="O137" s="2" t="n">
        <v>2</v>
      </c>
      <c r="P137" s="2" t="n">
        <v>1</v>
      </c>
      <c r="Q137" s="2" t="n">
        <v>1</v>
      </c>
      <c r="R137" s="2" t="n">
        <v>3</v>
      </c>
      <c r="S137" s="2" t="n">
        <v>1</v>
      </c>
      <c r="T137" s="2" t="str">
        <f aca="false">IF(H137="Broker-Reliant",IF(J137="Tail","5. Cost-to-Serve / Low-Touch",IF(OR(N137="Growing",N137="Stable"),"1. Migration Candidate",IF(N137="Declining","2. Protect / Retain First",IF(N137="Lapsed","3. Win-Back / Verify",IF(N137="H2 Active / No H1 GMV","4. Establish / Re-establish / Observe","UNASSIGNED"))))),IF(G137="Low",IF(J137="Tail","9. Long-Tail Automated Nurture",IF(OR(N137="Growing",N137="Stable"),"6. Growth Opportunity",IF(N137="H2 Active / No H1 GMV","7. Onboard / Re-engage / Learn",IF(OR(N137="Declining",N137="Lapsed"),"8. Retention / Reactivation","UNASSIGNED")))),"UNASSIGNED"))</f>
        <v>5. Cost-to-Serve / Low-Touch</v>
      </c>
      <c r="U137" s="10" t="b">
        <f aca="false">AND(T137="1. Migration Candidate",J137="Core",O137&gt;=Assumptions!$B$39,Q137&gt;=Assumptions!$B$40,NOT(Z137))</f>
        <v>0</v>
      </c>
      <c r="V137" s="2" t="n">
        <f aca="false">(AND(H137="Broker-Reliant",J137&lt;&gt;"Tail",OR(N137="Growing",N137="Stable")))*1+(AND(H137="Broker-Reliant",J137&lt;&gt;"Tail",N137="Declining"))*1+(AND(H137="Broker-Reliant",J137&lt;&gt;"Tail",N137="Lapsed"))*1+(AND(H137="Broker-Reliant",J137&lt;&gt;"Tail",N137="H2 Active / No H1 GMV"))*1+(AND(H137="Broker-Reliant",J137="Tail"))*1+(AND(G137="Low",J137&lt;&gt;"Tail",OR(N137="Growing",N137="Stable")))*1+(AND(G137="Low",J137&lt;&gt;"Tail",N137="H2 Active / No H1 GMV"))*1+(AND(G137="Low",J137&lt;&gt;"Tail",OR(N137="Declining",N137="Lapsed")))*1+(AND(G137="Low",J137="Tail"))*1</f>
        <v>1</v>
      </c>
      <c r="W137" s="2" t="n">
        <f aca="false">INDEX('Commercial View'!$V$2:$V$301,MATCH($A137,'Commercial View'!$A$2:$A$301,0))</f>
        <v>1</v>
      </c>
      <c r="X137" s="10" t="b">
        <f aca="false">O137&lt;=Assumptions!$B$30</f>
        <v>1</v>
      </c>
      <c r="Y137" s="10" t="b">
        <f aca="false">W137&lt;=1</f>
        <v>1</v>
      </c>
      <c r="Z137" s="10" t="b">
        <f aca="false">C137="Duplicate"</f>
        <v>0</v>
      </c>
      <c r="AA137" s="10" t="b">
        <f aca="false">C137=""</f>
        <v>0</v>
      </c>
      <c r="AB137" s="2" t="n">
        <f aca="false">IF(P137+Q137&gt;0,ROUND(P137/(P137+Q137)*100,0),"")</f>
        <v>50</v>
      </c>
      <c r="AC137" s="2" t="n">
        <f aca="false">IF(P137+Q137&gt;0,ROUND(E137-P137/(P137+Q137)*100,0),"")</f>
        <v>-2</v>
      </c>
      <c r="AD137" s="10" t="b">
        <f aca="false">IF(AC137="",FALSE(),ABS(AC137)&gt;Assumptions!$B$41)</f>
        <v>0</v>
      </c>
      <c r="AE137" s="2" t="str">
        <f aca="false">IF(X137,"Low confidence (&lt;=2 orders); ","")&amp;IF(Y137,"Single-month history; ","")&amp;IF(Z137,"CRITICAL: Duplicate status; ","")&amp;IF(AA137,"Missing status; ","")&amp;IF(AD137,"Broker % vs counts gap "&amp;TEXT(AC137,"+0;-0")&amp;"pts; ","")</f>
        <v>Low confidence (&lt;=2 orders); Single-month history; </v>
      </c>
      <c r="AF137" s="2" t="str">
        <f aca="false">IF(AND(K137=0,L137&gt;0),IF(D137&lt;=Assumptions!$B$47,"New Customer","Returned Customer"),"Existing Customer")</f>
        <v>Existing Customer</v>
      </c>
      <c r="AG137" s="10" t="b">
        <f aca="false">AND(T137="1. Migration Candidate",J137="Key")</f>
        <v>0</v>
      </c>
      <c r="AH137" s="10" t="b">
        <f aca="false">IF(AND(K137&gt;0,L137&gt;0),OR(ABS(M137-Assumptions!$B$36)&lt;=Assumptions!$B$46,ABS(M137+Assumptions!$B$36)&lt;=Assumptions!$B$46),FALSE())</f>
        <v>0</v>
      </c>
      <c r="AI137" s="9" t="n">
        <f aca="false">INDEX('Commercial View'!$L$2:$L$301,MATCH($A137,'Commercial View'!$A$2:$A$301,0))+INDEX('Commercial View'!$M$2:$M$301,MATCH($A137,'Commercial View'!$A$2:$A$301,0))</f>
        <v>0</v>
      </c>
      <c r="AJ137" s="2" t="str">
        <f aca="false">IF(AND(K137=0,AI137=0),"No activity ex-Feb",IF(AI137=0,"Lapsed",IF(K137=0,"H2 Active / No H1 GMV",IF((AI137/2)/(K137/3)-1&gt;=Assumptions!$B$36,"Growing",IF((AI137/2)/(K137/3)-1&lt;-Assumptions!$B$36,"Declining","Stable")))))</f>
        <v>Lapsed</v>
      </c>
      <c r="AK137" s="10" t="b">
        <f aca="false">IF(OR(N137="Growing",N137="Stable"),"Healthy",N137)&lt;&gt;IF(OR(AJ137="Growing",AJ137="Stable"),"Healthy",AJ137)</f>
        <v>0</v>
      </c>
      <c r="AL137" s="2" t="str">
        <f aca="false">IF(N137="Lapsed",IF(OR(O137&lt;=Assumptions!$B$48,W137&lt;=Assumptions!$B$49),"One-Off / Insufficient History — Verify","Established Buyer Lapsed"),"N/A")</f>
        <v>One-Off / Insufficient History — Verify</v>
      </c>
      <c r="AM137" s="2" t="n">
        <f aca="false">INDEX('Scored Accounts'!$M$2:$M$301,MATCH($A137,'Scored Accounts'!$A$2:$A$301,0))</f>
        <v>50</v>
      </c>
      <c r="AN137" s="2" t="n">
        <f aca="false">IF((P137/(P137+Q137)*100)&lt;=Assumptions!$B$13,0,IF((P137/(P137+Q137)*100)&lt;Assumptions!$B$14,25,IF((P137/(P137+Q137)*100)&lt;Assumptions!$B$15,50,IF((P137/(P137+Q137)*100)&lt;Assumptions!$B$16,75,100))))</f>
        <v>50</v>
      </c>
      <c r="AO137" s="21" t="n">
        <f aca="false">IF((P137/(P137+Q137)*100)&lt;=Assumptions!$B$8,0,AN137*Assumptions!$B$4+INDEX('Scored Accounts'!$N$2:$N$301,MATCH($A137,'Scored Accounts'!$A$2:$A$301,0))*Assumptions!$B$5+INDEX('Scored Accounts'!$O$2:$O$301,MATCH($A137,'Scored Accounts'!$A$2:$A$301,0))*Assumptions!$B$6)</f>
        <v>70</v>
      </c>
      <c r="AP137" s="2" t="str">
        <f aca="false">IF(AO137&gt;=Assumptions!$B$9,"High",IF(AO137&gt;=Assumptions!$B$10,"Medium","Low"))</f>
        <v>High</v>
      </c>
      <c r="AQ137" s="10" t="b">
        <f aca="false">OR((E137&lt;=Assumptions!$B$8)&lt;&gt;((P137/(P137+Q137)*100)&lt;=Assumptions!$B$8),AM137&lt;&gt;AN137,G137&lt;&gt;AP137)</f>
        <v>0</v>
      </c>
      <c r="AR137" s="2" t="str">
        <f aca="false">IF(AP137&lt;&gt;"Low","Broker-Reliant",IF(B137="Account Managed","AM-Owned / Self-Serving","Self-Serve"))</f>
        <v>Broker-Reliant</v>
      </c>
      <c r="AS137" s="2" t="str">
        <f aca="false">IF(AR137="Broker-Reliant",IF(J137="Tail","5. Cost-to-Serve / Low-Touch",IF(OR(N137="Growing",N137="Stable"),"1. Migration Candidate",IF(N137="Declining","2. Protect / Retain First",IF(N137="Lapsed","3. Win-Back / Verify",IF(N137="H2 Active / No H1 GMV","4. Establish / Re-establish / Observe","UNASSIGNED"))))),IF(AP137="Low",IF(J137="Tail","9. Long-Tail Automated Nurture",IF(OR(N137="Growing",N137="Stable"),"6. Growth Opportunity",IF(N137="H2 Active / No H1 GMV","7. Onboard / Re-engage / Learn",IF(OR(N137="Declining",N137="Lapsed"),"8. Retention / Reactivation","UNASSIGNED")))),"UNASSIGNED"))</f>
        <v>5. Cost-to-Serve / Low-Touch</v>
      </c>
      <c r="AT137" s="10" t="b">
        <f aca="false">AS137&lt;&gt;T137</f>
        <v>0</v>
      </c>
      <c r="AU137" s="2" t="str">
        <f aca="false">IF(NOT(U137),"Not Eligible",IF(OR(AQ137,AH137,AK137,NOT(AND(W137&gt;=Assumptions!$B$83,O137&gt;=Assumptions!$B$84))),"Manual Review","Ready"))</f>
        <v>Not Eligible</v>
      </c>
      <c r="AV137" s="2" t="str">
        <f aca="false">IF(AG137,"Key account - human sign-off required; ","")&amp;IF(AH137,"Borderline momentum; ","")&amp;IF(AK137,"February-sensitive ("&amp;N137&amp;" -&gt; "&amp;AJ137&amp;"); ","")&amp;IF(AL137="One-Off / Insufficient History — Verify","Lapsed on thin history - verify; ","")&amp;IF(AQ137,"Material broker % inconsistency (implied tier "&amp;AP137&amp;"); ","")&amp;IF(AT137,"Implied broker % would move segment to "&amp;AS137&amp;"; ","")</f>
        <v>Lapsed on thin history - verify; </v>
      </c>
      <c r="AW137" s="10" t="b">
        <f aca="false">AND(G137="Low",J137="Tail",I137&gt;=Assumptions!$B$64,O137&gt;=Assumptions!$B$65,OR(N137="Growing",N137="Stable",AND(N137="H2 Active / No H1 GMV",W137&gt;=2)),OR(R137&gt;=Assumptions!$B$66,S137&gt;=Assumptions!$B$67))</f>
        <v>0</v>
      </c>
    </row>
    <row r="138" customFormat="false" ht="15" hidden="false" customHeight="false" outlineLevel="0" collapsed="false">
      <c r="A138" s="2" t="s">
        <v>754</v>
      </c>
      <c r="B138" s="2" t="s">
        <v>1571</v>
      </c>
      <c r="C138" s="2" t="s">
        <v>1572</v>
      </c>
      <c r="D138" s="2" t="n">
        <v>16</v>
      </c>
      <c r="E138" s="2" t="n">
        <v>7</v>
      </c>
      <c r="F138" s="21" t="n">
        <f aca="false">INDEX('Scored Accounts'!$Q$2:$Q$301,MATCH($A138,'Scored Accounts'!$A$2:$A$301,0))</f>
        <v>0</v>
      </c>
      <c r="G138" s="2" t="str">
        <f aca="false">INDEX('Scored Accounts'!$R$2:$R$301,MATCH($A138,'Scored Accounts'!$A$2:$A$301,0))</f>
        <v>Low</v>
      </c>
      <c r="H138" s="2" t="str">
        <f aca="false">IF(OR(G138="High",G138="Medium"),"Broker-Reliant",IF(AND(G138="Low",B138="Account Managed"),"AM-Owned / Self-Serving",IF(AND(G138="Low",B138="Self Serve"),"Self-Serve","UNASSIGNED")))</f>
        <v>AM-Owned / Self-Serving</v>
      </c>
      <c r="I138" s="9" t="n">
        <v>344</v>
      </c>
      <c r="J138" s="2" t="str">
        <f aca="false">IF(I138&gt;=Assumptions!$B$35,"Key",IF(I138&gt;=Assumptions!$B$34,"Core","Tail"))</f>
        <v>Tail</v>
      </c>
      <c r="K138" s="9" t="n">
        <f aca="false">INDEX('Commercial View'!$R$2:$R$301,MATCH($A138,'Commercial View'!$A$2:$A$301,0))</f>
        <v>294</v>
      </c>
      <c r="L138" s="9" t="n">
        <f aca="false">INDEX('Commercial View'!$S$2:$S$301,MATCH($A138,'Commercial View'!$A$2:$A$301,0))</f>
        <v>50</v>
      </c>
      <c r="M138" s="17" t="n">
        <f aca="false">INDEX('Commercial View'!$T$2:$T$301,MATCH($A138,'Commercial View'!$A$2:$A$301,0))</f>
        <v>-0.829931972789116</v>
      </c>
      <c r="N138" s="2" t="str">
        <f aca="false">INDEX('Commercial View'!$U$2:$U$301,MATCH($A138,'Commercial View'!$A$2:$A$301,0))</f>
        <v>Declining</v>
      </c>
      <c r="O138" s="2" t="n">
        <v>2</v>
      </c>
      <c r="P138" s="2" t="n">
        <v>0</v>
      </c>
      <c r="Q138" s="2" t="n">
        <v>2</v>
      </c>
      <c r="R138" s="2" t="n">
        <v>18</v>
      </c>
      <c r="S138" s="2" t="n">
        <v>50</v>
      </c>
      <c r="T138" s="2" t="str">
        <f aca="false">IF(H138="Broker-Reliant",IF(J138="Tail","5. Cost-to-Serve / Low-Touch",IF(OR(N138="Growing",N138="Stable"),"1. Migration Candidate",IF(N138="Declining","2. Protect / Retain First",IF(N138="Lapsed","3. Win-Back / Verify",IF(N138="H2 Active / No H1 GMV","4. Establish / Re-establish / Observe","UNASSIGNED"))))),IF(G138="Low",IF(J138="Tail","9. Long-Tail Automated Nurture",IF(OR(N138="Growing",N138="Stable"),"6. Growth Opportunity",IF(N138="H2 Active / No H1 GMV","7. Onboard / Re-engage / Learn",IF(OR(N138="Declining",N138="Lapsed"),"8. Retention / Reactivation","UNASSIGNED")))),"UNASSIGNED"))</f>
        <v>9. Long-Tail Automated Nurture</v>
      </c>
      <c r="U138" s="10" t="b">
        <f aca="false">AND(T138="1. Migration Candidate",J138="Core",O138&gt;=Assumptions!$B$39,Q138&gt;=Assumptions!$B$40,NOT(Z138))</f>
        <v>0</v>
      </c>
      <c r="V138" s="2" t="n">
        <f aca="false">(AND(H138="Broker-Reliant",J138&lt;&gt;"Tail",OR(N138="Growing",N138="Stable")))*1+(AND(H138="Broker-Reliant",J138&lt;&gt;"Tail",N138="Declining"))*1+(AND(H138="Broker-Reliant",J138&lt;&gt;"Tail",N138="Lapsed"))*1+(AND(H138="Broker-Reliant",J138&lt;&gt;"Tail",N138="H2 Active / No H1 GMV"))*1+(AND(H138="Broker-Reliant",J138="Tail"))*1+(AND(G138="Low",J138&lt;&gt;"Tail",OR(N138="Growing",N138="Stable")))*1+(AND(G138="Low",J138&lt;&gt;"Tail",N138="H2 Active / No H1 GMV"))*1+(AND(G138="Low",J138&lt;&gt;"Tail",OR(N138="Declining",N138="Lapsed")))*1+(AND(G138="Low",J138="Tail"))*1</f>
        <v>1</v>
      </c>
      <c r="W138" s="2" t="n">
        <f aca="false">INDEX('Commercial View'!$V$2:$V$301,MATCH($A138,'Commercial View'!$A$2:$A$301,0))</f>
        <v>2</v>
      </c>
      <c r="X138" s="10" t="b">
        <f aca="false">O138&lt;=Assumptions!$B$30</f>
        <v>1</v>
      </c>
      <c r="Y138" s="10" t="b">
        <f aca="false">W138&lt;=1</f>
        <v>0</v>
      </c>
      <c r="Z138" s="10" t="b">
        <f aca="false">C138="Duplicate"</f>
        <v>0</v>
      </c>
      <c r="AA138" s="10" t="b">
        <f aca="false">C138=""</f>
        <v>0</v>
      </c>
      <c r="AB138" s="2" t="n">
        <f aca="false">IF(P138+Q138&gt;0,ROUND(P138/(P138+Q138)*100,0),"")</f>
        <v>0</v>
      </c>
      <c r="AC138" s="2" t="n">
        <f aca="false">IF(P138+Q138&gt;0,ROUND(E138-P138/(P138+Q138)*100,0),"")</f>
        <v>7</v>
      </c>
      <c r="AD138" s="10" t="b">
        <f aca="false">IF(AC138="",FALSE(),ABS(AC138)&gt;Assumptions!$B$41)</f>
        <v>0</v>
      </c>
      <c r="AE138" s="2" t="str">
        <f aca="false">IF(X138,"Low confidence (&lt;=2 orders); ","")&amp;IF(Y138,"Single-month history; ","")&amp;IF(Z138,"CRITICAL: Duplicate status; ","")&amp;IF(AA138,"Missing status; ","")&amp;IF(AD138,"Broker % vs counts gap "&amp;TEXT(AC138,"+0;-0")&amp;"pts; ","")</f>
        <v>Low confidence (&lt;=2 orders); </v>
      </c>
      <c r="AF138" s="2" t="str">
        <f aca="false">IF(AND(K138=0,L138&gt;0),IF(D138&lt;=Assumptions!$B$47,"New Customer","Returned Customer"),"Existing Customer")</f>
        <v>Existing Customer</v>
      </c>
      <c r="AG138" s="10" t="b">
        <f aca="false">AND(T138="1. Migration Candidate",J138="Key")</f>
        <v>0</v>
      </c>
      <c r="AH138" s="10" t="b">
        <f aca="false">IF(AND(K138&gt;0,L138&gt;0),OR(ABS(M138-Assumptions!$B$36)&lt;=Assumptions!$B$46,ABS(M138+Assumptions!$B$36)&lt;=Assumptions!$B$46),FALSE())</f>
        <v>0</v>
      </c>
      <c r="AI138" s="9" t="n">
        <f aca="false">INDEX('Commercial View'!$L$2:$L$301,MATCH($A138,'Commercial View'!$A$2:$A$301,0))+INDEX('Commercial View'!$M$2:$M$301,MATCH($A138,'Commercial View'!$A$2:$A$301,0))</f>
        <v>0</v>
      </c>
      <c r="AJ138" s="2" t="str">
        <f aca="false">IF(AND(K138=0,AI138=0),"No activity ex-Feb",IF(AI138=0,"Lapsed",IF(K138=0,"H2 Active / No H1 GMV",IF((AI138/2)/(K138/3)-1&gt;=Assumptions!$B$36,"Growing",IF((AI138/2)/(K138/3)-1&lt;-Assumptions!$B$36,"Declining","Stable")))))</f>
        <v>Lapsed</v>
      </c>
      <c r="AK138" s="10" t="b">
        <f aca="false">IF(OR(N138="Growing",N138="Stable"),"Healthy",N138)&lt;&gt;IF(OR(AJ138="Growing",AJ138="Stable"),"Healthy",AJ138)</f>
        <v>1</v>
      </c>
      <c r="AL138" s="2" t="str">
        <f aca="false">IF(N138="Lapsed",IF(OR(O138&lt;=Assumptions!$B$48,W138&lt;=Assumptions!$B$49),"One-Off / Insufficient History — Verify","Established Buyer Lapsed"),"N/A")</f>
        <v>N/A</v>
      </c>
      <c r="AM138" s="2" t="n">
        <f aca="false">INDEX('Scored Accounts'!$M$2:$M$301,MATCH($A138,'Scored Accounts'!$A$2:$A$301,0))</f>
        <v>0</v>
      </c>
      <c r="AN138" s="2" t="n">
        <f aca="false">IF((P138/(P138+Q138)*100)&lt;=Assumptions!$B$13,0,IF((P138/(P138+Q138)*100)&lt;Assumptions!$B$14,25,IF((P138/(P138+Q138)*100)&lt;Assumptions!$B$15,50,IF((P138/(P138+Q138)*100)&lt;Assumptions!$B$16,75,100))))</f>
        <v>0</v>
      </c>
      <c r="AO138" s="21" t="n">
        <f aca="false">IF((P138/(P138+Q138)*100)&lt;=Assumptions!$B$8,0,AN138*Assumptions!$B$4+INDEX('Scored Accounts'!$N$2:$N$301,MATCH($A138,'Scored Accounts'!$A$2:$A$301,0))*Assumptions!$B$5+INDEX('Scored Accounts'!$O$2:$O$301,MATCH($A138,'Scored Accounts'!$A$2:$A$301,0))*Assumptions!$B$6)</f>
        <v>0</v>
      </c>
      <c r="AP138" s="2" t="str">
        <f aca="false">IF(AO138&gt;=Assumptions!$B$9,"High",IF(AO138&gt;=Assumptions!$B$10,"Medium","Low"))</f>
        <v>Low</v>
      </c>
      <c r="AQ138" s="10" t="b">
        <f aca="false">OR((E138&lt;=Assumptions!$B$8)&lt;&gt;((P138/(P138+Q138)*100)&lt;=Assumptions!$B$8),AM138&lt;&gt;AN138,G138&lt;&gt;AP138)</f>
        <v>0</v>
      </c>
      <c r="AR138" s="2" t="str">
        <f aca="false">IF(AP138&lt;&gt;"Low","Broker-Reliant",IF(B138="Account Managed","AM-Owned / Self-Serving","Self-Serve"))</f>
        <v>AM-Owned / Self-Serving</v>
      </c>
      <c r="AS138" s="2" t="str">
        <f aca="false">IF(AR138="Broker-Reliant",IF(J138="Tail","5. Cost-to-Serve / Low-Touch",IF(OR(N138="Growing",N138="Stable"),"1. Migration Candidate",IF(N138="Declining","2. Protect / Retain First",IF(N138="Lapsed","3. Win-Back / Verify",IF(N138="H2 Active / No H1 GMV","4. Establish / Re-establish / Observe","UNASSIGNED"))))),IF(AP138="Low",IF(J138="Tail","9. Long-Tail Automated Nurture",IF(OR(N138="Growing",N138="Stable"),"6. Growth Opportunity",IF(N138="H2 Active / No H1 GMV","7. Onboard / Re-engage / Learn",IF(OR(N138="Declining",N138="Lapsed"),"8. Retention / Reactivation","UNASSIGNED")))),"UNASSIGNED"))</f>
        <v>9. Long-Tail Automated Nurture</v>
      </c>
      <c r="AT138" s="10" t="b">
        <f aca="false">AS138&lt;&gt;T138</f>
        <v>0</v>
      </c>
      <c r="AU138" s="2" t="str">
        <f aca="false">IF(NOT(U138),"Not Eligible",IF(OR(AQ138,AH138,AK138,NOT(AND(W138&gt;=Assumptions!$B$83,O138&gt;=Assumptions!$B$84))),"Manual Review","Ready"))</f>
        <v>Not Eligible</v>
      </c>
      <c r="AV138" s="2" t="str">
        <f aca="false">IF(AG138,"Key account - human sign-off required; ","")&amp;IF(AH138,"Borderline momentum; ","")&amp;IF(AK138,"February-sensitive ("&amp;N138&amp;" -&gt; "&amp;AJ138&amp;"); ","")&amp;IF(AL138="One-Off / Insufficient History — Verify","Lapsed on thin history - verify; ","")&amp;IF(AQ138,"Material broker % inconsistency (implied tier "&amp;AP138&amp;"); ","")&amp;IF(AT138,"Implied broker % would move segment to "&amp;AS138&amp;"; ","")</f>
        <v>February-sensitive (Declining -&gt; Lapsed); </v>
      </c>
      <c r="AW138" s="10" t="b">
        <f aca="false">AND(G138="Low",J138="Tail",I138&gt;=Assumptions!$B$64,O138&gt;=Assumptions!$B$65,OR(N138="Growing",N138="Stable",AND(N138="H2 Active / No H1 GMV",W138&gt;=2)),OR(R138&gt;=Assumptions!$B$66,S138&gt;=Assumptions!$B$67))</f>
        <v>0</v>
      </c>
    </row>
    <row r="139" customFormat="false" ht="15" hidden="false" customHeight="false" outlineLevel="0" collapsed="false">
      <c r="A139" s="2" t="s">
        <v>762</v>
      </c>
      <c r="B139" s="2" t="s">
        <v>1571</v>
      </c>
      <c r="C139" s="2"/>
      <c r="D139" s="2" t="n">
        <v>6</v>
      </c>
      <c r="E139" s="2" t="n">
        <v>15</v>
      </c>
      <c r="F139" s="21" t="n">
        <f aca="false">INDEX('Scored Accounts'!$Q$2:$Q$301,MATCH($A139,'Scored Accounts'!$A$2:$A$301,0))</f>
        <v>0</v>
      </c>
      <c r="G139" s="2" t="str">
        <f aca="false">INDEX('Scored Accounts'!$R$2:$R$301,MATCH($A139,'Scored Accounts'!$A$2:$A$301,0))</f>
        <v>Low</v>
      </c>
      <c r="H139" s="2" t="str">
        <f aca="false">IF(OR(G139="High",G139="Medium"),"Broker-Reliant",IF(AND(G139="Low",B139="Account Managed"),"AM-Owned / Self-Serving",IF(AND(G139="Low",B139="Self Serve"),"Self-Serve","UNASSIGNED")))</f>
        <v>AM-Owned / Self-Serving</v>
      </c>
      <c r="I139" s="9" t="n">
        <v>329</v>
      </c>
      <c r="J139" s="2" t="str">
        <f aca="false">IF(I139&gt;=Assumptions!$B$35,"Key",IF(I139&gt;=Assumptions!$B$34,"Core","Tail"))</f>
        <v>Tail</v>
      </c>
      <c r="K139" s="9" t="n">
        <f aca="false">INDEX('Commercial View'!$R$2:$R$301,MATCH($A139,'Commercial View'!$A$2:$A$301,0))</f>
        <v>329</v>
      </c>
      <c r="L139" s="9" t="n">
        <f aca="false">INDEX('Commercial View'!$S$2:$S$301,MATCH($A139,'Commercial View'!$A$2:$A$301,0))</f>
        <v>0</v>
      </c>
      <c r="M139" s="17" t="n">
        <f aca="false">INDEX('Commercial View'!$T$2:$T$301,MATCH($A139,'Commercial View'!$A$2:$A$301,0))</f>
        <v>-1</v>
      </c>
      <c r="N139" s="2" t="str">
        <f aca="false">INDEX('Commercial View'!$U$2:$U$301,MATCH($A139,'Commercial View'!$A$2:$A$301,0))</f>
        <v>Lapsed</v>
      </c>
      <c r="O139" s="2" t="n">
        <v>2</v>
      </c>
      <c r="P139" s="2" t="n">
        <v>0</v>
      </c>
      <c r="Q139" s="2" t="n">
        <v>2</v>
      </c>
      <c r="R139" s="2" t="n">
        <v>41</v>
      </c>
      <c r="S139" s="2" t="n">
        <v>1</v>
      </c>
      <c r="T139" s="2" t="str">
        <f aca="false">IF(H139="Broker-Reliant",IF(J139="Tail","5. Cost-to-Serve / Low-Touch",IF(OR(N139="Growing",N139="Stable"),"1. Migration Candidate",IF(N139="Declining","2. Protect / Retain First",IF(N139="Lapsed","3. Win-Back / Verify",IF(N139="H2 Active / No H1 GMV","4. Establish / Re-establish / Observe","UNASSIGNED"))))),IF(G139="Low",IF(J139="Tail","9. Long-Tail Automated Nurture",IF(OR(N139="Growing",N139="Stable"),"6. Growth Opportunity",IF(N139="H2 Active / No H1 GMV","7. Onboard / Re-engage / Learn",IF(OR(N139="Declining",N139="Lapsed"),"8. Retention / Reactivation","UNASSIGNED")))),"UNASSIGNED"))</f>
        <v>9. Long-Tail Automated Nurture</v>
      </c>
      <c r="U139" s="10" t="b">
        <f aca="false">AND(T139="1. Migration Candidate",J139="Core",O139&gt;=Assumptions!$B$39,Q139&gt;=Assumptions!$B$40,NOT(Z139))</f>
        <v>0</v>
      </c>
      <c r="V139" s="2" t="n">
        <f aca="false">(AND(H139="Broker-Reliant",J139&lt;&gt;"Tail",OR(N139="Growing",N139="Stable")))*1+(AND(H139="Broker-Reliant",J139&lt;&gt;"Tail",N139="Declining"))*1+(AND(H139="Broker-Reliant",J139&lt;&gt;"Tail",N139="Lapsed"))*1+(AND(H139="Broker-Reliant",J139&lt;&gt;"Tail",N139="H2 Active / No H1 GMV"))*1+(AND(H139="Broker-Reliant",J139="Tail"))*1+(AND(G139="Low",J139&lt;&gt;"Tail",OR(N139="Growing",N139="Stable")))*1+(AND(G139="Low",J139&lt;&gt;"Tail",N139="H2 Active / No H1 GMV"))*1+(AND(G139="Low",J139&lt;&gt;"Tail",OR(N139="Declining",N139="Lapsed")))*1+(AND(G139="Low",J139="Tail"))*1</f>
        <v>1</v>
      </c>
      <c r="W139" s="2" t="n">
        <f aca="false">INDEX('Commercial View'!$V$2:$V$301,MATCH($A139,'Commercial View'!$A$2:$A$301,0))</f>
        <v>2</v>
      </c>
      <c r="X139" s="10" t="b">
        <f aca="false">O139&lt;=Assumptions!$B$30</f>
        <v>1</v>
      </c>
      <c r="Y139" s="10" t="b">
        <f aca="false">W139&lt;=1</f>
        <v>0</v>
      </c>
      <c r="Z139" s="10" t="b">
        <f aca="false">C139="Duplicate"</f>
        <v>0</v>
      </c>
      <c r="AA139" s="10" t="b">
        <f aca="false">C139=""</f>
        <v>1</v>
      </c>
      <c r="AB139" s="2" t="n">
        <f aca="false">IF(P139+Q139&gt;0,ROUND(P139/(P139+Q139)*100,0),"")</f>
        <v>0</v>
      </c>
      <c r="AC139" s="2" t="n">
        <f aca="false">IF(P139+Q139&gt;0,ROUND(E139-P139/(P139+Q139)*100,0),"")</f>
        <v>15</v>
      </c>
      <c r="AD139" s="10" t="b">
        <f aca="false">IF(AC139="",FALSE(),ABS(AC139)&gt;Assumptions!$B$41)</f>
        <v>1</v>
      </c>
      <c r="AE139" s="2" t="str">
        <f aca="false">IF(X139,"Low confidence (&lt;=2 orders); ","")&amp;IF(Y139,"Single-month history; ","")&amp;IF(Z139,"CRITICAL: Duplicate status; ","")&amp;IF(AA139,"Missing status; ","")&amp;IF(AD139,"Broker % vs counts gap "&amp;TEXT(AC139,"+0;-0")&amp;"pts; ","")</f>
        <v>Low confidence (&lt;=2 orders); Missing status; Broker % vs counts gap +15pts; </v>
      </c>
      <c r="AF139" s="2" t="str">
        <f aca="false">IF(AND(K139=0,L139&gt;0),IF(D139&lt;=Assumptions!$B$47,"New Customer","Returned Customer"),"Existing Customer")</f>
        <v>Existing Customer</v>
      </c>
      <c r="AG139" s="10" t="b">
        <f aca="false">AND(T139="1. Migration Candidate",J139="Key")</f>
        <v>0</v>
      </c>
      <c r="AH139" s="10" t="b">
        <f aca="false">IF(AND(K139&gt;0,L139&gt;0),OR(ABS(M139-Assumptions!$B$36)&lt;=Assumptions!$B$46,ABS(M139+Assumptions!$B$36)&lt;=Assumptions!$B$46),FALSE())</f>
        <v>0</v>
      </c>
      <c r="AI139" s="9" t="n">
        <f aca="false">INDEX('Commercial View'!$L$2:$L$301,MATCH($A139,'Commercial View'!$A$2:$A$301,0))+INDEX('Commercial View'!$M$2:$M$301,MATCH($A139,'Commercial View'!$A$2:$A$301,0))</f>
        <v>0</v>
      </c>
      <c r="AJ139" s="2" t="str">
        <f aca="false">IF(AND(K139=0,AI139=0),"No activity ex-Feb",IF(AI139=0,"Lapsed",IF(K139=0,"H2 Active / No H1 GMV",IF((AI139/2)/(K139/3)-1&gt;=Assumptions!$B$36,"Growing",IF((AI139/2)/(K139/3)-1&lt;-Assumptions!$B$36,"Declining","Stable")))))</f>
        <v>Lapsed</v>
      </c>
      <c r="AK139" s="10" t="b">
        <f aca="false">IF(OR(N139="Growing",N139="Stable"),"Healthy",N139)&lt;&gt;IF(OR(AJ139="Growing",AJ139="Stable"),"Healthy",AJ139)</f>
        <v>0</v>
      </c>
      <c r="AL139" s="2" t="str">
        <f aca="false">IF(N139="Lapsed",IF(OR(O139&lt;=Assumptions!$B$48,W139&lt;=Assumptions!$B$49),"One-Off / Insufficient History — Verify","Established Buyer Lapsed"),"N/A")</f>
        <v>One-Off / Insufficient History — Verify</v>
      </c>
      <c r="AM139" s="2" t="n">
        <f aca="false">INDEX('Scored Accounts'!$M$2:$M$301,MATCH($A139,'Scored Accounts'!$A$2:$A$301,0))</f>
        <v>0</v>
      </c>
      <c r="AN139" s="2" t="n">
        <f aca="false">IF((P139/(P139+Q139)*100)&lt;=Assumptions!$B$13,0,IF((P139/(P139+Q139)*100)&lt;Assumptions!$B$14,25,IF((P139/(P139+Q139)*100)&lt;Assumptions!$B$15,50,IF((P139/(P139+Q139)*100)&lt;Assumptions!$B$16,75,100))))</f>
        <v>0</v>
      </c>
      <c r="AO139" s="21" t="n">
        <f aca="false">IF((P139/(P139+Q139)*100)&lt;=Assumptions!$B$8,0,AN139*Assumptions!$B$4+INDEX('Scored Accounts'!$N$2:$N$301,MATCH($A139,'Scored Accounts'!$A$2:$A$301,0))*Assumptions!$B$5+INDEX('Scored Accounts'!$O$2:$O$301,MATCH($A139,'Scored Accounts'!$A$2:$A$301,0))*Assumptions!$B$6)</f>
        <v>0</v>
      </c>
      <c r="AP139" s="2" t="str">
        <f aca="false">IF(AO139&gt;=Assumptions!$B$9,"High",IF(AO139&gt;=Assumptions!$B$10,"Medium","Low"))</f>
        <v>Low</v>
      </c>
      <c r="AQ139" s="10" t="b">
        <f aca="false">OR((E139&lt;=Assumptions!$B$8)&lt;&gt;((P139/(P139+Q139)*100)&lt;=Assumptions!$B$8),AM139&lt;&gt;AN139,G139&lt;&gt;AP139)</f>
        <v>0</v>
      </c>
      <c r="AR139" s="2" t="str">
        <f aca="false">IF(AP139&lt;&gt;"Low","Broker-Reliant",IF(B139="Account Managed","AM-Owned / Self-Serving","Self-Serve"))</f>
        <v>AM-Owned / Self-Serving</v>
      </c>
      <c r="AS139" s="2" t="str">
        <f aca="false">IF(AR139="Broker-Reliant",IF(J139="Tail","5. Cost-to-Serve / Low-Touch",IF(OR(N139="Growing",N139="Stable"),"1. Migration Candidate",IF(N139="Declining","2. Protect / Retain First",IF(N139="Lapsed","3. Win-Back / Verify",IF(N139="H2 Active / No H1 GMV","4. Establish / Re-establish / Observe","UNASSIGNED"))))),IF(AP139="Low",IF(J139="Tail","9. Long-Tail Automated Nurture",IF(OR(N139="Growing",N139="Stable"),"6. Growth Opportunity",IF(N139="H2 Active / No H1 GMV","7. Onboard / Re-engage / Learn",IF(OR(N139="Declining",N139="Lapsed"),"8. Retention / Reactivation","UNASSIGNED")))),"UNASSIGNED"))</f>
        <v>9. Long-Tail Automated Nurture</v>
      </c>
      <c r="AT139" s="10" t="b">
        <f aca="false">AS139&lt;&gt;T139</f>
        <v>0</v>
      </c>
      <c r="AU139" s="2" t="str">
        <f aca="false">IF(NOT(U139),"Not Eligible",IF(OR(AQ139,AH139,AK139,NOT(AND(W139&gt;=Assumptions!$B$83,O139&gt;=Assumptions!$B$84))),"Manual Review","Ready"))</f>
        <v>Not Eligible</v>
      </c>
      <c r="AV139" s="2" t="str">
        <f aca="false">IF(AG139,"Key account - human sign-off required; ","")&amp;IF(AH139,"Borderline momentum; ","")&amp;IF(AK139,"February-sensitive ("&amp;N139&amp;" -&gt; "&amp;AJ139&amp;"); ","")&amp;IF(AL139="One-Off / Insufficient History — Verify","Lapsed on thin history - verify; ","")&amp;IF(AQ139,"Material broker % inconsistency (implied tier "&amp;AP139&amp;"); ","")&amp;IF(AT139,"Implied broker % would move segment to "&amp;AS139&amp;"; ","")</f>
        <v>Lapsed on thin history - verify; </v>
      </c>
      <c r="AW139" s="10" t="b">
        <f aca="false">AND(G139="Low",J139="Tail",I139&gt;=Assumptions!$B$64,O139&gt;=Assumptions!$B$65,OR(N139="Growing",N139="Stable",AND(N139="H2 Active / No H1 GMV",W139&gt;=2)),OR(R139&gt;=Assumptions!$B$66,S139&gt;=Assumptions!$B$67))</f>
        <v>0</v>
      </c>
    </row>
    <row r="140" customFormat="false" ht="15" hidden="false" customHeight="false" outlineLevel="0" collapsed="false">
      <c r="A140" s="2" t="s">
        <v>764</v>
      </c>
      <c r="B140" s="2" t="s">
        <v>1571</v>
      </c>
      <c r="C140" s="2" t="s">
        <v>1572</v>
      </c>
      <c r="D140" s="2" t="n">
        <v>7</v>
      </c>
      <c r="E140" s="2" t="n">
        <v>19</v>
      </c>
      <c r="F140" s="21" t="n">
        <f aca="false">INDEX('Scored Accounts'!$Q$2:$Q$301,MATCH($A140,'Scored Accounts'!$A$2:$A$301,0))</f>
        <v>0</v>
      </c>
      <c r="G140" s="2" t="str">
        <f aca="false">INDEX('Scored Accounts'!$R$2:$R$301,MATCH($A140,'Scored Accounts'!$A$2:$A$301,0))</f>
        <v>Low</v>
      </c>
      <c r="H140" s="2" t="str">
        <f aca="false">IF(OR(G140="High",G140="Medium"),"Broker-Reliant",IF(AND(G140="Low",B140="Account Managed"),"AM-Owned / Self-Serving",IF(AND(G140="Low",B140="Self Serve"),"Self-Serve","UNASSIGNED")))</f>
        <v>AM-Owned / Self-Serving</v>
      </c>
      <c r="I140" s="9" t="n">
        <v>322</v>
      </c>
      <c r="J140" s="2" t="str">
        <f aca="false">IF(I140&gt;=Assumptions!$B$35,"Key",IF(I140&gt;=Assumptions!$B$34,"Core","Tail"))</f>
        <v>Tail</v>
      </c>
      <c r="K140" s="9" t="n">
        <f aca="false">INDEX('Commercial View'!$R$2:$R$301,MATCH($A140,'Commercial View'!$A$2:$A$301,0))</f>
        <v>322</v>
      </c>
      <c r="L140" s="9" t="n">
        <f aca="false">INDEX('Commercial View'!$S$2:$S$301,MATCH($A140,'Commercial View'!$A$2:$A$301,0))</f>
        <v>0</v>
      </c>
      <c r="M140" s="17" t="n">
        <f aca="false">INDEX('Commercial View'!$T$2:$T$301,MATCH($A140,'Commercial View'!$A$2:$A$301,0))</f>
        <v>-1</v>
      </c>
      <c r="N140" s="2" t="str">
        <f aca="false">INDEX('Commercial View'!$U$2:$U$301,MATCH($A140,'Commercial View'!$A$2:$A$301,0))</f>
        <v>Lapsed</v>
      </c>
      <c r="O140" s="2" t="n">
        <v>1</v>
      </c>
      <c r="P140" s="2" t="n">
        <v>0</v>
      </c>
      <c r="Q140" s="2" t="n">
        <v>1</v>
      </c>
      <c r="R140" s="2" t="n">
        <v>8</v>
      </c>
      <c r="S140" s="2" t="n">
        <v>0</v>
      </c>
      <c r="T140" s="2" t="str">
        <f aca="false">IF(H140="Broker-Reliant",IF(J140="Tail","5. Cost-to-Serve / Low-Touch",IF(OR(N140="Growing",N140="Stable"),"1. Migration Candidate",IF(N140="Declining","2. Protect / Retain First",IF(N140="Lapsed","3. Win-Back / Verify",IF(N140="H2 Active / No H1 GMV","4. Establish / Re-establish / Observe","UNASSIGNED"))))),IF(G140="Low",IF(J140="Tail","9. Long-Tail Automated Nurture",IF(OR(N140="Growing",N140="Stable"),"6. Growth Opportunity",IF(N140="H2 Active / No H1 GMV","7. Onboard / Re-engage / Learn",IF(OR(N140="Declining",N140="Lapsed"),"8. Retention / Reactivation","UNASSIGNED")))),"UNASSIGNED"))</f>
        <v>9. Long-Tail Automated Nurture</v>
      </c>
      <c r="U140" s="10" t="b">
        <f aca="false">AND(T140="1. Migration Candidate",J140="Core",O140&gt;=Assumptions!$B$39,Q140&gt;=Assumptions!$B$40,NOT(Z140))</f>
        <v>0</v>
      </c>
      <c r="V140" s="2" t="n">
        <f aca="false">(AND(H140="Broker-Reliant",J140&lt;&gt;"Tail",OR(N140="Growing",N140="Stable")))*1+(AND(H140="Broker-Reliant",J140&lt;&gt;"Tail",N140="Declining"))*1+(AND(H140="Broker-Reliant",J140&lt;&gt;"Tail",N140="Lapsed"))*1+(AND(H140="Broker-Reliant",J140&lt;&gt;"Tail",N140="H2 Active / No H1 GMV"))*1+(AND(H140="Broker-Reliant",J140="Tail"))*1+(AND(G140="Low",J140&lt;&gt;"Tail",OR(N140="Growing",N140="Stable")))*1+(AND(G140="Low",J140&lt;&gt;"Tail",N140="H2 Active / No H1 GMV"))*1+(AND(G140="Low",J140&lt;&gt;"Tail",OR(N140="Declining",N140="Lapsed")))*1+(AND(G140="Low",J140="Tail"))*1</f>
        <v>1</v>
      </c>
      <c r="W140" s="2" t="n">
        <f aca="false">INDEX('Commercial View'!$V$2:$V$301,MATCH($A140,'Commercial View'!$A$2:$A$301,0))</f>
        <v>1</v>
      </c>
      <c r="X140" s="10" t="b">
        <f aca="false">O140&lt;=Assumptions!$B$30</f>
        <v>1</v>
      </c>
      <c r="Y140" s="10" t="b">
        <f aca="false">W140&lt;=1</f>
        <v>1</v>
      </c>
      <c r="Z140" s="10" t="b">
        <f aca="false">C140="Duplicate"</f>
        <v>0</v>
      </c>
      <c r="AA140" s="10" t="b">
        <f aca="false">C140=""</f>
        <v>0</v>
      </c>
      <c r="AB140" s="2" t="n">
        <f aca="false">IF(P140+Q140&gt;0,ROUND(P140/(P140+Q140)*100,0),"")</f>
        <v>0</v>
      </c>
      <c r="AC140" s="2" t="n">
        <f aca="false">IF(P140+Q140&gt;0,ROUND(E140-P140/(P140+Q140)*100,0),"")</f>
        <v>19</v>
      </c>
      <c r="AD140" s="10" t="b">
        <f aca="false">IF(AC140="",FALSE(),ABS(AC140)&gt;Assumptions!$B$41)</f>
        <v>1</v>
      </c>
      <c r="AE140" s="2" t="str">
        <f aca="false">IF(X140,"Low confidence (&lt;=2 orders); ","")&amp;IF(Y140,"Single-month history; ","")&amp;IF(Z140,"CRITICAL: Duplicate status; ","")&amp;IF(AA140,"Missing status; ","")&amp;IF(AD140,"Broker % vs counts gap "&amp;TEXT(AC140,"+0;-0")&amp;"pts; ","")</f>
        <v>Low confidence (&lt;=2 orders); Single-month history; Broker % vs counts gap +19pts; </v>
      </c>
      <c r="AF140" s="2" t="str">
        <f aca="false">IF(AND(K140=0,L140&gt;0),IF(D140&lt;=Assumptions!$B$47,"New Customer","Returned Customer"),"Existing Customer")</f>
        <v>Existing Customer</v>
      </c>
      <c r="AG140" s="10" t="b">
        <f aca="false">AND(T140="1. Migration Candidate",J140="Key")</f>
        <v>0</v>
      </c>
      <c r="AH140" s="10" t="b">
        <f aca="false">IF(AND(K140&gt;0,L140&gt;0),OR(ABS(M140-Assumptions!$B$36)&lt;=Assumptions!$B$46,ABS(M140+Assumptions!$B$36)&lt;=Assumptions!$B$46),FALSE())</f>
        <v>0</v>
      </c>
      <c r="AI140" s="9" t="n">
        <f aca="false">INDEX('Commercial View'!$L$2:$L$301,MATCH($A140,'Commercial View'!$A$2:$A$301,0))+INDEX('Commercial View'!$M$2:$M$301,MATCH($A140,'Commercial View'!$A$2:$A$301,0))</f>
        <v>0</v>
      </c>
      <c r="AJ140" s="2" t="str">
        <f aca="false">IF(AND(K140=0,AI140=0),"No activity ex-Feb",IF(AI140=0,"Lapsed",IF(K140=0,"H2 Active / No H1 GMV",IF((AI140/2)/(K140/3)-1&gt;=Assumptions!$B$36,"Growing",IF((AI140/2)/(K140/3)-1&lt;-Assumptions!$B$36,"Declining","Stable")))))</f>
        <v>Lapsed</v>
      </c>
      <c r="AK140" s="10" t="b">
        <f aca="false">IF(OR(N140="Growing",N140="Stable"),"Healthy",N140)&lt;&gt;IF(OR(AJ140="Growing",AJ140="Stable"),"Healthy",AJ140)</f>
        <v>0</v>
      </c>
      <c r="AL140" s="2" t="str">
        <f aca="false">IF(N140="Lapsed",IF(OR(O140&lt;=Assumptions!$B$48,W140&lt;=Assumptions!$B$49),"One-Off / Insufficient History — Verify","Established Buyer Lapsed"),"N/A")</f>
        <v>One-Off / Insufficient History — Verify</v>
      </c>
      <c r="AM140" s="2" t="n">
        <f aca="false">INDEX('Scored Accounts'!$M$2:$M$301,MATCH($A140,'Scored Accounts'!$A$2:$A$301,0))</f>
        <v>0</v>
      </c>
      <c r="AN140" s="2" t="n">
        <f aca="false">IF((P140/(P140+Q140)*100)&lt;=Assumptions!$B$13,0,IF((P140/(P140+Q140)*100)&lt;Assumptions!$B$14,25,IF((P140/(P140+Q140)*100)&lt;Assumptions!$B$15,50,IF((P140/(P140+Q140)*100)&lt;Assumptions!$B$16,75,100))))</f>
        <v>0</v>
      </c>
      <c r="AO140" s="21" t="n">
        <f aca="false">IF((P140/(P140+Q140)*100)&lt;=Assumptions!$B$8,0,AN140*Assumptions!$B$4+INDEX('Scored Accounts'!$N$2:$N$301,MATCH($A140,'Scored Accounts'!$A$2:$A$301,0))*Assumptions!$B$5+INDEX('Scored Accounts'!$O$2:$O$301,MATCH($A140,'Scored Accounts'!$A$2:$A$301,0))*Assumptions!$B$6)</f>
        <v>0</v>
      </c>
      <c r="AP140" s="2" t="str">
        <f aca="false">IF(AO140&gt;=Assumptions!$B$9,"High",IF(AO140&gt;=Assumptions!$B$10,"Medium","Low"))</f>
        <v>Low</v>
      </c>
      <c r="AQ140" s="10" t="b">
        <f aca="false">OR((E140&lt;=Assumptions!$B$8)&lt;&gt;((P140/(P140+Q140)*100)&lt;=Assumptions!$B$8),AM140&lt;&gt;AN140,G140&lt;&gt;AP140)</f>
        <v>0</v>
      </c>
      <c r="AR140" s="2" t="str">
        <f aca="false">IF(AP140&lt;&gt;"Low","Broker-Reliant",IF(B140="Account Managed","AM-Owned / Self-Serving","Self-Serve"))</f>
        <v>AM-Owned / Self-Serving</v>
      </c>
      <c r="AS140" s="2" t="str">
        <f aca="false">IF(AR140="Broker-Reliant",IF(J140="Tail","5. Cost-to-Serve / Low-Touch",IF(OR(N140="Growing",N140="Stable"),"1. Migration Candidate",IF(N140="Declining","2. Protect / Retain First",IF(N140="Lapsed","3. Win-Back / Verify",IF(N140="H2 Active / No H1 GMV","4. Establish / Re-establish / Observe","UNASSIGNED"))))),IF(AP140="Low",IF(J140="Tail","9. Long-Tail Automated Nurture",IF(OR(N140="Growing",N140="Stable"),"6. Growth Opportunity",IF(N140="H2 Active / No H1 GMV","7. Onboard / Re-engage / Learn",IF(OR(N140="Declining",N140="Lapsed"),"8. Retention / Reactivation","UNASSIGNED")))),"UNASSIGNED"))</f>
        <v>9. Long-Tail Automated Nurture</v>
      </c>
      <c r="AT140" s="10" t="b">
        <f aca="false">AS140&lt;&gt;T140</f>
        <v>0</v>
      </c>
      <c r="AU140" s="2" t="str">
        <f aca="false">IF(NOT(U140),"Not Eligible",IF(OR(AQ140,AH140,AK140,NOT(AND(W140&gt;=Assumptions!$B$83,O140&gt;=Assumptions!$B$84))),"Manual Review","Ready"))</f>
        <v>Not Eligible</v>
      </c>
      <c r="AV140" s="2" t="str">
        <f aca="false">IF(AG140,"Key account - human sign-off required; ","")&amp;IF(AH140,"Borderline momentum; ","")&amp;IF(AK140,"February-sensitive ("&amp;N140&amp;" -&gt; "&amp;AJ140&amp;"); ","")&amp;IF(AL140="One-Off / Insufficient History — Verify","Lapsed on thin history - verify; ","")&amp;IF(AQ140,"Material broker % inconsistency (implied tier "&amp;AP140&amp;"); ","")&amp;IF(AT140,"Implied broker % would move segment to "&amp;AS140&amp;"; ","")</f>
        <v>Lapsed on thin history - verify; </v>
      </c>
      <c r="AW140" s="10" t="b">
        <f aca="false">AND(G140="Low",J140="Tail",I140&gt;=Assumptions!$B$64,O140&gt;=Assumptions!$B$65,OR(N140="Growing",N140="Stable",AND(N140="H2 Active / No H1 GMV",W140&gt;=2)),OR(R140&gt;=Assumptions!$B$66,S140&gt;=Assumptions!$B$67))</f>
        <v>0</v>
      </c>
    </row>
    <row r="141" customFormat="false" ht="15" hidden="false" customHeight="false" outlineLevel="0" collapsed="false">
      <c r="A141" s="2" t="s">
        <v>768</v>
      </c>
      <c r="B141" s="2" t="s">
        <v>1571</v>
      </c>
      <c r="C141" s="2" t="s">
        <v>1572</v>
      </c>
      <c r="D141" s="2" t="n">
        <v>6</v>
      </c>
      <c r="E141" s="2" t="n">
        <v>11</v>
      </c>
      <c r="F141" s="21" t="n">
        <f aca="false">INDEX('Scored Accounts'!$Q$2:$Q$301,MATCH($A141,'Scored Accounts'!$A$2:$A$301,0))</f>
        <v>0</v>
      </c>
      <c r="G141" s="2" t="str">
        <f aca="false">INDEX('Scored Accounts'!$R$2:$R$301,MATCH($A141,'Scored Accounts'!$A$2:$A$301,0))</f>
        <v>Low</v>
      </c>
      <c r="H141" s="2" t="str">
        <f aca="false">IF(OR(G141="High",G141="Medium"),"Broker-Reliant",IF(AND(G141="Low",B141="Account Managed"),"AM-Owned / Self-Serving",IF(AND(G141="Low",B141="Self Serve"),"Self-Serve","UNASSIGNED")))</f>
        <v>AM-Owned / Self-Serving</v>
      </c>
      <c r="I141" s="9" t="n">
        <v>320</v>
      </c>
      <c r="J141" s="2" t="str">
        <f aca="false">IF(I141&gt;=Assumptions!$B$35,"Key",IF(I141&gt;=Assumptions!$B$34,"Core","Tail"))</f>
        <v>Tail</v>
      </c>
      <c r="K141" s="9" t="n">
        <f aca="false">INDEX('Commercial View'!$R$2:$R$301,MATCH($A141,'Commercial View'!$A$2:$A$301,0))</f>
        <v>320</v>
      </c>
      <c r="L141" s="9" t="n">
        <f aca="false">INDEX('Commercial View'!$S$2:$S$301,MATCH($A141,'Commercial View'!$A$2:$A$301,0))</f>
        <v>0</v>
      </c>
      <c r="M141" s="17" t="n">
        <f aca="false">INDEX('Commercial View'!$T$2:$T$301,MATCH($A141,'Commercial View'!$A$2:$A$301,0))</f>
        <v>-1</v>
      </c>
      <c r="N141" s="2" t="str">
        <f aca="false">INDEX('Commercial View'!$U$2:$U$301,MATCH($A141,'Commercial View'!$A$2:$A$301,0))</f>
        <v>Lapsed</v>
      </c>
      <c r="O141" s="2" t="n">
        <v>1</v>
      </c>
      <c r="P141" s="2" t="n">
        <v>0</v>
      </c>
      <c r="Q141" s="2" t="n">
        <v>1</v>
      </c>
      <c r="R141" s="2" t="n">
        <v>0</v>
      </c>
      <c r="S141" s="2" t="n">
        <v>0</v>
      </c>
      <c r="T141" s="2" t="str">
        <f aca="false">IF(H141="Broker-Reliant",IF(J141="Tail","5. Cost-to-Serve / Low-Touch",IF(OR(N141="Growing",N141="Stable"),"1. Migration Candidate",IF(N141="Declining","2. Protect / Retain First",IF(N141="Lapsed","3. Win-Back / Verify",IF(N141="H2 Active / No H1 GMV","4. Establish / Re-establish / Observe","UNASSIGNED"))))),IF(G141="Low",IF(J141="Tail","9. Long-Tail Automated Nurture",IF(OR(N141="Growing",N141="Stable"),"6. Growth Opportunity",IF(N141="H2 Active / No H1 GMV","7. Onboard / Re-engage / Learn",IF(OR(N141="Declining",N141="Lapsed"),"8. Retention / Reactivation","UNASSIGNED")))),"UNASSIGNED"))</f>
        <v>9. Long-Tail Automated Nurture</v>
      </c>
      <c r="U141" s="10" t="b">
        <f aca="false">AND(T141="1. Migration Candidate",J141="Core",O141&gt;=Assumptions!$B$39,Q141&gt;=Assumptions!$B$40,NOT(Z141))</f>
        <v>0</v>
      </c>
      <c r="V141" s="2" t="n">
        <f aca="false">(AND(H141="Broker-Reliant",J141&lt;&gt;"Tail",OR(N141="Growing",N141="Stable")))*1+(AND(H141="Broker-Reliant",J141&lt;&gt;"Tail",N141="Declining"))*1+(AND(H141="Broker-Reliant",J141&lt;&gt;"Tail",N141="Lapsed"))*1+(AND(H141="Broker-Reliant",J141&lt;&gt;"Tail",N141="H2 Active / No H1 GMV"))*1+(AND(H141="Broker-Reliant",J141="Tail"))*1+(AND(G141="Low",J141&lt;&gt;"Tail",OR(N141="Growing",N141="Stable")))*1+(AND(G141="Low",J141&lt;&gt;"Tail",N141="H2 Active / No H1 GMV"))*1+(AND(G141="Low",J141&lt;&gt;"Tail",OR(N141="Declining",N141="Lapsed")))*1+(AND(G141="Low",J141="Tail"))*1</f>
        <v>1</v>
      </c>
      <c r="W141" s="2" t="n">
        <f aca="false">INDEX('Commercial View'!$V$2:$V$301,MATCH($A141,'Commercial View'!$A$2:$A$301,0))</f>
        <v>1</v>
      </c>
      <c r="X141" s="10" t="b">
        <f aca="false">O141&lt;=Assumptions!$B$30</f>
        <v>1</v>
      </c>
      <c r="Y141" s="10" t="b">
        <f aca="false">W141&lt;=1</f>
        <v>1</v>
      </c>
      <c r="Z141" s="10" t="b">
        <f aca="false">C141="Duplicate"</f>
        <v>0</v>
      </c>
      <c r="AA141" s="10" t="b">
        <f aca="false">C141=""</f>
        <v>0</v>
      </c>
      <c r="AB141" s="2" t="n">
        <f aca="false">IF(P141+Q141&gt;0,ROUND(P141/(P141+Q141)*100,0),"")</f>
        <v>0</v>
      </c>
      <c r="AC141" s="2" t="n">
        <f aca="false">IF(P141+Q141&gt;0,ROUND(E141-P141/(P141+Q141)*100,0),"")</f>
        <v>11</v>
      </c>
      <c r="AD141" s="10" t="b">
        <f aca="false">IF(AC141="",FALSE(),ABS(AC141)&gt;Assumptions!$B$41)</f>
        <v>1</v>
      </c>
      <c r="AE141" s="2" t="str">
        <f aca="false">IF(X141,"Low confidence (&lt;=2 orders); ","")&amp;IF(Y141,"Single-month history; ","")&amp;IF(Z141,"CRITICAL: Duplicate status; ","")&amp;IF(AA141,"Missing status; ","")&amp;IF(AD141,"Broker % vs counts gap "&amp;TEXT(AC141,"+0;-0")&amp;"pts; ","")</f>
        <v>Low confidence (&lt;=2 orders); Single-month history; Broker % vs counts gap +11pts; </v>
      </c>
      <c r="AF141" s="2" t="str">
        <f aca="false">IF(AND(K141=0,L141&gt;0),IF(D141&lt;=Assumptions!$B$47,"New Customer","Returned Customer"),"Existing Customer")</f>
        <v>Existing Customer</v>
      </c>
      <c r="AG141" s="10" t="b">
        <f aca="false">AND(T141="1. Migration Candidate",J141="Key")</f>
        <v>0</v>
      </c>
      <c r="AH141" s="10" t="b">
        <f aca="false">IF(AND(K141&gt;0,L141&gt;0),OR(ABS(M141-Assumptions!$B$36)&lt;=Assumptions!$B$46,ABS(M141+Assumptions!$B$36)&lt;=Assumptions!$B$46),FALSE())</f>
        <v>0</v>
      </c>
      <c r="AI141" s="9" t="n">
        <f aca="false">INDEX('Commercial View'!$L$2:$L$301,MATCH($A141,'Commercial View'!$A$2:$A$301,0))+INDEX('Commercial View'!$M$2:$M$301,MATCH($A141,'Commercial View'!$A$2:$A$301,0))</f>
        <v>0</v>
      </c>
      <c r="AJ141" s="2" t="str">
        <f aca="false">IF(AND(K141=0,AI141=0),"No activity ex-Feb",IF(AI141=0,"Lapsed",IF(K141=0,"H2 Active / No H1 GMV",IF((AI141/2)/(K141/3)-1&gt;=Assumptions!$B$36,"Growing",IF((AI141/2)/(K141/3)-1&lt;-Assumptions!$B$36,"Declining","Stable")))))</f>
        <v>Lapsed</v>
      </c>
      <c r="AK141" s="10" t="b">
        <f aca="false">IF(OR(N141="Growing",N141="Stable"),"Healthy",N141)&lt;&gt;IF(OR(AJ141="Growing",AJ141="Stable"),"Healthy",AJ141)</f>
        <v>0</v>
      </c>
      <c r="AL141" s="2" t="str">
        <f aca="false">IF(N141="Lapsed",IF(OR(O141&lt;=Assumptions!$B$48,W141&lt;=Assumptions!$B$49),"One-Off / Insufficient History — Verify","Established Buyer Lapsed"),"N/A")</f>
        <v>One-Off / Insufficient History — Verify</v>
      </c>
      <c r="AM141" s="2" t="n">
        <f aca="false">INDEX('Scored Accounts'!$M$2:$M$301,MATCH($A141,'Scored Accounts'!$A$2:$A$301,0))</f>
        <v>0</v>
      </c>
      <c r="AN141" s="2" t="n">
        <f aca="false">IF((P141/(P141+Q141)*100)&lt;=Assumptions!$B$13,0,IF((P141/(P141+Q141)*100)&lt;Assumptions!$B$14,25,IF((P141/(P141+Q141)*100)&lt;Assumptions!$B$15,50,IF((P141/(P141+Q141)*100)&lt;Assumptions!$B$16,75,100))))</f>
        <v>0</v>
      </c>
      <c r="AO141" s="21" t="n">
        <f aca="false">IF((P141/(P141+Q141)*100)&lt;=Assumptions!$B$8,0,AN141*Assumptions!$B$4+INDEX('Scored Accounts'!$N$2:$N$301,MATCH($A141,'Scored Accounts'!$A$2:$A$301,0))*Assumptions!$B$5+INDEX('Scored Accounts'!$O$2:$O$301,MATCH($A141,'Scored Accounts'!$A$2:$A$301,0))*Assumptions!$B$6)</f>
        <v>0</v>
      </c>
      <c r="AP141" s="2" t="str">
        <f aca="false">IF(AO141&gt;=Assumptions!$B$9,"High",IF(AO141&gt;=Assumptions!$B$10,"Medium","Low"))</f>
        <v>Low</v>
      </c>
      <c r="AQ141" s="10" t="b">
        <f aca="false">OR((E141&lt;=Assumptions!$B$8)&lt;&gt;((P141/(P141+Q141)*100)&lt;=Assumptions!$B$8),AM141&lt;&gt;AN141,G141&lt;&gt;AP141)</f>
        <v>0</v>
      </c>
      <c r="AR141" s="2" t="str">
        <f aca="false">IF(AP141&lt;&gt;"Low","Broker-Reliant",IF(B141="Account Managed","AM-Owned / Self-Serving","Self-Serve"))</f>
        <v>AM-Owned / Self-Serving</v>
      </c>
      <c r="AS141" s="2" t="str">
        <f aca="false">IF(AR141="Broker-Reliant",IF(J141="Tail","5. Cost-to-Serve / Low-Touch",IF(OR(N141="Growing",N141="Stable"),"1. Migration Candidate",IF(N141="Declining","2. Protect / Retain First",IF(N141="Lapsed","3. Win-Back / Verify",IF(N141="H2 Active / No H1 GMV","4. Establish / Re-establish / Observe","UNASSIGNED"))))),IF(AP141="Low",IF(J141="Tail","9. Long-Tail Automated Nurture",IF(OR(N141="Growing",N141="Stable"),"6. Growth Opportunity",IF(N141="H2 Active / No H1 GMV","7. Onboard / Re-engage / Learn",IF(OR(N141="Declining",N141="Lapsed"),"8. Retention / Reactivation","UNASSIGNED")))),"UNASSIGNED"))</f>
        <v>9. Long-Tail Automated Nurture</v>
      </c>
      <c r="AT141" s="10" t="b">
        <f aca="false">AS141&lt;&gt;T141</f>
        <v>0</v>
      </c>
      <c r="AU141" s="2" t="str">
        <f aca="false">IF(NOT(U141),"Not Eligible",IF(OR(AQ141,AH141,AK141,NOT(AND(W141&gt;=Assumptions!$B$83,O141&gt;=Assumptions!$B$84))),"Manual Review","Ready"))</f>
        <v>Not Eligible</v>
      </c>
      <c r="AV141" s="2" t="str">
        <f aca="false">IF(AG141,"Key account - human sign-off required; ","")&amp;IF(AH141,"Borderline momentum; ","")&amp;IF(AK141,"February-sensitive ("&amp;N141&amp;" -&gt; "&amp;AJ141&amp;"); ","")&amp;IF(AL141="One-Off / Insufficient History — Verify","Lapsed on thin history - verify; ","")&amp;IF(AQ141,"Material broker % inconsistency (implied tier "&amp;AP141&amp;"); ","")&amp;IF(AT141,"Implied broker % would move segment to "&amp;AS141&amp;"; ","")</f>
        <v>Lapsed on thin history - verify; </v>
      </c>
      <c r="AW141" s="10" t="b">
        <f aca="false">AND(G141="Low",J141="Tail",I141&gt;=Assumptions!$B$64,O141&gt;=Assumptions!$B$65,OR(N141="Growing",N141="Stable",AND(N141="H2 Active / No H1 GMV",W141&gt;=2)),OR(R141&gt;=Assumptions!$B$66,S141&gt;=Assumptions!$B$67))</f>
        <v>0</v>
      </c>
    </row>
    <row r="142" customFormat="false" ht="15" hidden="false" customHeight="false" outlineLevel="0" collapsed="false">
      <c r="A142" s="2" t="s">
        <v>772</v>
      </c>
      <c r="B142" s="2" t="s">
        <v>1571</v>
      </c>
      <c r="C142" s="2" t="s">
        <v>1572</v>
      </c>
      <c r="D142" s="2" t="n">
        <v>11</v>
      </c>
      <c r="E142" s="2" t="n">
        <v>13</v>
      </c>
      <c r="F142" s="21" t="n">
        <f aca="false">INDEX('Scored Accounts'!$Q$2:$Q$301,MATCH($A142,'Scored Accounts'!$A$2:$A$301,0))</f>
        <v>0</v>
      </c>
      <c r="G142" s="2" t="str">
        <f aca="false">INDEX('Scored Accounts'!$R$2:$R$301,MATCH($A142,'Scored Accounts'!$A$2:$A$301,0))</f>
        <v>Low</v>
      </c>
      <c r="H142" s="2" t="str">
        <f aca="false">IF(OR(G142="High",G142="Medium"),"Broker-Reliant",IF(AND(G142="Low",B142="Account Managed"),"AM-Owned / Self-Serving",IF(AND(G142="Low",B142="Self Serve"),"Self-Serve","UNASSIGNED")))</f>
        <v>AM-Owned / Self-Serving</v>
      </c>
      <c r="I142" s="9" t="n">
        <v>313</v>
      </c>
      <c r="J142" s="2" t="str">
        <f aca="false">IF(I142&gt;=Assumptions!$B$35,"Key",IF(I142&gt;=Assumptions!$B$34,"Core","Tail"))</f>
        <v>Tail</v>
      </c>
      <c r="K142" s="9" t="n">
        <f aca="false">INDEX('Commercial View'!$R$2:$R$301,MATCH($A142,'Commercial View'!$A$2:$A$301,0))</f>
        <v>0</v>
      </c>
      <c r="L142" s="9" t="n">
        <f aca="false">INDEX('Commercial View'!$S$2:$S$301,MATCH($A142,'Commercial View'!$A$2:$A$301,0))</f>
        <v>313</v>
      </c>
      <c r="M142" s="17" t="str">
        <f aca="false">INDEX('Commercial View'!$T$2:$T$301,MATCH($A142,'Commercial View'!$A$2:$A$301,0))</f>
        <v/>
      </c>
      <c r="N142" s="2" t="str">
        <f aca="false">INDEX('Commercial View'!$U$2:$U$301,MATCH($A142,'Commercial View'!$A$2:$A$301,0))</f>
        <v>H2 Active / No H1 GMV</v>
      </c>
      <c r="O142" s="2" t="n">
        <v>1</v>
      </c>
      <c r="P142" s="2" t="n">
        <v>0</v>
      </c>
      <c r="Q142" s="2" t="n">
        <v>1</v>
      </c>
      <c r="R142" s="2" t="n">
        <v>23</v>
      </c>
      <c r="S142" s="2" t="n">
        <v>10</v>
      </c>
      <c r="T142" s="2" t="str">
        <f aca="false">IF(H142="Broker-Reliant",IF(J142="Tail","5. Cost-to-Serve / Low-Touch",IF(OR(N142="Growing",N142="Stable"),"1. Migration Candidate",IF(N142="Declining","2. Protect / Retain First",IF(N142="Lapsed","3. Win-Back / Verify",IF(N142="H2 Active / No H1 GMV","4. Establish / Re-establish / Observe","UNASSIGNED"))))),IF(G142="Low",IF(J142="Tail","9. Long-Tail Automated Nurture",IF(OR(N142="Growing",N142="Stable"),"6. Growth Opportunity",IF(N142="H2 Active / No H1 GMV","7. Onboard / Re-engage / Learn",IF(OR(N142="Declining",N142="Lapsed"),"8. Retention / Reactivation","UNASSIGNED")))),"UNASSIGNED"))</f>
        <v>9. Long-Tail Automated Nurture</v>
      </c>
      <c r="U142" s="10" t="b">
        <f aca="false">AND(T142="1. Migration Candidate",J142="Core",O142&gt;=Assumptions!$B$39,Q142&gt;=Assumptions!$B$40,NOT(Z142))</f>
        <v>0</v>
      </c>
      <c r="V142" s="2" t="n">
        <f aca="false">(AND(H142="Broker-Reliant",J142&lt;&gt;"Tail",OR(N142="Growing",N142="Stable")))*1+(AND(H142="Broker-Reliant",J142&lt;&gt;"Tail",N142="Declining"))*1+(AND(H142="Broker-Reliant",J142&lt;&gt;"Tail",N142="Lapsed"))*1+(AND(H142="Broker-Reliant",J142&lt;&gt;"Tail",N142="H2 Active / No H1 GMV"))*1+(AND(H142="Broker-Reliant",J142="Tail"))*1+(AND(G142="Low",J142&lt;&gt;"Tail",OR(N142="Growing",N142="Stable")))*1+(AND(G142="Low",J142&lt;&gt;"Tail",N142="H2 Active / No H1 GMV"))*1+(AND(G142="Low",J142&lt;&gt;"Tail",OR(N142="Declining",N142="Lapsed")))*1+(AND(G142="Low",J142="Tail"))*1</f>
        <v>1</v>
      </c>
      <c r="W142" s="2" t="n">
        <f aca="false">INDEX('Commercial View'!$V$2:$V$301,MATCH($A142,'Commercial View'!$A$2:$A$301,0))</f>
        <v>1</v>
      </c>
      <c r="X142" s="10" t="b">
        <f aca="false">O142&lt;=Assumptions!$B$30</f>
        <v>1</v>
      </c>
      <c r="Y142" s="10" t="b">
        <f aca="false">W142&lt;=1</f>
        <v>1</v>
      </c>
      <c r="Z142" s="10" t="b">
        <f aca="false">C142="Duplicate"</f>
        <v>0</v>
      </c>
      <c r="AA142" s="10" t="b">
        <f aca="false">C142=""</f>
        <v>0</v>
      </c>
      <c r="AB142" s="2" t="n">
        <f aca="false">IF(P142+Q142&gt;0,ROUND(P142/(P142+Q142)*100,0),"")</f>
        <v>0</v>
      </c>
      <c r="AC142" s="2" t="n">
        <f aca="false">IF(P142+Q142&gt;0,ROUND(E142-P142/(P142+Q142)*100,0),"")</f>
        <v>13</v>
      </c>
      <c r="AD142" s="10" t="b">
        <f aca="false">IF(AC142="",FALSE(),ABS(AC142)&gt;Assumptions!$B$41)</f>
        <v>1</v>
      </c>
      <c r="AE142" s="2" t="str">
        <f aca="false">IF(X142,"Low confidence (&lt;=2 orders); ","")&amp;IF(Y142,"Single-month history; ","")&amp;IF(Z142,"CRITICAL: Duplicate status; ","")&amp;IF(AA142,"Missing status; ","")&amp;IF(AD142,"Broker % vs counts gap "&amp;TEXT(AC142,"+0;-0")&amp;"pts; ","")</f>
        <v>Low confidence (&lt;=2 orders); Single-month history; Broker % vs counts gap +13pts; </v>
      </c>
      <c r="AF142" s="2" t="str">
        <f aca="false">IF(AND(K142=0,L142&gt;0),IF(D142&lt;=Assumptions!$B$47,"New Customer","Returned Customer"),"Existing Customer")</f>
        <v>Returned Customer</v>
      </c>
      <c r="AG142" s="10" t="b">
        <f aca="false">AND(T142="1. Migration Candidate",J142="Key")</f>
        <v>0</v>
      </c>
      <c r="AH142" s="10" t="b">
        <f aca="false">IF(AND(K142&gt;0,L142&gt;0),OR(ABS(M142-Assumptions!$B$36)&lt;=Assumptions!$B$46,ABS(M142+Assumptions!$B$36)&lt;=Assumptions!$B$46),FALSE())</f>
        <v>0</v>
      </c>
      <c r="AI142" s="9" t="n">
        <f aca="false">INDEX('Commercial View'!$L$2:$L$301,MATCH($A142,'Commercial View'!$A$2:$A$301,0))+INDEX('Commercial View'!$M$2:$M$301,MATCH($A142,'Commercial View'!$A$2:$A$301,0))</f>
        <v>313</v>
      </c>
      <c r="AJ142" s="2" t="str">
        <f aca="false">IF(AND(K142=0,AI142=0),"No activity ex-Feb",IF(AI142=0,"Lapsed",IF(K142=0,"H2 Active / No H1 GMV",IF((AI142/2)/(K142/3)-1&gt;=Assumptions!$B$36,"Growing",IF((AI142/2)/(K142/3)-1&lt;-Assumptions!$B$36,"Declining","Stable")))))</f>
        <v>H2 Active / No H1 GMV</v>
      </c>
      <c r="AK142" s="10" t="b">
        <f aca="false">IF(OR(N142="Growing",N142="Stable"),"Healthy",N142)&lt;&gt;IF(OR(AJ142="Growing",AJ142="Stable"),"Healthy",AJ142)</f>
        <v>0</v>
      </c>
      <c r="AL142" s="2" t="str">
        <f aca="false">IF(N142="Lapsed",IF(OR(O142&lt;=Assumptions!$B$48,W142&lt;=Assumptions!$B$49),"One-Off / Insufficient History — Verify","Established Buyer Lapsed"),"N/A")</f>
        <v>N/A</v>
      </c>
      <c r="AM142" s="2" t="n">
        <f aca="false">INDEX('Scored Accounts'!$M$2:$M$301,MATCH($A142,'Scored Accounts'!$A$2:$A$301,0))</f>
        <v>0</v>
      </c>
      <c r="AN142" s="2" t="n">
        <f aca="false">IF((P142/(P142+Q142)*100)&lt;=Assumptions!$B$13,0,IF((P142/(P142+Q142)*100)&lt;Assumptions!$B$14,25,IF((P142/(P142+Q142)*100)&lt;Assumptions!$B$15,50,IF((P142/(P142+Q142)*100)&lt;Assumptions!$B$16,75,100))))</f>
        <v>0</v>
      </c>
      <c r="AO142" s="21" t="n">
        <f aca="false">IF((P142/(P142+Q142)*100)&lt;=Assumptions!$B$8,0,AN142*Assumptions!$B$4+INDEX('Scored Accounts'!$N$2:$N$301,MATCH($A142,'Scored Accounts'!$A$2:$A$301,0))*Assumptions!$B$5+INDEX('Scored Accounts'!$O$2:$O$301,MATCH($A142,'Scored Accounts'!$A$2:$A$301,0))*Assumptions!$B$6)</f>
        <v>0</v>
      </c>
      <c r="AP142" s="2" t="str">
        <f aca="false">IF(AO142&gt;=Assumptions!$B$9,"High",IF(AO142&gt;=Assumptions!$B$10,"Medium","Low"))</f>
        <v>Low</v>
      </c>
      <c r="AQ142" s="10" t="b">
        <f aca="false">OR((E142&lt;=Assumptions!$B$8)&lt;&gt;((P142/(P142+Q142)*100)&lt;=Assumptions!$B$8),AM142&lt;&gt;AN142,G142&lt;&gt;AP142)</f>
        <v>0</v>
      </c>
      <c r="AR142" s="2" t="str">
        <f aca="false">IF(AP142&lt;&gt;"Low","Broker-Reliant",IF(B142="Account Managed","AM-Owned / Self-Serving","Self-Serve"))</f>
        <v>AM-Owned / Self-Serving</v>
      </c>
      <c r="AS142" s="2" t="str">
        <f aca="false">IF(AR142="Broker-Reliant",IF(J142="Tail","5. Cost-to-Serve / Low-Touch",IF(OR(N142="Growing",N142="Stable"),"1. Migration Candidate",IF(N142="Declining","2. Protect / Retain First",IF(N142="Lapsed","3. Win-Back / Verify",IF(N142="H2 Active / No H1 GMV","4. Establish / Re-establish / Observe","UNASSIGNED"))))),IF(AP142="Low",IF(J142="Tail","9. Long-Tail Automated Nurture",IF(OR(N142="Growing",N142="Stable"),"6. Growth Opportunity",IF(N142="H2 Active / No H1 GMV","7. Onboard / Re-engage / Learn",IF(OR(N142="Declining",N142="Lapsed"),"8. Retention / Reactivation","UNASSIGNED")))),"UNASSIGNED"))</f>
        <v>9. Long-Tail Automated Nurture</v>
      </c>
      <c r="AT142" s="10" t="b">
        <f aca="false">AS142&lt;&gt;T142</f>
        <v>0</v>
      </c>
      <c r="AU142" s="2" t="str">
        <f aca="false">IF(NOT(U142),"Not Eligible",IF(OR(AQ142,AH142,AK142,NOT(AND(W142&gt;=Assumptions!$B$83,O142&gt;=Assumptions!$B$84))),"Manual Review","Ready"))</f>
        <v>Not Eligible</v>
      </c>
      <c r="AV142" s="2" t="str">
        <f aca="false">IF(AG142,"Key account - human sign-off required; ","")&amp;IF(AH142,"Borderline momentum; ","")&amp;IF(AK142,"February-sensitive ("&amp;N142&amp;" -&gt; "&amp;AJ142&amp;"); ","")&amp;IF(AL142="One-Off / Insufficient History — Verify","Lapsed on thin history - verify; ","")&amp;IF(AQ142,"Material broker % inconsistency (implied tier "&amp;AP142&amp;"); ","")&amp;IF(AT142,"Implied broker % would move segment to "&amp;AS142&amp;"; ","")</f>
        <v/>
      </c>
      <c r="AW142" s="10" t="b">
        <f aca="false">AND(G142="Low",J142="Tail",I142&gt;=Assumptions!$B$64,O142&gt;=Assumptions!$B$65,OR(N142="Growing",N142="Stable",AND(N142="H2 Active / No H1 GMV",W142&gt;=2)),OR(R142&gt;=Assumptions!$B$66,S142&gt;=Assumptions!$B$67))</f>
        <v>0</v>
      </c>
    </row>
    <row r="143" customFormat="false" ht="15" hidden="false" customHeight="false" outlineLevel="0" collapsed="false">
      <c r="A143" s="2" t="s">
        <v>774</v>
      </c>
      <c r="B143" s="2" t="s">
        <v>1571</v>
      </c>
      <c r="C143" s="2" t="s">
        <v>1572</v>
      </c>
      <c r="D143" s="2" t="n">
        <v>6</v>
      </c>
      <c r="E143" s="2" t="n">
        <v>17</v>
      </c>
      <c r="F143" s="21" t="n">
        <f aca="false">INDEX('Scored Accounts'!$Q$2:$Q$301,MATCH($A143,'Scored Accounts'!$A$2:$A$301,0))</f>
        <v>0</v>
      </c>
      <c r="G143" s="2" t="str">
        <f aca="false">INDEX('Scored Accounts'!$R$2:$R$301,MATCH($A143,'Scored Accounts'!$A$2:$A$301,0))</f>
        <v>Low</v>
      </c>
      <c r="H143" s="2" t="str">
        <f aca="false">IF(OR(G143="High",G143="Medium"),"Broker-Reliant",IF(AND(G143="Low",B143="Account Managed"),"AM-Owned / Self-Serving",IF(AND(G143="Low",B143="Self Serve"),"Self-Serve","UNASSIGNED")))</f>
        <v>AM-Owned / Self-Serving</v>
      </c>
      <c r="I143" s="9" t="n">
        <v>312</v>
      </c>
      <c r="J143" s="2" t="str">
        <f aca="false">IF(I143&gt;=Assumptions!$B$35,"Key",IF(I143&gt;=Assumptions!$B$34,"Core","Tail"))</f>
        <v>Tail</v>
      </c>
      <c r="K143" s="9" t="n">
        <f aca="false">INDEX('Commercial View'!$R$2:$R$301,MATCH($A143,'Commercial View'!$A$2:$A$301,0))</f>
        <v>312</v>
      </c>
      <c r="L143" s="9" t="n">
        <f aca="false">INDEX('Commercial View'!$S$2:$S$301,MATCH($A143,'Commercial View'!$A$2:$A$301,0))</f>
        <v>0</v>
      </c>
      <c r="M143" s="17" t="n">
        <f aca="false">INDEX('Commercial View'!$T$2:$T$301,MATCH($A143,'Commercial View'!$A$2:$A$301,0))</f>
        <v>-1</v>
      </c>
      <c r="N143" s="2" t="str">
        <f aca="false">INDEX('Commercial View'!$U$2:$U$301,MATCH($A143,'Commercial View'!$A$2:$A$301,0))</f>
        <v>Lapsed</v>
      </c>
      <c r="O143" s="2" t="n">
        <v>1</v>
      </c>
      <c r="P143" s="2" t="n">
        <v>0</v>
      </c>
      <c r="Q143" s="2" t="n">
        <v>1</v>
      </c>
      <c r="R143" s="2" t="n">
        <v>3</v>
      </c>
      <c r="S143" s="2" t="n">
        <v>0</v>
      </c>
      <c r="T143" s="2" t="str">
        <f aca="false">IF(H143="Broker-Reliant",IF(J143="Tail","5. Cost-to-Serve / Low-Touch",IF(OR(N143="Growing",N143="Stable"),"1. Migration Candidate",IF(N143="Declining","2. Protect / Retain First",IF(N143="Lapsed","3. Win-Back / Verify",IF(N143="H2 Active / No H1 GMV","4. Establish / Re-establish / Observe","UNASSIGNED"))))),IF(G143="Low",IF(J143="Tail","9. Long-Tail Automated Nurture",IF(OR(N143="Growing",N143="Stable"),"6. Growth Opportunity",IF(N143="H2 Active / No H1 GMV","7. Onboard / Re-engage / Learn",IF(OR(N143="Declining",N143="Lapsed"),"8. Retention / Reactivation","UNASSIGNED")))),"UNASSIGNED"))</f>
        <v>9. Long-Tail Automated Nurture</v>
      </c>
      <c r="U143" s="10" t="b">
        <f aca="false">AND(T143="1. Migration Candidate",J143="Core",O143&gt;=Assumptions!$B$39,Q143&gt;=Assumptions!$B$40,NOT(Z143))</f>
        <v>0</v>
      </c>
      <c r="V143" s="2" t="n">
        <f aca="false">(AND(H143="Broker-Reliant",J143&lt;&gt;"Tail",OR(N143="Growing",N143="Stable")))*1+(AND(H143="Broker-Reliant",J143&lt;&gt;"Tail",N143="Declining"))*1+(AND(H143="Broker-Reliant",J143&lt;&gt;"Tail",N143="Lapsed"))*1+(AND(H143="Broker-Reliant",J143&lt;&gt;"Tail",N143="H2 Active / No H1 GMV"))*1+(AND(H143="Broker-Reliant",J143="Tail"))*1+(AND(G143="Low",J143&lt;&gt;"Tail",OR(N143="Growing",N143="Stable")))*1+(AND(G143="Low",J143&lt;&gt;"Tail",N143="H2 Active / No H1 GMV"))*1+(AND(G143="Low",J143&lt;&gt;"Tail",OR(N143="Declining",N143="Lapsed")))*1+(AND(G143="Low",J143="Tail"))*1</f>
        <v>1</v>
      </c>
      <c r="W143" s="2" t="n">
        <f aca="false">INDEX('Commercial View'!$V$2:$V$301,MATCH($A143,'Commercial View'!$A$2:$A$301,0))</f>
        <v>1</v>
      </c>
      <c r="X143" s="10" t="b">
        <f aca="false">O143&lt;=Assumptions!$B$30</f>
        <v>1</v>
      </c>
      <c r="Y143" s="10" t="b">
        <f aca="false">W143&lt;=1</f>
        <v>1</v>
      </c>
      <c r="Z143" s="10" t="b">
        <f aca="false">C143="Duplicate"</f>
        <v>0</v>
      </c>
      <c r="AA143" s="10" t="b">
        <f aca="false">C143=""</f>
        <v>0</v>
      </c>
      <c r="AB143" s="2" t="n">
        <f aca="false">IF(P143+Q143&gt;0,ROUND(P143/(P143+Q143)*100,0),"")</f>
        <v>0</v>
      </c>
      <c r="AC143" s="2" t="n">
        <f aca="false">IF(P143+Q143&gt;0,ROUND(E143-P143/(P143+Q143)*100,0),"")</f>
        <v>17</v>
      </c>
      <c r="AD143" s="10" t="b">
        <f aca="false">IF(AC143="",FALSE(),ABS(AC143)&gt;Assumptions!$B$41)</f>
        <v>1</v>
      </c>
      <c r="AE143" s="2" t="str">
        <f aca="false">IF(X143,"Low confidence (&lt;=2 orders); ","")&amp;IF(Y143,"Single-month history; ","")&amp;IF(Z143,"CRITICAL: Duplicate status; ","")&amp;IF(AA143,"Missing status; ","")&amp;IF(AD143,"Broker % vs counts gap "&amp;TEXT(AC143,"+0;-0")&amp;"pts; ","")</f>
        <v>Low confidence (&lt;=2 orders); Single-month history; Broker % vs counts gap +17pts; </v>
      </c>
      <c r="AF143" s="2" t="str">
        <f aca="false">IF(AND(K143=0,L143&gt;0),IF(D143&lt;=Assumptions!$B$47,"New Customer","Returned Customer"),"Existing Customer")</f>
        <v>Existing Customer</v>
      </c>
      <c r="AG143" s="10" t="b">
        <f aca="false">AND(T143="1. Migration Candidate",J143="Key")</f>
        <v>0</v>
      </c>
      <c r="AH143" s="10" t="b">
        <f aca="false">IF(AND(K143&gt;0,L143&gt;0),OR(ABS(M143-Assumptions!$B$36)&lt;=Assumptions!$B$46,ABS(M143+Assumptions!$B$36)&lt;=Assumptions!$B$46),FALSE())</f>
        <v>0</v>
      </c>
      <c r="AI143" s="9" t="n">
        <f aca="false">INDEX('Commercial View'!$L$2:$L$301,MATCH($A143,'Commercial View'!$A$2:$A$301,0))+INDEX('Commercial View'!$M$2:$M$301,MATCH($A143,'Commercial View'!$A$2:$A$301,0))</f>
        <v>0</v>
      </c>
      <c r="AJ143" s="2" t="str">
        <f aca="false">IF(AND(K143=0,AI143=0),"No activity ex-Feb",IF(AI143=0,"Lapsed",IF(K143=0,"H2 Active / No H1 GMV",IF((AI143/2)/(K143/3)-1&gt;=Assumptions!$B$36,"Growing",IF((AI143/2)/(K143/3)-1&lt;-Assumptions!$B$36,"Declining","Stable")))))</f>
        <v>Lapsed</v>
      </c>
      <c r="AK143" s="10" t="b">
        <f aca="false">IF(OR(N143="Growing",N143="Stable"),"Healthy",N143)&lt;&gt;IF(OR(AJ143="Growing",AJ143="Stable"),"Healthy",AJ143)</f>
        <v>0</v>
      </c>
      <c r="AL143" s="2" t="str">
        <f aca="false">IF(N143="Lapsed",IF(OR(O143&lt;=Assumptions!$B$48,W143&lt;=Assumptions!$B$49),"One-Off / Insufficient History — Verify","Established Buyer Lapsed"),"N/A")</f>
        <v>One-Off / Insufficient History — Verify</v>
      </c>
      <c r="AM143" s="2" t="n">
        <f aca="false">INDEX('Scored Accounts'!$M$2:$M$301,MATCH($A143,'Scored Accounts'!$A$2:$A$301,0))</f>
        <v>0</v>
      </c>
      <c r="AN143" s="2" t="n">
        <f aca="false">IF((P143/(P143+Q143)*100)&lt;=Assumptions!$B$13,0,IF((P143/(P143+Q143)*100)&lt;Assumptions!$B$14,25,IF((P143/(P143+Q143)*100)&lt;Assumptions!$B$15,50,IF((P143/(P143+Q143)*100)&lt;Assumptions!$B$16,75,100))))</f>
        <v>0</v>
      </c>
      <c r="AO143" s="21" t="n">
        <f aca="false">IF((P143/(P143+Q143)*100)&lt;=Assumptions!$B$8,0,AN143*Assumptions!$B$4+INDEX('Scored Accounts'!$N$2:$N$301,MATCH($A143,'Scored Accounts'!$A$2:$A$301,0))*Assumptions!$B$5+INDEX('Scored Accounts'!$O$2:$O$301,MATCH($A143,'Scored Accounts'!$A$2:$A$301,0))*Assumptions!$B$6)</f>
        <v>0</v>
      </c>
      <c r="AP143" s="2" t="str">
        <f aca="false">IF(AO143&gt;=Assumptions!$B$9,"High",IF(AO143&gt;=Assumptions!$B$10,"Medium","Low"))</f>
        <v>Low</v>
      </c>
      <c r="AQ143" s="10" t="b">
        <f aca="false">OR((E143&lt;=Assumptions!$B$8)&lt;&gt;((P143/(P143+Q143)*100)&lt;=Assumptions!$B$8),AM143&lt;&gt;AN143,G143&lt;&gt;AP143)</f>
        <v>0</v>
      </c>
      <c r="AR143" s="2" t="str">
        <f aca="false">IF(AP143&lt;&gt;"Low","Broker-Reliant",IF(B143="Account Managed","AM-Owned / Self-Serving","Self-Serve"))</f>
        <v>AM-Owned / Self-Serving</v>
      </c>
      <c r="AS143" s="2" t="str">
        <f aca="false">IF(AR143="Broker-Reliant",IF(J143="Tail","5. Cost-to-Serve / Low-Touch",IF(OR(N143="Growing",N143="Stable"),"1. Migration Candidate",IF(N143="Declining","2. Protect / Retain First",IF(N143="Lapsed","3. Win-Back / Verify",IF(N143="H2 Active / No H1 GMV","4. Establish / Re-establish / Observe","UNASSIGNED"))))),IF(AP143="Low",IF(J143="Tail","9. Long-Tail Automated Nurture",IF(OR(N143="Growing",N143="Stable"),"6. Growth Opportunity",IF(N143="H2 Active / No H1 GMV","7. Onboard / Re-engage / Learn",IF(OR(N143="Declining",N143="Lapsed"),"8. Retention / Reactivation","UNASSIGNED")))),"UNASSIGNED"))</f>
        <v>9. Long-Tail Automated Nurture</v>
      </c>
      <c r="AT143" s="10" t="b">
        <f aca="false">AS143&lt;&gt;T143</f>
        <v>0</v>
      </c>
      <c r="AU143" s="2" t="str">
        <f aca="false">IF(NOT(U143),"Not Eligible",IF(OR(AQ143,AH143,AK143,NOT(AND(W143&gt;=Assumptions!$B$83,O143&gt;=Assumptions!$B$84))),"Manual Review","Ready"))</f>
        <v>Not Eligible</v>
      </c>
      <c r="AV143" s="2" t="str">
        <f aca="false">IF(AG143,"Key account - human sign-off required; ","")&amp;IF(AH143,"Borderline momentum; ","")&amp;IF(AK143,"February-sensitive ("&amp;N143&amp;" -&gt; "&amp;AJ143&amp;"); ","")&amp;IF(AL143="One-Off / Insufficient History — Verify","Lapsed on thin history - verify; ","")&amp;IF(AQ143,"Material broker % inconsistency (implied tier "&amp;AP143&amp;"); ","")&amp;IF(AT143,"Implied broker % would move segment to "&amp;AS143&amp;"; ","")</f>
        <v>Lapsed on thin history - verify; </v>
      </c>
      <c r="AW143" s="10" t="b">
        <f aca="false">AND(G143="Low",J143="Tail",I143&gt;=Assumptions!$B$64,O143&gt;=Assumptions!$B$65,OR(N143="Growing",N143="Stable",AND(N143="H2 Active / No H1 GMV",W143&gt;=2)),OR(R143&gt;=Assumptions!$B$66,S143&gt;=Assumptions!$B$67))</f>
        <v>0</v>
      </c>
    </row>
    <row r="144" customFormat="false" ht="15" hidden="false" customHeight="false" outlineLevel="0" collapsed="false">
      <c r="A144" s="2" t="s">
        <v>778</v>
      </c>
      <c r="B144" s="2" t="s">
        <v>1571</v>
      </c>
      <c r="C144" s="2" t="s">
        <v>1572</v>
      </c>
      <c r="D144" s="2" t="n">
        <v>14</v>
      </c>
      <c r="E144" s="2" t="n">
        <v>14</v>
      </c>
      <c r="F144" s="21" t="n">
        <f aca="false">INDEX('Scored Accounts'!$Q$2:$Q$301,MATCH($A144,'Scored Accounts'!$A$2:$A$301,0))</f>
        <v>0</v>
      </c>
      <c r="G144" s="2" t="str">
        <f aca="false">INDEX('Scored Accounts'!$R$2:$R$301,MATCH($A144,'Scored Accounts'!$A$2:$A$301,0))</f>
        <v>Low</v>
      </c>
      <c r="H144" s="2" t="str">
        <f aca="false">IF(OR(G144="High",G144="Medium"),"Broker-Reliant",IF(AND(G144="Low",B144="Account Managed"),"AM-Owned / Self-Serving",IF(AND(G144="Low",B144="Self Serve"),"Self-Serve","UNASSIGNED")))</f>
        <v>AM-Owned / Self-Serving</v>
      </c>
      <c r="I144" s="9" t="n">
        <v>308</v>
      </c>
      <c r="J144" s="2" t="str">
        <f aca="false">IF(I144&gt;=Assumptions!$B$35,"Key",IF(I144&gt;=Assumptions!$B$34,"Core","Tail"))</f>
        <v>Tail</v>
      </c>
      <c r="K144" s="9" t="n">
        <f aca="false">INDEX('Commercial View'!$R$2:$R$301,MATCH($A144,'Commercial View'!$A$2:$A$301,0))</f>
        <v>308</v>
      </c>
      <c r="L144" s="9" t="n">
        <f aca="false">INDEX('Commercial View'!$S$2:$S$301,MATCH($A144,'Commercial View'!$A$2:$A$301,0))</f>
        <v>0</v>
      </c>
      <c r="M144" s="17" t="n">
        <f aca="false">INDEX('Commercial View'!$T$2:$T$301,MATCH($A144,'Commercial View'!$A$2:$A$301,0))</f>
        <v>-1</v>
      </c>
      <c r="N144" s="2" t="str">
        <f aca="false">INDEX('Commercial View'!$U$2:$U$301,MATCH($A144,'Commercial View'!$A$2:$A$301,0))</f>
        <v>Lapsed</v>
      </c>
      <c r="O144" s="2" t="n">
        <v>1</v>
      </c>
      <c r="P144" s="2" t="n">
        <v>0</v>
      </c>
      <c r="Q144" s="2" t="n">
        <v>1</v>
      </c>
      <c r="R144" s="2" t="n">
        <v>18</v>
      </c>
      <c r="S144" s="2" t="n">
        <v>1</v>
      </c>
      <c r="T144" s="2" t="str">
        <f aca="false">IF(H144="Broker-Reliant",IF(J144="Tail","5. Cost-to-Serve / Low-Touch",IF(OR(N144="Growing",N144="Stable"),"1. Migration Candidate",IF(N144="Declining","2. Protect / Retain First",IF(N144="Lapsed","3. Win-Back / Verify",IF(N144="H2 Active / No H1 GMV","4. Establish / Re-establish / Observe","UNASSIGNED"))))),IF(G144="Low",IF(J144="Tail","9. Long-Tail Automated Nurture",IF(OR(N144="Growing",N144="Stable"),"6. Growth Opportunity",IF(N144="H2 Active / No H1 GMV","7. Onboard / Re-engage / Learn",IF(OR(N144="Declining",N144="Lapsed"),"8. Retention / Reactivation","UNASSIGNED")))),"UNASSIGNED"))</f>
        <v>9. Long-Tail Automated Nurture</v>
      </c>
      <c r="U144" s="10" t="b">
        <f aca="false">AND(T144="1. Migration Candidate",J144="Core",O144&gt;=Assumptions!$B$39,Q144&gt;=Assumptions!$B$40,NOT(Z144))</f>
        <v>0</v>
      </c>
      <c r="V144" s="2" t="n">
        <f aca="false">(AND(H144="Broker-Reliant",J144&lt;&gt;"Tail",OR(N144="Growing",N144="Stable")))*1+(AND(H144="Broker-Reliant",J144&lt;&gt;"Tail",N144="Declining"))*1+(AND(H144="Broker-Reliant",J144&lt;&gt;"Tail",N144="Lapsed"))*1+(AND(H144="Broker-Reliant",J144&lt;&gt;"Tail",N144="H2 Active / No H1 GMV"))*1+(AND(H144="Broker-Reliant",J144="Tail"))*1+(AND(G144="Low",J144&lt;&gt;"Tail",OR(N144="Growing",N144="Stable")))*1+(AND(G144="Low",J144&lt;&gt;"Tail",N144="H2 Active / No H1 GMV"))*1+(AND(G144="Low",J144&lt;&gt;"Tail",OR(N144="Declining",N144="Lapsed")))*1+(AND(G144="Low",J144="Tail"))*1</f>
        <v>1</v>
      </c>
      <c r="W144" s="2" t="n">
        <f aca="false">INDEX('Commercial View'!$V$2:$V$301,MATCH($A144,'Commercial View'!$A$2:$A$301,0))</f>
        <v>1</v>
      </c>
      <c r="X144" s="10" t="b">
        <f aca="false">O144&lt;=Assumptions!$B$30</f>
        <v>1</v>
      </c>
      <c r="Y144" s="10" t="b">
        <f aca="false">W144&lt;=1</f>
        <v>1</v>
      </c>
      <c r="Z144" s="10" t="b">
        <f aca="false">C144="Duplicate"</f>
        <v>0</v>
      </c>
      <c r="AA144" s="10" t="b">
        <f aca="false">C144=""</f>
        <v>0</v>
      </c>
      <c r="AB144" s="2" t="n">
        <f aca="false">IF(P144+Q144&gt;0,ROUND(P144/(P144+Q144)*100,0),"")</f>
        <v>0</v>
      </c>
      <c r="AC144" s="2" t="n">
        <f aca="false">IF(P144+Q144&gt;0,ROUND(E144-P144/(P144+Q144)*100,0),"")</f>
        <v>14</v>
      </c>
      <c r="AD144" s="10" t="b">
        <f aca="false">IF(AC144="",FALSE(),ABS(AC144)&gt;Assumptions!$B$41)</f>
        <v>1</v>
      </c>
      <c r="AE144" s="2" t="str">
        <f aca="false">IF(X144,"Low confidence (&lt;=2 orders); ","")&amp;IF(Y144,"Single-month history; ","")&amp;IF(Z144,"CRITICAL: Duplicate status; ","")&amp;IF(AA144,"Missing status; ","")&amp;IF(AD144,"Broker % vs counts gap "&amp;TEXT(AC144,"+0;-0")&amp;"pts; ","")</f>
        <v>Low confidence (&lt;=2 orders); Single-month history; Broker % vs counts gap +14pts; </v>
      </c>
      <c r="AF144" s="2" t="str">
        <f aca="false">IF(AND(K144=0,L144&gt;0),IF(D144&lt;=Assumptions!$B$47,"New Customer","Returned Customer"),"Existing Customer")</f>
        <v>Existing Customer</v>
      </c>
      <c r="AG144" s="10" t="b">
        <f aca="false">AND(T144="1. Migration Candidate",J144="Key")</f>
        <v>0</v>
      </c>
      <c r="AH144" s="10" t="b">
        <f aca="false">IF(AND(K144&gt;0,L144&gt;0),OR(ABS(M144-Assumptions!$B$36)&lt;=Assumptions!$B$46,ABS(M144+Assumptions!$B$36)&lt;=Assumptions!$B$46),FALSE())</f>
        <v>0</v>
      </c>
      <c r="AI144" s="9" t="n">
        <f aca="false">INDEX('Commercial View'!$L$2:$L$301,MATCH($A144,'Commercial View'!$A$2:$A$301,0))+INDEX('Commercial View'!$M$2:$M$301,MATCH($A144,'Commercial View'!$A$2:$A$301,0))</f>
        <v>0</v>
      </c>
      <c r="AJ144" s="2" t="str">
        <f aca="false">IF(AND(K144=0,AI144=0),"No activity ex-Feb",IF(AI144=0,"Lapsed",IF(K144=0,"H2 Active / No H1 GMV",IF((AI144/2)/(K144/3)-1&gt;=Assumptions!$B$36,"Growing",IF((AI144/2)/(K144/3)-1&lt;-Assumptions!$B$36,"Declining","Stable")))))</f>
        <v>Lapsed</v>
      </c>
      <c r="AK144" s="10" t="b">
        <f aca="false">IF(OR(N144="Growing",N144="Stable"),"Healthy",N144)&lt;&gt;IF(OR(AJ144="Growing",AJ144="Stable"),"Healthy",AJ144)</f>
        <v>0</v>
      </c>
      <c r="AL144" s="2" t="str">
        <f aca="false">IF(N144="Lapsed",IF(OR(O144&lt;=Assumptions!$B$48,W144&lt;=Assumptions!$B$49),"One-Off / Insufficient History — Verify","Established Buyer Lapsed"),"N/A")</f>
        <v>One-Off / Insufficient History — Verify</v>
      </c>
      <c r="AM144" s="2" t="n">
        <f aca="false">INDEX('Scored Accounts'!$M$2:$M$301,MATCH($A144,'Scored Accounts'!$A$2:$A$301,0))</f>
        <v>0</v>
      </c>
      <c r="AN144" s="2" t="n">
        <f aca="false">IF((P144/(P144+Q144)*100)&lt;=Assumptions!$B$13,0,IF((P144/(P144+Q144)*100)&lt;Assumptions!$B$14,25,IF((P144/(P144+Q144)*100)&lt;Assumptions!$B$15,50,IF((P144/(P144+Q144)*100)&lt;Assumptions!$B$16,75,100))))</f>
        <v>0</v>
      </c>
      <c r="AO144" s="21" t="n">
        <f aca="false">IF((P144/(P144+Q144)*100)&lt;=Assumptions!$B$8,0,AN144*Assumptions!$B$4+INDEX('Scored Accounts'!$N$2:$N$301,MATCH($A144,'Scored Accounts'!$A$2:$A$301,0))*Assumptions!$B$5+INDEX('Scored Accounts'!$O$2:$O$301,MATCH($A144,'Scored Accounts'!$A$2:$A$301,0))*Assumptions!$B$6)</f>
        <v>0</v>
      </c>
      <c r="AP144" s="2" t="str">
        <f aca="false">IF(AO144&gt;=Assumptions!$B$9,"High",IF(AO144&gt;=Assumptions!$B$10,"Medium","Low"))</f>
        <v>Low</v>
      </c>
      <c r="AQ144" s="10" t="b">
        <f aca="false">OR((E144&lt;=Assumptions!$B$8)&lt;&gt;((P144/(P144+Q144)*100)&lt;=Assumptions!$B$8),AM144&lt;&gt;AN144,G144&lt;&gt;AP144)</f>
        <v>0</v>
      </c>
      <c r="AR144" s="2" t="str">
        <f aca="false">IF(AP144&lt;&gt;"Low","Broker-Reliant",IF(B144="Account Managed","AM-Owned / Self-Serving","Self-Serve"))</f>
        <v>AM-Owned / Self-Serving</v>
      </c>
      <c r="AS144" s="2" t="str">
        <f aca="false">IF(AR144="Broker-Reliant",IF(J144="Tail","5. Cost-to-Serve / Low-Touch",IF(OR(N144="Growing",N144="Stable"),"1. Migration Candidate",IF(N144="Declining","2. Protect / Retain First",IF(N144="Lapsed","3. Win-Back / Verify",IF(N144="H2 Active / No H1 GMV","4. Establish / Re-establish / Observe","UNASSIGNED"))))),IF(AP144="Low",IF(J144="Tail","9. Long-Tail Automated Nurture",IF(OR(N144="Growing",N144="Stable"),"6. Growth Opportunity",IF(N144="H2 Active / No H1 GMV","7. Onboard / Re-engage / Learn",IF(OR(N144="Declining",N144="Lapsed"),"8. Retention / Reactivation","UNASSIGNED")))),"UNASSIGNED"))</f>
        <v>9. Long-Tail Automated Nurture</v>
      </c>
      <c r="AT144" s="10" t="b">
        <f aca="false">AS144&lt;&gt;T144</f>
        <v>0</v>
      </c>
      <c r="AU144" s="2" t="str">
        <f aca="false">IF(NOT(U144),"Not Eligible",IF(OR(AQ144,AH144,AK144,NOT(AND(W144&gt;=Assumptions!$B$83,O144&gt;=Assumptions!$B$84))),"Manual Review","Ready"))</f>
        <v>Not Eligible</v>
      </c>
      <c r="AV144" s="2" t="str">
        <f aca="false">IF(AG144,"Key account - human sign-off required; ","")&amp;IF(AH144,"Borderline momentum; ","")&amp;IF(AK144,"February-sensitive ("&amp;N144&amp;" -&gt; "&amp;AJ144&amp;"); ","")&amp;IF(AL144="One-Off / Insufficient History — Verify","Lapsed on thin history - verify; ","")&amp;IF(AQ144,"Material broker % inconsistency (implied tier "&amp;AP144&amp;"); ","")&amp;IF(AT144,"Implied broker % would move segment to "&amp;AS144&amp;"; ","")</f>
        <v>Lapsed on thin history - verify; </v>
      </c>
      <c r="AW144" s="10" t="b">
        <f aca="false">AND(G144="Low",J144="Tail",I144&gt;=Assumptions!$B$64,O144&gt;=Assumptions!$B$65,OR(N144="Growing",N144="Stable",AND(N144="H2 Active / No H1 GMV",W144&gt;=2)),OR(R144&gt;=Assumptions!$B$66,S144&gt;=Assumptions!$B$67))</f>
        <v>0</v>
      </c>
    </row>
    <row r="145" customFormat="false" ht="15" hidden="false" customHeight="false" outlineLevel="0" collapsed="false">
      <c r="A145" s="2" t="s">
        <v>782</v>
      </c>
      <c r="B145" s="2" t="s">
        <v>1571</v>
      </c>
      <c r="C145" s="2" t="s">
        <v>1572</v>
      </c>
      <c r="D145" s="2" t="n">
        <v>6</v>
      </c>
      <c r="E145" s="2" t="n">
        <v>1</v>
      </c>
      <c r="F145" s="21" t="n">
        <f aca="false">INDEX('Scored Accounts'!$Q$2:$Q$301,MATCH($A145,'Scored Accounts'!$A$2:$A$301,0))</f>
        <v>0</v>
      </c>
      <c r="G145" s="2" t="str">
        <f aca="false">INDEX('Scored Accounts'!$R$2:$R$301,MATCH($A145,'Scored Accounts'!$A$2:$A$301,0))</f>
        <v>Low</v>
      </c>
      <c r="H145" s="2" t="str">
        <f aca="false">IF(OR(G145="High",G145="Medium"),"Broker-Reliant",IF(AND(G145="Low",B145="Account Managed"),"AM-Owned / Self-Serving",IF(AND(G145="Low",B145="Self Serve"),"Self-Serve","UNASSIGNED")))</f>
        <v>AM-Owned / Self-Serving</v>
      </c>
      <c r="I145" s="9" t="n">
        <v>306</v>
      </c>
      <c r="J145" s="2" t="str">
        <f aca="false">IF(I145&gt;=Assumptions!$B$35,"Key",IF(I145&gt;=Assumptions!$B$34,"Core","Tail"))</f>
        <v>Tail</v>
      </c>
      <c r="K145" s="9" t="n">
        <f aca="false">INDEX('Commercial View'!$R$2:$R$301,MATCH($A145,'Commercial View'!$A$2:$A$301,0))</f>
        <v>306</v>
      </c>
      <c r="L145" s="9" t="n">
        <f aca="false">INDEX('Commercial View'!$S$2:$S$301,MATCH($A145,'Commercial View'!$A$2:$A$301,0))</f>
        <v>0</v>
      </c>
      <c r="M145" s="17" t="n">
        <f aca="false">INDEX('Commercial View'!$T$2:$T$301,MATCH($A145,'Commercial View'!$A$2:$A$301,0))</f>
        <v>-1</v>
      </c>
      <c r="N145" s="2" t="str">
        <f aca="false">INDEX('Commercial View'!$U$2:$U$301,MATCH($A145,'Commercial View'!$A$2:$A$301,0))</f>
        <v>Lapsed</v>
      </c>
      <c r="O145" s="2" t="n">
        <v>1</v>
      </c>
      <c r="P145" s="2" t="n">
        <v>0</v>
      </c>
      <c r="Q145" s="2" t="n">
        <v>1</v>
      </c>
      <c r="R145" s="2" t="n">
        <v>13</v>
      </c>
      <c r="S145" s="2" t="n">
        <v>4</v>
      </c>
      <c r="T145" s="2" t="str">
        <f aca="false">IF(H145="Broker-Reliant",IF(J145="Tail","5. Cost-to-Serve / Low-Touch",IF(OR(N145="Growing",N145="Stable"),"1. Migration Candidate",IF(N145="Declining","2. Protect / Retain First",IF(N145="Lapsed","3. Win-Back / Verify",IF(N145="H2 Active / No H1 GMV","4. Establish / Re-establish / Observe","UNASSIGNED"))))),IF(G145="Low",IF(J145="Tail","9. Long-Tail Automated Nurture",IF(OR(N145="Growing",N145="Stable"),"6. Growth Opportunity",IF(N145="H2 Active / No H1 GMV","7. Onboard / Re-engage / Learn",IF(OR(N145="Declining",N145="Lapsed"),"8. Retention / Reactivation","UNASSIGNED")))),"UNASSIGNED"))</f>
        <v>9. Long-Tail Automated Nurture</v>
      </c>
      <c r="U145" s="10" t="b">
        <f aca="false">AND(T145="1. Migration Candidate",J145="Core",O145&gt;=Assumptions!$B$39,Q145&gt;=Assumptions!$B$40,NOT(Z145))</f>
        <v>0</v>
      </c>
      <c r="V145" s="2" t="n">
        <f aca="false">(AND(H145="Broker-Reliant",J145&lt;&gt;"Tail",OR(N145="Growing",N145="Stable")))*1+(AND(H145="Broker-Reliant",J145&lt;&gt;"Tail",N145="Declining"))*1+(AND(H145="Broker-Reliant",J145&lt;&gt;"Tail",N145="Lapsed"))*1+(AND(H145="Broker-Reliant",J145&lt;&gt;"Tail",N145="H2 Active / No H1 GMV"))*1+(AND(H145="Broker-Reliant",J145="Tail"))*1+(AND(G145="Low",J145&lt;&gt;"Tail",OR(N145="Growing",N145="Stable")))*1+(AND(G145="Low",J145&lt;&gt;"Tail",N145="H2 Active / No H1 GMV"))*1+(AND(G145="Low",J145&lt;&gt;"Tail",OR(N145="Declining",N145="Lapsed")))*1+(AND(G145="Low",J145="Tail"))*1</f>
        <v>1</v>
      </c>
      <c r="W145" s="2" t="n">
        <f aca="false">INDEX('Commercial View'!$V$2:$V$301,MATCH($A145,'Commercial View'!$A$2:$A$301,0))</f>
        <v>1</v>
      </c>
      <c r="X145" s="10" t="b">
        <f aca="false">O145&lt;=Assumptions!$B$30</f>
        <v>1</v>
      </c>
      <c r="Y145" s="10" t="b">
        <f aca="false">W145&lt;=1</f>
        <v>1</v>
      </c>
      <c r="Z145" s="10" t="b">
        <f aca="false">C145="Duplicate"</f>
        <v>0</v>
      </c>
      <c r="AA145" s="10" t="b">
        <f aca="false">C145=""</f>
        <v>0</v>
      </c>
      <c r="AB145" s="2" t="n">
        <f aca="false">IF(P145+Q145&gt;0,ROUND(P145/(P145+Q145)*100,0),"")</f>
        <v>0</v>
      </c>
      <c r="AC145" s="2" t="n">
        <f aca="false">IF(P145+Q145&gt;0,ROUND(E145-P145/(P145+Q145)*100,0),"")</f>
        <v>1</v>
      </c>
      <c r="AD145" s="10" t="b">
        <f aca="false">IF(AC145="",FALSE(),ABS(AC145)&gt;Assumptions!$B$41)</f>
        <v>0</v>
      </c>
      <c r="AE145" s="2" t="str">
        <f aca="false">IF(X145,"Low confidence (&lt;=2 orders); ","")&amp;IF(Y145,"Single-month history; ","")&amp;IF(Z145,"CRITICAL: Duplicate status; ","")&amp;IF(AA145,"Missing status; ","")&amp;IF(AD145,"Broker % vs counts gap "&amp;TEXT(AC145,"+0;-0")&amp;"pts; ","")</f>
        <v>Low confidence (&lt;=2 orders); Single-month history; </v>
      </c>
      <c r="AF145" s="2" t="str">
        <f aca="false">IF(AND(K145=0,L145&gt;0),IF(D145&lt;=Assumptions!$B$47,"New Customer","Returned Customer"),"Existing Customer")</f>
        <v>Existing Customer</v>
      </c>
      <c r="AG145" s="10" t="b">
        <f aca="false">AND(T145="1. Migration Candidate",J145="Key")</f>
        <v>0</v>
      </c>
      <c r="AH145" s="10" t="b">
        <f aca="false">IF(AND(K145&gt;0,L145&gt;0),OR(ABS(M145-Assumptions!$B$36)&lt;=Assumptions!$B$46,ABS(M145+Assumptions!$B$36)&lt;=Assumptions!$B$46),FALSE())</f>
        <v>0</v>
      </c>
      <c r="AI145" s="9" t="n">
        <f aca="false">INDEX('Commercial View'!$L$2:$L$301,MATCH($A145,'Commercial View'!$A$2:$A$301,0))+INDEX('Commercial View'!$M$2:$M$301,MATCH($A145,'Commercial View'!$A$2:$A$301,0))</f>
        <v>0</v>
      </c>
      <c r="AJ145" s="2" t="str">
        <f aca="false">IF(AND(K145=0,AI145=0),"No activity ex-Feb",IF(AI145=0,"Lapsed",IF(K145=0,"H2 Active / No H1 GMV",IF((AI145/2)/(K145/3)-1&gt;=Assumptions!$B$36,"Growing",IF((AI145/2)/(K145/3)-1&lt;-Assumptions!$B$36,"Declining","Stable")))))</f>
        <v>Lapsed</v>
      </c>
      <c r="AK145" s="10" t="b">
        <f aca="false">IF(OR(N145="Growing",N145="Stable"),"Healthy",N145)&lt;&gt;IF(OR(AJ145="Growing",AJ145="Stable"),"Healthy",AJ145)</f>
        <v>0</v>
      </c>
      <c r="AL145" s="2" t="str">
        <f aca="false">IF(N145="Lapsed",IF(OR(O145&lt;=Assumptions!$B$48,W145&lt;=Assumptions!$B$49),"One-Off / Insufficient History — Verify","Established Buyer Lapsed"),"N/A")</f>
        <v>One-Off / Insufficient History — Verify</v>
      </c>
      <c r="AM145" s="2" t="n">
        <f aca="false">INDEX('Scored Accounts'!$M$2:$M$301,MATCH($A145,'Scored Accounts'!$A$2:$A$301,0))</f>
        <v>0</v>
      </c>
      <c r="AN145" s="2" t="n">
        <f aca="false">IF((P145/(P145+Q145)*100)&lt;=Assumptions!$B$13,0,IF((P145/(P145+Q145)*100)&lt;Assumptions!$B$14,25,IF((P145/(P145+Q145)*100)&lt;Assumptions!$B$15,50,IF((P145/(P145+Q145)*100)&lt;Assumptions!$B$16,75,100))))</f>
        <v>0</v>
      </c>
      <c r="AO145" s="21" t="n">
        <f aca="false">IF((P145/(P145+Q145)*100)&lt;=Assumptions!$B$8,0,AN145*Assumptions!$B$4+INDEX('Scored Accounts'!$N$2:$N$301,MATCH($A145,'Scored Accounts'!$A$2:$A$301,0))*Assumptions!$B$5+INDEX('Scored Accounts'!$O$2:$O$301,MATCH($A145,'Scored Accounts'!$A$2:$A$301,0))*Assumptions!$B$6)</f>
        <v>0</v>
      </c>
      <c r="AP145" s="2" t="str">
        <f aca="false">IF(AO145&gt;=Assumptions!$B$9,"High",IF(AO145&gt;=Assumptions!$B$10,"Medium","Low"))</f>
        <v>Low</v>
      </c>
      <c r="AQ145" s="10" t="b">
        <f aca="false">OR((E145&lt;=Assumptions!$B$8)&lt;&gt;((P145/(P145+Q145)*100)&lt;=Assumptions!$B$8),AM145&lt;&gt;AN145,G145&lt;&gt;AP145)</f>
        <v>0</v>
      </c>
      <c r="AR145" s="2" t="str">
        <f aca="false">IF(AP145&lt;&gt;"Low","Broker-Reliant",IF(B145="Account Managed","AM-Owned / Self-Serving","Self-Serve"))</f>
        <v>AM-Owned / Self-Serving</v>
      </c>
      <c r="AS145" s="2" t="str">
        <f aca="false">IF(AR145="Broker-Reliant",IF(J145="Tail","5. Cost-to-Serve / Low-Touch",IF(OR(N145="Growing",N145="Stable"),"1. Migration Candidate",IF(N145="Declining","2. Protect / Retain First",IF(N145="Lapsed","3. Win-Back / Verify",IF(N145="H2 Active / No H1 GMV","4. Establish / Re-establish / Observe","UNASSIGNED"))))),IF(AP145="Low",IF(J145="Tail","9. Long-Tail Automated Nurture",IF(OR(N145="Growing",N145="Stable"),"6. Growth Opportunity",IF(N145="H2 Active / No H1 GMV","7. Onboard / Re-engage / Learn",IF(OR(N145="Declining",N145="Lapsed"),"8. Retention / Reactivation","UNASSIGNED")))),"UNASSIGNED"))</f>
        <v>9. Long-Tail Automated Nurture</v>
      </c>
      <c r="AT145" s="10" t="b">
        <f aca="false">AS145&lt;&gt;T145</f>
        <v>0</v>
      </c>
      <c r="AU145" s="2" t="str">
        <f aca="false">IF(NOT(U145),"Not Eligible",IF(OR(AQ145,AH145,AK145,NOT(AND(W145&gt;=Assumptions!$B$83,O145&gt;=Assumptions!$B$84))),"Manual Review","Ready"))</f>
        <v>Not Eligible</v>
      </c>
      <c r="AV145" s="2" t="str">
        <f aca="false">IF(AG145,"Key account - human sign-off required; ","")&amp;IF(AH145,"Borderline momentum; ","")&amp;IF(AK145,"February-sensitive ("&amp;N145&amp;" -&gt; "&amp;AJ145&amp;"); ","")&amp;IF(AL145="One-Off / Insufficient History — Verify","Lapsed on thin history - verify; ","")&amp;IF(AQ145,"Material broker % inconsistency (implied tier "&amp;AP145&amp;"); ","")&amp;IF(AT145,"Implied broker % would move segment to "&amp;AS145&amp;"; ","")</f>
        <v>Lapsed on thin history - verify; </v>
      </c>
      <c r="AW145" s="10" t="b">
        <f aca="false">AND(G145="Low",J145="Tail",I145&gt;=Assumptions!$B$64,O145&gt;=Assumptions!$B$65,OR(N145="Growing",N145="Stable",AND(N145="H2 Active / No H1 GMV",W145&gt;=2)),OR(R145&gt;=Assumptions!$B$66,S145&gt;=Assumptions!$B$67))</f>
        <v>0</v>
      </c>
    </row>
    <row r="146" customFormat="false" ht="15" hidden="false" customHeight="false" outlineLevel="0" collapsed="false">
      <c r="A146" s="2" t="s">
        <v>784</v>
      </c>
      <c r="B146" s="2" t="s">
        <v>1571</v>
      </c>
      <c r="C146" s="2" t="s">
        <v>1572</v>
      </c>
      <c r="D146" s="2" t="n">
        <v>11</v>
      </c>
      <c r="E146" s="2" t="n">
        <v>17</v>
      </c>
      <c r="F146" s="21" t="n">
        <f aca="false">INDEX('Scored Accounts'!$Q$2:$Q$301,MATCH($A146,'Scored Accounts'!$A$2:$A$301,0))</f>
        <v>0</v>
      </c>
      <c r="G146" s="2" t="str">
        <f aca="false">INDEX('Scored Accounts'!$R$2:$R$301,MATCH($A146,'Scored Accounts'!$A$2:$A$301,0))</f>
        <v>Low</v>
      </c>
      <c r="H146" s="2" t="str">
        <f aca="false">IF(OR(G146="High",G146="Medium"),"Broker-Reliant",IF(AND(G146="Low",B146="Account Managed"),"AM-Owned / Self-Serving",IF(AND(G146="Low",B146="Self Serve"),"Self-Serve","UNASSIGNED")))</f>
        <v>AM-Owned / Self-Serving</v>
      </c>
      <c r="I146" s="9" t="n">
        <v>305</v>
      </c>
      <c r="J146" s="2" t="str">
        <f aca="false">IF(I146&gt;=Assumptions!$B$35,"Key",IF(I146&gt;=Assumptions!$B$34,"Core","Tail"))</f>
        <v>Tail</v>
      </c>
      <c r="K146" s="9" t="n">
        <f aca="false">INDEX('Commercial View'!$R$2:$R$301,MATCH($A146,'Commercial View'!$A$2:$A$301,0))</f>
        <v>0</v>
      </c>
      <c r="L146" s="9" t="n">
        <f aca="false">INDEX('Commercial View'!$S$2:$S$301,MATCH($A146,'Commercial View'!$A$2:$A$301,0))</f>
        <v>305</v>
      </c>
      <c r="M146" s="17" t="str">
        <f aca="false">INDEX('Commercial View'!$T$2:$T$301,MATCH($A146,'Commercial View'!$A$2:$A$301,0))</f>
        <v/>
      </c>
      <c r="N146" s="2" t="str">
        <f aca="false">INDEX('Commercial View'!$U$2:$U$301,MATCH($A146,'Commercial View'!$A$2:$A$301,0))</f>
        <v>H2 Active / No H1 GMV</v>
      </c>
      <c r="O146" s="2" t="n">
        <v>1</v>
      </c>
      <c r="P146" s="2" t="n">
        <v>0</v>
      </c>
      <c r="Q146" s="2" t="n">
        <v>1</v>
      </c>
      <c r="R146" s="2" t="n">
        <v>1</v>
      </c>
      <c r="S146" s="2" t="n">
        <v>0</v>
      </c>
      <c r="T146" s="2" t="str">
        <f aca="false">IF(H146="Broker-Reliant",IF(J146="Tail","5. Cost-to-Serve / Low-Touch",IF(OR(N146="Growing",N146="Stable"),"1. Migration Candidate",IF(N146="Declining","2. Protect / Retain First",IF(N146="Lapsed","3. Win-Back / Verify",IF(N146="H2 Active / No H1 GMV","4. Establish / Re-establish / Observe","UNASSIGNED"))))),IF(G146="Low",IF(J146="Tail","9. Long-Tail Automated Nurture",IF(OR(N146="Growing",N146="Stable"),"6. Growth Opportunity",IF(N146="H2 Active / No H1 GMV","7. Onboard / Re-engage / Learn",IF(OR(N146="Declining",N146="Lapsed"),"8. Retention / Reactivation","UNASSIGNED")))),"UNASSIGNED"))</f>
        <v>9. Long-Tail Automated Nurture</v>
      </c>
      <c r="U146" s="10" t="b">
        <f aca="false">AND(T146="1. Migration Candidate",J146="Core",O146&gt;=Assumptions!$B$39,Q146&gt;=Assumptions!$B$40,NOT(Z146))</f>
        <v>0</v>
      </c>
      <c r="V146" s="2" t="n">
        <f aca="false">(AND(H146="Broker-Reliant",J146&lt;&gt;"Tail",OR(N146="Growing",N146="Stable")))*1+(AND(H146="Broker-Reliant",J146&lt;&gt;"Tail",N146="Declining"))*1+(AND(H146="Broker-Reliant",J146&lt;&gt;"Tail",N146="Lapsed"))*1+(AND(H146="Broker-Reliant",J146&lt;&gt;"Tail",N146="H2 Active / No H1 GMV"))*1+(AND(H146="Broker-Reliant",J146="Tail"))*1+(AND(G146="Low",J146&lt;&gt;"Tail",OR(N146="Growing",N146="Stable")))*1+(AND(G146="Low",J146&lt;&gt;"Tail",N146="H2 Active / No H1 GMV"))*1+(AND(G146="Low",J146&lt;&gt;"Tail",OR(N146="Declining",N146="Lapsed")))*1+(AND(G146="Low",J146="Tail"))*1</f>
        <v>1</v>
      </c>
      <c r="W146" s="2" t="n">
        <f aca="false">INDEX('Commercial View'!$V$2:$V$301,MATCH($A146,'Commercial View'!$A$2:$A$301,0))</f>
        <v>1</v>
      </c>
      <c r="X146" s="10" t="b">
        <f aca="false">O146&lt;=Assumptions!$B$30</f>
        <v>1</v>
      </c>
      <c r="Y146" s="10" t="b">
        <f aca="false">W146&lt;=1</f>
        <v>1</v>
      </c>
      <c r="Z146" s="10" t="b">
        <f aca="false">C146="Duplicate"</f>
        <v>0</v>
      </c>
      <c r="AA146" s="10" t="b">
        <f aca="false">C146=""</f>
        <v>0</v>
      </c>
      <c r="AB146" s="2" t="n">
        <f aca="false">IF(P146+Q146&gt;0,ROUND(P146/(P146+Q146)*100,0),"")</f>
        <v>0</v>
      </c>
      <c r="AC146" s="2" t="n">
        <f aca="false">IF(P146+Q146&gt;0,ROUND(E146-P146/(P146+Q146)*100,0),"")</f>
        <v>17</v>
      </c>
      <c r="AD146" s="10" t="b">
        <f aca="false">IF(AC146="",FALSE(),ABS(AC146)&gt;Assumptions!$B$41)</f>
        <v>1</v>
      </c>
      <c r="AE146" s="2" t="str">
        <f aca="false">IF(X146,"Low confidence (&lt;=2 orders); ","")&amp;IF(Y146,"Single-month history; ","")&amp;IF(Z146,"CRITICAL: Duplicate status; ","")&amp;IF(AA146,"Missing status; ","")&amp;IF(AD146,"Broker % vs counts gap "&amp;TEXT(AC146,"+0;-0")&amp;"pts; ","")</f>
        <v>Low confidence (&lt;=2 orders); Single-month history; Broker % vs counts gap +17pts; </v>
      </c>
      <c r="AF146" s="2" t="str">
        <f aca="false">IF(AND(K146=0,L146&gt;0),IF(D146&lt;=Assumptions!$B$47,"New Customer","Returned Customer"),"Existing Customer")</f>
        <v>Returned Customer</v>
      </c>
      <c r="AG146" s="10" t="b">
        <f aca="false">AND(T146="1. Migration Candidate",J146="Key")</f>
        <v>0</v>
      </c>
      <c r="AH146" s="10" t="b">
        <f aca="false">IF(AND(K146&gt;0,L146&gt;0),OR(ABS(M146-Assumptions!$B$36)&lt;=Assumptions!$B$46,ABS(M146+Assumptions!$B$36)&lt;=Assumptions!$B$46),FALSE())</f>
        <v>0</v>
      </c>
      <c r="AI146" s="9" t="n">
        <f aca="false">INDEX('Commercial View'!$L$2:$L$301,MATCH($A146,'Commercial View'!$A$2:$A$301,0))+INDEX('Commercial View'!$M$2:$M$301,MATCH($A146,'Commercial View'!$A$2:$A$301,0))</f>
        <v>0</v>
      </c>
      <c r="AJ146" s="2" t="str">
        <f aca="false">IF(AND(K146=0,AI146=0),"No activity ex-Feb",IF(AI146=0,"Lapsed",IF(K146=0,"H2 Active / No H1 GMV",IF((AI146/2)/(K146/3)-1&gt;=Assumptions!$B$36,"Growing",IF((AI146/2)/(K146/3)-1&lt;-Assumptions!$B$36,"Declining","Stable")))))</f>
        <v>No activity ex-Feb</v>
      </c>
      <c r="AK146" s="10" t="b">
        <f aca="false">IF(OR(N146="Growing",N146="Stable"),"Healthy",N146)&lt;&gt;IF(OR(AJ146="Growing",AJ146="Stable"),"Healthy",AJ146)</f>
        <v>1</v>
      </c>
      <c r="AL146" s="2" t="str">
        <f aca="false">IF(N146="Lapsed",IF(OR(O146&lt;=Assumptions!$B$48,W146&lt;=Assumptions!$B$49),"One-Off / Insufficient History — Verify","Established Buyer Lapsed"),"N/A")</f>
        <v>N/A</v>
      </c>
      <c r="AM146" s="2" t="n">
        <f aca="false">INDEX('Scored Accounts'!$M$2:$M$301,MATCH($A146,'Scored Accounts'!$A$2:$A$301,0))</f>
        <v>0</v>
      </c>
      <c r="AN146" s="2" t="n">
        <f aca="false">IF((P146/(P146+Q146)*100)&lt;=Assumptions!$B$13,0,IF((P146/(P146+Q146)*100)&lt;Assumptions!$B$14,25,IF((P146/(P146+Q146)*100)&lt;Assumptions!$B$15,50,IF((P146/(P146+Q146)*100)&lt;Assumptions!$B$16,75,100))))</f>
        <v>0</v>
      </c>
      <c r="AO146" s="21" t="n">
        <f aca="false">IF((P146/(P146+Q146)*100)&lt;=Assumptions!$B$8,0,AN146*Assumptions!$B$4+INDEX('Scored Accounts'!$N$2:$N$301,MATCH($A146,'Scored Accounts'!$A$2:$A$301,0))*Assumptions!$B$5+INDEX('Scored Accounts'!$O$2:$O$301,MATCH($A146,'Scored Accounts'!$A$2:$A$301,0))*Assumptions!$B$6)</f>
        <v>0</v>
      </c>
      <c r="AP146" s="2" t="str">
        <f aca="false">IF(AO146&gt;=Assumptions!$B$9,"High",IF(AO146&gt;=Assumptions!$B$10,"Medium","Low"))</f>
        <v>Low</v>
      </c>
      <c r="AQ146" s="10" t="b">
        <f aca="false">OR((E146&lt;=Assumptions!$B$8)&lt;&gt;((P146/(P146+Q146)*100)&lt;=Assumptions!$B$8),AM146&lt;&gt;AN146,G146&lt;&gt;AP146)</f>
        <v>0</v>
      </c>
      <c r="AR146" s="2" t="str">
        <f aca="false">IF(AP146&lt;&gt;"Low","Broker-Reliant",IF(B146="Account Managed","AM-Owned / Self-Serving","Self-Serve"))</f>
        <v>AM-Owned / Self-Serving</v>
      </c>
      <c r="AS146" s="2" t="str">
        <f aca="false">IF(AR146="Broker-Reliant",IF(J146="Tail","5. Cost-to-Serve / Low-Touch",IF(OR(N146="Growing",N146="Stable"),"1. Migration Candidate",IF(N146="Declining","2. Protect / Retain First",IF(N146="Lapsed","3. Win-Back / Verify",IF(N146="H2 Active / No H1 GMV","4. Establish / Re-establish / Observe","UNASSIGNED"))))),IF(AP146="Low",IF(J146="Tail","9. Long-Tail Automated Nurture",IF(OR(N146="Growing",N146="Stable"),"6. Growth Opportunity",IF(N146="H2 Active / No H1 GMV","7. Onboard / Re-engage / Learn",IF(OR(N146="Declining",N146="Lapsed"),"8. Retention / Reactivation","UNASSIGNED")))),"UNASSIGNED"))</f>
        <v>9. Long-Tail Automated Nurture</v>
      </c>
      <c r="AT146" s="10" t="b">
        <f aca="false">AS146&lt;&gt;T146</f>
        <v>0</v>
      </c>
      <c r="AU146" s="2" t="str">
        <f aca="false">IF(NOT(U146),"Not Eligible",IF(OR(AQ146,AH146,AK146,NOT(AND(W146&gt;=Assumptions!$B$83,O146&gt;=Assumptions!$B$84))),"Manual Review","Ready"))</f>
        <v>Not Eligible</v>
      </c>
      <c r="AV146" s="2" t="str">
        <f aca="false">IF(AG146,"Key account - human sign-off required; ","")&amp;IF(AH146,"Borderline momentum; ","")&amp;IF(AK146,"February-sensitive ("&amp;N146&amp;" -&gt; "&amp;AJ146&amp;"); ","")&amp;IF(AL146="One-Off / Insufficient History — Verify","Lapsed on thin history - verify; ","")&amp;IF(AQ146,"Material broker % inconsistency (implied tier "&amp;AP146&amp;"); ","")&amp;IF(AT146,"Implied broker % would move segment to "&amp;AS146&amp;"; ","")</f>
        <v>February-sensitive (H2 Active / No H1 GMV -&gt; No activity ex-Feb); </v>
      </c>
      <c r="AW146" s="10" t="b">
        <f aca="false">AND(G146="Low",J146="Tail",I146&gt;=Assumptions!$B$64,O146&gt;=Assumptions!$B$65,OR(N146="Growing",N146="Stable",AND(N146="H2 Active / No H1 GMV",W146&gt;=2)),OR(R146&gt;=Assumptions!$B$66,S146&gt;=Assumptions!$B$67))</f>
        <v>0</v>
      </c>
    </row>
    <row r="147" customFormat="false" ht="15" hidden="false" customHeight="false" outlineLevel="0" collapsed="false">
      <c r="A147" s="2" t="s">
        <v>790</v>
      </c>
      <c r="B147" s="2" t="s">
        <v>1571</v>
      </c>
      <c r="C147" s="2"/>
      <c r="D147" s="2" t="n">
        <v>6</v>
      </c>
      <c r="E147" s="2" t="n">
        <v>5</v>
      </c>
      <c r="F147" s="21" t="n">
        <f aca="false">INDEX('Scored Accounts'!$Q$2:$Q$301,MATCH($A147,'Scored Accounts'!$A$2:$A$301,0))</f>
        <v>0</v>
      </c>
      <c r="G147" s="2" t="str">
        <f aca="false">INDEX('Scored Accounts'!$R$2:$R$301,MATCH($A147,'Scored Accounts'!$A$2:$A$301,0))</f>
        <v>Low</v>
      </c>
      <c r="H147" s="2" t="str">
        <f aca="false">IF(OR(G147="High",G147="Medium"),"Broker-Reliant",IF(AND(G147="Low",B147="Account Managed"),"AM-Owned / Self-Serving",IF(AND(G147="Low",B147="Self Serve"),"Self-Serve","UNASSIGNED")))</f>
        <v>AM-Owned / Self-Serving</v>
      </c>
      <c r="I147" s="9" t="n">
        <v>298</v>
      </c>
      <c r="J147" s="2" t="str">
        <f aca="false">IF(I147&gt;=Assumptions!$B$35,"Key",IF(I147&gt;=Assumptions!$B$34,"Core","Tail"))</f>
        <v>Tail</v>
      </c>
      <c r="K147" s="9" t="n">
        <f aca="false">INDEX('Commercial View'!$R$2:$R$301,MATCH($A147,'Commercial View'!$A$2:$A$301,0))</f>
        <v>297</v>
      </c>
      <c r="L147" s="9" t="n">
        <f aca="false">INDEX('Commercial View'!$S$2:$S$301,MATCH($A147,'Commercial View'!$A$2:$A$301,0))</f>
        <v>0</v>
      </c>
      <c r="M147" s="17" t="n">
        <f aca="false">INDEX('Commercial View'!$T$2:$T$301,MATCH($A147,'Commercial View'!$A$2:$A$301,0))</f>
        <v>-1</v>
      </c>
      <c r="N147" s="2" t="str">
        <f aca="false">INDEX('Commercial View'!$U$2:$U$301,MATCH($A147,'Commercial View'!$A$2:$A$301,0))</f>
        <v>Lapsed</v>
      </c>
      <c r="O147" s="2" t="n">
        <v>3</v>
      </c>
      <c r="P147" s="2" t="n">
        <v>0</v>
      </c>
      <c r="Q147" s="2" t="n">
        <v>3</v>
      </c>
      <c r="R147" s="2" t="n">
        <v>20</v>
      </c>
      <c r="S147" s="2" t="n">
        <v>0</v>
      </c>
      <c r="T147" s="2" t="str">
        <f aca="false">IF(H147="Broker-Reliant",IF(J147="Tail","5. Cost-to-Serve / Low-Touch",IF(OR(N147="Growing",N147="Stable"),"1. Migration Candidate",IF(N147="Declining","2. Protect / Retain First",IF(N147="Lapsed","3. Win-Back / Verify",IF(N147="H2 Active / No H1 GMV","4. Establish / Re-establish / Observe","UNASSIGNED"))))),IF(G147="Low",IF(J147="Tail","9. Long-Tail Automated Nurture",IF(OR(N147="Growing",N147="Stable"),"6. Growth Opportunity",IF(N147="H2 Active / No H1 GMV","7. Onboard / Re-engage / Learn",IF(OR(N147="Declining",N147="Lapsed"),"8. Retention / Reactivation","UNASSIGNED")))),"UNASSIGNED"))</f>
        <v>9. Long-Tail Automated Nurture</v>
      </c>
      <c r="U147" s="10" t="b">
        <f aca="false">AND(T147="1. Migration Candidate",J147="Core",O147&gt;=Assumptions!$B$39,Q147&gt;=Assumptions!$B$40,NOT(Z147))</f>
        <v>0</v>
      </c>
      <c r="V147" s="2" t="n">
        <f aca="false">(AND(H147="Broker-Reliant",J147&lt;&gt;"Tail",OR(N147="Growing",N147="Stable")))*1+(AND(H147="Broker-Reliant",J147&lt;&gt;"Tail",N147="Declining"))*1+(AND(H147="Broker-Reliant",J147&lt;&gt;"Tail",N147="Lapsed"))*1+(AND(H147="Broker-Reliant",J147&lt;&gt;"Tail",N147="H2 Active / No H1 GMV"))*1+(AND(H147="Broker-Reliant",J147="Tail"))*1+(AND(G147="Low",J147&lt;&gt;"Tail",OR(N147="Growing",N147="Stable")))*1+(AND(G147="Low",J147&lt;&gt;"Tail",N147="H2 Active / No H1 GMV"))*1+(AND(G147="Low",J147&lt;&gt;"Tail",OR(N147="Declining",N147="Lapsed")))*1+(AND(G147="Low",J147="Tail"))*1</f>
        <v>1</v>
      </c>
      <c r="W147" s="2" t="n">
        <f aca="false">INDEX('Commercial View'!$V$2:$V$301,MATCH($A147,'Commercial View'!$A$2:$A$301,0))</f>
        <v>3</v>
      </c>
      <c r="X147" s="10" t="b">
        <f aca="false">O147&lt;=Assumptions!$B$30</f>
        <v>0</v>
      </c>
      <c r="Y147" s="10" t="b">
        <f aca="false">W147&lt;=1</f>
        <v>0</v>
      </c>
      <c r="Z147" s="10" t="b">
        <f aca="false">C147="Duplicate"</f>
        <v>0</v>
      </c>
      <c r="AA147" s="10" t="b">
        <f aca="false">C147=""</f>
        <v>1</v>
      </c>
      <c r="AB147" s="2" t="n">
        <f aca="false">IF(P147+Q147&gt;0,ROUND(P147/(P147+Q147)*100,0),"")</f>
        <v>0</v>
      </c>
      <c r="AC147" s="2" t="n">
        <f aca="false">IF(P147+Q147&gt;0,ROUND(E147-P147/(P147+Q147)*100,0),"")</f>
        <v>5</v>
      </c>
      <c r="AD147" s="10" t="b">
        <f aca="false">IF(AC147="",FALSE(),ABS(AC147)&gt;Assumptions!$B$41)</f>
        <v>0</v>
      </c>
      <c r="AE147" s="2" t="str">
        <f aca="false">IF(X147,"Low confidence (&lt;=2 orders); ","")&amp;IF(Y147,"Single-month history; ","")&amp;IF(Z147,"CRITICAL: Duplicate status; ","")&amp;IF(AA147,"Missing status; ","")&amp;IF(AD147,"Broker % vs counts gap "&amp;TEXT(AC147,"+0;-0")&amp;"pts; ","")</f>
        <v>Missing status; </v>
      </c>
      <c r="AF147" s="2" t="str">
        <f aca="false">IF(AND(K147=0,L147&gt;0),IF(D147&lt;=Assumptions!$B$47,"New Customer","Returned Customer"),"Existing Customer")</f>
        <v>Existing Customer</v>
      </c>
      <c r="AG147" s="10" t="b">
        <f aca="false">AND(T147="1. Migration Candidate",J147="Key")</f>
        <v>0</v>
      </c>
      <c r="AH147" s="10" t="b">
        <f aca="false">IF(AND(K147&gt;0,L147&gt;0),OR(ABS(M147-Assumptions!$B$36)&lt;=Assumptions!$B$46,ABS(M147+Assumptions!$B$36)&lt;=Assumptions!$B$46),FALSE())</f>
        <v>0</v>
      </c>
      <c r="AI147" s="9" t="n">
        <f aca="false">INDEX('Commercial View'!$L$2:$L$301,MATCH($A147,'Commercial View'!$A$2:$A$301,0))+INDEX('Commercial View'!$M$2:$M$301,MATCH($A147,'Commercial View'!$A$2:$A$301,0))</f>
        <v>0</v>
      </c>
      <c r="AJ147" s="2" t="str">
        <f aca="false">IF(AND(K147=0,AI147=0),"No activity ex-Feb",IF(AI147=0,"Lapsed",IF(K147=0,"H2 Active / No H1 GMV",IF((AI147/2)/(K147/3)-1&gt;=Assumptions!$B$36,"Growing",IF((AI147/2)/(K147/3)-1&lt;-Assumptions!$B$36,"Declining","Stable")))))</f>
        <v>Lapsed</v>
      </c>
      <c r="AK147" s="10" t="b">
        <f aca="false">IF(OR(N147="Growing",N147="Stable"),"Healthy",N147)&lt;&gt;IF(OR(AJ147="Growing",AJ147="Stable"),"Healthy",AJ147)</f>
        <v>0</v>
      </c>
      <c r="AL147" s="2" t="str">
        <f aca="false">IF(N147="Lapsed",IF(OR(O147&lt;=Assumptions!$B$48,W147&lt;=Assumptions!$B$49),"One-Off / Insufficient History — Verify","Established Buyer Lapsed"),"N/A")</f>
        <v>Established Buyer Lapsed</v>
      </c>
      <c r="AM147" s="2" t="n">
        <f aca="false">INDEX('Scored Accounts'!$M$2:$M$301,MATCH($A147,'Scored Accounts'!$A$2:$A$301,0))</f>
        <v>0</v>
      </c>
      <c r="AN147" s="2" t="n">
        <f aca="false">IF((P147/(P147+Q147)*100)&lt;=Assumptions!$B$13,0,IF((P147/(P147+Q147)*100)&lt;Assumptions!$B$14,25,IF((P147/(P147+Q147)*100)&lt;Assumptions!$B$15,50,IF((P147/(P147+Q147)*100)&lt;Assumptions!$B$16,75,100))))</f>
        <v>0</v>
      </c>
      <c r="AO147" s="21" t="n">
        <f aca="false">IF((P147/(P147+Q147)*100)&lt;=Assumptions!$B$8,0,AN147*Assumptions!$B$4+INDEX('Scored Accounts'!$N$2:$N$301,MATCH($A147,'Scored Accounts'!$A$2:$A$301,0))*Assumptions!$B$5+INDEX('Scored Accounts'!$O$2:$O$301,MATCH($A147,'Scored Accounts'!$A$2:$A$301,0))*Assumptions!$B$6)</f>
        <v>0</v>
      </c>
      <c r="AP147" s="2" t="str">
        <f aca="false">IF(AO147&gt;=Assumptions!$B$9,"High",IF(AO147&gt;=Assumptions!$B$10,"Medium","Low"))</f>
        <v>Low</v>
      </c>
      <c r="AQ147" s="10" t="b">
        <f aca="false">OR((E147&lt;=Assumptions!$B$8)&lt;&gt;((P147/(P147+Q147)*100)&lt;=Assumptions!$B$8),AM147&lt;&gt;AN147,G147&lt;&gt;AP147)</f>
        <v>0</v>
      </c>
      <c r="AR147" s="2" t="str">
        <f aca="false">IF(AP147&lt;&gt;"Low","Broker-Reliant",IF(B147="Account Managed","AM-Owned / Self-Serving","Self-Serve"))</f>
        <v>AM-Owned / Self-Serving</v>
      </c>
      <c r="AS147" s="2" t="str">
        <f aca="false">IF(AR147="Broker-Reliant",IF(J147="Tail","5. Cost-to-Serve / Low-Touch",IF(OR(N147="Growing",N147="Stable"),"1. Migration Candidate",IF(N147="Declining","2. Protect / Retain First",IF(N147="Lapsed","3. Win-Back / Verify",IF(N147="H2 Active / No H1 GMV","4. Establish / Re-establish / Observe","UNASSIGNED"))))),IF(AP147="Low",IF(J147="Tail","9. Long-Tail Automated Nurture",IF(OR(N147="Growing",N147="Stable"),"6. Growth Opportunity",IF(N147="H2 Active / No H1 GMV","7. Onboard / Re-engage / Learn",IF(OR(N147="Declining",N147="Lapsed"),"8. Retention / Reactivation","UNASSIGNED")))),"UNASSIGNED"))</f>
        <v>9. Long-Tail Automated Nurture</v>
      </c>
      <c r="AT147" s="10" t="b">
        <f aca="false">AS147&lt;&gt;T147</f>
        <v>0</v>
      </c>
      <c r="AU147" s="2" t="str">
        <f aca="false">IF(NOT(U147),"Not Eligible",IF(OR(AQ147,AH147,AK147,NOT(AND(W147&gt;=Assumptions!$B$83,O147&gt;=Assumptions!$B$84))),"Manual Review","Ready"))</f>
        <v>Not Eligible</v>
      </c>
      <c r="AV147" s="2" t="str">
        <f aca="false">IF(AG147,"Key account - human sign-off required; ","")&amp;IF(AH147,"Borderline momentum; ","")&amp;IF(AK147,"February-sensitive ("&amp;N147&amp;" -&gt; "&amp;AJ147&amp;"); ","")&amp;IF(AL147="One-Off / Insufficient History — Verify","Lapsed on thin history - verify; ","")&amp;IF(AQ147,"Material broker % inconsistency (implied tier "&amp;AP147&amp;"); ","")&amp;IF(AT147,"Implied broker % would move segment to "&amp;AS147&amp;"; ","")</f>
        <v/>
      </c>
      <c r="AW147" s="10" t="b">
        <f aca="false">AND(G147="Low",J147="Tail",I147&gt;=Assumptions!$B$64,O147&gt;=Assumptions!$B$65,OR(N147="Growing",N147="Stable",AND(N147="H2 Active / No H1 GMV",W147&gt;=2)),OR(R147&gt;=Assumptions!$B$66,S147&gt;=Assumptions!$B$67))</f>
        <v>0</v>
      </c>
    </row>
    <row r="148" customFormat="false" ht="15" hidden="false" customHeight="false" outlineLevel="0" collapsed="false">
      <c r="A148" s="2" t="s">
        <v>794</v>
      </c>
      <c r="B148" s="2" t="s">
        <v>1571</v>
      </c>
      <c r="C148" s="2" t="s">
        <v>1572</v>
      </c>
      <c r="D148" s="2" t="n">
        <v>6</v>
      </c>
      <c r="E148" s="2" t="n">
        <v>12</v>
      </c>
      <c r="F148" s="21" t="n">
        <f aca="false">INDEX('Scored Accounts'!$Q$2:$Q$301,MATCH($A148,'Scored Accounts'!$A$2:$A$301,0))</f>
        <v>0</v>
      </c>
      <c r="G148" s="2" t="str">
        <f aca="false">INDEX('Scored Accounts'!$R$2:$R$301,MATCH($A148,'Scored Accounts'!$A$2:$A$301,0))</f>
        <v>Low</v>
      </c>
      <c r="H148" s="2" t="str">
        <f aca="false">IF(OR(G148="High",G148="Medium"),"Broker-Reliant",IF(AND(G148="Low",B148="Account Managed"),"AM-Owned / Self-Serving",IF(AND(G148="Low",B148="Self Serve"),"Self-Serve","UNASSIGNED")))</f>
        <v>AM-Owned / Self-Serving</v>
      </c>
      <c r="I148" s="9" t="n">
        <v>296</v>
      </c>
      <c r="J148" s="2" t="str">
        <f aca="false">IF(I148&gt;=Assumptions!$B$35,"Key",IF(I148&gt;=Assumptions!$B$34,"Core","Tail"))</f>
        <v>Tail</v>
      </c>
      <c r="K148" s="9" t="n">
        <f aca="false">INDEX('Commercial View'!$R$2:$R$301,MATCH($A148,'Commercial View'!$A$2:$A$301,0))</f>
        <v>296</v>
      </c>
      <c r="L148" s="9" t="n">
        <f aca="false">INDEX('Commercial View'!$S$2:$S$301,MATCH($A148,'Commercial View'!$A$2:$A$301,0))</f>
        <v>0</v>
      </c>
      <c r="M148" s="17" t="n">
        <f aca="false">INDEX('Commercial View'!$T$2:$T$301,MATCH($A148,'Commercial View'!$A$2:$A$301,0))</f>
        <v>-1</v>
      </c>
      <c r="N148" s="2" t="str">
        <f aca="false">INDEX('Commercial View'!$U$2:$U$301,MATCH($A148,'Commercial View'!$A$2:$A$301,0))</f>
        <v>Lapsed</v>
      </c>
      <c r="O148" s="2" t="n">
        <v>1</v>
      </c>
      <c r="P148" s="2" t="n">
        <v>0</v>
      </c>
      <c r="Q148" s="2" t="n">
        <v>1</v>
      </c>
      <c r="R148" s="2" t="n">
        <v>1</v>
      </c>
      <c r="S148" s="2" t="n">
        <v>6</v>
      </c>
      <c r="T148" s="2" t="str">
        <f aca="false">IF(H148="Broker-Reliant",IF(J148="Tail","5. Cost-to-Serve / Low-Touch",IF(OR(N148="Growing",N148="Stable"),"1. Migration Candidate",IF(N148="Declining","2. Protect / Retain First",IF(N148="Lapsed","3. Win-Back / Verify",IF(N148="H2 Active / No H1 GMV","4. Establish / Re-establish / Observe","UNASSIGNED"))))),IF(G148="Low",IF(J148="Tail","9. Long-Tail Automated Nurture",IF(OR(N148="Growing",N148="Stable"),"6. Growth Opportunity",IF(N148="H2 Active / No H1 GMV","7. Onboard / Re-engage / Learn",IF(OR(N148="Declining",N148="Lapsed"),"8. Retention / Reactivation","UNASSIGNED")))),"UNASSIGNED"))</f>
        <v>9. Long-Tail Automated Nurture</v>
      </c>
      <c r="U148" s="10" t="b">
        <f aca="false">AND(T148="1. Migration Candidate",J148="Core",O148&gt;=Assumptions!$B$39,Q148&gt;=Assumptions!$B$40,NOT(Z148))</f>
        <v>0</v>
      </c>
      <c r="V148" s="2" t="n">
        <f aca="false">(AND(H148="Broker-Reliant",J148&lt;&gt;"Tail",OR(N148="Growing",N148="Stable")))*1+(AND(H148="Broker-Reliant",J148&lt;&gt;"Tail",N148="Declining"))*1+(AND(H148="Broker-Reliant",J148&lt;&gt;"Tail",N148="Lapsed"))*1+(AND(H148="Broker-Reliant",J148&lt;&gt;"Tail",N148="H2 Active / No H1 GMV"))*1+(AND(H148="Broker-Reliant",J148="Tail"))*1+(AND(G148="Low",J148&lt;&gt;"Tail",OR(N148="Growing",N148="Stable")))*1+(AND(G148="Low",J148&lt;&gt;"Tail",N148="H2 Active / No H1 GMV"))*1+(AND(G148="Low",J148&lt;&gt;"Tail",OR(N148="Declining",N148="Lapsed")))*1+(AND(G148="Low",J148="Tail"))*1</f>
        <v>1</v>
      </c>
      <c r="W148" s="2" t="n">
        <f aca="false">INDEX('Commercial View'!$V$2:$V$301,MATCH($A148,'Commercial View'!$A$2:$A$301,0))</f>
        <v>1</v>
      </c>
      <c r="X148" s="10" t="b">
        <f aca="false">O148&lt;=Assumptions!$B$30</f>
        <v>1</v>
      </c>
      <c r="Y148" s="10" t="b">
        <f aca="false">W148&lt;=1</f>
        <v>1</v>
      </c>
      <c r="Z148" s="10" t="b">
        <f aca="false">C148="Duplicate"</f>
        <v>0</v>
      </c>
      <c r="AA148" s="10" t="b">
        <f aca="false">C148=""</f>
        <v>0</v>
      </c>
      <c r="AB148" s="2" t="n">
        <f aca="false">IF(P148+Q148&gt;0,ROUND(P148/(P148+Q148)*100,0),"")</f>
        <v>0</v>
      </c>
      <c r="AC148" s="2" t="n">
        <f aca="false">IF(P148+Q148&gt;0,ROUND(E148-P148/(P148+Q148)*100,0),"")</f>
        <v>12</v>
      </c>
      <c r="AD148" s="10" t="b">
        <f aca="false">IF(AC148="",FALSE(),ABS(AC148)&gt;Assumptions!$B$41)</f>
        <v>1</v>
      </c>
      <c r="AE148" s="2" t="str">
        <f aca="false">IF(X148,"Low confidence (&lt;=2 orders); ","")&amp;IF(Y148,"Single-month history; ","")&amp;IF(Z148,"CRITICAL: Duplicate status; ","")&amp;IF(AA148,"Missing status; ","")&amp;IF(AD148,"Broker % vs counts gap "&amp;TEXT(AC148,"+0;-0")&amp;"pts; ","")</f>
        <v>Low confidence (&lt;=2 orders); Single-month history; Broker % vs counts gap +12pts; </v>
      </c>
      <c r="AF148" s="2" t="str">
        <f aca="false">IF(AND(K148=0,L148&gt;0),IF(D148&lt;=Assumptions!$B$47,"New Customer","Returned Customer"),"Existing Customer")</f>
        <v>Existing Customer</v>
      </c>
      <c r="AG148" s="10" t="b">
        <f aca="false">AND(T148="1. Migration Candidate",J148="Key")</f>
        <v>0</v>
      </c>
      <c r="AH148" s="10" t="b">
        <f aca="false">IF(AND(K148&gt;0,L148&gt;0),OR(ABS(M148-Assumptions!$B$36)&lt;=Assumptions!$B$46,ABS(M148+Assumptions!$B$36)&lt;=Assumptions!$B$46),FALSE())</f>
        <v>0</v>
      </c>
      <c r="AI148" s="9" t="n">
        <f aca="false">INDEX('Commercial View'!$L$2:$L$301,MATCH($A148,'Commercial View'!$A$2:$A$301,0))+INDEX('Commercial View'!$M$2:$M$301,MATCH($A148,'Commercial View'!$A$2:$A$301,0))</f>
        <v>0</v>
      </c>
      <c r="AJ148" s="2" t="str">
        <f aca="false">IF(AND(K148=0,AI148=0),"No activity ex-Feb",IF(AI148=0,"Lapsed",IF(K148=0,"H2 Active / No H1 GMV",IF((AI148/2)/(K148/3)-1&gt;=Assumptions!$B$36,"Growing",IF((AI148/2)/(K148/3)-1&lt;-Assumptions!$B$36,"Declining","Stable")))))</f>
        <v>Lapsed</v>
      </c>
      <c r="AK148" s="10" t="b">
        <f aca="false">IF(OR(N148="Growing",N148="Stable"),"Healthy",N148)&lt;&gt;IF(OR(AJ148="Growing",AJ148="Stable"),"Healthy",AJ148)</f>
        <v>0</v>
      </c>
      <c r="AL148" s="2" t="str">
        <f aca="false">IF(N148="Lapsed",IF(OR(O148&lt;=Assumptions!$B$48,W148&lt;=Assumptions!$B$49),"One-Off / Insufficient History — Verify","Established Buyer Lapsed"),"N/A")</f>
        <v>One-Off / Insufficient History — Verify</v>
      </c>
      <c r="AM148" s="2" t="n">
        <f aca="false">INDEX('Scored Accounts'!$M$2:$M$301,MATCH($A148,'Scored Accounts'!$A$2:$A$301,0))</f>
        <v>0</v>
      </c>
      <c r="AN148" s="2" t="n">
        <f aca="false">IF((P148/(P148+Q148)*100)&lt;=Assumptions!$B$13,0,IF((P148/(P148+Q148)*100)&lt;Assumptions!$B$14,25,IF((P148/(P148+Q148)*100)&lt;Assumptions!$B$15,50,IF((P148/(P148+Q148)*100)&lt;Assumptions!$B$16,75,100))))</f>
        <v>0</v>
      </c>
      <c r="AO148" s="21" t="n">
        <f aca="false">IF((P148/(P148+Q148)*100)&lt;=Assumptions!$B$8,0,AN148*Assumptions!$B$4+INDEX('Scored Accounts'!$N$2:$N$301,MATCH($A148,'Scored Accounts'!$A$2:$A$301,0))*Assumptions!$B$5+INDEX('Scored Accounts'!$O$2:$O$301,MATCH($A148,'Scored Accounts'!$A$2:$A$301,0))*Assumptions!$B$6)</f>
        <v>0</v>
      </c>
      <c r="AP148" s="2" t="str">
        <f aca="false">IF(AO148&gt;=Assumptions!$B$9,"High",IF(AO148&gt;=Assumptions!$B$10,"Medium","Low"))</f>
        <v>Low</v>
      </c>
      <c r="AQ148" s="10" t="b">
        <f aca="false">OR((E148&lt;=Assumptions!$B$8)&lt;&gt;((P148/(P148+Q148)*100)&lt;=Assumptions!$B$8),AM148&lt;&gt;AN148,G148&lt;&gt;AP148)</f>
        <v>0</v>
      </c>
      <c r="AR148" s="2" t="str">
        <f aca="false">IF(AP148&lt;&gt;"Low","Broker-Reliant",IF(B148="Account Managed","AM-Owned / Self-Serving","Self-Serve"))</f>
        <v>AM-Owned / Self-Serving</v>
      </c>
      <c r="AS148" s="2" t="str">
        <f aca="false">IF(AR148="Broker-Reliant",IF(J148="Tail","5. Cost-to-Serve / Low-Touch",IF(OR(N148="Growing",N148="Stable"),"1. Migration Candidate",IF(N148="Declining","2. Protect / Retain First",IF(N148="Lapsed","3. Win-Back / Verify",IF(N148="H2 Active / No H1 GMV","4. Establish / Re-establish / Observe","UNASSIGNED"))))),IF(AP148="Low",IF(J148="Tail","9. Long-Tail Automated Nurture",IF(OR(N148="Growing",N148="Stable"),"6. Growth Opportunity",IF(N148="H2 Active / No H1 GMV","7. Onboard / Re-engage / Learn",IF(OR(N148="Declining",N148="Lapsed"),"8. Retention / Reactivation","UNASSIGNED")))),"UNASSIGNED"))</f>
        <v>9. Long-Tail Automated Nurture</v>
      </c>
      <c r="AT148" s="10" t="b">
        <f aca="false">AS148&lt;&gt;T148</f>
        <v>0</v>
      </c>
      <c r="AU148" s="2" t="str">
        <f aca="false">IF(NOT(U148),"Not Eligible",IF(OR(AQ148,AH148,AK148,NOT(AND(W148&gt;=Assumptions!$B$83,O148&gt;=Assumptions!$B$84))),"Manual Review","Ready"))</f>
        <v>Not Eligible</v>
      </c>
      <c r="AV148" s="2" t="str">
        <f aca="false">IF(AG148,"Key account - human sign-off required; ","")&amp;IF(AH148,"Borderline momentum; ","")&amp;IF(AK148,"February-sensitive ("&amp;N148&amp;" -&gt; "&amp;AJ148&amp;"); ","")&amp;IF(AL148="One-Off / Insufficient History — Verify","Lapsed on thin history - verify; ","")&amp;IF(AQ148,"Material broker % inconsistency (implied tier "&amp;AP148&amp;"); ","")&amp;IF(AT148,"Implied broker % would move segment to "&amp;AS148&amp;"; ","")</f>
        <v>Lapsed on thin history - verify; </v>
      </c>
      <c r="AW148" s="10" t="b">
        <f aca="false">AND(G148="Low",J148="Tail",I148&gt;=Assumptions!$B$64,O148&gt;=Assumptions!$B$65,OR(N148="Growing",N148="Stable",AND(N148="H2 Active / No H1 GMV",W148&gt;=2)),OR(R148&gt;=Assumptions!$B$66,S148&gt;=Assumptions!$B$67))</f>
        <v>0</v>
      </c>
    </row>
    <row r="149" customFormat="false" ht="15" hidden="false" customHeight="false" outlineLevel="0" collapsed="false">
      <c r="A149" s="2" t="s">
        <v>798</v>
      </c>
      <c r="B149" s="2" t="s">
        <v>1571</v>
      </c>
      <c r="C149" s="2" t="s">
        <v>1572</v>
      </c>
      <c r="D149" s="2" t="n">
        <v>14</v>
      </c>
      <c r="E149" s="2" t="n">
        <v>7</v>
      </c>
      <c r="F149" s="21" t="n">
        <f aca="false">INDEX('Scored Accounts'!$Q$2:$Q$301,MATCH($A149,'Scored Accounts'!$A$2:$A$301,0))</f>
        <v>0</v>
      </c>
      <c r="G149" s="2" t="str">
        <f aca="false">INDEX('Scored Accounts'!$R$2:$R$301,MATCH($A149,'Scored Accounts'!$A$2:$A$301,0))</f>
        <v>Low</v>
      </c>
      <c r="H149" s="2" t="str">
        <f aca="false">IF(OR(G149="High",G149="Medium"),"Broker-Reliant",IF(AND(G149="Low",B149="Account Managed"),"AM-Owned / Self-Serving",IF(AND(G149="Low",B149="Self Serve"),"Self-Serve","UNASSIGNED")))</f>
        <v>AM-Owned / Self-Serving</v>
      </c>
      <c r="I149" s="9" t="n">
        <v>291</v>
      </c>
      <c r="J149" s="2" t="str">
        <f aca="false">IF(I149&gt;=Assumptions!$B$35,"Key",IF(I149&gt;=Assumptions!$B$34,"Core","Tail"))</f>
        <v>Tail</v>
      </c>
      <c r="K149" s="9" t="n">
        <f aca="false">INDEX('Commercial View'!$R$2:$R$301,MATCH($A149,'Commercial View'!$A$2:$A$301,0))</f>
        <v>291</v>
      </c>
      <c r="L149" s="9" t="n">
        <f aca="false">INDEX('Commercial View'!$S$2:$S$301,MATCH($A149,'Commercial View'!$A$2:$A$301,0))</f>
        <v>0</v>
      </c>
      <c r="M149" s="17" t="n">
        <f aca="false">INDEX('Commercial View'!$T$2:$T$301,MATCH($A149,'Commercial View'!$A$2:$A$301,0))</f>
        <v>-1</v>
      </c>
      <c r="N149" s="2" t="str">
        <f aca="false">INDEX('Commercial View'!$U$2:$U$301,MATCH($A149,'Commercial View'!$A$2:$A$301,0))</f>
        <v>Lapsed</v>
      </c>
      <c r="O149" s="2" t="n">
        <v>1</v>
      </c>
      <c r="P149" s="2" t="n">
        <v>0</v>
      </c>
      <c r="Q149" s="2" t="n">
        <v>1</v>
      </c>
      <c r="R149" s="2" t="n">
        <v>6</v>
      </c>
      <c r="S149" s="2" t="n">
        <v>1</v>
      </c>
      <c r="T149" s="2" t="str">
        <f aca="false">IF(H149="Broker-Reliant",IF(J149="Tail","5. Cost-to-Serve / Low-Touch",IF(OR(N149="Growing",N149="Stable"),"1. Migration Candidate",IF(N149="Declining","2. Protect / Retain First",IF(N149="Lapsed","3. Win-Back / Verify",IF(N149="H2 Active / No H1 GMV","4. Establish / Re-establish / Observe","UNASSIGNED"))))),IF(G149="Low",IF(J149="Tail","9. Long-Tail Automated Nurture",IF(OR(N149="Growing",N149="Stable"),"6. Growth Opportunity",IF(N149="H2 Active / No H1 GMV","7. Onboard / Re-engage / Learn",IF(OR(N149="Declining",N149="Lapsed"),"8. Retention / Reactivation","UNASSIGNED")))),"UNASSIGNED"))</f>
        <v>9. Long-Tail Automated Nurture</v>
      </c>
      <c r="U149" s="10" t="b">
        <f aca="false">AND(T149="1. Migration Candidate",J149="Core",O149&gt;=Assumptions!$B$39,Q149&gt;=Assumptions!$B$40,NOT(Z149))</f>
        <v>0</v>
      </c>
      <c r="V149" s="2" t="n">
        <f aca="false">(AND(H149="Broker-Reliant",J149&lt;&gt;"Tail",OR(N149="Growing",N149="Stable")))*1+(AND(H149="Broker-Reliant",J149&lt;&gt;"Tail",N149="Declining"))*1+(AND(H149="Broker-Reliant",J149&lt;&gt;"Tail",N149="Lapsed"))*1+(AND(H149="Broker-Reliant",J149&lt;&gt;"Tail",N149="H2 Active / No H1 GMV"))*1+(AND(H149="Broker-Reliant",J149="Tail"))*1+(AND(G149="Low",J149&lt;&gt;"Tail",OR(N149="Growing",N149="Stable")))*1+(AND(G149="Low",J149&lt;&gt;"Tail",N149="H2 Active / No H1 GMV"))*1+(AND(G149="Low",J149&lt;&gt;"Tail",OR(N149="Declining",N149="Lapsed")))*1+(AND(G149="Low",J149="Tail"))*1</f>
        <v>1</v>
      </c>
      <c r="W149" s="2" t="n">
        <f aca="false">INDEX('Commercial View'!$V$2:$V$301,MATCH($A149,'Commercial View'!$A$2:$A$301,0))</f>
        <v>1</v>
      </c>
      <c r="X149" s="10" t="b">
        <f aca="false">O149&lt;=Assumptions!$B$30</f>
        <v>1</v>
      </c>
      <c r="Y149" s="10" t="b">
        <f aca="false">W149&lt;=1</f>
        <v>1</v>
      </c>
      <c r="Z149" s="10" t="b">
        <f aca="false">C149="Duplicate"</f>
        <v>0</v>
      </c>
      <c r="AA149" s="10" t="b">
        <f aca="false">C149=""</f>
        <v>0</v>
      </c>
      <c r="AB149" s="2" t="n">
        <f aca="false">IF(P149+Q149&gt;0,ROUND(P149/(P149+Q149)*100,0),"")</f>
        <v>0</v>
      </c>
      <c r="AC149" s="2" t="n">
        <f aca="false">IF(P149+Q149&gt;0,ROUND(E149-P149/(P149+Q149)*100,0),"")</f>
        <v>7</v>
      </c>
      <c r="AD149" s="10" t="b">
        <f aca="false">IF(AC149="",FALSE(),ABS(AC149)&gt;Assumptions!$B$41)</f>
        <v>0</v>
      </c>
      <c r="AE149" s="2" t="str">
        <f aca="false">IF(X149,"Low confidence (&lt;=2 orders); ","")&amp;IF(Y149,"Single-month history; ","")&amp;IF(Z149,"CRITICAL: Duplicate status; ","")&amp;IF(AA149,"Missing status; ","")&amp;IF(AD149,"Broker % vs counts gap "&amp;TEXT(AC149,"+0;-0")&amp;"pts; ","")</f>
        <v>Low confidence (&lt;=2 orders); Single-month history; </v>
      </c>
      <c r="AF149" s="2" t="str">
        <f aca="false">IF(AND(K149=0,L149&gt;0),IF(D149&lt;=Assumptions!$B$47,"New Customer","Returned Customer"),"Existing Customer")</f>
        <v>Existing Customer</v>
      </c>
      <c r="AG149" s="10" t="b">
        <f aca="false">AND(T149="1. Migration Candidate",J149="Key")</f>
        <v>0</v>
      </c>
      <c r="AH149" s="10" t="b">
        <f aca="false">IF(AND(K149&gt;0,L149&gt;0),OR(ABS(M149-Assumptions!$B$36)&lt;=Assumptions!$B$46,ABS(M149+Assumptions!$B$36)&lt;=Assumptions!$B$46),FALSE())</f>
        <v>0</v>
      </c>
      <c r="AI149" s="9" t="n">
        <f aca="false">INDEX('Commercial View'!$L$2:$L$301,MATCH($A149,'Commercial View'!$A$2:$A$301,0))+INDEX('Commercial View'!$M$2:$M$301,MATCH($A149,'Commercial View'!$A$2:$A$301,0))</f>
        <v>0</v>
      </c>
      <c r="AJ149" s="2" t="str">
        <f aca="false">IF(AND(K149=0,AI149=0),"No activity ex-Feb",IF(AI149=0,"Lapsed",IF(K149=0,"H2 Active / No H1 GMV",IF((AI149/2)/(K149/3)-1&gt;=Assumptions!$B$36,"Growing",IF((AI149/2)/(K149/3)-1&lt;-Assumptions!$B$36,"Declining","Stable")))))</f>
        <v>Lapsed</v>
      </c>
      <c r="AK149" s="10" t="b">
        <f aca="false">IF(OR(N149="Growing",N149="Stable"),"Healthy",N149)&lt;&gt;IF(OR(AJ149="Growing",AJ149="Stable"),"Healthy",AJ149)</f>
        <v>0</v>
      </c>
      <c r="AL149" s="2" t="str">
        <f aca="false">IF(N149="Lapsed",IF(OR(O149&lt;=Assumptions!$B$48,W149&lt;=Assumptions!$B$49),"One-Off / Insufficient History — Verify","Established Buyer Lapsed"),"N/A")</f>
        <v>One-Off / Insufficient History — Verify</v>
      </c>
      <c r="AM149" s="2" t="n">
        <f aca="false">INDEX('Scored Accounts'!$M$2:$M$301,MATCH($A149,'Scored Accounts'!$A$2:$A$301,0))</f>
        <v>0</v>
      </c>
      <c r="AN149" s="2" t="n">
        <f aca="false">IF((P149/(P149+Q149)*100)&lt;=Assumptions!$B$13,0,IF((P149/(P149+Q149)*100)&lt;Assumptions!$B$14,25,IF((P149/(P149+Q149)*100)&lt;Assumptions!$B$15,50,IF((P149/(P149+Q149)*100)&lt;Assumptions!$B$16,75,100))))</f>
        <v>0</v>
      </c>
      <c r="AO149" s="21" t="n">
        <f aca="false">IF((P149/(P149+Q149)*100)&lt;=Assumptions!$B$8,0,AN149*Assumptions!$B$4+INDEX('Scored Accounts'!$N$2:$N$301,MATCH($A149,'Scored Accounts'!$A$2:$A$301,0))*Assumptions!$B$5+INDEX('Scored Accounts'!$O$2:$O$301,MATCH($A149,'Scored Accounts'!$A$2:$A$301,0))*Assumptions!$B$6)</f>
        <v>0</v>
      </c>
      <c r="AP149" s="2" t="str">
        <f aca="false">IF(AO149&gt;=Assumptions!$B$9,"High",IF(AO149&gt;=Assumptions!$B$10,"Medium","Low"))</f>
        <v>Low</v>
      </c>
      <c r="AQ149" s="10" t="b">
        <f aca="false">OR((E149&lt;=Assumptions!$B$8)&lt;&gt;((P149/(P149+Q149)*100)&lt;=Assumptions!$B$8),AM149&lt;&gt;AN149,G149&lt;&gt;AP149)</f>
        <v>0</v>
      </c>
      <c r="AR149" s="2" t="str">
        <f aca="false">IF(AP149&lt;&gt;"Low","Broker-Reliant",IF(B149="Account Managed","AM-Owned / Self-Serving","Self-Serve"))</f>
        <v>AM-Owned / Self-Serving</v>
      </c>
      <c r="AS149" s="2" t="str">
        <f aca="false">IF(AR149="Broker-Reliant",IF(J149="Tail","5. Cost-to-Serve / Low-Touch",IF(OR(N149="Growing",N149="Stable"),"1. Migration Candidate",IF(N149="Declining","2. Protect / Retain First",IF(N149="Lapsed","3. Win-Back / Verify",IF(N149="H2 Active / No H1 GMV","4. Establish / Re-establish / Observe","UNASSIGNED"))))),IF(AP149="Low",IF(J149="Tail","9. Long-Tail Automated Nurture",IF(OR(N149="Growing",N149="Stable"),"6. Growth Opportunity",IF(N149="H2 Active / No H1 GMV","7. Onboard / Re-engage / Learn",IF(OR(N149="Declining",N149="Lapsed"),"8. Retention / Reactivation","UNASSIGNED")))),"UNASSIGNED"))</f>
        <v>9. Long-Tail Automated Nurture</v>
      </c>
      <c r="AT149" s="10" t="b">
        <f aca="false">AS149&lt;&gt;T149</f>
        <v>0</v>
      </c>
      <c r="AU149" s="2" t="str">
        <f aca="false">IF(NOT(U149),"Not Eligible",IF(OR(AQ149,AH149,AK149,NOT(AND(W149&gt;=Assumptions!$B$83,O149&gt;=Assumptions!$B$84))),"Manual Review","Ready"))</f>
        <v>Not Eligible</v>
      </c>
      <c r="AV149" s="2" t="str">
        <f aca="false">IF(AG149,"Key account - human sign-off required; ","")&amp;IF(AH149,"Borderline momentum; ","")&amp;IF(AK149,"February-sensitive ("&amp;N149&amp;" -&gt; "&amp;AJ149&amp;"); ","")&amp;IF(AL149="One-Off / Insufficient History — Verify","Lapsed on thin history - verify; ","")&amp;IF(AQ149,"Material broker % inconsistency (implied tier "&amp;AP149&amp;"); ","")&amp;IF(AT149,"Implied broker % would move segment to "&amp;AS149&amp;"; ","")</f>
        <v>Lapsed on thin history - verify; </v>
      </c>
      <c r="AW149" s="10" t="b">
        <f aca="false">AND(G149="Low",J149="Tail",I149&gt;=Assumptions!$B$64,O149&gt;=Assumptions!$B$65,OR(N149="Growing",N149="Stable",AND(N149="H2 Active / No H1 GMV",W149&gt;=2)),OR(R149&gt;=Assumptions!$B$66,S149&gt;=Assumptions!$B$67))</f>
        <v>0</v>
      </c>
    </row>
    <row r="150" customFormat="false" ht="15" hidden="false" customHeight="false" outlineLevel="0" collapsed="false">
      <c r="A150" s="2" t="s">
        <v>800</v>
      </c>
      <c r="B150" s="2" t="s">
        <v>1571</v>
      </c>
      <c r="C150" s="2" t="s">
        <v>1572</v>
      </c>
      <c r="D150" s="2" t="n">
        <v>8</v>
      </c>
      <c r="E150" s="2" t="n">
        <v>16</v>
      </c>
      <c r="F150" s="21" t="n">
        <f aca="false">INDEX('Scored Accounts'!$Q$2:$Q$301,MATCH($A150,'Scored Accounts'!$A$2:$A$301,0))</f>
        <v>0</v>
      </c>
      <c r="G150" s="2" t="str">
        <f aca="false">INDEX('Scored Accounts'!$R$2:$R$301,MATCH($A150,'Scored Accounts'!$A$2:$A$301,0))</f>
        <v>Low</v>
      </c>
      <c r="H150" s="2" t="str">
        <f aca="false">IF(OR(G150="High",G150="Medium"),"Broker-Reliant",IF(AND(G150="Low",B150="Account Managed"),"AM-Owned / Self-Serving",IF(AND(G150="Low",B150="Self Serve"),"Self-Serve","UNASSIGNED")))</f>
        <v>AM-Owned / Self-Serving</v>
      </c>
      <c r="I150" s="9" t="n">
        <v>289</v>
      </c>
      <c r="J150" s="2" t="str">
        <f aca="false">IF(I150&gt;=Assumptions!$B$35,"Key",IF(I150&gt;=Assumptions!$B$34,"Core","Tail"))</f>
        <v>Tail</v>
      </c>
      <c r="K150" s="9" t="n">
        <f aca="false">INDEX('Commercial View'!$R$2:$R$301,MATCH($A150,'Commercial View'!$A$2:$A$301,0))</f>
        <v>289</v>
      </c>
      <c r="L150" s="9" t="n">
        <f aca="false">INDEX('Commercial View'!$S$2:$S$301,MATCH($A150,'Commercial View'!$A$2:$A$301,0))</f>
        <v>0</v>
      </c>
      <c r="M150" s="17" t="n">
        <f aca="false">INDEX('Commercial View'!$T$2:$T$301,MATCH($A150,'Commercial View'!$A$2:$A$301,0))</f>
        <v>-1</v>
      </c>
      <c r="N150" s="2" t="str">
        <f aca="false">INDEX('Commercial View'!$U$2:$U$301,MATCH($A150,'Commercial View'!$A$2:$A$301,0))</f>
        <v>Lapsed</v>
      </c>
      <c r="O150" s="2" t="n">
        <v>2</v>
      </c>
      <c r="P150" s="2" t="n">
        <v>0</v>
      </c>
      <c r="Q150" s="2" t="n">
        <v>2</v>
      </c>
      <c r="R150" s="2" t="n">
        <v>7</v>
      </c>
      <c r="S150" s="2" t="n">
        <v>9</v>
      </c>
      <c r="T150" s="2" t="str">
        <f aca="false">IF(H150="Broker-Reliant",IF(J150="Tail","5. Cost-to-Serve / Low-Touch",IF(OR(N150="Growing",N150="Stable"),"1. Migration Candidate",IF(N150="Declining","2. Protect / Retain First",IF(N150="Lapsed","3. Win-Back / Verify",IF(N150="H2 Active / No H1 GMV","4. Establish / Re-establish / Observe","UNASSIGNED"))))),IF(G150="Low",IF(J150="Tail","9. Long-Tail Automated Nurture",IF(OR(N150="Growing",N150="Stable"),"6. Growth Opportunity",IF(N150="H2 Active / No H1 GMV","7. Onboard / Re-engage / Learn",IF(OR(N150="Declining",N150="Lapsed"),"8. Retention / Reactivation","UNASSIGNED")))),"UNASSIGNED"))</f>
        <v>9. Long-Tail Automated Nurture</v>
      </c>
      <c r="U150" s="10" t="b">
        <f aca="false">AND(T150="1. Migration Candidate",J150="Core",O150&gt;=Assumptions!$B$39,Q150&gt;=Assumptions!$B$40,NOT(Z150))</f>
        <v>0</v>
      </c>
      <c r="V150" s="2" t="n">
        <f aca="false">(AND(H150="Broker-Reliant",J150&lt;&gt;"Tail",OR(N150="Growing",N150="Stable")))*1+(AND(H150="Broker-Reliant",J150&lt;&gt;"Tail",N150="Declining"))*1+(AND(H150="Broker-Reliant",J150&lt;&gt;"Tail",N150="Lapsed"))*1+(AND(H150="Broker-Reliant",J150&lt;&gt;"Tail",N150="H2 Active / No H1 GMV"))*1+(AND(H150="Broker-Reliant",J150="Tail"))*1+(AND(G150="Low",J150&lt;&gt;"Tail",OR(N150="Growing",N150="Stable")))*1+(AND(G150="Low",J150&lt;&gt;"Tail",N150="H2 Active / No H1 GMV"))*1+(AND(G150="Low",J150&lt;&gt;"Tail",OR(N150="Declining",N150="Lapsed")))*1+(AND(G150="Low",J150="Tail"))*1</f>
        <v>1</v>
      </c>
      <c r="W150" s="2" t="n">
        <f aca="false">INDEX('Commercial View'!$V$2:$V$301,MATCH($A150,'Commercial View'!$A$2:$A$301,0))</f>
        <v>1</v>
      </c>
      <c r="X150" s="10" t="b">
        <f aca="false">O150&lt;=Assumptions!$B$30</f>
        <v>1</v>
      </c>
      <c r="Y150" s="10" t="b">
        <f aca="false">W150&lt;=1</f>
        <v>1</v>
      </c>
      <c r="Z150" s="10" t="b">
        <f aca="false">C150="Duplicate"</f>
        <v>0</v>
      </c>
      <c r="AA150" s="10" t="b">
        <f aca="false">C150=""</f>
        <v>0</v>
      </c>
      <c r="AB150" s="2" t="n">
        <f aca="false">IF(P150+Q150&gt;0,ROUND(P150/(P150+Q150)*100,0),"")</f>
        <v>0</v>
      </c>
      <c r="AC150" s="2" t="n">
        <f aca="false">IF(P150+Q150&gt;0,ROUND(E150-P150/(P150+Q150)*100,0),"")</f>
        <v>16</v>
      </c>
      <c r="AD150" s="10" t="b">
        <f aca="false">IF(AC150="",FALSE(),ABS(AC150)&gt;Assumptions!$B$41)</f>
        <v>1</v>
      </c>
      <c r="AE150" s="2" t="str">
        <f aca="false">IF(X150,"Low confidence (&lt;=2 orders); ","")&amp;IF(Y150,"Single-month history; ","")&amp;IF(Z150,"CRITICAL: Duplicate status; ","")&amp;IF(AA150,"Missing status; ","")&amp;IF(AD150,"Broker % vs counts gap "&amp;TEXT(AC150,"+0;-0")&amp;"pts; ","")</f>
        <v>Low confidence (&lt;=2 orders); Single-month history; Broker % vs counts gap +16pts; </v>
      </c>
      <c r="AF150" s="2" t="str">
        <f aca="false">IF(AND(K150=0,L150&gt;0),IF(D150&lt;=Assumptions!$B$47,"New Customer","Returned Customer"),"Existing Customer")</f>
        <v>Existing Customer</v>
      </c>
      <c r="AG150" s="10" t="b">
        <f aca="false">AND(T150="1. Migration Candidate",J150="Key")</f>
        <v>0</v>
      </c>
      <c r="AH150" s="10" t="b">
        <f aca="false">IF(AND(K150&gt;0,L150&gt;0),OR(ABS(M150-Assumptions!$B$36)&lt;=Assumptions!$B$46,ABS(M150+Assumptions!$B$36)&lt;=Assumptions!$B$46),FALSE())</f>
        <v>0</v>
      </c>
      <c r="AI150" s="9" t="n">
        <f aca="false">INDEX('Commercial View'!$L$2:$L$301,MATCH($A150,'Commercial View'!$A$2:$A$301,0))+INDEX('Commercial View'!$M$2:$M$301,MATCH($A150,'Commercial View'!$A$2:$A$301,0))</f>
        <v>0</v>
      </c>
      <c r="AJ150" s="2" t="str">
        <f aca="false">IF(AND(K150=0,AI150=0),"No activity ex-Feb",IF(AI150=0,"Lapsed",IF(K150=0,"H2 Active / No H1 GMV",IF((AI150/2)/(K150/3)-1&gt;=Assumptions!$B$36,"Growing",IF((AI150/2)/(K150/3)-1&lt;-Assumptions!$B$36,"Declining","Stable")))))</f>
        <v>Lapsed</v>
      </c>
      <c r="AK150" s="10" t="b">
        <f aca="false">IF(OR(N150="Growing",N150="Stable"),"Healthy",N150)&lt;&gt;IF(OR(AJ150="Growing",AJ150="Stable"),"Healthy",AJ150)</f>
        <v>0</v>
      </c>
      <c r="AL150" s="2" t="str">
        <f aca="false">IF(N150="Lapsed",IF(OR(O150&lt;=Assumptions!$B$48,W150&lt;=Assumptions!$B$49),"One-Off / Insufficient History — Verify","Established Buyer Lapsed"),"N/A")</f>
        <v>One-Off / Insufficient History — Verify</v>
      </c>
      <c r="AM150" s="2" t="n">
        <f aca="false">INDEX('Scored Accounts'!$M$2:$M$301,MATCH($A150,'Scored Accounts'!$A$2:$A$301,0))</f>
        <v>0</v>
      </c>
      <c r="AN150" s="2" t="n">
        <f aca="false">IF((P150/(P150+Q150)*100)&lt;=Assumptions!$B$13,0,IF((P150/(P150+Q150)*100)&lt;Assumptions!$B$14,25,IF((P150/(P150+Q150)*100)&lt;Assumptions!$B$15,50,IF((P150/(P150+Q150)*100)&lt;Assumptions!$B$16,75,100))))</f>
        <v>0</v>
      </c>
      <c r="AO150" s="21" t="n">
        <f aca="false">IF((P150/(P150+Q150)*100)&lt;=Assumptions!$B$8,0,AN150*Assumptions!$B$4+INDEX('Scored Accounts'!$N$2:$N$301,MATCH($A150,'Scored Accounts'!$A$2:$A$301,0))*Assumptions!$B$5+INDEX('Scored Accounts'!$O$2:$O$301,MATCH($A150,'Scored Accounts'!$A$2:$A$301,0))*Assumptions!$B$6)</f>
        <v>0</v>
      </c>
      <c r="AP150" s="2" t="str">
        <f aca="false">IF(AO150&gt;=Assumptions!$B$9,"High",IF(AO150&gt;=Assumptions!$B$10,"Medium","Low"))</f>
        <v>Low</v>
      </c>
      <c r="AQ150" s="10" t="b">
        <f aca="false">OR((E150&lt;=Assumptions!$B$8)&lt;&gt;((P150/(P150+Q150)*100)&lt;=Assumptions!$B$8),AM150&lt;&gt;AN150,G150&lt;&gt;AP150)</f>
        <v>0</v>
      </c>
      <c r="AR150" s="2" t="str">
        <f aca="false">IF(AP150&lt;&gt;"Low","Broker-Reliant",IF(B150="Account Managed","AM-Owned / Self-Serving","Self-Serve"))</f>
        <v>AM-Owned / Self-Serving</v>
      </c>
      <c r="AS150" s="2" t="str">
        <f aca="false">IF(AR150="Broker-Reliant",IF(J150="Tail","5. Cost-to-Serve / Low-Touch",IF(OR(N150="Growing",N150="Stable"),"1. Migration Candidate",IF(N150="Declining","2. Protect / Retain First",IF(N150="Lapsed","3. Win-Back / Verify",IF(N150="H2 Active / No H1 GMV","4. Establish / Re-establish / Observe","UNASSIGNED"))))),IF(AP150="Low",IF(J150="Tail","9. Long-Tail Automated Nurture",IF(OR(N150="Growing",N150="Stable"),"6. Growth Opportunity",IF(N150="H2 Active / No H1 GMV","7. Onboard / Re-engage / Learn",IF(OR(N150="Declining",N150="Lapsed"),"8. Retention / Reactivation","UNASSIGNED")))),"UNASSIGNED"))</f>
        <v>9. Long-Tail Automated Nurture</v>
      </c>
      <c r="AT150" s="10" t="b">
        <f aca="false">AS150&lt;&gt;T150</f>
        <v>0</v>
      </c>
      <c r="AU150" s="2" t="str">
        <f aca="false">IF(NOT(U150),"Not Eligible",IF(OR(AQ150,AH150,AK150,NOT(AND(W150&gt;=Assumptions!$B$83,O150&gt;=Assumptions!$B$84))),"Manual Review","Ready"))</f>
        <v>Not Eligible</v>
      </c>
      <c r="AV150" s="2" t="str">
        <f aca="false">IF(AG150,"Key account - human sign-off required; ","")&amp;IF(AH150,"Borderline momentum; ","")&amp;IF(AK150,"February-sensitive ("&amp;N150&amp;" -&gt; "&amp;AJ150&amp;"); ","")&amp;IF(AL150="One-Off / Insufficient History — Verify","Lapsed on thin history - verify; ","")&amp;IF(AQ150,"Material broker % inconsistency (implied tier "&amp;AP150&amp;"); ","")&amp;IF(AT150,"Implied broker % would move segment to "&amp;AS150&amp;"; ","")</f>
        <v>Lapsed on thin history - verify; </v>
      </c>
      <c r="AW150" s="10" t="b">
        <f aca="false">AND(G150="Low",J150="Tail",I150&gt;=Assumptions!$B$64,O150&gt;=Assumptions!$B$65,OR(N150="Growing",N150="Stable",AND(N150="H2 Active / No H1 GMV",W150&gt;=2)),OR(R150&gt;=Assumptions!$B$66,S150&gt;=Assumptions!$B$67))</f>
        <v>0</v>
      </c>
    </row>
    <row r="151" customFormat="false" ht="15" hidden="false" customHeight="false" outlineLevel="0" collapsed="false">
      <c r="A151" s="2" t="s">
        <v>802</v>
      </c>
      <c r="B151" s="2" t="s">
        <v>1571</v>
      </c>
      <c r="C151" s="2" t="s">
        <v>1572</v>
      </c>
      <c r="D151" s="2" t="n">
        <v>7</v>
      </c>
      <c r="E151" s="2" t="n">
        <v>2</v>
      </c>
      <c r="F151" s="21" t="n">
        <f aca="false">INDEX('Scored Accounts'!$Q$2:$Q$301,MATCH($A151,'Scored Accounts'!$A$2:$A$301,0))</f>
        <v>0</v>
      </c>
      <c r="G151" s="2" t="str">
        <f aca="false">INDEX('Scored Accounts'!$R$2:$R$301,MATCH($A151,'Scored Accounts'!$A$2:$A$301,0))</f>
        <v>Low</v>
      </c>
      <c r="H151" s="2" t="str">
        <f aca="false">IF(OR(G151="High",G151="Medium"),"Broker-Reliant",IF(AND(G151="Low",B151="Account Managed"),"AM-Owned / Self-Serving",IF(AND(G151="Low",B151="Self Serve"),"Self-Serve","UNASSIGNED")))</f>
        <v>AM-Owned / Self-Serving</v>
      </c>
      <c r="I151" s="9" t="n">
        <v>284</v>
      </c>
      <c r="J151" s="2" t="str">
        <f aca="false">IF(I151&gt;=Assumptions!$B$35,"Key",IF(I151&gt;=Assumptions!$B$34,"Core","Tail"))</f>
        <v>Tail</v>
      </c>
      <c r="K151" s="9" t="n">
        <f aca="false">INDEX('Commercial View'!$R$2:$R$301,MATCH($A151,'Commercial View'!$A$2:$A$301,0))</f>
        <v>284</v>
      </c>
      <c r="L151" s="9" t="n">
        <f aca="false">INDEX('Commercial View'!$S$2:$S$301,MATCH($A151,'Commercial View'!$A$2:$A$301,0))</f>
        <v>0</v>
      </c>
      <c r="M151" s="17" t="n">
        <f aca="false">INDEX('Commercial View'!$T$2:$T$301,MATCH($A151,'Commercial View'!$A$2:$A$301,0))</f>
        <v>-1</v>
      </c>
      <c r="N151" s="2" t="str">
        <f aca="false">INDEX('Commercial View'!$U$2:$U$301,MATCH($A151,'Commercial View'!$A$2:$A$301,0))</f>
        <v>Lapsed</v>
      </c>
      <c r="O151" s="2" t="n">
        <v>1</v>
      </c>
      <c r="P151" s="2" t="n">
        <v>0</v>
      </c>
      <c r="Q151" s="2" t="n">
        <v>1</v>
      </c>
      <c r="R151" s="2" t="n">
        <v>16</v>
      </c>
      <c r="S151" s="2" t="n">
        <v>0</v>
      </c>
      <c r="T151" s="2" t="str">
        <f aca="false">IF(H151="Broker-Reliant",IF(J151="Tail","5. Cost-to-Serve / Low-Touch",IF(OR(N151="Growing",N151="Stable"),"1. Migration Candidate",IF(N151="Declining","2. Protect / Retain First",IF(N151="Lapsed","3. Win-Back / Verify",IF(N151="H2 Active / No H1 GMV","4. Establish / Re-establish / Observe","UNASSIGNED"))))),IF(G151="Low",IF(J151="Tail","9. Long-Tail Automated Nurture",IF(OR(N151="Growing",N151="Stable"),"6. Growth Opportunity",IF(N151="H2 Active / No H1 GMV","7. Onboard / Re-engage / Learn",IF(OR(N151="Declining",N151="Lapsed"),"8. Retention / Reactivation","UNASSIGNED")))),"UNASSIGNED"))</f>
        <v>9. Long-Tail Automated Nurture</v>
      </c>
      <c r="U151" s="10" t="b">
        <f aca="false">AND(T151="1. Migration Candidate",J151="Core",O151&gt;=Assumptions!$B$39,Q151&gt;=Assumptions!$B$40,NOT(Z151))</f>
        <v>0</v>
      </c>
      <c r="V151" s="2" t="n">
        <f aca="false">(AND(H151="Broker-Reliant",J151&lt;&gt;"Tail",OR(N151="Growing",N151="Stable")))*1+(AND(H151="Broker-Reliant",J151&lt;&gt;"Tail",N151="Declining"))*1+(AND(H151="Broker-Reliant",J151&lt;&gt;"Tail",N151="Lapsed"))*1+(AND(H151="Broker-Reliant",J151&lt;&gt;"Tail",N151="H2 Active / No H1 GMV"))*1+(AND(H151="Broker-Reliant",J151="Tail"))*1+(AND(G151="Low",J151&lt;&gt;"Tail",OR(N151="Growing",N151="Stable")))*1+(AND(G151="Low",J151&lt;&gt;"Tail",N151="H2 Active / No H1 GMV"))*1+(AND(G151="Low",J151&lt;&gt;"Tail",OR(N151="Declining",N151="Lapsed")))*1+(AND(G151="Low",J151="Tail"))*1</f>
        <v>1</v>
      </c>
      <c r="W151" s="2" t="n">
        <f aca="false">INDEX('Commercial View'!$V$2:$V$301,MATCH($A151,'Commercial View'!$A$2:$A$301,0))</f>
        <v>1</v>
      </c>
      <c r="X151" s="10" t="b">
        <f aca="false">O151&lt;=Assumptions!$B$30</f>
        <v>1</v>
      </c>
      <c r="Y151" s="10" t="b">
        <f aca="false">W151&lt;=1</f>
        <v>1</v>
      </c>
      <c r="Z151" s="10" t="b">
        <f aca="false">C151="Duplicate"</f>
        <v>0</v>
      </c>
      <c r="AA151" s="10" t="b">
        <f aca="false">C151=""</f>
        <v>0</v>
      </c>
      <c r="AB151" s="2" t="n">
        <f aca="false">IF(P151+Q151&gt;0,ROUND(P151/(P151+Q151)*100,0),"")</f>
        <v>0</v>
      </c>
      <c r="AC151" s="2" t="n">
        <f aca="false">IF(P151+Q151&gt;0,ROUND(E151-P151/(P151+Q151)*100,0),"")</f>
        <v>2</v>
      </c>
      <c r="AD151" s="10" t="b">
        <f aca="false">IF(AC151="",FALSE(),ABS(AC151)&gt;Assumptions!$B$41)</f>
        <v>0</v>
      </c>
      <c r="AE151" s="2" t="str">
        <f aca="false">IF(X151,"Low confidence (&lt;=2 orders); ","")&amp;IF(Y151,"Single-month history; ","")&amp;IF(Z151,"CRITICAL: Duplicate status; ","")&amp;IF(AA151,"Missing status; ","")&amp;IF(AD151,"Broker % vs counts gap "&amp;TEXT(AC151,"+0;-0")&amp;"pts; ","")</f>
        <v>Low confidence (&lt;=2 orders); Single-month history; </v>
      </c>
      <c r="AF151" s="2" t="str">
        <f aca="false">IF(AND(K151=0,L151&gt;0),IF(D151&lt;=Assumptions!$B$47,"New Customer","Returned Customer"),"Existing Customer")</f>
        <v>Existing Customer</v>
      </c>
      <c r="AG151" s="10" t="b">
        <f aca="false">AND(T151="1. Migration Candidate",J151="Key")</f>
        <v>0</v>
      </c>
      <c r="AH151" s="10" t="b">
        <f aca="false">IF(AND(K151&gt;0,L151&gt;0),OR(ABS(M151-Assumptions!$B$36)&lt;=Assumptions!$B$46,ABS(M151+Assumptions!$B$36)&lt;=Assumptions!$B$46),FALSE())</f>
        <v>0</v>
      </c>
      <c r="AI151" s="9" t="n">
        <f aca="false">INDEX('Commercial View'!$L$2:$L$301,MATCH($A151,'Commercial View'!$A$2:$A$301,0))+INDEX('Commercial View'!$M$2:$M$301,MATCH($A151,'Commercial View'!$A$2:$A$301,0))</f>
        <v>0</v>
      </c>
      <c r="AJ151" s="2" t="str">
        <f aca="false">IF(AND(K151=0,AI151=0),"No activity ex-Feb",IF(AI151=0,"Lapsed",IF(K151=0,"H2 Active / No H1 GMV",IF((AI151/2)/(K151/3)-1&gt;=Assumptions!$B$36,"Growing",IF((AI151/2)/(K151/3)-1&lt;-Assumptions!$B$36,"Declining","Stable")))))</f>
        <v>Lapsed</v>
      </c>
      <c r="AK151" s="10" t="b">
        <f aca="false">IF(OR(N151="Growing",N151="Stable"),"Healthy",N151)&lt;&gt;IF(OR(AJ151="Growing",AJ151="Stable"),"Healthy",AJ151)</f>
        <v>0</v>
      </c>
      <c r="AL151" s="2" t="str">
        <f aca="false">IF(N151="Lapsed",IF(OR(O151&lt;=Assumptions!$B$48,W151&lt;=Assumptions!$B$49),"One-Off / Insufficient History — Verify","Established Buyer Lapsed"),"N/A")</f>
        <v>One-Off / Insufficient History — Verify</v>
      </c>
      <c r="AM151" s="2" t="n">
        <f aca="false">INDEX('Scored Accounts'!$M$2:$M$301,MATCH($A151,'Scored Accounts'!$A$2:$A$301,0))</f>
        <v>0</v>
      </c>
      <c r="AN151" s="2" t="n">
        <f aca="false">IF((P151/(P151+Q151)*100)&lt;=Assumptions!$B$13,0,IF((P151/(P151+Q151)*100)&lt;Assumptions!$B$14,25,IF((P151/(P151+Q151)*100)&lt;Assumptions!$B$15,50,IF((P151/(P151+Q151)*100)&lt;Assumptions!$B$16,75,100))))</f>
        <v>0</v>
      </c>
      <c r="AO151" s="21" t="n">
        <f aca="false">IF((P151/(P151+Q151)*100)&lt;=Assumptions!$B$8,0,AN151*Assumptions!$B$4+INDEX('Scored Accounts'!$N$2:$N$301,MATCH($A151,'Scored Accounts'!$A$2:$A$301,0))*Assumptions!$B$5+INDEX('Scored Accounts'!$O$2:$O$301,MATCH($A151,'Scored Accounts'!$A$2:$A$301,0))*Assumptions!$B$6)</f>
        <v>0</v>
      </c>
      <c r="AP151" s="2" t="str">
        <f aca="false">IF(AO151&gt;=Assumptions!$B$9,"High",IF(AO151&gt;=Assumptions!$B$10,"Medium","Low"))</f>
        <v>Low</v>
      </c>
      <c r="AQ151" s="10" t="b">
        <f aca="false">OR((E151&lt;=Assumptions!$B$8)&lt;&gt;((P151/(P151+Q151)*100)&lt;=Assumptions!$B$8),AM151&lt;&gt;AN151,G151&lt;&gt;AP151)</f>
        <v>0</v>
      </c>
      <c r="AR151" s="2" t="str">
        <f aca="false">IF(AP151&lt;&gt;"Low","Broker-Reliant",IF(B151="Account Managed","AM-Owned / Self-Serving","Self-Serve"))</f>
        <v>AM-Owned / Self-Serving</v>
      </c>
      <c r="AS151" s="2" t="str">
        <f aca="false">IF(AR151="Broker-Reliant",IF(J151="Tail","5. Cost-to-Serve / Low-Touch",IF(OR(N151="Growing",N151="Stable"),"1. Migration Candidate",IF(N151="Declining","2. Protect / Retain First",IF(N151="Lapsed","3. Win-Back / Verify",IF(N151="H2 Active / No H1 GMV","4. Establish / Re-establish / Observe","UNASSIGNED"))))),IF(AP151="Low",IF(J151="Tail","9. Long-Tail Automated Nurture",IF(OR(N151="Growing",N151="Stable"),"6. Growth Opportunity",IF(N151="H2 Active / No H1 GMV","7. Onboard / Re-engage / Learn",IF(OR(N151="Declining",N151="Lapsed"),"8. Retention / Reactivation","UNASSIGNED")))),"UNASSIGNED"))</f>
        <v>9. Long-Tail Automated Nurture</v>
      </c>
      <c r="AT151" s="10" t="b">
        <f aca="false">AS151&lt;&gt;T151</f>
        <v>0</v>
      </c>
      <c r="AU151" s="2" t="str">
        <f aca="false">IF(NOT(U151),"Not Eligible",IF(OR(AQ151,AH151,AK151,NOT(AND(W151&gt;=Assumptions!$B$83,O151&gt;=Assumptions!$B$84))),"Manual Review","Ready"))</f>
        <v>Not Eligible</v>
      </c>
      <c r="AV151" s="2" t="str">
        <f aca="false">IF(AG151,"Key account - human sign-off required; ","")&amp;IF(AH151,"Borderline momentum; ","")&amp;IF(AK151,"February-sensitive ("&amp;N151&amp;" -&gt; "&amp;AJ151&amp;"); ","")&amp;IF(AL151="One-Off / Insufficient History — Verify","Lapsed on thin history - verify; ","")&amp;IF(AQ151,"Material broker % inconsistency (implied tier "&amp;AP151&amp;"); ","")&amp;IF(AT151,"Implied broker % would move segment to "&amp;AS151&amp;"; ","")</f>
        <v>Lapsed on thin history - verify; </v>
      </c>
      <c r="AW151" s="10" t="b">
        <f aca="false">AND(G151="Low",J151="Tail",I151&gt;=Assumptions!$B$64,O151&gt;=Assumptions!$B$65,OR(N151="Growing",N151="Stable",AND(N151="H2 Active / No H1 GMV",W151&gt;=2)),OR(R151&gt;=Assumptions!$B$66,S151&gt;=Assumptions!$B$67))</f>
        <v>0</v>
      </c>
    </row>
    <row r="152" customFormat="false" ht="15" hidden="false" customHeight="false" outlineLevel="0" collapsed="false">
      <c r="A152" s="2" t="s">
        <v>804</v>
      </c>
      <c r="B152" s="2" t="s">
        <v>1571</v>
      </c>
      <c r="C152" s="2" t="s">
        <v>1572</v>
      </c>
      <c r="D152" s="2" t="n">
        <v>6</v>
      </c>
      <c r="E152" s="2" t="n">
        <v>15</v>
      </c>
      <c r="F152" s="21" t="n">
        <f aca="false">INDEX('Scored Accounts'!$Q$2:$Q$301,MATCH($A152,'Scored Accounts'!$A$2:$A$301,0))</f>
        <v>0</v>
      </c>
      <c r="G152" s="2" t="str">
        <f aca="false">INDEX('Scored Accounts'!$R$2:$R$301,MATCH($A152,'Scored Accounts'!$A$2:$A$301,0))</f>
        <v>Low</v>
      </c>
      <c r="H152" s="2" t="str">
        <f aca="false">IF(OR(G152="High",G152="Medium"),"Broker-Reliant",IF(AND(G152="Low",B152="Account Managed"),"AM-Owned / Self-Serving",IF(AND(G152="Low",B152="Self Serve"),"Self-Serve","UNASSIGNED")))</f>
        <v>AM-Owned / Self-Serving</v>
      </c>
      <c r="I152" s="9" t="n">
        <v>282</v>
      </c>
      <c r="J152" s="2" t="str">
        <f aca="false">IF(I152&gt;=Assumptions!$B$35,"Key",IF(I152&gt;=Assumptions!$B$34,"Core","Tail"))</f>
        <v>Tail</v>
      </c>
      <c r="K152" s="9" t="n">
        <f aca="false">INDEX('Commercial View'!$R$2:$R$301,MATCH($A152,'Commercial View'!$A$2:$A$301,0))</f>
        <v>282</v>
      </c>
      <c r="L152" s="9" t="n">
        <f aca="false">INDEX('Commercial View'!$S$2:$S$301,MATCH($A152,'Commercial View'!$A$2:$A$301,0))</f>
        <v>0</v>
      </c>
      <c r="M152" s="17" t="n">
        <f aca="false">INDEX('Commercial View'!$T$2:$T$301,MATCH($A152,'Commercial View'!$A$2:$A$301,0))</f>
        <v>-1</v>
      </c>
      <c r="N152" s="2" t="str">
        <f aca="false">INDEX('Commercial View'!$U$2:$U$301,MATCH($A152,'Commercial View'!$A$2:$A$301,0))</f>
        <v>Lapsed</v>
      </c>
      <c r="O152" s="2" t="n">
        <v>1</v>
      </c>
      <c r="P152" s="2" t="n">
        <v>0</v>
      </c>
      <c r="Q152" s="2" t="n">
        <v>1</v>
      </c>
      <c r="R152" s="2" t="n">
        <v>20</v>
      </c>
      <c r="S152" s="2" t="n">
        <v>1</v>
      </c>
      <c r="T152" s="2" t="str">
        <f aca="false">IF(H152="Broker-Reliant",IF(J152="Tail","5. Cost-to-Serve / Low-Touch",IF(OR(N152="Growing",N152="Stable"),"1. Migration Candidate",IF(N152="Declining","2. Protect / Retain First",IF(N152="Lapsed","3. Win-Back / Verify",IF(N152="H2 Active / No H1 GMV","4. Establish / Re-establish / Observe","UNASSIGNED"))))),IF(G152="Low",IF(J152="Tail","9. Long-Tail Automated Nurture",IF(OR(N152="Growing",N152="Stable"),"6. Growth Opportunity",IF(N152="H2 Active / No H1 GMV","7. Onboard / Re-engage / Learn",IF(OR(N152="Declining",N152="Lapsed"),"8. Retention / Reactivation","UNASSIGNED")))),"UNASSIGNED"))</f>
        <v>9. Long-Tail Automated Nurture</v>
      </c>
      <c r="U152" s="10" t="b">
        <f aca="false">AND(T152="1. Migration Candidate",J152="Core",O152&gt;=Assumptions!$B$39,Q152&gt;=Assumptions!$B$40,NOT(Z152))</f>
        <v>0</v>
      </c>
      <c r="V152" s="2" t="n">
        <f aca="false">(AND(H152="Broker-Reliant",J152&lt;&gt;"Tail",OR(N152="Growing",N152="Stable")))*1+(AND(H152="Broker-Reliant",J152&lt;&gt;"Tail",N152="Declining"))*1+(AND(H152="Broker-Reliant",J152&lt;&gt;"Tail",N152="Lapsed"))*1+(AND(H152="Broker-Reliant",J152&lt;&gt;"Tail",N152="H2 Active / No H1 GMV"))*1+(AND(H152="Broker-Reliant",J152="Tail"))*1+(AND(G152="Low",J152&lt;&gt;"Tail",OR(N152="Growing",N152="Stable")))*1+(AND(G152="Low",J152&lt;&gt;"Tail",N152="H2 Active / No H1 GMV"))*1+(AND(G152="Low",J152&lt;&gt;"Tail",OR(N152="Declining",N152="Lapsed")))*1+(AND(G152="Low",J152="Tail"))*1</f>
        <v>1</v>
      </c>
      <c r="W152" s="2" t="n">
        <f aca="false">INDEX('Commercial View'!$V$2:$V$301,MATCH($A152,'Commercial View'!$A$2:$A$301,0))</f>
        <v>1</v>
      </c>
      <c r="X152" s="10" t="b">
        <f aca="false">O152&lt;=Assumptions!$B$30</f>
        <v>1</v>
      </c>
      <c r="Y152" s="10" t="b">
        <f aca="false">W152&lt;=1</f>
        <v>1</v>
      </c>
      <c r="Z152" s="10" t="b">
        <f aca="false">C152="Duplicate"</f>
        <v>0</v>
      </c>
      <c r="AA152" s="10" t="b">
        <f aca="false">C152=""</f>
        <v>0</v>
      </c>
      <c r="AB152" s="2" t="n">
        <f aca="false">IF(P152+Q152&gt;0,ROUND(P152/(P152+Q152)*100,0),"")</f>
        <v>0</v>
      </c>
      <c r="AC152" s="2" t="n">
        <f aca="false">IF(P152+Q152&gt;0,ROUND(E152-P152/(P152+Q152)*100,0),"")</f>
        <v>15</v>
      </c>
      <c r="AD152" s="10" t="b">
        <f aca="false">IF(AC152="",FALSE(),ABS(AC152)&gt;Assumptions!$B$41)</f>
        <v>1</v>
      </c>
      <c r="AE152" s="2" t="str">
        <f aca="false">IF(X152,"Low confidence (&lt;=2 orders); ","")&amp;IF(Y152,"Single-month history; ","")&amp;IF(Z152,"CRITICAL: Duplicate status; ","")&amp;IF(AA152,"Missing status; ","")&amp;IF(AD152,"Broker % vs counts gap "&amp;TEXT(AC152,"+0;-0")&amp;"pts; ","")</f>
        <v>Low confidence (&lt;=2 orders); Single-month history; Broker % vs counts gap +15pts; </v>
      </c>
      <c r="AF152" s="2" t="str">
        <f aca="false">IF(AND(K152=0,L152&gt;0),IF(D152&lt;=Assumptions!$B$47,"New Customer","Returned Customer"),"Existing Customer")</f>
        <v>Existing Customer</v>
      </c>
      <c r="AG152" s="10" t="b">
        <f aca="false">AND(T152="1. Migration Candidate",J152="Key")</f>
        <v>0</v>
      </c>
      <c r="AH152" s="10" t="b">
        <f aca="false">IF(AND(K152&gt;0,L152&gt;0),OR(ABS(M152-Assumptions!$B$36)&lt;=Assumptions!$B$46,ABS(M152+Assumptions!$B$36)&lt;=Assumptions!$B$46),FALSE())</f>
        <v>0</v>
      </c>
      <c r="AI152" s="9" t="n">
        <f aca="false">INDEX('Commercial View'!$L$2:$L$301,MATCH($A152,'Commercial View'!$A$2:$A$301,0))+INDEX('Commercial View'!$M$2:$M$301,MATCH($A152,'Commercial View'!$A$2:$A$301,0))</f>
        <v>0</v>
      </c>
      <c r="AJ152" s="2" t="str">
        <f aca="false">IF(AND(K152=0,AI152=0),"No activity ex-Feb",IF(AI152=0,"Lapsed",IF(K152=0,"H2 Active / No H1 GMV",IF((AI152/2)/(K152/3)-1&gt;=Assumptions!$B$36,"Growing",IF((AI152/2)/(K152/3)-1&lt;-Assumptions!$B$36,"Declining","Stable")))))</f>
        <v>Lapsed</v>
      </c>
      <c r="AK152" s="10" t="b">
        <f aca="false">IF(OR(N152="Growing",N152="Stable"),"Healthy",N152)&lt;&gt;IF(OR(AJ152="Growing",AJ152="Stable"),"Healthy",AJ152)</f>
        <v>0</v>
      </c>
      <c r="AL152" s="2" t="str">
        <f aca="false">IF(N152="Lapsed",IF(OR(O152&lt;=Assumptions!$B$48,W152&lt;=Assumptions!$B$49),"One-Off / Insufficient History — Verify","Established Buyer Lapsed"),"N/A")</f>
        <v>One-Off / Insufficient History — Verify</v>
      </c>
      <c r="AM152" s="2" t="n">
        <f aca="false">INDEX('Scored Accounts'!$M$2:$M$301,MATCH($A152,'Scored Accounts'!$A$2:$A$301,0))</f>
        <v>0</v>
      </c>
      <c r="AN152" s="2" t="n">
        <f aca="false">IF((P152/(P152+Q152)*100)&lt;=Assumptions!$B$13,0,IF((P152/(P152+Q152)*100)&lt;Assumptions!$B$14,25,IF((P152/(P152+Q152)*100)&lt;Assumptions!$B$15,50,IF((P152/(P152+Q152)*100)&lt;Assumptions!$B$16,75,100))))</f>
        <v>0</v>
      </c>
      <c r="AO152" s="21" t="n">
        <f aca="false">IF((P152/(P152+Q152)*100)&lt;=Assumptions!$B$8,0,AN152*Assumptions!$B$4+INDEX('Scored Accounts'!$N$2:$N$301,MATCH($A152,'Scored Accounts'!$A$2:$A$301,0))*Assumptions!$B$5+INDEX('Scored Accounts'!$O$2:$O$301,MATCH($A152,'Scored Accounts'!$A$2:$A$301,0))*Assumptions!$B$6)</f>
        <v>0</v>
      </c>
      <c r="AP152" s="2" t="str">
        <f aca="false">IF(AO152&gt;=Assumptions!$B$9,"High",IF(AO152&gt;=Assumptions!$B$10,"Medium","Low"))</f>
        <v>Low</v>
      </c>
      <c r="AQ152" s="10" t="b">
        <f aca="false">OR((E152&lt;=Assumptions!$B$8)&lt;&gt;((P152/(P152+Q152)*100)&lt;=Assumptions!$B$8),AM152&lt;&gt;AN152,G152&lt;&gt;AP152)</f>
        <v>0</v>
      </c>
      <c r="AR152" s="2" t="str">
        <f aca="false">IF(AP152&lt;&gt;"Low","Broker-Reliant",IF(B152="Account Managed","AM-Owned / Self-Serving","Self-Serve"))</f>
        <v>AM-Owned / Self-Serving</v>
      </c>
      <c r="AS152" s="2" t="str">
        <f aca="false">IF(AR152="Broker-Reliant",IF(J152="Tail","5. Cost-to-Serve / Low-Touch",IF(OR(N152="Growing",N152="Stable"),"1. Migration Candidate",IF(N152="Declining","2. Protect / Retain First",IF(N152="Lapsed","3. Win-Back / Verify",IF(N152="H2 Active / No H1 GMV","4. Establish / Re-establish / Observe","UNASSIGNED"))))),IF(AP152="Low",IF(J152="Tail","9. Long-Tail Automated Nurture",IF(OR(N152="Growing",N152="Stable"),"6. Growth Opportunity",IF(N152="H2 Active / No H1 GMV","7. Onboard / Re-engage / Learn",IF(OR(N152="Declining",N152="Lapsed"),"8. Retention / Reactivation","UNASSIGNED")))),"UNASSIGNED"))</f>
        <v>9. Long-Tail Automated Nurture</v>
      </c>
      <c r="AT152" s="10" t="b">
        <f aca="false">AS152&lt;&gt;T152</f>
        <v>0</v>
      </c>
      <c r="AU152" s="2" t="str">
        <f aca="false">IF(NOT(U152),"Not Eligible",IF(OR(AQ152,AH152,AK152,NOT(AND(W152&gt;=Assumptions!$B$83,O152&gt;=Assumptions!$B$84))),"Manual Review","Ready"))</f>
        <v>Not Eligible</v>
      </c>
      <c r="AV152" s="2" t="str">
        <f aca="false">IF(AG152,"Key account - human sign-off required; ","")&amp;IF(AH152,"Borderline momentum; ","")&amp;IF(AK152,"February-sensitive ("&amp;N152&amp;" -&gt; "&amp;AJ152&amp;"); ","")&amp;IF(AL152="One-Off / Insufficient History — Verify","Lapsed on thin history - verify; ","")&amp;IF(AQ152,"Material broker % inconsistency (implied tier "&amp;AP152&amp;"); ","")&amp;IF(AT152,"Implied broker % would move segment to "&amp;AS152&amp;"; ","")</f>
        <v>Lapsed on thin history - verify; </v>
      </c>
      <c r="AW152" s="10" t="b">
        <f aca="false">AND(G152="Low",J152="Tail",I152&gt;=Assumptions!$B$64,O152&gt;=Assumptions!$B$65,OR(N152="Growing",N152="Stable",AND(N152="H2 Active / No H1 GMV",W152&gt;=2)),OR(R152&gt;=Assumptions!$B$66,S152&gt;=Assumptions!$B$67))</f>
        <v>0</v>
      </c>
    </row>
    <row r="153" customFormat="false" ht="15" hidden="false" customHeight="false" outlineLevel="0" collapsed="false">
      <c r="A153" s="2" t="s">
        <v>812</v>
      </c>
      <c r="B153" s="2" t="s">
        <v>1571</v>
      </c>
      <c r="C153" s="2"/>
      <c r="D153" s="2" t="n">
        <v>6</v>
      </c>
      <c r="E153" s="2" t="n">
        <v>1</v>
      </c>
      <c r="F153" s="21" t="n">
        <f aca="false">INDEX('Scored Accounts'!$Q$2:$Q$301,MATCH($A153,'Scored Accounts'!$A$2:$A$301,0))</f>
        <v>0</v>
      </c>
      <c r="G153" s="2" t="str">
        <f aca="false">INDEX('Scored Accounts'!$R$2:$R$301,MATCH($A153,'Scored Accounts'!$A$2:$A$301,0))</f>
        <v>Low</v>
      </c>
      <c r="H153" s="2" t="str">
        <f aca="false">IF(OR(G153="High",G153="Medium"),"Broker-Reliant",IF(AND(G153="Low",B153="Account Managed"),"AM-Owned / Self-Serving",IF(AND(G153="Low",B153="Self Serve"),"Self-Serve","UNASSIGNED")))</f>
        <v>AM-Owned / Self-Serving</v>
      </c>
      <c r="I153" s="9" t="n">
        <v>273</v>
      </c>
      <c r="J153" s="2" t="str">
        <f aca="false">IF(I153&gt;=Assumptions!$B$35,"Key",IF(I153&gt;=Assumptions!$B$34,"Core","Tail"))</f>
        <v>Tail</v>
      </c>
      <c r="K153" s="9" t="n">
        <f aca="false">INDEX('Commercial View'!$R$2:$R$301,MATCH($A153,'Commercial View'!$A$2:$A$301,0))</f>
        <v>273</v>
      </c>
      <c r="L153" s="9" t="n">
        <f aca="false">INDEX('Commercial View'!$S$2:$S$301,MATCH($A153,'Commercial View'!$A$2:$A$301,0))</f>
        <v>0</v>
      </c>
      <c r="M153" s="17" t="n">
        <f aca="false">INDEX('Commercial View'!$T$2:$T$301,MATCH($A153,'Commercial View'!$A$2:$A$301,0))</f>
        <v>-1</v>
      </c>
      <c r="N153" s="2" t="str">
        <f aca="false">INDEX('Commercial View'!$U$2:$U$301,MATCH($A153,'Commercial View'!$A$2:$A$301,0))</f>
        <v>Lapsed</v>
      </c>
      <c r="O153" s="2" t="n">
        <v>1</v>
      </c>
      <c r="P153" s="2" t="n">
        <v>0</v>
      </c>
      <c r="Q153" s="2" t="n">
        <v>1</v>
      </c>
      <c r="R153" s="2" t="n">
        <v>26</v>
      </c>
      <c r="S153" s="2" t="n">
        <v>1</v>
      </c>
      <c r="T153" s="2" t="str">
        <f aca="false">IF(H153="Broker-Reliant",IF(J153="Tail","5. Cost-to-Serve / Low-Touch",IF(OR(N153="Growing",N153="Stable"),"1. Migration Candidate",IF(N153="Declining","2. Protect / Retain First",IF(N153="Lapsed","3. Win-Back / Verify",IF(N153="H2 Active / No H1 GMV","4. Establish / Re-establish / Observe","UNASSIGNED"))))),IF(G153="Low",IF(J153="Tail","9. Long-Tail Automated Nurture",IF(OR(N153="Growing",N153="Stable"),"6. Growth Opportunity",IF(N153="H2 Active / No H1 GMV","7. Onboard / Re-engage / Learn",IF(OR(N153="Declining",N153="Lapsed"),"8. Retention / Reactivation","UNASSIGNED")))),"UNASSIGNED"))</f>
        <v>9. Long-Tail Automated Nurture</v>
      </c>
      <c r="U153" s="10" t="b">
        <f aca="false">AND(T153="1. Migration Candidate",J153="Core",O153&gt;=Assumptions!$B$39,Q153&gt;=Assumptions!$B$40,NOT(Z153))</f>
        <v>0</v>
      </c>
      <c r="V153" s="2" t="n">
        <f aca="false">(AND(H153="Broker-Reliant",J153&lt;&gt;"Tail",OR(N153="Growing",N153="Stable")))*1+(AND(H153="Broker-Reliant",J153&lt;&gt;"Tail",N153="Declining"))*1+(AND(H153="Broker-Reliant",J153&lt;&gt;"Tail",N153="Lapsed"))*1+(AND(H153="Broker-Reliant",J153&lt;&gt;"Tail",N153="H2 Active / No H1 GMV"))*1+(AND(H153="Broker-Reliant",J153="Tail"))*1+(AND(G153="Low",J153&lt;&gt;"Tail",OR(N153="Growing",N153="Stable")))*1+(AND(G153="Low",J153&lt;&gt;"Tail",N153="H2 Active / No H1 GMV"))*1+(AND(G153="Low",J153&lt;&gt;"Tail",OR(N153="Declining",N153="Lapsed")))*1+(AND(G153="Low",J153="Tail"))*1</f>
        <v>1</v>
      </c>
      <c r="W153" s="2" t="n">
        <f aca="false">INDEX('Commercial View'!$V$2:$V$301,MATCH($A153,'Commercial View'!$A$2:$A$301,0))</f>
        <v>1</v>
      </c>
      <c r="X153" s="10" t="b">
        <f aca="false">O153&lt;=Assumptions!$B$30</f>
        <v>1</v>
      </c>
      <c r="Y153" s="10" t="b">
        <f aca="false">W153&lt;=1</f>
        <v>1</v>
      </c>
      <c r="Z153" s="10" t="b">
        <f aca="false">C153="Duplicate"</f>
        <v>0</v>
      </c>
      <c r="AA153" s="10" t="b">
        <f aca="false">C153=""</f>
        <v>1</v>
      </c>
      <c r="AB153" s="2" t="n">
        <f aca="false">IF(P153+Q153&gt;0,ROUND(P153/(P153+Q153)*100,0),"")</f>
        <v>0</v>
      </c>
      <c r="AC153" s="2" t="n">
        <f aca="false">IF(P153+Q153&gt;0,ROUND(E153-P153/(P153+Q153)*100,0),"")</f>
        <v>1</v>
      </c>
      <c r="AD153" s="10" t="b">
        <f aca="false">IF(AC153="",FALSE(),ABS(AC153)&gt;Assumptions!$B$41)</f>
        <v>0</v>
      </c>
      <c r="AE153" s="2" t="str">
        <f aca="false">IF(X153,"Low confidence (&lt;=2 orders); ","")&amp;IF(Y153,"Single-month history; ","")&amp;IF(Z153,"CRITICAL: Duplicate status; ","")&amp;IF(AA153,"Missing status; ","")&amp;IF(AD153,"Broker % vs counts gap "&amp;TEXT(AC153,"+0;-0")&amp;"pts; ","")</f>
        <v>Low confidence (&lt;=2 orders); Single-month history; Missing status; </v>
      </c>
      <c r="AF153" s="2" t="str">
        <f aca="false">IF(AND(K153=0,L153&gt;0),IF(D153&lt;=Assumptions!$B$47,"New Customer","Returned Customer"),"Existing Customer")</f>
        <v>Existing Customer</v>
      </c>
      <c r="AG153" s="10" t="b">
        <f aca="false">AND(T153="1. Migration Candidate",J153="Key")</f>
        <v>0</v>
      </c>
      <c r="AH153" s="10" t="b">
        <f aca="false">IF(AND(K153&gt;0,L153&gt;0),OR(ABS(M153-Assumptions!$B$36)&lt;=Assumptions!$B$46,ABS(M153+Assumptions!$B$36)&lt;=Assumptions!$B$46),FALSE())</f>
        <v>0</v>
      </c>
      <c r="AI153" s="9" t="n">
        <f aca="false">INDEX('Commercial View'!$L$2:$L$301,MATCH($A153,'Commercial View'!$A$2:$A$301,0))+INDEX('Commercial View'!$M$2:$M$301,MATCH($A153,'Commercial View'!$A$2:$A$301,0))</f>
        <v>0</v>
      </c>
      <c r="AJ153" s="2" t="str">
        <f aca="false">IF(AND(K153=0,AI153=0),"No activity ex-Feb",IF(AI153=0,"Lapsed",IF(K153=0,"H2 Active / No H1 GMV",IF((AI153/2)/(K153/3)-1&gt;=Assumptions!$B$36,"Growing",IF((AI153/2)/(K153/3)-1&lt;-Assumptions!$B$36,"Declining","Stable")))))</f>
        <v>Lapsed</v>
      </c>
      <c r="AK153" s="10" t="b">
        <f aca="false">IF(OR(N153="Growing",N153="Stable"),"Healthy",N153)&lt;&gt;IF(OR(AJ153="Growing",AJ153="Stable"),"Healthy",AJ153)</f>
        <v>0</v>
      </c>
      <c r="AL153" s="2" t="str">
        <f aca="false">IF(N153="Lapsed",IF(OR(O153&lt;=Assumptions!$B$48,W153&lt;=Assumptions!$B$49),"One-Off / Insufficient History — Verify","Established Buyer Lapsed"),"N/A")</f>
        <v>One-Off / Insufficient History — Verify</v>
      </c>
      <c r="AM153" s="2" t="n">
        <f aca="false">INDEX('Scored Accounts'!$M$2:$M$301,MATCH($A153,'Scored Accounts'!$A$2:$A$301,0))</f>
        <v>0</v>
      </c>
      <c r="AN153" s="2" t="n">
        <f aca="false">IF((P153/(P153+Q153)*100)&lt;=Assumptions!$B$13,0,IF((P153/(P153+Q153)*100)&lt;Assumptions!$B$14,25,IF((P153/(P153+Q153)*100)&lt;Assumptions!$B$15,50,IF((P153/(P153+Q153)*100)&lt;Assumptions!$B$16,75,100))))</f>
        <v>0</v>
      </c>
      <c r="AO153" s="21" t="n">
        <f aca="false">IF((P153/(P153+Q153)*100)&lt;=Assumptions!$B$8,0,AN153*Assumptions!$B$4+INDEX('Scored Accounts'!$N$2:$N$301,MATCH($A153,'Scored Accounts'!$A$2:$A$301,0))*Assumptions!$B$5+INDEX('Scored Accounts'!$O$2:$O$301,MATCH($A153,'Scored Accounts'!$A$2:$A$301,0))*Assumptions!$B$6)</f>
        <v>0</v>
      </c>
      <c r="AP153" s="2" t="str">
        <f aca="false">IF(AO153&gt;=Assumptions!$B$9,"High",IF(AO153&gt;=Assumptions!$B$10,"Medium","Low"))</f>
        <v>Low</v>
      </c>
      <c r="AQ153" s="10" t="b">
        <f aca="false">OR((E153&lt;=Assumptions!$B$8)&lt;&gt;((P153/(P153+Q153)*100)&lt;=Assumptions!$B$8),AM153&lt;&gt;AN153,G153&lt;&gt;AP153)</f>
        <v>0</v>
      </c>
      <c r="AR153" s="2" t="str">
        <f aca="false">IF(AP153&lt;&gt;"Low","Broker-Reliant",IF(B153="Account Managed","AM-Owned / Self-Serving","Self-Serve"))</f>
        <v>AM-Owned / Self-Serving</v>
      </c>
      <c r="AS153" s="2" t="str">
        <f aca="false">IF(AR153="Broker-Reliant",IF(J153="Tail","5. Cost-to-Serve / Low-Touch",IF(OR(N153="Growing",N153="Stable"),"1. Migration Candidate",IF(N153="Declining","2. Protect / Retain First",IF(N153="Lapsed","3. Win-Back / Verify",IF(N153="H2 Active / No H1 GMV","4. Establish / Re-establish / Observe","UNASSIGNED"))))),IF(AP153="Low",IF(J153="Tail","9. Long-Tail Automated Nurture",IF(OR(N153="Growing",N153="Stable"),"6. Growth Opportunity",IF(N153="H2 Active / No H1 GMV","7. Onboard / Re-engage / Learn",IF(OR(N153="Declining",N153="Lapsed"),"8. Retention / Reactivation","UNASSIGNED")))),"UNASSIGNED"))</f>
        <v>9. Long-Tail Automated Nurture</v>
      </c>
      <c r="AT153" s="10" t="b">
        <f aca="false">AS153&lt;&gt;T153</f>
        <v>0</v>
      </c>
      <c r="AU153" s="2" t="str">
        <f aca="false">IF(NOT(U153),"Not Eligible",IF(OR(AQ153,AH153,AK153,NOT(AND(W153&gt;=Assumptions!$B$83,O153&gt;=Assumptions!$B$84))),"Manual Review","Ready"))</f>
        <v>Not Eligible</v>
      </c>
      <c r="AV153" s="2" t="str">
        <f aca="false">IF(AG153,"Key account - human sign-off required; ","")&amp;IF(AH153,"Borderline momentum; ","")&amp;IF(AK153,"February-sensitive ("&amp;N153&amp;" -&gt; "&amp;AJ153&amp;"); ","")&amp;IF(AL153="One-Off / Insufficient History — Verify","Lapsed on thin history - verify; ","")&amp;IF(AQ153,"Material broker % inconsistency (implied tier "&amp;AP153&amp;"); ","")&amp;IF(AT153,"Implied broker % would move segment to "&amp;AS153&amp;"; ","")</f>
        <v>Lapsed on thin history - verify; </v>
      </c>
      <c r="AW153" s="10" t="b">
        <f aca="false">AND(G153="Low",J153="Tail",I153&gt;=Assumptions!$B$64,O153&gt;=Assumptions!$B$65,OR(N153="Growing",N153="Stable",AND(N153="H2 Active / No H1 GMV",W153&gt;=2)),OR(R153&gt;=Assumptions!$B$66,S153&gt;=Assumptions!$B$67))</f>
        <v>0</v>
      </c>
    </row>
    <row r="154" customFormat="false" ht="15" hidden="false" customHeight="false" outlineLevel="0" collapsed="false">
      <c r="A154" s="2" t="s">
        <v>814</v>
      </c>
      <c r="B154" s="2" t="s">
        <v>1571</v>
      </c>
      <c r="C154" s="2"/>
      <c r="D154" s="2" t="n">
        <v>6</v>
      </c>
      <c r="E154" s="2" t="n">
        <v>19</v>
      </c>
      <c r="F154" s="21" t="n">
        <f aca="false">INDEX('Scored Accounts'!$Q$2:$Q$301,MATCH($A154,'Scored Accounts'!$A$2:$A$301,0))</f>
        <v>0</v>
      </c>
      <c r="G154" s="2" t="str">
        <f aca="false">INDEX('Scored Accounts'!$R$2:$R$301,MATCH($A154,'Scored Accounts'!$A$2:$A$301,0))</f>
        <v>Low</v>
      </c>
      <c r="H154" s="2" t="str">
        <f aca="false">IF(OR(G154="High",G154="Medium"),"Broker-Reliant",IF(AND(G154="Low",B154="Account Managed"),"AM-Owned / Self-Serving",IF(AND(G154="Low",B154="Self Serve"),"Self-Serve","UNASSIGNED")))</f>
        <v>AM-Owned / Self-Serving</v>
      </c>
      <c r="I154" s="9" t="n">
        <v>272</v>
      </c>
      <c r="J154" s="2" t="str">
        <f aca="false">IF(I154&gt;=Assumptions!$B$35,"Key",IF(I154&gt;=Assumptions!$B$34,"Core","Tail"))</f>
        <v>Tail</v>
      </c>
      <c r="K154" s="9" t="n">
        <f aca="false">INDEX('Commercial View'!$R$2:$R$301,MATCH($A154,'Commercial View'!$A$2:$A$301,0))</f>
        <v>272</v>
      </c>
      <c r="L154" s="9" t="n">
        <f aca="false">INDEX('Commercial View'!$S$2:$S$301,MATCH($A154,'Commercial View'!$A$2:$A$301,0))</f>
        <v>0</v>
      </c>
      <c r="M154" s="17" t="n">
        <f aca="false">INDEX('Commercial View'!$T$2:$T$301,MATCH($A154,'Commercial View'!$A$2:$A$301,0))</f>
        <v>-1</v>
      </c>
      <c r="N154" s="2" t="str">
        <f aca="false">INDEX('Commercial View'!$U$2:$U$301,MATCH($A154,'Commercial View'!$A$2:$A$301,0))</f>
        <v>Lapsed</v>
      </c>
      <c r="O154" s="2" t="n">
        <v>1</v>
      </c>
      <c r="P154" s="2" t="n">
        <v>0</v>
      </c>
      <c r="Q154" s="2" t="n">
        <v>1</v>
      </c>
      <c r="R154" s="2" t="n">
        <v>11</v>
      </c>
      <c r="S154" s="2" t="n">
        <v>0</v>
      </c>
      <c r="T154" s="2" t="str">
        <f aca="false">IF(H154="Broker-Reliant",IF(J154="Tail","5. Cost-to-Serve / Low-Touch",IF(OR(N154="Growing",N154="Stable"),"1. Migration Candidate",IF(N154="Declining","2. Protect / Retain First",IF(N154="Lapsed","3. Win-Back / Verify",IF(N154="H2 Active / No H1 GMV","4. Establish / Re-establish / Observe","UNASSIGNED"))))),IF(G154="Low",IF(J154="Tail","9. Long-Tail Automated Nurture",IF(OR(N154="Growing",N154="Stable"),"6. Growth Opportunity",IF(N154="H2 Active / No H1 GMV","7. Onboard / Re-engage / Learn",IF(OR(N154="Declining",N154="Lapsed"),"8. Retention / Reactivation","UNASSIGNED")))),"UNASSIGNED"))</f>
        <v>9. Long-Tail Automated Nurture</v>
      </c>
      <c r="U154" s="10" t="b">
        <f aca="false">AND(T154="1. Migration Candidate",J154="Core",O154&gt;=Assumptions!$B$39,Q154&gt;=Assumptions!$B$40,NOT(Z154))</f>
        <v>0</v>
      </c>
      <c r="V154" s="2" t="n">
        <f aca="false">(AND(H154="Broker-Reliant",J154&lt;&gt;"Tail",OR(N154="Growing",N154="Stable")))*1+(AND(H154="Broker-Reliant",J154&lt;&gt;"Tail",N154="Declining"))*1+(AND(H154="Broker-Reliant",J154&lt;&gt;"Tail",N154="Lapsed"))*1+(AND(H154="Broker-Reliant",J154&lt;&gt;"Tail",N154="H2 Active / No H1 GMV"))*1+(AND(H154="Broker-Reliant",J154="Tail"))*1+(AND(G154="Low",J154&lt;&gt;"Tail",OR(N154="Growing",N154="Stable")))*1+(AND(G154="Low",J154&lt;&gt;"Tail",N154="H2 Active / No H1 GMV"))*1+(AND(G154="Low",J154&lt;&gt;"Tail",OR(N154="Declining",N154="Lapsed")))*1+(AND(G154="Low",J154="Tail"))*1</f>
        <v>1</v>
      </c>
      <c r="W154" s="2" t="n">
        <f aca="false">INDEX('Commercial View'!$V$2:$V$301,MATCH($A154,'Commercial View'!$A$2:$A$301,0))</f>
        <v>1</v>
      </c>
      <c r="X154" s="10" t="b">
        <f aca="false">O154&lt;=Assumptions!$B$30</f>
        <v>1</v>
      </c>
      <c r="Y154" s="10" t="b">
        <f aca="false">W154&lt;=1</f>
        <v>1</v>
      </c>
      <c r="Z154" s="10" t="b">
        <f aca="false">C154="Duplicate"</f>
        <v>0</v>
      </c>
      <c r="AA154" s="10" t="b">
        <f aca="false">C154=""</f>
        <v>1</v>
      </c>
      <c r="AB154" s="2" t="n">
        <f aca="false">IF(P154+Q154&gt;0,ROUND(P154/(P154+Q154)*100,0),"")</f>
        <v>0</v>
      </c>
      <c r="AC154" s="2" t="n">
        <f aca="false">IF(P154+Q154&gt;0,ROUND(E154-P154/(P154+Q154)*100,0),"")</f>
        <v>19</v>
      </c>
      <c r="AD154" s="10" t="b">
        <f aca="false">IF(AC154="",FALSE(),ABS(AC154)&gt;Assumptions!$B$41)</f>
        <v>1</v>
      </c>
      <c r="AE154" s="2" t="str">
        <f aca="false">IF(X154,"Low confidence (&lt;=2 orders); ","")&amp;IF(Y154,"Single-month history; ","")&amp;IF(Z154,"CRITICAL: Duplicate status; ","")&amp;IF(AA154,"Missing status; ","")&amp;IF(AD154,"Broker % vs counts gap "&amp;TEXT(AC154,"+0;-0")&amp;"pts; ","")</f>
        <v>Low confidence (&lt;=2 orders); Single-month history; Missing status; Broker % vs counts gap +19pts; </v>
      </c>
      <c r="AF154" s="2" t="str">
        <f aca="false">IF(AND(K154=0,L154&gt;0),IF(D154&lt;=Assumptions!$B$47,"New Customer","Returned Customer"),"Existing Customer")</f>
        <v>Existing Customer</v>
      </c>
      <c r="AG154" s="10" t="b">
        <f aca="false">AND(T154="1. Migration Candidate",J154="Key")</f>
        <v>0</v>
      </c>
      <c r="AH154" s="10" t="b">
        <f aca="false">IF(AND(K154&gt;0,L154&gt;0),OR(ABS(M154-Assumptions!$B$36)&lt;=Assumptions!$B$46,ABS(M154+Assumptions!$B$36)&lt;=Assumptions!$B$46),FALSE())</f>
        <v>0</v>
      </c>
      <c r="AI154" s="9" t="n">
        <f aca="false">INDEX('Commercial View'!$L$2:$L$301,MATCH($A154,'Commercial View'!$A$2:$A$301,0))+INDEX('Commercial View'!$M$2:$M$301,MATCH($A154,'Commercial View'!$A$2:$A$301,0))</f>
        <v>0</v>
      </c>
      <c r="AJ154" s="2" t="str">
        <f aca="false">IF(AND(K154=0,AI154=0),"No activity ex-Feb",IF(AI154=0,"Lapsed",IF(K154=0,"H2 Active / No H1 GMV",IF((AI154/2)/(K154/3)-1&gt;=Assumptions!$B$36,"Growing",IF((AI154/2)/(K154/3)-1&lt;-Assumptions!$B$36,"Declining","Stable")))))</f>
        <v>Lapsed</v>
      </c>
      <c r="AK154" s="10" t="b">
        <f aca="false">IF(OR(N154="Growing",N154="Stable"),"Healthy",N154)&lt;&gt;IF(OR(AJ154="Growing",AJ154="Stable"),"Healthy",AJ154)</f>
        <v>0</v>
      </c>
      <c r="AL154" s="2" t="str">
        <f aca="false">IF(N154="Lapsed",IF(OR(O154&lt;=Assumptions!$B$48,W154&lt;=Assumptions!$B$49),"One-Off / Insufficient History — Verify","Established Buyer Lapsed"),"N/A")</f>
        <v>One-Off / Insufficient History — Verify</v>
      </c>
      <c r="AM154" s="2" t="n">
        <f aca="false">INDEX('Scored Accounts'!$M$2:$M$301,MATCH($A154,'Scored Accounts'!$A$2:$A$301,0))</f>
        <v>0</v>
      </c>
      <c r="AN154" s="2" t="n">
        <f aca="false">IF((P154/(P154+Q154)*100)&lt;=Assumptions!$B$13,0,IF((P154/(P154+Q154)*100)&lt;Assumptions!$B$14,25,IF((P154/(P154+Q154)*100)&lt;Assumptions!$B$15,50,IF((P154/(P154+Q154)*100)&lt;Assumptions!$B$16,75,100))))</f>
        <v>0</v>
      </c>
      <c r="AO154" s="21" t="n">
        <f aca="false">IF((P154/(P154+Q154)*100)&lt;=Assumptions!$B$8,0,AN154*Assumptions!$B$4+INDEX('Scored Accounts'!$N$2:$N$301,MATCH($A154,'Scored Accounts'!$A$2:$A$301,0))*Assumptions!$B$5+INDEX('Scored Accounts'!$O$2:$O$301,MATCH($A154,'Scored Accounts'!$A$2:$A$301,0))*Assumptions!$B$6)</f>
        <v>0</v>
      </c>
      <c r="AP154" s="2" t="str">
        <f aca="false">IF(AO154&gt;=Assumptions!$B$9,"High",IF(AO154&gt;=Assumptions!$B$10,"Medium","Low"))</f>
        <v>Low</v>
      </c>
      <c r="AQ154" s="10" t="b">
        <f aca="false">OR((E154&lt;=Assumptions!$B$8)&lt;&gt;((P154/(P154+Q154)*100)&lt;=Assumptions!$B$8),AM154&lt;&gt;AN154,G154&lt;&gt;AP154)</f>
        <v>0</v>
      </c>
      <c r="AR154" s="2" t="str">
        <f aca="false">IF(AP154&lt;&gt;"Low","Broker-Reliant",IF(B154="Account Managed","AM-Owned / Self-Serving","Self-Serve"))</f>
        <v>AM-Owned / Self-Serving</v>
      </c>
      <c r="AS154" s="2" t="str">
        <f aca="false">IF(AR154="Broker-Reliant",IF(J154="Tail","5. Cost-to-Serve / Low-Touch",IF(OR(N154="Growing",N154="Stable"),"1. Migration Candidate",IF(N154="Declining","2. Protect / Retain First",IF(N154="Lapsed","3. Win-Back / Verify",IF(N154="H2 Active / No H1 GMV","4. Establish / Re-establish / Observe","UNASSIGNED"))))),IF(AP154="Low",IF(J154="Tail","9. Long-Tail Automated Nurture",IF(OR(N154="Growing",N154="Stable"),"6. Growth Opportunity",IF(N154="H2 Active / No H1 GMV","7. Onboard / Re-engage / Learn",IF(OR(N154="Declining",N154="Lapsed"),"8. Retention / Reactivation","UNASSIGNED")))),"UNASSIGNED"))</f>
        <v>9. Long-Tail Automated Nurture</v>
      </c>
      <c r="AT154" s="10" t="b">
        <f aca="false">AS154&lt;&gt;T154</f>
        <v>0</v>
      </c>
      <c r="AU154" s="2" t="str">
        <f aca="false">IF(NOT(U154),"Not Eligible",IF(OR(AQ154,AH154,AK154,NOT(AND(W154&gt;=Assumptions!$B$83,O154&gt;=Assumptions!$B$84))),"Manual Review","Ready"))</f>
        <v>Not Eligible</v>
      </c>
      <c r="AV154" s="2" t="str">
        <f aca="false">IF(AG154,"Key account - human sign-off required; ","")&amp;IF(AH154,"Borderline momentum; ","")&amp;IF(AK154,"February-sensitive ("&amp;N154&amp;" -&gt; "&amp;AJ154&amp;"); ","")&amp;IF(AL154="One-Off / Insufficient History — Verify","Lapsed on thin history - verify; ","")&amp;IF(AQ154,"Material broker % inconsistency (implied tier "&amp;AP154&amp;"); ","")&amp;IF(AT154,"Implied broker % would move segment to "&amp;AS154&amp;"; ","")</f>
        <v>Lapsed on thin history - verify; </v>
      </c>
      <c r="AW154" s="10" t="b">
        <f aca="false">AND(G154="Low",J154="Tail",I154&gt;=Assumptions!$B$64,O154&gt;=Assumptions!$B$65,OR(N154="Growing",N154="Stable",AND(N154="H2 Active / No H1 GMV",W154&gt;=2)),OR(R154&gt;=Assumptions!$B$66,S154&gt;=Assumptions!$B$67))</f>
        <v>0</v>
      </c>
    </row>
    <row r="155" customFormat="false" ht="15" hidden="false" customHeight="false" outlineLevel="0" collapsed="false">
      <c r="A155" s="2" t="s">
        <v>818</v>
      </c>
      <c r="B155" s="2" t="s">
        <v>1571</v>
      </c>
      <c r="C155" s="2" t="s">
        <v>1572</v>
      </c>
      <c r="D155" s="2" t="n">
        <v>6</v>
      </c>
      <c r="E155" s="2" t="n">
        <v>6</v>
      </c>
      <c r="F155" s="21" t="n">
        <f aca="false">INDEX('Scored Accounts'!$Q$2:$Q$301,MATCH($A155,'Scored Accounts'!$A$2:$A$301,0))</f>
        <v>0</v>
      </c>
      <c r="G155" s="2" t="str">
        <f aca="false">INDEX('Scored Accounts'!$R$2:$R$301,MATCH($A155,'Scored Accounts'!$A$2:$A$301,0))</f>
        <v>Low</v>
      </c>
      <c r="H155" s="2" t="str">
        <f aca="false">IF(OR(G155="High",G155="Medium"),"Broker-Reliant",IF(AND(G155="Low",B155="Account Managed"),"AM-Owned / Self-Serving",IF(AND(G155="Low",B155="Self Serve"),"Self-Serve","UNASSIGNED")))</f>
        <v>AM-Owned / Self-Serving</v>
      </c>
      <c r="I155" s="9" t="n">
        <v>269</v>
      </c>
      <c r="J155" s="2" t="str">
        <f aca="false">IF(I155&gt;=Assumptions!$B$35,"Key",IF(I155&gt;=Assumptions!$B$34,"Core","Tail"))</f>
        <v>Tail</v>
      </c>
      <c r="K155" s="9" t="n">
        <f aca="false">INDEX('Commercial View'!$R$2:$R$301,MATCH($A155,'Commercial View'!$A$2:$A$301,0))</f>
        <v>269</v>
      </c>
      <c r="L155" s="9" t="n">
        <f aca="false">INDEX('Commercial View'!$S$2:$S$301,MATCH($A155,'Commercial View'!$A$2:$A$301,0))</f>
        <v>0</v>
      </c>
      <c r="M155" s="17" t="n">
        <f aca="false">INDEX('Commercial View'!$T$2:$T$301,MATCH($A155,'Commercial View'!$A$2:$A$301,0))</f>
        <v>-1</v>
      </c>
      <c r="N155" s="2" t="str">
        <f aca="false">INDEX('Commercial View'!$U$2:$U$301,MATCH($A155,'Commercial View'!$A$2:$A$301,0))</f>
        <v>Lapsed</v>
      </c>
      <c r="O155" s="2" t="n">
        <v>1</v>
      </c>
      <c r="P155" s="2" t="n">
        <v>0</v>
      </c>
      <c r="Q155" s="2" t="n">
        <v>1</v>
      </c>
      <c r="R155" s="2" t="n">
        <v>12</v>
      </c>
      <c r="S155" s="2" t="n">
        <v>0</v>
      </c>
      <c r="T155" s="2" t="str">
        <f aca="false">IF(H155="Broker-Reliant",IF(J155="Tail","5. Cost-to-Serve / Low-Touch",IF(OR(N155="Growing",N155="Stable"),"1. Migration Candidate",IF(N155="Declining","2. Protect / Retain First",IF(N155="Lapsed","3. Win-Back / Verify",IF(N155="H2 Active / No H1 GMV","4. Establish / Re-establish / Observe","UNASSIGNED"))))),IF(G155="Low",IF(J155="Tail","9. Long-Tail Automated Nurture",IF(OR(N155="Growing",N155="Stable"),"6. Growth Opportunity",IF(N155="H2 Active / No H1 GMV","7. Onboard / Re-engage / Learn",IF(OR(N155="Declining",N155="Lapsed"),"8. Retention / Reactivation","UNASSIGNED")))),"UNASSIGNED"))</f>
        <v>9. Long-Tail Automated Nurture</v>
      </c>
      <c r="U155" s="10" t="b">
        <f aca="false">AND(T155="1. Migration Candidate",J155="Core",O155&gt;=Assumptions!$B$39,Q155&gt;=Assumptions!$B$40,NOT(Z155))</f>
        <v>0</v>
      </c>
      <c r="V155" s="2" t="n">
        <f aca="false">(AND(H155="Broker-Reliant",J155&lt;&gt;"Tail",OR(N155="Growing",N155="Stable")))*1+(AND(H155="Broker-Reliant",J155&lt;&gt;"Tail",N155="Declining"))*1+(AND(H155="Broker-Reliant",J155&lt;&gt;"Tail",N155="Lapsed"))*1+(AND(H155="Broker-Reliant",J155&lt;&gt;"Tail",N155="H2 Active / No H1 GMV"))*1+(AND(H155="Broker-Reliant",J155="Tail"))*1+(AND(G155="Low",J155&lt;&gt;"Tail",OR(N155="Growing",N155="Stable")))*1+(AND(G155="Low",J155&lt;&gt;"Tail",N155="H2 Active / No H1 GMV"))*1+(AND(G155="Low",J155&lt;&gt;"Tail",OR(N155="Declining",N155="Lapsed")))*1+(AND(G155="Low",J155="Tail"))*1</f>
        <v>1</v>
      </c>
      <c r="W155" s="2" t="n">
        <f aca="false">INDEX('Commercial View'!$V$2:$V$301,MATCH($A155,'Commercial View'!$A$2:$A$301,0))</f>
        <v>1</v>
      </c>
      <c r="X155" s="10" t="b">
        <f aca="false">O155&lt;=Assumptions!$B$30</f>
        <v>1</v>
      </c>
      <c r="Y155" s="10" t="b">
        <f aca="false">W155&lt;=1</f>
        <v>1</v>
      </c>
      <c r="Z155" s="10" t="b">
        <f aca="false">C155="Duplicate"</f>
        <v>0</v>
      </c>
      <c r="AA155" s="10" t="b">
        <f aca="false">C155=""</f>
        <v>0</v>
      </c>
      <c r="AB155" s="2" t="n">
        <f aca="false">IF(P155+Q155&gt;0,ROUND(P155/(P155+Q155)*100,0),"")</f>
        <v>0</v>
      </c>
      <c r="AC155" s="2" t="n">
        <f aca="false">IF(P155+Q155&gt;0,ROUND(E155-P155/(P155+Q155)*100,0),"")</f>
        <v>6</v>
      </c>
      <c r="AD155" s="10" t="b">
        <f aca="false">IF(AC155="",FALSE(),ABS(AC155)&gt;Assumptions!$B$41)</f>
        <v>0</v>
      </c>
      <c r="AE155" s="2" t="str">
        <f aca="false">IF(X155,"Low confidence (&lt;=2 orders); ","")&amp;IF(Y155,"Single-month history; ","")&amp;IF(Z155,"CRITICAL: Duplicate status; ","")&amp;IF(AA155,"Missing status; ","")&amp;IF(AD155,"Broker % vs counts gap "&amp;TEXT(AC155,"+0;-0")&amp;"pts; ","")</f>
        <v>Low confidence (&lt;=2 orders); Single-month history; </v>
      </c>
      <c r="AF155" s="2" t="str">
        <f aca="false">IF(AND(K155=0,L155&gt;0),IF(D155&lt;=Assumptions!$B$47,"New Customer","Returned Customer"),"Existing Customer")</f>
        <v>Existing Customer</v>
      </c>
      <c r="AG155" s="10" t="b">
        <f aca="false">AND(T155="1. Migration Candidate",J155="Key")</f>
        <v>0</v>
      </c>
      <c r="AH155" s="10" t="b">
        <f aca="false">IF(AND(K155&gt;0,L155&gt;0),OR(ABS(M155-Assumptions!$B$36)&lt;=Assumptions!$B$46,ABS(M155+Assumptions!$B$36)&lt;=Assumptions!$B$46),FALSE())</f>
        <v>0</v>
      </c>
      <c r="AI155" s="9" t="n">
        <f aca="false">INDEX('Commercial View'!$L$2:$L$301,MATCH($A155,'Commercial View'!$A$2:$A$301,0))+INDEX('Commercial View'!$M$2:$M$301,MATCH($A155,'Commercial View'!$A$2:$A$301,0))</f>
        <v>0</v>
      </c>
      <c r="AJ155" s="2" t="str">
        <f aca="false">IF(AND(K155=0,AI155=0),"No activity ex-Feb",IF(AI155=0,"Lapsed",IF(K155=0,"H2 Active / No H1 GMV",IF((AI155/2)/(K155/3)-1&gt;=Assumptions!$B$36,"Growing",IF((AI155/2)/(K155/3)-1&lt;-Assumptions!$B$36,"Declining","Stable")))))</f>
        <v>Lapsed</v>
      </c>
      <c r="AK155" s="10" t="b">
        <f aca="false">IF(OR(N155="Growing",N155="Stable"),"Healthy",N155)&lt;&gt;IF(OR(AJ155="Growing",AJ155="Stable"),"Healthy",AJ155)</f>
        <v>0</v>
      </c>
      <c r="AL155" s="2" t="str">
        <f aca="false">IF(N155="Lapsed",IF(OR(O155&lt;=Assumptions!$B$48,W155&lt;=Assumptions!$B$49),"One-Off / Insufficient History — Verify","Established Buyer Lapsed"),"N/A")</f>
        <v>One-Off / Insufficient History — Verify</v>
      </c>
      <c r="AM155" s="2" t="n">
        <f aca="false">INDEX('Scored Accounts'!$M$2:$M$301,MATCH($A155,'Scored Accounts'!$A$2:$A$301,0))</f>
        <v>0</v>
      </c>
      <c r="AN155" s="2" t="n">
        <f aca="false">IF((P155/(P155+Q155)*100)&lt;=Assumptions!$B$13,0,IF((P155/(P155+Q155)*100)&lt;Assumptions!$B$14,25,IF((P155/(P155+Q155)*100)&lt;Assumptions!$B$15,50,IF((P155/(P155+Q155)*100)&lt;Assumptions!$B$16,75,100))))</f>
        <v>0</v>
      </c>
      <c r="AO155" s="21" t="n">
        <f aca="false">IF((P155/(P155+Q155)*100)&lt;=Assumptions!$B$8,0,AN155*Assumptions!$B$4+INDEX('Scored Accounts'!$N$2:$N$301,MATCH($A155,'Scored Accounts'!$A$2:$A$301,0))*Assumptions!$B$5+INDEX('Scored Accounts'!$O$2:$O$301,MATCH($A155,'Scored Accounts'!$A$2:$A$301,0))*Assumptions!$B$6)</f>
        <v>0</v>
      </c>
      <c r="AP155" s="2" t="str">
        <f aca="false">IF(AO155&gt;=Assumptions!$B$9,"High",IF(AO155&gt;=Assumptions!$B$10,"Medium","Low"))</f>
        <v>Low</v>
      </c>
      <c r="AQ155" s="10" t="b">
        <f aca="false">OR((E155&lt;=Assumptions!$B$8)&lt;&gt;((P155/(P155+Q155)*100)&lt;=Assumptions!$B$8),AM155&lt;&gt;AN155,G155&lt;&gt;AP155)</f>
        <v>0</v>
      </c>
      <c r="AR155" s="2" t="str">
        <f aca="false">IF(AP155&lt;&gt;"Low","Broker-Reliant",IF(B155="Account Managed","AM-Owned / Self-Serving","Self-Serve"))</f>
        <v>AM-Owned / Self-Serving</v>
      </c>
      <c r="AS155" s="2" t="str">
        <f aca="false">IF(AR155="Broker-Reliant",IF(J155="Tail","5. Cost-to-Serve / Low-Touch",IF(OR(N155="Growing",N155="Stable"),"1. Migration Candidate",IF(N155="Declining","2. Protect / Retain First",IF(N155="Lapsed","3. Win-Back / Verify",IF(N155="H2 Active / No H1 GMV","4. Establish / Re-establish / Observe","UNASSIGNED"))))),IF(AP155="Low",IF(J155="Tail","9. Long-Tail Automated Nurture",IF(OR(N155="Growing",N155="Stable"),"6. Growth Opportunity",IF(N155="H2 Active / No H1 GMV","7. Onboard / Re-engage / Learn",IF(OR(N155="Declining",N155="Lapsed"),"8. Retention / Reactivation","UNASSIGNED")))),"UNASSIGNED"))</f>
        <v>9. Long-Tail Automated Nurture</v>
      </c>
      <c r="AT155" s="10" t="b">
        <f aca="false">AS155&lt;&gt;T155</f>
        <v>0</v>
      </c>
      <c r="AU155" s="2" t="str">
        <f aca="false">IF(NOT(U155),"Not Eligible",IF(OR(AQ155,AH155,AK155,NOT(AND(W155&gt;=Assumptions!$B$83,O155&gt;=Assumptions!$B$84))),"Manual Review","Ready"))</f>
        <v>Not Eligible</v>
      </c>
      <c r="AV155" s="2" t="str">
        <f aca="false">IF(AG155,"Key account - human sign-off required; ","")&amp;IF(AH155,"Borderline momentum; ","")&amp;IF(AK155,"February-sensitive ("&amp;N155&amp;" -&gt; "&amp;AJ155&amp;"); ","")&amp;IF(AL155="One-Off / Insufficient History — Verify","Lapsed on thin history - verify; ","")&amp;IF(AQ155,"Material broker % inconsistency (implied tier "&amp;AP155&amp;"); ","")&amp;IF(AT155,"Implied broker % would move segment to "&amp;AS155&amp;"; ","")</f>
        <v>Lapsed on thin history - verify; </v>
      </c>
      <c r="AW155" s="10" t="b">
        <f aca="false">AND(G155="Low",J155="Tail",I155&gt;=Assumptions!$B$64,O155&gt;=Assumptions!$B$65,OR(N155="Growing",N155="Stable",AND(N155="H2 Active / No H1 GMV",W155&gt;=2)),OR(R155&gt;=Assumptions!$B$66,S155&gt;=Assumptions!$B$67))</f>
        <v>0</v>
      </c>
    </row>
    <row r="156" customFormat="false" ht="15" hidden="false" customHeight="false" outlineLevel="0" collapsed="false">
      <c r="A156" s="2" t="s">
        <v>822</v>
      </c>
      <c r="B156" s="2" t="s">
        <v>1571</v>
      </c>
      <c r="C156" s="2" t="s">
        <v>1572</v>
      </c>
      <c r="D156" s="2" t="n">
        <v>12</v>
      </c>
      <c r="E156" s="2" t="n">
        <v>18</v>
      </c>
      <c r="F156" s="21" t="n">
        <f aca="false">INDEX('Scored Accounts'!$Q$2:$Q$301,MATCH($A156,'Scored Accounts'!$A$2:$A$301,0))</f>
        <v>0</v>
      </c>
      <c r="G156" s="2" t="str">
        <f aca="false">INDEX('Scored Accounts'!$R$2:$R$301,MATCH($A156,'Scored Accounts'!$A$2:$A$301,0))</f>
        <v>Low</v>
      </c>
      <c r="H156" s="2" t="str">
        <f aca="false">IF(OR(G156="High",G156="Medium"),"Broker-Reliant",IF(AND(G156="Low",B156="Account Managed"),"AM-Owned / Self-Serving",IF(AND(G156="Low",B156="Self Serve"),"Self-Serve","UNASSIGNED")))</f>
        <v>AM-Owned / Self-Serving</v>
      </c>
      <c r="I156" s="9" t="n">
        <v>261</v>
      </c>
      <c r="J156" s="2" t="str">
        <f aca="false">IF(I156&gt;=Assumptions!$B$35,"Key",IF(I156&gt;=Assumptions!$B$34,"Core","Tail"))</f>
        <v>Tail</v>
      </c>
      <c r="K156" s="9" t="n">
        <f aca="false">INDEX('Commercial View'!$R$2:$R$301,MATCH($A156,'Commercial View'!$A$2:$A$301,0))</f>
        <v>261</v>
      </c>
      <c r="L156" s="9" t="n">
        <f aca="false">INDEX('Commercial View'!$S$2:$S$301,MATCH($A156,'Commercial View'!$A$2:$A$301,0))</f>
        <v>0</v>
      </c>
      <c r="M156" s="17" t="n">
        <f aca="false">INDEX('Commercial View'!$T$2:$T$301,MATCH($A156,'Commercial View'!$A$2:$A$301,0))</f>
        <v>-1</v>
      </c>
      <c r="N156" s="2" t="str">
        <f aca="false">INDEX('Commercial View'!$U$2:$U$301,MATCH($A156,'Commercial View'!$A$2:$A$301,0))</f>
        <v>Lapsed</v>
      </c>
      <c r="O156" s="2" t="n">
        <v>1</v>
      </c>
      <c r="P156" s="2" t="n">
        <v>0</v>
      </c>
      <c r="Q156" s="2" t="n">
        <v>1</v>
      </c>
      <c r="R156" s="2" t="n">
        <v>5</v>
      </c>
      <c r="S156" s="2" t="n">
        <v>3</v>
      </c>
      <c r="T156" s="2" t="str">
        <f aca="false">IF(H156="Broker-Reliant",IF(J156="Tail","5. Cost-to-Serve / Low-Touch",IF(OR(N156="Growing",N156="Stable"),"1. Migration Candidate",IF(N156="Declining","2. Protect / Retain First",IF(N156="Lapsed","3. Win-Back / Verify",IF(N156="H2 Active / No H1 GMV","4. Establish / Re-establish / Observe","UNASSIGNED"))))),IF(G156="Low",IF(J156="Tail","9. Long-Tail Automated Nurture",IF(OR(N156="Growing",N156="Stable"),"6. Growth Opportunity",IF(N156="H2 Active / No H1 GMV","7. Onboard / Re-engage / Learn",IF(OR(N156="Declining",N156="Lapsed"),"8. Retention / Reactivation","UNASSIGNED")))),"UNASSIGNED"))</f>
        <v>9. Long-Tail Automated Nurture</v>
      </c>
      <c r="U156" s="10" t="b">
        <f aca="false">AND(T156="1. Migration Candidate",J156="Core",O156&gt;=Assumptions!$B$39,Q156&gt;=Assumptions!$B$40,NOT(Z156))</f>
        <v>0</v>
      </c>
      <c r="V156" s="2" t="n">
        <f aca="false">(AND(H156="Broker-Reliant",J156&lt;&gt;"Tail",OR(N156="Growing",N156="Stable")))*1+(AND(H156="Broker-Reliant",J156&lt;&gt;"Tail",N156="Declining"))*1+(AND(H156="Broker-Reliant",J156&lt;&gt;"Tail",N156="Lapsed"))*1+(AND(H156="Broker-Reliant",J156&lt;&gt;"Tail",N156="H2 Active / No H1 GMV"))*1+(AND(H156="Broker-Reliant",J156="Tail"))*1+(AND(G156="Low",J156&lt;&gt;"Tail",OR(N156="Growing",N156="Stable")))*1+(AND(G156="Low",J156&lt;&gt;"Tail",N156="H2 Active / No H1 GMV"))*1+(AND(G156="Low",J156&lt;&gt;"Tail",OR(N156="Declining",N156="Lapsed")))*1+(AND(G156="Low",J156="Tail"))*1</f>
        <v>1</v>
      </c>
      <c r="W156" s="2" t="n">
        <f aca="false">INDEX('Commercial View'!$V$2:$V$301,MATCH($A156,'Commercial View'!$A$2:$A$301,0))</f>
        <v>1</v>
      </c>
      <c r="X156" s="10" t="b">
        <f aca="false">O156&lt;=Assumptions!$B$30</f>
        <v>1</v>
      </c>
      <c r="Y156" s="10" t="b">
        <f aca="false">W156&lt;=1</f>
        <v>1</v>
      </c>
      <c r="Z156" s="10" t="b">
        <f aca="false">C156="Duplicate"</f>
        <v>0</v>
      </c>
      <c r="AA156" s="10" t="b">
        <f aca="false">C156=""</f>
        <v>0</v>
      </c>
      <c r="AB156" s="2" t="n">
        <f aca="false">IF(P156+Q156&gt;0,ROUND(P156/(P156+Q156)*100,0),"")</f>
        <v>0</v>
      </c>
      <c r="AC156" s="2" t="n">
        <f aca="false">IF(P156+Q156&gt;0,ROUND(E156-P156/(P156+Q156)*100,0),"")</f>
        <v>18</v>
      </c>
      <c r="AD156" s="10" t="b">
        <f aca="false">IF(AC156="",FALSE(),ABS(AC156)&gt;Assumptions!$B$41)</f>
        <v>1</v>
      </c>
      <c r="AE156" s="2" t="str">
        <f aca="false">IF(X156,"Low confidence (&lt;=2 orders); ","")&amp;IF(Y156,"Single-month history; ","")&amp;IF(Z156,"CRITICAL: Duplicate status; ","")&amp;IF(AA156,"Missing status; ","")&amp;IF(AD156,"Broker % vs counts gap "&amp;TEXT(AC156,"+0;-0")&amp;"pts; ","")</f>
        <v>Low confidence (&lt;=2 orders); Single-month history; Broker % vs counts gap +18pts; </v>
      </c>
      <c r="AF156" s="2" t="str">
        <f aca="false">IF(AND(K156=0,L156&gt;0),IF(D156&lt;=Assumptions!$B$47,"New Customer","Returned Customer"),"Existing Customer")</f>
        <v>Existing Customer</v>
      </c>
      <c r="AG156" s="10" t="b">
        <f aca="false">AND(T156="1. Migration Candidate",J156="Key")</f>
        <v>0</v>
      </c>
      <c r="AH156" s="10" t="b">
        <f aca="false">IF(AND(K156&gt;0,L156&gt;0),OR(ABS(M156-Assumptions!$B$36)&lt;=Assumptions!$B$46,ABS(M156+Assumptions!$B$36)&lt;=Assumptions!$B$46),FALSE())</f>
        <v>0</v>
      </c>
      <c r="AI156" s="9" t="n">
        <f aca="false">INDEX('Commercial View'!$L$2:$L$301,MATCH($A156,'Commercial View'!$A$2:$A$301,0))+INDEX('Commercial View'!$M$2:$M$301,MATCH($A156,'Commercial View'!$A$2:$A$301,0))</f>
        <v>0</v>
      </c>
      <c r="AJ156" s="2" t="str">
        <f aca="false">IF(AND(K156=0,AI156=0),"No activity ex-Feb",IF(AI156=0,"Lapsed",IF(K156=0,"H2 Active / No H1 GMV",IF((AI156/2)/(K156/3)-1&gt;=Assumptions!$B$36,"Growing",IF((AI156/2)/(K156/3)-1&lt;-Assumptions!$B$36,"Declining","Stable")))))</f>
        <v>Lapsed</v>
      </c>
      <c r="AK156" s="10" t="b">
        <f aca="false">IF(OR(N156="Growing",N156="Stable"),"Healthy",N156)&lt;&gt;IF(OR(AJ156="Growing",AJ156="Stable"),"Healthy",AJ156)</f>
        <v>0</v>
      </c>
      <c r="AL156" s="2" t="str">
        <f aca="false">IF(N156="Lapsed",IF(OR(O156&lt;=Assumptions!$B$48,W156&lt;=Assumptions!$B$49),"One-Off / Insufficient History — Verify","Established Buyer Lapsed"),"N/A")</f>
        <v>One-Off / Insufficient History — Verify</v>
      </c>
      <c r="AM156" s="2" t="n">
        <f aca="false">INDEX('Scored Accounts'!$M$2:$M$301,MATCH($A156,'Scored Accounts'!$A$2:$A$301,0))</f>
        <v>0</v>
      </c>
      <c r="AN156" s="2" t="n">
        <f aca="false">IF((P156/(P156+Q156)*100)&lt;=Assumptions!$B$13,0,IF((P156/(P156+Q156)*100)&lt;Assumptions!$B$14,25,IF((P156/(P156+Q156)*100)&lt;Assumptions!$B$15,50,IF((P156/(P156+Q156)*100)&lt;Assumptions!$B$16,75,100))))</f>
        <v>0</v>
      </c>
      <c r="AO156" s="21" t="n">
        <f aca="false">IF((P156/(P156+Q156)*100)&lt;=Assumptions!$B$8,0,AN156*Assumptions!$B$4+INDEX('Scored Accounts'!$N$2:$N$301,MATCH($A156,'Scored Accounts'!$A$2:$A$301,0))*Assumptions!$B$5+INDEX('Scored Accounts'!$O$2:$O$301,MATCH($A156,'Scored Accounts'!$A$2:$A$301,0))*Assumptions!$B$6)</f>
        <v>0</v>
      </c>
      <c r="AP156" s="2" t="str">
        <f aca="false">IF(AO156&gt;=Assumptions!$B$9,"High",IF(AO156&gt;=Assumptions!$B$10,"Medium","Low"))</f>
        <v>Low</v>
      </c>
      <c r="AQ156" s="10" t="b">
        <f aca="false">OR((E156&lt;=Assumptions!$B$8)&lt;&gt;((P156/(P156+Q156)*100)&lt;=Assumptions!$B$8),AM156&lt;&gt;AN156,G156&lt;&gt;AP156)</f>
        <v>0</v>
      </c>
      <c r="AR156" s="2" t="str">
        <f aca="false">IF(AP156&lt;&gt;"Low","Broker-Reliant",IF(B156="Account Managed","AM-Owned / Self-Serving","Self-Serve"))</f>
        <v>AM-Owned / Self-Serving</v>
      </c>
      <c r="AS156" s="2" t="str">
        <f aca="false">IF(AR156="Broker-Reliant",IF(J156="Tail","5. Cost-to-Serve / Low-Touch",IF(OR(N156="Growing",N156="Stable"),"1. Migration Candidate",IF(N156="Declining","2. Protect / Retain First",IF(N156="Lapsed","3. Win-Back / Verify",IF(N156="H2 Active / No H1 GMV","4. Establish / Re-establish / Observe","UNASSIGNED"))))),IF(AP156="Low",IF(J156="Tail","9. Long-Tail Automated Nurture",IF(OR(N156="Growing",N156="Stable"),"6. Growth Opportunity",IF(N156="H2 Active / No H1 GMV","7. Onboard / Re-engage / Learn",IF(OR(N156="Declining",N156="Lapsed"),"8. Retention / Reactivation","UNASSIGNED")))),"UNASSIGNED"))</f>
        <v>9. Long-Tail Automated Nurture</v>
      </c>
      <c r="AT156" s="10" t="b">
        <f aca="false">AS156&lt;&gt;T156</f>
        <v>0</v>
      </c>
      <c r="AU156" s="2" t="str">
        <f aca="false">IF(NOT(U156),"Not Eligible",IF(OR(AQ156,AH156,AK156,NOT(AND(W156&gt;=Assumptions!$B$83,O156&gt;=Assumptions!$B$84))),"Manual Review","Ready"))</f>
        <v>Not Eligible</v>
      </c>
      <c r="AV156" s="2" t="str">
        <f aca="false">IF(AG156,"Key account - human sign-off required; ","")&amp;IF(AH156,"Borderline momentum; ","")&amp;IF(AK156,"February-sensitive ("&amp;N156&amp;" -&gt; "&amp;AJ156&amp;"); ","")&amp;IF(AL156="One-Off / Insufficient History — Verify","Lapsed on thin history - verify; ","")&amp;IF(AQ156,"Material broker % inconsistency (implied tier "&amp;AP156&amp;"); ","")&amp;IF(AT156,"Implied broker % would move segment to "&amp;AS156&amp;"; ","")</f>
        <v>Lapsed on thin history - verify; </v>
      </c>
      <c r="AW156" s="10" t="b">
        <f aca="false">AND(G156="Low",J156="Tail",I156&gt;=Assumptions!$B$64,O156&gt;=Assumptions!$B$65,OR(N156="Growing",N156="Stable",AND(N156="H2 Active / No H1 GMV",W156&gt;=2)),OR(R156&gt;=Assumptions!$B$66,S156&gt;=Assumptions!$B$67))</f>
        <v>0</v>
      </c>
    </row>
    <row r="157" customFormat="false" ht="15" hidden="false" customHeight="false" outlineLevel="0" collapsed="false">
      <c r="A157" s="2" t="s">
        <v>826</v>
      </c>
      <c r="B157" s="2" t="s">
        <v>1571</v>
      </c>
      <c r="C157" s="2" t="s">
        <v>1572</v>
      </c>
      <c r="D157" s="2" t="n">
        <v>23</v>
      </c>
      <c r="E157" s="2" t="n">
        <v>11</v>
      </c>
      <c r="F157" s="21" t="n">
        <f aca="false">INDEX('Scored Accounts'!$Q$2:$Q$301,MATCH($A157,'Scored Accounts'!$A$2:$A$301,0))</f>
        <v>0</v>
      </c>
      <c r="G157" s="2" t="str">
        <f aca="false">INDEX('Scored Accounts'!$R$2:$R$301,MATCH($A157,'Scored Accounts'!$A$2:$A$301,0))</f>
        <v>Low</v>
      </c>
      <c r="H157" s="2" t="str">
        <f aca="false">IF(OR(G157="High",G157="Medium"),"Broker-Reliant",IF(AND(G157="Low",B157="Account Managed"),"AM-Owned / Self-Serving",IF(AND(G157="Low",B157="Self Serve"),"Self-Serve","UNASSIGNED")))</f>
        <v>AM-Owned / Self-Serving</v>
      </c>
      <c r="I157" s="9" t="n">
        <v>255</v>
      </c>
      <c r="J157" s="2" t="str">
        <f aca="false">IF(I157&gt;=Assumptions!$B$35,"Key",IF(I157&gt;=Assumptions!$B$34,"Core","Tail"))</f>
        <v>Tail</v>
      </c>
      <c r="K157" s="9" t="n">
        <f aca="false">INDEX('Commercial View'!$R$2:$R$301,MATCH($A157,'Commercial View'!$A$2:$A$301,0))</f>
        <v>0</v>
      </c>
      <c r="L157" s="9" t="n">
        <f aca="false">INDEX('Commercial View'!$S$2:$S$301,MATCH($A157,'Commercial View'!$A$2:$A$301,0))</f>
        <v>255</v>
      </c>
      <c r="M157" s="17" t="str">
        <f aca="false">INDEX('Commercial View'!$T$2:$T$301,MATCH($A157,'Commercial View'!$A$2:$A$301,0))</f>
        <v/>
      </c>
      <c r="N157" s="2" t="str">
        <f aca="false">INDEX('Commercial View'!$U$2:$U$301,MATCH($A157,'Commercial View'!$A$2:$A$301,0))</f>
        <v>H2 Active / No H1 GMV</v>
      </c>
      <c r="O157" s="2" t="n">
        <v>1</v>
      </c>
      <c r="P157" s="2" t="n">
        <v>0</v>
      </c>
      <c r="Q157" s="2" t="n">
        <v>1</v>
      </c>
      <c r="R157" s="2" t="n">
        <v>8</v>
      </c>
      <c r="S157" s="2" t="n">
        <v>3</v>
      </c>
      <c r="T157" s="2" t="str">
        <f aca="false">IF(H157="Broker-Reliant",IF(J157="Tail","5. Cost-to-Serve / Low-Touch",IF(OR(N157="Growing",N157="Stable"),"1. Migration Candidate",IF(N157="Declining","2. Protect / Retain First",IF(N157="Lapsed","3. Win-Back / Verify",IF(N157="H2 Active / No H1 GMV","4. Establish / Re-establish / Observe","UNASSIGNED"))))),IF(G157="Low",IF(J157="Tail","9. Long-Tail Automated Nurture",IF(OR(N157="Growing",N157="Stable"),"6. Growth Opportunity",IF(N157="H2 Active / No H1 GMV","7. Onboard / Re-engage / Learn",IF(OR(N157="Declining",N157="Lapsed"),"8. Retention / Reactivation","UNASSIGNED")))),"UNASSIGNED"))</f>
        <v>9. Long-Tail Automated Nurture</v>
      </c>
      <c r="U157" s="10" t="b">
        <f aca="false">AND(T157="1. Migration Candidate",J157="Core",O157&gt;=Assumptions!$B$39,Q157&gt;=Assumptions!$B$40,NOT(Z157))</f>
        <v>0</v>
      </c>
      <c r="V157" s="2" t="n">
        <f aca="false">(AND(H157="Broker-Reliant",J157&lt;&gt;"Tail",OR(N157="Growing",N157="Stable")))*1+(AND(H157="Broker-Reliant",J157&lt;&gt;"Tail",N157="Declining"))*1+(AND(H157="Broker-Reliant",J157&lt;&gt;"Tail",N157="Lapsed"))*1+(AND(H157="Broker-Reliant",J157&lt;&gt;"Tail",N157="H2 Active / No H1 GMV"))*1+(AND(H157="Broker-Reliant",J157="Tail"))*1+(AND(G157="Low",J157&lt;&gt;"Tail",OR(N157="Growing",N157="Stable")))*1+(AND(G157="Low",J157&lt;&gt;"Tail",N157="H2 Active / No H1 GMV"))*1+(AND(G157="Low",J157&lt;&gt;"Tail",OR(N157="Declining",N157="Lapsed")))*1+(AND(G157="Low",J157="Tail"))*1</f>
        <v>1</v>
      </c>
      <c r="W157" s="2" t="n">
        <f aca="false">INDEX('Commercial View'!$V$2:$V$301,MATCH($A157,'Commercial View'!$A$2:$A$301,0))</f>
        <v>1</v>
      </c>
      <c r="X157" s="10" t="b">
        <f aca="false">O157&lt;=Assumptions!$B$30</f>
        <v>1</v>
      </c>
      <c r="Y157" s="10" t="b">
        <f aca="false">W157&lt;=1</f>
        <v>1</v>
      </c>
      <c r="Z157" s="10" t="b">
        <f aca="false">C157="Duplicate"</f>
        <v>0</v>
      </c>
      <c r="AA157" s="10" t="b">
        <f aca="false">C157=""</f>
        <v>0</v>
      </c>
      <c r="AB157" s="2" t="n">
        <f aca="false">IF(P157+Q157&gt;0,ROUND(P157/(P157+Q157)*100,0),"")</f>
        <v>0</v>
      </c>
      <c r="AC157" s="2" t="n">
        <f aca="false">IF(P157+Q157&gt;0,ROUND(E157-P157/(P157+Q157)*100,0),"")</f>
        <v>11</v>
      </c>
      <c r="AD157" s="10" t="b">
        <f aca="false">IF(AC157="",FALSE(),ABS(AC157)&gt;Assumptions!$B$41)</f>
        <v>1</v>
      </c>
      <c r="AE157" s="2" t="str">
        <f aca="false">IF(X157,"Low confidence (&lt;=2 orders); ","")&amp;IF(Y157,"Single-month history; ","")&amp;IF(Z157,"CRITICAL: Duplicate status; ","")&amp;IF(AA157,"Missing status; ","")&amp;IF(AD157,"Broker % vs counts gap "&amp;TEXT(AC157,"+0;-0")&amp;"pts; ","")</f>
        <v>Low confidence (&lt;=2 orders); Single-month history; Broker % vs counts gap +11pts; </v>
      </c>
      <c r="AF157" s="2" t="str">
        <f aca="false">IF(AND(K157=0,L157&gt;0),IF(D157&lt;=Assumptions!$B$47,"New Customer","Returned Customer"),"Existing Customer")</f>
        <v>Returned Customer</v>
      </c>
      <c r="AG157" s="10" t="b">
        <f aca="false">AND(T157="1. Migration Candidate",J157="Key")</f>
        <v>0</v>
      </c>
      <c r="AH157" s="10" t="b">
        <f aca="false">IF(AND(K157&gt;0,L157&gt;0),OR(ABS(M157-Assumptions!$B$36)&lt;=Assumptions!$B$46,ABS(M157+Assumptions!$B$36)&lt;=Assumptions!$B$46),FALSE())</f>
        <v>0</v>
      </c>
      <c r="AI157" s="9" t="n">
        <f aca="false">INDEX('Commercial View'!$L$2:$L$301,MATCH($A157,'Commercial View'!$A$2:$A$301,0))+INDEX('Commercial View'!$M$2:$M$301,MATCH($A157,'Commercial View'!$A$2:$A$301,0))</f>
        <v>0</v>
      </c>
      <c r="AJ157" s="2" t="str">
        <f aca="false">IF(AND(K157=0,AI157=0),"No activity ex-Feb",IF(AI157=0,"Lapsed",IF(K157=0,"H2 Active / No H1 GMV",IF((AI157/2)/(K157/3)-1&gt;=Assumptions!$B$36,"Growing",IF((AI157/2)/(K157/3)-1&lt;-Assumptions!$B$36,"Declining","Stable")))))</f>
        <v>No activity ex-Feb</v>
      </c>
      <c r="AK157" s="10" t="b">
        <f aca="false">IF(OR(N157="Growing",N157="Stable"),"Healthy",N157)&lt;&gt;IF(OR(AJ157="Growing",AJ157="Stable"),"Healthy",AJ157)</f>
        <v>1</v>
      </c>
      <c r="AL157" s="2" t="str">
        <f aca="false">IF(N157="Lapsed",IF(OR(O157&lt;=Assumptions!$B$48,W157&lt;=Assumptions!$B$49),"One-Off / Insufficient History — Verify","Established Buyer Lapsed"),"N/A")</f>
        <v>N/A</v>
      </c>
      <c r="AM157" s="2" t="n">
        <f aca="false">INDEX('Scored Accounts'!$M$2:$M$301,MATCH($A157,'Scored Accounts'!$A$2:$A$301,0))</f>
        <v>0</v>
      </c>
      <c r="AN157" s="2" t="n">
        <f aca="false">IF((P157/(P157+Q157)*100)&lt;=Assumptions!$B$13,0,IF((P157/(P157+Q157)*100)&lt;Assumptions!$B$14,25,IF((P157/(P157+Q157)*100)&lt;Assumptions!$B$15,50,IF((P157/(P157+Q157)*100)&lt;Assumptions!$B$16,75,100))))</f>
        <v>0</v>
      </c>
      <c r="AO157" s="21" t="n">
        <f aca="false">IF((P157/(P157+Q157)*100)&lt;=Assumptions!$B$8,0,AN157*Assumptions!$B$4+INDEX('Scored Accounts'!$N$2:$N$301,MATCH($A157,'Scored Accounts'!$A$2:$A$301,0))*Assumptions!$B$5+INDEX('Scored Accounts'!$O$2:$O$301,MATCH($A157,'Scored Accounts'!$A$2:$A$301,0))*Assumptions!$B$6)</f>
        <v>0</v>
      </c>
      <c r="AP157" s="2" t="str">
        <f aca="false">IF(AO157&gt;=Assumptions!$B$9,"High",IF(AO157&gt;=Assumptions!$B$10,"Medium","Low"))</f>
        <v>Low</v>
      </c>
      <c r="AQ157" s="10" t="b">
        <f aca="false">OR((E157&lt;=Assumptions!$B$8)&lt;&gt;((P157/(P157+Q157)*100)&lt;=Assumptions!$B$8),AM157&lt;&gt;AN157,G157&lt;&gt;AP157)</f>
        <v>0</v>
      </c>
      <c r="AR157" s="2" t="str">
        <f aca="false">IF(AP157&lt;&gt;"Low","Broker-Reliant",IF(B157="Account Managed","AM-Owned / Self-Serving","Self-Serve"))</f>
        <v>AM-Owned / Self-Serving</v>
      </c>
      <c r="AS157" s="2" t="str">
        <f aca="false">IF(AR157="Broker-Reliant",IF(J157="Tail","5. Cost-to-Serve / Low-Touch",IF(OR(N157="Growing",N157="Stable"),"1. Migration Candidate",IF(N157="Declining","2. Protect / Retain First",IF(N157="Lapsed","3. Win-Back / Verify",IF(N157="H2 Active / No H1 GMV","4. Establish / Re-establish / Observe","UNASSIGNED"))))),IF(AP157="Low",IF(J157="Tail","9. Long-Tail Automated Nurture",IF(OR(N157="Growing",N157="Stable"),"6. Growth Opportunity",IF(N157="H2 Active / No H1 GMV","7. Onboard / Re-engage / Learn",IF(OR(N157="Declining",N157="Lapsed"),"8. Retention / Reactivation","UNASSIGNED")))),"UNASSIGNED"))</f>
        <v>9. Long-Tail Automated Nurture</v>
      </c>
      <c r="AT157" s="10" t="b">
        <f aca="false">AS157&lt;&gt;T157</f>
        <v>0</v>
      </c>
      <c r="AU157" s="2" t="str">
        <f aca="false">IF(NOT(U157),"Not Eligible",IF(OR(AQ157,AH157,AK157,NOT(AND(W157&gt;=Assumptions!$B$83,O157&gt;=Assumptions!$B$84))),"Manual Review","Ready"))</f>
        <v>Not Eligible</v>
      </c>
      <c r="AV157" s="2" t="str">
        <f aca="false">IF(AG157,"Key account - human sign-off required; ","")&amp;IF(AH157,"Borderline momentum; ","")&amp;IF(AK157,"February-sensitive ("&amp;N157&amp;" -&gt; "&amp;AJ157&amp;"); ","")&amp;IF(AL157="One-Off / Insufficient History — Verify","Lapsed on thin history - verify; ","")&amp;IF(AQ157,"Material broker % inconsistency (implied tier "&amp;AP157&amp;"); ","")&amp;IF(AT157,"Implied broker % would move segment to "&amp;AS157&amp;"; ","")</f>
        <v>February-sensitive (H2 Active / No H1 GMV -&gt; No activity ex-Feb); </v>
      </c>
      <c r="AW157" s="10" t="b">
        <f aca="false">AND(G157="Low",J157="Tail",I157&gt;=Assumptions!$B$64,O157&gt;=Assumptions!$B$65,OR(N157="Growing",N157="Stable",AND(N157="H2 Active / No H1 GMV",W157&gt;=2)),OR(R157&gt;=Assumptions!$B$66,S157&gt;=Assumptions!$B$67))</f>
        <v>0</v>
      </c>
    </row>
    <row r="158" customFormat="false" ht="15" hidden="false" customHeight="false" outlineLevel="0" collapsed="false">
      <c r="A158" s="2" t="s">
        <v>828</v>
      </c>
      <c r="B158" s="2" t="s">
        <v>1571</v>
      </c>
      <c r="C158" s="2" t="s">
        <v>1572</v>
      </c>
      <c r="D158" s="2" t="n">
        <v>14</v>
      </c>
      <c r="E158" s="2" t="n">
        <v>6</v>
      </c>
      <c r="F158" s="21" t="n">
        <f aca="false">INDEX('Scored Accounts'!$Q$2:$Q$301,MATCH($A158,'Scored Accounts'!$A$2:$A$301,0))</f>
        <v>0</v>
      </c>
      <c r="G158" s="2" t="str">
        <f aca="false">INDEX('Scored Accounts'!$R$2:$R$301,MATCH($A158,'Scored Accounts'!$A$2:$A$301,0))</f>
        <v>Low</v>
      </c>
      <c r="H158" s="2" t="str">
        <f aca="false">IF(OR(G158="High",G158="Medium"),"Broker-Reliant",IF(AND(G158="Low",B158="Account Managed"),"AM-Owned / Self-Serving",IF(AND(G158="Low",B158="Self Serve"),"Self-Serve","UNASSIGNED")))</f>
        <v>AM-Owned / Self-Serving</v>
      </c>
      <c r="I158" s="9" t="n">
        <v>254</v>
      </c>
      <c r="J158" s="2" t="str">
        <f aca="false">IF(I158&gt;=Assumptions!$B$35,"Key",IF(I158&gt;=Assumptions!$B$34,"Core","Tail"))</f>
        <v>Tail</v>
      </c>
      <c r="K158" s="9" t="n">
        <f aca="false">INDEX('Commercial View'!$R$2:$R$301,MATCH($A158,'Commercial View'!$A$2:$A$301,0))</f>
        <v>254</v>
      </c>
      <c r="L158" s="9" t="n">
        <f aca="false">INDEX('Commercial View'!$S$2:$S$301,MATCH($A158,'Commercial View'!$A$2:$A$301,0))</f>
        <v>0</v>
      </c>
      <c r="M158" s="17" t="n">
        <f aca="false">INDEX('Commercial View'!$T$2:$T$301,MATCH($A158,'Commercial View'!$A$2:$A$301,0))</f>
        <v>-1</v>
      </c>
      <c r="N158" s="2" t="str">
        <f aca="false">INDEX('Commercial View'!$U$2:$U$301,MATCH($A158,'Commercial View'!$A$2:$A$301,0))</f>
        <v>Lapsed</v>
      </c>
      <c r="O158" s="2" t="n">
        <v>1</v>
      </c>
      <c r="P158" s="2" t="n">
        <v>0</v>
      </c>
      <c r="Q158" s="2" t="n">
        <v>1</v>
      </c>
      <c r="R158" s="2" t="n">
        <v>70</v>
      </c>
      <c r="S158" s="2" t="n">
        <v>1</v>
      </c>
      <c r="T158" s="2" t="str">
        <f aca="false">IF(H158="Broker-Reliant",IF(J158="Tail","5. Cost-to-Serve / Low-Touch",IF(OR(N158="Growing",N158="Stable"),"1. Migration Candidate",IF(N158="Declining","2. Protect / Retain First",IF(N158="Lapsed","3. Win-Back / Verify",IF(N158="H2 Active / No H1 GMV","4. Establish / Re-establish / Observe","UNASSIGNED"))))),IF(G158="Low",IF(J158="Tail","9. Long-Tail Automated Nurture",IF(OR(N158="Growing",N158="Stable"),"6. Growth Opportunity",IF(N158="H2 Active / No H1 GMV","7. Onboard / Re-engage / Learn",IF(OR(N158="Declining",N158="Lapsed"),"8. Retention / Reactivation","UNASSIGNED")))),"UNASSIGNED"))</f>
        <v>9. Long-Tail Automated Nurture</v>
      </c>
      <c r="U158" s="10" t="b">
        <f aca="false">AND(T158="1. Migration Candidate",J158="Core",O158&gt;=Assumptions!$B$39,Q158&gt;=Assumptions!$B$40,NOT(Z158))</f>
        <v>0</v>
      </c>
      <c r="V158" s="2" t="n">
        <f aca="false">(AND(H158="Broker-Reliant",J158&lt;&gt;"Tail",OR(N158="Growing",N158="Stable")))*1+(AND(H158="Broker-Reliant",J158&lt;&gt;"Tail",N158="Declining"))*1+(AND(H158="Broker-Reliant",J158&lt;&gt;"Tail",N158="Lapsed"))*1+(AND(H158="Broker-Reliant",J158&lt;&gt;"Tail",N158="H2 Active / No H1 GMV"))*1+(AND(H158="Broker-Reliant",J158="Tail"))*1+(AND(G158="Low",J158&lt;&gt;"Tail",OR(N158="Growing",N158="Stable")))*1+(AND(G158="Low",J158&lt;&gt;"Tail",N158="H2 Active / No H1 GMV"))*1+(AND(G158="Low",J158&lt;&gt;"Tail",OR(N158="Declining",N158="Lapsed")))*1+(AND(G158="Low",J158="Tail"))*1</f>
        <v>1</v>
      </c>
      <c r="W158" s="2" t="n">
        <f aca="false">INDEX('Commercial View'!$V$2:$V$301,MATCH($A158,'Commercial View'!$A$2:$A$301,0))</f>
        <v>1</v>
      </c>
      <c r="X158" s="10" t="b">
        <f aca="false">O158&lt;=Assumptions!$B$30</f>
        <v>1</v>
      </c>
      <c r="Y158" s="10" t="b">
        <f aca="false">W158&lt;=1</f>
        <v>1</v>
      </c>
      <c r="Z158" s="10" t="b">
        <f aca="false">C158="Duplicate"</f>
        <v>0</v>
      </c>
      <c r="AA158" s="10" t="b">
        <f aca="false">C158=""</f>
        <v>0</v>
      </c>
      <c r="AB158" s="2" t="n">
        <f aca="false">IF(P158+Q158&gt;0,ROUND(P158/(P158+Q158)*100,0),"")</f>
        <v>0</v>
      </c>
      <c r="AC158" s="2" t="n">
        <f aca="false">IF(P158+Q158&gt;0,ROUND(E158-P158/(P158+Q158)*100,0),"")</f>
        <v>6</v>
      </c>
      <c r="AD158" s="10" t="b">
        <f aca="false">IF(AC158="",FALSE(),ABS(AC158)&gt;Assumptions!$B$41)</f>
        <v>0</v>
      </c>
      <c r="AE158" s="2" t="str">
        <f aca="false">IF(X158,"Low confidence (&lt;=2 orders); ","")&amp;IF(Y158,"Single-month history; ","")&amp;IF(Z158,"CRITICAL: Duplicate status; ","")&amp;IF(AA158,"Missing status; ","")&amp;IF(AD158,"Broker % vs counts gap "&amp;TEXT(AC158,"+0;-0")&amp;"pts; ","")</f>
        <v>Low confidence (&lt;=2 orders); Single-month history; </v>
      </c>
      <c r="AF158" s="2" t="str">
        <f aca="false">IF(AND(K158=0,L158&gt;0),IF(D158&lt;=Assumptions!$B$47,"New Customer","Returned Customer"),"Existing Customer")</f>
        <v>Existing Customer</v>
      </c>
      <c r="AG158" s="10" t="b">
        <f aca="false">AND(T158="1. Migration Candidate",J158="Key")</f>
        <v>0</v>
      </c>
      <c r="AH158" s="10" t="b">
        <f aca="false">IF(AND(K158&gt;0,L158&gt;0),OR(ABS(M158-Assumptions!$B$36)&lt;=Assumptions!$B$46,ABS(M158+Assumptions!$B$36)&lt;=Assumptions!$B$46),FALSE())</f>
        <v>0</v>
      </c>
      <c r="AI158" s="9" t="n">
        <f aca="false">INDEX('Commercial View'!$L$2:$L$301,MATCH($A158,'Commercial View'!$A$2:$A$301,0))+INDEX('Commercial View'!$M$2:$M$301,MATCH($A158,'Commercial View'!$A$2:$A$301,0))</f>
        <v>0</v>
      </c>
      <c r="AJ158" s="2" t="str">
        <f aca="false">IF(AND(K158=0,AI158=0),"No activity ex-Feb",IF(AI158=0,"Lapsed",IF(K158=0,"H2 Active / No H1 GMV",IF((AI158/2)/(K158/3)-1&gt;=Assumptions!$B$36,"Growing",IF((AI158/2)/(K158/3)-1&lt;-Assumptions!$B$36,"Declining","Stable")))))</f>
        <v>Lapsed</v>
      </c>
      <c r="AK158" s="10" t="b">
        <f aca="false">IF(OR(N158="Growing",N158="Stable"),"Healthy",N158)&lt;&gt;IF(OR(AJ158="Growing",AJ158="Stable"),"Healthy",AJ158)</f>
        <v>0</v>
      </c>
      <c r="AL158" s="2" t="str">
        <f aca="false">IF(N158="Lapsed",IF(OR(O158&lt;=Assumptions!$B$48,W158&lt;=Assumptions!$B$49),"One-Off / Insufficient History — Verify","Established Buyer Lapsed"),"N/A")</f>
        <v>One-Off / Insufficient History — Verify</v>
      </c>
      <c r="AM158" s="2" t="n">
        <f aca="false">INDEX('Scored Accounts'!$M$2:$M$301,MATCH($A158,'Scored Accounts'!$A$2:$A$301,0))</f>
        <v>0</v>
      </c>
      <c r="AN158" s="2" t="n">
        <f aca="false">IF((P158/(P158+Q158)*100)&lt;=Assumptions!$B$13,0,IF((P158/(P158+Q158)*100)&lt;Assumptions!$B$14,25,IF((P158/(P158+Q158)*100)&lt;Assumptions!$B$15,50,IF((P158/(P158+Q158)*100)&lt;Assumptions!$B$16,75,100))))</f>
        <v>0</v>
      </c>
      <c r="AO158" s="21" t="n">
        <f aca="false">IF((P158/(P158+Q158)*100)&lt;=Assumptions!$B$8,0,AN158*Assumptions!$B$4+INDEX('Scored Accounts'!$N$2:$N$301,MATCH($A158,'Scored Accounts'!$A$2:$A$301,0))*Assumptions!$B$5+INDEX('Scored Accounts'!$O$2:$O$301,MATCH($A158,'Scored Accounts'!$A$2:$A$301,0))*Assumptions!$B$6)</f>
        <v>0</v>
      </c>
      <c r="AP158" s="2" t="str">
        <f aca="false">IF(AO158&gt;=Assumptions!$B$9,"High",IF(AO158&gt;=Assumptions!$B$10,"Medium","Low"))</f>
        <v>Low</v>
      </c>
      <c r="AQ158" s="10" t="b">
        <f aca="false">OR((E158&lt;=Assumptions!$B$8)&lt;&gt;((P158/(P158+Q158)*100)&lt;=Assumptions!$B$8),AM158&lt;&gt;AN158,G158&lt;&gt;AP158)</f>
        <v>0</v>
      </c>
      <c r="AR158" s="2" t="str">
        <f aca="false">IF(AP158&lt;&gt;"Low","Broker-Reliant",IF(B158="Account Managed","AM-Owned / Self-Serving","Self-Serve"))</f>
        <v>AM-Owned / Self-Serving</v>
      </c>
      <c r="AS158" s="2" t="str">
        <f aca="false">IF(AR158="Broker-Reliant",IF(J158="Tail","5. Cost-to-Serve / Low-Touch",IF(OR(N158="Growing",N158="Stable"),"1. Migration Candidate",IF(N158="Declining","2. Protect / Retain First",IF(N158="Lapsed","3. Win-Back / Verify",IF(N158="H2 Active / No H1 GMV","4. Establish / Re-establish / Observe","UNASSIGNED"))))),IF(AP158="Low",IF(J158="Tail","9. Long-Tail Automated Nurture",IF(OR(N158="Growing",N158="Stable"),"6. Growth Opportunity",IF(N158="H2 Active / No H1 GMV","7. Onboard / Re-engage / Learn",IF(OR(N158="Declining",N158="Lapsed"),"8. Retention / Reactivation","UNASSIGNED")))),"UNASSIGNED"))</f>
        <v>9. Long-Tail Automated Nurture</v>
      </c>
      <c r="AT158" s="10" t="b">
        <f aca="false">AS158&lt;&gt;T158</f>
        <v>0</v>
      </c>
      <c r="AU158" s="2" t="str">
        <f aca="false">IF(NOT(U158),"Not Eligible",IF(OR(AQ158,AH158,AK158,NOT(AND(W158&gt;=Assumptions!$B$83,O158&gt;=Assumptions!$B$84))),"Manual Review","Ready"))</f>
        <v>Not Eligible</v>
      </c>
      <c r="AV158" s="2" t="str">
        <f aca="false">IF(AG158,"Key account - human sign-off required; ","")&amp;IF(AH158,"Borderline momentum; ","")&amp;IF(AK158,"February-sensitive ("&amp;N158&amp;" -&gt; "&amp;AJ158&amp;"); ","")&amp;IF(AL158="One-Off / Insufficient History — Verify","Lapsed on thin history - verify; ","")&amp;IF(AQ158,"Material broker % inconsistency (implied tier "&amp;AP158&amp;"); ","")&amp;IF(AT158,"Implied broker % would move segment to "&amp;AS158&amp;"; ","")</f>
        <v>Lapsed on thin history - verify; </v>
      </c>
      <c r="AW158" s="10" t="b">
        <f aca="false">AND(G158="Low",J158="Tail",I158&gt;=Assumptions!$B$64,O158&gt;=Assumptions!$B$65,OR(N158="Growing",N158="Stable",AND(N158="H2 Active / No H1 GMV",W158&gt;=2)),OR(R158&gt;=Assumptions!$B$66,S158&gt;=Assumptions!$B$67))</f>
        <v>0</v>
      </c>
    </row>
    <row r="159" customFormat="false" ht="15" hidden="false" customHeight="false" outlineLevel="0" collapsed="false">
      <c r="A159" s="2" t="s">
        <v>830</v>
      </c>
      <c r="B159" s="2" t="s">
        <v>1571</v>
      </c>
      <c r="C159" s="2"/>
      <c r="D159" s="2" t="n">
        <v>6</v>
      </c>
      <c r="E159" s="2" t="n">
        <v>9</v>
      </c>
      <c r="F159" s="21" t="n">
        <f aca="false">INDEX('Scored Accounts'!$Q$2:$Q$301,MATCH($A159,'Scored Accounts'!$A$2:$A$301,0))</f>
        <v>0</v>
      </c>
      <c r="G159" s="2" t="str">
        <f aca="false">INDEX('Scored Accounts'!$R$2:$R$301,MATCH($A159,'Scored Accounts'!$A$2:$A$301,0))</f>
        <v>Low</v>
      </c>
      <c r="H159" s="2" t="str">
        <f aca="false">IF(OR(G159="High",G159="Medium"),"Broker-Reliant",IF(AND(G159="Low",B159="Account Managed"),"AM-Owned / Self-Serving",IF(AND(G159="Low",B159="Self Serve"),"Self-Serve","UNASSIGNED")))</f>
        <v>AM-Owned / Self-Serving</v>
      </c>
      <c r="I159" s="9" t="n">
        <v>254</v>
      </c>
      <c r="J159" s="2" t="str">
        <f aca="false">IF(I159&gt;=Assumptions!$B$35,"Key",IF(I159&gt;=Assumptions!$B$34,"Core","Tail"))</f>
        <v>Tail</v>
      </c>
      <c r="K159" s="9" t="n">
        <f aca="false">INDEX('Commercial View'!$R$2:$R$301,MATCH($A159,'Commercial View'!$A$2:$A$301,0))</f>
        <v>254</v>
      </c>
      <c r="L159" s="9" t="n">
        <f aca="false">INDEX('Commercial View'!$S$2:$S$301,MATCH($A159,'Commercial View'!$A$2:$A$301,0))</f>
        <v>0</v>
      </c>
      <c r="M159" s="17" t="n">
        <f aca="false">INDEX('Commercial View'!$T$2:$T$301,MATCH($A159,'Commercial View'!$A$2:$A$301,0))</f>
        <v>-1</v>
      </c>
      <c r="N159" s="2" t="str">
        <f aca="false">INDEX('Commercial View'!$U$2:$U$301,MATCH($A159,'Commercial View'!$A$2:$A$301,0))</f>
        <v>Lapsed</v>
      </c>
      <c r="O159" s="2" t="n">
        <v>1</v>
      </c>
      <c r="P159" s="2" t="n">
        <v>0</v>
      </c>
      <c r="Q159" s="2" t="n">
        <v>1</v>
      </c>
      <c r="R159" s="2" t="n">
        <v>6</v>
      </c>
      <c r="S159" s="2" t="n">
        <v>0</v>
      </c>
      <c r="T159" s="2" t="str">
        <f aca="false">IF(H159="Broker-Reliant",IF(J159="Tail","5. Cost-to-Serve / Low-Touch",IF(OR(N159="Growing",N159="Stable"),"1. Migration Candidate",IF(N159="Declining","2. Protect / Retain First",IF(N159="Lapsed","3. Win-Back / Verify",IF(N159="H2 Active / No H1 GMV","4. Establish / Re-establish / Observe","UNASSIGNED"))))),IF(G159="Low",IF(J159="Tail","9. Long-Tail Automated Nurture",IF(OR(N159="Growing",N159="Stable"),"6. Growth Opportunity",IF(N159="H2 Active / No H1 GMV","7. Onboard / Re-engage / Learn",IF(OR(N159="Declining",N159="Lapsed"),"8. Retention / Reactivation","UNASSIGNED")))),"UNASSIGNED"))</f>
        <v>9. Long-Tail Automated Nurture</v>
      </c>
      <c r="U159" s="10" t="b">
        <f aca="false">AND(T159="1. Migration Candidate",J159="Core",O159&gt;=Assumptions!$B$39,Q159&gt;=Assumptions!$B$40,NOT(Z159))</f>
        <v>0</v>
      </c>
      <c r="V159" s="2" t="n">
        <f aca="false">(AND(H159="Broker-Reliant",J159&lt;&gt;"Tail",OR(N159="Growing",N159="Stable")))*1+(AND(H159="Broker-Reliant",J159&lt;&gt;"Tail",N159="Declining"))*1+(AND(H159="Broker-Reliant",J159&lt;&gt;"Tail",N159="Lapsed"))*1+(AND(H159="Broker-Reliant",J159&lt;&gt;"Tail",N159="H2 Active / No H1 GMV"))*1+(AND(H159="Broker-Reliant",J159="Tail"))*1+(AND(G159="Low",J159&lt;&gt;"Tail",OR(N159="Growing",N159="Stable")))*1+(AND(G159="Low",J159&lt;&gt;"Tail",N159="H2 Active / No H1 GMV"))*1+(AND(G159="Low",J159&lt;&gt;"Tail",OR(N159="Declining",N159="Lapsed")))*1+(AND(G159="Low",J159="Tail"))*1</f>
        <v>1</v>
      </c>
      <c r="W159" s="2" t="n">
        <f aca="false">INDEX('Commercial View'!$V$2:$V$301,MATCH($A159,'Commercial View'!$A$2:$A$301,0))</f>
        <v>1</v>
      </c>
      <c r="X159" s="10" t="b">
        <f aca="false">O159&lt;=Assumptions!$B$30</f>
        <v>1</v>
      </c>
      <c r="Y159" s="10" t="b">
        <f aca="false">W159&lt;=1</f>
        <v>1</v>
      </c>
      <c r="Z159" s="10" t="b">
        <f aca="false">C159="Duplicate"</f>
        <v>0</v>
      </c>
      <c r="AA159" s="10" t="b">
        <f aca="false">C159=""</f>
        <v>1</v>
      </c>
      <c r="AB159" s="2" t="n">
        <f aca="false">IF(P159+Q159&gt;0,ROUND(P159/(P159+Q159)*100,0),"")</f>
        <v>0</v>
      </c>
      <c r="AC159" s="2" t="n">
        <f aca="false">IF(P159+Q159&gt;0,ROUND(E159-P159/(P159+Q159)*100,0),"")</f>
        <v>9</v>
      </c>
      <c r="AD159" s="10" t="b">
        <f aca="false">IF(AC159="",FALSE(),ABS(AC159)&gt;Assumptions!$B$41)</f>
        <v>0</v>
      </c>
      <c r="AE159" s="2" t="str">
        <f aca="false">IF(X159,"Low confidence (&lt;=2 orders); ","")&amp;IF(Y159,"Single-month history; ","")&amp;IF(Z159,"CRITICAL: Duplicate status; ","")&amp;IF(AA159,"Missing status; ","")&amp;IF(AD159,"Broker % vs counts gap "&amp;TEXT(AC159,"+0;-0")&amp;"pts; ","")</f>
        <v>Low confidence (&lt;=2 orders); Single-month history; Missing status; </v>
      </c>
      <c r="AF159" s="2" t="str">
        <f aca="false">IF(AND(K159=0,L159&gt;0),IF(D159&lt;=Assumptions!$B$47,"New Customer","Returned Customer"),"Existing Customer")</f>
        <v>Existing Customer</v>
      </c>
      <c r="AG159" s="10" t="b">
        <f aca="false">AND(T159="1. Migration Candidate",J159="Key")</f>
        <v>0</v>
      </c>
      <c r="AH159" s="10" t="b">
        <f aca="false">IF(AND(K159&gt;0,L159&gt;0),OR(ABS(M159-Assumptions!$B$36)&lt;=Assumptions!$B$46,ABS(M159+Assumptions!$B$36)&lt;=Assumptions!$B$46),FALSE())</f>
        <v>0</v>
      </c>
      <c r="AI159" s="9" t="n">
        <f aca="false">INDEX('Commercial View'!$L$2:$L$301,MATCH($A159,'Commercial View'!$A$2:$A$301,0))+INDEX('Commercial View'!$M$2:$M$301,MATCH($A159,'Commercial View'!$A$2:$A$301,0))</f>
        <v>0</v>
      </c>
      <c r="AJ159" s="2" t="str">
        <f aca="false">IF(AND(K159=0,AI159=0),"No activity ex-Feb",IF(AI159=0,"Lapsed",IF(K159=0,"H2 Active / No H1 GMV",IF((AI159/2)/(K159/3)-1&gt;=Assumptions!$B$36,"Growing",IF((AI159/2)/(K159/3)-1&lt;-Assumptions!$B$36,"Declining","Stable")))))</f>
        <v>Lapsed</v>
      </c>
      <c r="AK159" s="10" t="b">
        <f aca="false">IF(OR(N159="Growing",N159="Stable"),"Healthy",N159)&lt;&gt;IF(OR(AJ159="Growing",AJ159="Stable"),"Healthy",AJ159)</f>
        <v>0</v>
      </c>
      <c r="AL159" s="2" t="str">
        <f aca="false">IF(N159="Lapsed",IF(OR(O159&lt;=Assumptions!$B$48,W159&lt;=Assumptions!$B$49),"One-Off / Insufficient History — Verify","Established Buyer Lapsed"),"N/A")</f>
        <v>One-Off / Insufficient History — Verify</v>
      </c>
      <c r="AM159" s="2" t="n">
        <f aca="false">INDEX('Scored Accounts'!$M$2:$M$301,MATCH($A159,'Scored Accounts'!$A$2:$A$301,0))</f>
        <v>0</v>
      </c>
      <c r="AN159" s="2" t="n">
        <f aca="false">IF((P159/(P159+Q159)*100)&lt;=Assumptions!$B$13,0,IF((P159/(P159+Q159)*100)&lt;Assumptions!$B$14,25,IF((P159/(P159+Q159)*100)&lt;Assumptions!$B$15,50,IF((P159/(P159+Q159)*100)&lt;Assumptions!$B$16,75,100))))</f>
        <v>0</v>
      </c>
      <c r="AO159" s="21" t="n">
        <f aca="false">IF((P159/(P159+Q159)*100)&lt;=Assumptions!$B$8,0,AN159*Assumptions!$B$4+INDEX('Scored Accounts'!$N$2:$N$301,MATCH($A159,'Scored Accounts'!$A$2:$A$301,0))*Assumptions!$B$5+INDEX('Scored Accounts'!$O$2:$O$301,MATCH($A159,'Scored Accounts'!$A$2:$A$301,0))*Assumptions!$B$6)</f>
        <v>0</v>
      </c>
      <c r="AP159" s="2" t="str">
        <f aca="false">IF(AO159&gt;=Assumptions!$B$9,"High",IF(AO159&gt;=Assumptions!$B$10,"Medium","Low"))</f>
        <v>Low</v>
      </c>
      <c r="AQ159" s="10" t="b">
        <f aca="false">OR((E159&lt;=Assumptions!$B$8)&lt;&gt;((P159/(P159+Q159)*100)&lt;=Assumptions!$B$8),AM159&lt;&gt;AN159,G159&lt;&gt;AP159)</f>
        <v>0</v>
      </c>
      <c r="AR159" s="2" t="str">
        <f aca="false">IF(AP159&lt;&gt;"Low","Broker-Reliant",IF(B159="Account Managed","AM-Owned / Self-Serving","Self-Serve"))</f>
        <v>AM-Owned / Self-Serving</v>
      </c>
      <c r="AS159" s="2" t="str">
        <f aca="false">IF(AR159="Broker-Reliant",IF(J159="Tail","5. Cost-to-Serve / Low-Touch",IF(OR(N159="Growing",N159="Stable"),"1. Migration Candidate",IF(N159="Declining","2. Protect / Retain First",IF(N159="Lapsed","3. Win-Back / Verify",IF(N159="H2 Active / No H1 GMV","4. Establish / Re-establish / Observe","UNASSIGNED"))))),IF(AP159="Low",IF(J159="Tail","9. Long-Tail Automated Nurture",IF(OR(N159="Growing",N159="Stable"),"6. Growth Opportunity",IF(N159="H2 Active / No H1 GMV","7. Onboard / Re-engage / Learn",IF(OR(N159="Declining",N159="Lapsed"),"8. Retention / Reactivation","UNASSIGNED")))),"UNASSIGNED"))</f>
        <v>9. Long-Tail Automated Nurture</v>
      </c>
      <c r="AT159" s="10" t="b">
        <f aca="false">AS159&lt;&gt;T159</f>
        <v>0</v>
      </c>
      <c r="AU159" s="2" t="str">
        <f aca="false">IF(NOT(U159),"Not Eligible",IF(OR(AQ159,AH159,AK159,NOT(AND(W159&gt;=Assumptions!$B$83,O159&gt;=Assumptions!$B$84))),"Manual Review","Ready"))</f>
        <v>Not Eligible</v>
      </c>
      <c r="AV159" s="2" t="str">
        <f aca="false">IF(AG159,"Key account - human sign-off required; ","")&amp;IF(AH159,"Borderline momentum; ","")&amp;IF(AK159,"February-sensitive ("&amp;N159&amp;" -&gt; "&amp;AJ159&amp;"); ","")&amp;IF(AL159="One-Off / Insufficient History — Verify","Lapsed on thin history - verify; ","")&amp;IF(AQ159,"Material broker % inconsistency (implied tier "&amp;AP159&amp;"); ","")&amp;IF(AT159,"Implied broker % would move segment to "&amp;AS159&amp;"; ","")</f>
        <v>Lapsed on thin history - verify; </v>
      </c>
      <c r="AW159" s="10" t="b">
        <f aca="false">AND(G159="Low",J159="Tail",I159&gt;=Assumptions!$B$64,O159&gt;=Assumptions!$B$65,OR(N159="Growing",N159="Stable",AND(N159="H2 Active / No H1 GMV",W159&gt;=2)),OR(R159&gt;=Assumptions!$B$66,S159&gt;=Assumptions!$B$67))</f>
        <v>0</v>
      </c>
    </row>
    <row r="160" customFormat="false" ht="15" hidden="false" customHeight="false" outlineLevel="0" collapsed="false">
      <c r="A160" s="2" t="s">
        <v>832</v>
      </c>
      <c r="B160" s="2" t="s">
        <v>1571</v>
      </c>
      <c r="C160" s="2" t="s">
        <v>1572</v>
      </c>
      <c r="D160" s="2" t="n">
        <v>6</v>
      </c>
      <c r="E160" s="2" t="n">
        <v>14</v>
      </c>
      <c r="F160" s="21" t="n">
        <f aca="false">INDEX('Scored Accounts'!$Q$2:$Q$301,MATCH($A160,'Scored Accounts'!$A$2:$A$301,0))</f>
        <v>0</v>
      </c>
      <c r="G160" s="2" t="str">
        <f aca="false">INDEX('Scored Accounts'!$R$2:$R$301,MATCH($A160,'Scored Accounts'!$A$2:$A$301,0))</f>
        <v>Low</v>
      </c>
      <c r="H160" s="2" t="str">
        <f aca="false">IF(OR(G160="High",G160="Medium"),"Broker-Reliant",IF(AND(G160="Low",B160="Account Managed"),"AM-Owned / Self-Serving",IF(AND(G160="Low",B160="Self Serve"),"Self-Serve","UNASSIGNED")))</f>
        <v>AM-Owned / Self-Serving</v>
      </c>
      <c r="I160" s="9" t="n">
        <v>253</v>
      </c>
      <c r="J160" s="2" t="str">
        <f aca="false">IF(I160&gt;=Assumptions!$B$35,"Key",IF(I160&gt;=Assumptions!$B$34,"Core","Tail"))</f>
        <v>Tail</v>
      </c>
      <c r="K160" s="9" t="n">
        <f aca="false">INDEX('Commercial View'!$R$2:$R$301,MATCH($A160,'Commercial View'!$A$2:$A$301,0))</f>
        <v>253</v>
      </c>
      <c r="L160" s="9" t="n">
        <f aca="false">INDEX('Commercial View'!$S$2:$S$301,MATCH($A160,'Commercial View'!$A$2:$A$301,0))</f>
        <v>0</v>
      </c>
      <c r="M160" s="17" t="n">
        <f aca="false">INDEX('Commercial View'!$T$2:$T$301,MATCH($A160,'Commercial View'!$A$2:$A$301,0))</f>
        <v>-1</v>
      </c>
      <c r="N160" s="2" t="str">
        <f aca="false">INDEX('Commercial View'!$U$2:$U$301,MATCH($A160,'Commercial View'!$A$2:$A$301,0))</f>
        <v>Lapsed</v>
      </c>
      <c r="O160" s="2" t="n">
        <v>1</v>
      </c>
      <c r="P160" s="2" t="n">
        <v>0</v>
      </c>
      <c r="Q160" s="2" t="n">
        <v>1</v>
      </c>
      <c r="R160" s="2" t="n">
        <v>7</v>
      </c>
      <c r="S160" s="2" t="n">
        <v>0</v>
      </c>
      <c r="T160" s="2" t="str">
        <f aca="false">IF(H160="Broker-Reliant",IF(J160="Tail","5. Cost-to-Serve / Low-Touch",IF(OR(N160="Growing",N160="Stable"),"1. Migration Candidate",IF(N160="Declining","2. Protect / Retain First",IF(N160="Lapsed","3. Win-Back / Verify",IF(N160="H2 Active / No H1 GMV","4. Establish / Re-establish / Observe","UNASSIGNED"))))),IF(G160="Low",IF(J160="Tail","9. Long-Tail Automated Nurture",IF(OR(N160="Growing",N160="Stable"),"6. Growth Opportunity",IF(N160="H2 Active / No H1 GMV","7. Onboard / Re-engage / Learn",IF(OR(N160="Declining",N160="Lapsed"),"8. Retention / Reactivation","UNASSIGNED")))),"UNASSIGNED"))</f>
        <v>9. Long-Tail Automated Nurture</v>
      </c>
      <c r="U160" s="10" t="b">
        <f aca="false">AND(T160="1. Migration Candidate",J160="Core",O160&gt;=Assumptions!$B$39,Q160&gt;=Assumptions!$B$40,NOT(Z160))</f>
        <v>0</v>
      </c>
      <c r="V160" s="2" t="n">
        <f aca="false">(AND(H160="Broker-Reliant",J160&lt;&gt;"Tail",OR(N160="Growing",N160="Stable")))*1+(AND(H160="Broker-Reliant",J160&lt;&gt;"Tail",N160="Declining"))*1+(AND(H160="Broker-Reliant",J160&lt;&gt;"Tail",N160="Lapsed"))*1+(AND(H160="Broker-Reliant",J160&lt;&gt;"Tail",N160="H2 Active / No H1 GMV"))*1+(AND(H160="Broker-Reliant",J160="Tail"))*1+(AND(G160="Low",J160&lt;&gt;"Tail",OR(N160="Growing",N160="Stable")))*1+(AND(G160="Low",J160&lt;&gt;"Tail",N160="H2 Active / No H1 GMV"))*1+(AND(G160="Low",J160&lt;&gt;"Tail",OR(N160="Declining",N160="Lapsed")))*1+(AND(G160="Low",J160="Tail"))*1</f>
        <v>1</v>
      </c>
      <c r="W160" s="2" t="n">
        <f aca="false">INDEX('Commercial View'!$V$2:$V$301,MATCH($A160,'Commercial View'!$A$2:$A$301,0))</f>
        <v>1</v>
      </c>
      <c r="X160" s="10" t="b">
        <f aca="false">O160&lt;=Assumptions!$B$30</f>
        <v>1</v>
      </c>
      <c r="Y160" s="10" t="b">
        <f aca="false">W160&lt;=1</f>
        <v>1</v>
      </c>
      <c r="Z160" s="10" t="b">
        <f aca="false">C160="Duplicate"</f>
        <v>0</v>
      </c>
      <c r="AA160" s="10" t="b">
        <f aca="false">C160=""</f>
        <v>0</v>
      </c>
      <c r="AB160" s="2" t="n">
        <f aca="false">IF(P160+Q160&gt;0,ROUND(P160/(P160+Q160)*100,0),"")</f>
        <v>0</v>
      </c>
      <c r="AC160" s="2" t="n">
        <f aca="false">IF(P160+Q160&gt;0,ROUND(E160-P160/(P160+Q160)*100,0),"")</f>
        <v>14</v>
      </c>
      <c r="AD160" s="10" t="b">
        <f aca="false">IF(AC160="",FALSE(),ABS(AC160)&gt;Assumptions!$B$41)</f>
        <v>1</v>
      </c>
      <c r="AE160" s="2" t="str">
        <f aca="false">IF(X160,"Low confidence (&lt;=2 orders); ","")&amp;IF(Y160,"Single-month history; ","")&amp;IF(Z160,"CRITICAL: Duplicate status; ","")&amp;IF(AA160,"Missing status; ","")&amp;IF(AD160,"Broker % vs counts gap "&amp;TEXT(AC160,"+0;-0")&amp;"pts; ","")</f>
        <v>Low confidence (&lt;=2 orders); Single-month history; Broker % vs counts gap +14pts; </v>
      </c>
      <c r="AF160" s="2" t="str">
        <f aca="false">IF(AND(K160=0,L160&gt;0),IF(D160&lt;=Assumptions!$B$47,"New Customer","Returned Customer"),"Existing Customer")</f>
        <v>Existing Customer</v>
      </c>
      <c r="AG160" s="10" t="b">
        <f aca="false">AND(T160="1. Migration Candidate",J160="Key")</f>
        <v>0</v>
      </c>
      <c r="AH160" s="10" t="b">
        <f aca="false">IF(AND(K160&gt;0,L160&gt;0),OR(ABS(M160-Assumptions!$B$36)&lt;=Assumptions!$B$46,ABS(M160+Assumptions!$B$36)&lt;=Assumptions!$B$46),FALSE())</f>
        <v>0</v>
      </c>
      <c r="AI160" s="9" t="n">
        <f aca="false">INDEX('Commercial View'!$L$2:$L$301,MATCH($A160,'Commercial View'!$A$2:$A$301,0))+INDEX('Commercial View'!$M$2:$M$301,MATCH($A160,'Commercial View'!$A$2:$A$301,0))</f>
        <v>0</v>
      </c>
      <c r="AJ160" s="2" t="str">
        <f aca="false">IF(AND(K160=0,AI160=0),"No activity ex-Feb",IF(AI160=0,"Lapsed",IF(K160=0,"H2 Active / No H1 GMV",IF((AI160/2)/(K160/3)-1&gt;=Assumptions!$B$36,"Growing",IF((AI160/2)/(K160/3)-1&lt;-Assumptions!$B$36,"Declining","Stable")))))</f>
        <v>Lapsed</v>
      </c>
      <c r="AK160" s="10" t="b">
        <f aca="false">IF(OR(N160="Growing",N160="Stable"),"Healthy",N160)&lt;&gt;IF(OR(AJ160="Growing",AJ160="Stable"),"Healthy",AJ160)</f>
        <v>0</v>
      </c>
      <c r="AL160" s="2" t="str">
        <f aca="false">IF(N160="Lapsed",IF(OR(O160&lt;=Assumptions!$B$48,W160&lt;=Assumptions!$B$49),"One-Off / Insufficient History — Verify","Established Buyer Lapsed"),"N/A")</f>
        <v>One-Off / Insufficient History — Verify</v>
      </c>
      <c r="AM160" s="2" t="n">
        <f aca="false">INDEX('Scored Accounts'!$M$2:$M$301,MATCH($A160,'Scored Accounts'!$A$2:$A$301,0))</f>
        <v>0</v>
      </c>
      <c r="AN160" s="2" t="n">
        <f aca="false">IF((P160/(P160+Q160)*100)&lt;=Assumptions!$B$13,0,IF((P160/(P160+Q160)*100)&lt;Assumptions!$B$14,25,IF((P160/(P160+Q160)*100)&lt;Assumptions!$B$15,50,IF((P160/(P160+Q160)*100)&lt;Assumptions!$B$16,75,100))))</f>
        <v>0</v>
      </c>
      <c r="AO160" s="21" t="n">
        <f aca="false">IF((P160/(P160+Q160)*100)&lt;=Assumptions!$B$8,0,AN160*Assumptions!$B$4+INDEX('Scored Accounts'!$N$2:$N$301,MATCH($A160,'Scored Accounts'!$A$2:$A$301,0))*Assumptions!$B$5+INDEX('Scored Accounts'!$O$2:$O$301,MATCH($A160,'Scored Accounts'!$A$2:$A$301,0))*Assumptions!$B$6)</f>
        <v>0</v>
      </c>
      <c r="AP160" s="2" t="str">
        <f aca="false">IF(AO160&gt;=Assumptions!$B$9,"High",IF(AO160&gt;=Assumptions!$B$10,"Medium","Low"))</f>
        <v>Low</v>
      </c>
      <c r="AQ160" s="10" t="b">
        <f aca="false">OR((E160&lt;=Assumptions!$B$8)&lt;&gt;((P160/(P160+Q160)*100)&lt;=Assumptions!$B$8),AM160&lt;&gt;AN160,G160&lt;&gt;AP160)</f>
        <v>0</v>
      </c>
      <c r="AR160" s="2" t="str">
        <f aca="false">IF(AP160&lt;&gt;"Low","Broker-Reliant",IF(B160="Account Managed","AM-Owned / Self-Serving","Self-Serve"))</f>
        <v>AM-Owned / Self-Serving</v>
      </c>
      <c r="AS160" s="2" t="str">
        <f aca="false">IF(AR160="Broker-Reliant",IF(J160="Tail","5. Cost-to-Serve / Low-Touch",IF(OR(N160="Growing",N160="Stable"),"1. Migration Candidate",IF(N160="Declining","2. Protect / Retain First",IF(N160="Lapsed","3. Win-Back / Verify",IF(N160="H2 Active / No H1 GMV","4. Establish / Re-establish / Observe","UNASSIGNED"))))),IF(AP160="Low",IF(J160="Tail","9. Long-Tail Automated Nurture",IF(OR(N160="Growing",N160="Stable"),"6. Growth Opportunity",IF(N160="H2 Active / No H1 GMV","7. Onboard / Re-engage / Learn",IF(OR(N160="Declining",N160="Lapsed"),"8. Retention / Reactivation","UNASSIGNED")))),"UNASSIGNED"))</f>
        <v>9. Long-Tail Automated Nurture</v>
      </c>
      <c r="AT160" s="10" t="b">
        <f aca="false">AS160&lt;&gt;T160</f>
        <v>0</v>
      </c>
      <c r="AU160" s="2" t="str">
        <f aca="false">IF(NOT(U160),"Not Eligible",IF(OR(AQ160,AH160,AK160,NOT(AND(W160&gt;=Assumptions!$B$83,O160&gt;=Assumptions!$B$84))),"Manual Review","Ready"))</f>
        <v>Not Eligible</v>
      </c>
      <c r="AV160" s="2" t="str">
        <f aca="false">IF(AG160,"Key account - human sign-off required; ","")&amp;IF(AH160,"Borderline momentum; ","")&amp;IF(AK160,"February-sensitive ("&amp;N160&amp;" -&gt; "&amp;AJ160&amp;"); ","")&amp;IF(AL160="One-Off / Insufficient History — Verify","Lapsed on thin history - verify; ","")&amp;IF(AQ160,"Material broker % inconsistency (implied tier "&amp;AP160&amp;"); ","")&amp;IF(AT160,"Implied broker % would move segment to "&amp;AS160&amp;"; ","")</f>
        <v>Lapsed on thin history - verify; </v>
      </c>
      <c r="AW160" s="10" t="b">
        <f aca="false">AND(G160="Low",J160="Tail",I160&gt;=Assumptions!$B$64,O160&gt;=Assumptions!$B$65,OR(N160="Growing",N160="Stable",AND(N160="H2 Active / No H1 GMV",W160&gt;=2)),OR(R160&gt;=Assumptions!$B$66,S160&gt;=Assumptions!$B$67))</f>
        <v>0</v>
      </c>
    </row>
    <row r="161" customFormat="false" ht="15" hidden="false" customHeight="false" outlineLevel="0" collapsed="false">
      <c r="A161" s="2" t="s">
        <v>566</v>
      </c>
      <c r="B161" s="2" t="s">
        <v>1571</v>
      </c>
      <c r="C161" s="2" t="s">
        <v>1572</v>
      </c>
      <c r="D161" s="2" t="n">
        <v>12</v>
      </c>
      <c r="E161" s="2" t="n">
        <v>18</v>
      </c>
      <c r="F161" s="21" t="n">
        <f aca="false">INDEX('Scored Accounts'!$Q$2:$Q$301,MATCH($A161,'Scored Accounts'!$A$2:$A$301,0))</f>
        <v>0</v>
      </c>
      <c r="G161" s="2" t="str">
        <f aca="false">INDEX('Scored Accounts'!$R$2:$R$301,MATCH($A161,'Scored Accounts'!$A$2:$A$301,0))</f>
        <v>Low</v>
      </c>
      <c r="H161" s="2" t="str">
        <f aca="false">IF(OR(G161="High",G161="Medium"),"Broker-Reliant",IF(AND(G161="Low",B161="Account Managed"),"AM-Owned / Self-Serving",IF(AND(G161="Low",B161="Self Serve"),"Self-Serve","UNASSIGNED")))</f>
        <v>AM-Owned / Self-Serving</v>
      </c>
      <c r="I161" s="9" t="n">
        <v>249</v>
      </c>
      <c r="J161" s="2" t="str">
        <f aca="false">IF(I161&gt;=Assumptions!$B$35,"Key",IF(I161&gt;=Assumptions!$B$34,"Core","Tail"))</f>
        <v>Tail</v>
      </c>
      <c r="K161" s="9" t="n">
        <f aca="false">INDEX('Commercial View'!$R$2:$R$301,MATCH($A161,'Commercial View'!$A$2:$A$301,0))</f>
        <v>92</v>
      </c>
      <c r="L161" s="9" t="n">
        <f aca="false">INDEX('Commercial View'!$S$2:$S$301,MATCH($A161,'Commercial View'!$A$2:$A$301,0))</f>
        <v>157</v>
      </c>
      <c r="M161" s="17" t="n">
        <f aca="false">INDEX('Commercial View'!$T$2:$T$301,MATCH($A161,'Commercial View'!$A$2:$A$301,0))</f>
        <v>0.706521739130435</v>
      </c>
      <c r="N161" s="2" t="str">
        <f aca="false">INDEX('Commercial View'!$U$2:$U$301,MATCH($A161,'Commercial View'!$A$2:$A$301,0))</f>
        <v>Growing</v>
      </c>
      <c r="O161" s="2" t="n">
        <v>2</v>
      </c>
      <c r="P161" s="2" t="n">
        <v>0</v>
      </c>
      <c r="Q161" s="2" t="n">
        <v>2</v>
      </c>
      <c r="R161" s="2" t="n">
        <v>5</v>
      </c>
      <c r="S161" s="2" t="n">
        <v>0</v>
      </c>
      <c r="T161" s="2" t="str">
        <f aca="false">IF(H161="Broker-Reliant",IF(J161="Tail","5. Cost-to-Serve / Low-Touch",IF(OR(N161="Growing",N161="Stable"),"1. Migration Candidate",IF(N161="Declining","2. Protect / Retain First",IF(N161="Lapsed","3. Win-Back / Verify",IF(N161="H2 Active / No H1 GMV","4. Establish / Re-establish / Observe","UNASSIGNED"))))),IF(G161="Low",IF(J161="Tail","9. Long-Tail Automated Nurture",IF(OR(N161="Growing",N161="Stable"),"6. Growth Opportunity",IF(N161="H2 Active / No H1 GMV","7. Onboard / Re-engage / Learn",IF(OR(N161="Declining",N161="Lapsed"),"8. Retention / Reactivation","UNASSIGNED")))),"UNASSIGNED"))</f>
        <v>9. Long-Tail Automated Nurture</v>
      </c>
      <c r="U161" s="10" t="b">
        <f aca="false">AND(T161="1. Migration Candidate",J161="Core",O161&gt;=Assumptions!$B$39,Q161&gt;=Assumptions!$B$40,NOT(Z161))</f>
        <v>0</v>
      </c>
      <c r="V161" s="2" t="n">
        <f aca="false">(AND(H161="Broker-Reliant",J161&lt;&gt;"Tail",OR(N161="Growing",N161="Stable")))*1+(AND(H161="Broker-Reliant",J161&lt;&gt;"Tail",N161="Declining"))*1+(AND(H161="Broker-Reliant",J161&lt;&gt;"Tail",N161="Lapsed"))*1+(AND(H161="Broker-Reliant",J161&lt;&gt;"Tail",N161="H2 Active / No H1 GMV"))*1+(AND(H161="Broker-Reliant",J161="Tail"))*1+(AND(G161="Low",J161&lt;&gt;"Tail",OR(N161="Growing",N161="Stable")))*1+(AND(G161="Low",J161&lt;&gt;"Tail",N161="H2 Active / No H1 GMV"))*1+(AND(G161="Low",J161&lt;&gt;"Tail",OR(N161="Declining",N161="Lapsed")))*1+(AND(G161="Low",J161="Tail"))*1</f>
        <v>1</v>
      </c>
      <c r="W161" s="2" t="n">
        <f aca="false">INDEX('Commercial View'!$V$2:$V$301,MATCH($A161,'Commercial View'!$A$2:$A$301,0))</f>
        <v>2</v>
      </c>
      <c r="X161" s="10" t="b">
        <f aca="false">O161&lt;=Assumptions!$B$30</f>
        <v>1</v>
      </c>
      <c r="Y161" s="10" t="b">
        <f aca="false">W161&lt;=1</f>
        <v>0</v>
      </c>
      <c r="Z161" s="10" t="b">
        <f aca="false">C161="Duplicate"</f>
        <v>0</v>
      </c>
      <c r="AA161" s="10" t="b">
        <f aca="false">C161=""</f>
        <v>0</v>
      </c>
      <c r="AB161" s="2" t="n">
        <f aca="false">IF(P161+Q161&gt;0,ROUND(P161/(P161+Q161)*100,0),"")</f>
        <v>0</v>
      </c>
      <c r="AC161" s="2" t="n">
        <f aca="false">IF(P161+Q161&gt;0,ROUND(E161-P161/(P161+Q161)*100,0),"")</f>
        <v>18</v>
      </c>
      <c r="AD161" s="10" t="b">
        <f aca="false">IF(AC161="",FALSE(),ABS(AC161)&gt;Assumptions!$B$41)</f>
        <v>1</v>
      </c>
      <c r="AE161" s="2" t="str">
        <f aca="false">IF(X161,"Low confidence (&lt;=2 orders); ","")&amp;IF(Y161,"Single-month history; ","")&amp;IF(Z161,"CRITICAL: Duplicate status; ","")&amp;IF(AA161,"Missing status; ","")&amp;IF(AD161,"Broker % vs counts gap "&amp;TEXT(AC161,"+0;-0")&amp;"pts; ","")</f>
        <v>Low confidence (&lt;=2 orders); Broker % vs counts gap +18pts; </v>
      </c>
      <c r="AF161" s="2" t="str">
        <f aca="false">IF(AND(K161=0,L161&gt;0),IF(D161&lt;=Assumptions!$B$47,"New Customer","Returned Customer"),"Existing Customer")</f>
        <v>Existing Customer</v>
      </c>
      <c r="AG161" s="10" t="b">
        <f aca="false">AND(T161="1. Migration Candidate",J161="Key")</f>
        <v>0</v>
      </c>
      <c r="AH161" s="10" t="b">
        <f aca="false">IF(AND(K161&gt;0,L161&gt;0),OR(ABS(M161-Assumptions!$B$36)&lt;=Assumptions!$B$46,ABS(M161+Assumptions!$B$36)&lt;=Assumptions!$B$46),FALSE())</f>
        <v>0</v>
      </c>
      <c r="AI161" s="9" t="n">
        <f aca="false">INDEX('Commercial View'!$L$2:$L$301,MATCH($A161,'Commercial View'!$A$2:$A$301,0))+INDEX('Commercial View'!$M$2:$M$301,MATCH($A161,'Commercial View'!$A$2:$A$301,0))</f>
        <v>157</v>
      </c>
      <c r="AJ161" s="2" t="str">
        <f aca="false">IF(AND(K161=0,AI161=0),"No activity ex-Feb",IF(AI161=0,"Lapsed",IF(K161=0,"H2 Active / No H1 GMV",IF((AI161/2)/(K161/3)-1&gt;=Assumptions!$B$36,"Growing",IF((AI161/2)/(K161/3)-1&lt;-Assumptions!$B$36,"Declining","Stable")))))</f>
        <v>Growing</v>
      </c>
      <c r="AK161" s="10" t="b">
        <f aca="false">IF(OR(N161="Growing",N161="Stable"),"Healthy",N161)&lt;&gt;IF(OR(AJ161="Growing",AJ161="Stable"),"Healthy",AJ161)</f>
        <v>0</v>
      </c>
      <c r="AL161" s="2" t="str">
        <f aca="false">IF(N161="Lapsed",IF(OR(O161&lt;=Assumptions!$B$48,W161&lt;=Assumptions!$B$49),"One-Off / Insufficient History — Verify","Established Buyer Lapsed"),"N/A")</f>
        <v>N/A</v>
      </c>
      <c r="AM161" s="2" t="n">
        <f aca="false">INDEX('Scored Accounts'!$M$2:$M$301,MATCH($A161,'Scored Accounts'!$A$2:$A$301,0))</f>
        <v>0</v>
      </c>
      <c r="AN161" s="2" t="n">
        <f aca="false">IF((P161/(P161+Q161)*100)&lt;=Assumptions!$B$13,0,IF((P161/(P161+Q161)*100)&lt;Assumptions!$B$14,25,IF((P161/(P161+Q161)*100)&lt;Assumptions!$B$15,50,IF((P161/(P161+Q161)*100)&lt;Assumptions!$B$16,75,100))))</f>
        <v>0</v>
      </c>
      <c r="AO161" s="21" t="n">
        <f aca="false">IF((P161/(P161+Q161)*100)&lt;=Assumptions!$B$8,0,AN161*Assumptions!$B$4+INDEX('Scored Accounts'!$N$2:$N$301,MATCH($A161,'Scored Accounts'!$A$2:$A$301,0))*Assumptions!$B$5+INDEX('Scored Accounts'!$O$2:$O$301,MATCH($A161,'Scored Accounts'!$A$2:$A$301,0))*Assumptions!$B$6)</f>
        <v>0</v>
      </c>
      <c r="AP161" s="2" t="str">
        <f aca="false">IF(AO161&gt;=Assumptions!$B$9,"High",IF(AO161&gt;=Assumptions!$B$10,"Medium","Low"))</f>
        <v>Low</v>
      </c>
      <c r="AQ161" s="10" t="b">
        <f aca="false">OR((E161&lt;=Assumptions!$B$8)&lt;&gt;((P161/(P161+Q161)*100)&lt;=Assumptions!$B$8),AM161&lt;&gt;AN161,G161&lt;&gt;AP161)</f>
        <v>0</v>
      </c>
      <c r="AR161" s="2" t="str">
        <f aca="false">IF(AP161&lt;&gt;"Low","Broker-Reliant",IF(B161="Account Managed","AM-Owned / Self-Serving","Self-Serve"))</f>
        <v>AM-Owned / Self-Serving</v>
      </c>
      <c r="AS161" s="2" t="str">
        <f aca="false">IF(AR161="Broker-Reliant",IF(J161="Tail","5. Cost-to-Serve / Low-Touch",IF(OR(N161="Growing",N161="Stable"),"1. Migration Candidate",IF(N161="Declining","2. Protect / Retain First",IF(N161="Lapsed","3. Win-Back / Verify",IF(N161="H2 Active / No H1 GMV","4. Establish / Re-establish / Observe","UNASSIGNED"))))),IF(AP161="Low",IF(J161="Tail","9. Long-Tail Automated Nurture",IF(OR(N161="Growing",N161="Stable"),"6. Growth Opportunity",IF(N161="H2 Active / No H1 GMV","7. Onboard / Re-engage / Learn",IF(OR(N161="Declining",N161="Lapsed"),"8. Retention / Reactivation","UNASSIGNED")))),"UNASSIGNED"))</f>
        <v>9. Long-Tail Automated Nurture</v>
      </c>
      <c r="AT161" s="10" t="b">
        <f aca="false">AS161&lt;&gt;T161</f>
        <v>0</v>
      </c>
      <c r="AU161" s="2" t="str">
        <f aca="false">IF(NOT(U161),"Not Eligible",IF(OR(AQ161,AH161,AK161,NOT(AND(W161&gt;=Assumptions!$B$83,O161&gt;=Assumptions!$B$84))),"Manual Review","Ready"))</f>
        <v>Not Eligible</v>
      </c>
      <c r="AV161" s="2" t="str">
        <f aca="false">IF(AG161,"Key account - human sign-off required; ","")&amp;IF(AH161,"Borderline momentum; ","")&amp;IF(AK161,"February-sensitive ("&amp;N161&amp;" -&gt; "&amp;AJ161&amp;"); ","")&amp;IF(AL161="One-Off / Insufficient History — Verify","Lapsed on thin history - verify; ","")&amp;IF(AQ161,"Material broker % inconsistency (implied tier "&amp;AP161&amp;"); ","")&amp;IF(AT161,"Implied broker % would move segment to "&amp;AS161&amp;"; ","")</f>
        <v/>
      </c>
      <c r="AW161" s="10" t="b">
        <f aca="false">AND(G161="Low",J161="Tail",I161&gt;=Assumptions!$B$64,O161&gt;=Assumptions!$B$65,OR(N161="Growing",N161="Stable",AND(N161="H2 Active / No H1 GMV",W161&gt;=2)),OR(R161&gt;=Assumptions!$B$66,S161&gt;=Assumptions!$B$67))</f>
        <v>0</v>
      </c>
    </row>
    <row r="162" customFormat="false" ht="15" hidden="false" customHeight="false" outlineLevel="0" collapsed="false">
      <c r="A162" s="2" t="s">
        <v>834</v>
      </c>
      <c r="B162" s="2" t="s">
        <v>1571</v>
      </c>
      <c r="C162" s="2" t="s">
        <v>1572</v>
      </c>
      <c r="D162" s="2" t="n">
        <v>16</v>
      </c>
      <c r="E162" s="2" t="n">
        <v>16</v>
      </c>
      <c r="F162" s="21" t="n">
        <f aca="false">INDEX('Scored Accounts'!$Q$2:$Q$301,MATCH($A162,'Scored Accounts'!$A$2:$A$301,0))</f>
        <v>0</v>
      </c>
      <c r="G162" s="2" t="str">
        <f aca="false">INDEX('Scored Accounts'!$R$2:$R$301,MATCH($A162,'Scored Accounts'!$A$2:$A$301,0))</f>
        <v>Low</v>
      </c>
      <c r="H162" s="2" t="str">
        <f aca="false">IF(OR(G162="High",G162="Medium"),"Broker-Reliant",IF(AND(G162="Low",B162="Account Managed"),"AM-Owned / Self-Serving",IF(AND(G162="Low",B162="Self Serve"),"Self-Serve","UNASSIGNED")))</f>
        <v>AM-Owned / Self-Serving</v>
      </c>
      <c r="I162" s="9" t="n">
        <v>248</v>
      </c>
      <c r="J162" s="2" t="str">
        <f aca="false">IF(I162&gt;=Assumptions!$B$35,"Key",IF(I162&gt;=Assumptions!$B$34,"Core","Tail"))</f>
        <v>Tail</v>
      </c>
      <c r="K162" s="9" t="n">
        <f aca="false">INDEX('Commercial View'!$R$2:$R$301,MATCH($A162,'Commercial View'!$A$2:$A$301,0))</f>
        <v>248</v>
      </c>
      <c r="L162" s="9" t="n">
        <f aca="false">INDEX('Commercial View'!$S$2:$S$301,MATCH($A162,'Commercial View'!$A$2:$A$301,0))</f>
        <v>0</v>
      </c>
      <c r="M162" s="17" t="n">
        <f aca="false">INDEX('Commercial View'!$T$2:$T$301,MATCH($A162,'Commercial View'!$A$2:$A$301,0))</f>
        <v>-1</v>
      </c>
      <c r="N162" s="2" t="str">
        <f aca="false">INDEX('Commercial View'!$U$2:$U$301,MATCH($A162,'Commercial View'!$A$2:$A$301,0))</f>
        <v>Lapsed</v>
      </c>
      <c r="O162" s="2" t="n">
        <v>1</v>
      </c>
      <c r="P162" s="2" t="n">
        <v>0</v>
      </c>
      <c r="Q162" s="2" t="n">
        <v>1</v>
      </c>
      <c r="R162" s="2" t="n">
        <v>17</v>
      </c>
      <c r="S162" s="2" t="n">
        <v>0</v>
      </c>
      <c r="T162" s="2" t="str">
        <f aca="false">IF(H162="Broker-Reliant",IF(J162="Tail","5. Cost-to-Serve / Low-Touch",IF(OR(N162="Growing",N162="Stable"),"1. Migration Candidate",IF(N162="Declining","2. Protect / Retain First",IF(N162="Lapsed","3. Win-Back / Verify",IF(N162="H2 Active / No H1 GMV","4. Establish / Re-establish / Observe","UNASSIGNED"))))),IF(G162="Low",IF(J162="Tail","9. Long-Tail Automated Nurture",IF(OR(N162="Growing",N162="Stable"),"6. Growth Opportunity",IF(N162="H2 Active / No H1 GMV","7. Onboard / Re-engage / Learn",IF(OR(N162="Declining",N162="Lapsed"),"8. Retention / Reactivation","UNASSIGNED")))),"UNASSIGNED"))</f>
        <v>9. Long-Tail Automated Nurture</v>
      </c>
      <c r="U162" s="10" t="b">
        <f aca="false">AND(T162="1. Migration Candidate",J162="Core",O162&gt;=Assumptions!$B$39,Q162&gt;=Assumptions!$B$40,NOT(Z162))</f>
        <v>0</v>
      </c>
      <c r="V162" s="2" t="n">
        <f aca="false">(AND(H162="Broker-Reliant",J162&lt;&gt;"Tail",OR(N162="Growing",N162="Stable")))*1+(AND(H162="Broker-Reliant",J162&lt;&gt;"Tail",N162="Declining"))*1+(AND(H162="Broker-Reliant",J162&lt;&gt;"Tail",N162="Lapsed"))*1+(AND(H162="Broker-Reliant",J162&lt;&gt;"Tail",N162="H2 Active / No H1 GMV"))*1+(AND(H162="Broker-Reliant",J162="Tail"))*1+(AND(G162="Low",J162&lt;&gt;"Tail",OR(N162="Growing",N162="Stable")))*1+(AND(G162="Low",J162&lt;&gt;"Tail",N162="H2 Active / No H1 GMV"))*1+(AND(G162="Low",J162&lt;&gt;"Tail",OR(N162="Declining",N162="Lapsed")))*1+(AND(G162="Low",J162="Tail"))*1</f>
        <v>1</v>
      </c>
      <c r="W162" s="2" t="n">
        <f aca="false">INDEX('Commercial View'!$V$2:$V$301,MATCH($A162,'Commercial View'!$A$2:$A$301,0))</f>
        <v>1</v>
      </c>
      <c r="X162" s="10" t="b">
        <f aca="false">O162&lt;=Assumptions!$B$30</f>
        <v>1</v>
      </c>
      <c r="Y162" s="10" t="b">
        <f aca="false">W162&lt;=1</f>
        <v>1</v>
      </c>
      <c r="Z162" s="10" t="b">
        <f aca="false">C162="Duplicate"</f>
        <v>0</v>
      </c>
      <c r="AA162" s="10" t="b">
        <f aca="false">C162=""</f>
        <v>0</v>
      </c>
      <c r="AB162" s="2" t="n">
        <f aca="false">IF(P162+Q162&gt;0,ROUND(P162/(P162+Q162)*100,0),"")</f>
        <v>0</v>
      </c>
      <c r="AC162" s="2" t="n">
        <f aca="false">IF(P162+Q162&gt;0,ROUND(E162-P162/(P162+Q162)*100,0),"")</f>
        <v>16</v>
      </c>
      <c r="AD162" s="10" t="b">
        <f aca="false">IF(AC162="",FALSE(),ABS(AC162)&gt;Assumptions!$B$41)</f>
        <v>1</v>
      </c>
      <c r="AE162" s="2" t="str">
        <f aca="false">IF(X162,"Low confidence (&lt;=2 orders); ","")&amp;IF(Y162,"Single-month history; ","")&amp;IF(Z162,"CRITICAL: Duplicate status; ","")&amp;IF(AA162,"Missing status; ","")&amp;IF(AD162,"Broker % vs counts gap "&amp;TEXT(AC162,"+0;-0")&amp;"pts; ","")</f>
        <v>Low confidence (&lt;=2 orders); Single-month history; Broker % vs counts gap +16pts; </v>
      </c>
      <c r="AF162" s="2" t="str">
        <f aca="false">IF(AND(K162=0,L162&gt;0),IF(D162&lt;=Assumptions!$B$47,"New Customer","Returned Customer"),"Existing Customer")</f>
        <v>Existing Customer</v>
      </c>
      <c r="AG162" s="10" t="b">
        <f aca="false">AND(T162="1. Migration Candidate",J162="Key")</f>
        <v>0</v>
      </c>
      <c r="AH162" s="10" t="b">
        <f aca="false">IF(AND(K162&gt;0,L162&gt;0),OR(ABS(M162-Assumptions!$B$36)&lt;=Assumptions!$B$46,ABS(M162+Assumptions!$B$36)&lt;=Assumptions!$B$46),FALSE())</f>
        <v>0</v>
      </c>
      <c r="AI162" s="9" t="n">
        <f aca="false">INDEX('Commercial View'!$L$2:$L$301,MATCH($A162,'Commercial View'!$A$2:$A$301,0))+INDEX('Commercial View'!$M$2:$M$301,MATCH($A162,'Commercial View'!$A$2:$A$301,0))</f>
        <v>0</v>
      </c>
      <c r="AJ162" s="2" t="str">
        <f aca="false">IF(AND(K162=0,AI162=0),"No activity ex-Feb",IF(AI162=0,"Lapsed",IF(K162=0,"H2 Active / No H1 GMV",IF((AI162/2)/(K162/3)-1&gt;=Assumptions!$B$36,"Growing",IF((AI162/2)/(K162/3)-1&lt;-Assumptions!$B$36,"Declining","Stable")))))</f>
        <v>Lapsed</v>
      </c>
      <c r="AK162" s="10" t="b">
        <f aca="false">IF(OR(N162="Growing",N162="Stable"),"Healthy",N162)&lt;&gt;IF(OR(AJ162="Growing",AJ162="Stable"),"Healthy",AJ162)</f>
        <v>0</v>
      </c>
      <c r="AL162" s="2" t="str">
        <f aca="false">IF(N162="Lapsed",IF(OR(O162&lt;=Assumptions!$B$48,W162&lt;=Assumptions!$B$49),"One-Off / Insufficient History — Verify","Established Buyer Lapsed"),"N/A")</f>
        <v>One-Off / Insufficient History — Verify</v>
      </c>
      <c r="AM162" s="2" t="n">
        <f aca="false">INDEX('Scored Accounts'!$M$2:$M$301,MATCH($A162,'Scored Accounts'!$A$2:$A$301,0))</f>
        <v>0</v>
      </c>
      <c r="AN162" s="2" t="n">
        <f aca="false">IF((P162/(P162+Q162)*100)&lt;=Assumptions!$B$13,0,IF((P162/(P162+Q162)*100)&lt;Assumptions!$B$14,25,IF((P162/(P162+Q162)*100)&lt;Assumptions!$B$15,50,IF((P162/(P162+Q162)*100)&lt;Assumptions!$B$16,75,100))))</f>
        <v>0</v>
      </c>
      <c r="AO162" s="21" t="n">
        <f aca="false">IF((P162/(P162+Q162)*100)&lt;=Assumptions!$B$8,0,AN162*Assumptions!$B$4+INDEX('Scored Accounts'!$N$2:$N$301,MATCH($A162,'Scored Accounts'!$A$2:$A$301,0))*Assumptions!$B$5+INDEX('Scored Accounts'!$O$2:$O$301,MATCH($A162,'Scored Accounts'!$A$2:$A$301,0))*Assumptions!$B$6)</f>
        <v>0</v>
      </c>
      <c r="AP162" s="2" t="str">
        <f aca="false">IF(AO162&gt;=Assumptions!$B$9,"High",IF(AO162&gt;=Assumptions!$B$10,"Medium","Low"))</f>
        <v>Low</v>
      </c>
      <c r="AQ162" s="10" t="b">
        <f aca="false">OR((E162&lt;=Assumptions!$B$8)&lt;&gt;((P162/(P162+Q162)*100)&lt;=Assumptions!$B$8),AM162&lt;&gt;AN162,G162&lt;&gt;AP162)</f>
        <v>0</v>
      </c>
      <c r="AR162" s="2" t="str">
        <f aca="false">IF(AP162&lt;&gt;"Low","Broker-Reliant",IF(B162="Account Managed","AM-Owned / Self-Serving","Self-Serve"))</f>
        <v>AM-Owned / Self-Serving</v>
      </c>
      <c r="AS162" s="2" t="str">
        <f aca="false">IF(AR162="Broker-Reliant",IF(J162="Tail","5. Cost-to-Serve / Low-Touch",IF(OR(N162="Growing",N162="Stable"),"1. Migration Candidate",IF(N162="Declining","2. Protect / Retain First",IF(N162="Lapsed","3. Win-Back / Verify",IF(N162="H2 Active / No H1 GMV","4. Establish / Re-establish / Observe","UNASSIGNED"))))),IF(AP162="Low",IF(J162="Tail","9. Long-Tail Automated Nurture",IF(OR(N162="Growing",N162="Stable"),"6. Growth Opportunity",IF(N162="H2 Active / No H1 GMV","7. Onboard / Re-engage / Learn",IF(OR(N162="Declining",N162="Lapsed"),"8. Retention / Reactivation","UNASSIGNED")))),"UNASSIGNED"))</f>
        <v>9. Long-Tail Automated Nurture</v>
      </c>
      <c r="AT162" s="10" t="b">
        <f aca="false">AS162&lt;&gt;T162</f>
        <v>0</v>
      </c>
      <c r="AU162" s="2" t="str">
        <f aca="false">IF(NOT(U162),"Not Eligible",IF(OR(AQ162,AH162,AK162,NOT(AND(W162&gt;=Assumptions!$B$83,O162&gt;=Assumptions!$B$84))),"Manual Review","Ready"))</f>
        <v>Not Eligible</v>
      </c>
      <c r="AV162" s="2" t="str">
        <f aca="false">IF(AG162,"Key account - human sign-off required; ","")&amp;IF(AH162,"Borderline momentum; ","")&amp;IF(AK162,"February-sensitive ("&amp;N162&amp;" -&gt; "&amp;AJ162&amp;"); ","")&amp;IF(AL162="One-Off / Insufficient History — Verify","Lapsed on thin history - verify; ","")&amp;IF(AQ162,"Material broker % inconsistency (implied tier "&amp;AP162&amp;"); ","")&amp;IF(AT162,"Implied broker % would move segment to "&amp;AS162&amp;"; ","")</f>
        <v>Lapsed on thin history - verify; </v>
      </c>
      <c r="AW162" s="10" t="b">
        <f aca="false">AND(G162="Low",J162="Tail",I162&gt;=Assumptions!$B$64,O162&gt;=Assumptions!$B$65,OR(N162="Growing",N162="Stable",AND(N162="H2 Active / No H1 GMV",W162&gt;=2)),OR(R162&gt;=Assumptions!$B$66,S162&gt;=Assumptions!$B$67))</f>
        <v>0</v>
      </c>
    </row>
    <row r="163" customFormat="false" ht="15" hidden="false" customHeight="false" outlineLevel="0" collapsed="false">
      <c r="A163" s="2" t="s">
        <v>838</v>
      </c>
      <c r="B163" s="2" t="s">
        <v>1571</v>
      </c>
      <c r="C163" s="2"/>
      <c r="D163" s="2" t="n">
        <v>6</v>
      </c>
      <c r="E163" s="2" t="n">
        <v>9</v>
      </c>
      <c r="F163" s="21" t="n">
        <f aca="false">INDEX('Scored Accounts'!$Q$2:$Q$301,MATCH($A163,'Scored Accounts'!$A$2:$A$301,0))</f>
        <v>0</v>
      </c>
      <c r="G163" s="2" t="str">
        <f aca="false">INDEX('Scored Accounts'!$R$2:$R$301,MATCH($A163,'Scored Accounts'!$A$2:$A$301,0))</f>
        <v>Low</v>
      </c>
      <c r="H163" s="2" t="str">
        <f aca="false">IF(OR(G163="High",G163="Medium"),"Broker-Reliant",IF(AND(G163="Low",B163="Account Managed"),"AM-Owned / Self-Serving",IF(AND(G163="Low",B163="Self Serve"),"Self-Serve","UNASSIGNED")))</f>
        <v>AM-Owned / Self-Serving</v>
      </c>
      <c r="I163" s="9" t="n">
        <v>242</v>
      </c>
      <c r="J163" s="2" t="str">
        <f aca="false">IF(I163&gt;=Assumptions!$B$35,"Key",IF(I163&gt;=Assumptions!$B$34,"Core","Tail"))</f>
        <v>Tail</v>
      </c>
      <c r="K163" s="9" t="n">
        <f aca="false">INDEX('Commercial View'!$R$2:$R$301,MATCH($A163,'Commercial View'!$A$2:$A$301,0))</f>
        <v>242</v>
      </c>
      <c r="L163" s="9" t="n">
        <f aca="false">INDEX('Commercial View'!$S$2:$S$301,MATCH($A163,'Commercial View'!$A$2:$A$301,0))</f>
        <v>0</v>
      </c>
      <c r="M163" s="17" t="n">
        <f aca="false">INDEX('Commercial View'!$T$2:$T$301,MATCH($A163,'Commercial View'!$A$2:$A$301,0))</f>
        <v>-1</v>
      </c>
      <c r="N163" s="2" t="str">
        <f aca="false">INDEX('Commercial View'!$U$2:$U$301,MATCH($A163,'Commercial View'!$A$2:$A$301,0))</f>
        <v>Lapsed</v>
      </c>
      <c r="O163" s="2" t="n">
        <v>1</v>
      </c>
      <c r="P163" s="2" t="n">
        <v>0</v>
      </c>
      <c r="Q163" s="2" t="n">
        <v>1</v>
      </c>
      <c r="R163" s="2" t="n">
        <v>7</v>
      </c>
      <c r="S163" s="2" t="n">
        <v>1</v>
      </c>
      <c r="T163" s="2" t="str">
        <f aca="false">IF(H163="Broker-Reliant",IF(J163="Tail","5. Cost-to-Serve / Low-Touch",IF(OR(N163="Growing",N163="Stable"),"1. Migration Candidate",IF(N163="Declining","2. Protect / Retain First",IF(N163="Lapsed","3. Win-Back / Verify",IF(N163="H2 Active / No H1 GMV","4. Establish / Re-establish / Observe","UNASSIGNED"))))),IF(G163="Low",IF(J163="Tail","9. Long-Tail Automated Nurture",IF(OR(N163="Growing",N163="Stable"),"6. Growth Opportunity",IF(N163="H2 Active / No H1 GMV","7. Onboard / Re-engage / Learn",IF(OR(N163="Declining",N163="Lapsed"),"8. Retention / Reactivation","UNASSIGNED")))),"UNASSIGNED"))</f>
        <v>9. Long-Tail Automated Nurture</v>
      </c>
      <c r="U163" s="10" t="b">
        <f aca="false">AND(T163="1. Migration Candidate",J163="Core",O163&gt;=Assumptions!$B$39,Q163&gt;=Assumptions!$B$40,NOT(Z163))</f>
        <v>0</v>
      </c>
      <c r="V163" s="2" t="n">
        <f aca="false">(AND(H163="Broker-Reliant",J163&lt;&gt;"Tail",OR(N163="Growing",N163="Stable")))*1+(AND(H163="Broker-Reliant",J163&lt;&gt;"Tail",N163="Declining"))*1+(AND(H163="Broker-Reliant",J163&lt;&gt;"Tail",N163="Lapsed"))*1+(AND(H163="Broker-Reliant",J163&lt;&gt;"Tail",N163="H2 Active / No H1 GMV"))*1+(AND(H163="Broker-Reliant",J163="Tail"))*1+(AND(G163="Low",J163&lt;&gt;"Tail",OR(N163="Growing",N163="Stable")))*1+(AND(G163="Low",J163&lt;&gt;"Tail",N163="H2 Active / No H1 GMV"))*1+(AND(G163="Low",J163&lt;&gt;"Tail",OR(N163="Declining",N163="Lapsed")))*1+(AND(G163="Low",J163="Tail"))*1</f>
        <v>1</v>
      </c>
      <c r="W163" s="2" t="n">
        <f aca="false">INDEX('Commercial View'!$V$2:$V$301,MATCH($A163,'Commercial View'!$A$2:$A$301,0))</f>
        <v>1</v>
      </c>
      <c r="X163" s="10" t="b">
        <f aca="false">O163&lt;=Assumptions!$B$30</f>
        <v>1</v>
      </c>
      <c r="Y163" s="10" t="b">
        <f aca="false">W163&lt;=1</f>
        <v>1</v>
      </c>
      <c r="Z163" s="10" t="b">
        <f aca="false">C163="Duplicate"</f>
        <v>0</v>
      </c>
      <c r="AA163" s="10" t="b">
        <f aca="false">C163=""</f>
        <v>1</v>
      </c>
      <c r="AB163" s="2" t="n">
        <f aca="false">IF(P163+Q163&gt;0,ROUND(P163/(P163+Q163)*100,0),"")</f>
        <v>0</v>
      </c>
      <c r="AC163" s="2" t="n">
        <f aca="false">IF(P163+Q163&gt;0,ROUND(E163-P163/(P163+Q163)*100,0),"")</f>
        <v>9</v>
      </c>
      <c r="AD163" s="10" t="b">
        <f aca="false">IF(AC163="",FALSE(),ABS(AC163)&gt;Assumptions!$B$41)</f>
        <v>0</v>
      </c>
      <c r="AE163" s="2" t="str">
        <f aca="false">IF(X163,"Low confidence (&lt;=2 orders); ","")&amp;IF(Y163,"Single-month history; ","")&amp;IF(Z163,"CRITICAL: Duplicate status; ","")&amp;IF(AA163,"Missing status; ","")&amp;IF(AD163,"Broker % vs counts gap "&amp;TEXT(AC163,"+0;-0")&amp;"pts; ","")</f>
        <v>Low confidence (&lt;=2 orders); Single-month history; Missing status; </v>
      </c>
      <c r="AF163" s="2" t="str">
        <f aca="false">IF(AND(K163=0,L163&gt;0),IF(D163&lt;=Assumptions!$B$47,"New Customer","Returned Customer"),"Existing Customer")</f>
        <v>Existing Customer</v>
      </c>
      <c r="AG163" s="10" t="b">
        <f aca="false">AND(T163="1. Migration Candidate",J163="Key")</f>
        <v>0</v>
      </c>
      <c r="AH163" s="10" t="b">
        <f aca="false">IF(AND(K163&gt;0,L163&gt;0),OR(ABS(M163-Assumptions!$B$36)&lt;=Assumptions!$B$46,ABS(M163+Assumptions!$B$36)&lt;=Assumptions!$B$46),FALSE())</f>
        <v>0</v>
      </c>
      <c r="AI163" s="9" t="n">
        <f aca="false">INDEX('Commercial View'!$L$2:$L$301,MATCH($A163,'Commercial View'!$A$2:$A$301,0))+INDEX('Commercial View'!$M$2:$M$301,MATCH($A163,'Commercial View'!$A$2:$A$301,0))</f>
        <v>0</v>
      </c>
      <c r="AJ163" s="2" t="str">
        <f aca="false">IF(AND(K163=0,AI163=0),"No activity ex-Feb",IF(AI163=0,"Lapsed",IF(K163=0,"H2 Active / No H1 GMV",IF((AI163/2)/(K163/3)-1&gt;=Assumptions!$B$36,"Growing",IF((AI163/2)/(K163/3)-1&lt;-Assumptions!$B$36,"Declining","Stable")))))</f>
        <v>Lapsed</v>
      </c>
      <c r="AK163" s="10" t="b">
        <f aca="false">IF(OR(N163="Growing",N163="Stable"),"Healthy",N163)&lt;&gt;IF(OR(AJ163="Growing",AJ163="Stable"),"Healthy",AJ163)</f>
        <v>0</v>
      </c>
      <c r="AL163" s="2" t="str">
        <f aca="false">IF(N163="Lapsed",IF(OR(O163&lt;=Assumptions!$B$48,W163&lt;=Assumptions!$B$49),"One-Off / Insufficient History — Verify","Established Buyer Lapsed"),"N/A")</f>
        <v>One-Off / Insufficient History — Verify</v>
      </c>
      <c r="AM163" s="2" t="n">
        <f aca="false">INDEX('Scored Accounts'!$M$2:$M$301,MATCH($A163,'Scored Accounts'!$A$2:$A$301,0))</f>
        <v>0</v>
      </c>
      <c r="AN163" s="2" t="n">
        <f aca="false">IF((P163/(P163+Q163)*100)&lt;=Assumptions!$B$13,0,IF((P163/(P163+Q163)*100)&lt;Assumptions!$B$14,25,IF((P163/(P163+Q163)*100)&lt;Assumptions!$B$15,50,IF((P163/(P163+Q163)*100)&lt;Assumptions!$B$16,75,100))))</f>
        <v>0</v>
      </c>
      <c r="AO163" s="21" t="n">
        <f aca="false">IF((P163/(P163+Q163)*100)&lt;=Assumptions!$B$8,0,AN163*Assumptions!$B$4+INDEX('Scored Accounts'!$N$2:$N$301,MATCH($A163,'Scored Accounts'!$A$2:$A$301,0))*Assumptions!$B$5+INDEX('Scored Accounts'!$O$2:$O$301,MATCH($A163,'Scored Accounts'!$A$2:$A$301,0))*Assumptions!$B$6)</f>
        <v>0</v>
      </c>
      <c r="AP163" s="2" t="str">
        <f aca="false">IF(AO163&gt;=Assumptions!$B$9,"High",IF(AO163&gt;=Assumptions!$B$10,"Medium","Low"))</f>
        <v>Low</v>
      </c>
      <c r="AQ163" s="10" t="b">
        <f aca="false">OR((E163&lt;=Assumptions!$B$8)&lt;&gt;((P163/(P163+Q163)*100)&lt;=Assumptions!$B$8),AM163&lt;&gt;AN163,G163&lt;&gt;AP163)</f>
        <v>0</v>
      </c>
      <c r="AR163" s="2" t="str">
        <f aca="false">IF(AP163&lt;&gt;"Low","Broker-Reliant",IF(B163="Account Managed","AM-Owned / Self-Serving","Self-Serve"))</f>
        <v>AM-Owned / Self-Serving</v>
      </c>
      <c r="AS163" s="2" t="str">
        <f aca="false">IF(AR163="Broker-Reliant",IF(J163="Tail","5. Cost-to-Serve / Low-Touch",IF(OR(N163="Growing",N163="Stable"),"1. Migration Candidate",IF(N163="Declining","2. Protect / Retain First",IF(N163="Lapsed","3. Win-Back / Verify",IF(N163="H2 Active / No H1 GMV","4. Establish / Re-establish / Observe","UNASSIGNED"))))),IF(AP163="Low",IF(J163="Tail","9. Long-Tail Automated Nurture",IF(OR(N163="Growing",N163="Stable"),"6. Growth Opportunity",IF(N163="H2 Active / No H1 GMV","7. Onboard / Re-engage / Learn",IF(OR(N163="Declining",N163="Lapsed"),"8. Retention / Reactivation","UNASSIGNED")))),"UNASSIGNED"))</f>
        <v>9. Long-Tail Automated Nurture</v>
      </c>
      <c r="AT163" s="10" t="b">
        <f aca="false">AS163&lt;&gt;T163</f>
        <v>0</v>
      </c>
      <c r="AU163" s="2" t="str">
        <f aca="false">IF(NOT(U163),"Not Eligible",IF(OR(AQ163,AH163,AK163,NOT(AND(W163&gt;=Assumptions!$B$83,O163&gt;=Assumptions!$B$84))),"Manual Review","Ready"))</f>
        <v>Not Eligible</v>
      </c>
      <c r="AV163" s="2" t="str">
        <f aca="false">IF(AG163,"Key account - human sign-off required; ","")&amp;IF(AH163,"Borderline momentum; ","")&amp;IF(AK163,"February-sensitive ("&amp;N163&amp;" -&gt; "&amp;AJ163&amp;"); ","")&amp;IF(AL163="One-Off / Insufficient History — Verify","Lapsed on thin history - verify; ","")&amp;IF(AQ163,"Material broker % inconsistency (implied tier "&amp;AP163&amp;"); ","")&amp;IF(AT163,"Implied broker % would move segment to "&amp;AS163&amp;"; ","")</f>
        <v>Lapsed on thin history - verify; </v>
      </c>
      <c r="AW163" s="10" t="b">
        <f aca="false">AND(G163="Low",J163="Tail",I163&gt;=Assumptions!$B$64,O163&gt;=Assumptions!$B$65,OR(N163="Growing",N163="Stable",AND(N163="H2 Active / No H1 GMV",W163&gt;=2)),OR(R163&gt;=Assumptions!$B$66,S163&gt;=Assumptions!$B$67))</f>
        <v>0</v>
      </c>
    </row>
    <row r="164" customFormat="false" ht="15" hidden="false" customHeight="false" outlineLevel="0" collapsed="false">
      <c r="A164" s="2" t="s">
        <v>842</v>
      </c>
      <c r="B164" s="2" t="s">
        <v>1571</v>
      </c>
      <c r="C164" s="2" t="s">
        <v>1572</v>
      </c>
      <c r="D164" s="2" t="n">
        <v>6</v>
      </c>
      <c r="E164" s="2" t="n">
        <v>6</v>
      </c>
      <c r="F164" s="21" t="n">
        <f aca="false">INDEX('Scored Accounts'!$Q$2:$Q$301,MATCH($A164,'Scored Accounts'!$A$2:$A$301,0))</f>
        <v>0</v>
      </c>
      <c r="G164" s="2" t="str">
        <f aca="false">INDEX('Scored Accounts'!$R$2:$R$301,MATCH($A164,'Scored Accounts'!$A$2:$A$301,0))</f>
        <v>Low</v>
      </c>
      <c r="H164" s="2" t="str">
        <f aca="false">IF(OR(G164="High",G164="Medium"),"Broker-Reliant",IF(AND(G164="Low",B164="Account Managed"),"AM-Owned / Self-Serving",IF(AND(G164="Low",B164="Self Serve"),"Self-Serve","UNASSIGNED")))</f>
        <v>AM-Owned / Self-Serving</v>
      </c>
      <c r="I164" s="9" t="n">
        <v>240</v>
      </c>
      <c r="J164" s="2" t="str">
        <f aca="false">IF(I164&gt;=Assumptions!$B$35,"Key",IF(I164&gt;=Assumptions!$B$34,"Core","Tail"))</f>
        <v>Tail</v>
      </c>
      <c r="K164" s="9" t="n">
        <f aca="false">INDEX('Commercial View'!$R$2:$R$301,MATCH($A164,'Commercial View'!$A$2:$A$301,0))</f>
        <v>240</v>
      </c>
      <c r="L164" s="9" t="n">
        <f aca="false">INDEX('Commercial View'!$S$2:$S$301,MATCH($A164,'Commercial View'!$A$2:$A$301,0))</f>
        <v>0</v>
      </c>
      <c r="M164" s="17" t="n">
        <f aca="false">INDEX('Commercial View'!$T$2:$T$301,MATCH($A164,'Commercial View'!$A$2:$A$301,0))</f>
        <v>-1</v>
      </c>
      <c r="N164" s="2" t="str">
        <f aca="false">INDEX('Commercial View'!$U$2:$U$301,MATCH($A164,'Commercial View'!$A$2:$A$301,0))</f>
        <v>Lapsed</v>
      </c>
      <c r="O164" s="2" t="n">
        <v>1</v>
      </c>
      <c r="P164" s="2" t="n">
        <v>0</v>
      </c>
      <c r="Q164" s="2" t="n">
        <v>1</v>
      </c>
      <c r="R164" s="2" t="n">
        <v>9</v>
      </c>
      <c r="S164" s="2" t="n">
        <v>1</v>
      </c>
      <c r="T164" s="2" t="str">
        <f aca="false">IF(H164="Broker-Reliant",IF(J164="Tail","5. Cost-to-Serve / Low-Touch",IF(OR(N164="Growing",N164="Stable"),"1. Migration Candidate",IF(N164="Declining","2. Protect / Retain First",IF(N164="Lapsed","3. Win-Back / Verify",IF(N164="H2 Active / No H1 GMV","4. Establish / Re-establish / Observe","UNASSIGNED"))))),IF(G164="Low",IF(J164="Tail","9. Long-Tail Automated Nurture",IF(OR(N164="Growing",N164="Stable"),"6. Growth Opportunity",IF(N164="H2 Active / No H1 GMV","7. Onboard / Re-engage / Learn",IF(OR(N164="Declining",N164="Lapsed"),"8. Retention / Reactivation","UNASSIGNED")))),"UNASSIGNED"))</f>
        <v>9. Long-Tail Automated Nurture</v>
      </c>
      <c r="U164" s="10" t="b">
        <f aca="false">AND(T164="1. Migration Candidate",J164="Core",O164&gt;=Assumptions!$B$39,Q164&gt;=Assumptions!$B$40,NOT(Z164))</f>
        <v>0</v>
      </c>
      <c r="V164" s="2" t="n">
        <f aca="false">(AND(H164="Broker-Reliant",J164&lt;&gt;"Tail",OR(N164="Growing",N164="Stable")))*1+(AND(H164="Broker-Reliant",J164&lt;&gt;"Tail",N164="Declining"))*1+(AND(H164="Broker-Reliant",J164&lt;&gt;"Tail",N164="Lapsed"))*1+(AND(H164="Broker-Reliant",J164&lt;&gt;"Tail",N164="H2 Active / No H1 GMV"))*1+(AND(H164="Broker-Reliant",J164="Tail"))*1+(AND(G164="Low",J164&lt;&gt;"Tail",OR(N164="Growing",N164="Stable")))*1+(AND(G164="Low",J164&lt;&gt;"Tail",N164="H2 Active / No H1 GMV"))*1+(AND(G164="Low",J164&lt;&gt;"Tail",OR(N164="Declining",N164="Lapsed")))*1+(AND(G164="Low",J164="Tail"))*1</f>
        <v>1</v>
      </c>
      <c r="W164" s="2" t="n">
        <f aca="false">INDEX('Commercial View'!$V$2:$V$301,MATCH($A164,'Commercial View'!$A$2:$A$301,0))</f>
        <v>1</v>
      </c>
      <c r="X164" s="10" t="b">
        <f aca="false">O164&lt;=Assumptions!$B$30</f>
        <v>1</v>
      </c>
      <c r="Y164" s="10" t="b">
        <f aca="false">W164&lt;=1</f>
        <v>1</v>
      </c>
      <c r="Z164" s="10" t="b">
        <f aca="false">C164="Duplicate"</f>
        <v>0</v>
      </c>
      <c r="AA164" s="10" t="b">
        <f aca="false">C164=""</f>
        <v>0</v>
      </c>
      <c r="AB164" s="2" t="n">
        <f aca="false">IF(P164+Q164&gt;0,ROUND(P164/(P164+Q164)*100,0),"")</f>
        <v>0</v>
      </c>
      <c r="AC164" s="2" t="n">
        <f aca="false">IF(P164+Q164&gt;0,ROUND(E164-P164/(P164+Q164)*100,0),"")</f>
        <v>6</v>
      </c>
      <c r="AD164" s="10" t="b">
        <f aca="false">IF(AC164="",FALSE(),ABS(AC164)&gt;Assumptions!$B$41)</f>
        <v>0</v>
      </c>
      <c r="AE164" s="2" t="str">
        <f aca="false">IF(X164,"Low confidence (&lt;=2 orders); ","")&amp;IF(Y164,"Single-month history; ","")&amp;IF(Z164,"CRITICAL: Duplicate status; ","")&amp;IF(AA164,"Missing status; ","")&amp;IF(AD164,"Broker % vs counts gap "&amp;TEXT(AC164,"+0;-0")&amp;"pts; ","")</f>
        <v>Low confidence (&lt;=2 orders); Single-month history; </v>
      </c>
      <c r="AF164" s="2" t="str">
        <f aca="false">IF(AND(K164=0,L164&gt;0),IF(D164&lt;=Assumptions!$B$47,"New Customer","Returned Customer"),"Existing Customer")</f>
        <v>Existing Customer</v>
      </c>
      <c r="AG164" s="10" t="b">
        <f aca="false">AND(T164="1. Migration Candidate",J164="Key")</f>
        <v>0</v>
      </c>
      <c r="AH164" s="10" t="b">
        <f aca="false">IF(AND(K164&gt;0,L164&gt;0),OR(ABS(M164-Assumptions!$B$36)&lt;=Assumptions!$B$46,ABS(M164+Assumptions!$B$36)&lt;=Assumptions!$B$46),FALSE())</f>
        <v>0</v>
      </c>
      <c r="AI164" s="9" t="n">
        <f aca="false">INDEX('Commercial View'!$L$2:$L$301,MATCH($A164,'Commercial View'!$A$2:$A$301,0))+INDEX('Commercial View'!$M$2:$M$301,MATCH($A164,'Commercial View'!$A$2:$A$301,0))</f>
        <v>0</v>
      </c>
      <c r="AJ164" s="2" t="str">
        <f aca="false">IF(AND(K164=0,AI164=0),"No activity ex-Feb",IF(AI164=0,"Lapsed",IF(K164=0,"H2 Active / No H1 GMV",IF((AI164/2)/(K164/3)-1&gt;=Assumptions!$B$36,"Growing",IF((AI164/2)/(K164/3)-1&lt;-Assumptions!$B$36,"Declining","Stable")))))</f>
        <v>Lapsed</v>
      </c>
      <c r="AK164" s="10" t="b">
        <f aca="false">IF(OR(N164="Growing",N164="Stable"),"Healthy",N164)&lt;&gt;IF(OR(AJ164="Growing",AJ164="Stable"),"Healthy",AJ164)</f>
        <v>0</v>
      </c>
      <c r="AL164" s="2" t="str">
        <f aca="false">IF(N164="Lapsed",IF(OR(O164&lt;=Assumptions!$B$48,W164&lt;=Assumptions!$B$49),"One-Off / Insufficient History — Verify","Established Buyer Lapsed"),"N/A")</f>
        <v>One-Off / Insufficient History — Verify</v>
      </c>
      <c r="AM164" s="2" t="n">
        <f aca="false">INDEX('Scored Accounts'!$M$2:$M$301,MATCH($A164,'Scored Accounts'!$A$2:$A$301,0))</f>
        <v>0</v>
      </c>
      <c r="AN164" s="2" t="n">
        <f aca="false">IF((P164/(P164+Q164)*100)&lt;=Assumptions!$B$13,0,IF((P164/(P164+Q164)*100)&lt;Assumptions!$B$14,25,IF((P164/(P164+Q164)*100)&lt;Assumptions!$B$15,50,IF((P164/(P164+Q164)*100)&lt;Assumptions!$B$16,75,100))))</f>
        <v>0</v>
      </c>
      <c r="AO164" s="21" t="n">
        <f aca="false">IF((P164/(P164+Q164)*100)&lt;=Assumptions!$B$8,0,AN164*Assumptions!$B$4+INDEX('Scored Accounts'!$N$2:$N$301,MATCH($A164,'Scored Accounts'!$A$2:$A$301,0))*Assumptions!$B$5+INDEX('Scored Accounts'!$O$2:$O$301,MATCH($A164,'Scored Accounts'!$A$2:$A$301,0))*Assumptions!$B$6)</f>
        <v>0</v>
      </c>
      <c r="AP164" s="2" t="str">
        <f aca="false">IF(AO164&gt;=Assumptions!$B$9,"High",IF(AO164&gt;=Assumptions!$B$10,"Medium","Low"))</f>
        <v>Low</v>
      </c>
      <c r="AQ164" s="10" t="b">
        <f aca="false">OR((E164&lt;=Assumptions!$B$8)&lt;&gt;((P164/(P164+Q164)*100)&lt;=Assumptions!$B$8),AM164&lt;&gt;AN164,G164&lt;&gt;AP164)</f>
        <v>0</v>
      </c>
      <c r="AR164" s="2" t="str">
        <f aca="false">IF(AP164&lt;&gt;"Low","Broker-Reliant",IF(B164="Account Managed","AM-Owned / Self-Serving","Self-Serve"))</f>
        <v>AM-Owned / Self-Serving</v>
      </c>
      <c r="AS164" s="2" t="str">
        <f aca="false">IF(AR164="Broker-Reliant",IF(J164="Tail","5. Cost-to-Serve / Low-Touch",IF(OR(N164="Growing",N164="Stable"),"1. Migration Candidate",IF(N164="Declining","2. Protect / Retain First",IF(N164="Lapsed","3. Win-Back / Verify",IF(N164="H2 Active / No H1 GMV","4. Establish / Re-establish / Observe","UNASSIGNED"))))),IF(AP164="Low",IF(J164="Tail","9. Long-Tail Automated Nurture",IF(OR(N164="Growing",N164="Stable"),"6. Growth Opportunity",IF(N164="H2 Active / No H1 GMV","7. Onboard / Re-engage / Learn",IF(OR(N164="Declining",N164="Lapsed"),"8. Retention / Reactivation","UNASSIGNED")))),"UNASSIGNED"))</f>
        <v>9. Long-Tail Automated Nurture</v>
      </c>
      <c r="AT164" s="10" t="b">
        <f aca="false">AS164&lt;&gt;T164</f>
        <v>0</v>
      </c>
      <c r="AU164" s="2" t="str">
        <f aca="false">IF(NOT(U164),"Not Eligible",IF(OR(AQ164,AH164,AK164,NOT(AND(W164&gt;=Assumptions!$B$83,O164&gt;=Assumptions!$B$84))),"Manual Review","Ready"))</f>
        <v>Not Eligible</v>
      </c>
      <c r="AV164" s="2" t="str">
        <f aca="false">IF(AG164,"Key account - human sign-off required; ","")&amp;IF(AH164,"Borderline momentum; ","")&amp;IF(AK164,"February-sensitive ("&amp;N164&amp;" -&gt; "&amp;AJ164&amp;"); ","")&amp;IF(AL164="One-Off / Insufficient History — Verify","Lapsed on thin history - verify; ","")&amp;IF(AQ164,"Material broker % inconsistency (implied tier "&amp;AP164&amp;"); ","")&amp;IF(AT164,"Implied broker % would move segment to "&amp;AS164&amp;"; ","")</f>
        <v>Lapsed on thin history - verify; </v>
      </c>
      <c r="AW164" s="10" t="b">
        <f aca="false">AND(G164="Low",J164="Tail",I164&gt;=Assumptions!$B$64,O164&gt;=Assumptions!$B$65,OR(N164="Growing",N164="Stable",AND(N164="H2 Active / No H1 GMV",W164&gt;=2)),OR(R164&gt;=Assumptions!$B$66,S164&gt;=Assumptions!$B$67))</f>
        <v>0</v>
      </c>
    </row>
    <row r="165" customFormat="false" ht="15" hidden="false" customHeight="false" outlineLevel="0" collapsed="false">
      <c r="A165" s="2" t="s">
        <v>844</v>
      </c>
      <c r="B165" s="2" t="s">
        <v>1571</v>
      </c>
      <c r="C165" s="2"/>
      <c r="D165" s="2" t="n">
        <v>6</v>
      </c>
      <c r="E165" s="2" t="n">
        <v>18</v>
      </c>
      <c r="F165" s="21" t="n">
        <f aca="false">INDEX('Scored Accounts'!$Q$2:$Q$301,MATCH($A165,'Scored Accounts'!$A$2:$A$301,0))</f>
        <v>0</v>
      </c>
      <c r="G165" s="2" t="str">
        <f aca="false">INDEX('Scored Accounts'!$R$2:$R$301,MATCH($A165,'Scored Accounts'!$A$2:$A$301,0))</f>
        <v>Low</v>
      </c>
      <c r="H165" s="2" t="str">
        <f aca="false">IF(OR(G165="High",G165="Medium"),"Broker-Reliant",IF(AND(G165="Low",B165="Account Managed"),"AM-Owned / Self-Serving",IF(AND(G165="Low",B165="Self Serve"),"Self-Serve","UNASSIGNED")))</f>
        <v>AM-Owned / Self-Serving</v>
      </c>
      <c r="I165" s="9" t="n">
        <v>230</v>
      </c>
      <c r="J165" s="2" t="str">
        <f aca="false">IF(I165&gt;=Assumptions!$B$35,"Key",IF(I165&gt;=Assumptions!$B$34,"Core","Tail"))</f>
        <v>Tail</v>
      </c>
      <c r="K165" s="9" t="n">
        <f aca="false">INDEX('Commercial View'!$R$2:$R$301,MATCH($A165,'Commercial View'!$A$2:$A$301,0))</f>
        <v>230</v>
      </c>
      <c r="L165" s="9" t="n">
        <f aca="false">INDEX('Commercial View'!$S$2:$S$301,MATCH($A165,'Commercial View'!$A$2:$A$301,0))</f>
        <v>0</v>
      </c>
      <c r="M165" s="17" t="n">
        <f aca="false">INDEX('Commercial View'!$T$2:$T$301,MATCH($A165,'Commercial View'!$A$2:$A$301,0))</f>
        <v>-1</v>
      </c>
      <c r="N165" s="2" t="str">
        <f aca="false">INDEX('Commercial View'!$U$2:$U$301,MATCH($A165,'Commercial View'!$A$2:$A$301,0))</f>
        <v>Lapsed</v>
      </c>
      <c r="O165" s="2" t="n">
        <v>1</v>
      </c>
      <c r="P165" s="2" t="n">
        <v>0</v>
      </c>
      <c r="Q165" s="2" t="n">
        <v>1</v>
      </c>
      <c r="R165" s="2" t="n">
        <v>20</v>
      </c>
      <c r="S165" s="2" t="n">
        <v>0</v>
      </c>
      <c r="T165" s="2" t="str">
        <f aca="false">IF(H165="Broker-Reliant",IF(J165="Tail","5. Cost-to-Serve / Low-Touch",IF(OR(N165="Growing",N165="Stable"),"1. Migration Candidate",IF(N165="Declining","2. Protect / Retain First",IF(N165="Lapsed","3. Win-Back / Verify",IF(N165="H2 Active / No H1 GMV","4. Establish / Re-establish / Observe","UNASSIGNED"))))),IF(G165="Low",IF(J165="Tail","9. Long-Tail Automated Nurture",IF(OR(N165="Growing",N165="Stable"),"6. Growth Opportunity",IF(N165="H2 Active / No H1 GMV","7. Onboard / Re-engage / Learn",IF(OR(N165="Declining",N165="Lapsed"),"8. Retention / Reactivation","UNASSIGNED")))),"UNASSIGNED"))</f>
        <v>9. Long-Tail Automated Nurture</v>
      </c>
      <c r="U165" s="10" t="b">
        <f aca="false">AND(T165="1. Migration Candidate",J165="Core",O165&gt;=Assumptions!$B$39,Q165&gt;=Assumptions!$B$40,NOT(Z165))</f>
        <v>0</v>
      </c>
      <c r="V165" s="2" t="n">
        <f aca="false">(AND(H165="Broker-Reliant",J165&lt;&gt;"Tail",OR(N165="Growing",N165="Stable")))*1+(AND(H165="Broker-Reliant",J165&lt;&gt;"Tail",N165="Declining"))*1+(AND(H165="Broker-Reliant",J165&lt;&gt;"Tail",N165="Lapsed"))*1+(AND(H165="Broker-Reliant",J165&lt;&gt;"Tail",N165="H2 Active / No H1 GMV"))*1+(AND(H165="Broker-Reliant",J165="Tail"))*1+(AND(G165="Low",J165&lt;&gt;"Tail",OR(N165="Growing",N165="Stable")))*1+(AND(G165="Low",J165&lt;&gt;"Tail",N165="H2 Active / No H1 GMV"))*1+(AND(G165="Low",J165&lt;&gt;"Tail",OR(N165="Declining",N165="Lapsed")))*1+(AND(G165="Low",J165="Tail"))*1</f>
        <v>1</v>
      </c>
      <c r="W165" s="2" t="n">
        <f aca="false">INDEX('Commercial View'!$V$2:$V$301,MATCH($A165,'Commercial View'!$A$2:$A$301,0))</f>
        <v>1</v>
      </c>
      <c r="X165" s="10" t="b">
        <f aca="false">O165&lt;=Assumptions!$B$30</f>
        <v>1</v>
      </c>
      <c r="Y165" s="10" t="b">
        <f aca="false">W165&lt;=1</f>
        <v>1</v>
      </c>
      <c r="Z165" s="10" t="b">
        <f aca="false">C165="Duplicate"</f>
        <v>0</v>
      </c>
      <c r="AA165" s="10" t="b">
        <f aca="false">C165=""</f>
        <v>1</v>
      </c>
      <c r="AB165" s="2" t="n">
        <f aca="false">IF(P165+Q165&gt;0,ROUND(P165/(P165+Q165)*100,0),"")</f>
        <v>0</v>
      </c>
      <c r="AC165" s="2" t="n">
        <f aca="false">IF(P165+Q165&gt;0,ROUND(E165-P165/(P165+Q165)*100,0),"")</f>
        <v>18</v>
      </c>
      <c r="AD165" s="10" t="b">
        <f aca="false">IF(AC165="",FALSE(),ABS(AC165)&gt;Assumptions!$B$41)</f>
        <v>1</v>
      </c>
      <c r="AE165" s="2" t="str">
        <f aca="false">IF(X165,"Low confidence (&lt;=2 orders); ","")&amp;IF(Y165,"Single-month history; ","")&amp;IF(Z165,"CRITICAL: Duplicate status; ","")&amp;IF(AA165,"Missing status; ","")&amp;IF(AD165,"Broker % vs counts gap "&amp;TEXT(AC165,"+0;-0")&amp;"pts; ","")</f>
        <v>Low confidence (&lt;=2 orders); Single-month history; Missing status; Broker % vs counts gap +18pts; </v>
      </c>
      <c r="AF165" s="2" t="str">
        <f aca="false">IF(AND(K165=0,L165&gt;0),IF(D165&lt;=Assumptions!$B$47,"New Customer","Returned Customer"),"Existing Customer")</f>
        <v>Existing Customer</v>
      </c>
      <c r="AG165" s="10" t="b">
        <f aca="false">AND(T165="1. Migration Candidate",J165="Key")</f>
        <v>0</v>
      </c>
      <c r="AH165" s="10" t="b">
        <f aca="false">IF(AND(K165&gt;0,L165&gt;0),OR(ABS(M165-Assumptions!$B$36)&lt;=Assumptions!$B$46,ABS(M165+Assumptions!$B$36)&lt;=Assumptions!$B$46),FALSE())</f>
        <v>0</v>
      </c>
      <c r="AI165" s="9" t="n">
        <f aca="false">INDEX('Commercial View'!$L$2:$L$301,MATCH($A165,'Commercial View'!$A$2:$A$301,0))+INDEX('Commercial View'!$M$2:$M$301,MATCH($A165,'Commercial View'!$A$2:$A$301,0))</f>
        <v>0</v>
      </c>
      <c r="AJ165" s="2" t="str">
        <f aca="false">IF(AND(K165=0,AI165=0),"No activity ex-Feb",IF(AI165=0,"Lapsed",IF(K165=0,"H2 Active / No H1 GMV",IF((AI165/2)/(K165/3)-1&gt;=Assumptions!$B$36,"Growing",IF((AI165/2)/(K165/3)-1&lt;-Assumptions!$B$36,"Declining","Stable")))))</f>
        <v>Lapsed</v>
      </c>
      <c r="AK165" s="10" t="b">
        <f aca="false">IF(OR(N165="Growing",N165="Stable"),"Healthy",N165)&lt;&gt;IF(OR(AJ165="Growing",AJ165="Stable"),"Healthy",AJ165)</f>
        <v>0</v>
      </c>
      <c r="AL165" s="2" t="str">
        <f aca="false">IF(N165="Lapsed",IF(OR(O165&lt;=Assumptions!$B$48,W165&lt;=Assumptions!$B$49),"One-Off / Insufficient History — Verify","Established Buyer Lapsed"),"N/A")</f>
        <v>One-Off / Insufficient History — Verify</v>
      </c>
      <c r="AM165" s="2" t="n">
        <f aca="false">INDEX('Scored Accounts'!$M$2:$M$301,MATCH($A165,'Scored Accounts'!$A$2:$A$301,0))</f>
        <v>0</v>
      </c>
      <c r="AN165" s="2" t="n">
        <f aca="false">IF((P165/(P165+Q165)*100)&lt;=Assumptions!$B$13,0,IF((P165/(P165+Q165)*100)&lt;Assumptions!$B$14,25,IF((P165/(P165+Q165)*100)&lt;Assumptions!$B$15,50,IF((P165/(P165+Q165)*100)&lt;Assumptions!$B$16,75,100))))</f>
        <v>0</v>
      </c>
      <c r="AO165" s="21" t="n">
        <f aca="false">IF((P165/(P165+Q165)*100)&lt;=Assumptions!$B$8,0,AN165*Assumptions!$B$4+INDEX('Scored Accounts'!$N$2:$N$301,MATCH($A165,'Scored Accounts'!$A$2:$A$301,0))*Assumptions!$B$5+INDEX('Scored Accounts'!$O$2:$O$301,MATCH($A165,'Scored Accounts'!$A$2:$A$301,0))*Assumptions!$B$6)</f>
        <v>0</v>
      </c>
      <c r="AP165" s="2" t="str">
        <f aca="false">IF(AO165&gt;=Assumptions!$B$9,"High",IF(AO165&gt;=Assumptions!$B$10,"Medium","Low"))</f>
        <v>Low</v>
      </c>
      <c r="AQ165" s="10" t="b">
        <f aca="false">OR((E165&lt;=Assumptions!$B$8)&lt;&gt;((P165/(P165+Q165)*100)&lt;=Assumptions!$B$8),AM165&lt;&gt;AN165,G165&lt;&gt;AP165)</f>
        <v>0</v>
      </c>
      <c r="AR165" s="2" t="str">
        <f aca="false">IF(AP165&lt;&gt;"Low","Broker-Reliant",IF(B165="Account Managed","AM-Owned / Self-Serving","Self-Serve"))</f>
        <v>AM-Owned / Self-Serving</v>
      </c>
      <c r="AS165" s="2" t="str">
        <f aca="false">IF(AR165="Broker-Reliant",IF(J165="Tail","5. Cost-to-Serve / Low-Touch",IF(OR(N165="Growing",N165="Stable"),"1. Migration Candidate",IF(N165="Declining","2. Protect / Retain First",IF(N165="Lapsed","3. Win-Back / Verify",IF(N165="H2 Active / No H1 GMV","4. Establish / Re-establish / Observe","UNASSIGNED"))))),IF(AP165="Low",IF(J165="Tail","9. Long-Tail Automated Nurture",IF(OR(N165="Growing",N165="Stable"),"6. Growth Opportunity",IF(N165="H2 Active / No H1 GMV","7. Onboard / Re-engage / Learn",IF(OR(N165="Declining",N165="Lapsed"),"8. Retention / Reactivation","UNASSIGNED")))),"UNASSIGNED"))</f>
        <v>9. Long-Tail Automated Nurture</v>
      </c>
      <c r="AT165" s="10" t="b">
        <f aca="false">AS165&lt;&gt;T165</f>
        <v>0</v>
      </c>
      <c r="AU165" s="2" t="str">
        <f aca="false">IF(NOT(U165),"Not Eligible",IF(OR(AQ165,AH165,AK165,NOT(AND(W165&gt;=Assumptions!$B$83,O165&gt;=Assumptions!$B$84))),"Manual Review","Ready"))</f>
        <v>Not Eligible</v>
      </c>
      <c r="AV165" s="2" t="str">
        <f aca="false">IF(AG165,"Key account - human sign-off required; ","")&amp;IF(AH165,"Borderline momentum; ","")&amp;IF(AK165,"February-sensitive ("&amp;N165&amp;" -&gt; "&amp;AJ165&amp;"); ","")&amp;IF(AL165="One-Off / Insufficient History — Verify","Lapsed on thin history - verify; ","")&amp;IF(AQ165,"Material broker % inconsistency (implied tier "&amp;AP165&amp;"); ","")&amp;IF(AT165,"Implied broker % would move segment to "&amp;AS165&amp;"; ","")</f>
        <v>Lapsed on thin history - verify; </v>
      </c>
      <c r="AW165" s="10" t="b">
        <f aca="false">AND(G165="Low",J165="Tail",I165&gt;=Assumptions!$B$64,O165&gt;=Assumptions!$B$65,OR(N165="Growing",N165="Stable",AND(N165="H2 Active / No H1 GMV",W165&gt;=2)),OR(R165&gt;=Assumptions!$B$66,S165&gt;=Assumptions!$B$67))</f>
        <v>0</v>
      </c>
    </row>
    <row r="166" customFormat="false" ht="15" hidden="false" customHeight="false" outlineLevel="0" collapsed="false">
      <c r="A166" s="2" t="s">
        <v>846</v>
      </c>
      <c r="B166" s="2" t="s">
        <v>1571</v>
      </c>
      <c r="C166" s="2"/>
      <c r="D166" s="2" t="n">
        <v>6</v>
      </c>
      <c r="E166" s="2" t="n">
        <v>5</v>
      </c>
      <c r="F166" s="21" t="n">
        <f aca="false">INDEX('Scored Accounts'!$Q$2:$Q$301,MATCH($A166,'Scored Accounts'!$A$2:$A$301,0))</f>
        <v>0</v>
      </c>
      <c r="G166" s="2" t="str">
        <f aca="false">INDEX('Scored Accounts'!$R$2:$R$301,MATCH($A166,'Scored Accounts'!$A$2:$A$301,0))</f>
        <v>Low</v>
      </c>
      <c r="H166" s="2" t="str">
        <f aca="false">IF(OR(G166="High",G166="Medium"),"Broker-Reliant",IF(AND(G166="Low",B166="Account Managed"),"AM-Owned / Self-Serving",IF(AND(G166="Low",B166="Self Serve"),"Self-Serve","UNASSIGNED")))</f>
        <v>AM-Owned / Self-Serving</v>
      </c>
      <c r="I166" s="9" t="n">
        <v>222</v>
      </c>
      <c r="J166" s="2" t="str">
        <f aca="false">IF(I166&gt;=Assumptions!$B$35,"Key",IF(I166&gt;=Assumptions!$B$34,"Core","Tail"))</f>
        <v>Tail</v>
      </c>
      <c r="K166" s="9" t="n">
        <f aca="false">INDEX('Commercial View'!$R$2:$R$301,MATCH($A166,'Commercial View'!$A$2:$A$301,0))</f>
        <v>221</v>
      </c>
      <c r="L166" s="9" t="n">
        <f aca="false">INDEX('Commercial View'!$S$2:$S$301,MATCH($A166,'Commercial View'!$A$2:$A$301,0))</f>
        <v>0</v>
      </c>
      <c r="M166" s="17" t="n">
        <f aca="false">INDEX('Commercial View'!$T$2:$T$301,MATCH($A166,'Commercial View'!$A$2:$A$301,0))</f>
        <v>-1</v>
      </c>
      <c r="N166" s="2" t="str">
        <f aca="false">INDEX('Commercial View'!$U$2:$U$301,MATCH($A166,'Commercial View'!$A$2:$A$301,0))</f>
        <v>Lapsed</v>
      </c>
      <c r="O166" s="2" t="n">
        <v>2</v>
      </c>
      <c r="P166" s="2" t="n">
        <v>0</v>
      </c>
      <c r="Q166" s="2" t="n">
        <v>2</v>
      </c>
      <c r="R166" s="2" t="n">
        <v>54</v>
      </c>
      <c r="S166" s="2" t="n">
        <v>3</v>
      </c>
      <c r="T166" s="2" t="str">
        <f aca="false">IF(H166="Broker-Reliant",IF(J166="Tail","5. Cost-to-Serve / Low-Touch",IF(OR(N166="Growing",N166="Stable"),"1. Migration Candidate",IF(N166="Declining","2. Protect / Retain First",IF(N166="Lapsed","3. Win-Back / Verify",IF(N166="H2 Active / No H1 GMV","4. Establish / Re-establish / Observe","UNASSIGNED"))))),IF(G166="Low",IF(J166="Tail","9. Long-Tail Automated Nurture",IF(OR(N166="Growing",N166="Stable"),"6. Growth Opportunity",IF(N166="H2 Active / No H1 GMV","7. Onboard / Re-engage / Learn",IF(OR(N166="Declining",N166="Lapsed"),"8. Retention / Reactivation","UNASSIGNED")))),"UNASSIGNED"))</f>
        <v>9. Long-Tail Automated Nurture</v>
      </c>
      <c r="U166" s="10" t="b">
        <f aca="false">AND(T166="1. Migration Candidate",J166="Core",O166&gt;=Assumptions!$B$39,Q166&gt;=Assumptions!$B$40,NOT(Z166))</f>
        <v>0</v>
      </c>
      <c r="V166" s="2" t="n">
        <f aca="false">(AND(H166="Broker-Reliant",J166&lt;&gt;"Tail",OR(N166="Growing",N166="Stable")))*1+(AND(H166="Broker-Reliant",J166&lt;&gt;"Tail",N166="Declining"))*1+(AND(H166="Broker-Reliant",J166&lt;&gt;"Tail",N166="Lapsed"))*1+(AND(H166="Broker-Reliant",J166&lt;&gt;"Tail",N166="H2 Active / No H1 GMV"))*1+(AND(H166="Broker-Reliant",J166="Tail"))*1+(AND(G166="Low",J166&lt;&gt;"Tail",OR(N166="Growing",N166="Stable")))*1+(AND(G166="Low",J166&lt;&gt;"Tail",N166="H2 Active / No H1 GMV"))*1+(AND(G166="Low",J166&lt;&gt;"Tail",OR(N166="Declining",N166="Lapsed")))*1+(AND(G166="Low",J166="Tail"))*1</f>
        <v>1</v>
      </c>
      <c r="W166" s="2" t="n">
        <f aca="false">INDEX('Commercial View'!$V$2:$V$301,MATCH($A166,'Commercial View'!$A$2:$A$301,0))</f>
        <v>2</v>
      </c>
      <c r="X166" s="10" t="b">
        <f aca="false">O166&lt;=Assumptions!$B$30</f>
        <v>1</v>
      </c>
      <c r="Y166" s="10" t="b">
        <f aca="false">W166&lt;=1</f>
        <v>0</v>
      </c>
      <c r="Z166" s="10" t="b">
        <f aca="false">C166="Duplicate"</f>
        <v>0</v>
      </c>
      <c r="AA166" s="10" t="b">
        <f aca="false">C166=""</f>
        <v>1</v>
      </c>
      <c r="AB166" s="2" t="n">
        <f aca="false">IF(P166+Q166&gt;0,ROUND(P166/(P166+Q166)*100,0),"")</f>
        <v>0</v>
      </c>
      <c r="AC166" s="2" t="n">
        <f aca="false">IF(P166+Q166&gt;0,ROUND(E166-P166/(P166+Q166)*100,0),"")</f>
        <v>5</v>
      </c>
      <c r="AD166" s="10" t="b">
        <f aca="false">IF(AC166="",FALSE(),ABS(AC166)&gt;Assumptions!$B$41)</f>
        <v>0</v>
      </c>
      <c r="AE166" s="2" t="str">
        <f aca="false">IF(X166,"Low confidence (&lt;=2 orders); ","")&amp;IF(Y166,"Single-month history; ","")&amp;IF(Z166,"CRITICAL: Duplicate status; ","")&amp;IF(AA166,"Missing status; ","")&amp;IF(AD166,"Broker % vs counts gap "&amp;TEXT(AC166,"+0;-0")&amp;"pts; ","")</f>
        <v>Low confidence (&lt;=2 orders); Missing status; </v>
      </c>
      <c r="AF166" s="2" t="str">
        <f aca="false">IF(AND(K166=0,L166&gt;0),IF(D166&lt;=Assumptions!$B$47,"New Customer","Returned Customer"),"Existing Customer")</f>
        <v>Existing Customer</v>
      </c>
      <c r="AG166" s="10" t="b">
        <f aca="false">AND(T166="1. Migration Candidate",J166="Key")</f>
        <v>0</v>
      </c>
      <c r="AH166" s="10" t="b">
        <f aca="false">IF(AND(K166&gt;0,L166&gt;0),OR(ABS(M166-Assumptions!$B$36)&lt;=Assumptions!$B$46,ABS(M166+Assumptions!$B$36)&lt;=Assumptions!$B$46),FALSE())</f>
        <v>0</v>
      </c>
      <c r="AI166" s="9" t="n">
        <f aca="false">INDEX('Commercial View'!$L$2:$L$301,MATCH($A166,'Commercial View'!$A$2:$A$301,0))+INDEX('Commercial View'!$M$2:$M$301,MATCH($A166,'Commercial View'!$A$2:$A$301,0))</f>
        <v>0</v>
      </c>
      <c r="AJ166" s="2" t="str">
        <f aca="false">IF(AND(K166=0,AI166=0),"No activity ex-Feb",IF(AI166=0,"Lapsed",IF(K166=0,"H2 Active / No H1 GMV",IF((AI166/2)/(K166/3)-1&gt;=Assumptions!$B$36,"Growing",IF((AI166/2)/(K166/3)-1&lt;-Assumptions!$B$36,"Declining","Stable")))))</f>
        <v>Lapsed</v>
      </c>
      <c r="AK166" s="10" t="b">
        <f aca="false">IF(OR(N166="Growing",N166="Stable"),"Healthy",N166)&lt;&gt;IF(OR(AJ166="Growing",AJ166="Stable"),"Healthy",AJ166)</f>
        <v>0</v>
      </c>
      <c r="AL166" s="2" t="str">
        <f aca="false">IF(N166="Lapsed",IF(OR(O166&lt;=Assumptions!$B$48,W166&lt;=Assumptions!$B$49),"One-Off / Insufficient History — Verify","Established Buyer Lapsed"),"N/A")</f>
        <v>One-Off / Insufficient History — Verify</v>
      </c>
      <c r="AM166" s="2" t="n">
        <f aca="false">INDEX('Scored Accounts'!$M$2:$M$301,MATCH($A166,'Scored Accounts'!$A$2:$A$301,0))</f>
        <v>0</v>
      </c>
      <c r="AN166" s="2" t="n">
        <f aca="false">IF((P166/(P166+Q166)*100)&lt;=Assumptions!$B$13,0,IF((P166/(P166+Q166)*100)&lt;Assumptions!$B$14,25,IF((P166/(P166+Q166)*100)&lt;Assumptions!$B$15,50,IF((P166/(P166+Q166)*100)&lt;Assumptions!$B$16,75,100))))</f>
        <v>0</v>
      </c>
      <c r="AO166" s="21" t="n">
        <f aca="false">IF((P166/(P166+Q166)*100)&lt;=Assumptions!$B$8,0,AN166*Assumptions!$B$4+INDEX('Scored Accounts'!$N$2:$N$301,MATCH($A166,'Scored Accounts'!$A$2:$A$301,0))*Assumptions!$B$5+INDEX('Scored Accounts'!$O$2:$O$301,MATCH($A166,'Scored Accounts'!$A$2:$A$301,0))*Assumptions!$B$6)</f>
        <v>0</v>
      </c>
      <c r="AP166" s="2" t="str">
        <f aca="false">IF(AO166&gt;=Assumptions!$B$9,"High",IF(AO166&gt;=Assumptions!$B$10,"Medium","Low"))</f>
        <v>Low</v>
      </c>
      <c r="AQ166" s="10" t="b">
        <f aca="false">OR((E166&lt;=Assumptions!$B$8)&lt;&gt;((P166/(P166+Q166)*100)&lt;=Assumptions!$B$8),AM166&lt;&gt;AN166,G166&lt;&gt;AP166)</f>
        <v>0</v>
      </c>
      <c r="AR166" s="2" t="str">
        <f aca="false">IF(AP166&lt;&gt;"Low","Broker-Reliant",IF(B166="Account Managed","AM-Owned / Self-Serving","Self-Serve"))</f>
        <v>AM-Owned / Self-Serving</v>
      </c>
      <c r="AS166" s="2" t="str">
        <f aca="false">IF(AR166="Broker-Reliant",IF(J166="Tail","5. Cost-to-Serve / Low-Touch",IF(OR(N166="Growing",N166="Stable"),"1. Migration Candidate",IF(N166="Declining","2. Protect / Retain First",IF(N166="Lapsed","3. Win-Back / Verify",IF(N166="H2 Active / No H1 GMV","4. Establish / Re-establish / Observe","UNASSIGNED"))))),IF(AP166="Low",IF(J166="Tail","9. Long-Tail Automated Nurture",IF(OR(N166="Growing",N166="Stable"),"6. Growth Opportunity",IF(N166="H2 Active / No H1 GMV","7. Onboard / Re-engage / Learn",IF(OR(N166="Declining",N166="Lapsed"),"8. Retention / Reactivation","UNASSIGNED")))),"UNASSIGNED"))</f>
        <v>9. Long-Tail Automated Nurture</v>
      </c>
      <c r="AT166" s="10" t="b">
        <f aca="false">AS166&lt;&gt;T166</f>
        <v>0</v>
      </c>
      <c r="AU166" s="2" t="str">
        <f aca="false">IF(NOT(U166),"Not Eligible",IF(OR(AQ166,AH166,AK166,NOT(AND(W166&gt;=Assumptions!$B$83,O166&gt;=Assumptions!$B$84))),"Manual Review","Ready"))</f>
        <v>Not Eligible</v>
      </c>
      <c r="AV166" s="2" t="str">
        <f aca="false">IF(AG166,"Key account - human sign-off required; ","")&amp;IF(AH166,"Borderline momentum; ","")&amp;IF(AK166,"February-sensitive ("&amp;N166&amp;" -&gt; "&amp;AJ166&amp;"); ","")&amp;IF(AL166="One-Off / Insufficient History — Verify","Lapsed on thin history - verify; ","")&amp;IF(AQ166,"Material broker % inconsistency (implied tier "&amp;AP166&amp;"); ","")&amp;IF(AT166,"Implied broker % would move segment to "&amp;AS166&amp;"; ","")</f>
        <v>Lapsed on thin history - verify; </v>
      </c>
      <c r="AW166" s="10" t="b">
        <f aca="false">AND(G166="Low",J166="Tail",I166&gt;=Assumptions!$B$64,O166&gt;=Assumptions!$B$65,OR(N166="Growing",N166="Stable",AND(N166="H2 Active / No H1 GMV",W166&gt;=2)),OR(R166&gt;=Assumptions!$B$66,S166&gt;=Assumptions!$B$67))</f>
        <v>0</v>
      </c>
    </row>
    <row r="167" customFormat="false" ht="15" hidden="false" customHeight="false" outlineLevel="0" collapsed="false">
      <c r="A167" s="2" t="s">
        <v>848</v>
      </c>
      <c r="B167" s="2" t="s">
        <v>1571</v>
      </c>
      <c r="C167" s="2"/>
      <c r="D167" s="2" t="n">
        <v>6</v>
      </c>
      <c r="E167" s="2" t="n">
        <v>0</v>
      </c>
      <c r="F167" s="21" t="n">
        <f aca="false">INDEX('Scored Accounts'!$Q$2:$Q$301,MATCH($A167,'Scored Accounts'!$A$2:$A$301,0))</f>
        <v>0</v>
      </c>
      <c r="G167" s="2" t="str">
        <f aca="false">INDEX('Scored Accounts'!$R$2:$R$301,MATCH($A167,'Scored Accounts'!$A$2:$A$301,0))</f>
        <v>Low</v>
      </c>
      <c r="H167" s="2" t="str">
        <f aca="false">IF(OR(G167="High",G167="Medium"),"Broker-Reliant",IF(AND(G167="Low",B167="Account Managed"),"AM-Owned / Self-Serving",IF(AND(G167="Low",B167="Self Serve"),"Self-Serve","UNASSIGNED")))</f>
        <v>AM-Owned / Self-Serving</v>
      </c>
      <c r="I167" s="9" t="n">
        <v>217</v>
      </c>
      <c r="J167" s="2" t="str">
        <f aca="false">IF(I167&gt;=Assumptions!$B$35,"Key",IF(I167&gt;=Assumptions!$B$34,"Core","Tail"))</f>
        <v>Tail</v>
      </c>
      <c r="K167" s="9" t="n">
        <f aca="false">INDEX('Commercial View'!$R$2:$R$301,MATCH($A167,'Commercial View'!$A$2:$A$301,0))</f>
        <v>217</v>
      </c>
      <c r="L167" s="9" t="n">
        <f aca="false">INDEX('Commercial View'!$S$2:$S$301,MATCH($A167,'Commercial View'!$A$2:$A$301,0))</f>
        <v>0</v>
      </c>
      <c r="M167" s="17" t="n">
        <f aca="false">INDEX('Commercial View'!$T$2:$T$301,MATCH($A167,'Commercial View'!$A$2:$A$301,0))</f>
        <v>-1</v>
      </c>
      <c r="N167" s="2" t="str">
        <f aca="false">INDEX('Commercial View'!$U$2:$U$301,MATCH($A167,'Commercial View'!$A$2:$A$301,0))</f>
        <v>Lapsed</v>
      </c>
      <c r="O167" s="2" t="n">
        <v>2</v>
      </c>
      <c r="P167" s="2" t="n">
        <v>0</v>
      </c>
      <c r="Q167" s="2" t="n">
        <v>2</v>
      </c>
      <c r="R167" s="2" t="n">
        <v>7</v>
      </c>
      <c r="S167" s="2" t="n">
        <v>0</v>
      </c>
      <c r="T167" s="2" t="str">
        <f aca="false">IF(H167="Broker-Reliant",IF(J167="Tail","5. Cost-to-Serve / Low-Touch",IF(OR(N167="Growing",N167="Stable"),"1. Migration Candidate",IF(N167="Declining","2. Protect / Retain First",IF(N167="Lapsed","3. Win-Back / Verify",IF(N167="H2 Active / No H1 GMV","4. Establish / Re-establish / Observe","UNASSIGNED"))))),IF(G167="Low",IF(J167="Tail","9. Long-Tail Automated Nurture",IF(OR(N167="Growing",N167="Stable"),"6. Growth Opportunity",IF(N167="H2 Active / No H1 GMV","7. Onboard / Re-engage / Learn",IF(OR(N167="Declining",N167="Lapsed"),"8. Retention / Reactivation","UNASSIGNED")))),"UNASSIGNED"))</f>
        <v>9. Long-Tail Automated Nurture</v>
      </c>
      <c r="U167" s="10" t="b">
        <f aca="false">AND(T167="1. Migration Candidate",J167="Core",O167&gt;=Assumptions!$B$39,Q167&gt;=Assumptions!$B$40,NOT(Z167))</f>
        <v>0</v>
      </c>
      <c r="V167" s="2" t="n">
        <f aca="false">(AND(H167="Broker-Reliant",J167&lt;&gt;"Tail",OR(N167="Growing",N167="Stable")))*1+(AND(H167="Broker-Reliant",J167&lt;&gt;"Tail",N167="Declining"))*1+(AND(H167="Broker-Reliant",J167&lt;&gt;"Tail",N167="Lapsed"))*1+(AND(H167="Broker-Reliant",J167&lt;&gt;"Tail",N167="H2 Active / No H1 GMV"))*1+(AND(H167="Broker-Reliant",J167="Tail"))*1+(AND(G167="Low",J167&lt;&gt;"Tail",OR(N167="Growing",N167="Stable")))*1+(AND(G167="Low",J167&lt;&gt;"Tail",N167="H2 Active / No H1 GMV"))*1+(AND(G167="Low",J167&lt;&gt;"Tail",OR(N167="Declining",N167="Lapsed")))*1+(AND(G167="Low",J167="Tail"))*1</f>
        <v>1</v>
      </c>
      <c r="W167" s="2" t="n">
        <f aca="false">INDEX('Commercial View'!$V$2:$V$301,MATCH($A167,'Commercial View'!$A$2:$A$301,0))</f>
        <v>2</v>
      </c>
      <c r="X167" s="10" t="b">
        <f aca="false">O167&lt;=Assumptions!$B$30</f>
        <v>1</v>
      </c>
      <c r="Y167" s="10" t="b">
        <f aca="false">W167&lt;=1</f>
        <v>0</v>
      </c>
      <c r="Z167" s="10" t="b">
        <f aca="false">C167="Duplicate"</f>
        <v>0</v>
      </c>
      <c r="AA167" s="10" t="b">
        <f aca="false">C167=""</f>
        <v>1</v>
      </c>
      <c r="AB167" s="2" t="n">
        <f aca="false">IF(P167+Q167&gt;0,ROUND(P167/(P167+Q167)*100,0),"")</f>
        <v>0</v>
      </c>
      <c r="AC167" s="2" t="n">
        <f aca="false">IF(P167+Q167&gt;0,ROUND(E167-P167/(P167+Q167)*100,0),"")</f>
        <v>0</v>
      </c>
      <c r="AD167" s="10" t="b">
        <f aca="false">IF(AC167="",FALSE(),ABS(AC167)&gt;Assumptions!$B$41)</f>
        <v>0</v>
      </c>
      <c r="AE167" s="2" t="str">
        <f aca="false">IF(X167,"Low confidence (&lt;=2 orders); ","")&amp;IF(Y167,"Single-month history; ","")&amp;IF(Z167,"CRITICAL: Duplicate status; ","")&amp;IF(AA167,"Missing status; ","")&amp;IF(AD167,"Broker % vs counts gap "&amp;TEXT(AC167,"+0;-0")&amp;"pts; ","")</f>
        <v>Low confidence (&lt;=2 orders); Missing status; </v>
      </c>
      <c r="AF167" s="2" t="str">
        <f aca="false">IF(AND(K167=0,L167&gt;0),IF(D167&lt;=Assumptions!$B$47,"New Customer","Returned Customer"),"Existing Customer")</f>
        <v>Existing Customer</v>
      </c>
      <c r="AG167" s="10" t="b">
        <f aca="false">AND(T167="1. Migration Candidate",J167="Key")</f>
        <v>0</v>
      </c>
      <c r="AH167" s="10" t="b">
        <f aca="false">IF(AND(K167&gt;0,L167&gt;0),OR(ABS(M167-Assumptions!$B$36)&lt;=Assumptions!$B$46,ABS(M167+Assumptions!$B$36)&lt;=Assumptions!$B$46),FALSE())</f>
        <v>0</v>
      </c>
      <c r="AI167" s="9" t="n">
        <f aca="false">INDEX('Commercial View'!$L$2:$L$301,MATCH($A167,'Commercial View'!$A$2:$A$301,0))+INDEX('Commercial View'!$M$2:$M$301,MATCH($A167,'Commercial View'!$A$2:$A$301,0))</f>
        <v>0</v>
      </c>
      <c r="AJ167" s="2" t="str">
        <f aca="false">IF(AND(K167=0,AI167=0),"No activity ex-Feb",IF(AI167=0,"Lapsed",IF(K167=0,"H2 Active / No H1 GMV",IF((AI167/2)/(K167/3)-1&gt;=Assumptions!$B$36,"Growing",IF((AI167/2)/(K167/3)-1&lt;-Assumptions!$B$36,"Declining","Stable")))))</f>
        <v>Lapsed</v>
      </c>
      <c r="AK167" s="10" t="b">
        <f aca="false">IF(OR(N167="Growing",N167="Stable"),"Healthy",N167)&lt;&gt;IF(OR(AJ167="Growing",AJ167="Stable"),"Healthy",AJ167)</f>
        <v>0</v>
      </c>
      <c r="AL167" s="2" t="str">
        <f aca="false">IF(N167="Lapsed",IF(OR(O167&lt;=Assumptions!$B$48,W167&lt;=Assumptions!$B$49),"One-Off / Insufficient History — Verify","Established Buyer Lapsed"),"N/A")</f>
        <v>One-Off / Insufficient History — Verify</v>
      </c>
      <c r="AM167" s="2" t="n">
        <f aca="false">INDEX('Scored Accounts'!$M$2:$M$301,MATCH($A167,'Scored Accounts'!$A$2:$A$301,0))</f>
        <v>0</v>
      </c>
      <c r="AN167" s="2" t="n">
        <f aca="false">IF((P167/(P167+Q167)*100)&lt;=Assumptions!$B$13,0,IF((P167/(P167+Q167)*100)&lt;Assumptions!$B$14,25,IF((P167/(P167+Q167)*100)&lt;Assumptions!$B$15,50,IF((P167/(P167+Q167)*100)&lt;Assumptions!$B$16,75,100))))</f>
        <v>0</v>
      </c>
      <c r="AO167" s="21" t="n">
        <f aca="false">IF((P167/(P167+Q167)*100)&lt;=Assumptions!$B$8,0,AN167*Assumptions!$B$4+INDEX('Scored Accounts'!$N$2:$N$301,MATCH($A167,'Scored Accounts'!$A$2:$A$301,0))*Assumptions!$B$5+INDEX('Scored Accounts'!$O$2:$O$301,MATCH($A167,'Scored Accounts'!$A$2:$A$301,0))*Assumptions!$B$6)</f>
        <v>0</v>
      </c>
      <c r="AP167" s="2" t="str">
        <f aca="false">IF(AO167&gt;=Assumptions!$B$9,"High",IF(AO167&gt;=Assumptions!$B$10,"Medium","Low"))</f>
        <v>Low</v>
      </c>
      <c r="AQ167" s="10" t="b">
        <f aca="false">OR((E167&lt;=Assumptions!$B$8)&lt;&gt;((P167/(P167+Q167)*100)&lt;=Assumptions!$B$8),AM167&lt;&gt;AN167,G167&lt;&gt;AP167)</f>
        <v>0</v>
      </c>
      <c r="AR167" s="2" t="str">
        <f aca="false">IF(AP167&lt;&gt;"Low","Broker-Reliant",IF(B167="Account Managed","AM-Owned / Self-Serving","Self-Serve"))</f>
        <v>AM-Owned / Self-Serving</v>
      </c>
      <c r="AS167" s="2" t="str">
        <f aca="false">IF(AR167="Broker-Reliant",IF(J167="Tail","5. Cost-to-Serve / Low-Touch",IF(OR(N167="Growing",N167="Stable"),"1. Migration Candidate",IF(N167="Declining","2. Protect / Retain First",IF(N167="Lapsed","3. Win-Back / Verify",IF(N167="H2 Active / No H1 GMV","4. Establish / Re-establish / Observe","UNASSIGNED"))))),IF(AP167="Low",IF(J167="Tail","9. Long-Tail Automated Nurture",IF(OR(N167="Growing",N167="Stable"),"6. Growth Opportunity",IF(N167="H2 Active / No H1 GMV","7. Onboard / Re-engage / Learn",IF(OR(N167="Declining",N167="Lapsed"),"8. Retention / Reactivation","UNASSIGNED")))),"UNASSIGNED"))</f>
        <v>9. Long-Tail Automated Nurture</v>
      </c>
      <c r="AT167" s="10" t="b">
        <f aca="false">AS167&lt;&gt;T167</f>
        <v>0</v>
      </c>
      <c r="AU167" s="2" t="str">
        <f aca="false">IF(NOT(U167),"Not Eligible",IF(OR(AQ167,AH167,AK167,NOT(AND(W167&gt;=Assumptions!$B$83,O167&gt;=Assumptions!$B$84))),"Manual Review","Ready"))</f>
        <v>Not Eligible</v>
      </c>
      <c r="AV167" s="2" t="str">
        <f aca="false">IF(AG167,"Key account - human sign-off required; ","")&amp;IF(AH167,"Borderline momentum; ","")&amp;IF(AK167,"February-sensitive ("&amp;N167&amp;" -&gt; "&amp;AJ167&amp;"); ","")&amp;IF(AL167="One-Off / Insufficient History — Verify","Lapsed on thin history - verify; ","")&amp;IF(AQ167,"Material broker % inconsistency (implied tier "&amp;AP167&amp;"); ","")&amp;IF(AT167,"Implied broker % would move segment to "&amp;AS167&amp;"; ","")</f>
        <v>Lapsed on thin history - verify; </v>
      </c>
      <c r="AW167" s="10" t="b">
        <f aca="false">AND(G167="Low",J167="Tail",I167&gt;=Assumptions!$B$64,O167&gt;=Assumptions!$B$65,OR(N167="Growing",N167="Stable",AND(N167="H2 Active / No H1 GMV",W167&gt;=2)),OR(R167&gt;=Assumptions!$B$66,S167&gt;=Assumptions!$B$67))</f>
        <v>0</v>
      </c>
    </row>
    <row r="168" customFormat="false" ht="15" hidden="false" customHeight="false" outlineLevel="0" collapsed="false">
      <c r="A168" s="2" t="s">
        <v>858</v>
      </c>
      <c r="B168" s="2" t="s">
        <v>1571</v>
      </c>
      <c r="C168" s="2" t="s">
        <v>1572</v>
      </c>
      <c r="D168" s="2" t="n">
        <v>7</v>
      </c>
      <c r="E168" s="2" t="n">
        <v>4</v>
      </c>
      <c r="F168" s="21" t="n">
        <f aca="false">INDEX('Scored Accounts'!$Q$2:$Q$301,MATCH($A168,'Scored Accounts'!$A$2:$A$301,0))</f>
        <v>0</v>
      </c>
      <c r="G168" s="2" t="str">
        <f aca="false">INDEX('Scored Accounts'!$R$2:$R$301,MATCH($A168,'Scored Accounts'!$A$2:$A$301,0))</f>
        <v>Low</v>
      </c>
      <c r="H168" s="2" t="str">
        <f aca="false">IF(OR(G168="High",G168="Medium"),"Broker-Reliant",IF(AND(G168="Low",B168="Account Managed"),"AM-Owned / Self-Serving",IF(AND(G168="Low",B168="Self Serve"),"Self-Serve","UNASSIGNED")))</f>
        <v>AM-Owned / Self-Serving</v>
      </c>
      <c r="I168" s="9" t="n">
        <v>209</v>
      </c>
      <c r="J168" s="2" t="str">
        <f aca="false">IF(I168&gt;=Assumptions!$B$35,"Key",IF(I168&gt;=Assumptions!$B$34,"Core","Tail"))</f>
        <v>Tail</v>
      </c>
      <c r="K168" s="9" t="n">
        <f aca="false">INDEX('Commercial View'!$R$2:$R$301,MATCH($A168,'Commercial View'!$A$2:$A$301,0))</f>
        <v>209</v>
      </c>
      <c r="L168" s="9" t="n">
        <f aca="false">INDEX('Commercial View'!$S$2:$S$301,MATCH($A168,'Commercial View'!$A$2:$A$301,0))</f>
        <v>0</v>
      </c>
      <c r="M168" s="17" t="n">
        <f aca="false">INDEX('Commercial View'!$T$2:$T$301,MATCH($A168,'Commercial View'!$A$2:$A$301,0))</f>
        <v>-1</v>
      </c>
      <c r="N168" s="2" t="str">
        <f aca="false">INDEX('Commercial View'!$U$2:$U$301,MATCH($A168,'Commercial View'!$A$2:$A$301,0))</f>
        <v>Lapsed</v>
      </c>
      <c r="O168" s="2" t="n">
        <v>1</v>
      </c>
      <c r="P168" s="2" t="n">
        <v>0</v>
      </c>
      <c r="Q168" s="2" t="n">
        <v>1</v>
      </c>
      <c r="R168" s="2" t="n">
        <v>9</v>
      </c>
      <c r="S168" s="2" t="n">
        <v>5</v>
      </c>
      <c r="T168" s="2" t="str">
        <f aca="false">IF(H168="Broker-Reliant",IF(J168="Tail","5. Cost-to-Serve / Low-Touch",IF(OR(N168="Growing",N168="Stable"),"1. Migration Candidate",IF(N168="Declining","2. Protect / Retain First",IF(N168="Lapsed","3. Win-Back / Verify",IF(N168="H2 Active / No H1 GMV","4. Establish / Re-establish / Observe","UNASSIGNED"))))),IF(G168="Low",IF(J168="Tail","9. Long-Tail Automated Nurture",IF(OR(N168="Growing",N168="Stable"),"6. Growth Opportunity",IF(N168="H2 Active / No H1 GMV","7. Onboard / Re-engage / Learn",IF(OR(N168="Declining",N168="Lapsed"),"8. Retention / Reactivation","UNASSIGNED")))),"UNASSIGNED"))</f>
        <v>9. Long-Tail Automated Nurture</v>
      </c>
      <c r="U168" s="10" t="b">
        <f aca="false">AND(T168="1. Migration Candidate",J168="Core",O168&gt;=Assumptions!$B$39,Q168&gt;=Assumptions!$B$40,NOT(Z168))</f>
        <v>0</v>
      </c>
      <c r="V168" s="2" t="n">
        <f aca="false">(AND(H168="Broker-Reliant",J168&lt;&gt;"Tail",OR(N168="Growing",N168="Stable")))*1+(AND(H168="Broker-Reliant",J168&lt;&gt;"Tail",N168="Declining"))*1+(AND(H168="Broker-Reliant",J168&lt;&gt;"Tail",N168="Lapsed"))*1+(AND(H168="Broker-Reliant",J168&lt;&gt;"Tail",N168="H2 Active / No H1 GMV"))*1+(AND(H168="Broker-Reliant",J168="Tail"))*1+(AND(G168="Low",J168&lt;&gt;"Tail",OR(N168="Growing",N168="Stable")))*1+(AND(G168="Low",J168&lt;&gt;"Tail",N168="H2 Active / No H1 GMV"))*1+(AND(G168="Low",J168&lt;&gt;"Tail",OR(N168="Declining",N168="Lapsed")))*1+(AND(G168="Low",J168="Tail"))*1</f>
        <v>1</v>
      </c>
      <c r="W168" s="2" t="n">
        <f aca="false">INDEX('Commercial View'!$V$2:$V$301,MATCH($A168,'Commercial View'!$A$2:$A$301,0))</f>
        <v>1</v>
      </c>
      <c r="X168" s="10" t="b">
        <f aca="false">O168&lt;=Assumptions!$B$30</f>
        <v>1</v>
      </c>
      <c r="Y168" s="10" t="b">
        <f aca="false">W168&lt;=1</f>
        <v>1</v>
      </c>
      <c r="Z168" s="10" t="b">
        <f aca="false">C168="Duplicate"</f>
        <v>0</v>
      </c>
      <c r="AA168" s="10" t="b">
        <f aca="false">C168=""</f>
        <v>0</v>
      </c>
      <c r="AB168" s="2" t="n">
        <f aca="false">IF(P168+Q168&gt;0,ROUND(P168/(P168+Q168)*100,0),"")</f>
        <v>0</v>
      </c>
      <c r="AC168" s="2" t="n">
        <f aca="false">IF(P168+Q168&gt;0,ROUND(E168-P168/(P168+Q168)*100,0),"")</f>
        <v>4</v>
      </c>
      <c r="AD168" s="10" t="b">
        <f aca="false">IF(AC168="",FALSE(),ABS(AC168)&gt;Assumptions!$B$41)</f>
        <v>0</v>
      </c>
      <c r="AE168" s="2" t="str">
        <f aca="false">IF(X168,"Low confidence (&lt;=2 orders); ","")&amp;IF(Y168,"Single-month history; ","")&amp;IF(Z168,"CRITICAL: Duplicate status; ","")&amp;IF(AA168,"Missing status; ","")&amp;IF(AD168,"Broker % vs counts gap "&amp;TEXT(AC168,"+0;-0")&amp;"pts; ","")</f>
        <v>Low confidence (&lt;=2 orders); Single-month history; </v>
      </c>
      <c r="AF168" s="2" t="str">
        <f aca="false">IF(AND(K168=0,L168&gt;0),IF(D168&lt;=Assumptions!$B$47,"New Customer","Returned Customer"),"Existing Customer")</f>
        <v>Existing Customer</v>
      </c>
      <c r="AG168" s="10" t="b">
        <f aca="false">AND(T168="1. Migration Candidate",J168="Key")</f>
        <v>0</v>
      </c>
      <c r="AH168" s="10" t="b">
        <f aca="false">IF(AND(K168&gt;0,L168&gt;0),OR(ABS(M168-Assumptions!$B$36)&lt;=Assumptions!$B$46,ABS(M168+Assumptions!$B$36)&lt;=Assumptions!$B$46),FALSE())</f>
        <v>0</v>
      </c>
      <c r="AI168" s="9" t="n">
        <f aca="false">INDEX('Commercial View'!$L$2:$L$301,MATCH($A168,'Commercial View'!$A$2:$A$301,0))+INDEX('Commercial View'!$M$2:$M$301,MATCH($A168,'Commercial View'!$A$2:$A$301,0))</f>
        <v>0</v>
      </c>
      <c r="AJ168" s="2" t="str">
        <f aca="false">IF(AND(K168=0,AI168=0),"No activity ex-Feb",IF(AI168=0,"Lapsed",IF(K168=0,"H2 Active / No H1 GMV",IF((AI168/2)/(K168/3)-1&gt;=Assumptions!$B$36,"Growing",IF((AI168/2)/(K168/3)-1&lt;-Assumptions!$B$36,"Declining","Stable")))))</f>
        <v>Lapsed</v>
      </c>
      <c r="AK168" s="10" t="b">
        <f aca="false">IF(OR(N168="Growing",N168="Stable"),"Healthy",N168)&lt;&gt;IF(OR(AJ168="Growing",AJ168="Stable"),"Healthy",AJ168)</f>
        <v>0</v>
      </c>
      <c r="AL168" s="2" t="str">
        <f aca="false">IF(N168="Lapsed",IF(OR(O168&lt;=Assumptions!$B$48,W168&lt;=Assumptions!$B$49),"One-Off / Insufficient History — Verify","Established Buyer Lapsed"),"N/A")</f>
        <v>One-Off / Insufficient History — Verify</v>
      </c>
      <c r="AM168" s="2" t="n">
        <f aca="false">INDEX('Scored Accounts'!$M$2:$M$301,MATCH($A168,'Scored Accounts'!$A$2:$A$301,0))</f>
        <v>0</v>
      </c>
      <c r="AN168" s="2" t="n">
        <f aca="false">IF((P168/(P168+Q168)*100)&lt;=Assumptions!$B$13,0,IF((P168/(P168+Q168)*100)&lt;Assumptions!$B$14,25,IF((P168/(P168+Q168)*100)&lt;Assumptions!$B$15,50,IF((P168/(P168+Q168)*100)&lt;Assumptions!$B$16,75,100))))</f>
        <v>0</v>
      </c>
      <c r="AO168" s="21" t="n">
        <f aca="false">IF((P168/(P168+Q168)*100)&lt;=Assumptions!$B$8,0,AN168*Assumptions!$B$4+INDEX('Scored Accounts'!$N$2:$N$301,MATCH($A168,'Scored Accounts'!$A$2:$A$301,0))*Assumptions!$B$5+INDEX('Scored Accounts'!$O$2:$O$301,MATCH($A168,'Scored Accounts'!$A$2:$A$301,0))*Assumptions!$B$6)</f>
        <v>0</v>
      </c>
      <c r="AP168" s="2" t="str">
        <f aca="false">IF(AO168&gt;=Assumptions!$B$9,"High",IF(AO168&gt;=Assumptions!$B$10,"Medium","Low"))</f>
        <v>Low</v>
      </c>
      <c r="AQ168" s="10" t="b">
        <f aca="false">OR((E168&lt;=Assumptions!$B$8)&lt;&gt;((P168/(P168+Q168)*100)&lt;=Assumptions!$B$8),AM168&lt;&gt;AN168,G168&lt;&gt;AP168)</f>
        <v>0</v>
      </c>
      <c r="AR168" s="2" t="str">
        <f aca="false">IF(AP168&lt;&gt;"Low","Broker-Reliant",IF(B168="Account Managed","AM-Owned / Self-Serving","Self-Serve"))</f>
        <v>AM-Owned / Self-Serving</v>
      </c>
      <c r="AS168" s="2" t="str">
        <f aca="false">IF(AR168="Broker-Reliant",IF(J168="Tail","5. Cost-to-Serve / Low-Touch",IF(OR(N168="Growing",N168="Stable"),"1. Migration Candidate",IF(N168="Declining","2. Protect / Retain First",IF(N168="Lapsed","3. Win-Back / Verify",IF(N168="H2 Active / No H1 GMV","4. Establish / Re-establish / Observe","UNASSIGNED"))))),IF(AP168="Low",IF(J168="Tail","9. Long-Tail Automated Nurture",IF(OR(N168="Growing",N168="Stable"),"6. Growth Opportunity",IF(N168="H2 Active / No H1 GMV","7. Onboard / Re-engage / Learn",IF(OR(N168="Declining",N168="Lapsed"),"8. Retention / Reactivation","UNASSIGNED")))),"UNASSIGNED"))</f>
        <v>9. Long-Tail Automated Nurture</v>
      </c>
      <c r="AT168" s="10" t="b">
        <f aca="false">AS168&lt;&gt;T168</f>
        <v>0</v>
      </c>
      <c r="AU168" s="2" t="str">
        <f aca="false">IF(NOT(U168),"Not Eligible",IF(OR(AQ168,AH168,AK168,NOT(AND(W168&gt;=Assumptions!$B$83,O168&gt;=Assumptions!$B$84))),"Manual Review","Ready"))</f>
        <v>Not Eligible</v>
      </c>
      <c r="AV168" s="2" t="str">
        <f aca="false">IF(AG168,"Key account - human sign-off required; ","")&amp;IF(AH168,"Borderline momentum; ","")&amp;IF(AK168,"February-sensitive ("&amp;N168&amp;" -&gt; "&amp;AJ168&amp;"); ","")&amp;IF(AL168="One-Off / Insufficient History — Verify","Lapsed on thin history - verify; ","")&amp;IF(AQ168,"Material broker % inconsistency (implied tier "&amp;AP168&amp;"); ","")&amp;IF(AT168,"Implied broker % would move segment to "&amp;AS168&amp;"; ","")</f>
        <v>Lapsed on thin history - verify; </v>
      </c>
      <c r="AW168" s="10" t="b">
        <f aca="false">AND(G168="Low",J168="Tail",I168&gt;=Assumptions!$B$64,O168&gt;=Assumptions!$B$65,OR(N168="Growing",N168="Stable",AND(N168="H2 Active / No H1 GMV",W168&gt;=2)),OR(R168&gt;=Assumptions!$B$66,S168&gt;=Assumptions!$B$67))</f>
        <v>0</v>
      </c>
    </row>
    <row r="169" customFormat="false" ht="15" hidden="false" customHeight="false" outlineLevel="0" collapsed="false">
      <c r="A169" s="2" t="s">
        <v>862</v>
      </c>
      <c r="B169" s="2" t="s">
        <v>1571</v>
      </c>
      <c r="C169" s="2"/>
      <c r="D169" s="2" t="n">
        <v>6</v>
      </c>
      <c r="E169" s="2" t="n">
        <v>18</v>
      </c>
      <c r="F169" s="21" t="n">
        <f aca="false">INDEX('Scored Accounts'!$Q$2:$Q$301,MATCH($A169,'Scored Accounts'!$A$2:$A$301,0))</f>
        <v>0</v>
      </c>
      <c r="G169" s="2" t="str">
        <f aca="false">INDEX('Scored Accounts'!$R$2:$R$301,MATCH($A169,'Scored Accounts'!$A$2:$A$301,0))</f>
        <v>Low</v>
      </c>
      <c r="H169" s="2" t="str">
        <f aca="false">IF(OR(G169="High",G169="Medium"),"Broker-Reliant",IF(AND(G169="Low",B169="Account Managed"),"AM-Owned / Self-Serving",IF(AND(G169="Low",B169="Self Serve"),"Self-Serve","UNASSIGNED")))</f>
        <v>AM-Owned / Self-Serving</v>
      </c>
      <c r="I169" s="9" t="n">
        <v>200</v>
      </c>
      <c r="J169" s="2" t="str">
        <f aca="false">IF(I169&gt;=Assumptions!$B$35,"Key",IF(I169&gt;=Assumptions!$B$34,"Core","Tail"))</f>
        <v>Tail</v>
      </c>
      <c r="K169" s="9" t="n">
        <f aca="false">INDEX('Commercial View'!$R$2:$R$301,MATCH($A169,'Commercial View'!$A$2:$A$301,0))</f>
        <v>200</v>
      </c>
      <c r="L169" s="9" t="n">
        <f aca="false">INDEX('Commercial View'!$S$2:$S$301,MATCH($A169,'Commercial View'!$A$2:$A$301,0))</f>
        <v>0</v>
      </c>
      <c r="M169" s="17" t="n">
        <f aca="false">INDEX('Commercial View'!$T$2:$T$301,MATCH($A169,'Commercial View'!$A$2:$A$301,0))</f>
        <v>-1</v>
      </c>
      <c r="N169" s="2" t="str">
        <f aca="false">INDEX('Commercial View'!$U$2:$U$301,MATCH($A169,'Commercial View'!$A$2:$A$301,0))</f>
        <v>Lapsed</v>
      </c>
      <c r="O169" s="2" t="n">
        <v>1</v>
      </c>
      <c r="P169" s="2" t="n">
        <v>0</v>
      </c>
      <c r="Q169" s="2" t="n">
        <v>1</v>
      </c>
      <c r="R169" s="2" t="n">
        <v>8</v>
      </c>
      <c r="S169" s="2" t="n">
        <v>0</v>
      </c>
      <c r="T169" s="2" t="str">
        <f aca="false">IF(H169="Broker-Reliant",IF(J169="Tail","5. Cost-to-Serve / Low-Touch",IF(OR(N169="Growing",N169="Stable"),"1. Migration Candidate",IF(N169="Declining","2. Protect / Retain First",IF(N169="Lapsed","3. Win-Back / Verify",IF(N169="H2 Active / No H1 GMV","4. Establish / Re-establish / Observe","UNASSIGNED"))))),IF(G169="Low",IF(J169="Tail","9. Long-Tail Automated Nurture",IF(OR(N169="Growing",N169="Stable"),"6. Growth Opportunity",IF(N169="H2 Active / No H1 GMV","7. Onboard / Re-engage / Learn",IF(OR(N169="Declining",N169="Lapsed"),"8. Retention / Reactivation","UNASSIGNED")))),"UNASSIGNED"))</f>
        <v>9. Long-Tail Automated Nurture</v>
      </c>
      <c r="U169" s="10" t="b">
        <f aca="false">AND(T169="1. Migration Candidate",J169="Core",O169&gt;=Assumptions!$B$39,Q169&gt;=Assumptions!$B$40,NOT(Z169))</f>
        <v>0</v>
      </c>
      <c r="V169" s="2" t="n">
        <f aca="false">(AND(H169="Broker-Reliant",J169&lt;&gt;"Tail",OR(N169="Growing",N169="Stable")))*1+(AND(H169="Broker-Reliant",J169&lt;&gt;"Tail",N169="Declining"))*1+(AND(H169="Broker-Reliant",J169&lt;&gt;"Tail",N169="Lapsed"))*1+(AND(H169="Broker-Reliant",J169&lt;&gt;"Tail",N169="H2 Active / No H1 GMV"))*1+(AND(H169="Broker-Reliant",J169="Tail"))*1+(AND(G169="Low",J169&lt;&gt;"Tail",OR(N169="Growing",N169="Stable")))*1+(AND(G169="Low",J169&lt;&gt;"Tail",N169="H2 Active / No H1 GMV"))*1+(AND(G169="Low",J169&lt;&gt;"Tail",OR(N169="Declining",N169="Lapsed")))*1+(AND(G169="Low",J169="Tail"))*1</f>
        <v>1</v>
      </c>
      <c r="W169" s="2" t="n">
        <f aca="false">INDEX('Commercial View'!$V$2:$V$301,MATCH($A169,'Commercial View'!$A$2:$A$301,0))</f>
        <v>1</v>
      </c>
      <c r="X169" s="10" t="b">
        <f aca="false">O169&lt;=Assumptions!$B$30</f>
        <v>1</v>
      </c>
      <c r="Y169" s="10" t="b">
        <f aca="false">W169&lt;=1</f>
        <v>1</v>
      </c>
      <c r="Z169" s="10" t="b">
        <f aca="false">C169="Duplicate"</f>
        <v>0</v>
      </c>
      <c r="AA169" s="10" t="b">
        <f aca="false">C169=""</f>
        <v>1</v>
      </c>
      <c r="AB169" s="2" t="n">
        <f aca="false">IF(P169+Q169&gt;0,ROUND(P169/(P169+Q169)*100,0),"")</f>
        <v>0</v>
      </c>
      <c r="AC169" s="2" t="n">
        <f aca="false">IF(P169+Q169&gt;0,ROUND(E169-P169/(P169+Q169)*100,0),"")</f>
        <v>18</v>
      </c>
      <c r="AD169" s="10" t="b">
        <f aca="false">IF(AC169="",FALSE(),ABS(AC169)&gt;Assumptions!$B$41)</f>
        <v>1</v>
      </c>
      <c r="AE169" s="2" t="str">
        <f aca="false">IF(X169,"Low confidence (&lt;=2 orders); ","")&amp;IF(Y169,"Single-month history; ","")&amp;IF(Z169,"CRITICAL: Duplicate status; ","")&amp;IF(AA169,"Missing status; ","")&amp;IF(AD169,"Broker % vs counts gap "&amp;TEXT(AC169,"+0;-0")&amp;"pts; ","")</f>
        <v>Low confidence (&lt;=2 orders); Single-month history; Missing status; Broker % vs counts gap +18pts; </v>
      </c>
      <c r="AF169" s="2" t="str">
        <f aca="false">IF(AND(K169=0,L169&gt;0),IF(D169&lt;=Assumptions!$B$47,"New Customer","Returned Customer"),"Existing Customer")</f>
        <v>Existing Customer</v>
      </c>
      <c r="AG169" s="10" t="b">
        <f aca="false">AND(T169="1. Migration Candidate",J169="Key")</f>
        <v>0</v>
      </c>
      <c r="AH169" s="10" t="b">
        <f aca="false">IF(AND(K169&gt;0,L169&gt;0),OR(ABS(M169-Assumptions!$B$36)&lt;=Assumptions!$B$46,ABS(M169+Assumptions!$B$36)&lt;=Assumptions!$B$46),FALSE())</f>
        <v>0</v>
      </c>
      <c r="AI169" s="9" t="n">
        <f aca="false">INDEX('Commercial View'!$L$2:$L$301,MATCH($A169,'Commercial View'!$A$2:$A$301,0))+INDEX('Commercial View'!$M$2:$M$301,MATCH($A169,'Commercial View'!$A$2:$A$301,0))</f>
        <v>0</v>
      </c>
      <c r="AJ169" s="2" t="str">
        <f aca="false">IF(AND(K169=0,AI169=0),"No activity ex-Feb",IF(AI169=0,"Lapsed",IF(K169=0,"H2 Active / No H1 GMV",IF((AI169/2)/(K169/3)-1&gt;=Assumptions!$B$36,"Growing",IF((AI169/2)/(K169/3)-1&lt;-Assumptions!$B$36,"Declining","Stable")))))</f>
        <v>Lapsed</v>
      </c>
      <c r="AK169" s="10" t="b">
        <f aca="false">IF(OR(N169="Growing",N169="Stable"),"Healthy",N169)&lt;&gt;IF(OR(AJ169="Growing",AJ169="Stable"),"Healthy",AJ169)</f>
        <v>0</v>
      </c>
      <c r="AL169" s="2" t="str">
        <f aca="false">IF(N169="Lapsed",IF(OR(O169&lt;=Assumptions!$B$48,W169&lt;=Assumptions!$B$49),"One-Off / Insufficient History — Verify","Established Buyer Lapsed"),"N/A")</f>
        <v>One-Off / Insufficient History — Verify</v>
      </c>
      <c r="AM169" s="2" t="n">
        <f aca="false">INDEX('Scored Accounts'!$M$2:$M$301,MATCH($A169,'Scored Accounts'!$A$2:$A$301,0))</f>
        <v>0</v>
      </c>
      <c r="AN169" s="2" t="n">
        <f aca="false">IF((P169/(P169+Q169)*100)&lt;=Assumptions!$B$13,0,IF((P169/(P169+Q169)*100)&lt;Assumptions!$B$14,25,IF((P169/(P169+Q169)*100)&lt;Assumptions!$B$15,50,IF((P169/(P169+Q169)*100)&lt;Assumptions!$B$16,75,100))))</f>
        <v>0</v>
      </c>
      <c r="AO169" s="21" t="n">
        <f aca="false">IF((P169/(P169+Q169)*100)&lt;=Assumptions!$B$8,0,AN169*Assumptions!$B$4+INDEX('Scored Accounts'!$N$2:$N$301,MATCH($A169,'Scored Accounts'!$A$2:$A$301,0))*Assumptions!$B$5+INDEX('Scored Accounts'!$O$2:$O$301,MATCH($A169,'Scored Accounts'!$A$2:$A$301,0))*Assumptions!$B$6)</f>
        <v>0</v>
      </c>
      <c r="AP169" s="2" t="str">
        <f aca="false">IF(AO169&gt;=Assumptions!$B$9,"High",IF(AO169&gt;=Assumptions!$B$10,"Medium","Low"))</f>
        <v>Low</v>
      </c>
      <c r="AQ169" s="10" t="b">
        <f aca="false">OR((E169&lt;=Assumptions!$B$8)&lt;&gt;((P169/(P169+Q169)*100)&lt;=Assumptions!$B$8),AM169&lt;&gt;AN169,G169&lt;&gt;AP169)</f>
        <v>0</v>
      </c>
      <c r="AR169" s="2" t="str">
        <f aca="false">IF(AP169&lt;&gt;"Low","Broker-Reliant",IF(B169="Account Managed","AM-Owned / Self-Serving","Self-Serve"))</f>
        <v>AM-Owned / Self-Serving</v>
      </c>
      <c r="AS169" s="2" t="str">
        <f aca="false">IF(AR169="Broker-Reliant",IF(J169="Tail","5. Cost-to-Serve / Low-Touch",IF(OR(N169="Growing",N169="Stable"),"1. Migration Candidate",IF(N169="Declining","2. Protect / Retain First",IF(N169="Lapsed","3. Win-Back / Verify",IF(N169="H2 Active / No H1 GMV","4. Establish / Re-establish / Observe","UNASSIGNED"))))),IF(AP169="Low",IF(J169="Tail","9. Long-Tail Automated Nurture",IF(OR(N169="Growing",N169="Stable"),"6. Growth Opportunity",IF(N169="H2 Active / No H1 GMV","7. Onboard / Re-engage / Learn",IF(OR(N169="Declining",N169="Lapsed"),"8. Retention / Reactivation","UNASSIGNED")))),"UNASSIGNED"))</f>
        <v>9. Long-Tail Automated Nurture</v>
      </c>
      <c r="AT169" s="10" t="b">
        <f aca="false">AS169&lt;&gt;T169</f>
        <v>0</v>
      </c>
      <c r="AU169" s="2" t="str">
        <f aca="false">IF(NOT(U169),"Not Eligible",IF(OR(AQ169,AH169,AK169,NOT(AND(W169&gt;=Assumptions!$B$83,O169&gt;=Assumptions!$B$84))),"Manual Review","Ready"))</f>
        <v>Not Eligible</v>
      </c>
      <c r="AV169" s="2" t="str">
        <f aca="false">IF(AG169,"Key account - human sign-off required; ","")&amp;IF(AH169,"Borderline momentum; ","")&amp;IF(AK169,"February-sensitive ("&amp;N169&amp;" -&gt; "&amp;AJ169&amp;"); ","")&amp;IF(AL169="One-Off / Insufficient History — Verify","Lapsed on thin history - verify; ","")&amp;IF(AQ169,"Material broker % inconsistency (implied tier "&amp;AP169&amp;"); ","")&amp;IF(AT169,"Implied broker % would move segment to "&amp;AS169&amp;"; ","")</f>
        <v>Lapsed on thin history - verify; </v>
      </c>
      <c r="AW169" s="10" t="b">
        <f aca="false">AND(G169="Low",J169="Tail",I169&gt;=Assumptions!$B$64,O169&gt;=Assumptions!$B$65,OR(N169="Growing",N169="Stable",AND(N169="H2 Active / No H1 GMV",W169&gt;=2)),OR(R169&gt;=Assumptions!$B$66,S169&gt;=Assumptions!$B$67))</f>
        <v>0</v>
      </c>
    </row>
    <row r="170" customFormat="false" ht="15" hidden="false" customHeight="false" outlineLevel="0" collapsed="false">
      <c r="A170" s="2" t="s">
        <v>864</v>
      </c>
      <c r="B170" s="2" t="s">
        <v>1571</v>
      </c>
      <c r="C170" s="2"/>
      <c r="D170" s="2" t="n">
        <v>6</v>
      </c>
      <c r="E170" s="2" t="n">
        <v>18</v>
      </c>
      <c r="F170" s="21" t="n">
        <f aca="false">INDEX('Scored Accounts'!$Q$2:$Q$301,MATCH($A170,'Scored Accounts'!$A$2:$A$301,0))</f>
        <v>0</v>
      </c>
      <c r="G170" s="2" t="str">
        <f aca="false">INDEX('Scored Accounts'!$R$2:$R$301,MATCH($A170,'Scored Accounts'!$A$2:$A$301,0))</f>
        <v>Low</v>
      </c>
      <c r="H170" s="2" t="str">
        <f aca="false">IF(OR(G170="High",G170="Medium"),"Broker-Reliant",IF(AND(G170="Low",B170="Account Managed"),"AM-Owned / Self-Serving",IF(AND(G170="Low",B170="Self Serve"),"Self-Serve","UNASSIGNED")))</f>
        <v>AM-Owned / Self-Serving</v>
      </c>
      <c r="I170" s="9" t="n">
        <v>200</v>
      </c>
      <c r="J170" s="2" t="str">
        <f aca="false">IF(I170&gt;=Assumptions!$B$35,"Key",IF(I170&gt;=Assumptions!$B$34,"Core","Tail"))</f>
        <v>Tail</v>
      </c>
      <c r="K170" s="9" t="n">
        <f aca="false">INDEX('Commercial View'!$R$2:$R$301,MATCH($A170,'Commercial View'!$A$2:$A$301,0))</f>
        <v>200</v>
      </c>
      <c r="L170" s="9" t="n">
        <f aca="false">INDEX('Commercial View'!$S$2:$S$301,MATCH($A170,'Commercial View'!$A$2:$A$301,0))</f>
        <v>0</v>
      </c>
      <c r="M170" s="17" t="n">
        <f aca="false">INDEX('Commercial View'!$T$2:$T$301,MATCH($A170,'Commercial View'!$A$2:$A$301,0))</f>
        <v>-1</v>
      </c>
      <c r="N170" s="2" t="str">
        <f aca="false">INDEX('Commercial View'!$U$2:$U$301,MATCH($A170,'Commercial View'!$A$2:$A$301,0))</f>
        <v>Lapsed</v>
      </c>
      <c r="O170" s="2" t="n">
        <v>1</v>
      </c>
      <c r="P170" s="2" t="n">
        <v>0</v>
      </c>
      <c r="Q170" s="2" t="n">
        <v>1</v>
      </c>
      <c r="R170" s="2" t="n">
        <v>6</v>
      </c>
      <c r="S170" s="2" t="n">
        <v>0</v>
      </c>
      <c r="T170" s="2" t="str">
        <f aca="false">IF(H170="Broker-Reliant",IF(J170="Tail","5. Cost-to-Serve / Low-Touch",IF(OR(N170="Growing",N170="Stable"),"1. Migration Candidate",IF(N170="Declining","2. Protect / Retain First",IF(N170="Lapsed","3. Win-Back / Verify",IF(N170="H2 Active / No H1 GMV","4. Establish / Re-establish / Observe","UNASSIGNED"))))),IF(G170="Low",IF(J170="Tail","9. Long-Tail Automated Nurture",IF(OR(N170="Growing",N170="Stable"),"6. Growth Opportunity",IF(N170="H2 Active / No H1 GMV","7. Onboard / Re-engage / Learn",IF(OR(N170="Declining",N170="Lapsed"),"8. Retention / Reactivation","UNASSIGNED")))),"UNASSIGNED"))</f>
        <v>9. Long-Tail Automated Nurture</v>
      </c>
      <c r="U170" s="10" t="b">
        <f aca="false">AND(T170="1. Migration Candidate",J170="Core",O170&gt;=Assumptions!$B$39,Q170&gt;=Assumptions!$B$40,NOT(Z170))</f>
        <v>0</v>
      </c>
      <c r="V170" s="2" t="n">
        <f aca="false">(AND(H170="Broker-Reliant",J170&lt;&gt;"Tail",OR(N170="Growing",N170="Stable")))*1+(AND(H170="Broker-Reliant",J170&lt;&gt;"Tail",N170="Declining"))*1+(AND(H170="Broker-Reliant",J170&lt;&gt;"Tail",N170="Lapsed"))*1+(AND(H170="Broker-Reliant",J170&lt;&gt;"Tail",N170="H2 Active / No H1 GMV"))*1+(AND(H170="Broker-Reliant",J170="Tail"))*1+(AND(G170="Low",J170&lt;&gt;"Tail",OR(N170="Growing",N170="Stable")))*1+(AND(G170="Low",J170&lt;&gt;"Tail",N170="H2 Active / No H1 GMV"))*1+(AND(G170="Low",J170&lt;&gt;"Tail",OR(N170="Declining",N170="Lapsed")))*1+(AND(G170="Low",J170="Tail"))*1</f>
        <v>1</v>
      </c>
      <c r="W170" s="2" t="n">
        <f aca="false">INDEX('Commercial View'!$V$2:$V$301,MATCH($A170,'Commercial View'!$A$2:$A$301,0))</f>
        <v>1</v>
      </c>
      <c r="X170" s="10" t="b">
        <f aca="false">O170&lt;=Assumptions!$B$30</f>
        <v>1</v>
      </c>
      <c r="Y170" s="10" t="b">
        <f aca="false">W170&lt;=1</f>
        <v>1</v>
      </c>
      <c r="Z170" s="10" t="b">
        <f aca="false">C170="Duplicate"</f>
        <v>0</v>
      </c>
      <c r="AA170" s="10" t="b">
        <f aca="false">C170=""</f>
        <v>1</v>
      </c>
      <c r="AB170" s="2" t="n">
        <f aca="false">IF(P170+Q170&gt;0,ROUND(P170/(P170+Q170)*100,0),"")</f>
        <v>0</v>
      </c>
      <c r="AC170" s="2" t="n">
        <f aca="false">IF(P170+Q170&gt;0,ROUND(E170-P170/(P170+Q170)*100,0),"")</f>
        <v>18</v>
      </c>
      <c r="AD170" s="10" t="b">
        <f aca="false">IF(AC170="",FALSE(),ABS(AC170)&gt;Assumptions!$B$41)</f>
        <v>1</v>
      </c>
      <c r="AE170" s="2" t="str">
        <f aca="false">IF(X170,"Low confidence (&lt;=2 orders); ","")&amp;IF(Y170,"Single-month history; ","")&amp;IF(Z170,"CRITICAL: Duplicate status; ","")&amp;IF(AA170,"Missing status; ","")&amp;IF(AD170,"Broker % vs counts gap "&amp;TEXT(AC170,"+0;-0")&amp;"pts; ","")</f>
        <v>Low confidence (&lt;=2 orders); Single-month history; Missing status; Broker % vs counts gap +18pts; </v>
      </c>
      <c r="AF170" s="2" t="str">
        <f aca="false">IF(AND(K170=0,L170&gt;0),IF(D170&lt;=Assumptions!$B$47,"New Customer","Returned Customer"),"Existing Customer")</f>
        <v>Existing Customer</v>
      </c>
      <c r="AG170" s="10" t="b">
        <f aca="false">AND(T170="1. Migration Candidate",J170="Key")</f>
        <v>0</v>
      </c>
      <c r="AH170" s="10" t="b">
        <f aca="false">IF(AND(K170&gt;0,L170&gt;0),OR(ABS(M170-Assumptions!$B$36)&lt;=Assumptions!$B$46,ABS(M170+Assumptions!$B$36)&lt;=Assumptions!$B$46),FALSE())</f>
        <v>0</v>
      </c>
      <c r="AI170" s="9" t="n">
        <f aca="false">INDEX('Commercial View'!$L$2:$L$301,MATCH($A170,'Commercial View'!$A$2:$A$301,0))+INDEX('Commercial View'!$M$2:$M$301,MATCH($A170,'Commercial View'!$A$2:$A$301,0))</f>
        <v>0</v>
      </c>
      <c r="AJ170" s="2" t="str">
        <f aca="false">IF(AND(K170=0,AI170=0),"No activity ex-Feb",IF(AI170=0,"Lapsed",IF(K170=0,"H2 Active / No H1 GMV",IF((AI170/2)/(K170/3)-1&gt;=Assumptions!$B$36,"Growing",IF((AI170/2)/(K170/3)-1&lt;-Assumptions!$B$36,"Declining","Stable")))))</f>
        <v>Lapsed</v>
      </c>
      <c r="AK170" s="10" t="b">
        <f aca="false">IF(OR(N170="Growing",N170="Stable"),"Healthy",N170)&lt;&gt;IF(OR(AJ170="Growing",AJ170="Stable"),"Healthy",AJ170)</f>
        <v>0</v>
      </c>
      <c r="AL170" s="2" t="str">
        <f aca="false">IF(N170="Lapsed",IF(OR(O170&lt;=Assumptions!$B$48,W170&lt;=Assumptions!$B$49),"One-Off / Insufficient History — Verify","Established Buyer Lapsed"),"N/A")</f>
        <v>One-Off / Insufficient History — Verify</v>
      </c>
      <c r="AM170" s="2" t="n">
        <f aca="false">INDEX('Scored Accounts'!$M$2:$M$301,MATCH($A170,'Scored Accounts'!$A$2:$A$301,0))</f>
        <v>0</v>
      </c>
      <c r="AN170" s="2" t="n">
        <f aca="false">IF((P170/(P170+Q170)*100)&lt;=Assumptions!$B$13,0,IF((P170/(P170+Q170)*100)&lt;Assumptions!$B$14,25,IF((P170/(P170+Q170)*100)&lt;Assumptions!$B$15,50,IF((P170/(P170+Q170)*100)&lt;Assumptions!$B$16,75,100))))</f>
        <v>0</v>
      </c>
      <c r="AO170" s="21" t="n">
        <f aca="false">IF((P170/(P170+Q170)*100)&lt;=Assumptions!$B$8,0,AN170*Assumptions!$B$4+INDEX('Scored Accounts'!$N$2:$N$301,MATCH($A170,'Scored Accounts'!$A$2:$A$301,0))*Assumptions!$B$5+INDEX('Scored Accounts'!$O$2:$O$301,MATCH($A170,'Scored Accounts'!$A$2:$A$301,0))*Assumptions!$B$6)</f>
        <v>0</v>
      </c>
      <c r="AP170" s="2" t="str">
        <f aca="false">IF(AO170&gt;=Assumptions!$B$9,"High",IF(AO170&gt;=Assumptions!$B$10,"Medium","Low"))</f>
        <v>Low</v>
      </c>
      <c r="AQ170" s="10" t="b">
        <f aca="false">OR((E170&lt;=Assumptions!$B$8)&lt;&gt;((P170/(P170+Q170)*100)&lt;=Assumptions!$B$8),AM170&lt;&gt;AN170,G170&lt;&gt;AP170)</f>
        <v>0</v>
      </c>
      <c r="AR170" s="2" t="str">
        <f aca="false">IF(AP170&lt;&gt;"Low","Broker-Reliant",IF(B170="Account Managed","AM-Owned / Self-Serving","Self-Serve"))</f>
        <v>AM-Owned / Self-Serving</v>
      </c>
      <c r="AS170" s="2" t="str">
        <f aca="false">IF(AR170="Broker-Reliant",IF(J170="Tail","5. Cost-to-Serve / Low-Touch",IF(OR(N170="Growing",N170="Stable"),"1. Migration Candidate",IF(N170="Declining","2. Protect / Retain First",IF(N170="Lapsed","3. Win-Back / Verify",IF(N170="H2 Active / No H1 GMV","4. Establish / Re-establish / Observe","UNASSIGNED"))))),IF(AP170="Low",IF(J170="Tail","9. Long-Tail Automated Nurture",IF(OR(N170="Growing",N170="Stable"),"6. Growth Opportunity",IF(N170="H2 Active / No H1 GMV","7. Onboard / Re-engage / Learn",IF(OR(N170="Declining",N170="Lapsed"),"8. Retention / Reactivation","UNASSIGNED")))),"UNASSIGNED"))</f>
        <v>9. Long-Tail Automated Nurture</v>
      </c>
      <c r="AT170" s="10" t="b">
        <f aca="false">AS170&lt;&gt;T170</f>
        <v>0</v>
      </c>
      <c r="AU170" s="2" t="str">
        <f aca="false">IF(NOT(U170),"Not Eligible",IF(OR(AQ170,AH170,AK170,NOT(AND(W170&gt;=Assumptions!$B$83,O170&gt;=Assumptions!$B$84))),"Manual Review","Ready"))</f>
        <v>Not Eligible</v>
      </c>
      <c r="AV170" s="2" t="str">
        <f aca="false">IF(AG170,"Key account - human sign-off required; ","")&amp;IF(AH170,"Borderline momentum; ","")&amp;IF(AK170,"February-sensitive ("&amp;N170&amp;" -&gt; "&amp;AJ170&amp;"); ","")&amp;IF(AL170="One-Off / Insufficient History — Verify","Lapsed on thin history - verify; ","")&amp;IF(AQ170,"Material broker % inconsistency (implied tier "&amp;AP170&amp;"); ","")&amp;IF(AT170,"Implied broker % would move segment to "&amp;AS170&amp;"; ","")</f>
        <v>Lapsed on thin history - verify; </v>
      </c>
      <c r="AW170" s="10" t="b">
        <f aca="false">AND(G170="Low",J170="Tail",I170&gt;=Assumptions!$B$64,O170&gt;=Assumptions!$B$65,OR(N170="Growing",N170="Stable",AND(N170="H2 Active / No H1 GMV",W170&gt;=2)),OR(R170&gt;=Assumptions!$B$66,S170&gt;=Assumptions!$B$67))</f>
        <v>0</v>
      </c>
    </row>
    <row r="171" customFormat="false" ht="15" hidden="false" customHeight="false" outlineLevel="0" collapsed="false">
      <c r="A171" s="2" t="s">
        <v>866</v>
      </c>
      <c r="B171" s="2" t="s">
        <v>1571</v>
      </c>
      <c r="C171" s="2"/>
      <c r="D171" s="2" t="n">
        <v>6</v>
      </c>
      <c r="E171" s="2" t="n">
        <v>17</v>
      </c>
      <c r="F171" s="21" t="n">
        <f aca="false">INDEX('Scored Accounts'!$Q$2:$Q$301,MATCH($A171,'Scored Accounts'!$A$2:$A$301,0))</f>
        <v>0</v>
      </c>
      <c r="G171" s="2" t="str">
        <f aca="false">INDEX('Scored Accounts'!$R$2:$R$301,MATCH($A171,'Scored Accounts'!$A$2:$A$301,0))</f>
        <v>Low</v>
      </c>
      <c r="H171" s="2" t="str">
        <f aca="false">IF(OR(G171="High",G171="Medium"),"Broker-Reliant",IF(AND(G171="Low",B171="Account Managed"),"AM-Owned / Self-Serving",IF(AND(G171="Low",B171="Self Serve"),"Self-Serve","UNASSIGNED")))</f>
        <v>AM-Owned / Self-Serving</v>
      </c>
      <c r="I171" s="9" t="n">
        <v>196</v>
      </c>
      <c r="J171" s="2" t="str">
        <f aca="false">IF(I171&gt;=Assumptions!$B$35,"Key",IF(I171&gt;=Assumptions!$B$34,"Core","Tail"))</f>
        <v>Tail</v>
      </c>
      <c r="K171" s="9" t="n">
        <f aca="false">INDEX('Commercial View'!$R$2:$R$301,MATCH($A171,'Commercial View'!$A$2:$A$301,0))</f>
        <v>196</v>
      </c>
      <c r="L171" s="9" t="n">
        <f aca="false">INDEX('Commercial View'!$S$2:$S$301,MATCH($A171,'Commercial View'!$A$2:$A$301,0))</f>
        <v>0</v>
      </c>
      <c r="M171" s="17" t="n">
        <f aca="false">INDEX('Commercial View'!$T$2:$T$301,MATCH($A171,'Commercial View'!$A$2:$A$301,0))</f>
        <v>-1</v>
      </c>
      <c r="N171" s="2" t="str">
        <f aca="false">INDEX('Commercial View'!$U$2:$U$301,MATCH($A171,'Commercial View'!$A$2:$A$301,0))</f>
        <v>Lapsed</v>
      </c>
      <c r="O171" s="2" t="n">
        <v>1</v>
      </c>
      <c r="P171" s="2" t="n">
        <v>0</v>
      </c>
      <c r="Q171" s="2" t="n">
        <v>1</v>
      </c>
      <c r="R171" s="2" t="n">
        <v>5</v>
      </c>
      <c r="S171" s="2" t="n">
        <v>0</v>
      </c>
      <c r="T171" s="2" t="str">
        <f aca="false">IF(H171="Broker-Reliant",IF(J171="Tail","5. Cost-to-Serve / Low-Touch",IF(OR(N171="Growing",N171="Stable"),"1. Migration Candidate",IF(N171="Declining","2. Protect / Retain First",IF(N171="Lapsed","3. Win-Back / Verify",IF(N171="H2 Active / No H1 GMV","4. Establish / Re-establish / Observe","UNASSIGNED"))))),IF(G171="Low",IF(J171="Tail","9. Long-Tail Automated Nurture",IF(OR(N171="Growing",N171="Stable"),"6. Growth Opportunity",IF(N171="H2 Active / No H1 GMV","7. Onboard / Re-engage / Learn",IF(OR(N171="Declining",N171="Lapsed"),"8. Retention / Reactivation","UNASSIGNED")))),"UNASSIGNED"))</f>
        <v>9. Long-Tail Automated Nurture</v>
      </c>
      <c r="U171" s="10" t="b">
        <f aca="false">AND(T171="1. Migration Candidate",J171="Core",O171&gt;=Assumptions!$B$39,Q171&gt;=Assumptions!$B$40,NOT(Z171))</f>
        <v>0</v>
      </c>
      <c r="V171" s="2" t="n">
        <f aca="false">(AND(H171="Broker-Reliant",J171&lt;&gt;"Tail",OR(N171="Growing",N171="Stable")))*1+(AND(H171="Broker-Reliant",J171&lt;&gt;"Tail",N171="Declining"))*1+(AND(H171="Broker-Reliant",J171&lt;&gt;"Tail",N171="Lapsed"))*1+(AND(H171="Broker-Reliant",J171&lt;&gt;"Tail",N171="H2 Active / No H1 GMV"))*1+(AND(H171="Broker-Reliant",J171="Tail"))*1+(AND(G171="Low",J171&lt;&gt;"Tail",OR(N171="Growing",N171="Stable")))*1+(AND(G171="Low",J171&lt;&gt;"Tail",N171="H2 Active / No H1 GMV"))*1+(AND(G171="Low",J171&lt;&gt;"Tail",OR(N171="Declining",N171="Lapsed")))*1+(AND(G171="Low",J171="Tail"))*1</f>
        <v>1</v>
      </c>
      <c r="W171" s="2" t="n">
        <f aca="false">INDEX('Commercial View'!$V$2:$V$301,MATCH($A171,'Commercial View'!$A$2:$A$301,0))</f>
        <v>1</v>
      </c>
      <c r="X171" s="10" t="b">
        <f aca="false">O171&lt;=Assumptions!$B$30</f>
        <v>1</v>
      </c>
      <c r="Y171" s="10" t="b">
        <f aca="false">W171&lt;=1</f>
        <v>1</v>
      </c>
      <c r="Z171" s="10" t="b">
        <f aca="false">C171="Duplicate"</f>
        <v>0</v>
      </c>
      <c r="AA171" s="10" t="b">
        <f aca="false">C171=""</f>
        <v>1</v>
      </c>
      <c r="AB171" s="2" t="n">
        <f aca="false">IF(P171+Q171&gt;0,ROUND(P171/(P171+Q171)*100,0),"")</f>
        <v>0</v>
      </c>
      <c r="AC171" s="2" t="n">
        <f aca="false">IF(P171+Q171&gt;0,ROUND(E171-P171/(P171+Q171)*100,0),"")</f>
        <v>17</v>
      </c>
      <c r="AD171" s="10" t="b">
        <f aca="false">IF(AC171="",FALSE(),ABS(AC171)&gt;Assumptions!$B$41)</f>
        <v>1</v>
      </c>
      <c r="AE171" s="2" t="str">
        <f aca="false">IF(X171,"Low confidence (&lt;=2 orders); ","")&amp;IF(Y171,"Single-month history; ","")&amp;IF(Z171,"CRITICAL: Duplicate status; ","")&amp;IF(AA171,"Missing status; ","")&amp;IF(AD171,"Broker % vs counts gap "&amp;TEXT(AC171,"+0;-0")&amp;"pts; ","")</f>
        <v>Low confidence (&lt;=2 orders); Single-month history; Missing status; Broker % vs counts gap +17pts; </v>
      </c>
      <c r="AF171" s="2" t="str">
        <f aca="false">IF(AND(K171=0,L171&gt;0),IF(D171&lt;=Assumptions!$B$47,"New Customer","Returned Customer"),"Existing Customer")</f>
        <v>Existing Customer</v>
      </c>
      <c r="AG171" s="10" t="b">
        <f aca="false">AND(T171="1. Migration Candidate",J171="Key")</f>
        <v>0</v>
      </c>
      <c r="AH171" s="10" t="b">
        <f aca="false">IF(AND(K171&gt;0,L171&gt;0),OR(ABS(M171-Assumptions!$B$36)&lt;=Assumptions!$B$46,ABS(M171+Assumptions!$B$36)&lt;=Assumptions!$B$46),FALSE())</f>
        <v>0</v>
      </c>
      <c r="AI171" s="9" t="n">
        <f aca="false">INDEX('Commercial View'!$L$2:$L$301,MATCH($A171,'Commercial View'!$A$2:$A$301,0))+INDEX('Commercial View'!$M$2:$M$301,MATCH($A171,'Commercial View'!$A$2:$A$301,0))</f>
        <v>0</v>
      </c>
      <c r="AJ171" s="2" t="str">
        <f aca="false">IF(AND(K171=0,AI171=0),"No activity ex-Feb",IF(AI171=0,"Lapsed",IF(K171=0,"H2 Active / No H1 GMV",IF((AI171/2)/(K171/3)-1&gt;=Assumptions!$B$36,"Growing",IF((AI171/2)/(K171/3)-1&lt;-Assumptions!$B$36,"Declining","Stable")))))</f>
        <v>Lapsed</v>
      </c>
      <c r="AK171" s="10" t="b">
        <f aca="false">IF(OR(N171="Growing",N171="Stable"),"Healthy",N171)&lt;&gt;IF(OR(AJ171="Growing",AJ171="Stable"),"Healthy",AJ171)</f>
        <v>0</v>
      </c>
      <c r="AL171" s="2" t="str">
        <f aca="false">IF(N171="Lapsed",IF(OR(O171&lt;=Assumptions!$B$48,W171&lt;=Assumptions!$B$49),"One-Off / Insufficient History — Verify","Established Buyer Lapsed"),"N/A")</f>
        <v>One-Off / Insufficient History — Verify</v>
      </c>
      <c r="AM171" s="2" t="n">
        <f aca="false">INDEX('Scored Accounts'!$M$2:$M$301,MATCH($A171,'Scored Accounts'!$A$2:$A$301,0))</f>
        <v>0</v>
      </c>
      <c r="AN171" s="2" t="n">
        <f aca="false">IF((P171/(P171+Q171)*100)&lt;=Assumptions!$B$13,0,IF((P171/(P171+Q171)*100)&lt;Assumptions!$B$14,25,IF((P171/(P171+Q171)*100)&lt;Assumptions!$B$15,50,IF((P171/(P171+Q171)*100)&lt;Assumptions!$B$16,75,100))))</f>
        <v>0</v>
      </c>
      <c r="AO171" s="21" t="n">
        <f aca="false">IF((P171/(P171+Q171)*100)&lt;=Assumptions!$B$8,0,AN171*Assumptions!$B$4+INDEX('Scored Accounts'!$N$2:$N$301,MATCH($A171,'Scored Accounts'!$A$2:$A$301,0))*Assumptions!$B$5+INDEX('Scored Accounts'!$O$2:$O$301,MATCH($A171,'Scored Accounts'!$A$2:$A$301,0))*Assumptions!$B$6)</f>
        <v>0</v>
      </c>
      <c r="AP171" s="2" t="str">
        <f aca="false">IF(AO171&gt;=Assumptions!$B$9,"High",IF(AO171&gt;=Assumptions!$B$10,"Medium","Low"))</f>
        <v>Low</v>
      </c>
      <c r="AQ171" s="10" t="b">
        <f aca="false">OR((E171&lt;=Assumptions!$B$8)&lt;&gt;((P171/(P171+Q171)*100)&lt;=Assumptions!$B$8),AM171&lt;&gt;AN171,G171&lt;&gt;AP171)</f>
        <v>0</v>
      </c>
      <c r="AR171" s="2" t="str">
        <f aca="false">IF(AP171&lt;&gt;"Low","Broker-Reliant",IF(B171="Account Managed","AM-Owned / Self-Serving","Self-Serve"))</f>
        <v>AM-Owned / Self-Serving</v>
      </c>
      <c r="AS171" s="2" t="str">
        <f aca="false">IF(AR171="Broker-Reliant",IF(J171="Tail","5. Cost-to-Serve / Low-Touch",IF(OR(N171="Growing",N171="Stable"),"1. Migration Candidate",IF(N171="Declining","2. Protect / Retain First",IF(N171="Lapsed","3. Win-Back / Verify",IF(N171="H2 Active / No H1 GMV","4. Establish / Re-establish / Observe","UNASSIGNED"))))),IF(AP171="Low",IF(J171="Tail","9. Long-Tail Automated Nurture",IF(OR(N171="Growing",N171="Stable"),"6. Growth Opportunity",IF(N171="H2 Active / No H1 GMV","7. Onboard / Re-engage / Learn",IF(OR(N171="Declining",N171="Lapsed"),"8. Retention / Reactivation","UNASSIGNED")))),"UNASSIGNED"))</f>
        <v>9. Long-Tail Automated Nurture</v>
      </c>
      <c r="AT171" s="10" t="b">
        <f aca="false">AS171&lt;&gt;T171</f>
        <v>0</v>
      </c>
      <c r="AU171" s="2" t="str">
        <f aca="false">IF(NOT(U171),"Not Eligible",IF(OR(AQ171,AH171,AK171,NOT(AND(W171&gt;=Assumptions!$B$83,O171&gt;=Assumptions!$B$84))),"Manual Review","Ready"))</f>
        <v>Not Eligible</v>
      </c>
      <c r="AV171" s="2" t="str">
        <f aca="false">IF(AG171,"Key account - human sign-off required; ","")&amp;IF(AH171,"Borderline momentum; ","")&amp;IF(AK171,"February-sensitive ("&amp;N171&amp;" -&gt; "&amp;AJ171&amp;"); ","")&amp;IF(AL171="One-Off / Insufficient History — Verify","Lapsed on thin history - verify; ","")&amp;IF(AQ171,"Material broker % inconsistency (implied tier "&amp;AP171&amp;"); ","")&amp;IF(AT171,"Implied broker % would move segment to "&amp;AS171&amp;"; ","")</f>
        <v>Lapsed on thin history - verify; </v>
      </c>
      <c r="AW171" s="10" t="b">
        <f aca="false">AND(G171="Low",J171="Tail",I171&gt;=Assumptions!$B$64,O171&gt;=Assumptions!$B$65,OR(N171="Growing",N171="Stable",AND(N171="H2 Active / No H1 GMV",W171&gt;=2)),OR(R171&gt;=Assumptions!$B$66,S171&gt;=Assumptions!$B$67))</f>
        <v>0</v>
      </c>
    </row>
    <row r="172" customFormat="false" ht="15" hidden="false" customHeight="false" outlineLevel="0" collapsed="false">
      <c r="A172" s="2" t="s">
        <v>870</v>
      </c>
      <c r="B172" s="2" t="s">
        <v>1571</v>
      </c>
      <c r="C172" s="2" t="s">
        <v>1572</v>
      </c>
      <c r="D172" s="2" t="n">
        <v>6</v>
      </c>
      <c r="E172" s="2" t="n">
        <v>20</v>
      </c>
      <c r="F172" s="21" t="n">
        <f aca="false">INDEX('Scored Accounts'!$Q$2:$Q$301,MATCH($A172,'Scored Accounts'!$A$2:$A$301,0))</f>
        <v>0</v>
      </c>
      <c r="G172" s="2" t="str">
        <f aca="false">INDEX('Scored Accounts'!$R$2:$R$301,MATCH($A172,'Scored Accounts'!$A$2:$A$301,0))</f>
        <v>Low</v>
      </c>
      <c r="H172" s="2" t="str">
        <f aca="false">IF(OR(G172="High",G172="Medium"),"Broker-Reliant",IF(AND(G172="Low",B172="Account Managed"),"AM-Owned / Self-Serving",IF(AND(G172="Low",B172="Self Serve"),"Self-Serve","UNASSIGNED")))</f>
        <v>AM-Owned / Self-Serving</v>
      </c>
      <c r="I172" s="9" t="n">
        <v>192</v>
      </c>
      <c r="J172" s="2" t="str">
        <f aca="false">IF(I172&gt;=Assumptions!$B$35,"Key",IF(I172&gt;=Assumptions!$B$34,"Core","Tail"))</f>
        <v>Tail</v>
      </c>
      <c r="K172" s="9" t="n">
        <f aca="false">INDEX('Commercial View'!$R$2:$R$301,MATCH($A172,'Commercial View'!$A$2:$A$301,0))</f>
        <v>192</v>
      </c>
      <c r="L172" s="9" t="n">
        <f aca="false">INDEX('Commercial View'!$S$2:$S$301,MATCH($A172,'Commercial View'!$A$2:$A$301,0))</f>
        <v>0</v>
      </c>
      <c r="M172" s="17" t="n">
        <f aca="false">INDEX('Commercial View'!$T$2:$T$301,MATCH($A172,'Commercial View'!$A$2:$A$301,0))</f>
        <v>-1</v>
      </c>
      <c r="N172" s="2" t="str">
        <f aca="false">INDEX('Commercial View'!$U$2:$U$301,MATCH($A172,'Commercial View'!$A$2:$A$301,0))</f>
        <v>Lapsed</v>
      </c>
      <c r="O172" s="2" t="n">
        <v>1</v>
      </c>
      <c r="P172" s="2" t="n">
        <v>0</v>
      </c>
      <c r="Q172" s="2" t="n">
        <v>1</v>
      </c>
      <c r="R172" s="2" t="n">
        <v>3</v>
      </c>
      <c r="S172" s="2" t="n">
        <v>0</v>
      </c>
      <c r="T172" s="2" t="str">
        <f aca="false">IF(H172="Broker-Reliant",IF(J172="Tail","5. Cost-to-Serve / Low-Touch",IF(OR(N172="Growing",N172="Stable"),"1. Migration Candidate",IF(N172="Declining","2. Protect / Retain First",IF(N172="Lapsed","3. Win-Back / Verify",IF(N172="H2 Active / No H1 GMV","4. Establish / Re-establish / Observe","UNASSIGNED"))))),IF(G172="Low",IF(J172="Tail","9. Long-Tail Automated Nurture",IF(OR(N172="Growing",N172="Stable"),"6. Growth Opportunity",IF(N172="H2 Active / No H1 GMV","7. Onboard / Re-engage / Learn",IF(OR(N172="Declining",N172="Lapsed"),"8. Retention / Reactivation","UNASSIGNED")))),"UNASSIGNED"))</f>
        <v>9. Long-Tail Automated Nurture</v>
      </c>
      <c r="U172" s="10" t="b">
        <f aca="false">AND(T172="1. Migration Candidate",J172="Core",O172&gt;=Assumptions!$B$39,Q172&gt;=Assumptions!$B$40,NOT(Z172))</f>
        <v>0</v>
      </c>
      <c r="V172" s="2" t="n">
        <f aca="false">(AND(H172="Broker-Reliant",J172&lt;&gt;"Tail",OR(N172="Growing",N172="Stable")))*1+(AND(H172="Broker-Reliant",J172&lt;&gt;"Tail",N172="Declining"))*1+(AND(H172="Broker-Reliant",J172&lt;&gt;"Tail",N172="Lapsed"))*1+(AND(H172="Broker-Reliant",J172&lt;&gt;"Tail",N172="H2 Active / No H1 GMV"))*1+(AND(H172="Broker-Reliant",J172="Tail"))*1+(AND(G172="Low",J172&lt;&gt;"Tail",OR(N172="Growing",N172="Stable")))*1+(AND(G172="Low",J172&lt;&gt;"Tail",N172="H2 Active / No H1 GMV"))*1+(AND(G172="Low",J172&lt;&gt;"Tail",OR(N172="Declining",N172="Lapsed")))*1+(AND(G172="Low",J172="Tail"))*1</f>
        <v>1</v>
      </c>
      <c r="W172" s="2" t="n">
        <f aca="false">INDEX('Commercial View'!$V$2:$V$301,MATCH($A172,'Commercial View'!$A$2:$A$301,0))</f>
        <v>1</v>
      </c>
      <c r="X172" s="10" t="b">
        <f aca="false">O172&lt;=Assumptions!$B$30</f>
        <v>1</v>
      </c>
      <c r="Y172" s="10" t="b">
        <f aca="false">W172&lt;=1</f>
        <v>1</v>
      </c>
      <c r="Z172" s="10" t="b">
        <f aca="false">C172="Duplicate"</f>
        <v>0</v>
      </c>
      <c r="AA172" s="10" t="b">
        <f aca="false">C172=""</f>
        <v>0</v>
      </c>
      <c r="AB172" s="2" t="n">
        <f aca="false">IF(P172+Q172&gt;0,ROUND(P172/(P172+Q172)*100,0),"")</f>
        <v>0</v>
      </c>
      <c r="AC172" s="2" t="n">
        <f aca="false">IF(P172+Q172&gt;0,ROUND(E172-P172/(P172+Q172)*100,0),"")</f>
        <v>20</v>
      </c>
      <c r="AD172" s="10" t="b">
        <f aca="false">IF(AC172="",FALSE(),ABS(AC172)&gt;Assumptions!$B$41)</f>
        <v>1</v>
      </c>
      <c r="AE172" s="2" t="str">
        <f aca="false">IF(X172,"Low confidence (&lt;=2 orders); ","")&amp;IF(Y172,"Single-month history; ","")&amp;IF(Z172,"CRITICAL: Duplicate status; ","")&amp;IF(AA172,"Missing status; ","")&amp;IF(AD172,"Broker % vs counts gap "&amp;TEXT(AC172,"+0;-0")&amp;"pts; ","")</f>
        <v>Low confidence (&lt;=2 orders); Single-month history; Broker % vs counts gap +20pts; </v>
      </c>
      <c r="AF172" s="2" t="str">
        <f aca="false">IF(AND(K172=0,L172&gt;0),IF(D172&lt;=Assumptions!$B$47,"New Customer","Returned Customer"),"Existing Customer")</f>
        <v>Existing Customer</v>
      </c>
      <c r="AG172" s="10" t="b">
        <f aca="false">AND(T172="1. Migration Candidate",J172="Key")</f>
        <v>0</v>
      </c>
      <c r="AH172" s="10" t="b">
        <f aca="false">IF(AND(K172&gt;0,L172&gt;0),OR(ABS(M172-Assumptions!$B$36)&lt;=Assumptions!$B$46,ABS(M172+Assumptions!$B$36)&lt;=Assumptions!$B$46),FALSE())</f>
        <v>0</v>
      </c>
      <c r="AI172" s="9" t="n">
        <f aca="false">INDEX('Commercial View'!$L$2:$L$301,MATCH($A172,'Commercial View'!$A$2:$A$301,0))+INDEX('Commercial View'!$M$2:$M$301,MATCH($A172,'Commercial View'!$A$2:$A$301,0))</f>
        <v>0</v>
      </c>
      <c r="AJ172" s="2" t="str">
        <f aca="false">IF(AND(K172=0,AI172=0),"No activity ex-Feb",IF(AI172=0,"Lapsed",IF(K172=0,"H2 Active / No H1 GMV",IF((AI172/2)/(K172/3)-1&gt;=Assumptions!$B$36,"Growing",IF((AI172/2)/(K172/3)-1&lt;-Assumptions!$B$36,"Declining","Stable")))))</f>
        <v>Lapsed</v>
      </c>
      <c r="AK172" s="10" t="b">
        <f aca="false">IF(OR(N172="Growing",N172="Stable"),"Healthy",N172)&lt;&gt;IF(OR(AJ172="Growing",AJ172="Stable"),"Healthy",AJ172)</f>
        <v>0</v>
      </c>
      <c r="AL172" s="2" t="str">
        <f aca="false">IF(N172="Lapsed",IF(OR(O172&lt;=Assumptions!$B$48,W172&lt;=Assumptions!$B$49),"One-Off / Insufficient History — Verify","Established Buyer Lapsed"),"N/A")</f>
        <v>One-Off / Insufficient History — Verify</v>
      </c>
      <c r="AM172" s="2" t="n">
        <f aca="false">INDEX('Scored Accounts'!$M$2:$M$301,MATCH($A172,'Scored Accounts'!$A$2:$A$301,0))</f>
        <v>0</v>
      </c>
      <c r="AN172" s="2" t="n">
        <f aca="false">IF((P172/(P172+Q172)*100)&lt;=Assumptions!$B$13,0,IF((P172/(P172+Q172)*100)&lt;Assumptions!$B$14,25,IF((P172/(P172+Q172)*100)&lt;Assumptions!$B$15,50,IF((P172/(P172+Q172)*100)&lt;Assumptions!$B$16,75,100))))</f>
        <v>0</v>
      </c>
      <c r="AO172" s="21" t="n">
        <f aca="false">IF((P172/(P172+Q172)*100)&lt;=Assumptions!$B$8,0,AN172*Assumptions!$B$4+INDEX('Scored Accounts'!$N$2:$N$301,MATCH($A172,'Scored Accounts'!$A$2:$A$301,0))*Assumptions!$B$5+INDEX('Scored Accounts'!$O$2:$O$301,MATCH($A172,'Scored Accounts'!$A$2:$A$301,0))*Assumptions!$B$6)</f>
        <v>0</v>
      </c>
      <c r="AP172" s="2" t="str">
        <f aca="false">IF(AO172&gt;=Assumptions!$B$9,"High",IF(AO172&gt;=Assumptions!$B$10,"Medium","Low"))</f>
        <v>Low</v>
      </c>
      <c r="AQ172" s="10" t="b">
        <f aca="false">OR((E172&lt;=Assumptions!$B$8)&lt;&gt;((P172/(P172+Q172)*100)&lt;=Assumptions!$B$8),AM172&lt;&gt;AN172,G172&lt;&gt;AP172)</f>
        <v>0</v>
      </c>
      <c r="AR172" s="2" t="str">
        <f aca="false">IF(AP172&lt;&gt;"Low","Broker-Reliant",IF(B172="Account Managed","AM-Owned / Self-Serving","Self-Serve"))</f>
        <v>AM-Owned / Self-Serving</v>
      </c>
      <c r="AS172" s="2" t="str">
        <f aca="false">IF(AR172="Broker-Reliant",IF(J172="Tail","5. Cost-to-Serve / Low-Touch",IF(OR(N172="Growing",N172="Stable"),"1. Migration Candidate",IF(N172="Declining","2. Protect / Retain First",IF(N172="Lapsed","3. Win-Back / Verify",IF(N172="H2 Active / No H1 GMV","4. Establish / Re-establish / Observe","UNASSIGNED"))))),IF(AP172="Low",IF(J172="Tail","9. Long-Tail Automated Nurture",IF(OR(N172="Growing",N172="Stable"),"6. Growth Opportunity",IF(N172="H2 Active / No H1 GMV","7. Onboard / Re-engage / Learn",IF(OR(N172="Declining",N172="Lapsed"),"8. Retention / Reactivation","UNASSIGNED")))),"UNASSIGNED"))</f>
        <v>9. Long-Tail Automated Nurture</v>
      </c>
      <c r="AT172" s="10" t="b">
        <f aca="false">AS172&lt;&gt;T172</f>
        <v>0</v>
      </c>
      <c r="AU172" s="2" t="str">
        <f aca="false">IF(NOT(U172),"Not Eligible",IF(OR(AQ172,AH172,AK172,NOT(AND(W172&gt;=Assumptions!$B$83,O172&gt;=Assumptions!$B$84))),"Manual Review","Ready"))</f>
        <v>Not Eligible</v>
      </c>
      <c r="AV172" s="2" t="str">
        <f aca="false">IF(AG172,"Key account - human sign-off required; ","")&amp;IF(AH172,"Borderline momentum; ","")&amp;IF(AK172,"February-sensitive ("&amp;N172&amp;" -&gt; "&amp;AJ172&amp;"); ","")&amp;IF(AL172="One-Off / Insufficient History — Verify","Lapsed on thin history - verify; ","")&amp;IF(AQ172,"Material broker % inconsistency (implied tier "&amp;AP172&amp;"); ","")&amp;IF(AT172,"Implied broker % would move segment to "&amp;AS172&amp;"; ","")</f>
        <v>Lapsed on thin history - verify; </v>
      </c>
      <c r="AW172" s="10" t="b">
        <f aca="false">AND(G172="Low",J172="Tail",I172&gt;=Assumptions!$B$64,O172&gt;=Assumptions!$B$65,OR(N172="Growing",N172="Stable",AND(N172="H2 Active / No H1 GMV",W172&gt;=2)),OR(R172&gt;=Assumptions!$B$66,S172&gt;=Assumptions!$B$67))</f>
        <v>0</v>
      </c>
    </row>
    <row r="173" customFormat="false" ht="15" hidden="false" customHeight="false" outlineLevel="0" collapsed="false">
      <c r="A173" s="2" t="s">
        <v>874</v>
      </c>
      <c r="B173" s="2" t="s">
        <v>1571</v>
      </c>
      <c r="C173" s="2"/>
      <c r="D173" s="2" t="n">
        <v>6</v>
      </c>
      <c r="E173" s="2" t="n">
        <v>16</v>
      </c>
      <c r="F173" s="21" t="n">
        <f aca="false">INDEX('Scored Accounts'!$Q$2:$Q$301,MATCH($A173,'Scored Accounts'!$A$2:$A$301,0))</f>
        <v>0</v>
      </c>
      <c r="G173" s="2" t="str">
        <f aca="false">INDEX('Scored Accounts'!$R$2:$R$301,MATCH($A173,'Scored Accounts'!$A$2:$A$301,0))</f>
        <v>Low</v>
      </c>
      <c r="H173" s="2" t="str">
        <f aca="false">IF(OR(G173="High",G173="Medium"),"Broker-Reliant",IF(AND(G173="Low",B173="Account Managed"),"AM-Owned / Self-Serving",IF(AND(G173="Low",B173="Self Serve"),"Self-Serve","UNASSIGNED")))</f>
        <v>AM-Owned / Self-Serving</v>
      </c>
      <c r="I173" s="9" t="n">
        <v>186</v>
      </c>
      <c r="J173" s="2" t="str">
        <f aca="false">IF(I173&gt;=Assumptions!$B$35,"Key",IF(I173&gt;=Assumptions!$B$34,"Core","Tail"))</f>
        <v>Tail</v>
      </c>
      <c r="K173" s="9" t="n">
        <f aca="false">INDEX('Commercial View'!$R$2:$R$301,MATCH($A173,'Commercial View'!$A$2:$A$301,0))</f>
        <v>186</v>
      </c>
      <c r="L173" s="9" t="n">
        <f aca="false">INDEX('Commercial View'!$S$2:$S$301,MATCH($A173,'Commercial View'!$A$2:$A$301,0))</f>
        <v>0</v>
      </c>
      <c r="M173" s="17" t="n">
        <f aca="false">INDEX('Commercial View'!$T$2:$T$301,MATCH($A173,'Commercial View'!$A$2:$A$301,0))</f>
        <v>-1</v>
      </c>
      <c r="N173" s="2" t="str">
        <f aca="false">INDEX('Commercial View'!$U$2:$U$301,MATCH($A173,'Commercial View'!$A$2:$A$301,0))</f>
        <v>Lapsed</v>
      </c>
      <c r="O173" s="2" t="n">
        <v>1</v>
      </c>
      <c r="P173" s="2" t="n">
        <v>0</v>
      </c>
      <c r="Q173" s="2" t="n">
        <v>1</v>
      </c>
      <c r="R173" s="2" t="n">
        <v>3</v>
      </c>
      <c r="S173" s="2" t="n">
        <v>1</v>
      </c>
      <c r="T173" s="2" t="str">
        <f aca="false">IF(H173="Broker-Reliant",IF(J173="Tail","5. Cost-to-Serve / Low-Touch",IF(OR(N173="Growing",N173="Stable"),"1. Migration Candidate",IF(N173="Declining","2. Protect / Retain First",IF(N173="Lapsed","3. Win-Back / Verify",IF(N173="H2 Active / No H1 GMV","4. Establish / Re-establish / Observe","UNASSIGNED"))))),IF(G173="Low",IF(J173="Tail","9. Long-Tail Automated Nurture",IF(OR(N173="Growing",N173="Stable"),"6. Growth Opportunity",IF(N173="H2 Active / No H1 GMV","7. Onboard / Re-engage / Learn",IF(OR(N173="Declining",N173="Lapsed"),"8. Retention / Reactivation","UNASSIGNED")))),"UNASSIGNED"))</f>
        <v>9. Long-Tail Automated Nurture</v>
      </c>
      <c r="U173" s="10" t="b">
        <f aca="false">AND(T173="1. Migration Candidate",J173="Core",O173&gt;=Assumptions!$B$39,Q173&gt;=Assumptions!$B$40,NOT(Z173))</f>
        <v>0</v>
      </c>
      <c r="V173" s="2" t="n">
        <f aca="false">(AND(H173="Broker-Reliant",J173&lt;&gt;"Tail",OR(N173="Growing",N173="Stable")))*1+(AND(H173="Broker-Reliant",J173&lt;&gt;"Tail",N173="Declining"))*1+(AND(H173="Broker-Reliant",J173&lt;&gt;"Tail",N173="Lapsed"))*1+(AND(H173="Broker-Reliant",J173&lt;&gt;"Tail",N173="H2 Active / No H1 GMV"))*1+(AND(H173="Broker-Reliant",J173="Tail"))*1+(AND(G173="Low",J173&lt;&gt;"Tail",OR(N173="Growing",N173="Stable")))*1+(AND(G173="Low",J173&lt;&gt;"Tail",N173="H2 Active / No H1 GMV"))*1+(AND(G173="Low",J173&lt;&gt;"Tail",OR(N173="Declining",N173="Lapsed")))*1+(AND(G173="Low",J173="Tail"))*1</f>
        <v>1</v>
      </c>
      <c r="W173" s="2" t="n">
        <f aca="false">INDEX('Commercial View'!$V$2:$V$301,MATCH($A173,'Commercial View'!$A$2:$A$301,0))</f>
        <v>1</v>
      </c>
      <c r="X173" s="10" t="b">
        <f aca="false">O173&lt;=Assumptions!$B$30</f>
        <v>1</v>
      </c>
      <c r="Y173" s="10" t="b">
        <f aca="false">W173&lt;=1</f>
        <v>1</v>
      </c>
      <c r="Z173" s="10" t="b">
        <f aca="false">C173="Duplicate"</f>
        <v>0</v>
      </c>
      <c r="AA173" s="10" t="b">
        <f aca="false">C173=""</f>
        <v>1</v>
      </c>
      <c r="AB173" s="2" t="n">
        <f aca="false">IF(P173+Q173&gt;0,ROUND(P173/(P173+Q173)*100,0),"")</f>
        <v>0</v>
      </c>
      <c r="AC173" s="2" t="n">
        <f aca="false">IF(P173+Q173&gt;0,ROUND(E173-P173/(P173+Q173)*100,0),"")</f>
        <v>16</v>
      </c>
      <c r="AD173" s="10" t="b">
        <f aca="false">IF(AC173="",FALSE(),ABS(AC173)&gt;Assumptions!$B$41)</f>
        <v>1</v>
      </c>
      <c r="AE173" s="2" t="str">
        <f aca="false">IF(X173,"Low confidence (&lt;=2 orders); ","")&amp;IF(Y173,"Single-month history; ","")&amp;IF(Z173,"CRITICAL: Duplicate status; ","")&amp;IF(AA173,"Missing status; ","")&amp;IF(AD173,"Broker % vs counts gap "&amp;TEXT(AC173,"+0;-0")&amp;"pts; ","")</f>
        <v>Low confidence (&lt;=2 orders); Single-month history; Missing status; Broker % vs counts gap +16pts; </v>
      </c>
      <c r="AF173" s="2" t="str">
        <f aca="false">IF(AND(K173=0,L173&gt;0),IF(D173&lt;=Assumptions!$B$47,"New Customer","Returned Customer"),"Existing Customer")</f>
        <v>Existing Customer</v>
      </c>
      <c r="AG173" s="10" t="b">
        <f aca="false">AND(T173="1. Migration Candidate",J173="Key")</f>
        <v>0</v>
      </c>
      <c r="AH173" s="10" t="b">
        <f aca="false">IF(AND(K173&gt;0,L173&gt;0),OR(ABS(M173-Assumptions!$B$36)&lt;=Assumptions!$B$46,ABS(M173+Assumptions!$B$36)&lt;=Assumptions!$B$46),FALSE())</f>
        <v>0</v>
      </c>
      <c r="AI173" s="9" t="n">
        <f aca="false">INDEX('Commercial View'!$L$2:$L$301,MATCH($A173,'Commercial View'!$A$2:$A$301,0))+INDEX('Commercial View'!$M$2:$M$301,MATCH($A173,'Commercial View'!$A$2:$A$301,0))</f>
        <v>0</v>
      </c>
      <c r="AJ173" s="2" t="str">
        <f aca="false">IF(AND(K173=0,AI173=0),"No activity ex-Feb",IF(AI173=0,"Lapsed",IF(K173=0,"H2 Active / No H1 GMV",IF((AI173/2)/(K173/3)-1&gt;=Assumptions!$B$36,"Growing",IF((AI173/2)/(K173/3)-1&lt;-Assumptions!$B$36,"Declining","Stable")))))</f>
        <v>Lapsed</v>
      </c>
      <c r="AK173" s="10" t="b">
        <f aca="false">IF(OR(N173="Growing",N173="Stable"),"Healthy",N173)&lt;&gt;IF(OR(AJ173="Growing",AJ173="Stable"),"Healthy",AJ173)</f>
        <v>0</v>
      </c>
      <c r="AL173" s="2" t="str">
        <f aca="false">IF(N173="Lapsed",IF(OR(O173&lt;=Assumptions!$B$48,W173&lt;=Assumptions!$B$49),"One-Off / Insufficient History — Verify","Established Buyer Lapsed"),"N/A")</f>
        <v>One-Off / Insufficient History — Verify</v>
      </c>
      <c r="AM173" s="2" t="n">
        <f aca="false">INDEX('Scored Accounts'!$M$2:$M$301,MATCH($A173,'Scored Accounts'!$A$2:$A$301,0))</f>
        <v>0</v>
      </c>
      <c r="AN173" s="2" t="n">
        <f aca="false">IF((P173/(P173+Q173)*100)&lt;=Assumptions!$B$13,0,IF((P173/(P173+Q173)*100)&lt;Assumptions!$B$14,25,IF((P173/(P173+Q173)*100)&lt;Assumptions!$B$15,50,IF((P173/(P173+Q173)*100)&lt;Assumptions!$B$16,75,100))))</f>
        <v>0</v>
      </c>
      <c r="AO173" s="21" t="n">
        <f aca="false">IF((P173/(P173+Q173)*100)&lt;=Assumptions!$B$8,0,AN173*Assumptions!$B$4+INDEX('Scored Accounts'!$N$2:$N$301,MATCH($A173,'Scored Accounts'!$A$2:$A$301,0))*Assumptions!$B$5+INDEX('Scored Accounts'!$O$2:$O$301,MATCH($A173,'Scored Accounts'!$A$2:$A$301,0))*Assumptions!$B$6)</f>
        <v>0</v>
      </c>
      <c r="AP173" s="2" t="str">
        <f aca="false">IF(AO173&gt;=Assumptions!$B$9,"High",IF(AO173&gt;=Assumptions!$B$10,"Medium","Low"))</f>
        <v>Low</v>
      </c>
      <c r="AQ173" s="10" t="b">
        <f aca="false">OR((E173&lt;=Assumptions!$B$8)&lt;&gt;((P173/(P173+Q173)*100)&lt;=Assumptions!$B$8),AM173&lt;&gt;AN173,G173&lt;&gt;AP173)</f>
        <v>0</v>
      </c>
      <c r="AR173" s="2" t="str">
        <f aca="false">IF(AP173&lt;&gt;"Low","Broker-Reliant",IF(B173="Account Managed","AM-Owned / Self-Serving","Self-Serve"))</f>
        <v>AM-Owned / Self-Serving</v>
      </c>
      <c r="AS173" s="2" t="str">
        <f aca="false">IF(AR173="Broker-Reliant",IF(J173="Tail","5. Cost-to-Serve / Low-Touch",IF(OR(N173="Growing",N173="Stable"),"1. Migration Candidate",IF(N173="Declining","2. Protect / Retain First",IF(N173="Lapsed","3. Win-Back / Verify",IF(N173="H2 Active / No H1 GMV","4. Establish / Re-establish / Observe","UNASSIGNED"))))),IF(AP173="Low",IF(J173="Tail","9. Long-Tail Automated Nurture",IF(OR(N173="Growing",N173="Stable"),"6. Growth Opportunity",IF(N173="H2 Active / No H1 GMV","7. Onboard / Re-engage / Learn",IF(OR(N173="Declining",N173="Lapsed"),"8. Retention / Reactivation","UNASSIGNED")))),"UNASSIGNED"))</f>
        <v>9. Long-Tail Automated Nurture</v>
      </c>
      <c r="AT173" s="10" t="b">
        <f aca="false">AS173&lt;&gt;T173</f>
        <v>0</v>
      </c>
      <c r="AU173" s="2" t="str">
        <f aca="false">IF(NOT(U173),"Not Eligible",IF(OR(AQ173,AH173,AK173,NOT(AND(W173&gt;=Assumptions!$B$83,O173&gt;=Assumptions!$B$84))),"Manual Review","Ready"))</f>
        <v>Not Eligible</v>
      </c>
      <c r="AV173" s="2" t="str">
        <f aca="false">IF(AG173,"Key account - human sign-off required; ","")&amp;IF(AH173,"Borderline momentum; ","")&amp;IF(AK173,"February-sensitive ("&amp;N173&amp;" -&gt; "&amp;AJ173&amp;"); ","")&amp;IF(AL173="One-Off / Insufficient History — Verify","Lapsed on thin history - verify; ","")&amp;IF(AQ173,"Material broker % inconsistency (implied tier "&amp;AP173&amp;"); ","")&amp;IF(AT173,"Implied broker % would move segment to "&amp;AS173&amp;"; ","")</f>
        <v>Lapsed on thin history - verify; </v>
      </c>
      <c r="AW173" s="10" t="b">
        <f aca="false">AND(G173="Low",J173="Tail",I173&gt;=Assumptions!$B$64,O173&gt;=Assumptions!$B$65,OR(N173="Growing",N173="Stable",AND(N173="H2 Active / No H1 GMV",W173&gt;=2)),OR(R173&gt;=Assumptions!$B$66,S173&gt;=Assumptions!$B$67))</f>
        <v>0</v>
      </c>
    </row>
    <row r="174" customFormat="false" ht="15" hidden="false" customHeight="false" outlineLevel="0" collapsed="false">
      <c r="A174" s="2" t="s">
        <v>878</v>
      </c>
      <c r="B174" s="2" t="s">
        <v>1571</v>
      </c>
      <c r="C174" s="2" t="s">
        <v>1572</v>
      </c>
      <c r="D174" s="2" t="n">
        <v>13</v>
      </c>
      <c r="E174" s="2" t="n">
        <v>19</v>
      </c>
      <c r="F174" s="21" t="n">
        <f aca="false">INDEX('Scored Accounts'!$Q$2:$Q$301,MATCH($A174,'Scored Accounts'!$A$2:$A$301,0))</f>
        <v>0</v>
      </c>
      <c r="G174" s="2" t="str">
        <f aca="false">INDEX('Scored Accounts'!$R$2:$R$301,MATCH($A174,'Scored Accounts'!$A$2:$A$301,0))</f>
        <v>Low</v>
      </c>
      <c r="H174" s="2" t="str">
        <f aca="false">IF(OR(G174="High",G174="Medium"),"Broker-Reliant",IF(AND(G174="Low",B174="Account Managed"),"AM-Owned / Self-Serving",IF(AND(G174="Low",B174="Self Serve"),"Self-Serve","UNASSIGNED")))</f>
        <v>AM-Owned / Self-Serving</v>
      </c>
      <c r="I174" s="9" t="n">
        <v>185</v>
      </c>
      <c r="J174" s="2" t="str">
        <f aca="false">IF(I174&gt;=Assumptions!$B$35,"Key",IF(I174&gt;=Assumptions!$B$34,"Core","Tail"))</f>
        <v>Tail</v>
      </c>
      <c r="K174" s="9" t="n">
        <f aca="false">INDEX('Commercial View'!$R$2:$R$301,MATCH($A174,'Commercial View'!$A$2:$A$301,0))</f>
        <v>0</v>
      </c>
      <c r="L174" s="9" t="n">
        <f aca="false">INDEX('Commercial View'!$S$2:$S$301,MATCH($A174,'Commercial View'!$A$2:$A$301,0))</f>
        <v>185</v>
      </c>
      <c r="M174" s="17" t="str">
        <f aca="false">INDEX('Commercial View'!$T$2:$T$301,MATCH($A174,'Commercial View'!$A$2:$A$301,0))</f>
        <v/>
      </c>
      <c r="N174" s="2" t="str">
        <f aca="false">INDEX('Commercial View'!$U$2:$U$301,MATCH($A174,'Commercial View'!$A$2:$A$301,0))</f>
        <v>H2 Active / No H1 GMV</v>
      </c>
      <c r="O174" s="2" t="n">
        <v>1</v>
      </c>
      <c r="P174" s="2" t="n">
        <v>0</v>
      </c>
      <c r="Q174" s="2" t="n">
        <v>1</v>
      </c>
      <c r="R174" s="2" t="n">
        <v>6</v>
      </c>
      <c r="S174" s="2" t="n">
        <v>0</v>
      </c>
      <c r="T174" s="2" t="str">
        <f aca="false">IF(H174="Broker-Reliant",IF(J174="Tail","5. Cost-to-Serve / Low-Touch",IF(OR(N174="Growing",N174="Stable"),"1. Migration Candidate",IF(N174="Declining","2. Protect / Retain First",IF(N174="Lapsed","3. Win-Back / Verify",IF(N174="H2 Active / No H1 GMV","4. Establish / Re-establish / Observe","UNASSIGNED"))))),IF(G174="Low",IF(J174="Tail","9. Long-Tail Automated Nurture",IF(OR(N174="Growing",N174="Stable"),"6. Growth Opportunity",IF(N174="H2 Active / No H1 GMV","7. Onboard / Re-engage / Learn",IF(OR(N174="Declining",N174="Lapsed"),"8. Retention / Reactivation","UNASSIGNED")))),"UNASSIGNED"))</f>
        <v>9. Long-Tail Automated Nurture</v>
      </c>
      <c r="U174" s="10" t="b">
        <f aca="false">AND(T174="1. Migration Candidate",J174="Core",O174&gt;=Assumptions!$B$39,Q174&gt;=Assumptions!$B$40,NOT(Z174))</f>
        <v>0</v>
      </c>
      <c r="V174" s="2" t="n">
        <f aca="false">(AND(H174="Broker-Reliant",J174&lt;&gt;"Tail",OR(N174="Growing",N174="Stable")))*1+(AND(H174="Broker-Reliant",J174&lt;&gt;"Tail",N174="Declining"))*1+(AND(H174="Broker-Reliant",J174&lt;&gt;"Tail",N174="Lapsed"))*1+(AND(H174="Broker-Reliant",J174&lt;&gt;"Tail",N174="H2 Active / No H1 GMV"))*1+(AND(H174="Broker-Reliant",J174="Tail"))*1+(AND(G174="Low",J174&lt;&gt;"Tail",OR(N174="Growing",N174="Stable")))*1+(AND(G174="Low",J174&lt;&gt;"Tail",N174="H2 Active / No H1 GMV"))*1+(AND(G174="Low",J174&lt;&gt;"Tail",OR(N174="Declining",N174="Lapsed")))*1+(AND(G174="Low",J174="Tail"))*1</f>
        <v>1</v>
      </c>
      <c r="W174" s="2" t="n">
        <f aca="false">INDEX('Commercial View'!$V$2:$V$301,MATCH($A174,'Commercial View'!$A$2:$A$301,0))</f>
        <v>1</v>
      </c>
      <c r="X174" s="10" t="b">
        <f aca="false">O174&lt;=Assumptions!$B$30</f>
        <v>1</v>
      </c>
      <c r="Y174" s="10" t="b">
        <f aca="false">W174&lt;=1</f>
        <v>1</v>
      </c>
      <c r="Z174" s="10" t="b">
        <f aca="false">C174="Duplicate"</f>
        <v>0</v>
      </c>
      <c r="AA174" s="10" t="b">
        <f aca="false">C174=""</f>
        <v>0</v>
      </c>
      <c r="AB174" s="2" t="n">
        <f aca="false">IF(P174+Q174&gt;0,ROUND(P174/(P174+Q174)*100,0),"")</f>
        <v>0</v>
      </c>
      <c r="AC174" s="2" t="n">
        <f aca="false">IF(P174+Q174&gt;0,ROUND(E174-P174/(P174+Q174)*100,0),"")</f>
        <v>19</v>
      </c>
      <c r="AD174" s="10" t="b">
        <f aca="false">IF(AC174="",FALSE(),ABS(AC174)&gt;Assumptions!$B$41)</f>
        <v>1</v>
      </c>
      <c r="AE174" s="2" t="str">
        <f aca="false">IF(X174,"Low confidence (&lt;=2 orders); ","")&amp;IF(Y174,"Single-month history; ","")&amp;IF(Z174,"CRITICAL: Duplicate status; ","")&amp;IF(AA174,"Missing status; ","")&amp;IF(AD174,"Broker % vs counts gap "&amp;TEXT(AC174,"+0;-0")&amp;"pts; ","")</f>
        <v>Low confidence (&lt;=2 orders); Single-month history; Broker % vs counts gap +19pts; </v>
      </c>
      <c r="AF174" s="2" t="str">
        <f aca="false">IF(AND(K174=0,L174&gt;0),IF(D174&lt;=Assumptions!$B$47,"New Customer","Returned Customer"),"Existing Customer")</f>
        <v>Returned Customer</v>
      </c>
      <c r="AG174" s="10" t="b">
        <f aca="false">AND(T174="1. Migration Candidate",J174="Key")</f>
        <v>0</v>
      </c>
      <c r="AH174" s="10" t="b">
        <f aca="false">IF(AND(K174&gt;0,L174&gt;0),OR(ABS(M174-Assumptions!$B$36)&lt;=Assumptions!$B$46,ABS(M174+Assumptions!$B$36)&lt;=Assumptions!$B$46),FALSE())</f>
        <v>0</v>
      </c>
      <c r="AI174" s="9" t="n">
        <f aca="false">INDEX('Commercial View'!$L$2:$L$301,MATCH($A174,'Commercial View'!$A$2:$A$301,0))+INDEX('Commercial View'!$M$2:$M$301,MATCH($A174,'Commercial View'!$A$2:$A$301,0))</f>
        <v>185</v>
      </c>
      <c r="AJ174" s="2" t="str">
        <f aca="false">IF(AND(K174=0,AI174=0),"No activity ex-Feb",IF(AI174=0,"Lapsed",IF(K174=0,"H2 Active / No H1 GMV",IF((AI174/2)/(K174/3)-1&gt;=Assumptions!$B$36,"Growing",IF((AI174/2)/(K174/3)-1&lt;-Assumptions!$B$36,"Declining","Stable")))))</f>
        <v>H2 Active / No H1 GMV</v>
      </c>
      <c r="AK174" s="10" t="b">
        <f aca="false">IF(OR(N174="Growing",N174="Stable"),"Healthy",N174)&lt;&gt;IF(OR(AJ174="Growing",AJ174="Stable"),"Healthy",AJ174)</f>
        <v>0</v>
      </c>
      <c r="AL174" s="2" t="str">
        <f aca="false">IF(N174="Lapsed",IF(OR(O174&lt;=Assumptions!$B$48,W174&lt;=Assumptions!$B$49),"One-Off / Insufficient History — Verify","Established Buyer Lapsed"),"N/A")</f>
        <v>N/A</v>
      </c>
      <c r="AM174" s="2" t="n">
        <f aca="false">INDEX('Scored Accounts'!$M$2:$M$301,MATCH($A174,'Scored Accounts'!$A$2:$A$301,0))</f>
        <v>0</v>
      </c>
      <c r="AN174" s="2" t="n">
        <f aca="false">IF((P174/(P174+Q174)*100)&lt;=Assumptions!$B$13,0,IF((P174/(P174+Q174)*100)&lt;Assumptions!$B$14,25,IF((P174/(P174+Q174)*100)&lt;Assumptions!$B$15,50,IF((P174/(P174+Q174)*100)&lt;Assumptions!$B$16,75,100))))</f>
        <v>0</v>
      </c>
      <c r="AO174" s="21" t="n">
        <f aca="false">IF((P174/(P174+Q174)*100)&lt;=Assumptions!$B$8,0,AN174*Assumptions!$B$4+INDEX('Scored Accounts'!$N$2:$N$301,MATCH($A174,'Scored Accounts'!$A$2:$A$301,0))*Assumptions!$B$5+INDEX('Scored Accounts'!$O$2:$O$301,MATCH($A174,'Scored Accounts'!$A$2:$A$301,0))*Assumptions!$B$6)</f>
        <v>0</v>
      </c>
      <c r="AP174" s="2" t="str">
        <f aca="false">IF(AO174&gt;=Assumptions!$B$9,"High",IF(AO174&gt;=Assumptions!$B$10,"Medium","Low"))</f>
        <v>Low</v>
      </c>
      <c r="AQ174" s="10" t="b">
        <f aca="false">OR((E174&lt;=Assumptions!$B$8)&lt;&gt;((P174/(P174+Q174)*100)&lt;=Assumptions!$B$8),AM174&lt;&gt;AN174,G174&lt;&gt;AP174)</f>
        <v>0</v>
      </c>
      <c r="AR174" s="2" t="str">
        <f aca="false">IF(AP174&lt;&gt;"Low","Broker-Reliant",IF(B174="Account Managed","AM-Owned / Self-Serving","Self-Serve"))</f>
        <v>AM-Owned / Self-Serving</v>
      </c>
      <c r="AS174" s="2" t="str">
        <f aca="false">IF(AR174="Broker-Reliant",IF(J174="Tail","5. Cost-to-Serve / Low-Touch",IF(OR(N174="Growing",N174="Stable"),"1. Migration Candidate",IF(N174="Declining","2. Protect / Retain First",IF(N174="Lapsed","3. Win-Back / Verify",IF(N174="H2 Active / No H1 GMV","4. Establish / Re-establish / Observe","UNASSIGNED"))))),IF(AP174="Low",IF(J174="Tail","9. Long-Tail Automated Nurture",IF(OR(N174="Growing",N174="Stable"),"6. Growth Opportunity",IF(N174="H2 Active / No H1 GMV","7. Onboard / Re-engage / Learn",IF(OR(N174="Declining",N174="Lapsed"),"8. Retention / Reactivation","UNASSIGNED")))),"UNASSIGNED"))</f>
        <v>9. Long-Tail Automated Nurture</v>
      </c>
      <c r="AT174" s="10" t="b">
        <f aca="false">AS174&lt;&gt;T174</f>
        <v>0</v>
      </c>
      <c r="AU174" s="2" t="str">
        <f aca="false">IF(NOT(U174),"Not Eligible",IF(OR(AQ174,AH174,AK174,NOT(AND(W174&gt;=Assumptions!$B$83,O174&gt;=Assumptions!$B$84))),"Manual Review","Ready"))</f>
        <v>Not Eligible</v>
      </c>
      <c r="AV174" s="2" t="str">
        <f aca="false">IF(AG174,"Key account - human sign-off required; ","")&amp;IF(AH174,"Borderline momentum; ","")&amp;IF(AK174,"February-sensitive ("&amp;N174&amp;" -&gt; "&amp;AJ174&amp;"); ","")&amp;IF(AL174="One-Off / Insufficient History — Verify","Lapsed on thin history - verify; ","")&amp;IF(AQ174,"Material broker % inconsistency (implied tier "&amp;AP174&amp;"); ","")&amp;IF(AT174,"Implied broker % would move segment to "&amp;AS174&amp;"; ","")</f>
        <v/>
      </c>
      <c r="AW174" s="10" t="b">
        <f aca="false">AND(G174="Low",J174="Tail",I174&gt;=Assumptions!$B$64,O174&gt;=Assumptions!$B$65,OR(N174="Growing",N174="Stable",AND(N174="H2 Active / No H1 GMV",W174&gt;=2)),OR(R174&gt;=Assumptions!$B$66,S174&gt;=Assumptions!$B$67))</f>
        <v>0</v>
      </c>
    </row>
    <row r="175" customFormat="false" ht="15" hidden="false" customHeight="false" outlineLevel="0" collapsed="false">
      <c r="A175" s="2" t="s">
        <v>886</v>
      </c>
      <c r="B175" s="2" t="s">
        <v>1571</v>
      </c>
      <c r="C175" s="2" t="s">
        <v>1572</v>
      </c>
      <c r="D175" s="2" t="n">
        <v>6</v>
      </c>
      <c r="E175" s="2" t="n">
        <v>11</v>
      </c>
      <c r="F175" s="21" t="n">
        <f aca="false">INDEX('Scored Accounts'!$Q$2:$Q$301,MATCH($A175,'Scored Accounts'!$A$2:$A$301,0))</f>
        <v>0</v>
      </c>
      <c r="G175" s="2" t="str">
        <f aca="false">INDEX('Scored Accounts'!$R$2:$R$301,MATCH($A175,'Scored Accounts'!$A$2:$A$301,0))</f>
        <v>Low</v>
      </c>
      <c r="H175" s="2" t="str">
        <f aca="false">IF(OR(G175="High",G175="Medium"),"Broker-Reliant",IF(AND(G175="Low",B175="Account Managed"),"AM-Owned / Self-Serving",IF(AND(G175="Low",B175="Self Serve"),"Self-Serve","UNASSIGNED")))</f>
        <v>AM-Owned / Self-Serving</v>
      </c>
      <c r="I175" s="9" t="n">
        <v>176</v>
      </c>
      <c r="J175" s="2" t="str">
        <f aca="false">IF(I175&gt;=Assumptions!$B$35,"Key",IF(I175&gt;=Assumptions!$B$34,"Core","Tail"))</f>
        <v>Tail</v>
      </c>
      <c r="K175" s="9" t="n">
        <f aca="false">INDEX('Commercial View'!$R$2:$R$301,MATCH($A175,'Commercial View'!$A$2:$A$301,0))</f>
        <v>176</v>
      </c>
      <c r="L175" s="9" t="n">
        <f aca="false">INDEX('Commercial View'!$S$2:$S$301,MATCH($A175,'Commercial View'!$A$2:$A$301,0))</f>
        <v>0</v>
      </c>
      <c r="M175" s="17" t="n">
        <f aca="false">INDEX('Commercial View'!$T$2:$T$301,MATCH($A175,'Commercial View'!$A$2:$A$301,0))</f>
        <v>-1</v>
      </c>
      <c r="N175" s="2" t="str">
        <f aca="false">INDEX('Commercial View'!$U$2:$U$301,MATCH($A175,'Commercial View'!$A$2:$A$301,0))</f>
        <v>Lapsed</v>
      </c>
      <c r="O175" s="2" t="n">
        <v>1</v>
      </c>
      <c r="P175" s="2" t="n">
        <v>0</v>
      </c>
      <c r="Q175" s="2" t="n">
        <v>1</v>
      </c>
      <c r="R175" s="2" t="n">
        <v>3</v>
      </c>
      <c r="S175" s="2" t="n">
        <v>0</v>
      </c>
      <c r="T175" s="2" t="str">
        <f aca="false">IF(H175="Broker-Reliant",IF(J175="Tail","5. Cost-to-Serve / Low-Touch",IF(OR(N175="Growing",N175="Stable"),"1. Migration Candidate",IF(N175="Declining","2. Protect / Retain First",IF(N175="Lapsed","3. Win-Back / Verify",IF(N175="H2 Active / No H1 GMV","4. Establish / Re-establish / Observe","UNASSIGNED"))))),IF(G175="Low",IF(J175="Tail","9. Long-Tail Automated Nurture",IF(OR(N175="Growing",N175="Stable"),"6. Growth Opportunity",IF(N175="H2 Active / No H1 GMV","7. Onboard / Re-engage / Learn",IF(OR(N175="Declining",N175="Lapsed"),"8. Retention / Reactivation","UNASSIGNED")))),"UNASSIGNED"))</f>
        <v>9. Long-Tail Automated Nurture</v>
      </c>
      <c r="U175" s="10" t="b">
        <f aca="false">AND(T175="1. Migration Candidate",J175="Core",O175&gt;=Assumptions!$B$39,Q175&gt;=Assumptions!$B$40,NOT(Z175))</f>
        <v>0</v>
      </c>
      <c r="V175" s="2" t="n">
        <f aca="false">(AND(H175="Broker-Reliant",J175&lt;&gt;"Tail",OR(N175="Growing",N175="Stable")))*1+(AND(H175="Broker-Reliant",J175&lt;&gt;"Tail",N175="Declining"))*1+(AND(H175="Broker-Reliant",J175&lt;&gt;"Tail",N175="Lapsed"))*1+(AND(H175="Broker-Reliant",J175&lt;&gt;"Tail",N175="H2 Active / No H1 GMV"))*1+(AND(H175="Broker-Reliant",J175="Tail"))*1+(AND(G175="Low",J175&lt;&gt;"Tail",OR(N175="Growing",N175="Stable")))*1+(AND(G175="Low",J175&lt;&gt;"Tail",N175="H2 Active / No H1 GMV"))*1+(AND(G175="Low",J175&lt;&gt;"Tail",OR(N175="Declining",N175="Lapsed")))*1+(AND(G175="Low",J175="Tail"))*1</f>
        <v>1</v>
      </c>
      <c r="W175" s="2" t="n">
        <f aca="false">INDEX('Commercial View'!$V$2:$V$301,MATCH($A175,'Commercial View'!$A$2:$A$301,0))</f>
        <v>1</v>
      </c>
      <c r="X175" s="10" t="b">
        <f aca="false">O175&lt;=Assumptions!$B$30</f>
        <v>1</v>
      </c>
      <c r="Y175" s="10" t="b">
        <f aca="false">W175&lt;=1</f>
        <v>1</v>
      </c>
      <c r="Z175" s="10" t="b">
        <f aca="false">C175="Duplicate"</f>
        <v>0</v>
      </c>
      <c r="AA175" s="10" t="b">
        <f aca="false">C175=""</f>
        <v>0</v>
      </c>
      <c r="AB175" s="2" t="n">
        <f aca="false">IF(P175+Q175&gt;0,ROUND(P175/(P175+Q175)*100,0),"")</f>
        <v>0</v>
      </c>
      <c r="AC175" s="2" t="n">
        <f aca="false">IF(P175+Q175&gt;0,ROUND(E175-P175/(P175+Q175)*100,0),"")</f>
        <v>11</v>
      </c>
      <c r="AD175" s="10" t="b">
        <f aca="false">IF(AC175="",FALSE(),ABS(AC175)&gt;Assumptions!$B$41)</f>
        <v>1</v>
      </c>
      <c r="AE175" s="2" t="str">
        <f aca="false">IF(X175,"Low confidence (&lt;=2 orders); ","")&amp;IF(Y175,"Single-month history; ","")&amp;IF(Z175,"CRITICAL: Duplicate status; ","")&amp;IF(AA175,"Missing status; ","")&amp;IF(AD175,"Broker % vs counts gap "&amp;TEXT(AC175,"+0;-0")&amp;"pts; ","")</f>
        <v>Low confidence (&lt;=2 orders); Single-month history; Broker % vs counts gap +11pts; </v>
      </c>
      <c r="AF175" s="2" t="str">
        <f aca="false">IF(AND(K175=0,L175&gt;0),IF(D175&lt;=Assumptions!$B$47,"New Customer","Returned Customer"),"Existing Customer")</f>
        <v>Existing Customer</v>
      </c>
      <c r="AG175" s="10" t="b">
        <f aca="false">AND(T175="1. Migration Candidate",J175="Key")</f>
        <v>0</v>
      </c>
      <c r="AH175" s="10" t="b">
        <f aca="false">IF(AND(K175&gt;0,L175&gt;0),OR(ABS(M175-Assumptions!$B$36)&lt;=Assumptions!$B$46,ABS(M175+Assumptions!$B$36)&lt;=Assumptions!$B$46),FALSE())</f>
        <v>0</v>
      </c>
      <c r="AI175" s="9" t="n">
        <f aca="false">INDEX('Commercial View'!$L$2:$L$301,MATCH($A175,'Commercial View'!$A$2:$A$301,0))+INDEX('Commercial View'!$M$2:$M$301,MATCH($A175,'Commercial View'!$A$2:$A$301,0))</f>
        <v>0</v>
      </c>
      <c r="AJ175" s="2" t="str">
        <f aca="false">IF(AND(K175=0,AI175=0),"No activity ex-Feb",IF(AI175=0,"Lapsed",IF(K175=0,"H2 Active / No H1 GMV",IF((AI175/2)/(K175/3)-1&gt;=Assumptions!$B$36,"Growing",IF((AI175/2)/(K175/3)-1&lt;-Assumptions!$B$36,"Declining","Stable")))))</f>
        <v>Lapsed</v>
      </c>
      <c r="AK175" s="10" t="b">
        <f aca="false">IF(OR(N175="Growing",N175="Stable"),"Healthy",N175)&lt;&gt;IF(OR(AJ175="Growing",AJ175="Stable"),"Healthy",AJ175)</f>
        <v>0</v>
      </c>
      <c r="AL175" s="2" t="str">
        <f aca="false">IF(N175="Lapsed",IF(OR(O175&lt;=Assumptions!$B$48,W175&lt;=Assumptions!$B$49),"One-Off / Insufficient History — Verify","Established Buyer Lapsed"),"N/A")</f>
        <v>One-Off / Insufficient History — Verify</v>
      </c>
      <c r="AM175" s="2" t="n">
        <f aca="false">INDEX('Scored Accounts'!$M$2:$M$301,MATCH($A175,'Scored Accounts'!$A$2:$A$301,0))</f>
        <v>0</v>
      </c>
      <c r="AN175" s="2" t="n">
        <f aca="false">IF((P175/(P175+Q175)*100)&lt;=Assumptions!$B$13,0,IF((P175/(P175+Q175)*100)&lt;Assumptions!$B$14,25,IF((P175/(P175+Q175)*100)&lt;Assumptions!$B$15,50,IF((P175/(P175+Q175)*100)&lt;Assumptions!$B$16,75,100))))</f>
        <v>0</v>
      </c>
      <c r="AO175" s="21" t="n">
        <f aca="false">IF((P175/(P175+Q175)*100)&lt;=Assumptions!$B$8,0,AN175*Assumptions!$B$4+INDEX('Scored Accounts'!$N$2:$N$301,MATCH($A175,'Scored Accounts'!$A$2:$A$301,0))*Assumptions!$B$5+INDEX('Scored Accounts'!$O$2:$O$301,MATCH($A175,'Scored Accounts'!$A$2:$A$301,0))*Assumptions!$B$6)</f>
        <v>0</v>
      </c>
      <c r="AP175" s="2" t="str">
        <f aca="false">IF(AO175&gt;=Assumptions!$B$9,"High",IF(AO175&gt;=Assumptions!$B$10,"Medium","Low"))</f>
        <v>Low</v>
      </c>
      <c r="AQ175" s="10" t="b">
        <f aca="false">OR((E175&lt;=Assumptions!$B$8)&lt;&gt;((P175/(P175+Q175)*100)&lt;=Assumptions!$B$8),AM175&lt;&gt;AN175,G175&lt;&gt;AP175)</f>
        <v>0</v>
      </c>
      <c r="AR175" s="2" t="str">
        <f aca="false">IF(AP175&lt;&gt;"Low","Broker-Reliant",IF(B175="Account Managed","AM-Owned / Self-Serving","Self-Serve"))</f>
        <v>AM-Owned / Self-Serving</v>
      </c>
      <c r="AS175" s="2" t="str">
        <f aca="false">IF(AR175="Broker-Reliant",IF(J175="Tail","5. Cost-to-Serve / Low-Touch",IF(OR(N175="Growing",N175="Stable"),"1. Migration Candidate",IF(N175="Declining","2. Protect / Retain First",IF(N175="Lapsed","3. Win-Back / Verify",IF(N175="H2 Active / No H1 GMV","4. Establish / Re-establish / Observe","UNASSIGNED"))))),IF(AP175="Low",IF(J175="Tail","9. Long-Tail Automated Nurture",IF(OR(N175="Growing",N175="Stable"),"6. Growth Opportunity",IF(N175="H2 Active / No H1 GMV","7. Onboard / Re-engage / Learn",IF(OR(N175="Declining",N175="Lapsed"),"8. Retention / Reactivation","UNASSIGNED")))),"UNASSIGNED"))</f>
        <v>9. Long-Tail Automated Nurture</v>
      </c>
      <c r="AT175" s="10" t="b">
        <f aca="false">AS175&lt;&gt;T175</f>
        <v>0</v>
      </c>
      <c r="AU175" s="2" t="str">
        <f aca="false">IF(NOT(U175),"Not Eligible",IF(OR(AQ175,AH175,AK175,NOT(AND(W175&gt;=Assumptions!$B$83,O175&gt;=Assumptions!$B$84))),"Manual Review","Ready"))</f>
        <v>Not Eligible</v>
      </c>
      <c r="AV175" s="2" t="str">
        <f aca="false">IF(AG175,"Key account - human sign-off required; ","")&amp;IF(AH175,"Borderline momentum; ","")&amp;IF(AK175,"February-sensitive ("&amp;N175&amp;" -&gt; "&amp;AJ175&amp;"); ","")&amp;IF(AL175="One-Off / Insufficient History — Verify","Lapsed on thin history - verify; ","")&amp;IF(AQ175,"Material broker % inconsistency (implied tier "&amp;AP175&amp;"); ","")&amp;IF(AT175,"Implied broker % would move segment to "&amp;AS175&amp;"; ","")</f>
        <v>Lapsed on thin history - verify; </v>
      </c>
      <c r="AW175" s="10" t="b">
        <f aca="false">AND(G175="Low",J175="Tail",I175&gt;=Assumptions!$B$64,O175&gt;=Assumptions!$B$65,OR(N175="Growing",N175="Stable",AND(N175="H2 Active / No H1 GMV",W175&gt;=2)),OR(R175&gt;=Assumptions!$B$66,S175&gt;=Assumptions!$B$67))</f>
        <v>0</v>
      </c>
    </row>
    <row r="176" customFormat="false" ht="15" hidden="false" customHeight="false" outlineLevel="0" collapsed="false">
      <c r="A176" s="2" t="s">
        <v>890</v>
      </c>
      <c r="B176" s="2" t="s">
        <v>1571</v>
      </c>
      <c r="C176" s="2"/>
      <c r="D176" s="2" t="n">
        <v>6</v>
      </c>
      <c r="E176" s="2" t="n">
        <v>7</v>
      </c>
      <c r="F176" s="21" t="n">
        <f aca="false">INDEX('Scored Accounts'!$Q$2:$Q$301,MATCH($A176,'Scored Accounts'!$A$2:$A$301,0))</f>
        <v>0</v>
      </c>
      <c r="G176" s="2" t="str">
        <f aca="false">INDEX('Scored Accounts'!$R$2:$R$301,MATCH($A176,'Scored Accounts'!$A$2:$A$301,0))</f>
        <v>Low</v>
      </c>
      <c r="H176" s="2" t="str">
        <f aca="false">IF(OR(G176="High",G176="Medium"),"Broker-Reliant",IF(AND(G176="Low",B176="Account Managed"),"AM-Owned / Self-Serving",IF(AND(G176="Low",B176="Self Serve"),"Self-Serve","UNASSIGNED")))</f>
        <v>AM-Owned / Self-Serving</v>
      </c>
      <c r="I176" s="9" t="n">
        <v>172</v>
      </c>
      <c r="J176" s="2" t="str">
        <f aca="false">IF(I176&gt;=Assumptions!$B$35,"Key",IF(I176&gt;=Assumptions!$B$34,"Core","Tail"))</f>
        <v>Tail</v>
      </c>
      <c r="K176" s="9" t="n">
        <f aca="false">INDEX('Commercial View'!$R$2:$R$301,MATCH($A176,'Commercial View'!$A$2:$A$301,0))</f>
        <v>172</v>
      </c>
      <c r="L176" s="9" t="n">
        <f aca="false">INDEX('Commercial View'!$S$2:$S$301,MATCH($A176,'Commercial View'!$A$2:$A$301,0))</f>
        <v>0</v>
      </c>
      <c r="M176" s="17" t="n">
        <f aca="false">INDEX('Commercial View'!$T$2:$T$301,MATCH($A176,'Commercial View'!$A$2:$A$301,0))</f>
        <v>-1</v>
      </c>
      <c r="N176" s="2" t="str">
        <f aca="false">INDEX('Commercial View'!$U$2:$U$301,MATCH($A176,'Commercial View'!$A$2:$A$301,0))</f>
        <v>Lapsed</v>
      </c>
      <c r="O176" s="2" t="n">
        <v>1</v>
      </c>
      <c r="P176" s="2" t="n">
        <v>0</v>
      </c>
      <c r="Q176" s="2" t="n">
        <v>1</v>
      </c>
      <c r="R176" s="2" t="n">
        <v>6</v>
      </c>
      <c r="S176" s="2" t="n">
        <v>1</v>
      </c>
      <c r="T176" s="2" t="str">
        <f aca="false">IF(H176="Broker-Reliant",IF(J176="Tail","5. Cost-to-Serve / Low-Touch",IF(OR(N176="Growing",N176="Stable"),"1. Migration Candidate",IF(N176="Declining","2. Protect / Retain First",IF(N176="Lapsed","3. Win-Back / Verify",IF(N176="H2 Active / No H1 GMV","4. Establish / Re-establish / Observe","UNASSIGNED"))))),IF(G176="Low",IF(J176="Tail","9. Long-Tail Automated Nurture",IF(OR(N176="Growing",N176="Stable"),"6. Growth Opportunity",IF(N176="H2 Active / No H1 GMV","7. Onboard / Re-engage / Learn",IF(OR(N176="Declining",N176="Lapsed"),"8. Retention / Reactivation","UNASSIGNED")))),"UNASSIGNED"))</f>
        <v>9. Long-Tail Automated Nurture</v>
      </c>
      <c r="U176" s="10" t="b">
        <f aca="false">AND(T176="1. Migration Candidate",J176="Core",O176&gt;=Assumptions!$B$39,Q176&gt;=Assumptions!$B$40,NOT(Z176))</f>
        <v>0</v>
      </c>
      <c r="V176" s="2" t="n">
        <f aca="false">(AND(H176="Broker-Reliant",J176&lt;&gt;"Tail",OR(N176="Growing",N176="Stable")))*1+(AND(H176="Broker-Reliant",J176&lt;&gt;"Tail",N176="Declining"))*1+(AND(H176="Broker-Reliant",J176&lt;&gt;"Tail",N176="Lapsed"))*1+(AND(H176="Broker-Reliant",J176&lt;&gt;"Tail",N176="H2 Active / No H1 GMV"))*1+(AND(H176="Broker-Reliant",J176="Tail"))*1+(AND(G176="Low",J176&lt;&gt;"Tail",OR(N176="Growing",N176="Stable")))*1+(AND(G176="Low",J176&lt;&gt;"Tail",N176="H2 Active / No H1 GMV"))*1+(AND(G176="Low",J176&lt;&gt;"Tail",OR(N176="Declining",N176="Lapsed")))*1+(AND(G176="Low",J176="Tail"))*1</f>
        <v>1</v>
      </c>
      <c r="W176" s="2" t="n">
        <f aca="false">INDEX('Commercial View'!$V$2:$V$301,MATCH($A176,'Commercial View'!$A$2:$A$301,0))</f>
        <v>1</v>
      </c>
      <c r="X176" s="10" t="b">
        <f aca="false">O176&lt;=Assumptions!$B$30</f>
        <v>1</v>
      </c>
      <c r="Y176" s="10" t="b">
        <f aca="false">W176&lt;=1</f>
        <v>1</v>
      </c>
      <c r="Z176" s="10" t="b">
        <f aca="false">C176="Duplicate"</f>
        <v>0</v>
      </c>
      <c r="AA176" s="10" t="b">
        <f aca="false">C176=""</f>
        <v>1</v>
      </c>
      <c r="AB176" s="2" t="n">
        <f aca="false">IF(P176+Q176&gt;0,ROUND(P176/(P176+Q176)*100,0),"")</f>
        <v>0</v>
      </c>
      <c r="AC176" s="2" t="n">
        <f aca="false">IF(P176+Q176&gt;0,ROUND(E176-P176/(P176+Q176)*100,0),"")</f>
        <v>7</v>
      </c>
      <c r="AD176" s="10" t="b">
        <f aca="false">IF(AC176="",FALSE(),ABS(AC176)&gt;Assumptions!$B$41)</f>
        <v>0</v>
      </c>
      <c r="AE176" s="2" t="str">
        <f aca="false">IF(X176,"Low confidence (&lt;=2 orders); ","")&amp;IF(Y176,"Single-month history; ","")&amp;IF(Z176,"CRITICAL: Duplicate status; ","")&amp;IF(AA176,"Missing status; ","")&amp;IF(AD176,"Broker % vs counts gap "&amp;TEXT(AC176,"+0;-0")&amp;"pts; ","")</f>
        <v>Low confidence (&lt;=2 orders); Single-month history; Missing status; </v>
      </c>
      <c r="AF176" s="2" t="str">
        <f aca="false">IF(AND(K176=0,L176&gt;0),IF(D176&lt;=Assumptions!$B$47,"New Customer","Returned Customer"),"Existing Customer")</f>
        <v>Existing Customer</v>
      </c>
      <c r="AG176" s="10" t="b">
        <f aca="false">AND(T176="1. Migration Candidate",J176="Key")</f>
        <v>0</v>
      </c>
      <c r="AH176" s="10" t="b">
        <f aca="false">IF(AND(K176&gt;0,L176&gt;0),OR(ABS(M176-Assumptions!$B$36)&lt;=Assumptions!$B$46,ABS(M176+Assumptions!$B$36)&lt;=Assumptions!$B$46),FALSE())</f>
        <v>0</v>
      </c>
      <c r="AI176" s="9" t="n">
        <f aca="false">INDEX('Commercial View'!$L$2:$L$301,MATCH($A176,'Commercial View'!$A$2:$A$301,0))+INDEX('Commercial View'!$M$2:$M$301,MATCH($A176,'Commercial View'!$A$2:$A$301,0))</f>
        <v>0</v>
      </c>
      <c r="AJ176" s="2" t="str">
        <f aca="false">IF(AND(K176=0,AI176=0),"No activity ex-Feb",IF(AI176=0,"Lapsed",IF(K176=0,"H2 Active / No H1 GMV",IF((AI176/2)/(K176/3)-1&gt;=Assumptions!$B$36,"Growing",IF((AI176/2)/(K176/3)-1&lt;-Assumptions!$B$36,"Declining","Stable")))))</f>
        <v>Lapsed</v>
      </c>
      <c r="AK176" s="10" t="b">
        <f aca="false">IF(OR(N176="Growing",N176="Stable"),"Healthy",N176)&lt;&gt;IF(OR(AJ176="Growing",AJ176="Stable"),"Healthy",AJ176)</f>
        <v>0</v>
      </c>
      <c r="AL176" s="2" t="str">
        <f aca="false">IF(N176="Lapsed",IF(OR(O176&lt;=Assumptions!$B$48,W176&lt;=Assumptions!$B$49),"One-Off / Insufficient History — Verify","Established Buyer Lapsed"),"N/A")</f>
        <v>One-Off / Insufficient History — Verify</v>
      </c>
      <c r="AM176" s="2" t="n">
        <f aca="false">INDEX('Scored Accounts'!$M$2:$M$301,MATCH($A176,'Scored Accounts'!$A$2:$A$301,0))</f>
        <v>0</v>
      </c>
      <c r="AN176" s="2" t="n">
        <f aca="false">IF((P176/(P176+Q176)*100)&lt;=Assumptions!$B$13,0,IF((P176/(P176+Q176)*100)&lt;Assumptions!$B$14,25,IF((P176/(P176+Q176)*100)&lt;Assumptions!$B$15,50,IF((P176/(P176+Q176)*100)&lt;Assumptions!$B$16,75,100))))</f>
        <v>0</v>
      </c>
      <c r="AO176" s="21" t="n">
        <f aca="false">IF((P176/(P176+Q176)*100)&lt;=Assumptions!$B$8,0,AN176*Assumptions!$B$4+INDEX('Scored Accounts'!$N$2:$N$301,MATCH($A176,'Scored Accounts'!$A$2:$A$301,0))*Assumptions!$B$5+INDEX('Scored Accounts'!$O$2:$O$301,MATCH($A176,'Scored Accounts'!$A$2:$A$301,0))*Assumptions!$B$6)</f>
        <v>0</v>
      </c>
      <c r="AP176" s="2" t="str">
        <f aca="false">IF(AO176&gt;=Assumptions!$B$9,"High",IF(AO176&gt;=Assumptions!$B$10,"Medium","Low"))</f>
        <v>Low</v>
      </c>
      <c r="AQ176" s="10" t="b">
        <f aca="false">OR((E176&lt;=Assumptions!$B$8)&lt;&gt;((P176/(P176+Q176)*100)&lt;=Assumptions!$B$8),AM176&lt;&gt;AN176,G176&lt;&gt;AP176)</f>
        <v>0</v>
      </c>
      <c r="AR176" s="2" t="str">
        <f aca="false">IF(AP176&lt;&gt;"Low","Broker-Reliant",IF(B176="Account Managed","AM-Owned / Self-Serving","Self-Serve"))</f>
        <v>AM-Owned / Self-Serving</v>
      </c>
      <c r="AS176" s="2" t="str">
        <f aca="false">IF(AR176="Broker-Reliant",IF(J176="Tail","5. Cost-to-Serve / Low-Touch",IF(OR(N176="Growing",N176="Stable"),"1. Migration Candidate",IF(N176="Declining","2. Protect / Retain First",IF(N176="Lapsed","3. Win-Back / Verify",IF(N176="H2 Active / No H1 GMV","4. Establish / Re-establish / Observe","UNASSIGNED"))))),IF(AP176="Low",IF(J176="Tail","9. Long-Tail Automated Nurture",IF(OR(N176="Growing",N176="Stable"),"6. Growth Opportunity",IF(N176="H2 Active / No H1 GMV","7. Onboard / Re-engage / Learn",IF(OR(N176="Declining",N176="Lapsed"),"8. Retention / Reactivation","UNASSIGNED")))),"UNASSIGNED"))</f>
        <v>9. Long-Tail Automated Nurture</v>
      </c>
      <c r="AT176" s="10" t="b">
        <f aca="false">AS176&lt;&gt;T176</f>
        <v>0</v>
      </c>
      <c r="AU176" s="2" t="str">
        <f aca="false">IF(NOT(U176),"Not Eligible",IF(OR(AQ176,AH176,AK176,NOT(AND(W176&gt;=Assumptions!$B$83,O176&gt;=Assumptions!$B$84))),"Manual Review","Ready"))</f>
        <v>Not Eligible</v>
      </c>
      <c r="AV176" s="2" t="str">
        <f aca="false">IF(AG176,"Key account - human sign-off required; ","")&amp;IF(AH176,"Borderline momentum; ","")&amp;IF(AK176,"February-sensitive ("&amp;N176&amp;" -&gt; "&amp;AJ176&amp;"); ","")&amp;IF(AL176="One-Off / Insufficient History — Verify","Lapsed on thin history - verify; ","")&amp;IF(AQ176,"Material broker % inconsistency (implied tier "&amp;AP176&amp;"); ","")&amp;IF(AT176,"Implied broker % would move segment to "&amp;AS176&amp;"; ","")</f>
        <v>Lapsed on thin history - verify; </v>
      </c>
      <c r="AW176" s="10" t="b">
        <f aca="false">AND(G176="Low",J176="Tail",I176&gt;=Assumptions!$B$64,O176&gt;=Assumptions!$B$65,OR(N176="Growing",N176="Stable",AND(N176="H2 Active / No H1 GMV",W176&gt;=2)),OR(R176&gt;=Assumptions!$B$66,S176&gt;=Assumptions!$B$67))</f>
        <v>0</v>
      </c>
    </row>
    <row r="177" customFormat="false" ht="15" hidden="false" customHeight="false" outlineLevel="0" collapsed="false">
      <c r="A177" s="2" t="s">
        <v>894</v>
      </c>
      <c r="B177" s="2" t="s">
        <v>1571</v>
      </c>
      <c r="C177" s="2" t="s">
        <v>1572</v>
      </c>
      <c r="D177" s="2" t="n">
        <v>6</v>
      </c>
      <c r="E177" s="2" t="n">
        <v>11</v>
      </c>
      <c r="F177" s="21" t="n">
        <f aca="false">INDEX('Scored Accounts'!$Q$2:$Q$301,MATCH($A177,'Scored Accounts'!$A$2:$A$301,0))</f>
        <v>0</v>
      </c>
      <c r="G177" s="2" t="str">
        <f aca="false">INDEX('Scored Accounts'!$R$2:$R$301,MATCH($A177,'Scored Accounts'!$A$2:$A$301,0))</f>
        <v>Low</v>
      </c>
      <c r="H177" s="2" t="str">
        <f aca="false">IF(OR(G177="High",G177="Medium"),"Broker-Reliant",IF(AND(G177="Low",B177="Account Managed"),"AM-Owned / Self-Serving",IF(AND(G177="Low",B177="Self Serve"),"Self-Serve","UNASSIGNED")))</f>
        <v>AM-Owned / Self-Serving</v>
      </c>
      <c r="I177" s="9" t="n">
        <v>164</v>
      </c>
      <c r="J177" s="2" t="str">
        <f aca="false">IF(I177&gt;=Assumptions!$B$35,"Key",IF(I177&gt;=Assumptions!$B$34,"Core","Tail"))</f>
        <v>Tail</v>
      </c>
      <c r="K177" s="9" t="n">
        <f aca="false">INDEX('Commercial View'!$R$2:$R$301,MATCH($A177,'Commercial View'!$A$2:$A$301,0))</f>
        <v>164</v>
      </c>
      <c r="L177" s="9" t="n">
        <f aca="false">INDEX('Commercial View'!$S$2:$S$301,MATCH($A177,'Commercial View'!$A$2:$A$301,0))</f>
        <v>0</v>
      </c>
      <c r="M177" s="17" t="n">
        <f aca="false">INDEX('Commercial View'!$T$2:$T$301,MATCH($A177,'Commercial View'!$A$2:$A$301,0))</f>
        <v>-1</v>
      </c>
      <c r="N177" s="2" t="str">
        <f aca="false">INDEX('Commercial View'!$U$2:$U$301,MATCH($A177,'Commercial View'!$A$2:$A$301,0))</f>
        <v>Lapsed</v>
      </c>
      <c r="O177" s="2" t="n">
        <v>1</v>
      </c>
      <c r="P177" s="2" t="n">
        <v>0</v>
      </c>
      <c r="Q177" s="2" t="n">
        <v>1</v>
      </c>
      <c r="R177" s="2" t="n">
        <v>11</v>
      </c>
      <c r="S177" s="2" t="n">
        <v>3</v>
      </c>
      <c r="T177" s="2" t="str">
        <f aca="false">IF(H177="Broker-Reliant",IF(J177="Tail","5. Cost-to-Serve / Low-Touch",IF(OR(N177="Growing",N177="Stable"),"1. Migration Candidate",IF(N177="Declining","2. Protect / Retain First",IF(N177="Lapsed","3. Win-Back / Verify",IF(N177="H2 Active / No H1 GMV","4. Establish / Re-establish / Observe","UNASSIGNED"))))),IF(G177="Low",IF(J177="Tail","9. Long-Tail Automated Nurture",IF(OR(N177="Growing",N177="Stable"),"6. Growth Opportunity",IF(N177="H2 Active / No H1 GMV","7. Onboard / Re-engage / Learn",IF(OR(N177="Declining",N177="Lapsed"),"8. Retention / Reactivation","UNASSIGNED")))),"UNASSIGNED"))</f>
        <v>9. Long-Tail Automated Nurture</v>
      </c>
      <c r="U177" s="10" t="b">
        <f aca="false">AND(T177="1. Migration Candidate",J177="Core",O177&gt;=Assumptions!$B$39,Q177&gt;=Assumptions!$B$40,NOT(Z177))</f>
        <v>0</v>
      </c>
      <c r="V177" s="2" t="n">
        <f aca="false">(AND(H177="Broker-Reliant",J177&lt;&gt;"Tail",OR(N177="Growing",N177="Stable")))*1+(AND(H177="Broker-Reliant",J177&lt;&gt;"Tail",N177="Declining"))*1+(AND(H177="Broker-Reliant",J177&lt;&gt;"Tail",N177="Lapsed"))*1+(AND(H177="Broker-Reliant",J177&lt;&gt;"Tail",N177="H2 Active / No H1 GMV"))*1+(AND(H177="Broker-Reliant",J177="Tail"))*1+(AND(G177="Low",J177&lt;&gt;"Tail",OR(N177="Growing",N177="Stable")))*1+(AND(G177="Low",J177&lt;&gt;"Tail",N177="H2 Active / No H1 GMV"))*1+(AND(G177="Low",J177&lt;&gt;"Tail",OR(N177="Declining",N177="Lapsed")))*1+(AND(G177="Low",J177="Tail"))*1</f>
        <v>1</v>
      </c>
      <c r="W177" s="2" t="n">
        <f aca="false">INDEX('Commercial View'!$V$2:$V$301,MATCH($A177,'Commercial View'!$A$2:$A$301,0))</f>
        <v>1</v>
      </c>
      <c r="X177" s="10" t="b">
        <f aca="false">O177&lt;=Assumptions!$B$30</f>
        <v>1</v>
      </c>
      <c r="Y177" s="10" t="b">
        <f aca="false">W177&lt;=1</f>
        <v>1</v>
      </c>
      <c r="Z177" s="10" t="b">
        <f aca="false">C177="Duplicate"</f>
        <v>0</v>
      </c>
      <c r="AA177" s="10" t="b">
        <f aca="false">C177=""</f>
        <v>0</v>
      </c>
      <c r="AB177" s="2" t="n">
        <f aca="false">IF(P177+Q177&gt;0,ROUND(P177/(P177+Q177)*100,0),"")</f>
        <v>0</v>
      </c>
      <c r="AC177" s="2" t="n">
        <f aca="false">IF(P177+Q177&gt;0,ROUND(E177-P177/(P177+Q177)*100,0),"")</f>
        <v>11</v>
      </c>
      <c r="AD177" s="10" t="b">
        <f aca="false">IF(AC177="",FALSE(),ABS(AC177)&gt;Assumptions!$B$41)</f>
        <v>1</v>
      </c>
      <c r="AE177" s="2" t="str">
        <f aca="false">IF(X177,"Low confidence (&lt;=2 orders); ","")&amp;IF(Y177,"Single-month history; ","")&amp;IF(Z177,"CRITICAL: Duplicate status; ","")&amp;IF(AA177,"Missing status; ","")&amp;IF(AD177,"Broker % vs counts gap "&amp;TEXT(AC177,"+0;-0")&amp;"pts; ","")</f>
        <v>Low confidence (&lt;=2 orders); Single-month history; Broker % vs counts gap +11pts; </v>
      </c>
      <c r="AF177" s="2" t="str">
        <f aca="false">IF(AND(K177=0,L177&gt;0),IF(D177&lt;=Assumptions!$B$47,"New Customer","Returned Customer"),"Existing Customer")</f>
        <v>Existing Customer</v>
      </c>
      <c r="AG177" s="10" t="b">
        <f aca="false">AND(T177="1. Migration Candidate",J177="Key")</f>
        <v>0</v>
      </c>
      <c r="AH177" s="10" t="b">
        <f aca="false">IF(AND(K177&gt;0,L177&gt;0),OR(ABS(M177-Assumptions!$B$36)&lt;=Assumptions!$B$46,ABS(M177+Assumptions!$B$36)&lt;=Assumptions!$B$46),FALSE())</f>
        <v>0</v>
      </c>
      <c r="AI177" s="9" t="n">
        <f aca="false">INDEX('Commercial View'!$L$2:$L$301,MATCH($A177,'Commercial View'!$A$2:$A$301,0))+INDEX('Commercial View'!$M$2:$M$301,MATCH($A177,'Commercial View'!$A$2:$A$301,0))</f>
        <v>0</v>
      </c>
      <c r="AJ177" s="2" t="str">
        <f aca="false">IF(AND(K177=0,AI177=0),"No activity ex-Feb",IF(AI177=0,"Lapsed",IF(K177=0,"H2 Active / No H1 GMV",IF((AI177/2)/(K177/3)-1&gt;=Assumptions!$B$36,"Growing",IF((AI177/2)/(K177/3)-1&lt;-Assumptions!$B$36,"Declining","Stable")))))</f>
        <v>Lapsed</v>
      </c>
      <c r="AK177" s="10" t="b">
        <f aca="false">IF(OR(N177="Growing",N177="Stable"),"Healthy",N177)&lt;&gt;IF(OR(AJ177="Growing",AJ177="Stable"),"Healthy",AJ177)</f>
        <v>0</v>
      </c>
      <c r="AL177" s="2" t="str">
        <f aca="false">IF(N177="Lapsed",IF(OR(O177&lt;=Assumptions!$B$48,W177&lt;=Assumptions!$B$49),"One-Off / Insufficient History — Verify","Established Buyer Lapsed"),"N/A")</f>
        <v>One-Off / Insufficient History — Verify</v>
      </c>
      <c r="AM177" s="2" t="n">
        <f aca="false">INDEX('Scored Accounts'!$M$2:$M$301,MATCH($A177,'Scored Accounts'!$A$2:$A$301,0))</f>
        <v>0</v>
      </c>
      <c r="AN177" s="2" t="n">
        <f aca="false">IF((P177/(P177+Q177)*100)&lt;=Assumptions!$B$13,0,IF((P177/(P177+Q177)*100)&lt;Assumptions!$B$14,25,IF((P177/(P177+Q177)*100)&lt;Assumptions!$B$15,50,IF((P177/(P177+Q177)*100)&lt;Assumptions!$B$16,75,100))))</f>
        <v>0</v>
      </c>
      <c r="AO177" s="21" t="n">
        <f aca="false">IF((P177/(P177+Q177)*100)&lt;=Assumptions!$B$8,0,AN177*Assumptions!$B$4+INDEX('Scored Accounts'!$N$2:$N$301,MATCH($A177,'Scored Accounts'!$A$2:$A$301,0))*Assumptions!$B$5+INDEX('Scored Accounts'!$O$2:$O$301,MATCH($A177,'Scored Accounts'!$A$2:$A$301,0))*Assumptions!$B$6)</f>
        <v>0</v>
      </c>
      <c r="AP177" s="2" t="str">
        <f aca="false">IF(AO177&gt;=Assumptions!$B$9,"High",IF(AO177&gt;=Assumptions!$B$10,"Medium","Low"))</f>
        <v>Low</v>
      </c>
      <c r="AQ177" s="10" t="b">
        <f aca="false">OR((E177&lt;=Assumptions!$B$8)&lt;&gt;((P177/(P177+Q177)*100)&lt;=Assumptions!$B$8),AM177&lt;&gt;AN177,G177&lt;&gt;AP177)</f>
        <v>0</v>
      </c>
      <c r="AR177" s="2" t="str">
        <f aca="false">IF(AP177&lt;&gt;"Low","Broker-Reliant",IF(B177="Account Managed","AM-Owned / Self-Serving","Self-Serve"))</f>
        <v>AM-Owned / Self-Serving</v>
      </c>
      <c r="AS177" s="2" t="str">
        <f aca="false">IF(AR177="Broker-Reliant",IF(J177="Tail","5. Cost-to-Serve / Low-Touch",IF(OR(N177="Growing",N177="Stable"),"1. Migration Candidate",IF(N177="Declining","2. Protect / Retain First",IF(N177="Lapsed","3. Win-Back / Verify",IF(N177="H2 Active / No H1 GMV","4. Establish / Re-establish / Observe","UNASSIGNED"))))),IF(AP177="Low",IF(J177="Tail","9. Long-Tail Automated Nurture",IF(OR(N177="Growing",N177="Stable"),"6. Growth Opportunity",IF(N177="H2 Active / No H1 GMV","7. Onboard / Re-engage / Learn",IF(OR(N177="Declining",N177="Lapsed"),"8. Retention / Reactivation","UNASSIGNED")))),"UNASSIGNED"))</f>
        <v>9. Long-Tail Automated Nurture</v>
      </c>
      <c r="AT177" s="10" t="b">
        <f aca="false">AS177&lt;&gt;T177</f>
        <v>0</v>
      </c>
      <c r="AU177" s="2" t="str">
        <f aca="false">IF(NOT(U177),"Not Eligible",IF(OR(AQ177,AH177,AK177,NOT(AND(W177&gt;=Assumptions!$B$83,O177&gt;=Assumptions!$B$84))),"Manual Review","Ready"))</f>
        <v>Not Eligible</v>
      </c>
      <c r="AV177" s="2" t="str">
        <f aca="false">IF(AG177,"Key account - human sign-off required; ","")&amp;IF(AH177,"Borderline momentum; ","")&amp;IF(AK177,"February-sensitive ("&amp;N177&amp;" -&gt; "&amp;AJ177&amp;"); ","")&amp;IF(AL177="One-Off / Insufficient History — Verify","Lapsed on thin history - verify; ","")&amp;IF(AQ177,"Material broker % inconsistency (implied tier "&amp;AP177&amp;"); ","")&amp;IF(AT177,"Implied broker % would move segment to "&amp;AS177&amp;"; ","")</f>
        <v>Lapsed on thin history - verify; </v>
      </c>
      <c r="AW177" s="10" t="b">
        <f aca="false">AND(G177="Low",J177="Tail",I177&gt;=Assumptions!$B$64,O177&gt;=Assumptions!$B$65,OR(N177="Growing",N177="Stable",AND(N177="H2 Active / No H1 GMV",W177&gt;=2)),OR(R177&gt;=Assumptions!$B$66,S177&gt;=Assumptions!$B$67))</f>
        <v>0</v>
      </c>
    </row>
    <row r="178" customFormat="false" ht="15" hidden="false" customHeight="false" outlineLevel="0" collapsed="false">
      <c r="A178" s="2" t="s">
        <v>896</v>
      </c>
      <c r="B178" s="2" t="s">
        <v>1571</v>
      </c>
      <c r="C178" s="2" t="s">
        <v>1572</v>
      </c>
      <c r="D178" s="2" t="n">
        <v>7</v>
      </c>
      <c r="E178" s="2" t="n">
        <v>12</v>
      </c>
      <c r="F178" s="21" t="n">
        <f aca="false">INDEX('Scored Accounts'!$Q$2:$Q$301,MATCH($A178,'Scored Accounts'!$A$2:$A$301,0))</f>
        <v>0</v>
      </c>
      <c r="G178" s="2" t="str">
        <f aca="false">INDEX('Scored Accounts'!$R$2:$R$301,MATCH($A178,'Scored Accounts'!$A$2:$A$301,0))</f>
        <v>Low</v>
      </c>
      <c r="H178" s="2" t="str">
        <f aca="false">IF(OR(G178="High",G178="Medium"),"Broker-Reliant",IF(AND(G178="Low",B178="Account Managed"),"AM-Owned / Self-Serving",IF(AND(G178="Low",B178="Self Serve"),"Self-Serve","UNASSIGNED")))</f>
        <v>AM-Owned / Self-Serving</v>
      </c>
      <c r="I178" s="9" t="n">
        <v>164</v>
      </c>
      <c r="J178" s="2" t="str">
        <f aca="false">IF(I178&gt;=Assumptions!$B$35,"Key",IF(I178&gt;=Assumptions!$B$34,"Core","Tail"))</f>
        <v>Tail</v>
      </c>
      <c r="K178" s="9" t="n">
        <f aca="false">INDEX('Commercial View'!$R$2:$R$301,MATCH($A178,'Commercial View'!$A$2:$A$301,0))</f>
        <v>0</v>
      </c>
      <c r="L178" s="9" t="n">
        <f aca="false">INDEX('Commercial View'!$S$2:$S$301,MATCH($A178,'Commercial View'!$A$2:$A$301,0))</f>
        <v>164</v>
      </c>
      <c r="M178" s="17" t="str">
        <f aca="false">INDEX('Commercial View'!$T$2:$T$301,MATCH($A178,'Commercial View'!$A$2:$A$301,0))</f>
        <v/>
      </c>
      <c r="N178" s="2" t="str">
        <f aca="false">INDEX('Commercial View'!$U$2:$U$301,MATCH($A178,'Commercial View'!$A$2:$A$301,0))</f>
        <v>H2 Active / No H1 GMV</v>
      </c>
      <c r="O178" s="2" t="n">
        <v>1</v>
      </c>
      <c r="P178" s="2" t="n">
        <v>0</v>
      </c>
      <c r="Q178" s="2" t="n">
        <v>1</v>
      </c>
      <c r="R178" s="2" t="n">
        <v>10</v>
      </c>
      <c r="S178" s="2" t="n">
        <v>0</v>
      </c>
      <c r="T178" s="2" t="str">
        <f aca="false">IF(H178="Broker-Reliant",IF(J178="Tail","5. Cost-to-Serve / Low-Touch",IF(OR(N178="Growing",N178="Stable"),"1. Migration Candidate",IF(N178="Declining","2. Protect / Retain First",IF(N178="Lapsed","3. Win-Back / Verify",IF(N178="H2 Active / No H1 GMV","4. Establish / Re-establish / Observe","UNASSIGNED"))))),IF(G178="Low",IF(J178="Tail","9. Long-Tail Automated Nurture",IF(OR(N178="Growing",N178="Stable"),"6. Growth Opportunity",IF(N178="H2 Active / No H1 GMV","7. Onboard / Re-engage / Learn",IF(OR(N178="Declining",N178="Lapsed"),"8. Retention / Reactivation","UNASSIGNED")))),"UNASSIGNED"))</f>
        <v>9. Long-Tail Automated Nurture</v>
      </c>
      <c r="U178" s="10" t="b">
        <f aca="false">AND(T178="1. Migration Candidate",J178="Core",O178&gt;=Assumptions!$B$39,Q178&gt;=Assumptions!$B$40,NOT(Z178))</f>
        <v>0</v>
      </c>
      <c r="V178" s="2" t="n">
        <f aca="false">(AND(H178="Broker-Reliant",J178&lt;&gt;"Tail",OR(N178="Growing",N178="Stable")))*1+(AND(H178="Broker-Reliant",J178&lt;&gt;"Tail",N178="Declining"))*1+(AND(H178="Broker-Reliant",J178&lt;&gt;"Tail",N178="Lapsed"))*1+(AND(H178="Broker-Reliant",J178&lt;&gt;"Tail",N178="H2 Active / No H1 GMV"))*1+(AND(H178="Broker-Reliant",J178="Tail"))*1+(AND(G178="Low",J178&lt;&gt;"Tail",OR(N178="Growing",N178="Stable")))*1+(AND(G178="Low",J178&lt;&gt;"Tail",N178="H2 Active / No H1 GMV"))*1+(AND(G178="Low",J178&lt;&gt;"Tail",OR(N178="Declining",N178="Lapsed")))*1+(AND(G178="Low",J178="Tail"))*1</f>
        <v>1</v>
      </c>
      <c r="W178" s="2" t="n">
        <f aca="false">INDEX('Commercial View'!$V$2:$V$301,MATCH($A178,'Commercial View'!$A$2:$A$301,0))</f>
        <v>1</v>
      </c>
      <c r="X178" s="10" t="b">
        <f aca="false">O178&lt;=Assumptions!$B$30</f>
        <v>1</v>
      </c>
      <c r="Y178" s="10" t="b">
        <f aca="false">W178&lt;=1</f>
        <v>1</v>
      </c>
      <c r="Z178" s="10" t="b">
        <f aca="false">C178="Duplicate"</f>
        <v>0</v>
      </c>
      <c r="AA178" s="10" t="b">
        <f aca="false">C178=""</f>
        <v>0</v>
      </c>
      <c r="AB178" s="2" t="n">
        <f aca="false">IF(P178+Q178&gt;0,ROUND(P178/(P178+Q178)*100,0),"")</f>
        <v>0</v>
      </c>
      <c r="AC178" s="2" t="n">
        <f aca="false">IF(P178+Q178&gt;0,ROUND(E178-P178/(P178+Q178)*100,0),"")</f>
        <v>12</v>
      </c>
      <c r="AD178" s="10" t="b">
        <f aca="false">IF(AC178="",FALSE(),ABS(AC178)&gt;Assumptions!$B$41)</f>
        <v>1</v>
      </c>
      <c r="AE178" s="2" t="str">
        <f aca="false">IF(X178,"Low confidence (&lt;=2 orders); ","")&amp;IF(Y178,"Single-month history; ","")&amp;IF(Z178,"CRITICAL: Duplicate status; ","")&amp;IF(AA178,"Missing status; ","")&amp;IF(AD178,"Broker % vs counts gap "&amp;TEXT(AC178,"+0;-0")&amp;"pts; ","")</f>
        <v>Low confidence (&lt;=2 orders); Single-month history; Broker % vs counts gap +12pts; </v>
      </c>
      <c r="AF178" s="2" t="str">
        <f aca="false">IF(AND(K178=0,L178&gt;0),IF(D178&lt;=Assumptions!$B$47,"New Customer","Returned Customer"),"Existing Customer")</f>
        <v>Returned Customer</v>
      </c>
      <c r="AG178" s="10" t="b">
        <f aca="false">AND(T178="1. Migration Candidate",J178="Key")</f>
        <v>0</v>
      </c>
      <c r="AH178" s="10" t="b">
        <f aca="false">IF(AND(K178&gt;0,L178&gt;0),OR(ABS(M178-Assumptions!$B$36)&lt;=Assumptions!$B$46,ABS(M178+Assumptions!$B$36)&lt;=Assumptions!$B$46),FALSE())</f>
        <v>0</v>
      </c>
      <c r="AI178" s="9" t="n">
        <f aca="false">INDEX('Commercial View'!$L$2:$L$301,MATCH($A178,'Commercial View'!$A$2:$A$301,0))+INDEX('Commercial View'!$M$2:$M$301,MATCH($A178,'Commercial View'!$A$2:$A$301,0))</f>
        <v>0</v>
      </c>
      <c r="AJ178" s="2" t="str">
        <f aca="false">IF(AND(K178=0,AI178=0),"No activity ex-Feb",IF(AI178=0,"Lapsed",IF(K178=0,"H2 Active / No H1 GMV",IF((AI178/2)/(K178/3)-1&gt;=Assumptions!$B$36,"Growing",IF((AI178/2)/(K178/3)-1&lt;-Assumptions!$B$36,"Declining","Stable")))))</f>
        <v>No activity ex-Feb</v>
      </c>
      <c r="AK178" s="10" t="b">
        <f aca="false">IF(OR(N178="Growing",N178="Stable"),"Healthy",N178)&lt;&gt;IF(OR(AJ178="Growing",AJ178="Stable"),"Healthy",AJ178)</f>
        <v>1</v>
      </c>
      <c r="AL178" s="2" t="str">
        <f aca="false">IF(N178="Lapsed",IF(OR(O178&lt;=Assumptions!$B$48,W178&lt;=Assumptions!$B$49),"One-Off / Insufficient History — Verify","Established Buyer Lapsed"),"N/A")</f>
        <v>N/A</v>
      </c>
      <c r="AM178" s="2" t="n">
        <f aca="false">INDEX('Scored Accounts'!$M$2:$M$301,MATCH($A178,'Scored Accounts'!$A$2:$A$301,0))</f>
        <v>0</v>
      </c>
      <c r="AN178" s="2" t="n">
        <f aca="false">IF((P178/(P178+Q178)*100)&lt;=Assumptions!$B$13,0,IF((P178/(P178+Q178)*100)&lt;Assumptions!$B$14,25,IF((P178/(P178+Q178)*100)&lt;Assumptions!$B$15,50,IF((P178/(P178+Q178)*100)&lt;Assumptions!$B$16,75,100))))</f>
        <v>0</v>
      </c>
      <c r="AO178" s="21" t="n">
        <f aca="false">IF((P178/(P178+Q178)*100)&lt;=Assumptions!$B$8,0,AN178*Assumptions!$B$4+INDEX('Scored Accounts'!$N$2:$N$301,MATCH($A178,'Scored Accounts'!$A$2:$A$301,0))*Assumptions!$B$5+INDEX('Scored Accounts'!$O$2:$O$301,MATCH($A178,'Scored Accounts'!$A$2:$A$301,0))*Assumptions!$B$6)</f>
        <v>0</v>
      </c>
      <c r="AP178" s="2" t="str">
        <f aca="false">IF(AO178&gt;=Assumptions!$B$9,"High",IF(AO178&gt;=Assumptions!$B$10,"Medium","Low"))</f>
        <v>Low</v>
      </c>
      <c r="AQ178" s="10" t="b">
        <f aca="false">OR((E178&lt;=Assumptions!$B$8)&lt;&gt;((P178/(P178+Q178)*100)&lt;=Assumptions!$B$8),AM178&lt;&gt;AN178,G178&lt;&gt;AP178)</f>
        <v>0</v>
      </c>
      <c r="AR178" s="2" t="str">
        <f aca="false">IF(AP178&lt;&gt;"Low","Broker-Reliant",IF(B178="Account Managed","AM-Owned / Self-Serving","Self-Serve"))</f>
        <v>AM-Owned / Self-Serving</v>
      </c>
      <c r="AS178" s="2" t="str">
        <f aca="false">IF(AR178="Broker-Reliant",IF(J178="Tail","5. Cost-to-Serve / Low-Touch",IF(OR(N178="Growing",N178="Stable"),"1. Migration Candidate",IF(N178="Declining","2. Protect / Retain First",IF(N178="Lapsed","3. Win-Back / Verify",IF(N178="H2 Active / No H1 GMV","4. Establish / Re-establish / Observe","UNASSIGNED"))))),IF(AP178="Low",IF(J178="Tail","9. Long-Tail Automated Nurture",IF(OR(N178="Growing",N178="Stable"),"6. Growth Opportunity",IF(N178="H2 Active / No H1 GMV","7. Onboard / Re-engage / Learn",IF(OR(N178="Declining",N178="Lapsed"),"8. Retention / Reactivation","UNASSIGNED")))),"UNASSIGNED"))</f>
        <v>9. Long-Tail Automated Nurture</v>
      </c>
      <c r="AT178" s="10" t="b">
        <f aca="false">AS178&lt;&gt;T178</f>
        <v>0</v>
      </c>
      <c r="AU178" s="2" t="str">
        <f aca="false">IF(NOT(U178),"Not Eligible",IF(OR(AQ178,AH178,AK178,NOT(AND(W178&gt;=Assumptions!$B$83,O178&gt;=Assumptions!$B$84))),"Manual Review","Ready"))</f>
        <v>Not Eligible</v>
      </c>
      <c r="AV178" s="2" t="str">
        <f aca="false">IF(AG178,"Key account - human sign-off required; ","")&amp;IF(AH178,"Borderline momentum; ","")&amp;IF(AK178,"February-sensitive ("&amp;N178&amp;" -&gt; "&amp;AJ178&amp;"); ","")&amp;IF(AL178="One-Off / Insufficient History — Verify","Lapsed on thin history - verify; ","")&amp;IF(AQ178,"Material broker % inconsistency (implied tier "&amp;AP178&amp;"); ","")&amp;IF(AT178,"Implied broker % would move segment to "&amp;AS178&amp;"; ","")</f>
        <v>February-sensitive (H2 Active / No H1 GMV -&gt; No activity ex-Feb); </v>
      </c>
      <c r="AW178" s="10" t="b">
        <f aca="false">AND(G178="Low",J178="Tail",I178&gt;=Assumptions!$B$64,O178&gt;=Assumptions!$B$65,OR(N178="Growing",N178="Stable",AND(N178="H2 Active / No H1 GMV",W178&gt;=2)),OR(R178&gt;=Assumptions!$B$66,S178&gt;=Assumptions!$B$67))</f>
        <v>0</v>
      </c>
    </row>
    <row r="179" customFormat="false" ht="15" hidden="false" customHeight="false" outlineLevel="0" collapsed="false">
      <c r="A179" s="2" t="s">
        <v>898</v>
      </c>
      <c r="B179" s="2" t="s">
        <v>1571</v>
      </c>
      <c r="C179" s="2" t="s">
        <v>1572</v>
      </c>
      <c r="D179" s="2" t="n">
        <v>7</v>
      </c>
      <c r="E179" s="2" t="n">
        <v>5</v>
      </c>
      <c r="F179" s="21" t="n">
        <f aca="false">INDEX('Scored Accounts'!$Q$2:$Q$301,MATCH($A179,'Scored Accounts'!$A$2:$A$301,0))</f>
        <v>0</v>
      </c>
      <c r="G179" s="2" t="str">
        <f aca="false">INDEX('Scored Accounts'!$R$2:$R$301,MATCH($A179,'Scored Accounts'!$A$2:$A$301,0))</f>
        <v>Low</v>
      </c>
      <c r="H179" s="2" t="str">
        <f aca="false">IF(OR(G179="High",G179="Medium"),"Broker-Reliant",IF(AND(G179="Low",B179="Account Managed"),"AM-Owned / Self-Serving",IF(AND(G179="Low",B179="Self Serve"),"Self-Serve","UNASSIGNED")))</f>
        <v>AM-Owned / Self-Serving</v>
      </c>
      <c r="I179" s="9" t="n">
        <v>156</v>
      </c>
      <c r="J179" s="2" t="str">
        <f aca="false">IF(I179&gt;=Assumptions!$B$35,"Key",IF(I179&gt;=Assumptions!$B$34,"Core","Tail"))</f>
        <v>Tail</v>
      </c>
      <c r="K179" s="9" t="n">
        <f aca="false">INDEX('Commercial View'!$R$2:$R$301,MATCH($A179,'Commercial View'!$A$2:$A$301,0))</f>
        <v>156</v>
      </c>
      <c r="L179" s="9" t="n">
        <f aca="false">INDEX('Commercial View'!$S$2:$S$301,MATCH($A179,'Commercial View'!$A$2:$A$301,0))</f>
        <v>0</v>
      </c>
      <c r="M179" s="17" t="n">
        <f aca="false">INDEX('Commercial View'!$T$2:$T$301,MATCH($A179,'Commercial View'!$A$2:$A$301,0))</f>
        <v>-1</v>
      </c>
      <c r="N179" s="2" t="str">
        <f aca="false">INDEX('Commercial View'!$U$2:$U$301,MATCH($A179,'Commercial View'!$A$2:$A$301,0))</f>
        <v>Lapsed</v>
      </c>
      <c r="O179" s="2" t="n">
        <v>1</v>
      </c>
      <c r="P179" s="2" t="n">
        <v>0</v>
      </c>
      <c r="Q179" s="2" t="n">
        <v>1</v>
      </c>
      <c r="R179" s="2" t="n">
        <v>10</v>
      </c>
      <c r="S179" s="2" t="n">
        <v>0</v>
      </c>
      <c r="T179" s="2" t="str">
        <f aca="false">IF(H179="Broker-Reliant",IF(J179="Tail","5. Cost-to-Serve / Low-Touch",IF(OR(N179="Growing",N179="Stable"),"1. Migration Candidate",IF(N179="Declining","2. Protect / Retain First",IF(N179="Lapsed","3. Win-Back / Verify",IF(N179="H2 Active / No H1 GMV","4. Establish / Re-establish / Observe","UNASSIGNED"))))),IF(G179="Low",IF(J179="Tail","9. Long-Tail Automated Nurture",IF(OR(N179="Growing",N179="Stable"),"6. Growth Opportunity",IF(N179="H2 Active / No H1 GMV","7. Onboard / Re-engage / Learn",IF(OR(N179="Declining",N179="Lapsed"),"8. Retention / Reactivation","UNASSIGNED")))),"UNASSIGNED"))</f>
        <v>9. Long-Tail Automated Nurture</v>
      </c>
      <c r="U179" s="10" t="b">
        <f aca="false">AND(T179="1. Migration Candidate",J179="Core",O179&gt;=Assumptions!$B$39,Q179&gt;=Assumptions!$B$40,NOT(Z179))</f>
        <v>0</v>
      </c>
      <c r="V179" s="2" t="n">
        <f aca="false">(AND(H179="Broker-Reliant",J179&lt;&gt;"Tail",OR(N179="Growing",N179="Stable")))*1+(AND(H179="Broker-Reliant",J179&lt;&gt;"Tail",N179="Declining"))*1+(AND(H179="Broker-Reliant",J179&lt;&gt;"Tail",N179="Lapsed"))*1+(AND(H179="Broker-Reliant",J179&lt;&gt;"Tail",N179="H2 Active / No H1 GMV"))*1+(AND(H179="Broker-Reliant",J179="Tail"))*1+(AND(G179="Low",J179&lt;&gt;"Tail",OR(N179="Growing",N179="Stable")))*1+(AND(G179="Low",J179&lt;&gt;"Tail",N179="H2 Active / No H1 GMV"))*1+(AND(G179="Low",J179&lt;&gt;"Tail",OR(N179="Declining",N179="Lapsed")))*1+(AND(G179="Low",J179="Tail"))*1</f>
        <v>1</v>
      </c>
      <c r="W179" s="2" t="n">
        <f aca="false">INDEX('Commercial View'!$V$2:$V$301,MATCH($A179,'Commercial View'!$A$2:$A$301,0))</f>
        <v>1</v>
      </c>
      <c r="X179" s="10" t="b">
        <f aca="false">O179&lt;=Assumptions!$B$30</f>
        <v>1</v>
      </c>
      <c r="Y179" s="10" t="b">
        <f aca="false">W179&lt;=1</f>
        <v>1</v>
      </c>
      <c r="Z179" s="10" t="b">
        <f aca="false">C179="Duplicate"</f>
        <v>0</v>
      </c>
      <c r="AA179" s="10" t="b">
        <f aca="false">C179=""</f>
        <v>0</v>
      </c>
      <c r="AB179" s="2" t="n">
        <f aca="false">IF(P179+Q179&gt;0,ROUND(P179/(P179+Q179)*100,0),"")</f>
        <v>0</v>
      </c>
      <c r="AC179" s="2" t="n">
        <f aca="false">IF(P179+Q179&gt;0,ROUND(E179-P179/(P179+Q179)*100,0),"")</f>
        <v>5</v>
      </c>
      <c r="AD179" s="10" t="b">
        <f aca="false">IF(AC179="",FALSE(),ABS(AC179)&gt;Assumptions!$B$41)</f>
        <v>0</v>
      </c>
      <c r="AE179" s="2" t="str">
        <f aca="false">IF(X179,"Low confidence (&lt;=2 orders); ","")&amp;IF(Y179,"Single-month history; ","")&amp;IF(Z179,"CRITICAL: Duplicate status; ","")&amp;IF(AA179,"Missing status; ","")&amp;IF(AD179,"Broker % vs counts gap "&amp;TEXT(AC179,"+0;-0")&amp;"pts; ","")</f>
        <v>Low confidence (&lt;=2 orders); Single-month history; </v>
      </c>
      <c r="AF179" s="2" t="str">
        <f aca="false">IF(AND(K179=0,L179&gt;0),IF(D179&lt;=Assumptions!$B$47,"New Customer","Returned Customer"),"Existing Customer")</f>
        <v>Existing Customer</v>
      </c>
      <c r="AG179" s="10" t="b">
        <f aca="false">AND(T179="1. Migration Candidate",J179="Key")</f>
        <v>0</v>
      </c>
      <c r="AH179" s="10" t="b">
        <f aca="false">IF(AND(K179&gt;0,L179&gt;0),OR(ABS(M179-Assumptions!$B$36)&lt;=Assumptions!$B$46,ABS(M179+Assumptions!$B$36)&lt;=Assumptions!$B$46),FALSE())</f>
        <v>0</v>
      </c>
      <c r="AI179" s="9" t="n">
        <f aca="false">INDEX('Commercial View'!$L$2:$L$301,MATCH($A179,'Commercial View'!$A$2:$A$301,0))+INDEX('Commercial View'!$M$2:$M$301,MATCH($A179,'Commercial View'!$A$2:$A$301,0))</f>
        <v>0</v>
      </c>
      <c r="AJ179" s="2" t="str">
        <f aca="false">IF(AND(K179=0,AI179=0),"No activity ex-Feb",IF(AI179=0,"Lapsed",IF(K179=0,"H2 Active / No H1 GMV",IF((AI179/2)/(K179/3)-1&gt;=Assumptions!$B$36,"Growing",IF((AI179/2)/(K179/3)-1&lt;-Assumptions!$B$36,"Declining","Stable")))))</f>
        <v>Lapsed</v>
      </c>
      <c r="AK179" s="10" t="b">
        <f aca="false">IF(OR(N179="Growing",N179="Stable"),"Healthy",N179)&lt;&gt;IF(OR(AJ179="Growing",AJ179="Stable"),"Healthy",AJ179)</f>
        <v>0</v>
      </c>
      <c r="AL179" s="2" t="str">
        <f aca="false">IF(N179="Lapsed",IF(OR(O179&lt;=Assumptions!$B$48,W179&lt;=Assumptions!$B$49),"One-Off / Insufficient History — Verify","Established Buyer Lapsed"),"N/A")</f>
        <v>One-Off / Insufficient History — Verify</v>
      </c>
      <c r="AM179" s="2" t="n">
        <f aca="false">INDEX('Scored Accounts'!$M$2:$M$301,MATCH($A179,'Scored Accounts'!$A$2:$A$301,0))</f>
        <v>0</v>
      </c>
      <c r="AN179" s="2" t="n">
        <f aca="false">IF((P179/(P179+Q179)*100)&lt;=Assumptions!$B$13,0,IF((P179/(P179+Q179)*100)&lt;Assumptions!$B$14,25,IF((P179/(P179+Q179)*100)&lt;Assumptions!$B$15,50,IF((P179/(P179+Q179)*100)&lt;Assumptions!$B$16,75,100))))</f>
        <v>0</v>
      </c>
      <c r="AO179" s="21" t="n">
        <f aca="false">IF((P179/(P179+Q179)*100)&lt;=Assumptions!$B$8,0,AN179*Assumptions!$B$4+INDEX('Scored Accounts'!$N$2:$N$301,MATCH($A179,'Scored Accounts'!$A$2:$A$301,0))*Assumptions!$B$5+INDEX('Scored Accounts'!$O$2:$O$301,MATCH($A179,'Scored Accounts'!$A$2:$A$301,0))*Assumptions!$B$6)</f>
        <v>0</v>
      </c>
      <c r="AP179" s="2" t="str">
        <f aca="false">IF(AO179&gt;=Assumptions!$B$9,"High",IF(AO179&gt;=Assumptions!$B$10,"Medium","Low"))</f>
        <v>Low</v>
      </c>
      <c r="AQ179" s="10" t="b">
        <f aca="false">OR((E179&lt;=Assumptions!$B$8)&lt;&gt;((P179/(P179+Q179)*100)&lt;=Assumptions!$B$8),AM179&lt;&gt;AN179,G179&lt;&gt;AP179)</f>
        <v>0</v>
      </c>
      <c r="AR179" s="2" t="str">
        <f aca="false">IF(AP179&lt;&gt;"Low","Broker-Reliant",IF(B179="Account Managed","AM-Owned / Self-Serving","Self-Serve"))</f>
        <v>AM-Owned / Self-Serving</v>
      </c>
      <c r="AS179" s="2" t="str">
        <f aca="false">IF(AR179="Broker-Reliant",IF(J179="Tail","5. Cost-to-Serve / Low-Touch",IF(OR(N179="Growing",N179="Stable"),"1. Migration Candidate",IF(N179="Declining","2. Protect / Retain First",IF(N179="Lapsed","3. Win-Back / Verify",IF(N179="H2 Active / No H1 GMV","4. Establish / Re-establish / Observe","UNASSIGNED"))))),IF(AP179="Low",IF(J179="Tail","9. Long-Tail Automated Nurture",IF(OR(N179="Growing",N179="Stable"),"6. Growth Opportunity",IF(N179="H2 Active / No H1 GMV","7. Onboard / Re-engage / Learn",IF(OR(N179="Declining",N179="Lapsed"),"8. Retention / Reactivation","UNASSIGNED")))),"UNASSIGNED"))</f>
        <v>9. Long-Tail Automated Nurture</v>
      </c>
      <c r="AT179" s="10" t="b">
        <f aca="false">AS179&lt;&gt;T179</f>
        <v>0</v>
      </c>
      <c r="AU179" s="2" t="str">
        <f aca="false">IF(NOT(U179),"Not Eligible",IF(OR(AQ179,AH179,AK179,NOT(AND(W179&gt;=Assumptions!$B$83,O179&gt;=Assumptions!$B$84))),"Manual Review","Ready"))</f>
        <v>Not Eligible</v>
      </c>
      <c r="AV179" s="2" t="str">
        <f aca="false">IF(AG179,"Key account - human sign-off required; ","")&amp;IF(AH179,"Borderline momentum; ","")&amp;IF(AK179,"February-sensitive ("&amp;N179&amp;" -&gt; "&amp;AJ179&amp;"); ","")&amp;IF(AL179="One-Off / Insufficient History — Verify","Lapsed on thin history - verify; ","")&amp;IF(AQ179,"Material broker % inconsistency (implied tier "&amp;AP179&amp;"); ","")&amp;IF(AT179,"Implied broker % would move segment to "&amp;AS179&amp;"; ","")</f>
        <v>Lapsed on thin history - verify; </v>
      </c>
      <c r="AW179" s="10" t="b">
        <f aca="false">AND(G179="Low",J179="Tail",I179&gt;=Assumptions!$B$64,O179&gt;=Assumptions!$B$65,OR(N179="Growing",N179="Stable",AND(N179="H2 Active / No H1 GMV",W179&gt;=2)),OR(R179&gt;=Assumptions!$B$66,S179&gt;=Assumptions!$B$67))</f>
        <v>0</v>
      </c>
    </row>
    <row r="180" customFormat="false" ht="15" hidden="false" customHeight="false" outlineLevel="0" collapsed="false">
      <c r="A180" s="2" t="s">
        <v>902</v>
      </c>
      <c r="B180" s="2" t="s">
        <v>1571</v>
      </c>
      <c r="C180" s="2" t="s">
        <v>1572</v>
      </c>
      <c r="D180" s="2" t="n">
        <v>10</v>
      </c>
      <c r="E180" s="2" t="n">
        <v>13</v>
      </c>
      <c r="F180" s="21" t="n">
        <f aca="false">INDEX('Scored Accounts'!$Q$2:$Q$301,MATCH($A180,'Scored Accounts'!$A$2:$A$301,0))</f>
        <v>0</v>
      </c>
      <c r="G180" s="2" t="str">
        <f aca="false">INDEX('Scored Accounts'!$R$2:$R$301,MATCH($A180,'Scored Accounts'!$A$2:$A$301,0))</f>
        <v>Low</v>
      </c>
      <c r="H180" s="2" t="str">
        <f aca="false">IF(OR(G180="High",G180="Medium"),"Broker-Reliant",IF(AND(G180="Low",B180="Account Managed"),"AM-Owned / Self-Serving",IF(AND(G180="Low",B180="Self Serve"),"Self-Serve","UNASSIGNED")))</f>
        <v>AM-Owned / Self-Serving</v>
      </c>
      <c r="I180" s="9" t="n">
        <v>153</v>
      </c>
      <c r="J180" s="2" t="str">
        <f aca="false">IF(I180&gt;=Assumptions!$B$35,"Key",IF(I180&gt;=Assumptions!$B$34,"Core","Tail"))</f>
        <v>Tail</v>
      </c>
      <c r="K180" s="9" t="n">
        <f aca="false">INDEX('Commercial View'!$R$2:$R$301,MATCH($A180,'Commercial View'!$A$2:$A$301,0))</f>
        <v>153</v>
      </c>
      <c r="L180" s="9" t="n">
        <f aca="false">INDEX('Commercial View'!$S$2:$S$301,MATCH($A180,'Commercial View'!$A$2:$A$301,0))</f>
        <v>0</v>
      </c>
      <c r="M180" s="17" t="n">
        <f aca="false">INDEX('Commercial View'!$T$2:$T$301,MATCH($A180,'Commercial View'!$A$2:$A$301,0))</f>
        <v>-1</v>
      </c>
      <c r="N180" s="2" t="str">
        <f aca="false">INDEX('Commercial View'!$U$2:$U$301,MATCH($A180,'Commercial View'!$A$2:$A$301,0))</f>
        <v>Lapsed</v>
      </c>
      <c r="O180" s="2" t="n">
        <v>1</v>
      </c>
      <c r="P180" s="2" t="n">
        <v>0</v>
      </c>
      <c r="Q180" s="2" t="n">
        <v>1</v>
      </c>
      <c r="R180" s="2" t="n">
        <v>19</v>
      </c>
      <c r="S180" s="2" t="n">
        <v>3</v>
      </c>
      <c r="T180" s="2" t="str">
        <f aca="false">IF(H180="Broker-Reliant",IF(J180="Tail","5. Cost-to-Serve / Low-Touch",IF(OR(N180="Growing",N180="Stable"),"1. Migration Candidate",IF(N180="Declining","2. Protect / Retain First",IF(N180="Lapsed","3. Win-Back / Verify",IF(N180="H2 Active / No H1 GMV","4. Establish / Re-establish / Observe","UNASSIGNED"))))),IF(G180="Low",IF(J180="Tail","9. Long-Tail Automated Nurture",IF(OR(N180="Growing",N180="Stable"),"6. Growth Opportunity",IF(N180="H2 Active / No H1 GMV","7. Onboard / Re-engage / Learn",IF(OR(N180="Declining",N180="Lapsed"),"8. Retention / Reactivation","UNASSIGNED")))),"UNASSIGNED"))</f>
        <v>9. Long-Tail Automated Nurture</v>
      </c>
      <c r="U180" s="10" t="b">
        <f aca="false">AND(T180="1. Migration Candidate",J180="Core",O180&gt;=Assumptions!$B$39,Q180&gt;=Assumptions!$B$40,NOT(Z180))</f>
        <v>0</v>
      </c>
      <c r="V180" s="2" t="n">
        <f aca="false">(AND(H180="Broker-Reliant",J180&lt;&gt;"Tail",OR(N180="Growing",N180="Stable")))*1+(AND(H180="Broker-Reliant",J180&lt;&gt;"Tail",N180="Declining"))*1+(AND(H180="Broker-Reliant",J180&lt;&gt;"Tail",N180="Lapsed"))*1+(AND(H180="Broker-Reliant",J180&lt;&gt;"Tail",N180="H2 Active / No H1 GMV"))*1+(AND(H180="Broker-Reliant",J180="Tail"))*1+(AND(G180="Low",J180&lt;&gt;"Tail",OR(N180="Growing",N180="Stable")))*1+(AND(G180="Low",J180&lt;&gt;"Tail",N180="H2 Active / No H1 GMV"))*1+(AND(G180="Low",J180&lt;&gt;"Tail",OR(N180="Declining",N180="Lapsed")))*1+(AND(G180="Low",J180="Tail"))*1</f>
        <v>1</v>
      </c>
      <c r="W180" s="2" t="n">
        <f aca="false">INDEX('Commercial View'!$V$2:$V$301,MATCH($A180,'Commercial View'!$A$2:$A$301,0))</f>
        <v>1</v>
      </c>
      <c r="X180" s="10" t="b">
        <f aca="false">O180&lt;=Assumptions!$B$30</f>
        <v>1</v>
      </c>
      <c r="Y180" s="10" t="b">
        <f aca="false">W180&lt;=1</f>
        <v>1</v>
      </c>
      <c r="Z180" s="10" t="b">
        <f aca="false">C180="Duplicate"</f>
        <v>0</v>
      </c>
      <c r="AA180" s="10" t="b">
        <f aca="false">C180=""</f>
        <v>0</v>
      </c>
      <c r="AB180" s="2" t="n">
        <f aca="false">IF(P180+Q180&gt;0,ROUND(P180/(P180+Q180)*100,0),"")</f>
        <v>0</v>
      </c>
      <c r="AC180" s="2" t="n">
        <f aca="false">IF(P180+Q180&gt;0,ROUND(E180-P180/(P180+Q180)*100,0),"")</f>
        <v>13</v>
      </c>
      <c r="AD180" s="10" t="b">
        <f aca="false">IF(AC180="",FALSE(),ABS(AC180)&gt;Assumptions!$B$41)</f>
        <v>1</v>
      </c>
      <c r="AE180" s="2" t="str">
        <f aca="false">IF(X180,"Low confidence (&lt;=2 orders); ","")&amp;IF(Y180,"Single-month history; ","")&amp;IF(Z180,"CRITICAL: Duplicate status; ","")&amp;IF(AA180,"Missing status; ","")&amp;IF(AD180,"Broker % vs counts gap "&amp;TEXT(AC180,"+0;-0")&amp;"pts; ","")</f>
        <v>Low confidence (&lt;=2 orders); Single-month history; Broker % vs counts gap +13pts; </v>
      </c>
      <c r="AF180" s="2" t="str">
        <f aca="false">IF(AND(K180=0,L180&gt;0),IF(D180&lt;=Assumptions!$B$47,"New Customer","Returned Customer"),"Existing Customer")</f>
        <v>Existing Customer</v>
      </c>
      <c r="AG180" s="10" t="b">
        <f aca="false">AND(T180="1. Migration Candidate",J180="Key")</f>
        <v>0</v>
      </c>
      <c r="AH180" s="10" t="b">
        <f aca="false">IF(AND(K180&gt;0,L180&gt;0),OR(ABS(M180-Assumptions!$B$36)&lt;=Assumptions!$B$46,ABS(M180+Assumptions!$B$36)&lt;=Assumptions!$B$46),FALSE())</f>
        <v>0</v>
      </c>
      <c r="AI180" s="9" t="n">
        <f aca="false">INDEX('Commercial View'!$L$2:$L$301,MATCH($A180,'Commercial View'!$A$2:$A$301,0))+INDEX('Commercial View'!$M$2:$M$301,MATCH($A180,'Commercial View'!$A$2:$A$301,0))</f>
        <v>0</v>
      </c>
      <c r="AJ180" s="2" t="str">
        <f aca="false">IF(AND(K180=0,AI180=0),"No activity ex-Feb",IF(AI180=0,"Lapsed",IF(K180=0,"H2 Active / No H1 GMV",IF((AI180/2)/(K180/3)-1&gt;=Assumptions!$B$36,"Growing",IF((AI180/2)/(K180/3)-1&lt;-Assumptions!$B$36,"Declining","Stable")))))</f>
        <v>Lapsed</v>
      </c>
      <c r="AK180" s="10" t="b">
        <f aca="false">IF(OR(N180="Growing",N180="Stable"),"Healthy",N180)&lt;&gt;IF(OR(AJ180="Growing",AJ180="Stable"),"Healthy",AJ180)</f>
        <v>0</v>
      </c>
      <c r="AL180" s="2" t="str">
        <f aca="false">IF(N180="Lapsed",IF(OR(O180&lt;=Assumptions!$B$48,W180&lt;=Assumptions!$B$49),"One-Off / Insufficient History — Verify","Established Buyer Lapsed"),"N/A")</f>
        <v>One-Off / Insufficient History — Verify</v>
      </c>
      <c r="AM180" s="2" t="n">
        <f aca="false">INDEX('Scored Accounts'!$M$2:$M$301,MATCH($A180,'Scored Accounts'!$A$2:$A$301,0))</f>
        <v>0</v>
      </c>
      <c r="AN180" s="2" t="n">
        <f aca="false">IF((P180/(P180+Q180)*100)&lt;=Assumptions!$B$13,0,IF((P180/(P180+Q180)*100)&lt;Assumptions!$B$14,25,IF((P180/(P180+Q180)*100)&lt;Assumptions!$B$15,50,IF((P180/(P180+Q180)*100)&lt;Assumptions!$B$16,75,100))))</f>
        <v>0</v>
      </c>
      <c r="AO180" s="21" t="n">
        <f aca="false">IF((P180/(P180+Q180)*100)&lt;=Assumptions!$B$8,0,AN180*Assumptions!$B$4+INDEX('Scored Accounts'!$N$2:$N$301,MATCH($A180,'Scored Accounts'!$A$2:$A$301,0))*Assumptions!$B$5+INDEX('Scored Accounts'!$O$2:$O$301,MATCH($A180,'Scored Accounts'!$A$2:$A$301,0))*Assumptions!$B$6)</f>
        <v>0</v>
      </c>
      <c r="AP180" s="2" t="str">
        <f aca="false">IF(AO180&gt;=Assumptions!$B$9,"High",IF(AO180&gt;=Assumptions!$B$10,"Medium","Low"))</f>
        <v>Low</v>
      </c>
      <c r="AQ180" s="10" t="b">
        <f aca="false">OR((E180&lt;=Assumptions!$B$8)&lt;&gt;((P180/(P180+Q180)*100)&lt;=Assumptions!$B$8),AM180&lt;&gt;AN180,G180&lt;&gt;AP180)</f>
        <v>0</v>
      </c>
      <c r="AR180" s="2" t="str">
        <f aca="false">IF(AP180&lt;&gt;"Low","Broker-Reliant",IF(B180="Account Managed","AM-Owned / Self-Serving","Self-Serve"))</f>
        <v>AM-Owned / Self-Serving</v>
      </c>
      <c r="AS180" s="2" t="str">
        <f aca="false">IF(AR180="Broker-Reliant",IF(J180="Tail","5. Cost-to-Serve / Low-Touch",IF(OR(N180="Growing",N180="Stable"),"1. Migration Candidate",IF(N180="Declining","2. Protect / Retain First",IF(N180="Lapsed","3. Win-Back / Verify",IF(N180="H2 Active / No H1 GMV","4. Establish / Re-establish / Observe","UNASSIGNED"))))),IF(AP180="Low",IF(J180="Tail","9. Long-Tail Automated Nurture",IF(OR(N180="Growing",N180="Stable"),"6. Growth Opportunity",IF(N180="H2 Active / No H1 GMV","7. Onboard / Re-engage / Learn",IF(OR(N180="Declining",N180="Lapsed"),"8. Retention / Reactivation","UNASSIGNED")))),"UNASSIGNED"))</f>
        <v>9. Long-Tail Automated Nurture</v>
      </c>
      <c r="AT180" s="10" t="b">
        <f aca="false">AS180&lt;&gt;T180</f>
        <v>0</v>
      </c>
      <c r="AU180" s="2" t="str">
        <f aca="false">IF(NOT(U180),"Not Eligible",IF(OR(AQ180,AH180,AK180,NOT(AND(W180&gt;=Assumptions!$B$83,O180&gt;=Assumptions!$B$84))),"Manual Review","Ready"))</f>
        <v>Not Eligible</v>
      </c>
      <c r="AV180" s="2" t="str">
        <f aca="false">IF(AG180,"Key account - human sign-off required; ","")&amp;IF(AH180,"Borderline momentum; ","")&amp;IF(AK180,"February-sensitive ("&amp;N180&amp;" -&gt; "&amp;AJ180&amp;"); ","")&amp;IF(AL180="One-Off / Insufficient History — Verify","Lapsed on thin history - verify; ","")&amp;IF(AQ180,"Material broker % inconsistency (implied tier "&amp;AP180&amp;"); ","")&amp;IF(AT180,"Implied broker % would move segment to "&amp;AS180&amp;"; ","")</f>
        <v>Lapsed on thin history - verify; </v>
      </c>
      <c r="AW180" s="10" t="b">
        <f aca="false">AND(G180="Low",J180="Tail",I180&gt;=Assumptions!$B$64,O180&gt;=Assumptions!$B$65,OR(N180="Growing",N180="Stable",AND(N180="H2 Active / No H1 GMV",W180&gt;=2)),OR(R180&gt;=Assumptions!$B$66,S180&gt;=Assumptions!$B$67))</f>
        <v>0</v>
      </c>
    </row>
    <row r="181" customFormat="false" ht="15" hidden="false" customHeight="false" outlineLevel="0" collapsed="false">
      <c r="A181" s="2" t="s">
        <v>904</v>
      </c>
      <c r="B181" s="2" t="s">
        <v>1571</v>
      </c>
      <c r="C181" s="2" t="s">
        <v>1572</v>
      </c>
      <c r="D181" s="2" t="n">
        <v>10</v>
      </c>
      <c r="E181" s="2" t="n">
        <v>10</v>
      </c>
      <c r="F181" s="21" t="n">
        <f aca="false">INDEX('Scored Accounts'!$Q$2:$Q$301,MATCH($A181,'Scored Accounts'!$A$2:$A$301,0))</f>
        <v>0</v>
      </c>
      <c r="G181" s="2" t="str">
        <f aca="false">INDEX('Scored Accounts'!$R$2:$R$301,MATCH($A181,'Scored Accounts'!$A$2:$A$301,0))</f>
        <v>Low</v>
      </c>
      <c r="H181" s="2" t="str">
        <f aca="false">IF(OR(G181="High",G181="Medium"),"Broker-Reliant",IF(AND(G181="Low",B181="Account Managed"),"AM-Owned / Self-Serving",IF(AND(G181="Low",B181="Self Serve"),"Self-Serve","UNASSIGNED")))</f>
        <v>AM-Owned / Self-Serving</v>
      </c>
      <c r="I181" s="9" t="n">
        <v>152</v>
      </c>
      <c r="J181" s="2" t="str">
        <f aca="false">IF(I181&gt;=Assumptions!$B$35,"Key",IF(I181&gt;=Assumptions!$B$34,"Core","Tail"))</f>
        <v>Tail</v>
      </c>
      <c r="K181" s="9" t="n">
        <f aca="false">INDEX('Commercial View'!$R$2:$R$301,MATCH($A181,'Commercial View'!$A$2:$A$301,0))</f>
        <v>0</v>
      </c>
      <c r="L181" s="9" t="n">
        <f aca="false">INDEX('Commercial View'!$S$2:$S$301,MATCH($A181,'Commercial View'!$A$2:$A$301,0))</f>
        <v>152</v>
      </c>
      <c r="M181" s="17" t="str">
        <f aca="false">INDEX('Commercial View'!$T$2:$T$301,MATCH($A181,'Commercial View'!$A$2:$A$301,0))</f>
        <v/>
      </c>
      <c r="N181" s="2" t="str">
        <f aca="false">INDEX('Commercial View'!$U$2:$U$301,MATCH($A181,'Commercial View'!$A$2:$A$301,0))</f>
        <v>H2 Active / No H1 GMV</v>
      </c>
      <c r="O181" s="2" t="n">
        <v>1</v>
      </c>
      <c r="P181" s="2" t="n">
        <v>0</v>
      </c>
      <c r="Q181" s="2" t="n">
        <v>1</v>
      </c>
      <c r="R181" s="2" t="n">
        <v>7</v>
      </c>
      <c r="S181" s="2" t="n">
        <v>4</v>
      </c>
      <c r="T181" s="2" t="str">
        <f aca="false">IF(H181="Broker-Reliant",IF(J181="Tail","5. Cost-to-Serve / Low-Touch",IF(OR(N181="Growing",N181="Stable"),"1. Migration Candidate",IF(N181="Declining","2. Protect / Retain First",IF(N181="Lapsed","3. Win-Back / Verify",IF(N181="H2 Active / No H1 GMV","4. Establish / Re-establish / Observe","UNASSIGNED"))))),IF(G181="Low",IF(J181="Tail","9. Long-Tail Automated Nurture",IF(OR(N181="Growing",N181="Stable"),"6. Growth Opportunity",IF(N181="H2 Active / No H1 GMV","7. Onboard / Re-engage / Learn",IF(OR(N181="Declining",N181="Lapsed"),"8. Retention / Reactivation","UNASSIGNED")))),"UNASSIGNED"))</f>
        <v>9. Long-Tail Automated Nurture</v>
      </c>
      <c r="U181" s="10" t="b">
        <f aca="false">AND(T181="1. Migration Candidate",J181="Core",O181&gt;=Assumptions!$B$39,Q181&gt;=Assumptions!$B$40,NOT(Z181))</f>
        <v>0</v>
      </c>
      <c r="V181" s="2" t="n">
        <f aca="false">(AND(H181="Broker-Reliant",J181&lt;&gt;"Tail",OR(N181="Growing",N181="Stable")))*1+(AND(H181="Broker-Reliant",J181&lt;&gt;"Tail",N181="Declining"))*1+(AND(H181="Broker-Reliant",J181&lt;&gt;"Tail",N181="Lapsed"))*1+(AND(H181="Broker-Reliant",J181&lt;&gt;"Tail",N181="H2 Active / No H1 GMV"))*1+(AND(H181="Broker-Reliant",J181="Tail"))*1+(AND(G181="Low",J181&lt;&gt;"Tail",OR(N181="Growing",N181="Stable")))*1+(AND(G181="Low",J181&lt;&gt;"Tail",N181="H2 Active / No H1 GMV"))*1+(AND(G181="Low",J181&lt;&gt;"Tail",OR(N181="Declining",N181="Lapsed")))*1+(AND(G181="Low",J181="Tail"))*1</f>
        <v>1</v>
      </c>
      <c r="W181" s="2" t="n">
        <f aca="false">INDEX('Commercial View'!$V$2:$V$301,MATCH($A181,'Commercial View'!$A$2:$A$301,0))</f>
        <v>1</v>
      </c>
      <c r="X181" s="10" t="b">
        <f aca="false">O181&lt;=Assumptions!$B$30</f>
        <v>1</v>
      </c>
      <c r="Y181" s="10" t="b">
        <f aca="false">W181&lt;=1</f>
        <v>1</v>
      </c>
      <c r="Z181" s="10" t="b">
        <f aca="false">C181="Duplicate"</f>
        <v>0</v>
      </c>
      <c r="AA181" s="10" t="b">
        <f aca="false">C181=""</f>
        <v>0</v>
      </c>
      <c r="AB181" s="2" t="n">
        <f aca="false">IF(P181+Q181&gt;0,ROUND(P181/(P181+Q181)*100,0),"")</f>
        <v>0</v>
      </c>
      <c r="AC181" s="2" t="n">
        <f aca="false">IF(P181+Q181&gt;0,ROUND(E181-P181/(P181+Q181)*100,0),"")</f>
        <v>10</v>
      </c>
      <c r="AD181" s="10" t="b">
        <f aca="false">IF(AC181="",FALSE(),ABS(AC181)&gt;Assumptions!$B$41)</f>
        <v>0</v>
      </c>
      <c r="AE181" s="2" t="str">
        <f aca="false">IF(X181,"Low confidence (&lt;=2 orders); ","")&amp;IF(Y181,"Single-month history; ","")&amp;IF(Z181,"CRITICAL: Duplicate status; ","")&amp;IF(AA181,"Missing status; ","")&amp;IF(AD181,"Broker % vs counts gap "&amp;TEXT(AC181,"+0;-0")&amp;"pts; ","")</f>
        <v>Low confidence (&lt;=2 orders); Single-month history; </v>
      </c>
      <c r="AF181" s="2" t="str">
        <f aca="false">IF(AND(K181=0,L181&gt;0),IF(D181&lt;=Assumptions!$B$47,"New Customer","Returned Customer"),"Existing Customer")</f>
        <v>Returned Customer</v>
      </c>
      <c r="AG181" s="10" t="b">
        <f aca="false">AND(T181="1. Migration Candidate",J181="Key")</f>
        <v>0</v>
      </c>
      <c r="AH181" s="10" t="b">
        <f aca="false">IF(AND(K181&gt;0,L181&gt;0),OR(ABS(M181-Assumptions!$B$36)&lt;=Assumptions!$B$46,ABS(M181+Assumptions!$B$36)&lt;=Assumptions!$B$46),FALSE())</f>
        <v>0</v>
      </c>
      <c r="AI181" s="9" t="n">
        <f aca="false">INDEX('Commercial View'!$L$2:$L$301,MATCH($A181,'Commercial View'!$A$2:$A$301,0))+INDEX('Commercial View'!$M$2:$M$301,MATCH($A181,'Commercial View'!$A$2:$A$301,0))</f>
        <v>152</v>
      </c>
      <c r="AJ181" s="2" t="str">
        <f aca="false">IF(AND(K181=0,AI181=0),"No activity ex-Feb",IF(AI181=0,"Lapsed",IF(K181=0,"H2 Active / No H1 GMV",IF((AI181/2)/(K181/3)-1&gt;=Assumptions!$B$36,"Growing",IF((AI181/2)/(K181/3)-1&lt;-Assumptions!$B$36,"Declining","Stable")))))</f>
        <v>H2 Active / No H1 GMV</v>
      </c>
      <c r="AK181" s="10" t="b">
        <f aca="false">IF(OR(N181="Growing",N181="Stable"),"Healthy",N181)&lt;&gt;IF(OR(AJ181="Growing",AJ181="Stable"),"Healthy",AJ181)</f>
        <v>0</v>
      </c>
      <c r="AL181" s="2" t="str">
        <f aca="false">IF(N181="Lapsed",IF(OR(O181&lt;=Assumptions!$B$48,W181&lt;=Assumptions!$B$49),"One-Off / Insufficient History — Verify","Established Buyer Lapsed"),"N/A")</f>
        <v>N/A</v>
      </c>
      <c r="AM181" s="2" t="n">
        <f aca="false">INDEX('Scored Accounts'!$M$2:$M$301,MATCH($A181,'Scored Accounts'!$A$2:$A$301,0))</f>
        <v>0</v>
      </c>
      <c r="AN181" s="2" t="n">
        <f aca="false">IF((P181/(P181+Q181)*100)&lt;=Assumptions!$B$13,0,IF((P181/(P181+Q181)*100)&lt;Assumptions!$B$14,25,IF((P181/(P181+Q181)*100)&lt;Assumptions!$B$15,50,IF((P181/(P181+Q181)*100)&lt;Assumptions!$B$16,75,100))))</f>
        <v>0</v>
      </c>
      <c r="AO181" s="21" t="n">
        <f aca="false">IF((P181/(P181+Q181)*100)&lt;=Assumptions!$B$8,0,AN181*Assumptions!$B$4+INDEX('Scored Accounts'!$N$2:$N$301,MATCH($A181,'Scored Accounts'!$A$2:$A$301,0))*Assumptions!$B$5+INDEX('Scored Accounts'!$O$2:$O$301,MATCH($A181,'Scored Accounts'!$A$2:$A$301,0))*Assumptions!$B$6)</f>
        <v>0</v>
      </c>
      <c r="AP181" s="2" t="str">
        <f aca="false">IF(AO181&gt;=Assumptions!$B$9,"High",IF(AO181&gt;=Assumptions!$B$10,"Medium","Low"))</f>
        <v>Low</v>
      </c>
      <c r="AQ181" s="10" t="b">
        <f aca="false">OR((E181&lt;=Assumptions!$B$8)&lt;&gt;((P181/(P181+Q181)*100)&lt;=Assumptions!$B$8),AM181&lt;&gt;AN181,G181&lt;&gt;AP181)</f>
        <v>0</v>
      </c>
      <c r="AR181" s="2" t="str">
        <f aca="false">IF(AP181&lt;&gt;"Low","Broker-Reliant",IF(B181="Account Managed","AM-Owned / Self-Serving","Self-Serve"))</f>
        <v>AM-Owned / Self-Serving</v>
      </c>
      <c r="AS181" s="2" t="str">
        <f aca="false">IF(AR181="Broker-Reliant",IF(J181="Tail","5. Cost-to-Serve / Low-Touch",IF(OR(N181="Growing",N181="Stable"),"1. Migration Candidate",IF(N181="Declining","2. Protect / Retain First",IF(N181="Lapsed","3. Win-Back / Verify",IF(N181="H2 Active / No H1 GMV","4. Establish / Re-establish / Observe","UNASSIGNED"))))),IF(AP181="Low",IF(J181="Tail","9. Long-Tail Automated Nurture",IF(OR(N181="Growing",N181="Stable"),"6. Growth Opportunity",IF(N181="H2 Active / No H1 GMV","7. Onboard / Re-engage / Learn",IF(OR(N181="Declining",N181="Lapsed"),"8. Retention / Reactivation","UNASSIGNED")))),"UNASSIGNED"))</f>
        <v>9. Long-Tail Automated Nurture</v>
      </c>
      <c r="AT181" s="10" t="b">
        <f aca="false">AS181&lt;&gt;T181</f>
        <v>0</v>
      </c>
      <c r="AU181" s="2" t="str">
        <f aca="false">IF(NOT(U181),"Not Eligible",IF(OR(AQ181,AH181,AK181,NOT(AND(W181&gt;=Assumptions!$B$83,O181&gt;=Assumptions!$B$84))),"Manual Review","Ready"))</f>
        <v>Not Eligible</v>
      </c>
      <c r="AV181" s="2" t="str">
        <f aca="false">IF(AG181,"Key account - human sign-off required; ","")&amp;IF(AH181,"Borderline momentum; ","")&amp;IF(AK181,"February-sensitive ("&amp;N181&amp;" -&gt; "&amp;AJ181&amp;"); ","")&amp;IF(AL181="One-Off / Insufficient History — Verify","Lapsed on thin history - verify; ","")&amp;IF(AQ181,"Material broker % inconsistency (implied tier "&amp;AP181&amp;"); ","")&amp;IF(AT181,"Implied broker % would move segment to "&amp;AS181&amp;"; ","")</f>
        <v/>
      </c>
      <c r="AW181" s="10" t="b">
        <f aca="false">AND(G181="Low",J181="Tail",I181&gt;=Assumptions!$B$64,O181&gt;=Assumptions!$B$65,OR(N181="Growing",N181="Stable",AND(N181="H2 Active / No H1 GMV",W181&gt;=2)),OR(R181&gt;=Assumptions!$B$66,S181&gt;=Assumptions!$B$67))</f>
        <v>0</v>
      </c>
    </row>
    <row r="182" customFormat="false" ht="15" hidden="false" customHeight="false" outlineLevel="0" collapsed="false">
      <c r="A182" s="2" t="s">
        <v>906</v>
      </c>
      <c r="B182" s="2" t="s">
        <v>1571</v>
      </c>
      <c r="C182" s="2"/>
      <c r="D182" s="2" t="n">
        <v>6</v>
      </c>
      <c r="E182" s="2" t="n">
        <v>18</v>
      </c>
      <c r="F182" s="21" t="n">
        <f aca="false">INDEX('Scored Accounts'!$Q$2:$Q$301,MATCH($A182,'Scored Accounts'!$A$2:$A$301,0))</f>
        <v>0</v>
      </c>
      <c r="G182" s="2" t="str">
        <f aca="false">INDEX('Scored Accounts'!$R$2:$R$301,MATCH($A182,'Scored Accounts'!$A$2:$A$301,0))</f>
        <v>Low</v>
      </c>
      <c r="H182" s="2" t="str">
        <f aca="false">IF(OR(G182="High",G182="Medium"),"Broker-Reliant",IF(AND(G182="Low",B182="Account Managed"),"AM-Owned / Self-Serving",IF(AND(G182="Low",B182="Self Serve"),"Self-Serve","UNASSIGNED")))</f>
        <v>AM-Owned / Self-Serving</v>
      </c>
      <c r="I182" s="9" t="n">
        <v>149</v>
      </c>
      <c r="J182" s="2" t="str">
        <f aca="false">IF(I182&gt;=Assumptions!$B$35,"Key",IF(I182&gt;=Assumptions!$B$34,"Core","Tail"))</f>
        <v>Tail</v>
      </c>
      <c r="K182" s="9" t="n">
        <f aca="false">INDEX('Commercial View'!$R$2:$R$301,MATCH($A182,'Commercial View'!$A$2:$A$301,0))</f>
        <v>149</v>
      </c>
      <c r="L182" s="9" t="n">
        <f aca="false">INDEX('Commercial View'!$S$2:$S$301,MATCH($A182,'Commercial View'!$A$2:$A$301,0))</f>
        <v>0</v>
      </c>
      <c r="M182" s="17" t="n">
        <f aca="false">INDEX('Commercial View'!$T$2:$T$301,MATCH($A182,'Commercial View'!$A$2:$A$301,0))</f>
        <v>-1</v>
      </c>
      <c r="N182" s="2" t="str">
        <f aca="false">INDEX('Commercial View'!$U$2:$U$301,MATCH($A182,'Commercial View'!$A$2:$A$301,0))</f>
        <v>Lapsed</v>
      </c>
      <c r="O182" s="2" t="n">
        <v>1</v>
      </c>
      <c r="P182" s="2" t="n">
        <v>0</v>
      </c>
      <c r="Q182" s="2" t="n">
        <v>1</v>
      </c>
      <c r="R182" s="2" t="n">
        <v>3</v>
      </c>
      <c r="S182" s="2" t="n">
        <v>0</v>
      </c>
      <c r="T182" s="2" t="str">
        <f aca="false">IF(H182="Broker-Reliant",IF(J182="Tail","5. Cost-to-Serve / Low-Touch",IF(OR(N182="Growing",N182="Stable"),"1. Migration Candidate",IF(N182="Declining","2. Protect / Retain First",IF(N182="Lapsed","3. Win-Back / Verify",IF(N182="H2 Active / No H1 GMV","4. Establish / Re-establish / Observe","UNASSIGNED"))))),IF(G182="Low",IF(J182="Tail","9. Long-Tail Automated Nurture",IF(OR(N182="Growing",N182="Stable"),"6. Growth Opportunity",IF(N182="H2 Active / No H1 GMV","7. Onboard / Re-engage / Learn",IF(OR(N182="Declining",N182="Lapsed"),"8. Retention / Reactivation","UNASSIGNED")))),"UNASSIGNED"))</f>
        <v>9. Long-Tail Automated Nurture</v>
      </c>
      <c r="U182" s="10" t="b">
        <f aca="false">AND(T182="1. Migration Candidate",J182="Core",O182&gt;=Assumptions!$B$39,Q182&gt;=Assumptions!$B$40,NOT(Z182))</f>
        <v>0</v>
      </c>
      <c r="V182" s="2" t="n">
        <f aca="false">(AND(H182="Broker-Reliant",J182&lt;&gt;"Tail",OR(N182="Growing",N182="Stable")))*1+(AND(H182="Broker-Reliant",J182&lt;&gt;"Tail",N182="Declining"))*1+(AND(H182="Broker-Reliant",J182&lt;&gt;"Tail",N182="Lapsed"))*1+(AND(H182="Broker-Reliant",J182&lt;&gt;"Tail",N182="H2 Active / No H1 GMV"))*1+(AND(H182="Broker-Reliant",J182="Tail"))*1+(AND(G182="Low",J182&lt;&gt;"Tail",OR(N182="Growing",N182="Stable")))*1+(AND(G182="Low",J182&lt;&gt;"Tail",N182="H2 Active / No H1 GMV"))*1+(AND(G182="Low",J182&lt;&gt;"Tail",OR(N182="Declining",N182="Lapsed")))*1+(AND(G182="Low",J182="Tail"))*1</f>
        <v>1</v>
      </c>
      <c r="W182" s="2" t="n">
        <f aca="false">INDEX('Commercial View'!$V$2:$V$301,MATCH($A182,'Commercial View'!$A$2:$A$301,0))</f>
        <v>1</v>
      </c>
      <c r="X182" s="10" t="b">
        <f aca="false">O182&lt;=Assumptions!$B$30</f>
        <v>1</v>
      </c>
      <c r="Y182" s="10" t="b">
        <f aca="false">W182&lt;=1</f>
        <v>1</v>
      </c>
      <c r="Z182" s="10" t="b">
        <f aca="false">C182="Duplicate"</f>
        <v>0</v>
      </c>
      <c r="AA182" s="10" t="b">
        <f aca="false">C182=""</f>
        <v>1</v>
      </c>
      <c r="AB182" s="2" t="n">
        <f aca="false">IF(P182+Q182&gt;0,ROUND(P182/(P182+Q182)*100,0),"")</f>
        <v>0</v>
      </c>
      <c r="AC182" s="2" t="n">
        <f aca="false">IF(P182+Q182&gt;0,ROUND(E182-P182/(P182+Q182)*100,0),"")</f>
        <v>18</v>
      </c>
      <c r="AD182" s="10" t="b">
        <f aca="false">IF(AC182="",FALSE(),ABS(AC182)&gt;Assumptions!$B$41)</f>
        <v>1</v>
      </c>
      <c r="AE182" s="2" t="str">
        <f aca="false">IF(X182,"Low confidence (&lt;=2 orders); ","")&amp;IF(Y182,"Single-month history; ","")&amp;IF(Z182,"CRITICAL: Duplicate status; ","")&amp;IF(AA182,"Missing status; ","")&amp;IF(AD182,"Broker % vs counts gap "&amp;TEXT(AC182,"+0;-0")&amp;"pts; ","")</f>
        <v>Low confidence (&lt;=2 orders); Single-month history; Missing status; Broker % vs counts gap +18pts; </v>
      </c>
      <c r="AF182" s="2" t="str">
        <f aca="false">IF(AND(K182=0,L182&gt;0),IF(D182&lt;=Assumptions!$B$47,"New Customer","Returned Customer"),"Existing Customer")</f>
        <v>Existing Customer</v>
      </c>
      <c r="AG182" s="10" t="b">
        <f aca="false">AND(T182="1. Migration Candidate",J182="Key")</f>
        <v>0</v>
      </c>
      <c r="AH182" s="10" t="b">
        <f aca="false">IF(AND(K182&gt;0,L182&gt;0),OR(ABS(M182-Assumptions!$B$36)&lt;=Assumptions!$B$46,ABS(M182+Assumptions!$B$36)&lt;=Assumptions!$B$46),FALSE())</f>
        <v>0</v>
      </c>
      <c r="AI182" s="9" t="n">
        <f aca="false">INDEX('Commercial View'!$L$2:$L$301,MATCH($A182,'Commercial View'!$A$2:$A$301,0))+INDEX('Commercial View'!$M$2:$M$301,MATCH($A182,'Commercial View'!$A$2:$A$301,0))</f>
        <v>0</v>
      </c>
      <c r="AJ182" s="2" t="str">
        <f aca="false">IF(AND(K182=0,AI182=0),"No activity ex-Feb",IF(AI182=0,"Lapsed",IF(K182=0,"H2 Active / No H1 GMV",IF((AI182/2)/(K182/3)-1&gt;=Assumptions!$B$36,"Growing",IF((AI182/2)/(K182/3)-1&lt;-Assumptions!$B$36,"Declining","Stable")))))</f>
        <v>Lapsed</v>
      </c>
      <c r="AK182" s="10" t="b">
        <f aca="false">IF(OR(N182="Growing",N182="Stable"),"Healthy",N182)&lt;&gt;IF(OR(AJ182="Growing",AJ182="Stable"),"Healthy",AJ182)</f>
        <v>0</v>
      </c>
      <c r="AL182" s="2" t="str">
        <f aca="false">IF(N182="Lapsed",IF(OR(O182&lt;=Assumptions!$B$48,W182&lt;=Assumptions!$B$49),"One-Off / Insufficient History — Verify","Established Buyer Lapsed"),"N/A")</f>
        <v>One-Off / Insufficient History — Verify</v>
      </c>
      <c r="AM182" s="2" t="n">
        <f aca="false">INDEX('Scored Accounts'!$M$2:$M$301,MATCH($A182,'Scored Accounts'!$A$2:$A$301,0))</f>
        <v>0</v>
      </c>
      <c r="AN182" s="2" t="n">
        <f aca="false">IF((P182/(P182+Q182)*100)&lt;=Assumptions!$B$13,0,IF((P182/(P182+Q182)*100)&lt;Assumptions!$B$14,25,IF((P182/(P182+Q182)*100)&lt;Assumptions!$B$15,50,IF((P182/(P182+Q182)*100)&lt;Assumptions!$B$16,75,100))))</f>
        <v>0</v>
      </c>
      <c r="AO182" s="21" t="n">
        <f aca="false">IF((P182/(P182+Q182)*100)&lt;=Assumptions!$B$8,0,AN182*Assumptions!$B$4+INDEX('Scored Accounts'!$N$2:$N$301,MATCH($A182,'Scored Accounts'!$A$2:$A$301,0))*Assumptions!$B$5+INDEX('Scored Accounts'!$O$2:$O$301,MATCH($A182,'Scored Accounts'!$A$2:$A$301,0))*Assumptions!$B$6)</f>
        <v>0</v>
      </c>
      <c r="AP182" s="2" t="str">
        <f aca="false">IF(AO182&gt;=Assumptions!$B$9,"High",IF(AO182&gt;=Assumptions!$B$10,"Medium","Low"))</f>
        <v>Low</v>
      </c>
      <c r="AQ182" s="10" t="b">
        <f aca="false">OR((E182&lt;=Assumptions!$B$8)&lt;&gt;((P182/(P182+Q182)*100)&lt;=Assumptions!$B$8),AM182&lt;&gt;AN182,G182&lt;&gt;AP182)</f>
        <v>0</v>
      </c>
      <c r="AR182" s="2" t="str">
        <f aca="false">IF(AP182&lt;&gt;"Low","Broker-Reliant",IF(B182="Account Managed","AM-Owned / Self-Serving","Self-Serve"))</f>
        <v>AM-Owned / Self-Serving</v>
      </c>
      <c r="AS182" s="2" t="str">
        <f aca="false">IF(AR182="Broker-Reliant",IF(J182="Tail","5. Cost-to-Serve / Low-Touch",IF(OR(N182="Growing",N182="Stable"),"1. Migration Candidate",IF(N182="Declining","2. Protect / Retain First",IF(N182="Lapsed","3. Win-Back / Verify",IF(N182="H2 Active / No H1 GMV","4. Establish / Re-establish / Observe","UNASSIGNED"))))),IF(AP182="Low",IF(J182="Tail","9. Long-Tail Automated Nurture",IF(OR(N182="Growing",N182="Stable"),"6. Growth Opportunity",IF(N182="H2 Active / No H1 GMV","7. Onboard / Re-engage / Learn",IF(OR(N182="Declining",N182="Lapsed"),"8. Retention / Reactivation","UNASSIGNED")))),"UNASSIGNED"))</f>
        <v>9. Long-Tail Automated Nurture</v>
      </c>
      <c r="AT182" s="10" t="b">
        <f aca="false">AS182&lt;&gt;T182</f>
        <v>0</v>
      </c>
      <c r="AU182" s="2" t="str">
        <f aca="false">IF(NOT(U182),"Not Eligible",IF(OR(AQ182,AH182,AK182,NOT(AND(W182&gt;=Assumptions!$B$83,O182&gt;=Assumptions!$B$84))),"Manual Review","Ready"))</f>
        <v>Not Eligible</v>
      </c>
      <c r="AV182" s="2" t="str">
        <f aca="false">IF(AG182,"Key account - human sign-off required; ","")&amp;IF(AH182,"Borderline momentum; ","")&amp;IF(AK182,"February-sensitive ("&amp;N182&amp;" -&gt; "&amp;AJ182&amp;"); ","")&amp;IF(AL182="One-Off / Insufficient History — Verify","Lapsed on thin history - verify; ","")&amp;IF(AQ182,"Material broker % inconsistency (implied tier "&amp;AP182&amp;"); ","")&amp;IF(AT182,"Implied broker % would move segment to "&amp;AS182&amp;"; ","")</f>
        <v>Lapsed on thin history - verify; </v>
      </c>
      <c r="AW182" s="10" t="b">
        <f aca="false">AND(G182="Low",J182="Tail",I182&gt;=Assumptions!$B$64,O182&gt;=Assumptions!$B$65,OR(N182="Growing",N182="Stable",AND(N182="H2 Active / No H1 GMV",W182&gt;=2)),OR(R182&gt;=Assumptions!$B$66,S182&gt;=Assumptions!$B$67))</f>
        <v>0</v>
      </c>
    </row>
    <row r="183" customFormat="false" ht="15" hidden="false" customHeight="false" outlineLevel="0" collapsed="false">
      <c r="A183" s="2" t="s">
        <v>910</v>
      </c>
      <c r="B183" s="2" t="s">
        <v>1571</v>
      </c>
      <c r="C183" s="2" t="s">
        <v>1572</v>
      </c>
      <c r="D183" s="2" t="n">
        <v>6</v>
      </c>
      <c r="E183" s="2" t="n">
        <v>20</v>
      </c>
      <c r="F183" s="21" t="n">
        <f aca="false">INDEX('Scored Accounts'!$Q$2:$Q$301,MATCH($A183,'Scored Accounts'!$A$2:$A$301,0))</f>
        <v>0</v>
      </c>
      <c r="G183" s="2" t="str">
        <f aca="false">INDEX('Scored Accounts'!$R$2:$R$301,MATCH($A183,'Scored Accounts'!$A$2:$A$301,0))</f>
        <v>Low</v>
      </c>
      <c r="H183" s="2" t="str">
        <f aca="false">IF(OR(G183="High",G183="Medium"),"Broker-Reliant",IF(AND(G183="Low",B183="Account Managed"),"AM-Owned / Self-Serving",IF(AND(G183="Low",B183="Self Serve"),"Self-Serve","UNASSIGNED")))</f>
        <v>AM-Owned / Self-Serving</v>
      </c>
      <c r="I183" s="9" t="n">
        <v>146</v>
      </c>
      <c r="J183" s="2" t="str">
        <f aca="false">IF(I183&gt;=Assumptions!$B$35,"Key",IF(I183&gt;=Assumptions!$B$34,"Core","Tail"))</f>
        <v>Tail</v>
      </c>
      <c r="K183" s="9" t="n">
        <f aca="false">INDEX('Commercial View'!$R$2:$R$301,MATCH($A183,'Commercial View'!$A$2:$A$301,0))</f>
        <v>146</v>
      </c>
      <c r="L183" s="9" t="n">
        <f aca="false">INDEX('Commercial View'!$S$2:$S$301,MATCH($A183,'Commercial View'!$A$2:$A$301,0))</f>
        <v>0</v>
      </c>
      <c r="M183" s="17" t="n">
        <f aca="false">INDEX('Commercial View'!$T$2:$T$301,MATCH($A183,'Commercial View'!$A$2:$A$301,0))</f>
        <v>-1</v>
      </c>
      <c r="N183" s="2" t="str">
        <f aca="false">INDEX('Commercial View'!$U$2:$U$301,MATCH($A183,'Commercial View'!$A$2:$A$301,0))</f>
        <v>Lapsed</v>
      </c>
      <c r="O183" s="2" t="n">
        <v>1</v>
      </c>
      <c r="P183" s="2" t="n">
        <v>0</v>
      </c>
      <c r="Q183" s="2" t="n">
        <v>1</v>
      </c>
      <c r="R183" s="2" t="n">
        <v>15</v>
      </c>
      <c r="S183" s="2" t="n">
        <v>0</v>
      </c>
      <c r="T183" s="2" t="str">
        <f aca="false">IF(H183="Broker-Reliant",IF(J183="Tail","5. Cost-to-Serve / Low-Touch",IF(OR(N183="Growing",N183="Stable"),"1. Migration Candidate",IF(N183="Declining","2. Protect / Retain First",IF(N183="Lapsed","3. Win-Back / Verify",IF(N183="H2 Active / No H1 GMV","4. Establish / Re-establish / Observe","UNASSIGNED"))))),IF(G183="Low",IF(J183="Tail","9. Long-Tail Automated Nurture",IF(OR(N183="Growing",N183="Stable"),"6. Growth Opportunity",IF(N183="H2 Active / No H1 GMV","7. Onboard / Re-engage / Learn",IF(OR(N183="Declining",N183="Lapsed"),"8. Retention / Reactivation","UNASSIGNED")))),"UNASSIGNED"))</f>
        <v>9. Long-Tail Automated Nurture</v>
      </c>
      <c r="U183" s="10" t="b">
        <f aca="false">AND(T183="1. Migration Candidate",J183="Core",O183&gt;=Assumptions!$B$39,Q183&gt;=Assumptions!$B$40,NOT(Z183))</f>
        <v>0</v>
      </c>
      <c r="V183" s="2" t="n">
        <f aca="false">(AND(H183="Broker-Reliant",J183&lt;&gt;"Tail",OR(N183="Growing",N183="Stable")))*1+(AND(H183="Broker-Reliant",J183&lt;&gt;"Tail",N183="Declining"))*1+(AND(H183="Broker-Reliant",J183&lt;&gt;"Tail",N183="Lapsed"))*1+(AND(H183="Broker-Reliant",J183&lt;&gt;"Tail",N183="H2 Active / No H1 GMV"))*1+(AND(H183="Broker-Reliant",J183="Tail"))*1+(AND(G183="Low",J183&lt;&gt;"Tail",OR(N183="Growing",N183="Stable")))*1+(AND(G183="Low",J183&lt;&gt;"Tail",N183="H2 Active / No H1 GMV"))*1+(AND(G183="Low",J183&lt;&gt;"Tail",OR(N183="Declining",N183="Lapsed")))*1+(AND(G183="Low",J183="Tail"))*1</f>
        <v>1</v>
      </c>
      <c r="W183" s="2" t="n">
        <f aca="false">INDEX('Commercial View'!$V$2:$V$301,MATCH($A183,'Commercial View'!$A$2:$A$301,0))</f>
        <v>1</v>
      </c>
      <c r="X183" s="10" t="b">
        <f aca="false">O183&lt;=Assumptions!$B$30</f>
        <v>1</v>
      </c>
      <c r="Y183" s="10" t="b">
        <f aca="false">W183&lt;=1</f>
        <v>1</v>
      </c>
      <c r="Z183" s="10" t="b">
        <f aca="false">C183="Duplicate"</f>
        <v>0</v>
      </c>
      <c r="AA183" s="10" t="b">
        <f aca="false">C183=""</f>
        <v>0</v>
      </c>
      <c r="AB183" s="2" t="n">
        <f aca="false">IF(P183+Q183&gt;0,ROUND(P183/(P183+Q183)*100,0),"")</f>
        <v>0</v>
      </c>
      <c r="AC183" s="2" t="n">
        <f aca="false">IF(P183+Q183&gt;0,ROUND(E183-P183/(P183+Q183)*100,0),"")</f>
        <v>20</v>
      </c>
      <c r="AD183" s="10" t="b">
        <f aca="false">IF(AC183="",FALSE(),ABS(AC183)&gt;Assumptions!$B$41)</f>
        <v>1</v>
      </c>
      <c r="AE183" s="2" t="str">
        <f aca="false">IF(X183,"Low confidence (&lt;=2 orders); ","")&amp;IF(Y183,"Single-month history; ","")&amp;IF(Z183,"CRITICAL: Duplicate status; ","")&amp;IF(AA183,"Missing status; ","")&amp;IF(AD183,"Broker % vs counts gap "&amp;TEXT(AC183,"+0;-0")&amp;"pts; ","")</f>
        <v>Low confidence (&lt;=2 orders); Single-month history; Broker % vs counts gap +20pts; </v>
      </c>
      <c r="AF183" s="2" t="str">
        <f aca="false">IF(AND(K183=0,L183&gt;0),IF(D183&lt;=Assumptions!$B$47,"New Customer","Returned Customer"),"Existing Customer")</f>
        <v>Existing Customer</v>
      </c>
      <c r="AG183" s="10" t="b">
        <f aca="false">AND(T183="1. Migration Candidate",J183="Key")</f>
        <v>0</v>
      </c>
      <c r="AH183" s="10" t="b">
        <f aca="false">IF(AND(K183&gt;0,L183&gt;0),OR(ABS(M183-Assumptions!$B$36)&lt;=Assumptions!$B$46,ABS(M183+Assumptions!$B$36)&lt;=Assumptions!$B$46),FALSE())</f>
        <v>0</v>
      </c>
      <c r="AI183" s="9" t="n">
        <f aca="false">INDEX('Commercial View'!$L$2:$L$301,MATCH($A183,'Commercial View'!$A$2:$A$301,0))+INDEX('Commercial View'!$M$2:$M$301,MATCH($A183,'Commercial View'!$A$2:$A$301,0))</f>
        <v>0</v>
      </c>
      <c r="AJ183" s="2" t="str">
        <f aca="false">IF(AND(K183=0,AI183=0),"No activity ex-Feb",IF(AI183=0,"Lapsed",IF(K183=0,"H2 Active / No H1 GMV",IF((AI183/2)/(K183/3)-1&gt;=Assumptions!$B$36,"Growing",IF((AI183/2)/(K183/3)-1&lt;-Assumptions!$B$36,"Declining","Stable")))))</f>
        <v>Lapsed</v>
      </c>
      <c r="AK183" s="10" t="b">
        <f aca="false">IF(OR(N183="Growing",N183="Stable"),"Healthy",N183)&lt;&gt;IF(OR(AJ183="Growing",AJ183="Stable"),"Healthy",AJ183)</f>
        <v>0</v>
      </c>
      <c r="AL183" s="2" t="str">
        <f aca="false">IF(N183="Lapsed",IF(OR(O183&lt;=Assumptions!$B$48,W183&lt;=Assumptions!$B$49),"One-Off / Insufficient History — Verify","Established Buyer Lapsed"),"N/A")</f>
        <v>One-Off / Insufficient History — Verify</v>
      </c>
      <c r="AM183" s="2" t="n">
        <f aca="false">INDEX('Scored Accounts'!$M$2:$M$301,MATCH($A183,'Scored Accounts'!$A$2:$A$301,0))</f>
        <v>0</v>
      </c>
      <c r="AN183" s="2" t="n">
        <f aca="false">IF((P183/(P183+Q183)*100)&lt;=Assumptions!$B$13,0,IF((P183/(P183+Q183)*100)&lt;Assumptions!$B$14,25,IF((P183/(P183+Q183)*100)&lt;Assumptions!$B$15,50,IF((P183/(P183+Q183)*100)&lt;Assumptions!$B$16,75,100))))</f>
        <v>0</v>
      </c>
      <c r="AO183" s="21" t="n">
        <f aca="false">IF((P183/(P183+Q183)*100)&lt;=Assumptions!$B$8,0,AN183*Assumptions!$B$4+INDEX('Scored Accounts'!$N$2:$N$301,MATCH($A183,'Scored Accounts'!$A$2:$A$301,0))*Assumptions!$B$5+INDEX('Scored Accounts'!$O$2:$O$301,MATCH($A183,'Scored Accounts'!$A$2:$A$301,0))*Assumptions!$B$6)</f>
        <v>0</v>
      </c>
      <c r="AP183" s="2" t="str">
        <f aca="false">IF(AO183&gt;=Assumptions!$B$9,"High",IF(AO183&gt;=Assumptions!$B$10,"Medium","Low"))</f>
        <v>Low</v>
      </c>
      <c r="AQ183" s="10" t="b">
        <f aca="false">OR((E183&lt;=Assumptions!$B$8)&lt;&gt;((P183/(P183+Q183)*100)&lt;=Assumptions!$B$8),AM183&lt;&gt;AN183,G183&lt;&gt;AP183)</f>
        <v>0</v>
      </c>
      <c r="AR183" s="2" t="str">
        <f aca="false">IF(AP183&lt;&gt;"Low","Broker-Reliant",IF(B183="Account Managed","AM-Owned / Self-Serving","Self-Serve"))</f>
        <v>AM-Owned / Self-Serving</v>
      </c>
      <c r="AS183" s="2" t="str">
        <f aca="false">IF(AR183="Broker-Reliant",IF(J183="Tail","5. Cost-to-Serve / Low-Touch",IF(OR(N183="Growing",N183="Stable"),"1. Migration Candidate",IF(N183="Declining","2. Protect / Retain First",IF(N183="Lapsed","3. Win-Back / Verify",IF(N183="H2 Active / No H1 GMV","4. Establish / Re-establish / Observe","UNASSIGNED"))))),IF(AP183="Low",IF(J183="Tail","9. Long-Tail Automated Nurture",IF(OR(N183="Growing",N183="Stable"),"6. Growth Opportunity",IF(N183="H2 Active / No H1 GMV","7. Onboard / Re-engage / Learn",IF(OR(N183="Declining",N183="Lapsed"),"8. Retention / Reactivation","UNASSIGNED")))),"UNASSIGNED"))</f>
        <v>9. Long-Tail Automated Nurture</v>
      </c>
      <c r="AT183" s="10" t="b">
        <f aca="false">AS183&lt;&gt;T183</f>
        <v>0</v>
      </c>
      <c r="AU183" s="2" t="str">
        <f aca="false">IF(NOT(U183),"Not Eligible",IF(OR(AQ183,AH183,AK183,NOT(AND(W183&gt;=Assumptions!$B$83,O183&gt;=Assumptions!$B$84))),"Manual Review","Ready"))</f>
        <v>Not Eligible</v>
      </c>
      <c r="AV183" s="2" t="str">
        <f aca="false">IF(AG183,"Key account - human sign-off required; ","")&amp;IF(AH183,"Borderline momentum; ","")&amp;IF(AK183,"February-sensitive ("&amp;N183&amp;" -&gt; "&amp;AJ183&amp;"); ","")&amp;IF(AL183="One-Off / Insufficient History — Verify","Lapsed on thin history - verify; ","")&amp;IF(AQ183,"Material broker % inconsistency (implied tier "&amp;AP183&amp;"); ","")&amp;IF(AT183,"Implied broker % would move segment to "&amp;AS183&amp;"; ","")</f>
        <v>Lapsed on thin history - verify; </v>
      </c>
      <c r="AW183" s="10" t="b">
        <f aca="false">AND(G183="Low",J183="Tail",I183&gt;=Assumptions!$B$64,O183&gt;=Assumptions!$B$65,OR(N183="Growing",N183="Stable",AND(N183="H2 Active / No H1 GMV",W183&gt;=2)),OR(R183&gt;=Assumptions!$B$66,S183&gt;=Assumptions!$B$67))</f>
        <v>0</v>
      </c>
    </row>
    <row r="184" customFormat="false" ht="15" hidden="false" customHeight="false" outlineLevel="0" collapsed="false">
      <c r="A184" s="2" t="s">
        <v>912</v>
      </c>
      <c r="B184" s="2" t="s">
        <v>1571</v>
      </c>
      <c r="C184" s="2"/>
      <c r="D184" s="2" t="n">
        <v>6</v>
      </c>
      <c r="E184" s="2" t="n">
        <v>2</v>
      </c>
      <c r="F184" s="21" t="n">
        <f aca="false">INDEX('Scored Accounts'!$Q$2:$Q$301,MATCH($A184,'Scored Accounts'!$A$2:$A$301,0))</f>
        <v>0</v>
      </c>
      <c r="G184" s="2" t="str">
        <f aca="false">INDEX('Scored Accounts'!$R$2:$R$301,MATCH($A184,'Scored Accounts'!$A$2:$A$301,0))</f>
        <v>Low</v>
      </c>
      <c r="H184" s="2" t="str">
        <f aca="false">IF(OR(G184="High",G184="Medium"),"Broker-Reliant",IF(AND(G184="Low",B184="Account Managed"),"AM-Owned / Self-Serving",IF(AND(G184="Low",B184="Self Serve"),"Self-Serve","UNASSIGNED")))</f>
        <v>AM-Owned / Self-Serving</v>
      </c>
      <c r="I184" s="9" t="n">
        <v>145</v>
      </c>
      <c r="J184" s="2" t="str">
        <f aca="false">IF(I184&gt;=Assumptions!$B$35,"Key",IF(I184&gt;=Assumptions!$B$34,"Core","Tail"))</f>
        <v>Tail</v>
      </c>
      <c r="K184" s="9" t="n">
        <f aca="false">INDEX('Commercial View'!$R$2:$R$301,MATCH($A184,'Commercial View'!$A$2:$A$301,0))</f>
        <v>145</v>
      </c>
      <c r="L184" s="9" t="n">
        <f aca="false">INDEX('Commercial View'!$S$2:$S$301,MATCH($A184,'Commercial View'!$A$2:$A$301,0))</f>
        <v>0</v>
      </c>
      <c r="M184" s="17" t="n">
        <f aca="false">INDEX('Commercial View'!$T$2:$T$301,MATCH($A184,'Commercial View'!$A$2:$A$301,0))</f>
        <v>-1</v>
      </c>
      <c r="N184" s="2" t="str">
        <f aca="false">INDEX('Commercial View'!$U$2:$U$301,MATCH($A184,'Commercial View'!$A$2:$A$301,0))</f>
        <v>Lapsed</v>
      </c>
      <c r="O184" s="2" t="n">
        <v>1</v>
      </c>
      <c r="P184" s="2" t="n">
        <v>0</v>
      </c>
      <c r="Q184" s="2" t="n">
        <v>1</v>
      </c>
      <c r="R184" s="2" t="n">
        <v>2</v>
      </c>
      <c r="S184" s="2" t="n">
        <v>0</v>
      </c>
      <c r="T184" s="2" t="str">
        <f aca="false">IF(H184="Broker-Reliant",IF(J184="Tail","5. Cost-to-Serve / Low-Touch",IF(OR(N184="Growing",N184="Stable"),"1. Migration Candidate",IF(N184="Declining","2. Protect / Retain First",IF(N184="Lapsed","3. Win-Back / Verify",IF(N184="H2 Active / No H1 GMV","4. Establish / Re-establish / Observe","UNASSIGNED"))))),IF(G184="Low",IF(J184="Tail","9. Long-Tail Automated Nurture",IF(OR(N184="Growing",N184="Stable"),"6. Growth Opportunity",IF(N184="H2 Active / No H1 GMV","7. Onboard / Re-engage / Learn",IF(OR(N184="Declining",N184="Lapsed"),"8. Retention / Reactivation","UNASSIGNED")))),"UNASSIGNED"))</f>
        <v>9. Long-Tail Automated Nurture</v>
      </c>
      <c r="U184" s="10" t="b">
        <f aca="false">AND(T184="1. Migration Candidate",J184="Core",O184&gt;=Assumptions!$B$39,Q184&gt;=Assumptions!$B$40,NOT(Z184))</f>
        <v>0</v>
      </c>
      <c r="V184" s="2" t="n">
        <f aca="false">(AND(H184="Broker-Reliant",J184&lt;&gt;"Tail",OR(N184="Growing",N184="Stable")))*1+(AND(H184="Broker-Reliant",J184&lt;&gt;"Tail",N184="Declining"))*1+(AND(H184="Broker-Reliant",J184&lt;&gt;"Tail",N184="Lapsed"))*1+(AND(H184="Broker-Reliant",J184&lt;&gt;"Tail",N184="H2 Active / No H1 GMV"))*1+(AND(H184="Broker-Reliant",J184="Tail"))*1+(AND(G184="Low",J184&lt;&gt;"Tail",OR(N184="Growing",N184="Stable")))*1+(AND(G184="Low",J184&lt;&gt;"Tail",N184="H2 Active / No H1 GMV"))*1+(AND(G184="Low",J184&lt;&gt;"Tail",OR(N184="Declining",N184="Lapsed")))*1+(AND(G184="Low",J184="Tail"))*1</f>
        <v>1</v>
      </c>
      <c r="W184" s="2" t="n">
        <f aca="false">INDEX('Commercial View'!$V$2:$V$301,MATCH($A184,'Commercial View'!$A$2:$A$301,0))</f>
        <v>1</v>
      </c>
      <c r="X184" s="10" t="b">
        <f aca="false">O184&lt;=Assumptions!$B$30</f>
        <v>1</v>
      </c>
      <c r="Y184" s="10" t="b">
        <f aca="false">W184&lt;=1</f>
        <v>1</v>
      </c>
      <c r="Z184" s="10" t="b">
        <f aca="false">C184="Duplicate"</f>
        <v>0</v>
      </c>
      <c r="AA184" s="10" t="b">
        <f aca="false">C184=""</f>
        <v>1</v>
      </c>
      <c r="AB184" s="2" t="n">
        <f aca="false">IF(P184+Q184&gt;0,ROUND(P184/(P184+Q184)*100,0),"")</f>
        <v>0</v>
      </c>
      <c r="AC184" s="2" t="n">
        <f aca="false">IF(P184+Q184&gt;0,ROUND(E184-P184/(P184+Q184)*100,0),"")</f>
        <v>2</v>
      </c>
      <c r="AD184" s="10" t="b">
        <f aca="false">IF(AC184="",FALSE(),ABS(AC184)&gt;Assumptions!$B$41)</f>
        <v>0</v>
      </c>
      <c r="AE184" s="2" t="str">
        <f aca="false">IF(X184,"Low confidence (&lt;=2 orders); ","")&amp;IF(Y184,"Single-month history; ","")&amp;IF(Z184,"CRITICAL: Duplicate status; ","")&amp;IF(AA184,"Missing status; ","")&amp;IF(AD184,"Broker % vs counts gap "&amp;TEXT(AC184,"+0;-0")&amp;"pts; ","")</f>
        <v>Low confidence (&lt;=2 orders); Single-month history; Missing status; </v>
      </c>
      <c r="AF184" s="2" t="str">
        <f aca="false">IF(AND(K184=0,L184&gt;0),IF(D184&lt;=Assumptions!$B$47,"New Customer","Returned Customer"),"Existing Customer")</f>
        <v>Existing Customer</v>
      </c>
      <c r="AG184" s="10" t="b">
        <f aca="false">AND(T184="1. Migration Candidate",J184="Key")</f>
        <v>0</v>
      </c>
      <c r="AH184" s="10" t="b">
        <f aca="false">IF(AND(K184&gt;0,L184&gt;0),OR(ABS(M184-Assumptions!$B$36)&lt;=Assumptions!$B$46,ABS(M184+Assumptions!$B$36)&lt;=Assumptions!$B$46),FALSE())</f>
        <v>0</v>
      </c>
      <c r="AI184" s="9" t="n">
        <f aca="false">INDEX('Commercial View'!$L$2:$L$301,MATCH($A184,'Commercial View'!$A$2:$A$301,0))+INDEX('Commercial View'!$M$2:$M$301,MATCH($A184,'Commercial View'!$A$2:$A$301,0))</f>
        <v>0</v>
      </c>
      <c r="AJ184" s="2" t="str">
        <f aca="false">IF(AND(K184=0,AI184=0),"No activity ex-Feb",IF(AI184=0,"Lapsed",IF(K184=0,"H2 Active / No H1 GMV",IF((AI184/2)/(K184/3)-1&gt;=Assumptions!$B$36,"Growing",IF((AI184/2)/(K184/3)-1&lt;-Assumptions!$B$36,"Declining","Stable")))))</f>
        <v>Lapsed</v>
      </c>
      <c r="AK184" s="10" t="b">
        <f aca="false">IF(OR(N184="Growing",N184="Stable"),"Healthy",N184)&lt;&gt;IF(OR(AJ184="Growing",AJ184="Stable"),"Healthy",AJ184)</f>
        <v>0</v>
      </c>
      <c r="AL184" s="2" t="str">
        <f aca="false">IF(N184="Lapsed",IF(OR(O184&lt;=Assumptions!$B$48,W184&lt;=Assumptions!$B$49),"One-Off / Insufficient History — Verify","Established Buyer Lapsed"),"N/A")</f>
        <v>One-Off / Insufficient History — Verify</v>
      </c>
      <c r="AM184" s="2" t="n">
        <f aca="false">INDEX('Scored Accounts'!$M$2:$M$301,MATCH($A184,'Scored Accounts'!$A$2:$A$301,0))</f>
        <v>0</v>
      </c>
      <c r="AN184" s="2" t="n">
        <f aca="false">IF((P184/(P184+Q184)*100)&lt;=Assumptions!$B$13,0,IF((P184/(P184+Q184)*100)&lt;Assumptions!$B$14,25,IF((P184/(P184+Q184)*100)&lt;Assumptions!$B$15,50,IF((P184/(P184+Q184)*100)&lt;Assumptions!$B$16,75,100))))</f>
        <v>0</v>
      </c>
      <c r="AO184" s="21" t="n">
        <f aca="false">IF((P184/(P184+Q184)*100)&lt;=Assumptions!$B$8,0,AN184*Assumptions!$B$4+INDEX('Scored Accounts'!$N$2:$N$301,MATCH($A184,'Scored Accounts'!$A$2:$A$301,0))*Assumptions!$B$5+INDEX('Scored Accounts'!$O$2:$O$301,MATCH($A184,'Scored Accounts'!$A$2:$A$301,0))*Assumptions!$B$6)</f>
        <v>0</v>
      </c>
      <c r="AP184" s="2" t="str">
        <f aca="false">IF(AO184&gt;=Assumptions!$B$9,"High",IF(AO184&gt;=Assumptions!$B$10,"Medium","Low"))</f>
        <v>Low</v>
      </c>
      <c r="AQ184" s="10" t="b">
        <f aca="false">OR((E184&lt;=Assumptions!$B$8)&lt;&gt;((P184/(P184+Q184)*100)&lt;=Assumptions!$B$8),AM184&lt;&gt;AN184,G184&lt;&gt;AP184)</f>
        <v>0</v>
      </c>
      <c r="AR184" s="2" t="str">
        <f aca="false">IF(AP184&lt;&gt;"Low","Broker-Reliant",IF(B184="Account Managed","AM-Owned / Self-Serving","Self-Serve"))</f>
        <v>AM-Owned / Self-Serving</v>
      </c>
      <c r="AS184" s="2" t="str">
        <f aca="false">IF(AR184="Broker-Reliant",IF(J184="Tail","5. Cost-to-Serve / Low-Touch",IF(OR(N184="Growing",N184="Stable"),"1. Migration Candidate",IF(N184="Declining","2. Protect / Retain First",IF(N184="Lapsed","3. Win-Back / Verify",IF(N184="H2 Active / No H1 GMV","4. Establish / Re-establish / Observe","UNASSIGNED"))))),IF(AP184="Low",IF(J184="Tail","9. Long-Tail Automated Nurture",IF(OR(N184="Growing",N184="Stable"),"6. Growth Opportunity",IF(N184="H2 Active / No H1 GMV","7. Onboard / Re-engage / Learn",IF(OR(N184="Declining",N184="Lapsed"),"8. Retention / Reactivation","UNASSIGNED")))),"UNASSIGNED"))</f>
        <v>9. Long-Tail Automated Nurture</v>
      </c>
      <c r="AT184" s="10" t="b">
        <f aca="false">AS184&lt;&gt;T184</f>
        <v>0</v>
      </c>
      <c r="AU184" s="2" t="str">
        <f aca="false">IF(NOT(U184),"Not Eligible",IF(OR(AQ184,AH184,AK184,NOT(AND(W184&gt;=Assumptions!$B$83,O184&gt;=Assumptions!$B$84))),"Manual Review","Ready"))</f>
        <v>Not Eligible</v>
      </c>
      <c r="AV184" s="2" t="str">
        <f aca="false">IF(AG184,"Key account - human sign-off required; ","")&amp;IF(AH184,"Borderline momentum; ","")&amp;IF(AK184,"February-sensitive ("&amp;N184&amp;" -&gt; "&amp;AJ184&amp;"); ","")&amp;IF(AL184="One-Off / Insufficient History — Verify","Lapsed on thin history - verify; ","")&amp;IF(AQ184,"Material broker % inconsistency (implied tier "&amp;AP184&amp;"); ","")&amp;IF(AT184,"Implied broker % would move segment to "&amp;AS184&amp;"; ","")</f>
        <v>Lapsed on thin history - verify; </v>
      </c>
      <c r="AW184" s="10" t="b">
        <f aca="false">AND(G184="Low",J184="Tail",I184&gt;=Assumptions!$B$64,O184&gt;=Assumptions!$B$65,OR(N184="Growing",N184="Stable",AND(N184="H2 Active / No H1 GMV",W184&gt;=2)),OR(R184&gt;=Assumptions!$B$66,S184&gt;=Assumptions!$B$67))</f>
        <v>0</v>
      </c>
    </row>
    <row r="185" customFormat="false" ht="15" hidden="false" customHeight="false" outlineLevel="0" collapsed="false">
      <c r="A185" s="2" t="s">
        <v>922</v>
      </c>
      <c r="B185" s="2" t="s">
        <v>1571</v>
      </c>
      <c r="C185" s="2" t="s">
        <v>1572</v>
      </c>
      <c r="D185" s="2" t="n">
        <v>6</v>
      </c>
      <c r="E185" s="2" t="n">
        <v>18</v>
      </c>
      <c r="F185" s="21" t="n">
        <f aca="false">INDEX('Scored Accounts'!$Q$2:$Q$301,MATCH($A185,'Scored Accounts'!$A$2:$A$301,0))</f>
        <v>0</v>
      </c>
      <c r="G185" s="2" t="str">
        <f aca="false">INDEX('Scored Accounts'!$R$2:$R$301,MATCH($A185,'Scored Accounts'!$A$2:$A$301,0))</f>
        <v>Low</v>
      </c>
      <c r="H185" s="2" t="str">
        <f aca="false">IF(OR(G185="High",G185="Medium"),"Broker-Reliant",IF(AND(G185="Low",B185="Account Managed"),"AM-Owned / Self-Serving",IF(AND(G185="Low",B185="Self Serve"),"Self-Serve","UNASSIGNED")))</f>
        <v>AM-Owned / Self-Serving</v>
      </c>
      <c r="I185" s="9" t="n">
        <v>134</v>
      </c>
      <c r="J185" s="2" t="str">
        <f aca="false">IF(I185&gt;=Assumptions!$B$35,"Key",IF(I185&gt;=Assumptions!$B$34,"Core","Tail"))</f>
        <v>Tail</v>
      </c>
      <c r="K185" s="9" t="n">
        <f aca="false">INDEX('Commercial View'!$R$2:$R$301,MATCH($A185,'Commercial View'!$A$2:$A$301,0))</f>
        <v>134</v>
      </c>
      <c r="L185" s="9" t="n">
        <f aca="false">INDEX('Commercial View'!$S$2:$S$301,MATCH($A185,'Commercial View'!$A$2:$A$301,0))</f>
        <v>0</v>
      </c>
      <c r="M185" s="17" t="n">
        <f aca="false">INDEX('Commercial View'!$T$2:$T$301,MATCH($A185,'Commercial View'!$A$2:$A$301,0))</f>
        <v>-1</v>
      </c>
      <c r="N185" s="2" t="str">
        <f aca="false">INDEX('Commercial View'!$U$2:$U$301,MATCH($A185,'Commercial View'!$A$2:$A$301,0))</f>
        <v>Lapsed</v>
      </c>
      <c r="O185" s="2" t="n">
        <v>1</v>
      </c>
      <c r="P185" s="2" t="n">
        <v>0</v>
      </c>
      <c r="Q185" s="2" t="n">
        <v>1</v>
      </c>
      <c r="R185" s="2" t="n">
        <v>9</v>
      </c>
      <c r="S185" s="2" t="n">
        <v>1</v>
      </c>
      <c r="T185" s="2" t="str">
        <f aca="false">IF(H185="Broker-Reliant",IF(J185="Tail","5. Cost-to-Serve / Low-Touch",IF(OR(N185="Growing",N185="Stable"),"1. Migration Candidate",IF(N185="Declining","2. Protect / Retain First",IF(N185="Lapsed","3. Win-Back / Verify",IF(N185="H2 Active / No H1 GMV","4. Establish / Re-establish / Observe","UNASSIGNED"))))),IF(G185="Low",IF(J185="Tail","9. Long-Tail Automated Nurture",IF(OR(N185="Growing",N185="Stable"),"6. Growth Opportunity",IF(N185="H2 Active / No H1 GMV","7. Onboard / Re-engage / Learn",IF(OR(N185="Declining",N185="Lapsed"),"8. Retention / Reactivation","UNASSIGNED")))),"UNASSIGNED"))</f>
        <v>9. Long-Tail Automated Nurture</v>
      </c>
      <c r="U185" s="10" t="b">
        <f aca="false">AND(T185="1. Migration Candidate",J185="Core",O185&gt;=Assumptions!$B$39,Q185&gt;=Assumptions!$B$40,NOT(Z185))</f>
        <v>0</v>
      </c>
      <c r="V185" s="2" t="n">
        <f aca="false">(AND(H185="Broker-Reliant",J185&lt;&gt;"Tail",OR(N185="Growing",N185="Stable")))*1+(AND(H185="Broker-Reliant",J185&lt;&gt;"Tail",N185="Declining"))*1+(AND(H185="Broker-Reliant",J185&lt;&gt;"Tail",N185="Lapsed"))*1+(AND(H185="Broker-Reliant",J185&lt;&gt;"Tail",N185="H2 Active / No H1 GMV"))*1+(AND(H185="Broker-Reliant",J185="Tail"))*1+(AND(G185="Low",J185&lt;&gt;"Tail",OR(N185="Growing",N185="Stable")))*1+(AND(G185="Low",J185&lt;&gt;"Tail",N185="H2 Active / No H1 GMV"))*1+(AND(G185="Low",J185&lt;&gt;"Tail",OR(N185="Declining",N185="Lapsed")))*1+(AND(G185="Low",J185="Tail"))*1</f>
        <v>1</v>
      </c>
      <c r="W185" s="2" t="n">
        <f aca="false">INDEX('Commercial View'!$V$2:$V$301,MATCH($A185,'Commercial View'!$A$2:$A$301,0))</f>
        <v>1</v>
      </c>
      <c r="X185" s="10" t="b">
        <f aca="false">O185&lt;=Assumptions!$B$30</f>
        <v>1</v>
      </c>
      <c r="Y185" s="10" t="b">
        <f aca="false">W185&lt;=1</f>
        <v>1</v>
      </c>
      <c r="Z185" s="10" t="b">
        <f aca="false">C185="Duplicate"</f>
        <v>0</v>
      </c>
      <c r="AA185" s="10" t="b">
        <f aca="false">C185=""</f>
        <v>0</v>
      </c>
      <c r="AB185" s="2" t="n">
        <f aca="false">IF(P185+Q185&gt;0,ROUND(P185/(P185+Q185)*100,0),"")</f>
        <v>0</v>
      </c>
      <c r="AC185" s="2" t="n">
        <f aca="false">IF(P185+Q185&gt;0,ROUND(E185-P185/(P185+Q185)*100,0),"")</f>
        <v>18</v>
      </c>
      <c r="AD185" s="10" t="b">
        <f aca="false">IF(AC185="",FALSE(),ABS(AC185)&gt;Assumptions!$B$41)</f>
        <v>1</v>
      </c>
      <c r="AE185" s="2" t="str">
        <f aca="false">IF(X185,"Low confidence (&lt;=2 orders); ","")&amp;IF(Y185,"Single-month history; ","")&amp;IF(Z185,"CRITICAL: Duplicate status; ","")&amp;IF(AA185,"Missing status; ","")&amp;IF(AD185,"Broker % vs counts gap "&amp;TEXT(AC185,"+0;-0")&amp;"pts; ","")</f>
        <v>Low confidence (&lt;=2 orders); Single-month history; Broker % vs counts gap +18pts; </v>
      </c>
      <c r="AF185" s="2" t="str">
        <f aca="false">IF(AND(K185=0,L185&gt;0),IF(D185&lt;=Assumptions!$B$47,"New Customer","Returned Customer"),"Existing Customer")</f>
        <v>Existing Customer</v>
      </c>
      <c r="AG185" s="10" t="b">
        <f aca="false">AND(T185="1. Migration Candidate",J185="Key")</f>
        <v>0</v>
      </c>
      <c r="AH185" s="10" t="b">
        <f aca="false">IF(AND(K185&gt;0,L185&gt;0),OR(ABS(M185-Assumptions!$B$36)&lt;=Assumptions!$B$46,ABS(M185+Assumptions!$B$36)&lt;=Assumptions!$B$46),FALSE())</f>
        <v>0</v>
      </c>
      <c r="AI185" s="9" t="n">
        <f aca="false">INDEX('Commercial View'!$L$2:$L$301,MATCH($A185,'Commercial View'!$A$2:$A$301,0))+INDEX('Commercial View'!$M$2:$M$301,MATCH($A185,'Commercial View'!$A$2:$A$301,0))</f>
        <v>0</v>
      </c>
      <c r="AJ185" s="2" t="str">
        <f aca="false">IF(AND(K185=0,AI185=0),"No activity ex-Feb",IF(AI185=0,"Lapsed",IF(K185=0,"H2 Active / No H1 GMV",IF((AI185/2)/(K185/3)-1&gt;=Assumptions!$B$36,"Growing",IF((AI185/2)/(K185/3)-1&lt;-Assumptions!$B$36,"Declining","Stable")))))</f>
        <v>Lapsed</v>
      </c>
      <c r="AK185" s="10" t="b">
        <f aca="false">IF(OR(N185="Growing",N185="Stable"),"Healthy",N185)&lt;&gt;IF(OR(AJ185="Growing",AJ185="Stable"),"Healthy",AJ185)</f>
        <v>0</v>
      </c>
      <c r="AL185" s="2" t="str">
        <f aca="false">IF(N185="Lapsed",IF(OR(O185&lt;=Assumptions!$B$48,W185&lt;=Assumptions!$B$49),"One-Off / Insufficient History — Verify","Established Buyer Lapsed"),"N/A")</f>
        <v>One-Off / Insufficient History — Verify</v>
      </c>
      <c r="AM185" s="2" t="n">
        <f aca="false">INDEX('Scored Accounts'!$M$2:$M$301,MATCH($A185,'Scored Accounts'!$A$2:$A$301,0))</f>
        <v>0</v>
      </c>
      <c r="AN185" s="2" t="n">
        <f aca="false">IF((P185/(P185+Q185)*100)&lt;=Assumptions!$B$13,0,IF((P185/(P185+Q185)*100)&lt;Assumptions!$B$14,25,IF((P185/(P185+Q185)*100)&lt;Assumptions!$B$15,50,IF((P185/(P185+Q185)*100)&lt;Assumptions!$B$16,75,100))))</f>
        <v>0</v>
      </c>
      <c r="AO185" s="21" t="n">
        <f aca="false">IF((P185/(P185+Q185)*100)&lt;=Assumptions!$B$8,0,AN185*Assumptions!$B$4+INDEX('Scored Accounts'!$N$2:$N$301,MATCH($A185,'Scored Accounts'!$A$2:$A$301,0))*Assumptions!$B$5+INDEX('Scored Accounts'!$O$2:$O$301,MATCH($A185,'Scored Accounts'!$A$2:$A$301,0))*Assumptions!$B$6)</f>
        <v>0</v>
      </c>
      <c r="AP185" s="2" t="str">
        <f aca="false">IF(AO185&gt;=Assumptions!$B$9,"High",IF(AO185&gt;=Assumptions!$B$10,"Medium","Low"))</f>
        <v>Low</v>
      </c>
      <c r="AQ185" s="10" t="b">
        <f aca="false">OR((E185&lt;=Assumptions!$B$8)&lt;&gt;((P185/(P185+Q185)*100)&lt;=Assumptions!$B$8),AM185&lt;&gt;AN185,G185&lt;&gt;AP185)</f>
        <v>0</v>
      </c>
      <c r="AR185" s="2" t="str">
        <f aca="false">IF(AP185&lt;&gt;"Low","Broker-Reliant",IF(B185="Account Managed","AM-Owned / Self-Serving","Self-Serve"))</f>
        <v>AM-Owned / Self-Serving</v>
      </c>
      <c r="AS185" s="2" t="str">
        <f aca="false">IF(AR185="Broker-Reliant",IF(J185="Tail","5. Cost-to-Serve / Low-Touch",IF(OR(N185="Growing",N185="Stable"),"1. Migration Candidate",IF(N185="Declining","2. Protect / Retain First",IF(N185="Lapsed","3. Win-Back / Verify",IF(N185="H2 Active / No H1 GMV","4. Establish / Re-establish / Observe","UNASSIGNED"))))),IF(AP185="Low",IF(J185="Tail","9. Long-Tail Automated Nurture",IF(OR(N185="Growing",N185="Stable"),"6. Growth Opportunity",IF(N185="H2 Active / No H1 GMV","7. Onboard / Re-engage / Learn",IF(OR(N185="Declining",N185="Lapsed"),"8. Retention / Reactivation","UNASSIGNED")))),"UNASSIGNED"))</f>
        <v>9. Long-Tail Automated Nurture</v>
      </c>
      <c r="AT185" s="10" t="b">
        <f aca="false">AS185&lt;&gt;T185</f>
        <v>0</v>
      </c>
      <c r="AU185" s="2" t="str">
        <f aca="false">IF(NOT(U185),"Not Eligible",IF(OR(AQ185,AH185,AK185,NOT(AND(W185&gt;=Assumptions!$B$83,O185&gt;=Assumptions!$B$84))),"Manual Review","Ready"))</f>
        <v>Not Eligible</v>
      </c>
      <c r="AV185" s="2" t="str">
        <f aca="false">IF(AG185,"Key account - human sign-off required; ","")&amp;IF(AH185,"Borderline momentum; ","")&amp;IF(AK185,"February-sensitive ("&amp;N185&amp;" -&gt; "&amp;AJ185&amp;"); ","")&amp;IF(AL185="One-Off / Insufficient History — Verify","Lapsed on thin history - verify; ","")&amp;IF(AQ185,"Material broker % inconsistency (implied tier "&amp;AP185&amp;"); ","")&amp;IF(AT185,"Implied broker % would move segment to "&amp;AS185&amp;"; ","")</f>
        <v>Lapsed on thin history - verify; </v>
      </c>
      <c r="AW185" s="10" t="b">
        <f aca="false">AND(G185="Low",J185="Tail",I185&gt;=Assumptions!$B$64,O185&gt;=Assumptions!$B$65,OR(N185="Growing",N185="Stable",AND(N185="H2 Active / No H1 GMV",W185&gt;=2)),OR(R185&gt;=Assumptions!$B$66,S185&gt;=Assumptions!$B$67))</f>
        <v>0</v>
      </c>
    </row>
    <row r="186" customFormat="false" ht="15" hidden="false" customHeight="false" outlineLevel="0" collapsed="false">
      <c r="A186" s="2" t="s">
        <v>926</v>
      </c>
      <c r="B186" s="2" t="s">
        <v>1571</v>
      </c>
      <c r="C186" s="2" t="s">
        <v>1572</v>
      </c>
      <c r="D186" s="2" t="n">
        <v>11</v>
      </c>
      <c r="E186" s="2" t="n">
        <v>15</v>
      </c>
      <c r="F186" s="21" t="n">
        <f aca="false">INDEX('Scored Accounts'!$Q$2:$Q$301,MATCH($A186,'Scored Accounts'!$A$2:$A$301,0))</f>
        <v>0</v>
      </c>
      <c r="G186" s="2" t="str">
        <f aca="false">INDEX('Scored Accounts'!$R$2:$R$301,MATCH($A186,'Scored Accounts'!$A$2:$A$301,0))</f>
        <v>Low</v>
      </c>
      <c r="H186" s="2" t="str">
        <f aca="false">IF(OR(G186="High",G186="Medium"),"Broker-Reliant",IF(AND(G186="Low",B186="Account Managed"),"AM-Owned / Self-Serving",IF(AND(G186="Low",B186="Self Serve"),"Self-Serve","UNASSIGNED")))</f>
        <v>AM-Owned / Self-Serving</v>
      </c>
      <c r="I186" s="9" t="n">
        <v>123</v>
      </c>
      <c r="J186" s="2" t="str">
        <f aca="false">IF(I186&gt;=Assumptions!$B$35,"Key",IF(I186&gt;=Assumptions!$B$34,"Core","Tail"))</f>
        <v>Tail</v>
      </c>
      <c r="K186" s="9" t="n">
        <f aca="false">INDEX('Commercial View'!$R$2:$R$301,MATCH($A186,'Commercial View'!$A$2:$A$301,0))</f>
        <v>0</v>
      </c>
      <c r="L186" s="9" t="n">
        <f aca="false">INDEX('Commercial View'!$S$2:$S$301,MATCH($A186,'Commercial View'!$A$2:$A$301,0))</f>
        <v>123</v>
      </c>
      <c r="M186" s="17" t="str">
        <f aca="false">INDEX('Commercial View'!$T$2:$T$301,MATCH($A186,'Commercial View'!$A$2:$A$301,0))</f>
        <v/>
      </c>
      <c r="N186" s="2" t="str">
        <f aca="false">INDEX('Commercial View'!$U$2:$U$301,MATCH($A186,'Commercial View'!$A$2:$A$301,0))</f>
        <v>H2 Active / No H1 GMV</v>
      </c>
      <c r="O186" s="2" t="n">
        <v>1</v>
      </c>
      <c r="P186" s="2" t="n">
        <v>0</v>
      </c>
      <c r="Q186" s="2" t="n">
        <v>1</v>
      </c>
      <c r="R186" s="2" t="n">
        <v>7</v>
      </c>
      <c r="S186" s="2" t="n">
        <v>16</v>
      </c>
      <c r="T186" s="2" t="str">
        <f aca="false">IF(H186="Broker-Reliant",IF(J186="Tail","5. Cost-to-Serve / Low-Touch",IF(OR(N186="Growing",N186="Stable"),"1. Migration Candidate",IF(N186="Declining","2. Protect / Retain First",IF(N186="Lapsed","3. Win-Back / Verify",IF(N186="H2 Active / No H1 GMV","4. Establish / Re-establish / Observe","UNASSIGNED"))))),IF(G186="Low",IF(J186="Tail","9. Long-Tail Automated Nurture",IF(OR(N186="Growing",N186="Stable"),"6. Growth Opportunity",IF(N186="H2 Active / No H1 GMV","7. Onboard / Re-engage / Learn",IF(OR(N186="Declining",N186="Lapsed"),"8. Retention / Reactivation","UNASSIGNED")))),"UNASSIGNED"))</f>
        <v>9. Long-Tail Automated Nurture</v>
      </c>
      <c r="U186" s="10" t="b">
        <f aca="false">AND(T186="1. Migration Candidate",J186="Core",O186&gt;=Assumptions!$B$39,Q186&gt;=Assumptions!$B$40,NOT(Z186))</f>
        <v>0</v>
      </c>
      <c r="V186" s="2" t="n">
        <f aca="false">(AND(H186="Broker-Reliant",J186&lt;&gt;"Tail",OR(N186="Growing",N186="Stable")))*1+(AND(H186="Broker-Reliant",J186&lt;&gt;"Tail",N186="Declining"))*1+(AND(H186="Broker-Reliant",J186&lt;&gt;"Tail",N186="Lapsed"))*1+(AND(H186="Broker-Reliant",J186&lt;&gt;"Tail",N186="H2 Active / No H1 GMV"))*1+(AND(H186="Broker-Reliant",J186="Tail"))*1+(AND(G186="Low",J186&lt;&gt;"Tail",OR(N186="Growing",N186="Stable")))*1+(AND(G186="Low",J186&lt;&gt;"Tail",N186="H2 Active / No H1 GMV"))*1+(AND(G186="Low",J186&lt;&gt;"Tail",OR(N186="Declining",N186="Lapsed")))*1+(AND(G186="Low",J186="Tail"))*1</f>
        <v>1</v>
      </c>
      <c r="W186" s="2" t="n">
        <f aca="false">INDEX('Commercial View'!$V$2:$V$301,MATCH($A186,'Commercial View'!$A$2:$A$301,0))</f>
        <v>1</v>
      </c>
      <c r="X186" s="10" t="b">
        <f aca="false">O186&lt;=Assumptions!$B$30</f>
        <v>1</v>
      </c>
      <c r="Y186" s="10" t="b">
        <f aca="false">W186&lt;=1</f>
        <v>1</v>
      </c>
      <c r="Z186" s="10" t="b">
        <f aca="false">C186="Duplicate"</f>
        <v>0</v>
      </c>
      <c r="AA186" s="10" t="b">
        <f aca="false">C186=""</f>
        <v>0</v>
      </c>
      <c r="AB186" s="2" t="n">
        <f aca="false">IF(P186+Q186&gt;0,ROUND(P186/(P186+Q186)*100,0),"")</f>
        <v>0</v>
      </c>
      <c r="AC186" s="2" t="n">
        <f aca="false">IF(P186+Q186&gt;0,ROUND(E186-P186/(P186+Q186)*100,0),"")</f>
        <v>15</v>
      </c>
      <c r="AD186" s="10" t="b">
        <f aca="false">IF(AC186="",FALSE(),ABS(AC186)&gt;Assumptions!$B$41)</f>
        <v>1</v>
      </c>
      <c r="AE186" s="2" t="str">
        <f aca="false">IF(X186,"Low confidence (&lt;=2 orders); ","")&amp;IF(Y186,"Single-month history; ","")&amp;IF(Z186,"CRITICAL: Duplicate status; ","")&amp;IF(AA186,"Missing status; ","")&amp;IF(AD186,"Broker % vs counts gap "&amp;TEXT(AC186,"+0;-0")&amp;"pts; ","")</f>
        <v>Low confidence (&lt;=2 orders); Single-month history; Broker % vs counts gap +15pts; </v>
      </c>
      <c r="AF186" s="2" t="str">
        <f aca="false">IF(AND(K186=0,L186&gt;0),IF(D186&lt;=Assumptions!$B$47,"New Customer","Returned Customer"),"Existing Customer")</f>
        <v>Returned Customer</v>
      </c>
      <c r="AG186" s="10" t="b">
        <f aca="false">AND(T186="1. Migration Candidate",J186="Key")</f>
        <v>0</v>
      </c>
      <c r="AH186" s="10" t="b">
        <f aca="false">IF(AND(K186&gt;0,L186&gt;0),OR(ABS(M186-Assumptions!$B$36)&lt;=Assumptions!$B$46,ABS(M186+Assumptions!$B$36)&lt;=Assumptions!$B$46),FALSE())</f>
        <v>0</v>
      </c>
      <c r="AI186" s="9" t="n">
        <f aca="false">INDEX('Commercial View'!$L$2:$L$301,MATCH($A186,'Commercial View'!$A$2:$A$301,0))+INDEX('Commercial View'!$M$2:$M$301,MATCH($A186,'Commercial View'!$A$2:$A$301,0))</f>
        <v>123</v>
      </c>
      <c r="AJ186" s="2" t="str">
        <f aca="false">IF(AND(K186=0,AI186=0),"No activity ex-Feb",IF(AI186=0,"Lapsed",IF(K186=0,"H2 Active / No H1 GMV",IF((AI186/2)/(K186/3)-1&gt;=Assumptions!$B$36,"Growing",IF((AI186/2)/(K186/3)-1&lt;-Assumptions!$B$36,"Declining","Stable")))))</f>
        <v>H2 Active / No H1 GMV</v>
      </c>
      <c r="AK186" s="10" t="b">
        <f aca="false">IF(OR(N186="Growing",N186="Stable"),"Healthy",N186)&lt;&gt;IF(OR(AJ186="Growing",AJ186="Stable"),"Healthy",AJ186)</f>
        <v>0</v>
      </c>
      <c r="AL186" s="2" t="str">
        <f aca="false">IF(N186="Lapsed",IF(OR(O186&lt;=Assumptions!$B$48,W186&lt;=Assumptions!$B$49),"One-Off / Insufficient History — Verify","Established Buyer Lapsed"),"N/A")</f>
        <v>N/A</v>
      </c>
      <c r="AM186" s="2" t="n">
        <f aca="false">INDEX('Scored Accounts'!$M$2:$M$301,MATCH($A186,'Scored Accounts'!$A$2:$A$301,0))</f>
        <v>0</v>
      </c>
      <c r="AN186" s="2" t="n">
        <f aca="false">IF((P186/(P186+Q186)*100)&lt;=Assumptions!$B$13,0,IF((P186/(P186+Q186)*100)&lt;Assumptions!$B$14,25,IF((P186/(P186+Q186)*100)&lt;Assumptions!$B$15,50,IF((P186/(P186+Q186)*100)&lt;Assumptions!$B$16,75,100))))</f>
        <v>0</v>
      </c>
      <c r="AO186" s="21" t="n">
        <f aca="false">IF((P186/(P186+Q186)*100)&lt;=Assumptions!$B$8,0,AN186*Assumptions!$B$4+INDEX('Scored Accounts'!$N$2:$N$301,MATCH($A186,'Scored Accounts'!$A$2:$A$301,0))*Assumptions!$B$5+INDEX('Scored Accounts'!$O$2:$O$301,MATCH($A186,'Scored Accounts'!$A$2:$A$301,0))*Assumptions!$B$6)</f>
        <v>0</v>
      </c>
      <c r="AP186" s="2" t="str">
        <f aca="false">IF(AO186&gt;=Assumptions!$B$9,"High",IF(AO186&gt;=Assumptions!$B$10,"Medium","Low"))</f>
        <v>Low</v>
      </c>
      <c r="AQ186" s="10" t="b">
        <f aca="false">OR((E186&lt;=Assumptions!$B$8)&lt;&gt;((P186/(P186+Q186)*100)&lt;=Assumptions!$B$8),AM186&lt;&gt;AN186,G186&lt;&gt;AP186)</f>
        <v>0</v>
      </c>
      <c r="AR186" s="2" t="str">
        <f aca="false">IF(AP186&lt;&gt;"Low","Broker-Reliant",IF(B186="Account Managed","AM-Owned / Self-Serving","Self-Serve"))</f>
        <v>AM-Owned / Self-Serving</v>
      </c>
      <c r="AS186" s="2" t="str">
        <f aca="false">IF(AR186="Broker-Reliant",IF(J186="Tail","5. Cost-to-Serve / Low-Touch",IF(OR(N186="Growing",N186="Stable"),"1. Migration Candidate",IF(N186="Declining","2. Protect / Retain First",IF(N186="Lapsed","3. Win-Back / Verify",IF(N186="H2 Active / No H1 GMV","4. Establish / Re-establish / Observe","UNASSIGNED"))))),IF(AP186="Low",IF(J186="Tail","9. Long-Tail Automated Nurture",IF(OR(N186="Growing",N186="Stable"),"6. Growth Opportunity",IF(N186="H2 Active / No H1 GMV","7. Onboard / Re-engage / Learn",IF(OR(N186="Declining",N186="Lapsed"),"8. Retention / Reactivation","UNASSIGNED")))),"UNASSIGNED"))</f>
        <v>9. Long-Tail Automated Nurture</v>
      </c>
      <c r="AT186" s="10" t="b">
        <f aca="false">AS186&lt;&gt;T186</f>
        <v>0</v>
      </c>
      <c r="AU186" s="2" t="str">
        <f aca="false">IF(NOT(U186),"Not Eligible",IF(OR(AQ186,AH186,AK186,NOT(AND(W186&gt;=Assumptions!$B$83,O186&gt;=Assumptions!$B$84))),"Manual Review","Ready"))</f>
        <v>Not Eligible</v>
      </c>
      <c r="AV186" s="2" t="str">
        <f aca="false">IF(AG186,"Key account - human sign-off required; ","")&amp;IF(AH186,"Borderline momentum; ","")&amp;IF(AK186,"February-sensitive ("&amp;N186&amp;" -&gt; "&amp;AJ186&amp;"); ","")&amp;IF(AL186="One-Off / Insufficient History — Verify","Lapsed on thin history - verify; ","")&amp;IF(AQ186,"Material broker % inconsistency (implied tier "&amp;AP186&amp;"); ","")&amp;IF(AT186,"Implied broker % would move segment to "&amp;AS186&amp;"; ","")</f>
        <v/>
      </c>
      <c r="AW186" s="10" t="b">
        <f aca="false">AND(G186="Low",J186="Tail",I186&gt;=Assumptions!$B$64,O186&gt;=Assumptions!$B$65,OR(N186="Growing",N186="Stable",AND(N186="H2 Active / No H1 GMV",W186&gt;=2)),OR(R186&gt;=Assumptions!$B$66,S186&gt;=Assumptions!$B$67))</f>
        <v>0</v>
      </c>
    </row>
    <row r="187" customFormat="false" ht="15" hidden="false" customHeight="false" outlineLevel="0" collapsed="false">
      <c r="A187" s="2" t="s">
        <v>930</v>
      </c>
      <c r="B187" s="2" t="s">
        <v>1571</v>
      </c>
      <c r="C187" s="2"/>
      <c r="D187" s="2" t="n">
        <v>6</v>
      </c>
      <c r="E187" s="2" t="n">
        <v>14</v>
      </c>
      <c r="F187" s="21" t="n">
        <f aca="false">INDEX('Scored Accounts'!$Q$2:$Q$301,MATCH($A187,'Scored Accounts'!$A$2:$A$301,0))</f>
        <v>0</v>
      </c>
      <c r="G187" s="2" t="str">
        <f aca="false">INDEX('Scored Accounts'!$R$2:$R$301,MATCH($A187,'Scored Accounts'!$A$2:$A$301,0))</f>
        <v>Low</v>
      </c>
      <c r="H187" s="2" t="str">
        <f aca="false">IF(OR(G187="High",G187="Medium"),"Broker-Reliant",IF(AND(G187="Low",B187="Account Managed"),"AM-Owned / Self-Serving",IF(AND(G187="Low",B187="Self Serve"),"Self-Serve","UNASSIGNED")))</f>
        <v>AM-Owned / Self-Serving</v>
      </c>
      <c r="I187" s="9" t="n">
        <v>121</v>
      </c>
      <c r="J187" s="2" t="str">
        <f aca="false">IF(I187&gt;=Assumptions!$B$35,"Key",IF(I187&gt;=Assumptions!$B$34,"Core","Tail"))</f>
        <v>Tail</v>
      </c>
      <c r="K187" s="9" t="n">
        <f aca="false">INDEX('Commercial View'!$R$2:$R$301,MATCH($A187,'Commercial View'!$A$2:$A$301,0))</f>
        <v>121</v>
      </c>
      <c r="L187" s="9" t="n">
        <f aca="false">INDEX('Commercial View'!$S$2:$S$301,MATCH($A187,'Commercial View'!$A$2:$A$301,0))</f>
        <v>0</v>
      </c>
      <c r="M187" s="17" t="n">
        <f aca="false">INDEX('Commercial View'!$T$2:$T$301,MATCH($A187,'Commercial View'!$A$2:$A$301,0))</f>
        <v>-1</v>
      </c>
      <c r="N187" s="2" t="str">
        <f aca="false">INDEX('Commercial View'!$U$2:$U$301,MATCH($A187,'Commercial View'!$A$2:$A$301,0))</f>
        <v>Lapsed</v>
      </c>
      <c r="O187" s="2" t="n">
        <v>1</v>
      </c>
      <c r="P187" s="2" t="n">
        <v>0</v>
      </c>
      <c r="Q187" s="2" t="n">
        <v>1</v>
      </c>
      <c r="R187" s="2" t="n">
        <v>6</v>
      </c>
      <c r="S187" s="2" t="n">
        <v>1</v>
      </c>
      <c r="T187" s="2" t="str">
        <f aca="false">IF(H187="Broker-Reliant",IF(J187="Tail","5. Cost-to-Serve / Low-Touch",IF(OR(N187="Growing",N187="Stable"),"1. Migration Candidate",IF(N187="Declining","2. Protect / Retain First",IF(N187="Lapsed","3. Win-Back / Verify",IF(N187="H2 Active / No H1 GMV","4. Establish / Re-establish / Observe","UNASSIGNED"))))),IF(G187="Low",IF(J187="Tail","9. Long-Tail Automated Nurture",IF(OR(N187="Growing",N187="Stable"),"6. Growth Opportunity",IF(N187="H2 Active / No H1 GMV","7. Onboard / Re-engage / Learn",IF(OR(N187="Declining",N187="Lapsed"),"8. Retention / Reactivation","UNASSIGNED")))),"UNASSIGNED"))</f>
        <v>9. Long-Tail Automated Nurture</v>
      </c>
      <c r="U187" s="10" t="b">
        <f aca="false">AND(T187="1. Migration Candidate",J187="Core",O187&gt;=Assumptions!$B$39,Q187&gt;=Assumptions!$B$40,NOT(Z187))</f>
        <v>0</v>
      </c>
      <c r="V187" s="2" t="n">
        <f aca="false">(AND(H187="Broker-Reliant",J187&lt;&gt;"Tail",OR(N187="Growing",N187="Stable")))*1+(AND(H187="Broker-Reliant",J187&lt;&gt;"Tail",N187="Declining"))*1+(AND(H187="Broker-Reliant",J187&lt;&gt;"Tail",N187="Lapsed"))*1+(AND(H187="Broker-Reliant",J187&lt;&gt;"Tail",N187="H2 Active / No H1 GMV"))*1+(AND(H187="Broker-Reliant",J187="Tail"))*1+(AND(G187="Low",J187&lt;&gt;"Tail",OR(N187="Growing",N187="Stable")))*1+(AND(G187="Low",J187&lt;&gt;"Tail",N187="H2 Active / No H1 GMV"))*1+(AND(G187="Low",J187&lt;&gt;"Tail",OR(N187="Declining",N187="Lapsed")))*1+(AND(G187="Low",J187="Tail"))*1</f>
        <v>1</v>
      </c>
      <c r="W187" s="2" t="n">
        <f aca="false">INDEX('Commercial View'!$V$2:$V$301,MATCH($A187,'Commercial View'!$A$2:$A$301,0))</f>
        <v>1</v>
      </c>
      <c r="X187" s="10" t="b">
        <f aca="false">O187&lt;=Assumptions!$B$30</f>
        <v>1</v>
      </c>
      <c r="Y187" s="10" t="b">
        <f aca="false">W187&lt;=1</f>
        <v>1</v>
      </c>
      <c r="Z187" s="10" t="b">
        <f aca="false">C187="Duplicate"</f>
        <v>0</v>
      </c>
      <c r="AA187" s="10" t="b">
        <f aca="false">C187=""</f>
        <v>1</v>
      </c>
      <c r="AB187" s="2" t="n">
        <f aca="false">IF(P187+Q187&gt;0,ROUND(P187/(P187+Q187)*100,0),"")</f>
        <v>0</v>
      </c>
      <c r="AC187" s="2" t="n">
        <f aca="false">IF(P187+Q187&gt;0,ROUND(E187-P187/(P187+Q187)*100,0),"")</f>
        <v>14</v>
      </c>
      <c r="AD187" s="10" t="b">
        <f aca="false">IF(AC187="",FALSE(),ABS(AC187)&gt;Assumptions!$B$41)</f>
        <v>1</v>
      </c>
      <c r="AE187" s="2" t="str">
        <f aca="false">IF(X187,"Low confidence (&lt;=2 orders); ","")&amp;IF(Y187,"Single-month history; ","")&amp;IF(Z187,"CRITICAL: Duplicate status; ","")&amp;IF(AA187,"Missing status; ","")&amp;IF(AD187,"Broker % vs counts gap "&amp;TEXT(AC187,"+0;-0")&amp;"pts; ","")</f>
        <v>Low confidence (&lt;=2 orders); Single-month history; Missing status; Broker % vs counts gap +14pts; </v>
      </c>
      <c r="AF187" s="2" t="str">
        <f aca="false">IF(AND(K187=0,L187&gt;0),IF(D187&lt;=Assumptions!$B$47,"New Customer","Returned Customer"),"Existing Customer")</f>
        <v>Existing Customer</v>
      </c>
      <c r="AG187" s="10" t="b">
        <f aca="false">AND(T187="1. Migration Candidate",J187="Key")</f>
        <v>0</v>
      </c>
      <c r="AH187" s="10" t="b">
        <f aca="false">IF(AND(K187&gt;0,L187&gt;0),OR(ABS(M187-Assumptions!$B$36)&lt;=Assumptions!$B$46,ABS(M187+Assumptions!$B$36)&lt;=Assumptions!$B$46),FALSE())</f>
        <v>0</v>
      </c>
      <c r="AI187" s="9" t="n">
        <f aca="false">INDEX('Commercial View'!$L$2:$L$301,MATCH($A187,'Commercial View'!$A$2:$A$301,0))+INDEX('Commercial View'!$M$2:$M$301,MATCH($A187,'Commercial View'!$A$2:$A$301,0))</f>
        <v>0</v>
      </c>
      <c r="AJ187" s="2" t="str">
        <f aca="false">IF(AND(K187=0,AI187=0),"No activity ex-Feb",IF(AI187=0,"Lapsed",IF(K187=0,"H2 Active / No H1 GMV",IF((AI187/2)/(K187/3)-1&gt;=Assumptions!$B$36,"Growing",IF((AI187/2)/(K187/3)-1&lt;-Assumptions!$B$36,"Declining","Stable")))))</f>
        <v>Lapsed</v>
      </c>
      <c r="AK187" s="10" t="b">
        <f aca="false">IF(OR(N187="Growing",N187="Stable"),"Healthy",N187)&lt;&gt;IF(OR(AJ187="Growing",AJ187="Stable"),"Healthy",AJ187)</f>
        <v>0</v>
      </c>
      <c r="AL187" s="2" t="str">
        <f aca="false">IF(N187="Lapsed",IF(OR(O187&lt;=Assumptions!$B$48,W187&lt;=Assumptions!$B$49),"One-Off / Insufficient History — Verify","Established Buyer Lapsed"),"N/A")</f>
        <v>One-Off / Insufficient History — Verify</v>
      </c>
      <c r="AM187" s="2" t="n">
        <f aca="false">INDEX('Scored Accounts'!$M$2:$M$301,MATCH($A187,'Scored Accounts'!$A$2:$A$301,0))</f>
        <v>0</v>
      </c>
      <c r="AN187" s="2" t="n">
        <f aca="false">IF((P187/(P187+Q187)*100)&lt;=Assumptions!$B$13,0,IF((P187/(P187+Q187)*100)&lt;Assumptions!$B$14,25,IF((P187/(P187+Q187)*100)&lt;Assumptions!$B$15,50,IF((P187/(P187+Q187)*100)&lt;Assumptions!$B$16,75,100))))</f>
        <v>0</v>
      </c>
      <c r="AO187" s="21" t="n">
        <f aca="false">IF((P187/(P187+Q187)*100)&lt;=Assumptions!$B$8,0,AN187*Assumptions!$B$4+INDEX('Scored Accounts'!$N$2:$N$301,MATCH($A187,'Scored Accounts'!$A$2:$A$301,0))*Assumptions!$B$5+INDEX('Scored Accounts'!$O$2:$O$301,MATCH($A187,'Scored Accounts'!$A$2:$A$301,0))*Assumptions!$B$6)</f>
        <v>0</v>
      </c>
      <c r="AP187" s="2" t="str">
        <f aca="false">IF(AO187&gt;=Assumptions!$B$9,"High",IF(AO187&gt;=Assumptions!$B$10,"Medium","Low"))</f>
        <v>Low</v>
      </c>
      <c r="AQ187" s="10" t="b">
        <f aca="false">OR((E187&lt;=Assumptions!$B$8)&lt;&gt;((P187/(P187+Q187)*100)&lt;=Assumptions!$B$8),AM187&lt;&gt;AN187,G187&lt;&gt;AP187)</f>
        <v>0</v>
      </c>
      <c r="AR187" s="2" t="str">
        <f aca="false">IF(AP187&lt;&gt;"Low","Broker-Reliant",IF(B187="Account Managed","AM-Owned / Self-Serving","Self-Serve"))</f>
        <v>AM-Owned / Self-Serving</v>
      </c>
      <c r="AS187" s="2" t="str">
        <f aca="false">IF(AR187="Broker-Reliant",IF(J187="Tail","5. Cost-to-Serve / Low-Touch",IF(OR(N187="Growing",N187="Stable"),"1. Migration Candidate",IF(N187="Declining","2. Protect / Retain First",IF(N187="Lapsed","3. Win-Back / Verify",IF(N187="H2 Active / No H1 GMV","4. Establish / Re-establish / Observe","UNASSIGNED"))))),IF(AP187="Low",IF(J187="Tail","9. Long-Tail Automated Nurture",IF(OR(N187="Growing",N187="Stable"),"6. Growth Opportunity",IF(N187="H2 Active / No H1 GMV","7. Onboard / Re-engage / Learn",IF(OR(N187="Declining",N187="Lapsed"),"8. Retention / Reactivation","UNASSIGNED")))),"UNASSIGNED"))</f>
        <v>9. Long-Tail Automated Nurture</v>
      </c>
      <c r="AT187" s="10" t="b">
        <f aca="false">AS187&lt;&gt;T187</f>
        <v>0</v>
      </c>
      <c r="AU187" s="2" t="str">
        <f aca="false">IF(NOT(U187),"Not Eligible",IF(OR(AQ187,AH187,AK187,NOT(AND(W187&gt;=Assumptions!$B$83,O187&gt;=Assumptions!$B$84))),"Manual Review","Ready"))</f>
        <v>Not Eligible</v>
      </c>
      <c r="AV187" s="2" t="str">
        <f aca="false">IF(AG187,"Key account - human sign-off required; ","")&amp;IF(AH187,"Borderline momentum; ","")&amp;IF(AK187,"February-sensitive ("&amp;N187&amp;" -&gt; "&amp;AJ187&amp;"); ","")&amp;IF(AL187="One-Off / Insufficient History — Verify","Lapsed on thin history - verify; ","")&amp;IF(AQ187,"Material broker % inconsistency (implied tier "&amp;AP187&amp;"); ","")&amp;IF(AT187,"Implied broker % would move segment to "&amp;AS187&amp;"; ","")</f>
        <v>Lapsed on thin history - verify; </v>
      </c>
      <c r="AW187" s="10" t="b">
        <f aca="false">AND(G187="Low",J187="Tail",I187&gt;=Assumptions!$B$64,O187&gt;=Assumptions!$B$65,OR(N187="Growing",N187="Stable",AND(N187="H2 Active / No H1 GMV",W187&gt;=2)),OR(R187&gt;=Assumptions!$B$66,S187&gt;=Assumptions!$B$67))</f>
        <v>0</v>
      </c>
    </row>
    <row r="188" customFormat="false" ht="15" hidden="false" customHeight="false" outlineLevel="0" collapsed="false">
      <c r="A188" s="2" t="s">
        <v>936</v>
      </c>
      <c r="B188" s="2" t="s">
        <v>1571</v>
      </c>
      <c r="C188" s="2" t="s">
        <v>1572</v>
      </c>
      <c r="D188" s="2" t="n">
        <v>26</v>
      </c>
      <c r="E188" s="2" t="n">
        <v>4</v>
      </c>
      <c r="F188" s="21" t="n">
        <f aca="false">INDEX('Scored Accounts'!$Q$2:$Q$301,MATCH($A188,'Scored Accounts'!$A$2:$A$301,0))</f>
        <v>0</v>
      </c>
      <c r="G188" s="2" t="str">
        <f aca="false">INDEX('Scored Accounts'!$R$2:$R$301,MATCH($A188,'Scored Accounts'!$A$2:$A$301,0))</f>
        <v>Low</v>
      </c>
      <c r="H188" s="2" t="str">
        <f aca="false">IF(OR(G188="High",G188="Medium"),"Broker-Reliant",IF(AND(G188="Low",B188="Account Managed"),"AM-Owned / Self-Serving",IF(AND(G188="Low",B188="Self Serve"),"Self-Serve","UNASSIGNED")))</f>
        <v>AM-Owned / Self-Serving</v>
      </c>
      <c r="I188" s="9" t="n">
        <v>117</v>
      </c>
      <c r="J188" s="2" t="str">
        <f aca="false">IF(I188&gt;=Assumptions!$B$35,"Key",IF(I188&gt;=Assumptions!$B$34,"Core","Tail"))</f>
        <v>Tail</v>
      </c>
      <c r="K188" s="9" t="n">
        <f aca="false">INDEX('Commercial View'!$R$2:$R$301,MATCH($A188,'Commercial View'!$A$2:$A$301,0))</f>
        <v>0</v>
      </c>
      <c r="L188" s="9" t="n">
        <f aca="false">INDEX('Commercial View'!$S$2:$S$301,MATCH($A188,'Commercial View'!$A$2:$A$301,0))</f>
        <v>117</v>
      </c>
      <c r="M188" s="17" t="str">
        <f aca="false">INDEX('Commercial View'!$T$2:$T$301,MATCH($A188,'Commercial View'!$A$2:$A$301,0))</f>
        <v/>
      </c>
      <c r="N188" s="2" t="str">
        <f aca="false">INDEX('Commercial View'!$U$2:$U$301,MATCH($A188,'Commercial View'!$A$2:$A$301,0))</f>
        <v>H2 Active / No H1 GMV</v>
      </c>
      <c r="O188" s="2" t="n">
        <v>1</v>
      </c>
      <c r="P188" s="2" t="n">
        <v>0</v>
      </c>
      <c r="Q188" s="2" t="n">
        <v>1</v>
      </c>
      <c r="R188" s="2" t="n">
        <v>7</v>
      </c>
      <c r="S188" s="2" t="n">
        <v>6</v>
      </c>
      <c r="T188" s="2" t="str">
        <f aca="false">IF(H188="Broker-Reliant",IF(J188="Tail","5. Cost-to-Serve / Low-Touch",IF(OR(N188="Growing",N188="Stable"),"1. Migration Candidate",IF(N188="Declining","2. Protect / Retain First",IF(N188="Lapsed","3. Win-Back / Verify",IF(N188="H2 Active / No H1 GMV","4. Establish / Re-establish / Observe","UNASSIGNED"))))),IF(G188="Low",IF(J188="Tail","9. Long-Tail Automated Nurture",IF(OR(N188="Growing",N188="Stable"),"6. Growth Opportunity",IF(N188="H2 Active / No H1 GMV","7. Onboard / Re-engage / Learn",IF(OR(N188="Declining",N188="Lapsed"),"8. Retention / Reactivation","UNASSIGNED")))),"UNASSIGNED"))</f>
        <v>9. Long-Tail Automated Nurture</v>
      </c>
      <c r="U188" s="10" t="b">
        <f aca="false">AND(T188="1. Migration Candidate",J188="Core",O188&gt;=Assumptions!$B$39,Q188&gt;=Assumptions!$B$40,NOT(Z188))</f>
        <v>0</v>
      </c>
      <c r="V188" s="2" t="n">
        <f aca="false">(AND(H188="Broker-Reliant",J188&lt;&gt;"Tail",OR(N188="Growing",N188="Stable")))*1+(AND(H188="Broker-Reliant",J188&lt;&gt;"Tail",N188="Declining"))*1+(AND(H188="Broker-Reliant",J188&lt;&gt;"Tail",N188="Lapsed"))*1+(AND(H188="Broker-Reliant",J188&lt;&gt;"Tail",N188="H2 Active / No H1 GMV"))*1+(AND(H188="Broker-Reliant",J188="Tail"))*1+(AND(G188="Low",J188&lt;&gt;"Tail",OR(N188="Growing",N188="Stable")))*1+(AND(G188="Low",J188&lt;&gt;"Tail",N188="H2 Active / No H1 GMV"))*1+(AND(G188="Low",J188&lt;&gt;"Tail",OR(N188="Declining",N188="Lapsed")))*1+(AND(G188="Low",J188="Tail"))*1</f>
        <v>1</v>
      </c>
      <c r="W188" s="2" t="n">
        <f aca="false">INDEX('Commercial View'!$V$2:$V$301,MATCH($A188,'Commercial View'!$A$2:$A$301,0))</f>
        <v>1</v>
      </c>
      <c r="X188" s="10" t="b">
        <f aca="false">O188&lt;=Assumptions!$B$30</f>
        <v>1</v>
      </c>
      <c r="Y188" s="10" t="b">
        <f aca="false">W188&lt;=1</f>
        <v>1</v>
      </c>
      <c r="Z188" s="10" t="b">
        <f aca="false">C188="Duplicate"</f>
        <v>0</v>
      </c>
      <c r="AA188" s="10" t="b">
        <f aca="false">C188=""</f>
        <v>0</v>
      </c>
      <c r="AB188" s="2" t="n">
        <f aca="false">IF(P188+Q188&gt;0,ROUND(P188/(P188+Q188)*100,0),"")</f>
        <v>0</v>
      </c>
      <c r="AC188" s="2" t="n">
        <f aca="false">IF(P188+Q188&gt;0,ROUND(E188-P188/(P188+Q188)*100,0),"")</f>
        <v>4</v>
      </c>
      <c r="AD188" s="10" t="b">
        <f aca="false">IF(AC188="",FALSE(),ABS(AC188)&gt;Assumptions!$B$41)</f>
        <v>0</v>
      </c>
      <c r="AE188" s="2" t="str">
        <f aca="false">IF(X188,"Low confidence (&lt;=2 orders); ","")&amp;IF(Y188,"Single-month history; ","")&amp;IF(Z188,"CRITICAL: Duplicate status; ","")&amp;IF(AA188,"Missing status; ","")&amp;IF(AD188,"Broker % vs counts gap "&amp;TEXT(AC188,"+0;-0")&amp;"pts; ","")</f>
        <v>Low confidence (&lt;=2 orders); Single-month history; </v>
      </c>
      <c r="AF188" s="2" t="str">
        <f aca="false">IF(AND(K188=0,L188&gt;0),IF(D188&lt;=Assumptions!$B$47,"New Customer","Returned Customer"),"Existing Customer")</f>
        <v>Returned Customer</v>
      </c>
      <c r="AG188" s="10" t="b">
        <f aca="false">AND(T188="1. Migration Candidate",J188="Key")</f>
        <v>0</v>
      </c>
      <c r="AH188" s="10" t="b">
        <f aca="false">IF(AND(K188&gt;0,L188&gt;0),OR(ABS(M188-Assumptions!$B$36)&lt;=Assumptions!$B$46,ABS(M188+Assumptions!$B$36)&lt;=Assumptions!$B$46),FALSE())</f>
        <v>0</v>
      </c>
      <c r="AI188" s="9" t="n">
        <f aca="false">INDEX('Commercial View'!$L$2:$L$301,MATCH($A188,'Commercial View'!$A$2:$A$301,0))+INDEX('Commercial View'!$M$2:$M$301,MATCH($A188,'Commercial View'!$A$2:$A$301,0))</f>
        <v>117</v>
      </c>
      <c r="AJ188" s="2" t="str">
        <f aca="false">IF(AND(K188=0,AI188=0),"No activity ex-Feb",IF(AI188=0,"Lapsed",IF(K188=0,"H2 Active / No H1 GMV",IF((AI188/2)/(K188/3)-1&gt;=Assumptions!$B$36,"Growing",IF((AI188/2)/(K188/3)-1&lt;-Assumptions!$B$36,"Declining","Stable")))))</f>
        <v>H2 Active / No H1 GMV</v>
      </c>
      <c r="AK188" s="10" t="b">
        <f aca="false">IF(OR(N188="Growing",N188="Stable"),"Healthy",N188)&lt;&gt;IF(OR(AJ188="Growing",AJ188="Stable"),"Healthy",AJ188)</f>
        <v>0</v>
      </c>
      <c r="AL188" s="2" t="str">
        <f aca="false">IF(N188="Lapsed",IF(OR(O188&lt;=Assumptions!$B$48,W188&lt;=Assumptions!$B$49),"One-Off / Insufficient History — Verify","Established Buyer Lapsed"),"N/A")</f>
        <v>N/A</v>
      </c>
      <c r="AM188" s="2" t="n">
        <f aca="false">INDEX('Scored Accounts'!$M$2:$M$301,MATCH($A188,'Scored Accounts'!$A$2:$A$301,0))</f>
        <v>0</v>
      </c>
      <c r="AN188" s="2" t="n">
        <f aca="false">IF((P188/(P188+Q188)*100)&lt;=Assumptions!$B$13,0,IF((P188/(P188+Q188)*100)&lt;Assumptions!$B$14,25,IF((P188/(P188+Q188)*100)&lt;Assumptions!$B$15,50,IF((P188/(P188+Q188)*100)&lt;Assumptions!$B$16,75,100))))</f>
        <v>0</v>
      </c>
      <c r="AO188" s="21" t="n">
        <f aca="false">IF((P188/(P188+Q188)*100)&lt;=Assumptions!$B$8,0,AN188*Assumptions!$B$4+INDEX('Scored Accounts'!$N$2:$N$301,MATCH($A188,'Scored Accounts'!$A$2:$A$301,0))*Assumptions!$B$5+INDEX('Scored Accounts'!$O$2:$O$301,MATCH($A188,'Scored Accounts'!$A$2:$A$301,0))*Assumptions!$B$6)</f>
        <v>0</v>
      </c>
      <c r="AP188" s="2" t="str">
        <f aca="false">IF(AO188&gt;=Assumptions!$B$9,"High",IF(AO188&gt;=Assumptions!$B$10,"Medium","Low"))</f>
        <v>Low</v>
      </c>
      <c r="AQ188" s="10" t="b">
        <f aca="false">OR((E188&lt;=Assumptions!$B$8)&lt;&gt;((P188/(P188+Q188)*100)&lt;=Assumptions!$B$8),AM188&lt;&gt;AN188,G188&lt;&gt;AP188)</f>
        <v>0</v>
      </c>
      <c r="AR188" s="2" t="str">
        <f aca="false">IF(AP188&lt;&gt;"Low","Broker-Reliant",IF(B188="Account Managed","AM-Owned / Self-Serving","Self-Serve"))</f>
        <v>AM-Owned / Self-Serving</v>
      </c>
      <c r="AS188" s="2" t="str">
        <f aca="false">IF(AR188="Broker-Reliant",IF(J188="Tail","5. Cost-to-Serve / Low-Touch",IF(OR(N188="Growing",N188="Stable"),"1. Migration Candidate",IF(N188="Declining","2. Protect / Retain First",IF(N188="Lapsed","3. Win-Back / Verify",IF(N188="H2 Active / No H1 GMV","4. Establish / Re-establish / Observe","UNASSIGNED"))))),IF(AP188="Low",IF(J188="Tail","9. Long-Tail Automated Nurture",IF(OR(N188="Growing",N188="Stable"),"6. Growth Opportunity",IF(N188="H2 Active / No H1 GMV","7. Onboard / Re-engage / Learn",IF(OR(N188="Declining",N188="Lapsed"),"8. Retention / Reactivation","UNASSIGNED")))),"UNASSIGNED"))</f>
        <v>9. Long-Tail Automated Nurture</v>
      </c>
      <c r="AT188" s="10" t="b">
        <f aca="false">AS188&lt;&gt;T188</f>
        <v>0</v>
      </c>
      <c r="AU188" s="2" t="str">
        <f aca="false">IF(NOT(U188),"Not Eligible",IF(OR(AQ188,AH188,AK188,NOT(AND(W188&gt;=Assumptions!$B$83,O188&gt;=Assumptions!$B$84))),"Manual Review","Ready"))</f>
        <v>Not Eligible</v>
      </c>
      <c r="AV188" s="2" t="str">
        <f aca="false">IF(AG188,"Key account - human sign-off required; ","")&amp;IF(AH188,"Borderline momentum; ","")&amp;IF(AK188,"February-sensitive ("&amp;N188&amp;" -&gt; "&amp;AJ188&amp;"); ","")&amp;IF(AL188="One-Off / Insufficient History — Verify","Lapsed on thin history - verify; ","")&amp;IF(AQ188,"Material broker % inconsistency (implied tier "&amp;AP188&amp;"); ","")&amp;IF(AT188,"Implied broker % would move segment to "&amp;AS188&amp;"; ","")</f>
        <v/>
      </c>
      <c r="AW188" s="10" t="b">
        <f aca="false">AND(G188="Low",J188="Tail",I188&gt;=Assumptions!$B$64,O188&gt;=Assumptions!$B$65,OR(N188="Growing",N188="Stable",AND(N188="H2 Active / No H1 GMV",W188&gt;=2)),OR(R188&gt;=Assumptions!$B$66,S188&gt;=Assumptions!$B$67))</f>
        <v>0</v>
      </c>
    </row>
    <row r="189" customFormat="false" ht="15" hidden="false" customHeight="false" outlineLevel="0" collapsed="false">
      <c r="A189" s="2" t="s">
        <v>938</v>
      </c>
      <c r="B189" s="2" t="s">
        <v>1571</v>
      </c>
      <c r="C189" s="2" t="s">
        <v>1572</v>
      </c>
      <c r="D189" s="2" t="n">
        <v>6</v>
      </c>
      <c r="E189" s="2" t="n">
        <v>17</v>
      </c>
      <c r="F189" s="21" t="n">
        <f aca="false">INDEX('Scored Accounts'!$Q$2:$Q$301,MATCH($A189,'Scored Accounts'!$A$2:$A$301,0))</f>
        <v>0</v>
      </c>
      <c r="G189" s="2" t="str">
        <f aca="false">INDEX('Scored Accounts'!$R$2:$R$301,MATCH($A189,'Scored Accounts'!$A$2:$A$301,0))</f>
        <v>Low</v>
      </c>
      <c r="H189" s="2" t="str">
        <f aca="false">IF(OR(G189="High",G189="Medium"),"Broker-Reliant",IF(AND(G189="Low",B189="Account Managed"),"AM-Owned / Self-Serving",IF(AND(G189="Low",B189="Self Serve"),"Self-Serve","UNASSIGNED")))</f>
        <v>AM-Owned / Self-Serving</v>
      </c>
      <c r="I189" s="9" t="n">
        <v>116</v>
      </c>
      <c r="J189" s="2" t="str">
        <f aca="false">IF(I189&gt;=Assumptions!$B$35,"Key",IF(I189&gt;=Assumptions!$B$34,"Core","Tail"))</f>
        <v>Tail</v>
      </c>
      <c r="K189" s="9" t="n">
        <f aca="false">INDEX('Commercial View'!$R$2:$R$301,MATCH($A189,'Commercial View'!$A$2:$A$301,0))</f>
        <v>116</v>
      </c>
      <c r="L189" s="9" t="n">
        <f aca="false">INDEX('Commercial View'!$S$2:$S$301,MATCH($A189,'Commercial View'!$A$2:$A$301,0))</f>
        <v>0</v>
      </c>
      <c r="M189" s="17" t="n">
        <f aca="false">INDEX('Commercial View'!$T$2:$T$301,MATCH($A189,'Commercial View'!$A$2:$A$301,0))</f>
        <v>-1</v>
      </c>
      <c r="N189" s="2" t="str">
        <f aca="false">INDEX('Commercial View'!$U$2:$U$301,MATCH($A189,'Commercial View'!$A$2:$A$301,0))</f>
        <v>Lapsed</v>
      </c>
      <c r="O189" s="2" t="n">
        <v>1</v>
      </c>
      <c r="P189" s="2" t="n">
        <v>0</v>
      </c>
      <c r="Q189" s="2" t="n">
        <v>1</v>
      </c>
      <c r="R189" s="2" t="n">
        <v>4</v>
      </c>
      <c r="S189" s="2" t="n">
        <v>0</v>
      </c>
      <c r="T189" s="2" t="str">
        <f aca="false">IF(H189="Broker-Reliant",IF(J189="Tail","5. Cost-to-Serve / Low-Touch",IF(OR(N189="Growing",N189="Stable"),"1. Migration Candidate",IF(N189="Declining","2. Protect / Retain First",IF(N189="Lapsed","3. Win-Back / Verify",IF(N189="H2 Active / No H1 GMV","4. Establish / Re-establish / Observe","UNASSIGNED"))))),IF(G189="Low",IF(J189="Tail","9. Long-Tail Automated Nurture",IF(OR(N189="Growing",N189="Stable"),"6. Growth Opportunity",IF(N189="H2 Active / No H1 GMV","7. Onboard / Re-engage / Learn",IF(OR(N189="Declining",N189="Lapsed"),"8. Retention / Reactivation","UNASSIGNED")))),"UNASSIGNED"))</f>
        <v>9. Long-Tail Automated Nurture</v>
      </c>
      <c r="U189" s="10" t="b">
        <f aca="false">AND(T189="1. Migration Candidate",J189="Core",O189&gt;=Assumptions!$B$39,Q189&gt;=Assumptions!$B$40,NOT(Z189))</f>
        <v>0</v>
      </c>
      <c r="V189" s="2" t="n">
        <f aca="false">(AND(H189="Broker-Reliant",J189&lt;&gt;"Tail",OR(N189="Growing",N189="Stable")))*1+(AND(H189="Broker-Reliant",J189&lt;&gt;"Tail",N189="Declining"))*1+(AND(H189="Broker-Reliant",J189&lt;&gt;"Tail",N189="Lapsed"))*1+(AND(H189="Broker-Reliant",J189&lt;&gt;"Tail",N189="H2 Active / No H1 GMV"))*1+(AND(H189="Broker-Reliant",J189="Tail"))*1+(AND(G189="Low",J189&lt;&gt;"Tail",OR(N189="Growing",N189="Stable")))*1+(AND(G189="Low",J189&lt;&gt;"Tail",N189="H2 Active / No H1 GMV"))*1+(AND(G189="Low",J189&lt;&gt;"Tail",OR(N189="Declining",N189="Lapsed")))*1+(AND(G189="Low",J189="Tail"))*1</f>
        <v>1</v>
      </c>
      <c r="W189" s="2" t="n">
        <f aca="false">INDEX('Commercial View'!$V$2:$V$301,MATCH($A189,'Commercial View'!$A$2:$A$301,0))</f>
        <v>1</v>
      </c>
      <c r="X189" s="10" t="b">
        <f aca="false">O189&lt;=Assumptions!$B$30</f>
        <v>1</v>
      </c>
      <c r="Y189" s="10" t="b">
        <f aca="false">W189&lt;=1</f>
        <v>1</v>
      </c>
      <c r="Z189" s="10" t="b">
        <f aca="false">C189="Duplicate"</f>
        <v>0</v>
      </c>
      <c r="AA189" s="10" t="b">
        <f aca="false">C189=""</f>
        <v>0</v>
      </c>
      <c r="AB189" s="2" t="n">
        <f aca="false">IF(P189+Q189&gt;0,ROUND(P189/(P189+Q189)*100,0),"")</f>
        <v>0</v>
      </c>
      <c r="AC189" s="2" t="n">
        <f aca="false">IF(P189+Q189&gt;0,ROUND(E189-P189/(P189+Q189)*100,0),"")</f>
        <v>17</v>
      </c>
      <c r="AD189" s="10" t="b">
        <f aca="false">IF(AC189="",FALSE(),ABS(AC189)&gt;Assumptions!$B$41)</f>
        <v>1</v>
      </c>
      <c r="AE189" s="2" t="str">
        <f aca="false">IF(X189,"Low confidence (&lt;=2 orders); ","")&amp;IF(Y189,"Single-month history; ","")&amp;IF(Z189,"CRITICAL: Duplicate status; ","")&amp;IF(AA189,"Missing status; ","")&amp;IF(AD189,"Broker % vs counts gap "&amp;TEXT(AC189,"+0;-0")&amp;"pts; ","")</f>
        <v>Low confidence (&lt;=2 orders); Single-month history; Broker % vs counts gap +17pts; </v>
      </c>
      <c r="AF189" s="2" t="str">
        <f aca="false">IF(AND(K189=0,L189&gt;0),IF(D189&lt;=Assumptions!$B$47,"New Customer","Returned Customer"),"Existing Customer")</f>
        <v>Existing Customer</v>
      </c>
      <c r="AG189" s="10" t="b">
        <f aca="false">AND(T189="1. Migration Candidate",J189="Key")</f>
        <v>0</v>
      </c>
      <c r="AH189" s="10" t="b">
        <f aca="false">IF(AND(K189&gt;0,L189&gt;0),OR(ABS(M189-Assumptions!$B$36)&lt;=Assumptions!$B$46,ABS(M189+Assumptions!$B$36)&lt;=Assumptions!$B$46),FALSE())</f>
        <v>0</v>
      </c>
      <c r="AI189" s="9" t="n">
        <f aca="false">INDEX('Commercial View'!$L$2:$L$301,MATCH($A189,'Commercial View'!$A$2:$A$301,0))+INDEX('Commercial View'!$M$2:$M$301,MATCH($A189,'Commercial View'!$A$2:$A$301,0))</f>
        <v>0</v>
      </c>
      <c r="AJ189" s="2" t="str">
        <f aca="false">IF(AND(K189=0,AI189=0),"No activity ex-Feb",IF(AI189=0,"Lapsed",IF(K189=0,"H2 Active / No H1 GMV",IF((AI189/2)/(K189/3)-1&gt;=Assumptions!$B$36,"Growing",IF((AI189/2)/(K189/3)-1&lt;-Assumptions!$B$36,"Declining","Stable")))))</f>
        <v>Lapsed</v>
      </c>
      <c r="AK189" s="10" t="b">
        <f aca="false">IF(OR(N189="Growing",N189="Stable"),"Healthy",N189)&lt;&gt;IF(OR(AJ189="Growing",AJ189="Stable"),"Healthy",AJ189)</f>
        <v>0</v>
      </c>
      <c r="AL189" s="2" t="str">
        <f aca="false">IF(N189="Lapsed",IF(OR(O189&lt;=Assumptions!$B$48,W189&lt;=Assumptions!$B$49),"One-Off / Insufficient History — Verify","Established Buyer Lapsed"),"N/A")</f>
        <v>One-Off / Insufficient History — Verify</v>
      </c>
      <c r="AM189" s="2" t="n">
        <f aca="false">INDEX('Scored Accounts'!$M$2:$M$301,MATCH($A189,'Scored Accounts'!$A$2:$A$301,0))</f>
        <v>0</v>
      </c>
      <c r="AN189" s="2" t="n">
        <f aca="false">IF((P189/(P189+Q189)*100)&lt;=Assumptions!$B$13,0,IF((P189/(P189+Q189)*100)&lt;Assumptions!$B$14,25,IF((P189/(P189+Q189)*100)&lt;Assumptions!$B$15,50,IF((P189/(P189+Q189)*100)&lt;Assumptions!$B$16,75,100))))</f>
        <v>0</v>
      </c>
      <c r="AO189" s="21" t="n">
        <f aca="false">IF((P189/(P189+Q189)*100)&lt;=Assumptions!$B$8,0,AN189*Assumptions!$B$4+INDEX('Scored Accounts'!$N$2:$N$301,MATCH($A189,'Scored Accounts'!$A$2:$A$301,0))*Assumptions!$B$5+INDEX('Scored Accounts'!$O$2:$O$301,MATCH($A189,'Scored Accounts'!$A$2:$A$301,0))*Assumptions!$B$6)</f>
        <v>0</v>
      </c>
      <c r="AP189" s="2" t="str">
        <f aca="false">IF(AO189&gt;=Assumptions!$B$9,"High",IF(AO189&gt;=Assumptions!$B$10,"Medium","Low"))</f>
        <v>Low</v>
      </c>
      <c r="AQ189" s="10" t="b">
        <f aca="false">OR((E189&lt;=Assumptions!$B$8)&lt;&gt;((P189/(P189+Q189)*100)&lt;=Assumptions!$B$8),AM189&lt;&gt;AN189,G189&lt;&gt;AP189)</f>
        <v>0</v>
      </c>
      <c r="AR189" s="2" t="str">
        <f aca="false">IF(AP189&lt;&gt;"Low","Broker-Reliant",IF(B189="Account Managed","AM-Owned / Self-Serving","Self-Serve"))</f>
        <v>AM-Owned / Self-Serving</v>
      </c>
      <c r="AS189" s="2" t="str">
        <f aca="false">IF(AR189="Broker-Reliant",IF(J189="Tail","5. Cost-to-Serve / Low-Touch",IF(OR(N189="Growing",N189="Stable"),"1. Migration Candidate",IF(N189="Declining","2. Protect / Retain First",IF(N189="Lapsed","3. Win-Back / Verify",IF(N189="H2 Active / No H1 GMV","4. Establish / Re-establish / Observe","UNASSIGNED"))))),IF(AP189="Low",IF(J189="Tail","9. Long-Tail Automated Nurture",IF(OR(N189="Growing",N189="Stable"),"6. Growth Opportunity",IF(N189="H2 Active / No H1 GMV","7. Onboard / Re-engage / Learn",IF(OR(N189="Declining",N189="Lapsed"),"8. Retention / Reactivation","UNASSIGNED")))),"UNASSIGNED"))</f>
        <v>9. Long-Tail Automated Nurture</v>
      </c>
      <c r="AT189" s="10" t="b">
        <f aca="false">AS189&lt;&gt;T189</f>
        <v>0</v>
      </c>
      <c r="AU189" s="2" t="str">
        <f aca="false">IF(NOT(U189),"Not Eligible",IF(OR(AQ189,AH189,AK189,NOT(AND(W189&gt;=Assumptions!$B$83,O189&gt;=Assumptions!$B$84))),"Manual Review","Ready"))</f>
        <v>Not Eligible</v>
      </c>
      <c r="AV189" s="2" t="str">
        <f aca="false">IF(AG189,"Key account - human sign-off required; ","")&amp;IF(AH189,"Borderline momentum; ","")&amp;IF(AK189,"February-sensitive ("&amp;N189&amp;" -&gt; "&amp;AJ189&amp;"); ","")&amp;IF(AL189="One-Off / Insufficient History — Verify","Lapsed on thin history - verify; ","")&amp;IF(AQ189,"Material broker % inconsistency (implied tier "&amp;AP189&amp;"); ","")&amp;IF(AT189,"Implied broker % would move segment to "&amp;AS189&amp;"; ","")</f>
        <v>Lapsed on thin history - verify; </v>
      </c>
      <c r="AW189" s="10" t="b">
        <f aca="false">AND(G189="Low",J189="Tail",I189&gt;=Assumptions!$B$64,O189&gt;=Assumptions!$B$65,OR(N189="Growing",N189="Stable",AND(N189="H2 Active / No H1 GMV",W189&gt;=2)),OR(R189&gt;=Assumptions!$B$66,S189&gt;=Assumptions!$B$67))</f>
        <v>0</v>
      </c>
    </row>
    <row r="190" customFormat="false" ht="15" hidden="false" customHeight="false" outlineLevel="0" collapsed="false">
      <c r="A190" s="2" t="s">
        <v>940</v>
      </c>
      <c r="B190" s="2" t="s">
        <v>1571</v>
      </c>
      <c r="C190" s="2" t="s">
        <v>1572</v>
      </c>
      <c r="D190" s="2" t="n">
        <v>12</v>
      </c>
      <c r="E190" s="2" t="n">
        <v>15</v>
      </c>
      <c r="F190" s="21" t="n">
        <f aca="false">INDEX('Scored Accounts'!$Q$2:$Q$301,MATCH($A190,'Scored Accounts'!$A$2:$A$301,0))</f>
        <v>0</v>
      </c>
      <c r="G190" s="2" t="str">
        <f aca="false">INDEX('Scored Accounts'!$R$2:$R$301,MATCH($A190,'Scored Accounts'!$A$2:$A$301,0))</f>
        <v>Low</v>
      </c>
      <c r="H190" s="2" t="str">
        <f aca="false">IF(OR(G190="High",G190="Medium"),"Broker-Reliant",IF(AND(G190="Low",B190="Account Managed"),"AM-Owned / Self-Serving",IF(AND(G190="Low",B190="Self Serve"),"Self-Serve","UNASSIGNED")))</f>
        <v>AM-Owned / Self-Serving</v>
      </c>
      <c r="I190" s="9" t="n">
        <v>116</v>
      </c>
      <c r="J190" s="2" t="str">
        <f aca="false">IF(I190&gt;=Assumptions!$B$35,"Key",IF(I190&gt;=Assumptions!$B$34,"Core","Tail"))</f>
        <v>Tail</v>
      </c>
      <c r="K190" s="9" t="n">
        <f aca="false">INDEX('Commercial View'!$R$2:$R$301,MATCH($A190,'Commercial View'!$A$2:$A$301,0))</f>
        <v>116</v>
      </c>
      <c r="L190" s="9" t="n">
        <f aca="false">INDEX('Commercial View'!$S$2:$S$301,MATCH($A190,'Commercial View'!$A$2:$A$301,0))</f>
        <v>0</v>
      </c>
      <c r="M190" s="17" t="n">
        <f aca="false">INDEX('Commercial View'!$T$2:$T$301,MATCH($A190,'Commercial View'!$A$2:$A$301,0))</f>
        <v>-1</v>
      </c>
      <c r="N190" s="2" t="str">
        <f aca="false">INDEX('Commercial View'!$U$2:$U$301,MATCH($A190,'Commercial View'!$A$2:$A$301,0))</f>
        <v>Lapsed</v>
      </c>
      <c r="O190" s="2" t="n">
        <v>1</v>
      </c>
      <c r="P190" s="2" t="n">
        <v>0</v>
      </c>
      <c r="Q190" s="2" t="n">
        <v>1</v>
      </c>
      <c r="R190" s="2" t="n">
        <v>12</v>
      </c>
      <c r="S190" s="2" t="n">
        <v>0</v>
      </c>
      <c r="T190" s="2" t="str">
        <f aca="false">IF(H190="Broker-Reliant",IF(J190="Tail","5. Cost-to-Serve / Low-Touch",IF(OR(N190="Growing",N190="Stable"),"1. Migration Candidate",IF(N190="Declining","2. Protect / Retain First",IF(N190="Lapsed","3. Win-Back / Verify",IF(N190="H2 Active / No H1 GMV","4. Establish / Re-establish / Observe","UNASSIGNED"))))),IF(G190="Low",IF(J190="Tail","9. Long-Tail Automated Nurture",IF(OR(N190="Growing",N190="Stable"),"6. Growth Opportunity",IF(N190="H2 Active / No H1 GMV","7. Onboard / Re-engage / Learn",IF(OR(N190="Declining",N190="Lapsed"),"8. Retention / Reactivation","UNASSIGNED")))),"UNASSIGNED"))</f>
        <v>9. Long-Tail Automated Nurture</v>
      </c>
      <c r="U190" s="10" t="b">
        <f aca="false">AND(T190="1. Migration Candidate",J190="Core",O190&gt;=Assumptions!$B$39,Q190&gt;=Assumptions!$B$40,NOT(Z190))</f>
        <v>0</v>
      </c>
      <c r="V190" s="2" t="n">
        <f aca="false">(AND(H190="Broker-Reliant",J190&lt;&gt;"Tail",OR(N190="Growing",N190="Stable")))*1+(AND(H190="Broker-Reliant",J190&lt;&gt;"Tail",N190="Declining"))*1+(AND(H190="Broker-Reliant",J190&lt;&gt;"Tail",N190="Lapsed"))*1+(AND(H190="Broker-Reliant",J190&lt;&gt;"Tail",N190="H2 Active / No H1 GMV"))*1+(AND(H190="Broker-Reliant",J190="Tail"))*1+(AND(G190="Low",J190&lt;&gt;"Tail",OR(N190="Growing",N190="Stable")))*1+(AND(G190="Low",J190&lt;&gt;"Tail",N190="H2 Active / No H1 GMV"))*1+(AND(G190="Low",J190&lt;&gt;"Tail",OR(N190="Declining",N190="Lapsed")))*1+(AND(G190="Low",J190="Tail"))*1</f>
        <v>1</v>
      </c>
      <c r="W190" s="2" t="n">
        <f aca="false">INDEX('Commercial View'!$V$2:$V$301,MATCH($A190,'Commercial View'!$A$2:$A$301,0))</f>
        <v>1</v>
      </c>
      <c r="X190" s="10" t="b">
        <f aca="false">O190&lt;=Assumptions!$B$30</f>
        <v>1</v>
      </c>
      <c r="Y190" s="10" t="b">
        <f aca="false">W190&lt;=1</f>
        <v>1</v>
      </c>
      <c r="Z190" s="10" t="b">
        <f aca="false">C190="Duplicate"</f>
        <v>0</v>
      </c>
      <c r="AA190" s="10" t="b">
        <f aca="false">C190=""</f>
        <v>0</v>
      </c>
      <c r="AB190" s="2" t="n">
        <f aca="false">IF(P190+Q190&gt;0,ROUND(P190/(P190+Q190)*100,0),"")</f>
        <v>0</v>
      </c>
      <c r="AC190" s="2" t="n">
        <f aca="false">IF(P190+Q190&gt;0,ROUND(E190-P190/(P190+Q190)*100,0),"")</f>
        <v>15</v>
      </c>
      <c r="AD190" s="10" t="b">
        <f aca="false">IF(AC190="",FALSE(),ABS(AC190)&gt;Assumptions!$B$41)</f>
        <v>1</v>
      </c>
      <c r="AE190" s="2" t="str">
        <f aca="false">IF(X190,"Low confidence (&lt;=2 orders); ","")&amp;IF(Y190,"Single-month history; ","")&amp;IF(Z190,"CRITICAL: Duplicate status; ","")&amp;IF(AA190,"Missing status; ","")&amp;IF(AD190,"Broker % vs counts gap "&amp;TEXT(AC190,"+0;-0")&amp;"pts; ","")</f>
        <v>Low confidence (&lt;=2 orders); Single-month history; Broker % vs counts gap +15pts; </v>
      </c>
      <c r="AF190" s="2" t="str">
        <f aca="false">IF(AND(K190=0,L190&gt;0),IF(D190&lt;=Assumptions!$B$47,"New Customer","Returned Customer"),"Existing Customer")</f>
        <v>Existing Customer</v>
      </c>
      <c r="AG190" s="10" t="b">
        <f aca="false">AND(T190="1. Migration Candidate",J190="Key")</f>
        <v>0</v>
      </c>
      <c r="AH190" s="10" t="b">
        <f aca="false">IF(AND(K190&gt;0,L190&gt;0),OR(ABS(M190-Assumptions!$B$36)&lt;=Assumptions!$B$46,ABS(M190+Assumptions!$B$36)&lt;=Assumptions!$B$46),FALSE())</f>
        <v>0</v>
      </c>
      <c r="AI190" s="9" t="n">
        <f aca="false">INDEX('Commercial View'!$L$2:$L$301,MATCH($A190,'Commercial View'!$A$2:$A$301,0))+INDEX('Commercial View'!$M$2:$M$301,MATCH($A190,'Commercial View'!$A$2:$A$301,0))</f>
        <v>0</v>
      </c>
      <c r="AJ190" s="2" t="str">
        <f aca="false">IF(AND(K190=0,AI190=0),"No activity ex-Feb",IF(AI190=0,"Lapsed",IF(K190=0,"H2 Active / No H1 GMV",IF((AI190/2)/(K190/3)-1&gt;=Assumptions!$B$36,"Growing",IF((AI190/2)/(K190/3)-1&lt;-Assumptions!$B$36,"Declining","Stable")))))</f>
        <v>Lapsed</v>
      </c>
      <c r="AK190" s="10" t="b">
        <f aca="false">IF(OR(N190="Growing",N190="Stable"),"Healthy",N190)&lt;&gt;IF(OR(AJ190="Growing",AJ190="Stable"),"Healthy",AJ190)</f>
        <v>0</v>
      </c>
      <c r="AL190" s="2" t="str">
        <f aca="false">IF(N190="Lapsed",IF(OR(O190&lt;=Assumptions!$B$48,W190&lt;=Assumptions!$B$49),"One-Off / Insufficient History — Verify","Established Buyer Lapsed"),"N/A")</f>
        <v>One-Off / Insufficient History — Verify</v>
      </c>
      <c r="AM190" s="2" t="n">
        <f aca="false">INDEX('Scored Accounts'!$M$2:$M$301,MATCH($A190,'Scored Accounts'!$A$2:$A$301,0))</f>
        <v>0</v>
      </c>
      <c r="AN190" s="2" t="n">
        <f aca="false">IF((P190/(P190+Q190)*100)&lt;=Assumptions!$B$13,0,IF((P190/(P190+Q190)*100)&lt;Assumptions!$B$14,25,IF((P190/(P190+Q190)*100)&lt;Assumptions!$B$15,50,IF((P190/(P190+Q190)*100)&lt;Assumptions!$B$16,75,100))))</f>
        <v>0</v>
      </c>
      <c r="AO190" s="21" t="n">
        <f aca="false">IF((P190/(P190+Q190)*100)&lt;=Assumptions!$B$8,0,AN190*Assumptions!$B$4+INDEX('Scored Accounts'!$N$2:$N$301,MATCH($A190,'Scored Accounts'!$A$2:$A$301,0))*Assumptions!$B$5+INDEX('Scored Accounts'!$O$2:$O$301,MATCH($A190,'Scored Accounts'!$A$2:$A$301,0))*Assumptions!$B$6)</f>
        <v>0</v>
      </c>
      <c r="AP190" s="2" t="str">
        <f aca="false">IF(AO190&gt;=Assumptions!$B$9,"High",IF(AO190&gt;=Assumptions!$B$10,"Medium","Low"))</f>
        <v>Low</v>
      </c>
      <c r="AQ190" s="10" t="b">
        <f aca="false">OR((E190&lt;=Assumptions!$B$8)&lt;&gt;((P190/(P190+Q190)*100)&lt;=Assumptions!$B$8),AM190&lt;&gt;AN190,G190&lt;&gt;AP190)</f>
        <v>0</v>
      </c>
      <c r="AR190" s="2" t="str">
        <f aca="false">IF(AP190&lt;&gt;"Low","Broker-Reliant",IF(B190="Account Managed","AM-Owned / Self-Serving","Self-Serve"))</f>
        <v>AM-Owned / Self-Serving</v>
      </c>
      <c r="AS190" s="2" t="str">
        <f aca="false">IF(AR190="Broker-Reliant",IF(J190="Tail","5. Cost-to-Serve / Low-Touch",IF(OR(N190="Growing",N190="Stable"),"1. Migration Candidate",IF(N190="Declining","2. Protect / Retain First",IF(N190="Lapsed","3. Win-Back / Verify",IF(N190="H2 Active / No H1 GMV","4. Establish / Re-establish / Observe","UNASSIGNED"))))),IF(AP190="Low",IF(J190="Tail","9. Long-Tail Automated Nurture",IF(OR(N190="Growing",N190="Stable"),"6. Growth Opportunity",IF(N190="H2 Active / No H1 GMV","7. Onboard / Re-engage / Learn",IF(OR(N190="Declining",N190="Lapsed"),"8. Retention / Reactivation","UNASSIGNED")))),"UNASSIGNED"))</f>
        <v>9. Long-Tail Automated Nurture</v>
      </c>
      <c r="AT190" s="10" t="b">
        <f aca="false">AS190&lt;&gt;T190</f>
        <v>0</v>
      </c>
      <c r="AU190" s="2" t="str">
        <f aca="false">IF(NOT(U190),"Not Eligible",IF(OR(AQ190,AH190,AK190,NOT(AND(W190&gt;=Assumptions!$B$83,O190&gt;=Assumptions!$B$84))),"Manual Review","Ready"))</f>
        <v>Not Eligible</v>
      </c>
      <c r="AV190" s="2" t="str">
        <f aca="false">IF(AG190,"Key account - human sign-off required; ","")&amp;IF(AH190,"Borderline momentum; ","")&amp;IF(AK190,"February-sensitive ("&amp;N190&amp;" -&gt; "&amp;AJ190&amp;"); ","")&amp;IF(AL190="One-Off / Insufficient History — Verify","Lapsed on thin history - verify; ","")&amp;IF(AQ190,"Material broker % inconsistency (implied tier "&amp;AP190&amp;"); ","")&amp;IF(AT190,"Implied broker % would move segment to "&amp;AS190&amp;"; ","")</f>
        <v>Lapsed on thin history - verify; </v>
      </c>
      <c r="AW190" s="10" t="b">
        <f aca="false">AND(G190="Low",J190="Tail",I190&gt;=Assumptions!$B$64,O190&gt;=Assumptions!$B$65,OR(N190="Growing",N190="Stable",AND(N190="H2 Active / No H1 GMV",W190&gt;=2)),OR(R190&gt;=Assumptions!$B$66,S190&gt;=Assumptions!$B$67))</f>
        <v>0</v>
      </c>
    </row>
    <row r="191" customFormat="false" ht="15" hidden="false" customHeight="false" outlineLevel="0" collapsed="false">
      <c r="A191" s="2" t="s">
        <v>942</v>
      </c>
      <c r="B191" s="2" t="s">
        <v>1571</v>
      </c>
      <c r="C191" s="2" t="s">
        <v>1572</v>
      </c>
      <c r="D191" s="2" t="n">
        <v>6</v>
      </c>
      <c r="E191" s="2" t="n">
        <v>1</v>
      </c>
      <c r="F191" s="21" t="n">
        <f aca="false">INDEX('Scored Accounts'!$Q$2:$Q$301,MATCH($A191,'Scored Accounts'!$A$2:$A$301,0))</f>
        <v>0</v>
      </c>
      <c r="G191" s="2" t="str">
        <f aca="false">INDEX('Scored Accounts'!$R$2:$R$301,MATCH($A191,'Scored Accounts'!$A$2:$A$301,0))</f>
        <v>Low</v>
      </c>
      <c r="H191" s="2" t="str">
        <f aca="false">IF(OR(G191="High",G191="Medium"),"Broker-Reliant",IF(AND(G191="Low",B191="Account Managed"),"AM-Owned / Self-Serving",IF(AND(G191="Low",B191="Self Serve"),"Self-Serve","UNASSIGNED")))</f>
        <v>AM-Owned / Self-Serving</v>
      </c>
      <c r="I191" s="9" t="n">
        <v>113</v>
      </c>
      <c r="J191" s="2" t="str">
        <f aca="false">IF(I191&gt;=Assumptions!$B$35,"Key",IF(I191&gt;=Assumptions!$B$34,"Core","Tail"))</f>
        <v>Tail</v>
      </c>
      <c r="K191" s="9" t="n">
        <f aca="false">INDEX('Commercial View'!$R$2:$R$301,MATCH($A191,'Commercial View'!$A$2:$A$301,0))</f>
        <v>113</v>
      </c>
      <c r="L191" s="9" t="n">
        <f aca="false">INDEX('Commercial View'!$S$2:$S$301,MATCH($A191,'Commercial View'!$A$2:$A$301,0))</f>
        <v>0</v>
      </c>
      <c r="M191" s="17" t="n">
        <f aca="false">INDEX('Commercial View'!$T$2:$T$301,MATCH($A191,'Commercial View'!$A$2:$A$301,0))</f>
        <v>-1</v>
      </c>
      <c r="N191" s="2" t="str">
        <f aca="false">INDEX('Commercial View'!$U$2:$U$301,MATCH($A191,'Commercial View'!$A$2:$A$301,0))</f>
        <v>Lapsed</v>
      </c>
      <c r="O191" s="2" t="n">
        <v>1</v>
      </c>
      <c r="P191" s="2" t="n">
        <v>0</v>
      </c>
      <c r="Q191" s="2" t="n">
        <v>1</v>
      </c>
      <c r="R191" s="2" t="n">
        <v>2</v>
      </c>
      <c r="S191" s="2" t="n">
        <v>0</v>
      </c>
      <c r="T191" s="2" t="str">
        <f aca="false">IF(H191="Broker-Reliant",IF(J191="Tail","5. Cost-to-Serve / Low-Touch",IF(OR(N191="Growing",N191="Stable"),"1. Migration Candidate",IF(N191="Declining","2. Protect / Retain First",IF(N191="Lapsed","3. Win-Back / Verify",IF(N191="H2 Active / No H1 GMV","4. Establish / Re-establish / Observe","UNASSIGNED"))))),IF(G191="Low",IF(J191="Tail","9. Long-Tail Automated Nurture",IF(OR(N191="Growing",N191="Stable"),"6. Growth Opportunity",IF(N191="H2 Active / No H1 GMV","7. Onboard / Re-engage / Learn",IF(OR(N191="Declining",N191="Lapsed"),"8. Retention / Reactivation","UNASSIGNED")))),"UNASSIGNED"))</f>
        <v>9. Long-Tail Automated Nurture</v>
      </c>
      <c r="U191" s="10" t="b">
        <f aca="false">AND(T191="1. Migration Candidate",J191="Core",O191&gt;=Assumptions!$B$39,Q191&gt;=Assumptions!$B$40,NOT(Z191))</f>
        <v>0</v>
      </c>
      <c r="V191" s="2" t="n">
        <f aca="false">(AND(H191="Broker-Reliant",J191&lt;&gt;"Tail",OR(N191="Growing",N191="Stable")))*1+(AND(H191="Broker-Reliant",J191&lt;&gt;"Tail",N191="Declining"))*1+(AND(H191="Broker-Reliant",J191&lt;&gt;"Tail",N191="Lapsed"))*1+(AND(H191="Broker-Reliant",J191&lt;&gt;"Tail",N191="H2 Active / No H1 GMV"))*1+(AND(H191="Broker-Reliant",J191="Tail"))*1+(AND(G191="Low",J191&lt;&gt;"Tail",OR(N191="Growing",N191="Stable")))*1+(AND(G191="Low",J191&lt;&gt;"Tail",N191="H2 Active / No H1 GMV"))*1+(AND(G191="Low",J191&lt;&gt;"Tail",OR(N191="Declining",N191="Lapsed")))*1+(AND(G191="Low",J191="Tail"))*1</f>
        <v>1</v>
      </c>
      <c r="W191" s="2" t="n">
        <f aca="false">INDEX('Commercial View'!$V$2:$V$301,MATCH($A191,'Commercial View'!$A$2:$A$301,0))</f>
        <v>1</v>
      </c>
      <c r="X191" s="10" t="b">
        <f aca="false">O191&lt;=Assumptions!$B$30</f>
        <v>1</v>
      </c>
      <c r="Y191" s="10" t="b">
        <f aca="false">W191&lt;=1</f>
        <v>1</v>
      </c>
      <c r="Z191" s="10" t="b">
        <f aca="false">C191="Duplicate"</f>
        <v>0</v>
      </c>
      <c r="AA191" s="10" t="b">
        <f aca="false">C191=""</f>
        <v>0</v>
      </c>
      <c r="AB191" s="2" t="n">
        <f aca="false">IF(P191+Q191&gt;0,ROUND(P191/(P191+Q191)*100,0),"")</f>
        <v>0</v>
      </c>
      <c r="AC191" s="2" t="n">
        <f aca="false">IF(P191+Q191&gt;0,ROUND(E191-P191/(P191+Q191)*100,0),"")</f>
        <v>1</v>
      </c>
      <c r="AD191" s="10" t="b">
        <f aca="false">IF(AC191="",FALSE(),ABS(AC191)&gt;Assumptions!$B$41)</f>
        <v>0</v>
      </c>
      <c r="AE191" s="2" t="str">
        <f aca="false">IF(X191,"Low confidence (&lt;=2 orders); ","")&amp;IF(Y191,"Single-month history; ","")&amp;IF(Z191,"CRITICAL: Duplicate status; ","")&amp;IF(AA191,"Missing status; ","")&amp;IF(AD191,"Broker % vs counts gap "&amp;TEXT(AC191,"+0;-0")&amp;"pts; ","")</f>
        <v>Low confidence (&lt;=2 orders); Single-month history; </v>
      </c>
      <c r="AF191" s="2" t="str">
        <f aca="false">IF(AND(K191=0,L191&gt;0),IF(D191&lt;=Assumptions!$B$47,"New Customer","Returned Customer"),"Existing Customer")</f>
        <v>Existing Customer</v>
      </c>
      <c r="AG191" s="10" t="b">
        <f aca="false">AND(T191="1. Migration Candidate",J191="Key")</f>
        <v>0</v>
      </c>
      <c r="AH191" s="10" t="b">
        <f aca="false">IF(AND(K191&gt;0,L191&gt;0),OR(ABS(M191-Assumptions!$B$36)&lt;=Assumptions!$B$46,ABS(M191+Assumptions!$B$36)&lt;=Assumptions!$B$46),FALSE())</f>
        <v>0</v>
      </c>
      <c r="AI191" s="9" t="n">
        <f aca="false">INDEX('Commercial View'!$L$2:$L$301,MATCH($A191,'Commercial View'!$A$2:$A$301,0))+INDEX('Commercial View'!$M$2:$M$301,MATCH($A191,'Commercial View'!$A$2:$A$301,0))</f>
        <v>0</v>
      </c>
      <c r="AJ191" s="2" t="str">
        <f aca="false">IF(AND(K191=0,AI191=0),"No activity ex-Feb",IF(AI191=0,"Lapsed",IF(K191=0,"H2 Active / No H1 GMV",IF((AI191/2)/(K191/3)-1&gt;=Assumptions!$B$36,"Growing",IF((AI191/2)/(K191/3)-1&lt;-Assumptions!$B$36,"Declining","Stable")))))</f>
        <v>Lapsed</v>
      </c>
      <c r="AK191" s="10" t="b">
        <f aca="false">IF(OR(N191="Growing",N191="Stable"),"Healthy",N191)&lt;&gt;IF(OR(AJ191="Growing",AJ191="Stable"),"Healthy",AJ191)</f>
        <v>0</v>
      </c>
      <c r="AL191" s="2" t="str">
        <f aca="false">IF(N191="Lapsed",IF(OR(O191&lt;=Assumptions!$B$48,W191&lt;=Assumptions!$B$49),"One-Off / Insufficient History — Verify","Established Buyer Lapsed"),"N/A")</f>
        <v>One-Off / Insufficient History — Verify</v>
      </c>
      <c r="AM191" s="2" t="n">
        <f aca="false">INDEX('Scored Accounts'!$M$2:$M$301,MATCH($A191,'Scored Accounts'!$A$2:$A$301,0))</f>
        <v>0</v>
      </c>
      <c r="AN191" s="2" t="n">
        <f aca="false">IF((P191/(P191+Q191)*100)&lt;=Assumptions!$B$13,0,IF((P191/(P191+Q191)*100)&lt;Assumptions!$B$14,25,IF((P191/(P191+Q191)*100)&lt;Assumptions!$B$15,50,IF((P191/(P191+Q191)*100)&lt;Assumptions!$B$16,75,100))))</f>
        <v>0</v>
      </c>
      <c r="AO191" s="21" t="n">
        <f aca="false">IF((P191/(P191+Q191)*100)&lt;=Assumptions!$B$8,0,AN191*Assumptions!$B$4+INDEX('Scored Accounts'!$N$2:$N$301,MATCH($A191,'Scored Accounts'!$A$2:$A$301,0))*Assumptions!$B$5+INDEX('Scored Accounts'!$O$2:$O$301,MATCH($A191,'Scored Accounts'!$A$2:$A$301,0))*Assumptions!$B$6)</f>
        <v>0</v>
      </c>
      <c r="AP191" s="2" t="str">
        <f aca="false">IF(AO191&gt;=Assumptions!$B$9,"High",IF(AO191&gt;=Assumptions!$B$10,"Medium","Low"))</f>
        <v>Low</v>
      </c>
      <c r="AQ191" s="10" t="b">
        <f aca="false">OR((E191&lt;=Assumptions!$B$8)&lt;&gt;((P191/(P191+Q191)*100)&lt;=Assumptions!$B$8),AM191&lt;&gt;AN191,G191&lt;&gt;AP191)</f>
        <v>0</v>
      </c>
      <c r="AR191" s="2" t="str">
        <f aca="false">IF(AP191&lt;&gt;"Low","Broker-Reliant",IF(B191="Account Managed","AM-Owned / Self-Serving","Self-Serve"))</f>
        <v>AM-Owned / Self-Serving</v>
      </c>
      <c r="AS191" s="2" t="str">
        <f aca="false">IF(AR191="Broker-Reliant",IF(J191="Tail","5. Cost-to-Serve / Low-Touch",IF(OR(N191="Growing",N191="Stable"),"1. Migration Candidate",IF(N191="Declining","2. Protect / Retain First",IF(N191="Lapsed","3. Win-Back / Verify",IF(N191="H2 Active / No H1 GMV","4. Establish / Re-establish / Observe","UNASSIGNED"))))),IF(AP191="Low",IF(J191="Tail","9. Long-Tail Automated Nurture",IF(OR(N191="Growing",N191="Stable"),"6. Growth Opportunity",IF(N191="H2 Active / No H1 GMV","7. Onboard / Re-engage / Learn",IF(OR(N191="Declining",N191="Lapsed"),"8. Retention / Reactivation","UNASSIGNED")))),"UNASSIGNED"))</f>
        <v>9. Long-Tail Automated Nurture</v>
      </c>
      <c r="AT191" s="10" t="b">
        <f aca="false">AS191&lt;&gt;T191</f>
        <v>0</v>
      </c>
      <c r="AU191" s="2" t="str">
        <f aca="false">IF(NOT(U191),"Not Eligible",IF(OR(AQ191,AH191,AK191,NOT(AND(W191&gt;=Assumptions!$B$83,O191&gt;=Assumptions!$B$84))),"Manual Review","Ready"))</f>
        <v>Not Eligible</v>
      </c>
      <c r="AV191" s="2" t="str">
        <f aca="false">IF(AG191,"Key account - human sign-off required; ","")&amp;IF(AH191,"Borderline momentum; ","")&amp;IF(AK191,"February-sensitive ("&amp;N191&amp;" -&gt; "&amp;AJ191&amp;"); ","")&amp;IF(AL191="One-Off / Insufficient History — Verify","Lapsed on thin history - verify; ","")&amp;IF(AQ191,"Material broker % inconsistency (implied tier "&amp;AP191&amp;"); ","")&amp;IF(AT191,"Implied broker % would move segment to "&amp;AS191&amp;"; ","")</f>
        <v>Lapsed on thin history - verify; </v>
      </c>
      <c r="AW191" s="10" t="b">
        <f aca="false">AND(G191="Low",J191="Tail",I191&gt;=Assumptions!$B$64,O191&gt;=Assumptions!$B$65,OR(N191="Growing",N191="Stable",AND(N191="H2 Active / No H1 GMV",W191&gt;=2)),OR(R191&gt;=Assumptions!$B$66,S191&gt;=Assumptions!$B$67))</f>
        <v>0</v>
      </c>
    </row>
    <row r="192" customFormat="false" ht="15" hidden="false" customHeight="false" outlineLevel="0" collapsed="false">
      <c r="A192" s="2" t="s">
        <v>946</v>
      </c>
      <c r="B192" s="2" t="s">
        <v>1571</v>
      </c>
      <c r="C192" s="2" t="s">
        <v>1572</v>
      </c>
      <c r="D192" s="2" t="n">
        <v>11</v>
      </c>
      <c r="E192" s="2" t="n">
        <v>14</v>
      </c>
      <c r="F192" s="21" t="n">
        <f aca="false">INDEX('Scored Accounts'!$Q$2:$Q$301,MATCH($A192,'Scored Accounts'!$A$2:$A$301,0))</f>
        <v>0</v>
      </c>
      <c r="G192" s="2" t="str">
        <f aca="false">INDEX('Scored Accounts'!$R$2:$R$301,MATCH($A192,'Scored Accounts'!$A$2:$A$301,0))</f>
        <v>Low</v>
      </c>
      <c r="H192" s="2" t="str">
        <f aca="false">IF(OR(G192="High",G192="Medium"),"Broker-Reliant",IF(AND(G192="Low",B192="Account Managed"),"AM-Owned / Self-Serving",IF(AND(G192="Low",B192="Self Serve"),"Self-Serve","UNASSIGNED")))</f>
        <v>AM-Owned / Self-Serving</v>
      </c>
      <c r="I192" s="9" t="n">
        <v>109</v>
      </c>
      <c r="J192" s="2" t="str">
        <f aca="false">IF(I192&gt;=Assumptions!$B$35,"Key",IF(I192&gt;=Assumptions!$B$34,"Core","Tail"))</f>
        <v>Tail</v>
      </c>
      <c r="K192" s="9" t="n">
        <f aca="false">INDEX('Commercial View'!$R$2:$R$301,MATCH($A192,'Commercial View'!$A$2:$A$301,0))</f>
        <v>109</v>
      </c>
      <c r="L192" s="9" t="n">
        <f aca="false">INDEX('Commercial View'!$S$2:$S$301,MATCH($A192,'Commercial View'!$A$2:$A$301,0))</f>
        <v>0</v>
      </c>
      <c r="M192" s="17" t="n">
        <f aca="false">INDEX('Commercial View'!$T$2:$T$301,MATCH($A192,'Commercial View'!$A$2:$A$301,0))</f>
        <v>-1</v>
      </c>
      <c r="N192" s="2" t="str">
        <f aca="false">INDEX('Commercial View'!$U$2:$U$301,MATCH($A192,'Commercial View'!$A$2:$A$301,0))</f>
        <v>Lapsed</v>
      </c>
      <c r="O192" s="2" t="n">
        <v>1</v>
      </c>
      <c r="P192" s="2" t="n">
        <v>0</v>
      </c>
      <c r="Q192" s="2" t="n">
        <v>1</v>
      </c>
      <c r="R192" s="2" t="n">
        <v>25</v>
      </c>
      <c r="S192" s="2" t="n">
        <v>0</v>
      </c>
      <c r="T192" s="2" t="str">
        <f aca="false">IF(H192="Broker-Reliant",IF(J192="Tail","5. Cost-to-Serve / Low-Touch",IF(OR(N192="Growing",N192="Stable"),"1. Migration Candidate",IF(N192="Declining","2. Protect / Retain First",IF(N192="Lapsed","3. Win-Back / Verify",IF(N192="H2 Active / No H1 GMV","4. Establish / Re-establish / Observe","UNASSIGNED"))))),IF(G192="Low",IF(J192="Tail","9. Long-Tail Automated Nurture",IF(OR(N192="Growing",N192="Stable"),"6. Growth Opportunity",IF(N192="H2 Active / No H1 GMV","7. Onboard / Re-engage / Learn",IF(OR(N192="Declining",N192="Lapsed"),"8. Retention / Reactivation","UNASSIGNED")))),"UNASSIGNED"))</f>
        <v>9. Long-Tail Automated Nurture</v>
      </c>
      <c r="U192" s="10" t="b">
        <f aca="false">AND(T192="1. Migration Candidate",J192="Core",O192&gt;=Assumptions!$B$39,Q192&gt;=Assumptions!$B$40,NOT(Z192))</f>
        <v>0</v>
      </c>
      <c r="V192" s="2" t="n">
        <f aca="false">(AND(H192="Broker-Reliant",J192&lt;&gt;"Tail",OR(N192="Growing",N192="Stable")))*1+(AND(H192="Broker-Reliant",J192&lt;&gt;"Tail",N192="Declining"))*1+(AND(H192="Broker-Reliant",J192&lt;&gt;"Tail",N192="Lapsed"))*1+(AND(H192="Broker-Reliant",J192&lt;&gt;"Tail",N192="H2 Active / No H1 GMV"))*1+(AND(H192="Broker-Reliant",J192="Tail"))*1+(AND(G192="Low",J192&lt;&gt;"Tail",OR(N192="Growing",N192="Stable")))*1+(AND(G192="Low",J192&lt;&gt;"Tail",N192="H2 Active / No H1 GMV"))*1+(AND(G192="Low",J192&lt;&gt;"Tail",OR(N192="Declining",N192="Lapsed")))*1+(AND(G192="Low",J192="Tail"))*1</f>
        <v>1</v>
      </c>
      <c r="W192" s="2" t="n">
        <f aca="false">INDEX('Commercial View'!$V$2:$V$301,MATCH($A192,'Commercial View'!$A$2:$A$301,0))</f>
        <v>1</v>
      </c>
      <c r="X192" s="10" t="b">
        <f aca="false">O192&lt;=Assumptions!$B$30</f>
        <v>1</v>
      </c>
      <c r="Y192" s="10" t="b">
        <f aca="false">W192&lt;=1</f>
        <v>1</v>
      </c>
      <c r="Z192" s="10" t="b">
        <f aca="false">C192="Duplicate"</f>
        <v>0</v>
      </c>
      <c r="AA192" s="10" t="b">
        <f aca="false">C192=""</f>
        <v>0</v>
      </c>
      <c r="AB192" s="2" t="n">
        <f aca="false">IF(P192+Q192&gt;0,ROUND(P192/(P192+Q192)*100,0),"")</f>
        <v>0</v>
      </c>
      <c r="AC192" s="2" t="n">
        <f aca="false">IF(P192+Q192&gt;0,ROUND(E192-P192/(P192+Q192)*100,0),"")</f>
        <v>14</v>
      </c>
      <c r="AD192" s="10" t="b">
        <f aca="false">IF(AC192="",FALSE(),ABS(AC192)&gt;Assumptions!$B$41)</f>
        <v>1</v>
      </c>
      <c r="AE192" s="2" t="str">
        <f aca="false">IF(X192,"Low confidence (&lt;=2 orders); ","")&amp;IF(Y192,"Single-month history; ","")&amp;IF(Z192,"CRITICAL: Duplicate status; ","")&amp;IF(AA192,"Missing status; ","")&amp;IF(AD192,"Broker % vs counts gap "&amp;TEXT(AC192,"+0;-0")&amp;"pts; ","")</f>
        <v>Low confidence (&lt;=2 orders); Single-month history; Broker % vs counts gap +14pts; </v>
      </c>
      <c r="AF192" s="2" t="str">
        <f aca="false">IF(AND(K192=0,L192&gt;0),IF(D192&lt;=Assumptions!$B$47,"New Customer","Returned Customer"),"Existing Customer")</f>
        <v>Existing Customer</v>
      </c>
      <c r="AG192" s="10" t="b">
        <f aca="false">AND(T192="1. Migration Candidate",J192="Key")</f>
        <v>0</v>
      </c>
      <c r="AH192" s="10" t="b">
        <f aca="false">IF(AND(K192&gt;0,L192&gt;0),OR(ABS(M192-Assumptions!$B$36)&lt;=Assumptions!$B$46,ABS(M192+Assumptions!$B$36)&lt;=Assumptions!$B$46),FALSE())</f>
        <v>0</v>
      </c>
      <c r="AI192" s="9" t="n">
        <f aca="false">INDEX('Commercial View'!$L$2:$L$301,MATCH($A192,'Commercial View'!$A$2:$A$301,0))+INDEX('Commercial View'!$M$2:$M$301,MATCH($A192,'Commercial View'!$A$2:$A$301,0))</f>
        <v>0</v>
      </c>
      <c r="AJ192" s="2" t="str">
        <f aca="false">IF(AND(K192=0,AI192=0),"No activity ex-Feb",IF(AI192=0,"Lapsed",IF(K192=0,"H2 Active / No H1 GMV",IF((AI192/2)/(K192/3)-1&gt;=Assumptions!$B$36,"Growing",IF((AI192/2)/(K192/3)-1&lt;-Assumptions!$B$36,"Declining","Stable")))))</f>
        <v>Lapsed</v>
      </c>
      <c r="AK192" s="10" t="b">
        <f aca="false">IF(OR(N192="Growing",N192="Stable"),"Healthy",N192)&lt;&gt;IF(OR(AJ192="Growing",AJ192="Stable"),"Healthy",AJ192)</f>
        <v>0</v>
      </c>
      <c r="AL192" s="2" t="str">
        <f aca="false">IF(N192="Lapsed",IF(OR(O192&lt;=Assumptions!$B$48,W192&lt;=Assumptions!$B$49),"One-Off / Insufficient History — Verify","Established Buyer Lapsed"),"N/A")</f>
        <v>One-Off / Insufficient History — Verify</v>
      </c>
      <c r="AM192" s="2" t="n">
        <f aca="false">INDEX('Scored Accounts'!$M$2:$M$301,MATCH($A192,'Scored Accounts'!$A$2:$A$301,0))</f>
        <v>0</v>
      </c>
      <c r="AN192" s="2" t="n">
        <f aca="false">IF((P192/(P192+Q192)*100)&lt;=Assumptions!$B$13,0,IF((P192/(P192+Q192)*100)&lt;Assumptions!$B$14,25,IF((P192/(P192+Q192)*100)&lt;Assumptions!$B$15,50,IF((P192/(P192+Q192)*100)&lt;Assumptions!$B$16,75,100))))</f>
        <v>0</v>
      </c>
      <c r="AO192" s="21" t="n">
        <f aca="false">IF((P192/(P192+Q192)*100)&lt;=Assumptions!$B$8,0,AN192*Assumptions!$B$4+INDEX('Scored Accounts'!$N$2:$N$301,MATCH($A192,'Scored Accounts'!$A$2:$A$301,0))*Assumptions!$B$5+INDEX('Scored Accounts'!$O$2:$O$301,MATCH($A192,'Scored Accounts'!$A$2:$A$301,0))*Assumptions!$B$6)</f>
        <v>0</v>
      </c>
      <c r="AP192" s="2" t="str">
        <f aca="false">IF(AO192&gt;=Assumptions!$B$9,"High",IF(AO192&gt;=Assumptions!$B$10,"Medium","Low"))</f>
        <v>Low</v>
      </c>
      <c r="AQ192" s="10" t="b">
        <f aca="false">OR((E192&lt;=Assumptions!$B$8)&lt;&gt;((P192/(P192+Q192)*100)&lt;=Assumptions!$B$8),AM192&lt;&gt;AN192,G192&lt;&gt;AP192)</f>
        <v>0</v>
      </c>
      <c r="AR192" s="2" t="str">
        <f aca="false">IF(AP192&lt;&gt;"Low","Broker-Reliant",IF(B192="Account Managed","AM-Owned / Self-Serving","Self-Serve"))</f>
        <v>AM-Owned / Self-Serving</v>
      </c>
      <c r="AS192" s="2" t="str">
        <f aca="false">IF(AR192="Broker-Reliant",IF(J192="Tail","5. Cost-to-Serve / Low-Touch",IF(OR(N192="Growing",N192="Stable"),"1. Migration Candidate",IF(N192="Declining","2. Protect / Retain First",IF(N192="Lapsed","3. Win-Back / Verify",IF(N192="H2 Active / No H1 GMV","4. Establish / Re-establish / Observe","UNASSIGNED"))))),IF(AP192="Low",IF(J192="Tail","9. Long-Tail Automated Nurture",IF(OR(N192="Growing",N192="Stable"),"6. Growth Opportunity",IF(N192="H2 Active / No H1 GMV","7. Onboard / Re-engage / Learn",IF(OR(N192="Declining",N192="Lapsed"),"8. Retention / Reactivation","UNASSIGNED")))),"UNASSIGNED"))</f>
        <v>9. Long-Tail Automated Nurture</v>
      </c>
      <c r="AT192" s="10" t="b">
        <f aca="false">AS192&lt;&gt;T192</f>
        <v>0</v>
      </c>
      <c r="AU192" s="2" t="str">
        <f aca="false">IF(NOT(U192),"Not Eligible",IF(OR(AQ192,AH192,AK192,NOT(AND(W192&gt;=Assumptions!$B$83,O192&gt;=Assumptions!$B$84))),"Manual Review","Ready"))</f>
        <v>Not Eligible</v>
      </c>
      <c r="AV192" s="2" t="str">
        <f aca="false">IF(AG192,"Key account - human sign-off required; ","")&amp;IF(AH192,"Borderline momentum; ","")&amp;IF(AK192,"February-sensitive ("&amp;N192&amp;" -&gt; "&amp;AJ192&amp;"); ","")&amp;IF(AL192="One-Off / Insufficient History — Verify","Lapsed on thin history - verify; ","")&amp;IF(AQ192,"Material broker % inconsistency (implied tier "&amp;AP192&amp;"); ","")&amp;IF(AT192,"Implied broker % would move segment to "&amp;AS192&amp;"; ","")</f>
        <v>Lapsed on thin history - verify; </v>
      </c>
      <c r="AW192" s="10" t="b">
        <f aca="false">AND(G192="Low",J192="Tail",I192&gt;=Assumptions!$B$64,O192&gt;=Assumptions!$B$65,OR(N192="Growing",N192="Stable",AND(N192="H2 Active / No H1 GMV",W192&gt;=2)),OR(R192&gt;=Assumptions!$B$66,S192&gt;=Assumptions!$B$67))</f>
        <v>0</v>
      </c>
    </row>
    <row r="193" customFormat="false" ht="15" hidden="false" customHeight="false" outlineLevel="0" collapsed="false">
      <c r="A193" s="2" t="s">
        <v>948</v>
      </c>
      <c r="B193" s="2" t="s">
        <v>1571</v>
      </c>
      <c r="C193" s="2" t="s">
        <v>1572</v>
      </c>
      <c r="D193" s="2" t="n">
        <v>20</v>
      </c>
      <c r="E193" s="2" t="n">
        <v>13</v>
      </c>
      <c r="F193" s="21" t="n">
        <f aca="false">INDEX('Scored Accounts'!$Q$2:$Q$301,MATCH($A193,'Scored Accounts'!$A$2:$A$301,0))</f>
        <v>0</v>
      </c>
      <c r="G193" s="2" t="str">
        <f aca="false">INDEX('Scored Accounts'!$R$2:$R$301,MATCH($A193,'Scored Accounts'!$A$2:$A$301,0))</f>
        <v>Low</v>
      </c>
      <c r="H193" s="2" t="str">
        <f aca="false">IF(OR(G193="High",G193="Medium"),"Broker-Reliant",IF(AND(G193="Low",B193="Account Managed"),"AM-Owned / Self-Serving",IF(AND(G193="Low",B193="Self Serve"),"Self-Serve","UNASSIGNED")))</f>
        <v>AM-Owned / Self-Serving</v>
      </c>
      <c r="I193" s="9" t="n">
        <v>107</v>
      </c>
      <c r="J193" s="2" t="str">
        <f aca="false">IF(I193&gt;=Assumptions!$B$35,"Key",IF(I193&gt;=Assumptions!$B$34,"Core","Tail"))</f>
        <v>Tail</v>
      </c>
      <c r="K193" s="9" t="n">
        <f aca="false">INDEX('Commercial View'!$R$2:$R$301,MATCH($A193,'Commercial View'!$A$2:$A$301,0))</f>
        <v>0</v>
      </c>
      <c r="L193" s="9" t="n">
        <f aca="false">INDEX('Commercial View'!$S$2:$S$301,MATCH($A193,'Commercial View'!$A$2:$A$301,0))</f>
        <v>107</v>
      </c>
      <c r="M193" s="17" t="str">
        <f aca="false">INDEX('Commercial View'!$T$2:$T$301,MATCH($A193,'Commercial View'!$A$2:$A$301,0))</f>
        <v/>
      </c>
      <c r="N193" s="2" t="str">
        <f aca="false">INDEX('Commercial View'!$U$2:$U$301,MATCH($A193,'Commercial View'!$A$2:$A$301,0))</f>
        <v>H2 Active / No H1 GMV</v>
      </c>
      <c r="O193" s="2" t="n">
        <v>1</v>
      </c>
      <c r="P193" s="2" t="n">
        <v>0</v>
      </c>
      <c r="Q193" s="2" t="n">
        <v>1</v>
      </c>
      <c r="R193" s="2" t="n">
        <v>1</v>
      </c>
      <c r="S193" s="2" t="n">
        <v>1</v>
      </c>
      <c r="T193" s="2" t="str">
        <f aca="false">IF(H193="Broker-Reliant",IF(J193="Tail","5. Cost-to-Serve / Low-Touch",IF(OR(N193="Growing",N193="Stable"),"1. Migration Candidate",IF(N193="Declining","2. Protect / Retain First",IF(N193="Lapsed","3. Win-Back / Verify",IF(N193="H2 Active / No H1 GMV","4. Establish / Re-establish / Observe","UNASSIGNED"))))),IF(G193="Low",IF(J193="Tail","9. Long-Tail Automated Nurture",IF(OR(N193="Growing",N193="Stable"),"6. Growth Opportunity",IF(N193="H2 Active / No H1 GMV","7. Onboard / Re-engage / Learn",IF(OR(N193="Declining",N193="Lapsed"),"8. Retention / Reactivation","UNASSIGNED")))),"UNASSIGNED"))</f>
        <v>9. Long-Tail Automated Nurture</v>
      </c>
      <c r="U193" s="10" t="b">
        <f aca="false">AND(T193="1. Migration Candidate",J193="Core",O193&gt;=Assumptions!$B$39,Q193&gt;=Assumptions!$B$40,NOT(Z193))</f>
        <v>0</v>
      </c>
      <c r="V193" s="2" t="n">
        <f aca="false">(AND(H193="Broker-Reliant",J193&lt;&gt;"Tail",OR(N193="Growing",N193="Stable")))*1+(AND(H193="Broker-Reliant",J193&lt;&gt;"Tail",N193="Declining"))*1+(AND(H193="Broker-Reliant",J193&lt;&gt;"Tail",N193="Lapsed"))*1+(AND(H193="Broker-Reliant",J193&lt;&gt;"Tail",N193="H2 Active / No H1 GMV"))*1+(AND(H193="Broker-Reliant",J193="Tail"))*1+(AND(G193="Low",J193&lt;&gt;"Tail",OR(N193="Growing",N193="Stable")))*1+(AND(G193="Low",J193&lt;&gt;"Tail",N193="H2 Active / No H1 GMV"))*1+(AND(G193="Low",J193&lt;&gt;"Tail",OR(N193="Declining",N193="Lapsed")))*1+(AND(G193="Low",J193="Tail"))*1</f>
        <v>1</v>
      </c>
      <c r="W193" s="2" t="n">
        <f aca="false">INDEX('Commercial View'!$V$2:$V$301,MATCH($A193,'Commercial View'!$A$2:$A$301,0))</f>
        <v>1</v>
      </c>
      <c r="X193" s="10" t="b">
        <f aca="false">O193&lt;=Assumptions!$B$30</f>
        <v>1</v>
      </c>
      <c r="Y193" s="10" t="b">
        <f aca="false">W193&lt;=1</f>
        <v>1</v>
      </c>
      <c r="Z193" s="10" t="b">
        <f aca="false">C193="Duplicate"</f>
        <v>0</v>
      </c>
      <c r="AA193" s="10" t="b">
        <f aca="false">C193=""</f>
        <v>0</v>
      </c>
      <c r="AB193" s="2" t="n">
        <f aca="false">IF(P193+Q193&gt;0,ROUND(P193/(P193+Q193)*100,0),"")</f>
        <v>0</v>
      </c>
      <c r="AC193" s="2" t="n">
        <f aca="false">IF(P193+Q193&gt;0,ROUND(E193-P193/(P193+Q193)*100,0),"")</f>
        <v>13</v>
      </c>
      <c r="AD193" s="10" t="b">
        <f aca="false">IF(AC193="",FALSE(),ABS(AC193)&gt;Assumptions!$B$41)</f>
        <v>1</v>
      </c>
      <c r="AE193" s="2" t="str">
        <f aca="false">IF(X193,"Low confidence (&lt;=2 orders); ","")&amp;IF(Y193,"Single-month history; ","")&amp;IF(Z193,"CRITICAL: Duplicate status; ","")&amp;IF(AA193,"Missing status; ","")&amp;IF(AD193,"Broker % vs counts gap "&amp;TEXT(AC193,"+0;-0")&amp;"pts; ","")</f>
        <v>Low confidence (&lt;=2 orders); Single-month history; Broker % vs counts gap +13pts; </v>
      </c>
      <c r="AF193" s="2" t="str">
        <f aca="false">IF(AND(K193=0,L193&gt;0),IF(D193&lt;=Assumptions!$B$47,"New Customer","Returned Customer"),"Existing Customer")</f>
        <v>Returned Customer</v>
      </c>
      <c r="AG193" s="10" t="b">
        <f aca="false">AND(T193="1. Migration Candidate",J193="Key")</f>
        <v>0</v>
      </c>
      <c r="AH193" s="10" t="b">
        <f aca="false">IF(AND(K193&gt;0,L193&gt;0),OR(ABS(M193-Assumptions!$B$36)&lt;=Assumptions!$B$46,ABS(M193+Assumptions!$B$36)&lt;=Assumptions!$B$46),FALSE())</f>
        <v>0</v>
      </c>
      <c r="AI193" s="9" t="n">
        <f aca="false">INDEX('Commercial View'!$L$2:$L$301,MATCH($A193,'Commercial View'!$A$2:$A$301,0))+INDEX('Commercial View'!$M$2:$M$301,MATCH($A193,'Commercial View'!$A$2:$A$301,0))</f>
        <v>107</v>
      </c>
      <c r="AJ193" s="2" t="str">
        <f aca="false">IF(AND(K193=0,AI193=0),"No activity ex-Feb",IF(AI193=0,"Lapsed",IF(K193=0,"H2 Active / No H1 GMV",IF((AI193/2)/(K193/3)-1&gt;=Assumptions!$B$36,"Growing",IF((AI193/2)/(K193/3)-1&lt;-Assumptions!$B$36,"Declining","Stable")))))</f>
        <v>H2 Active / No H1 GMV</v>
      </c>
      <c r="AK193" s="10" t="b">
        <f aca="false">IF(OR(N193="Growing",N193="Stable"),"Healthy",N193)&lt;&gt;IF(OR(AJ193="Growing",AJ193="Stable"),"Healthy",AJ193)</f>
        <v>0</v>
      </c>
      <c r="AL193" s="2" t="str">
        <f aca="false">IF(N193="Lapsed",IF(OR(O193&lt;=Assumptions!$B$48,W193&lt;=Assumptions!$B$49),"One-Off / Insufficient History — Verify","Established Buyer Lapsed"),"N/A")</f>
        <v>N/A</v>
      </c>
      <c r="AM193" s="2" t="n">
        <f aca="false">INDEX('Scored Accounts'!$M$2:$M$301,MATCH($A193,'Scored Accounts'!$A$2:$A$301,0))</f>
        <v>0</v>
      </c>
      <c r="AN193" s="2" t="n">
        <f aca="false">IF((P193/(P193+Q193)*100)&lt;=Assumptions!$B$13,0,IF((P193/(P193+Q193)*100)&lt;Assumptions!$B$14,25,IF((P193/(P193+Q193)*100)&lt;Assumptions!$B$15,50,IF((P193/(P193+Q193)*100)&lt;Assumptions!$B$16,75,100))))</f>
        <v>0</v>
      </c>
      <c r="AO193" s="21" t="n">
        <f aca="false">IF((P193/(P193+Q193)*100)&lt;=Assumptions!$B$8,0,AN193*Assumptions!$B$4+INDEX('Scored Accounts'!$N$2:$N$301,MATCH($A193,'Scored Accounts'!$A$2:$A$301,0))*Assumptions!$B$5+INDEX('Scored Accounts'!$O$2:$O$301,MATCH($A193,'Scored Accounts'!$A$2:$A$301,0))*Assumptions!$B$6)</f>
        <v>0</v>
      </c>
      <c r="AP193" s="2" t="str">
        <f aca="false">IF(AO193&gt;=Assumptions!$B$9,"High",IF(AO193&gt;=Assumptions!$B$10,"Medium","Low"))</f>
        <v>Low</v>
      </c>
      <c r="AQ193" s="10" t="b">
        <f aca="false">OR((E193&lt;=Assumptions!$B$8)&lt;&gt;((P193/(P193+Q193)*100)&lt;=Assumptions!$B$8),AM193&lt;&gt;AN193,G193&lt;&gt;AP193)</f>
        <v>0</v>
      </c>
      <c r="AR193" s="2" t="str">
        <f aca="false">IF(AP193&lt;&gt;"Low","Broker-Reliant",IF(B193="Account Managed","AM-Owned / Self-Serving","Self-Serve"))</f>
        <v>AM-Owned / Self-Serving</v>
      </c>
      <c r="AS193" s="2" t="str">
        <f aca="false">IF(AR193="Broker-Reliant",IF(J193="Tail","5. Cost-to-Serve / Low-Touch",IF(OR(N193="Growing",N193="Stable"),"1. Migration Candidate",IF(N193="Declining","2. Protect / Retain First",IF(N193="Lapsed","3. Win-Back / Verify",IF(N193="H2 Active / No H1 GMV","4. Establish / Re-establish / Observe","UNASSIGNED"))))),IF(AP193="Low",IF(J193="Tail","9. Long-Tail Automated Nurture",IF(OR(N193="Growing",N193="Stable"),"6. Growth Opportunity",IF(N193="H2 Active / No H1 GMV","7. Onboard / Re-engage / Learn",IF(OR(N193="Declining",N193="Lapsed"),"8. Retention / Reactivation","UNASSIGNED")))),"UNASSIGNED"))</f>
        <v>9. Long-Tail Automated Nurture</v>
      </c>
      <c r="AT193" s="10" t="b">
        <f aca="false">AS193&lt;&gt;T193</f>
        <v>0</v>
      </c>
      <c r="AU193" s="2" t="str">
        <f aca="false">IF(NOT(U193),"Not Eligible",IF(OR(AQ193,AH193,AK193,NOT(AND(W193&gt;=Assumptions!$B$83,O193&gt;=Assumptions!$B$84))),"Manual Review","Ready"))</f>
        <v>Not Eligible</v>
      </c>
      <c r="AV193" s="2" t="str">
        <f aca="false">IF(AG193,"Key account - human sign-off required; ","")&amp;IF(AH193,"Borderline momentum; ","")&amp;IF(AK193,"February-sensitive ("&amp;N193&amp;" -&gt; "&amp;AJ193&amp;"); ","")&amp;IF(AL193="One-Off / Insufficient History — Verify","Lapsed on thin history - verify; ","")&amp;IF(AQ193,"Material broker % inconsistency (implied tier "&amp;AP193&amp;"); ","")&amp;IF(AT193,"Implied broker % would move segment to "&amp;AS193&amp;"; ","")</f>
        <v/>
      </c>
      <c r="AW193" s="10" t="b">
        <f aca="false">AND(G193="Low",J193="Tail",I193&gt;=Assumptions!$B$64,O193&gt;=Assumptions!$B$65,OR(N193="Growing",N193="Stable",AND(N193="H2 Active / No H1 GMV",W193&gt;=2)),OR(R193&gt;=Assumptions!$B$66,S193&gt;=Assumptions!$B$67))</f>
        <v>0</v>
      </c>
    </row>
    <row r="194" customFormat="false" ht="15" hidden="false" customHeight="false" outlineLevel="0" collapsed="false">
      <c r="A194" s="2" t="s">
        <v>950</v>
      </c>
      <c r="B194" s="2" t="s">
        <v>1571</v>
      </c>
      <c r="C194" s="2"/>
      <c r="D194" s="2" t="n">
        <v>6</v>
      </c>
      <c r="E194" s="2" t="n">
        <v>18</v>
      </c>
      <c r="F194" s="21" t="n">
        <f aca="false">INDEX('Scored Accounts'!$Q$2:$Q$301,MATCH($A194,'Scored Accounts'!$A$2:$A$301,0))</f>
        <v>0</v>
      </c>
      <c r="G194" s="2" t="str">
        <f aca="false">INDEX('Scored Accounts'!$R$2:$R$301,MATCH($A194,'Scored Accounts'!$A$2:$A$301,0))</f>
        <v>Low</v>
      </c>
      <c r="H194" s="2" t="str">
        <f aca="false">IF(OR(G194="High",G194="Medium"),"Broker-Reliant",IF(AND(G194="Low",B194="Account Managed"),"AM-Owned / Self-Serving",IF(AND(G194="Low",B194="Self Serve"),"Self-Serve","UNASSIGNED")))</f>
        <v>AM-Owned / Self-Serving</v>
      </c>
      <c r="I194" s="9" t="n">
        <v>106</v>
      </c>
      <c r="J194" s="2" t="str">
        <f aca="false">IF(I194&gt;=Assumptions!$B$35,"Key",IF(I194&gt;=Assumptions!$B$34,"Core","Tail"))</f>
        <v>Tail</v>
      </c>
      <c r="K194" s="9" t="n">
        <f aca="false">INDEX('Commercial View'!$R$2:$R$301,MATCH($A194,'Commercial View'!$A$2:$A$301,0))</f>
        <v>106</v>
      </c>
      <c r="L194" s="9" t="n">
        <f aca="false">INDEX('Commercial View'!$S$2:$S$301,MATCH($A194,'Commercial View'!$A$2:$A$301,0))</f>
        <v>0</v>
      </c>
      <c r="M194" s="17" t="n">
        <f aca="false">INDEX('Commercial View'!$T$2:$T$301,MATCH($A194,'Commercial View'!$A$2:$A$301,0))</f>
        <v>-1</v>
      </c>
      <c r="N194" s="2" t="str">
        <f aca="false">INDEX('Commercial View'!$U$2:$U$301,MATCH($A194,'Commercial View'!$A$2:$A$301,0))</f>
        <v>Lapsed</v>
      </c>
      <c r="O194" s="2" t="n">
        <v>1</v>
      </c>
      <c r="P194" s="2" t="n">
        <v>0</v>
      </c>
      <c r="Q194" s="2" t="n">
        <v>1</v>
      </c>
      <c r="R194" s="2" t="n">
        <v>13</v>
      </c>
      <c r="S194" s="2" t="n">
        <v>0</v>
      </c>
      <c r="T194" s="2" t="str">
        <f aca="false">IF(H194="Broker-Reliant",IF(J194="Tail","5. Cost-to-Serve / Low-Touch",IF(OR(N194="Growing",N194="Stable"),"1. Migration Candidate",IF(N194="Declining","2. Protect / Retain First",IF(N194="Lapsed","3. Win-Back / Verify",IF(N194="H2 Active / No H1 GMV","4. Establish / Re-establish / Observe","UNASSIGNED"))))),IF(G194="Low",IF(J194="Tail","9. Long-Tail Automated Nurture",IF(OR(N194="Growing",N194="Stable"),"6. Growth Opportunity",IF(N194="H2 Active / No H1 GMV","7. Onboard / Re-engage / Learn",IF(OR(N194="Declining",N194="Lapsed"),"8. Retention / Reactivation","UNASSIGNED")))),"UNASSIGNED"))</f>
        <v>9. Long-Tail Automated Nurture</v>
      </c>
      <c r="U194" s="10" t="b">
        <f aca="false">AND(T194="1. Migration Candidate",J194="Core",O194&gt;=Assumptions!$B$39,Q194&gt;=Assumptions!$B$40,NOT(Z194))</f>
        <v>0</v>
      </c>
      <c r="V194" s="2" t="n">
        <f aca="false">(AND(H194="Broker-Reliant",J194&lt;&gt;"Tail",OR(N194="Growing",N194="Stable")))*1+(AND(H194="Broker-Reliant",J194&lt;&gt;"Tail",N194="Declining"))*1+(AND(H194="Broker-Reliant",J194&lt;&gt;"Tail",N194="Lapsed"))*1+(AND(H194="Broker-Reliant",J194&lt;&gt;"Tail",N194="H2 Active / No H1 GMV"))*1+(AND(H194="Broker-Reliant",J194="Tail"))*1+(AND(G194="Low",J194&lt;&gt;"Tail",OR(N194="Growing",N194="Stable")))*1+(AND(G194="Low",J194&lt;&gt;"Tail",N194="H2 Active / No H1 GMV"))*1+(AND(G194="Low",J194&lt;&gt;"Tail",OR(N194="Declining",N194="Lapsed")))*1+(AND(G194="Low",J194="Tail"))*1</f>
        <v>1</v>
      </c>
      <c r="W194" s="2" t="n">
        <f aca="false">INDEX('Commercial View'!$V$2:$V$301,MATCH($A194,'Commercial View'!$A$2:$A$301,0))</f>
        <v>1</v>
      </c>
      <c r="X194" s="10" t="b">
        <f aca="false">O194&lt;=Assumptions!$B$30</f>
        <v>1</v>
      </c>
      <c r="Y194" s="10" t="b">
        <f aca="false">W194&lt;=1</f>
        <v>1</v>
      </c>
      <c r="Z194" s="10" t="b">
        <f aca="false">C194="Duplicate"</f>
        <v>0</v>
      </c>
      <c r="AA194" s="10" t="b">
        <f aca="false">C194=""</f>
        <v>1</v>
      </c>
      <c r="AB194" s="2" t="n">
        <f aca="false">IF(P194+Q194&gt;0,ROUND(P194/(P194+Q194)*100,0),"")</f>
        <v>0</v>
      </c>
      <c r="AC194" s="2" t="n">
        <f aca="false">IF(P194+Q194&gt;0,ROUND(E194-P194/(P194+Q194)*100,0),"")</f>
        <v>18</v>
      </c>
      <c r="AD194" s="10" t="b">
        <f aca="false">IF(AC194="",FALSE(),ABS(AC194)&gt;Assumptions!$B$41)</f>
        <v>1</v>
      </c>
      <c r="AE194" s="2" t="str">
        <f aca="false">IF(X194,"Low confidence (&lt;=2 orders); ","")&amp;IF(Y194,"Single-month history; ","")&amp;IF(Z194,"CRITICAL: Duplicate status; ","")&amp;IF(AA194,"Missing status; ","")&amp;IF(AD194,"Broker % vs counts gap "&amp;TEXT(AC194,"+0;-0")&amp;"pts; ","")</f>
        <v>Low confidence (&lt;=2 orders); Single-month history; Missing status; Broker % vs counts gap +18pts; </v>
      </c>
      <c r="AF194" s="2" t="str">
        <f aca="false">IF(AND(K194=0,L194&gt;0),IF(D194&lt;=Assumptions!$B$47,"New Customer","Returned Customer"),"Existing Customer")</f>
        <v>Existing Customer</v>
      </c>
      <c r="AG194" s="10" t="b">
        <f aca="false">AND(T194="1. Migration Candidate",J194="Key")</f>
        <v>0</v>
      </c>
      <c r="AH194" s="10" t="b">
        <f aca="false">IF(AND(K194&gt;0,L194&gt;0),OR(ABS(M194-Assumptions!$B$36)&lt;=Assumptions!$B$46,ABS(M194+Assumptions!$B$36)&lt;=Assumptions!$B$46),FALSE())</f>
        <v>0</v>
      </c>
      <c r="AI194" s="9" t="n">
        <f aca="false">INDEX('Commercial View'!$L$2:$L$301,MATCH($A194,'Commercial View'!$A$2:$A$301,0))+INDEX('Commercial View'!$M$2:$M$301,MATCH($A194,'Commercial View'!$A$2:$A$301,0))</f>
        <v>0</v>
      </c>
      <c r="AJ194" s="2" t="str">
        <f aca="false">IF(AND(K194=0,AI194=0),"No activity ex-Feb",IF(AI194=0,"Lapsed",IF(K194=0,"H2 Active / No H1 GMV",IF((AI194/2)/(K194/3)-1&gt;=Assumptions!$B$36,"Growing",IF((AI194/2)/(K194/3)-1&lt;-Assumptions!$B$36,"Declining","Stable")))))</f>
        <v>Lapsed</v>
      </c>
      <c r="AK194" s="10" t="b">
        <f aca="false">IF(OR(N194="Growing",N194="Stable"),"Healthy",N194)&lt;&gt;IF(OR(AJ194="Growing",AJ194="Stable"),"Healthy",AJ194)</f>
        <v>0</v>
      </c>
      <c r="AL194" s="2" t="str">
        <f aca="false">IF(N194="Lapsed",IF(OR(O194&lt;=Assumptions!$B$48,W194&lt;=Assumptions!$B$49),"One-Off / Insufficient History — Verify","Established Buyer Lapsed"),"N/A")</f>
        <v>One-Off / Insufficient History — Verify</v>
      </c>
      <c r="AM194" s="2" t="n">
        <f aca="false">INDEX('Scored Accounts'!$M$2:$M$301,MATCH($A194,'Scored Accounts'!$A$2:$A$301,0))</f>
        <v>0</v>
      </c>
      <c r="AN194" s="2" t="n">
        <f aca="false">IF((P194/(P194+Q194)*100)&lt;=Assumptions!$B$13,0,IF((P194/(P194+Q194)*100)&lt;Assumptions!$B$14,25,IF((P194/(P194+Q194)*100)&lt;Assumptions!$B$15,50,IF((P194/(P194+Q194)*100)&lt;Assumptions!$B$16,75,100))))</f>
        <v>0</v>
      </c>
      <c r="AO194" s="21" t="n">
        <f aca="false">IF((P194/(P194+Q194)*100)&lt;=Assumptions!$B$8,0,AN194*Assumptions!$B$4+INDEX('Scored Accounts'!$N$2:$N$301,MATCH($A194,'Scored Accounts'!$A$2:$A$301,0))*Assumptions!$B$5+INDEX('Scored Accounts'!$O$2:$O$301,MATCH($A194,'Scored Accounts'!$A$2:$A$301,0))*Assumptions!$B$6)</f>
        <v>0</v>
      </c>
      <c r="AP194" s="2" t="str">
        <f aca="false">IF(AO194&gt;=Assumptions!$B$9,"High",IF(AO194&gt;=Assumptions!$B$10,"Medium","Low"))</f>
        <v>Low</v>
      </c>
      <c r="AQ194" s="10" t="b">
        <f aca="false">OR((E194&lt;=Assumptions!$B$8)&lt;&gt;((P194/(P194+Q194)*100)&lt;=Assumptions!$B$8),AM194&lt;&gt;AN194,G194&lt;&gt;AP194)</f>
        <v>0</v>
      </c>
      <c r="AR194" s="2" t="str">
        <f aca="false">IF(AP194&lt;&gt;"Low","Broker-Reliant",IF(B194="Account Managed","AM-Owned / Self-Serving","Self-Serve"))</f>
        <v>AM-Owned / Self-Serving</v>
      </c>
      <c r="AS194" s="2" t="str">
        <f aca="false">IF(AR194="Broker-Reliant",IF(J194="Tail","5. Cost-to-Serve / Low-Touch",IF(OR(N194="Growing",N194="Stable"),"1. Migration Candidate",IF(N194="Declining","2. Protect / Retain First",IF(N194="Lapsed","3. Win-Back / Verify",IF(N194="H2 Active / No H1 GMV","4. Establish / Re-establish / Observe","UNASSIGNED"))))),IF(AP194="Low",IF(J194="Tail","9. Long-Tail Automated Nurture",IF(OR(N194="Growing",N194="Stable"),"6. Growth Opportunity",IF(N194="H2 Active / No H1 GMV","7. Onboard / Re-engage / Learn",IF(OR(N194="Declining",N194="Lapsed"),"8. Retention / Reactivation","UNASSIGNED")))),"UNASSIGNED"))</f>
        <v>9. Long-Tail Automated Nurture</v>
      </c>
      <c r="AT194" s="10" t="b">
        <f aca="false">AS194&lt;&gt;T194</f>
        <v>0</v>
      </c>
      <c r="AU194" s="2" t="str">
        <f aca="false">IF(NOT(U194),"Not Eligible",IF(OR(AQ194,AH194,AK194,NOT(AND(W194&gt;=Assumptions!$B$83,O194&gt;=Assumptions!$B$84))),"Manual Review","Ready"))</f>
        <v>Not Eligible</v>
      </c>
      <c r="AV194" s="2" t="str">
        <f aca="false">IF(AG194,"Key account - human sign-off required; ","")&amp;IF(AH194,"Borderline momentum; ","")&amp;IF(AK194,"February-sensitive ("&amp;N194&amp;" -&gt; "&amp;AJ194&amp;"); ","")&amp;IF(AL194="One-Off / Insufficient History — Verify","Lapsed on thin history - verify; ","")&amp;IF(AQ194,"Material broker % inconsistency (implied tier "&amp;AP194&amp;"); ","")&amp;IF(AT194,"Implied broker % would move segment to "&amp;AS194&amp;"; ","")</f>
        <v>Lapsed on thin history - verify; </v>
      </c>
      <c r="AW194" s="10" t="b">
        <f aca="false">AND(G194="Low",J194="Tail",I194&gt;=Assumptions!$B$64,O194&gt;=Assumptions!$B$65,OR(N194="Growing",N194="Stable",AND(N194="H2 Active / No H1 GMV",W194&gt;=2)),OR(R194&gt;=Assumptions!$B$66,S194&gt;=Assumptions!$B$67))</f>
        <v>0</v>
      </c>
    </row>
    <row r="195" customFormat="false" ht="15" hidden="false" customHeight="false" outlineLevel="0" collapsed="false">
      <c r="A195" s="2" t="s">
        <v>952</v>
      </c>
      <c r="B195" s="2" t="s">
        <v>1571</v>
      </c>
      <c r="C195" s="2" t="s">
        <v>1572</v>
      </c>
      <c r="D195" s="2" t="n">
        <v>34</v>
      </c>
      <c r="E195" s="2" t="n">
        <v>7</v>
      </c>
      <c r="F195" s="21" t="n">
        <f aca="false">INDEX('Scored Accounts'!$Q$2:$Q$301,MATCH($A195,'Scored Accounts'!$A$2:$A$301,0))</f>
        <v>0</v>
      </c>
      <c r="G195" s="2" t="str">
        <f aca="false">INDEX('Scored Accounts'!$R$2:$R$301,MATCH($A195,'Scored Accounts'!$A$2:$A$301,0))</f>
        <v>Low</v>
      </c>
      <c r="H195" s="2" t="str">
        <f aca="false">IF(OR(G195="High",G195="Medium"),"Broker-Reliant",IF(AND(G195="Low",B195="Account Managed"),"AM-Owned / Self-Serving",IF(AND(G195="Low",B195="Self Serve"),"Self-Serve","UNASSIGNED")))</f>
        <v>AM-Owned / Self-Serving</v>
      </c>
      <c r="I195" s="9" t="n">
        <v>106</v>
      </c>
      <c r="J195" s="2" t="str">
        <f aca="false">IF(I195&gt;=Assumptions!$B$35,"Key",IF(I195&gt;=Assumptions!$B$34,"Core","Tail"))</f>
        <v>Tail</v>
      </c>
      <c r="K195" s="9" t="n">
        <f aca="false">INDEX('Commercial View'!$R$2:$R$301,MATCH($A195,'Commercial View'!$A$2:$A$301,0))</f>
        <v>0</v>
      </c>
      <c r="L195" s="9" t="n">
        <f aca="false">INDEX('Commercial View'!$S$2:$S$301,MATCH($A195,'Commercial View'!$A$2:$A$301,0))</f>
        <v>106</v>
      </c>
      <c r="M195" s="17" t="str">
        <f aca="false">INDEX('Commercial View'!$T$2:$T$301,MATCH($A195,'Commercial View'!$A$2:$A$301,0))</f>
        <v/>
      </c>
      <c r="N195" s="2" t="str">
        <f aca="false">INDEX('Commercial View'!$U$2:$U$301,MATCH($A195,'Commercial View'!$A$2:$A$301,0))</f>
        <v>H2 Active / No H1 GMV</v>
      </c>
      <c r="O195" s="2" t="n">
        <v>1</v>
      </c>
      <c r="P195" s="2" t="n">
        <v>0</v>
      </c>
      <c r="Q195" s="2" t="n">
        <v>1</v>
      </c>
      <c r="R195" s="2" t="n">
        <v>60</v>
      </c>
      <c r="S195" s="2" t="n">
        <v>1</v>
      </c>
      <c r="T195" s="2" t="str">
        <f aca="false">IF(H195="Broker-Reliant",IF(J195="Tail","5. Cost-to-Serve / Low-Touch",IF(OR(N195="Growing",N195="Stable"),"1. Migration Candidate",IF(N195="Declining","2. Protect / Retain First",IF(N195="Lapsed","3. Win-Back / Verify",IF(N195="H2 Active / No H1 GMV","4. Establish / Re-establish / Observe","UNASSIGNED"))))),IF(G195="Low",IF(J195="Tail","9. Long-Tail Automated Nurture",IF(OR(N195="Growing",N195="Stable"),"6. Growth Opportunity",IF(N195="H2 Active / No H1 GMV","7. Onboard / Re-engage / Learn",IF(OR(N195="Declining",N195="Lapsed"),"8. Retention / Reactivation","UNASSIGNED")))),"UNASSIGNED"))</f>
        <v>9. Long-Tail Automated Nurture</v>
      </c>
      <c r="U195" s="10" t="b">
        <f aca="false">AND(T195="1. Migration Candidate",J195="Core",O195&gt;=Assumptions!$B$39,Q195&gt;=Assumptions!$B$40,NOT(Z195))</f>
        <v>0</v>
      </c>
      <c r="V195" s="2" t="n">
        <f aca="false">(AND(H195="Broker-Reliant",J195&lt;&gt;"Tail",OR(N195="Growing",N195="Stable")))*1+(AND(H195="Broker-Reliant",J195&lt;&gt;"Tail",N195="Declining"))*1+(AND(H195="Broker-Reliant",J195&lt;&gt;"Tail",N195="Lapsed"))*1+(AND(H195="Broker-Reliant",J195&lt;&gt;"Tail",N195="H2 Active / No H1 GMV"))*1+(AND(H195="Broker-Reliant",J195="Tail"))*1+(AND(G195="Low",J195&lt;&gt;"Tail",OR(N195="Growing",N195="Stable")))*1+(AND(G195="Low",J195&lt;&gt;"Tail",N195="H2 Active / No H1 GMV"))*1+(AND(G195="Low",J195&lt;&gt;"Tail",OR(N195="Declining",N195="Lapsed")))*1+(AND(G195="Low",J195="Tail"))*1</f>
        <v>1</v>
      </c>
      <c r="W195" s="2" t="n">
        <f aca="false">INDEX('Commercial View'!$V$2:$V$301,MATCH($A195,'Commercial View'!$A$2:$A$301,0))</f>
        <v>1</v>
      </c>
      <c r="X195" s="10" t="b">
        <f aca="false">O195&lt;=Assumptions!$B$30</f>
        <v>1</v>
      </c>
      <c r="Y195" s="10" t="b">
        <f aca="false">W195&lt;=1</f>
        <v>1</v>
      </c>
      <c r="Z195" s="10" t="b">
        <f aca="false">C195="Duplicate"</f>
        <v>0</v>
      </c>
      <c r="AA195" s="10" t="b">
        <f aca="false">C195=""</f>
        <v>0</v>
      </c>
      <c r="AB195" s="2" t="n">
        <f aca="false">IF(P195+Q195&gt;0,ROUND(P195/(P195+Q195)*100,0),"")</f>
        <v>0</v>
      </c>
      <c r="AC195" s="2" t="n">
        <f aca="false">IF(P195+Q195&gt;0,ROUND(E195-P195/(P195+Q195)*100,0),"")</f>
        <v>7</v>
      </c>
      <c r="AD195" s="10" t="b">
        <f aca="false">IF(AC195="",FALSE(),ABS(AC195)&gt;Assumptions!$B$41)</f>
        <v>0</v>
      </c>
      <c r="AE195" s="2" t="str">
        <f aca="false">IF(X195,"Low confidence (&lt;=2 orders); ","")&amp;IF(Y195,"Single-month history; ","")&amp;IF(Z195,"CRITICAL: Duplicate status; ","")&amp;IF(AA195,"Missing status; ","")&amp;IF(AD195,"Broker % vs counts gap "&amp;TEXT(AC195,"+0;-0")&amp;"pts; ","")</f>
        <v>Low confidence (&lt;=2 orders); Single-month history; </v>
      </c>
      <c r="AF195" s="2" t="str">
        <f aca="false">IF(AND(K195=0,L195&gt;0),IF(D195&lt;=Assumptions!$B$47,"New Customer","Returned Customer"),"Existing Customer")</f>
        <v>Returned Customer</v>
      </c>
      <c r="AG195" s="10" t="b">
        <f aca="false">AND(T195="1. Migration Candidate",J195="Key")</f>
        <v>0</v>
      </c>
      <c r="AH195" s="10" t="b">
        <f aca="false">IF(AND(K195&gt;0,L195&gt;0),OR(ABS(M195-Assumptions!$B$36)&lt;=Assumptions!$B$46,ABS(M195+Assumptions!$B$36)&lt;=Assumptions!$B$46),FALSE())</f>
        <v>0</v>
      </c>
      <c r="AI195" s="9" t="n">
        <f aca="false">INDEX('Commercial View'!$L$2:$L$301,MATCH($A195,'Commercial View'!$A$2:$A$301,0))+INDEX('Commercial View'!$M$2:$M$301,MATCH($A195,'Commercial View'!$A$2:$A$301,0))</f>
        <v>106</v>
      </c>
      <c r="AJ195" s="2" t="str">
        <f aca="false">IF(AND(K195=0,AI195=0),"No activity ex-Feb",IF(AI195=0,"Lapsed",IF(K195=0,"H2 Active / No H1 GMV",IF((AI195/2)/(K195/3)-1&gt;=Assumptions!$B$36,"Growing",IF((AI195/2)/(K195/3)-1&lt;-Assumptions!$B$36,"Declining","Stable")))))</f>
        <v>H2 Active / No H1 GMV</v>
      </c>
      <c r="AK195" s="10" t="b">
        <f aca="false">IF(OR(N195="Growing",N195="Stable"),"Healthy",N195)&lt;&gt;IF(OR(AJ195="Growing",AJ195="Stable"),"Healthy",AJ195)</f>
        <v>0</v>
      </c>
      <c r="AL195" s="2" t="str">
        <f aca="false">IF(N195="Lapsed",IF(OR(O195&lt;=Assumptions!$B$48,W195&lt;=Assumptions!$B$49),"One-Off / Insufficient History — Verify","Established Buyer Lapsed"),"N/A")</f>
        <v>N/A</v>
      </c>
      <c r="AM195" s="2" t="n">
        <f aca="false">INDEX('Scored Accounts'!$M$2:$M$301,MATCH($A195,'Scored Accounts'!$A$2:$A$301,0))</f>
        <v>0</v>
      </c>
      <c r="AN195" s="2" t="n">
        <f aca="false">IF((P195/(P195+Q195)*100)&lt;=Assumptions!$B$13,0,IF((P195/(P195+Q195)*100)&lt;Assumptions!$B$14,25,IF((P195/(P195+Q195)*100)&lt;Assumptions!$B$15,50,IF((P195/(P195+Q195)*100)&lt;Assumptions!$B$16,75,100))))</f>
        <v>0</v>
      </c>
      <c r="AO195" s="21" t="n">
        <f aca="false">IF((P195/(P195+Q195)*100)&lt;=Assumptions!$B$8,0,AN195*Assumptions!$B$4+INDEX('Scored Accounts'!$N$2:$N$301,MATCH($A195,'Scored Accounts'!$A$2:$A$301,0))*Assumptions!$B$5+INDEX('Scored Accounts'!$O$2:$O$301,MATCH($A195,'Scored Accounts'!$A$2:$A$301,0))*Assumptions!$B$6)</f>
        <v>0</v>
      </c>
      <c r="AP195" s="2" t="str">
        <f aca="false">IF(AO195&gt;=Assumptions!$B$9,"High",IF(AO195&gt;=Assumptions!$B$10,"Medium","Low"))</f>
        <v>Low</v>
      </c>
      <c r="AQ195" s="10" t="b">
        <f aca="false">OR((E195&lt;=Assumptions!$B$8)&lt;&gt;((P195/(P195+Q195)*100)&lt;=Assumptions!$B$8),AM195&lt;&gt;AN195,G195&lt;&gt;AP195)</f>
        <v>0</v>
      </c>
      <c r="AR195" s="2" t="str">
        <f aca="false">IF(AP195&lt;&gt;"Low","Broker-Reliant",IF(B195="Account Managed","AM-Owned / Self-Serving","Self-Serve"))</f>
        <v>AM-Owned / Self-Serving</v>
      </c>
      <c r="AS195" s="2" t="str">
        <f aca="false">IF(AR195="Broker-Reliant",IF(J195="Tail","5. Cost-to-Serve / Low-Touch",IF(OR(N195="Growing",N195="Stable"),"1. Migration Candidate",IF(N195="Declining","2. Protect / Retain First",IF(N195="Lapsed","3. Win-Back / Verify",IF(N195="H2 Active / No H1 GMV","4. Establish / Re-establish / Observe","UNASSIGNED"))))),IF(AP195="Low",IF(J195="Tail","9. Long-Tail Automated Nurture",IF(OR(N195="Growing",N195="Stable"),"6. Growth Opportunity",IF(N195="H2 Active / No H1 GMV","7. Onboard / Re-engage / Learn",IF(OR(N195="Declining",N195="Lapsed"),"8. Retention / Reactivation","UNASSIGNED")))),"UNASSIGNED"))</f>
        <v>9. Long-Tail Automated Nurture</v>
      </c>
      <c r="AT195" s="10" t="b">
        <f aca="false">AS195&lt;&gt;T195</f>
        <v>0</v>
      </c>
      <c r="AU195" s="2" t="str">
        <f aca="false">IF(NOT(U195),"Not Eligible",IF(OR(AQ195,AH195,AK195,NOT(AND(W195&gt;=Assumptions!$B$83,O195&gt;=Assumptions!$B$84))),"Manual Review","Ready"))</f>
        <v>Not Eligible</v>
      </c>
      <c r="AV195" s="2" t="str">
        <f aca="false">IF(AG195,"Key account - human sign-off required; ","")&amp;IF(AH195,"Borderline momentum; ","")&amp;IF(AK195,"February-sensitive ("&amp;N195&amp;" -&gt; "&amp;AJ195&amp;"); ","")&amp;IF(AL195="One-Off / Insufficient History — Verify","Lapsed on thin history - verify; ","")&amp;IF(AQ195,"Material broker % inconsistency (implied tier "&amp;AP195&amp;"); ","")&amp;IF(AT195,"Implied broker % would move segment to "&amp;AS195&amp;"; ","")</f>
        <v/>
      </c>
      <c r="AW195" s="10" t="b">
        <f aca="false">AND(G195="Low",J195="Tail",I195&gt;=Assumptions!$B$64,O195&gt;=Assumptions!$B$65,OR(N195="Growing",N195="Stable",AND(N195="H2 Active / No H1 GMV",W195&gt;=2)),OR(R195&gt;=Assumptions!$B$66,S195&gt;=Assumptions!$B$67))</f>
        <v>0</v>
      </c>
    </row>
    <row r="196" customFormat="false" ht="15" hidden="false" customHeight="false" outlineLevel="0" collapsed="false">
      <c r="A196" s="2" t="s">
        <v>956</v>
      </c>
      <c r="B196" s="2" t="s">
        <v>1571</v>
      </c>
      <c r="C196" s="2" t="s">
        <v>1572</v>
      </c>
      <c r="D196" s="2" t="n">
        <v>16</v>
      </c>
      <c r="E196" s="2" t="n">
        <v>18</v>
      </c>
      <c r="F196" s="21" t="n">
        <f aca="false">INDEX('Scored Accounts'!$Q$2:$Q$301,MATCH($A196,'Scored Accounts'!$A$2:$A$301,0))</f>
        <v>0</v>
      </c>
      <c r="G196" s="2" t="str">
        <f aca="false">INDEX('Scored Accounts'!$R$2:$R$301,MATCH($A196,'Scored Accounts'!$A$2:$A$301,0))</f>
        <v>Low</v>
      </c>
      <c r="H196" s="2" t="str">
        <f aca="false">IF(OR(G196="High",G196="Medium"),"Broker-Reliant",IF(AND(G196="Low",B196="Account Managed"),"AM-Owned / Self-Serving",IF(AND(G196="Low",B196="Self Serve"),"Self-Serve","UNASSIGNED")))</f>
        <v>AM-Owned / Self-Serving</v>
      </c>
      <c r="I196" s="9" t="n">
        <v>103</v>
      </c>
      <c r="J196" s="2" t="str">
        <f aca="false">IF(I196&gt;=Assumptions!$B$35,"Key",IF(I196&gt;=Assumptions!$B$34,"Core","Tail"))</f>
        <v>Tail</v>
      </c>
      <c r="K196" s="9" t="n">
        <f aca="false">INDEX('Commercial View'!$R$2:$R$301,MATCH($A196,'Commercial View'!$A$2:$A$301,0))</f>
        <v>103</v>
      </c>
      <c r="L196" s="9" t="n">
        <f aca="false">INDEX('Commercial View'!$S$2:$S$301,MATCH($A196,'Commercial View'!$A$2:$A$301,0))</f>
        <v>0</v>
      </c>
      <c r="M196" s="17" t="n">
        <f aca="false">INDEX('Commercial View'!$T$2:$T$301,MATCH($A196,'Commercial View'!$A$2:$A$301,0))</f>
        <v>-1</v>
      </c>
      <c r="N196" s="2" t="str">
        <f aca="false">INDEX('Commercial View'!$U$2:$U$301,MATCH($A196,'Commercial View'!$A$2:$A$301,0))</f>
        <v>Lapsed</v>
      </c>
      <c r="O196" s="2" t="n">
        <v>1</v>
      </c>
      <c r="P196" s="2" t="n">
        <v>0</v>
      </c>
      <c r="Q196" s="2" t="n">
        <v>1</v>
      </c>
      <c r="R196" s="2" t="n">
        <v>0</v>
      </c>
      <c r="S196" s="2" t="n">
        <v>0</v>
      </c>
      <c r="T196" s="2" t="str">
        <f aca="false">IF(H196="Broker-Reliant",IF(J196="Tail","5. Cost-to-Serve / Low-Touch",IF(OR(N196="Growing",N196="Stable"),"1. Migration Candidate",IF(N196="Declining","2. Protect / Retain First",IF(N196="Lapsed","3. Win-Back / Verify",IF(N196="H2 Active / No H1 GMV","4. Establish / Re-establish / Observe","UNASSIGNED"))))),IF(G196="Low",IF(J196="Tail","9. Long-Tail Automated Nurture",IF(OR(N196="Growing",N196="Stable"),"6. Growth Opportunity",IF(N196="H2 Active / No H1 GMV","7. Onboard / Re-engage / Learn",IF(OR(N196="Declining",N196="Lapsed"),"8. Retention / Reactivation","UNASSIGNED")))),"UNASSIGNED"))</f>
        <v>9. Long-Tail Automated Nurture</v>
      </c>
      <c r="U196" s="10" t="b">
        <f aca="false">AND(T196="1. Migration Candidate",J196="Core",O196&gt;=Assumptions!$B$39,Q196&gt;=Assumptions!$B$40,NOT(Z196))</f>
        <v>0</v>
      </c>
      <c r="V196" s="2" t="n">
        <f aca="false">(AND(H196="Broker-Reliant",J196&lt;&gt;"Tail",OR(N196="Growing",N196="Stable")))*1+(AND(H196="Broker-Reliant",J196&lt;&gt;"Tail",N196="Declining"))*1+(AND(H196="Broker-Reliant",J196&lt;&gt;"Tail",N196="Lapsed"))*1+(AND(H196="Broker-Reliant",J196&lt;&gt;"Tail",N196="H2 Active / No H1 GMV"))*1+(AND(H196="Broker-Reliant",J196="Tail"))*1+(AND(G196="Low",J196&lt;&gt;"Tail",OR(N196="Growing",N196="Stable")))*1+(AND(G196="Low",J196&lt;&gt;"Tail",N196="H2 Active / No H1 GMV"))*1+(AND(G196="Low",J196&lt;&gt;"Tail",OR(N196="Declining",N196="Lapsed")))*1+(AND(G196="Low",J196="Tail"))*1</f>
        <v>1</v>
      </c>
      <c r="W196" s="2" t="n">
        <f aca="false">INDEX('Commercial View'!$V$2:$V$301,MATCH($A196,'Commercial View'!$A$2:$A$301,0))</f>
        <v>1</v>
      </c>
      <c r="X196" s="10" t="b">
        <f aca="false">O196&lt;=Assumptions!$B$30</f>
        <v>1</v>
      </c>
      <c r="Y196" s="10" t="b">
        <f aca="false">W196&lt;=1</f>
        <v>1</v>
      </c>
      <c r="Z196" s="10" t="b">
        <f aca="false">C196="Duplicate"</f>
        <v>0</v>
      </c>
      <c r="AA196" s="10" t="b">
        <f aca="false">C196=""</f>
        <v>0</v>
      </c>
      <c r="AB196" s="2" t="n">
        <f aca="false">IF(P196+Q196&gt;0,ROUND(P196/(P196+Q196)*100,0),"")</f>
        <v>0</v>
      </c>
      <c r="AC196" s="2" t="n">
        <f aca="false">IF(P196+Q196&gt;0,ROUND(E196-P196/(P196+Q196)*100,0),"")</f>
        <v>18</v>
      </c>
      <c r="AD196" s="10" t="b">
        <f aca="false">IF(AC196="",FALSE(),ABS(AC196)&gt;Assumptions!$B$41)</f>
        <v>1</v>
      </c>
      <c r="AE196" s="2" t="str">
        <f aca="false">IF(X196,"Low confidence (&lt;=2 orders); ","")&amp;IF(Y196,"Single-month history; ","")&amp;IF(Z196,"CRITICAL: Duplicate status; ","")&amp;IF(AA196,"Missing status; ","")&amp;IF(AD196,"Broker % vs counts gap "&amp;TEXT(AC196,"+0;-0")&amp;"pts; ","")</f>
        <v>Low confidence (&lt;=2 orders); Single-month history; Broker % vs counts gap +18pts; </v>
      </c>
      <c r="AF196" s="2" t="str">
        <f aca="false">IF(AND(K196=0,L196&gt;0),IF(D196&lt;=Assumptions!$B$47,"New Customer","Returned Customer"),"Existing Customer")</f>
        <v>Existing Customer</v>
      </c>
      <c r="AG196" s="10" t="b">
        <f aca="false">AND(T196="1. Migration Candidate",J196="Key")</f>
        <v>0</v>
      </c>
      <c r="AH196" s="10" t="b">
        <f aca="false">IF(AND(K196&gt;0,L196&gt;0),OR(ABS(M196-Assumptions!$B$36)&lt;=Assumptions!$B$46,ABS(M196+Assumptions!$B$36)&lt;=Assumptions!$B$46),FALSE())</f>
        <v>0</v>
      </c>
      <c r="AI196" s="9" t="n">
        <f aca="false">INDEX('Commercial View'!$L$2:$L$301,MATCH($A196,'Commercial View'!$A$2:$A$301,0))+INDEX('Commercial View'!$M$2:$M$301,MATCH($A196,'Commercial View'!$A$2:$A$301,0))</f>
        <v>0</v>
      </c>
      <c r="AJ196" s="2" t="str">
        <f aca="false">IF(AND(K196=0,AI196=0),"No activity ex-Feb",IF(AI196=0,"Lapsed",IF(K196=0,"H2 Active / No H1 GMV",IF((AI196/2)/(K196/3)-1&gt;=Assumptions!$B$36,"Growing",IF((AI196/2)/(K196/3)-1&lt;-Assumptions!$B$36,"Declining","Stable")))))</f>
        <v>Lapsed</v>
      </c>
      <c r="AK196" s="10" t="b">
        <f aca="false">IF(OR(N196="Growing",N196="Stable"),"Healthy",N196)&lt;&gt;IF(OR(AJ196="Growing",AJ196="Stable"),"Healthy",AJ196)</f>
        <v>0</v>
      </c>
      <c r="AL196" s="2" t="str">
        <f aca="false">IF(N196="Lapsed",IF(OR(O196&lt;=Assumptions!$B$48,W196&lt;=Assumptions!$B$49),"One-Off / Insufficient History — Verify","Established Buyer Lapsed"),"N/A")</f>
        <v>One-Off / Insufficient History — Verify</v>
      </c>
      <c r="AM196" s="2" t="n">
        <f aca="false">INDEX('Scored Accounts'!$M$2:$M$301,MATCH($A196,'Scored Accounts'!$A$2:$A$301,0))</f>
        <v>0</v>
      </c>
      <c r="AN196" s="2" t="n">
        <f aca="false">IF((P196/(P196+Q196)*100)&lt;=Assumptions!$B$13,0,IF((P196/(P196+Q196)*100)&lt;Assumptions!$B$14,25,IF((P196/(P196+Q196)*100)&lt;Assumptions!$B$15,50,IF((P196/(P196+Q196)*100)&lt;Assumptions!$B$16,75,100))))</f>
        <v>0</v>
      </c>
      <c r="AO196" s="21" t="n">
        <f aca="false">IF((P196/(P196+Q196)*100)&lt;=Assumptions!$B$8,0,AN196*Assumptions!$B$4+INDEX('Scored Accounts'!$N$2:$N$301,MATCH($A196,'Scored Accounts'!$A$2:$A$301,0))*Assumptions!$B$5+INDEX('Scored Accounts'!$O$2:$O$301,MATCH($A196,'Scored Accounts'!$A$2:$A$301,0))*Assumptions!$B$6)</f>
        <v>0</v>
      </c>
      <c r="AP196" s="2" t="str">
        <f aca="false">IF(AO196&gt;=Assumptions!$B$9,"High",IF(AO196&gt;=Assumptions!$B$10,"Medium","Low"))</f>
        <v>Low</v>
      </c>
      <c r="AQ196" s="10" t="b">
        <f aca="false">OR((E196&lt;=Assumptions!$B$8)&lt;&gt;((P196/(P196+Q196)*100)&lt;=Assumptions!$B$8),AM196&lt;&gt;AN196,G196&lt;&gt;AP196)</f>
        <v>0</v>
      </c>
      <c r="AR196" s="2" t="str">
        <f aca="false">IF(AP196&lt;&gt;"Low","Broker-Reliant",IF(B196="Account Managed","AM-Owned / Self-Serving","Self-Serve"))</f>
        <v>AM-Owned / Self-Serving</v>
      </c>
      <c r="AS196" s="2" t="str">
        <f aca="false">IF(AR196="Broker-Reliant",IF(J196="Tail","5. Cost-to-Serve / Low-Touch",IF(OR(N196="Growing",N196="Stable"),"1. Migration Candidate",IF(N196="Declining","2. Protect / Retain First",IF(N196="Lapsed","3. Win-Back / Verify",IF(N196="H2 Active / No H1 GMV","4. Establish / Re-establish / Observe","UNASSIGNED"))))),IF(AP196="Low",IF(J196="Tail","9. Long-Tail Automated Nurture",IF(OR(N196="Growing",N196="Stable"),"6. Growth Opportunity",IF(N196="H2 Active / No H1 GMV","7. Onboard / Re-engage / Learn",IF(OR(N196="Declining",N196="Lapsed"),"8. Retention / Reactivation","UNASSIGNED")))),"UNASSIGNED"))</f>
        <v>9. Long-Tail Automated Nurture</v>
      </c>
      <c r="AT196" s="10" t="b">
        <f aca="false">AS196&lt;&gt;T196</f>
        <v>0</v>
      </c>
      <c r="AU196" s="2" t="str">
        <f aca="false">IF(NOT(U196),"Not Eligible",IF(OR(AQ196,AH196,AK196,NOT(AND(W196&gt;=Assumptions!$B$83,O196&gt;=Assumptions!$B$84))),"Manual Review","Ready"))</f>
        <v>Not Eligible</v>
      </c>
      <c r="AV196" s="2" t="str">
        <f aca="false">IF(AG196,"Key account - human sign-off required; ","")&amp;IF(AH196,"Borderline momentum; ","")&amp;IF(AK196,"February-sensitive ("&amp;N196&amp;" -&gt; "&amp;AJ196&amp;"); ","")&amp;IF(AL196="One-Off / Insufficient History — Verify","Lapsed on thin history - verify; ","")&amp;IF(AQ196,"Material broker % inconsistency (implied tier "&amp;AP196&amp;"); ","")&amp;IF(AT196,"Implied broker % would move segment to "&amp;AS196&amp;"; ","")</f>
        <v>Lapsed on thin history - verify; </v>
      </c>
      <c r="AW196" s="10" t="b">
        <f aca="false">AND(G196="Low",J196="Tail",I196&gt;=Assumptions!$B$64,O196&gt;=Assumptions!$B$65,OR(N196="Growing",N196="Stable",AND(N196="H2 Active / No H1 GMV",W196&gt;=2)),OR(R196&gt;=Assumptions!$B$66,S196&gt;=Assumptions!$B$67))</f>
        <v>0</v>
      </c>
    </row>
    <row r="197" customFormat="false" ht="15" hidden="false" customHeight="false" outlineLevel="0" collapsed="false">
      <c r="A197" s="2" t="s">
        <v>958</v>
      </c>
      <c r="B197" s="2" t="s">
        <v>1571</v>
      </c>
      <c r="C197" s="2"/>
      <c r="D197" s="2" t="n">
        <v>6</v>
      </c>
      <c r="E197" s="2" t="n">
        <v>5</v>
      </c>
      <c r="F197" s="21" t="n">
        <f aca="false">INDEX('Scored Accounts'!$Q$2:$Q$301,MATCH($A197,'Scored Accounts'!$A$2:$A$301,0))</f>
        <v>0</v>
      </c>
      <c r="G197" s="2" t="str">
        <f aca="false">INDEX('Scored Accounts'!$R$2:$R$301,MATCH($A197,'Scored Accounts'!$A$2:$A$301,0))</f>
        <v>Low</v>
      </c>
      <c r="H197" s="2" t="str">
        <f aca="false">IF(OR(G197="High",G197="Medium"),"Broker-Reliant",IF(AND(G197="Low",B197="Account Managed"),"AM-Owned / Self-Serving",IF(AND(G197="Low",B197="Self Serve"),"Self-Serve","UNASSIGNED")))</f>
        <v>AM-Owned / Self-Serving</v>
      </c>
      <c r="I197" s="9" t="n">
        <v>101</v>
      </c>
      <c r="J197" s="2" t="str">
        <f aca="false">IF(I197&gt;=Assumptions!$B$35,"Key",IF(I197&gt;=Assumptions!$B$34,"Core","Tail"))</f>
        <v>Tail</v>
      </c>
      <c r="K197" s="9" t="n">
        <f aca="false">INDEX('Commercial View'!$R$2:$R$301,MATCH($A197,'Commercial View'!$A$2:$A$301,0))</f>
        <v>101</v>
      </c>
      <c r="L197" s="9" t="n">
        <f aca="false">INDEX('Commercial View'!$S$2:$S$301,MATCH($A197,'Commercial View'!$A$2:$A$301,0))</f>
        <v>0</v>
      </c>
      <c r="M197" s="17" t="n">
        <f aca="false">INDEX('Commercial View'!$T$2:$T$301,MATCH($A197,'Commercial View'!$A$2:$A$301,0))</f>
        <v>-1</v>
      </c>
      <c r="N197" s="2" t="str">
        <f aca="false">INDEX('Commercial View'!$U$2:$U$301,MATCH($A197,'Commercial View'!$A$2:$A$301,0))</f>
        <v>Lapsed</v>
      </c>
      <c r="O197" s="2" t="n">
        <v>1</v>
      </c>
      <c r="P197" s="2" t="n">
        <v>0</v>
      </c>
      <c r="Q197" s="2" t="n">
        <v>1</v>
      </c>
      <c r="R197" s="2" t="n">
        <v>11</v>
      </c>
      <c r="S197" s="2" t="n">
        <v>0</v>
      </c>
      <c r="T197" s="2" t="str">
        <f aca="false">IF(H197="Broker-Reliant",IF(J197="Tail","5. Cost-to-Serve / Low-Touch",IF(OR(N197="Growing",N197="Stable"),"1. Migration Candidate",IF(N197="Declining","2. Protect / Retain First",IF(N197="Lapsed","3. Win-Back / Verify",IF(N197="H2 Active / No H1 GMV","4. Establish / Re-establish / Observe","UNASSIGNED"))))),IF(G197="Low",IF(J197="Tail","9. Long-Tail Automated Nurture",IF(OR(N197="Growing",N197="Stable"),"6. Growth Opportunity",IF(N197="H2 Active / No H1 GMV","7. Onboard / Re-engage / Learn",IF(OR(N197="Declining",N197="Lapsed"),"8. Retention / Reactivation","UNASSIGNED")))),"UNASSIGNED"))</f>
        <v>9. Long-Tail Automated Nurture</v>
      </c>
      <c r="U197" s="10" t="b">
        <f aca="false">AND(T197="1. Migration Candidate",J197="Core",O197&gt;=Assumptions!$B$39,Q197&gt;=Assumptions!$B$40,NOT(Z197))</f>
        <v>0</v>
      </c>
      <c r="V197" s="2" t="n">
        <f aca="false">(AND(H197="Broker-Reliant",J197&lt;&gt;"Tail",OR(N197="Growing",N197="Stable")))*1+(AND(H197="Broker-Reliant",J197&lt;&gt;"Tail",N197="Declining"))*1+(AND(H197="Broker-Reliant",J197&lt;&gt;"Tail",N197="Lapsed"))*1+(AND(H197="Broker-Reliant",J197&lt;&gt;"Tail",N197="H2 Active / No H1 GMV"))*1+(AND(H197="Broker-Reliant",J197="Tail"))*1+(AND(G197="Low",J197&lt;&gt;"Tail",OR(N197="Growing",N197="Stable")))*1+(AND(G197="Low",J197&lt;&gt;"Tail",N197="H2 Active / No H1 GMV"))*1+(AND(G197="Low",J197&lt;&gt;"Tail",OR(N197="Declining",N197="Lapsed")))*1+(AND(G197="Low",J197="Tail"))*1</f>
        <v>1</v>
      </c>
      <c r="W197" s="2" t="n">
        <f aca="false">INDEX('Commercial View'!$V$2:$V$301,MATCH($A197,'Commercial View'!$A$2:$A$301,0))</f>
        <v>1</v>
      </c>
      <c r="X197" s="10" t="b">
        <f aca="false">O197&lt;=Assumptions!$B$30</f>
        <v>1</v>
      </c>
      <c r="Y197" s="10" t="b">
        <f aca="false">W197&lt;=1</f>
        <v>1</v>
      </c>
      <c r="Z197" s="10" t="b">
        <f aca="false">C197="Duplicate"</f>
        <v>0</v>
      </c>
      <c r="AA197" s="10" t="b">
        <f aca="false">C197=""</f>
        <v>1</v>
      </c>
      <c r="AB197" s="2" t="n">
        <f aca="false">IF(P197+Q197&gt;0,ROUND(P197/(P197+Q197)*100,0),"")</f>
        <v>0</v>
      </c>
      <c r="AC197" s="2" t="n">
        <f aca="false">IF(P197+Q197&gt;0,ROUND(E197-P197/(P197+Q197)*100,0),"")</f>
        <v>5</v>
      </c>
      <c r="AD197" s="10" t="b">
        <f aca="false">IF(AC197="",FALSE(),ABS(AC197)&gt;Assumptions!$B$41)</f>
        <v>0</v>
      </c>
      <c r="AE197" s="2" t="str">
        <f aca="false">IF(X197,"Low confidence (&lt;=2 orders); ","")&amp;IF(Y197,"Single-month history; ","")&amp;IF(Z197,"CRITICAL: Duplicate status; ","")&amp;IF(AA197,"Missing status; ","")&amp;IF(AD197,"Broker % vs counts gap "&amp;TEXT(AC197,"+0;-0")&amp;"pts; ","")</f>
        <v>Low confidence (&lt;=2 orders); Single-month history; Missing status; </v>
      </c>
      <c r="AF197" s="2" t="str">
        <f aca="false">IF(AND(K197=0,L197&gt;0),IF(D197&lt;=Assumptions!$B$47,"New Customer","Returned Customer"),"Existing Customer")</f>
        <v>Existing Customer</v>
      </c>
      <c r="AG197" s="10" t="b">
        <f aca="false">AND(T197="1. Migration Candidate",J197="Key")</f>
        <v>0</v>
      </c>
      <c r="AH197" s="10" t="b">
        <f aca="false">IF(AND(K197&gt;0,L197&gt;0),OR(ABS(M197-Assumptions!$B$36)&lt;=Assumptions!$B$46,ABS(M197+Assumptions!$B$36)&lt;=Assumptions!$B$46),FALSE())</f>
        <v>0</v>
      </c>
      <c r="AI197" s="9" t="n">
        <f aca="false">INDEX('Commercial View'!$L$2:$L$301,MATCH($A197,'Commercial View'!$A$2:$A$301,0))+INDEX('Commercial View'!$M$2:$M$301,MATCH($A197,'Commercial View'!$A$2:$A$301,0))</f>
        <v>0</v>
      </c>
      <c r="AJ197" s="2" t="str">
        <f aca="false">IF(AND(K197=0,AI197=0),"No activity ex-Feb",IF(AI197=0,"Lapsed",IF(K197=0,"H2 Active / No H1 GMV",IF((AI197/2)/(K197/3)-1&gt;=Assumptions!$B$36,"Growing",IF((AI197/2)/(K197/3)-1&lt;-Assumptions!$B$36,"Declining","Stable")))))</f>
        <v>Lapsed</v>
      </c>
      <c r="AK197" s="10" t="b">
        <f aca="false">IF(OR(N197="Growing",N197="Stable"),"Healthy",N197)&lt;&gt;IF(OR(AJ197="Growing",AJ197="Stable"),"Healthy",AJ197)</f>
        <v>0</v>
      </c>
      <c r="AL197" s="2" t="str">
        <f aca="false">IF(N197="Lapsed",IF(OR(O197&lt;=Assumptions!$B$48,W197&lt;=Assumptions!$B$49),"One-Off / Insufficient History — Verify","Established Buyer Lapsed"),"N/A")</f>
        <v>One-Off / Insufficient History — Verify</v>
      </c>
      <c r="AM197" s="2" t="n">
        <f aca="false">INDEX('Scored Accounts'!$M$2:$M$301,MATCH($A197,'Scored Accounts'!$A$2:$A$301,0))</f>
        <v>0</v>
      </c>
      <c r="AN197" s="2" t="n">
        <f aca="false">IF((P197/(P197+Q197)*100)&lt;=Assumptions!$B$13,0,IF((P197/(P197+Q197)*100)&lt;Assumptions!$B$14,25,IF((P197/(P197+Q197)*100)&lt;Assumptions!$B$15,50,IF((P197/(P197+Q197)*100)&lt;Assumptions!$B$16,75,100))))</f>
        <v>0</v>
      </c>
      <c r="AO197" s="21" t="n">
        <f aca="false">IF((P197/(P197+Q197)*100)&lt;=Assumptions!$B$8,0,AN197*Assumptions!$B$4+INDEX('Scored Accounts'!$N$2:$N$301,MATCH($A197,'Scored Accounts'!$A$2:$A$301,0))*Assumptions!$B$5+INDEX('Scored Accounts'!$O$2:$O$301,MATCH($A197,'Scored Accounts'!$A$2:$A$301,0))*Assumptions!$B$6)</f>
        <v>0</v>
      </c>
      <c r="AP197" s="2" t="str">
        <f aca="false">IF(AO197&gt;=Assumptions!$B$9,"High",IF(AO197&gt;=Assumptions!$B$10,"Medium","Low"))</f>
        <v>Low</v>
      </c>
      <c r="AQ197" s="10" t="b">
        <f aca="false">OR((E197&lt;=Assumptions!$B$8)&lt;&gt;((P197/(P197+Q197)*100)&lt;=Assumptions!$B$8),AM197&lt;&gt;AN197,G197&lt;&gt;AP197)</f>
        <v>0</v>
      </c>
      <c r="AR197" s="2" t="str">
        <f aca="false">IF(AP197&lt;&gt;"Low","Broker-Reliant",IF(B197="Account Managed","AM-Owned / Self-Serving","Self-Serve"))</f>
        <v>AM-Owned / Self-Serving</v>
      </c>
      <c r="AS197" s="2" t="str">
        <f aca="false">IF(AR197="Broker-Reliant",IF(J197="Tail","5. Cost-to-Serve / Low-Touch",IF(OR(N197="Growing",N197="Stable"),"1. Migration Candidate",IF(N197="Declining","2. Protect / Retain First",IF(N197="Lapsed","3. Win-Back / Verify",IF(N197="H2 Active / No H1 GMV","4. Establish / Re-establish / Observe","UNASSIGNED"))))),IF(AP197="Low",IF(J197="Tail","9. Long-Tail Automated Nurture",IF(OR(N197="Growing",N197="Stable"),"6. Growth Opportunity",IF(N197="H2 Active / No H1 GMV","7. Onboard / Re-engage / Learn",IF(OR(N197="Declining",N197="Lapsed"),"8. Retention / Reactivation","UNASSIGNED")))),"UNASSIGNED"))</f>
        <v>9. Long-Tail Automated Nurture</v>
      </c>
      <c r="AT197" s="10" t="b">
        <f aca="false">AS197&lt;&gt;T197</f>
        <v>0</v>
      </c>
      <c r="AU197" s="2" t="str">
        <f aca="false">IF(NOT(U197),"Not Eligible",IF(OR(AQ197,AH197,AK197,NOT(AND(W197&gt;=Assumptions!$B$83,O197&gt;=Assumptions!$B$84))),"Manual Review","Ready"))</f>
        <v>Not Eligible</v>
      </c>
      <c r="AV197" s="2" t="str">
        <f aca="false">IF(AG197,"Key account - human sign-off required; ","")&amp;IF(AH197,"Borderline momentum; ","")&amp;IF(AK197,"February-sensitive ("&amp;N197&amp;" -&gt; "&amp;AJ197&amp;"); ","")&amp;IF(AL197="One-Off / Insufficient History — Verify","Lapsed on thin history - verify; ","")&amp;IF(AQ197,"Material broker % inconsistency (implied tier "&amp;AP197&amp;"); ","")&amp;IF(AT197,"Implied broker % would move segment to "&amp;AS197&amp;"; ","")</f>
        <v>Lapsed on thin history - verify; </v>
      </c>
      <c r="AW197" s="10" t="b">
        <f aca="false">AND(G197="Low",J197="Tail",I197&gt;=Assumptions!$B$64,O197&gt;=Assumptions!$B$65,OR(N197="Growing",N197="Stable",AND(N197="H2 Active / No H1 GMV",W197&gt;=2)),OR(R197&gt;=Assumptions!$B$66,S197&gt;=Assumptions!$B$67))</f>
        <v>0</v>
      </c>
    </row>
    <row r="198" customFormat="false" ht="15" hidden="false" customHeight="false" outlineLevel="0" collapsed="false">
      <c r="A198" s="2" t="s">
        <v>962</v>
      </c>
      <c r="B198" s="2" t="s">
        <v>1571</v>
      </c>
      <c r="C198" s="2"/>
      <c r="D198" s="2" t="n">
        <v>6</v>
      </c>
      <c r="E198" s="2" t="n">
        <v>0</v>
      </c>
      <c r="F198" s="21" t="n">
        <f aca="false">INDEX('Scored Accounts'!$Q$2:$Q$301,MATCH($A198,'Scored Accounts'!$A$2:$A$301,0))</f>
        <v>0</v>
      </c>
      <c r="G198" s="2" t="str">
        <f aca="false">INDEX('Scored Accounts'!$R$2:$R$301,MATCH($A198,'Scored Accounts'!$A$2:$A$301,0))</f>
        <v>Low</v>
      </c>
      <c r="H198" s="2" t="str">
        <f aca="false">IF(OR(G198="High",G198="Medium"),"Broker-Reliant",IF(AND(G198="Low",B198="Account Managed"),"AM-Owned / Self-Serving",IF(AND(G198="Low",B198="Self Serve"),"Self-Serve","UNASSIGNED")))</f>
        <v>AM-Owned / Self-Serving</v>
      </c>
      <c r="I198" s="9" t="n">
        <v>97</v>
      </c>
      <c r="J198" s="2" t="str">
        <f aca="false">IF(I198&gt;=Assumptions!$B$35,"Key",IF(I198&gt;=Assumptions!$B$34,"Core","Tail"))</f>
        <v>Tail</v>
      </c>
      <c r="K198" s="9" t="n">
        <f aca="false">INDEX('Commercial View'!$R$2:$R$301,MATCH($A198,'Commercial View'!$A$2:$A$301,0))</f>
        <v>97</v>
      </c>
      <c r="L198" s="9" t="n">
        <f aca="false">INDEX('Commercial View'!$S$2:$S$301,MATCH($A198,'Commercial View'!$A$2:$A$301,0))</f>
        <v>0</v>
      </c>
      <c r="M198" s="17" t="n">
        <f aca="false">INDEX('Commercial View'!$T$2:$T$301,MATCH($A198,'Commercial View'!$A$2:$A$301,0))</f>
        <v>-1</v>
      </c>
      <c r="N198" s="2" t="str">
        <f aca="false">INDEX('Commercial View'!$U$2:$U$301,MATCH($A198,'Commercial View'!$A$2:$A$301,0))</f>
        <v>Lapsed</v>
      </c>
      <c r="O198" s="2" t="n">
        <v>1</v>
      </c>
      <c r="P198" s="2" t="n">
        <v>0</v>
      </c>
      <c r="Q198" s="2" t="n">
        <v>1</v>
      </c>
      <c r="R198" s="2" t="n">
        <v>11</v>
      </c>
      <c r="S198" s="2" t="n">
        <v>0</v>
      </c>
      <c r="T198" s="2" t="str">
        <f aca="false">IF(H198="Broker-Reliant",IF(J198="Tail","5. Cost-to-Serve / Low-Touch",IF(OR(N198="Growing",N198="Stable"),"1. Migration Candidate",IF(N198="Declining","2. Protect / Retain First",IF(N198="Lapsed","3. Win-Back / Verify",IF(N198="H2 Active / No H1 GMV","4. Establish / Re-establish / Observe","UNASSIGNED"))))),IF(G198="Low",IF(J198="Tail","9. Long-Tail Automated Nurture",IF(OR(N198="Growing",N198="Stable"),"6. Growth Opportunity",IF(N198="H2 Active / No H1 GMV","7. Onboard / Re-engage / Learn",IF(OR(N198="Declining",N198="Lapsed"),"8. Retention / Reactivation","UNASSIGNED")))),"UNASSIGNED"))</f>
        <v>9. Long-Tail Automated Nurture</v>
      </c>
      <c r="U198" s="10" t="b">
        <f aca="false">AND(T198="1. Migration Candidate",J198="Core",O198&gt;=Assumptions!$B$39,Q198&gt;=Assumptions!$B$40,NOT(Z198))</f>
        <v>0</v>
      </c>
      <c r="V198" s="2" t="n">
        <f aca="false">(AND(H198="Broker-Reliant",J198&lt;&gt;"Tail",OR(N198="Growing",N198="Stable")))*1+(AND(H198="Broker-Reliant",J198&lt;&gt;"Tail",N198="Declining"))*1+(AND(H198="Broker-Reliant",J198&lt;&gt;"Tail",N198="Lapsed"))*1+(AND(H198="Broker-Reliant",J198&lt;&gt;"Tail",N198="H2 Active / No H1 GMV"))*1+(AND(H198="Broker-Reliant",J198="Tail"))*1+(AND(G198="Low",J198&lt;&gt;"Tail",OR(N198="Growing",N198="Stable")))*1+(AND(G198="Low",J198&lt;&gt;"Tail",N198="H2 Active / No H1 GMV"))*1+(AND(G198="Low",J198&lt;&gt;"Tail",OR(N198="Declining",N198="Lapsed")))*1+(AND(G198="Low",J198="Tail"))*1</f>
        <v>1</v>
      </c>
      <c r="W198" s="2" t="n">
        <f aca="false">INDEX('Commercial View'!$V$2:$V$301,MATCH($A198,'Commercial View'!$A$2:$A$301,0))</f>
        <v>1</v>
      </c>
      <c r="X198" s="10" t="b">
        <f aca="false">O198&lt;=Assumptions!$B$30</f>
        <v>1</v>
      </c>
      <c r="Y198" s="10" t="b">
        <f aca="false">W198&lt;=1</f>
        <v>1</v>
      </c>
      <c r="Z198" s="10" t="b">
        <f aca="false">C198="Duplicate"</f>
        <v>0</v>
      </c>
      <c r="AA198" s="10" t="b">
        <f aca="false">C198=""</f>
        <v>1</v>
      </c>
      <c r="AB198" s="2" t="n">
        <f aca="false">IF(P198+Q198&gt;0,ROUND(P198/(P198+Q198)*100,0),"")</f>
        <v>0</v>
      </c>
      <c r="AC198" s="2" t="n">
        <f aca="false">IF(P198+Q198&gt;0,ROUND(E198-P198/(P198+Q198)*100,0),"")</f>
        <v>0</v>
      </c>
      <c r="AD198" s="10" t="b">
        <f aca="false">IF(AC198="",FALSE(),ABS(AC198)&gt;Assumptions!$B$41)</f>
        <v>0</v>
      </c>
      <c r="AE198" s="2" t="str">
        <f aca="false">IF(X198,"Low confidence (&lt;=2 orders); ","")&amp;IF(Y198,"Single-month history; ","")&amp;IF(Z198,"CRITICAL: Duplicate status; ","")&amp;IF(AA198,"Missing status; ","")&amp;IF(AD198,"Broker % vs counts gap "&amp;TEXT(AC198,"+0;-0")&amp;"pts; ","")</f>
        <v>Low confidence (&lt;=2 orders); Single-month history; Missing status; </v>
      </c>
      <c r="AF198" s="2" t="str">
        <f aca="false">IF(AND(K198=0,L198&gt;0),IF(D198&lt;=Assumptions!$B$47,"New Customer","Returned Customer"),"Existing Customer")</f>
        <v>Existing Customer</v>
      </c>
      <c r="AG198" s="10" t="b">
        <f aca="false">AND(T198="1. Migration Candidate",J198="Key")</f>
        <v>0</v>
      </c>
      <c r="AH198" s="10" t="b">
        <f aca="false">IF(AND(K198&gt;0,L198&gt;0),OR(ABS(M198-Assumptions!$B$36)&lt;=Assumptions!$B$46,ABS(M198+Assumptions!$B$36)&lt;=Assumptions!$B$46),FALSE())</f>
        <v>0</v>
      </c>
      <c r="AI198" s="9" t="n">
        <f aca="false">INDEX('Commercial View'!$L$2:$L$301,MATCH($A198,'Commercial View'!$A$2:$A$301,0))+INDEX('Commercial View'!$M$2:$M$301,MATCH($A198,'Commercial View'!$A$2:$A$301,0))</f>
        <v>0</v>
      </c>
      <c r="AJ198" s="2" t="str">
        <f aca="false">IF(AND(K198=0,AI198=0),"No activity ex-Feb",IF(AI198=0,"Lapsed",IF(K198=0,"H2 Active / No H1 GMV",IF((AI198/2)/(K198/3)-1&gt;=Assumptions!$B$36,"Growing",IF((AI198/2)/(K198/3)-1&lt;-Assumptions!$B$36,"Declining","Stable")))))</f>
        <v>Lapsed</v>
      </c>
      <c r="AK198" s="10" t="b">
        <f aca="false">IF(OR(N198="Growing",N198="Stable"),"Healthy",N198)&lt;&gt;IF(OR(AJ198="Growing",AJ198="Stable"),"Healthy",AJ198)</f>
        <v>0</v>
      </c>
      <c r="AL198" s="2" t="str">
        <f aca="false">IF(N198="Lapsed",IF(OR(O198&lt;=Assumptions!$B$48,W198&lt;=Assumptions!$B$49),"One-Off / Insufficient History — Verify","Established Buyer Lapsed"),"N/A")</f>
        <v>One-Off / Insufficient History — Verify</v>
      </c>
      <c r="AM198" s="2" t="n">
        <f aca="false">INDEX('Scored Accounts'!$M$2:$M$301,MATCH($A198,'Scored Accounts'!$A$2:$A$301,0))</f>
        <v>0</v>
      </c>
      <c r="AN198" s="2" t="n">
        <f aca="false">IF((P198/(P198+Q198)*100)&lt;=Assumptions!$B$13,0,IF((P198/(P198+Q198)*100)&lt;Assumptions!$B$14,25,IF((P198/(P198+Q198)*100)&lt;Assumptions!$B$15,50,IF((P198/(P198+Q198)*100)&lt;Assumptions!$B$16,75,100))))</f>
        <v>0</v>
      </c>
      <c r="AO198" s="21" t="n">
        <f aca="false">IF((P198/(P198+Q198)*100)&lt;=Assumptions!$B$8,0,AN198*Assumptions!$B$4+INDEX('Scored Accounts'!$N$2:$N$301,MATCH($A198,'Scored Accounts'!$A$2:$A$301,0))*Assumptions!$B$5+INDEX('Scored Accounts'!$O$2:$O$301,MATCH($A198,'Scored Accounts'!$A$2:$A$301,0))*Assumptions!$B$6)</f>
        <v>0</v>
      </c>
      <c r="AP198" s="2" t="str">
        <f aca="false">IF(AO198&gt;=Assumptions!$B$9,"High",IF(AO198&gt;=Assumptions!$B$10,"Medium","Low"))</f>
        <v>Low</v>
      </c>
      <c r="AQ198" s="10" t="b">
        <f aca="false">OR((E198&lt;=Assumptions!$B$8)&lt;&gt;((P198/(P198+Q198)*100)&lt;=Assumptions!$B$8),AM198&lt;&gt;AN198,G198&lt;&gt;AP198)</f>
        <v>0</v>
      </c>
      <c r="AR198" s="2" t="str">
        <f aca="false">IF(AP198&lt;&gt;"Low","Broker-Reliant",IF(B198="Account Managed","AM-Owned / Self-Serving","Self-Serve"))</f>
        <v>AM-Owned / Self-Serving</v>
      </c>
      <c r="AS198" s="2" t="str">
        <f aca="false">IF(AR198="Broker-Reliant",IF(J198="Tail","5. Cost-to-Serve / Low-Touch",IF(OR(N198="Growing",N198="Stable"),"1. Migration Candidate",IF(N198="Declining","2. Protect / Retain First",IF(N198="Lapsed","3. Win-Back / Verify",IF(N198="H2 Active / No H1 GMV","4. Establish / Re-establish / Observe","UNASSIGNED"))))),IF(AP198="Low",IF(J198="Tail","9. Long-Tail Automated Nurture",IF(OR(N198="Growing",N198="Stable"),"6. Growth Opportunity",IF(N198="H2 Active / No H1 GMV","7. Onboard / Re-engage / Learn",IF(OR(N198="Declining",N198="Lapsed"),"8. Retention / Reactivation","UNASSIGNED")))),"UNASSIGNED"))</f>
        <v>9. Long-Tail Automated Nurture</v>
      </c>
      <c r="AT198" s="10" t="b">
        <f aca="false">AS198&lt;&gt;T198</f>
        <v>0</v>
      </c>
      <c r="AU198" s="2" t="str">
        <f aca="false">IF(NOT(U198),"Not Eligible",IF(OR(AQ198,AH198,AK198,NOT(AND(W198&gt;=Assumptions!$B$83,O198&gt;=Assumptions!$B$84))),"Manual Review","Ready"))</f>
        <v>Not Eligible</v>
      </c>
      <c r="AV198" s="2" t="str">
        <f aca="false">IF(AG198,"Key account - human sign-off required; ","")&amp;IF(AH198,"Borderline momentum; ","")&amp;IF(AK198,"February-sensitive ("&amp;N198&amp;" -&gt; "&amp;AJ198&amp;"); ","")&amp;IF(AL198="One-Off / Insufficient History — Verify","Lapsed on thin history - verify; ","")&amp;IF(AQ198,"Material broker % inconsistency (implied tier "&amp;AP198&amp;"); ","")&amp;IF(AT198,"Implied broker % would move segment to "&amp;AS198&amp;"; ","")</f>
        <v>Lapsed on thin history - verify; </v>
      </c>
      <c r="AW198" s="10" t="b">
        <f aca="false">AND(G198="Low",J198="Tail",I198&gt;=Assumptions!$B$64,O198&gt;=Assumptions!$B$65,OR(N198="Growing",N198="Stable",AND(N198="H2 Active / No H1 GMV",W198&gt;=2)),OR(R198&gt;=Assumptions!$B$66,S198&gt;=Assumptions!$B$67))</f>
        <v>0</v>
      </c>
    </row>
    <row r="199" customFormat="false" ht="15" hidden="false" customHeight="false" outlineLevel="0" collapsed="false">
      <c r="A199" s="2" t="s">
        <v>964</v>
      </c>
      <c r="B199" s="2" t="s">
        <v>1571</v>
      </c>
      <c r="C199" s="2"/>
      <c r="D199" s="2" t="n">
        <v>6</v>
      </c>
      <c r="E199" s="2" t="n">
        <v>10</v>
      </c>
      <c r="F199" s="21" t="n">
        <f aca="false">INDEX('Scored Accounts'!$Q$2:$Q$301,MATCH($A199,'Scored Accounts'!$A$2:$A$301,0))</f>
        <v>0</v>
      </c>
      <c r="G199" s="2" t="str">
        <f aca="false">INDEX('Scored Accounts'!$R$2:$R$301,MATCH($A199,'Scored Accounts'!$A$2:$A$301,0))</f>
        <v>Low</v>
      </c>
      <c r="H199" s="2" t="str">
        <f aca="false">IF(OR(G199="High",G199="Medium"),"Broker-Reliant",IF(AND(G199="Low",B199="Account Managed"),"AM-Owned / Self-Serving",IF(AND(G199="Low",B199="Self Serve"),"Self-Serve","UNASSIGNED")))</f>
        <v>AM-Owned / Self-Serving</v>
      </c>
      <c r="I199" s="9" t="n">
        <v>96</v>
      </c>
      <c r="J199" s="2" t="str">
        <f aca="false">IF(I199&gt;=Assumptions!$B$35,"Key",IF(I199&gt;=Assumptions!$B$34,"Core","Tail"))</f>
        <v>Tail</v>
      </c>
      <c r="K199" s="9" t="n">
        <f aca="false">INDEX('Commercial View'!$R$2:$R$301,MATCH($A199,'Commercial View'!$A$2:$A$301,0))</f>
        <v>96</v>
      </c>
      <c r="L199" s="9" t="n">
        <f aca="false">INDEX('Commercial View'!$S$2:$S$301,MATCH($A199,'Commercial View'!$A$2:$A$301,0))</f>
        <v>0</v>
      </c>
      <c r="M199" s="17" t="n">
        <f aca="false">INDEX('Commercial View'!$T$2:$T$301,MATCH($A199,'Commercial View'!$A$2:$A$301,0))</f>
        <v>-1</v>
      </c>
      <c r="N199" s="2" t="str">
        <f aca="false">INDEX('Commercial View'!$U$2:$U$301,MATCH($A199,'Commercial View'!$A$2:$A$301,0))</f>
        <v>Lapsed</v>
      </c>
      <c r="O199" s="2" t="n">
        <v>1</v>
      </c>
      <c r="P199" s="2" t="n">
        <v>0</v>
      </c>
      <c r="Q199" s="2" t="n">
        <v>1</v>
      </c>
      <c r="R199" s="2" t="n">
        <v>4</v>
      </c>
      <c r="S199" s="2" t="n">
        <v>0</v>
      </c>
      <c r="T199" s="2" t="str">
        <f aca="false">IF(H199="Broker-Reliant",IF(J199="Tail","5. Cost-to-Serve / Low-Touch",IF(OR(N199="Growing",N199="Stable"),"1. Migration Candidate",IF(N199="Declining","2. Protect / Retain First",IF(N199="Lapsed","3. Win-Back / Verify",IF(N199="H2 Active / No H1 GMV","4. Establish / Re-establish / Observe","UNASSIGNED"))))),IF(G199="Low",IF(J199="Tail","9. Long-Tail Automated Nurture",IF(OR(N199="Growing",N199="Stable"),"6. Growth Opportunity",IF(N199="H2 Active / No H1 GMV","7. Onboard / Re-engage / Learn",IF(OR(N199="Declining",N199="Lapsed"),"8. Retention / Reactivation","UNASSIGNED")))),"UNASSIGNED"))</f>
        <v>9. Long-Tail Automated Nurture</v>
      </c>
      <c r="U199" s="10" t="b">
        <f aca="false">AND(T199="1. Migration Candidate",J199="Core",O199&gt;=Assumptions!$B$39,Q199&gt;=Assumptions!$B$40,NOT(Z199))</f>
        <v>0</v>
      </c>
      <c r="V199" s="2" t="n">
        <f aca="false">(AND(H199="Broker-Reliant",J199&lt;&gt;"Tail",OR(N199="Growing",N199="Stable")))*1+(AND(H199="Broker-Reliant",J199&lt;&gt;"Tail",N199="Declining"))*1+(AND(H199="Broker-Reliant",J199&lt;&gt;"Tail",N199="Lapsed"))*1+(AND(H199="Broker-Reliant",J199&lt;&gt;"Tail",N199="H2 Active / No H1 GMV"))*1+(AND(H199="Broker-Reliant",J199="Tail"))*1+(AND(G199="Low",J199&lt;&gt;"Tail",OR(N199="Growing",N199="Stable")))*1+(AND(G199="Low",J199&lt;&gt;"Tail",N199="H2 Active / No H1 GMV"))*1+(AND(G199="Low",J199&lt;&gt;"Tail",OR(N199="Declining",N199="Lapsed")))*1+(AND(G199="Low",J199="Tail"))*1</f>
        <v>1</v>
      </c>
      <c r="W199" s="2" t="n">
        <f aca="false">INDEX('Commercial View'!$V$2:$V$301,MATCH($A199,'Commercial View'!$A$2:$A$301,0))</f>
        <v>1</v>
      </c>
      <c r="X199" s="10" t="b">
        <f aca="false">O199&lt;=Assumptions!$B$30</f>
        <v>1</v>
      </c>
      <c r="Y199" s="10" t="b">
        <f aca="false">W199&lt;=1</f>
        <v>1</v>
      </c>
      <c r="Z199" s="10" t="b">
        <f aca="false">C199="Duplicate"</f>
        <v>0</v>
      </c>
      <c r="AA199" s="10" t="b">
        <f aca="false">C199=""</f>
        <v>1</v>
      </c>
      <c r="AB199" s="2" t="n">
        <f aca="false">IF(P199+Q199&gt;0,ROUND(P199/(P199+Q199)*100,0),"")</f>
        <v>0</v>
      </c>
      <c r="AC199" s="2" t="n">
        <f aca="false">IF(P199+Q199&gt;0,ROUND(E199-P199/(P199+Q199)*100,0),"")</f>
        <v>10</v>
      </c>
      <c r="AD199" s="10" t="b">
        <f aca="false">IF(AC199="",FALSE(),ABS(AC199)&gt;Assumptions!$B$41)</f>
        <v>0</v>
      </c>
      <c r="AE199" s="2" t="str">
        <f aca="false">IF(X199,"Low confidence (&lt;=2 orders); ","")&amp;IF(Y199,"Single-month history; ","")&amp;IF(Z199,"CRITICAL: Duplicate status; ","")&amp;IF(AA199,"Missing status; ","")&amp;IF(AD199,"Broker % vs counts gap "&amp;TEXT(AC199,"+0;-0")&amp;"pts; ","")</f>
        <v>Low confidence (&lt;=2 orders); Single-month history; Missing status; </v>
      </c>
      <c r="AF199" s="2" t="str">
        <f aca="false">IF(AND(K199=0,L199&gt;0),IF(D199&lt;=Assumptions!$B$47,"New Customer","Returned Customer"),"Existing Customer")</f>
        <v>Existing Customer</v>
      </c>
      <c r="AG199" s="10" t="b">
        <f aca="false">AND(T199="1. Migration Candidate",J199="Key")</f>
        <v>0</v>
      </c>
      <c r="AH199" s="10" t="b">
        <f aca="false">IF(AND(K199&gt;0,L199&gt;0),OR(ABS(M199-Assumptions!$B$36)&lt;=Assumptions!$B$46,ABS(M199+Assumptions!$B$36)&lt;=Assumptions!$B$46),FALSE())</f>
        <v>0</v>
      </c>
      <c r="AI199" s="9" t="n">
        <f aca="false">INDEX('Commercial View'!$L$2:$L$301,MATCH($A199,'Commercial View'!$A$2:$A$301,0))+INDEX('Commercial View'!$M$2:$M$301,MATCH($A199,'Commercial View'!$A$2:$A$301,0))</f>
        <v>0</v>
      </c>
      <c r="AJ199" s="2" t="str">
        <f aca="false">IF(AND(K199=0,AI199=0),"No activity ex-Feb",IF(AI199=0,"Lapsed",IF(K199=0,"H2 Active / No H1 GMV",IF((AI199/2)/(K199/3)-1&gt;=Assumptions!$B$36,"Growing",IF((AI199/2)/(K199/3)-1&lt;-Assumptions!$B$36,"Declining","Stable")))))</f>
        <v>Lapsed</v>
      </c>
      <c r="AK199" s="10" t="b">
        <f aca="false">IF(OR(N199="Growing",N199="Stable"),"Healthy",N199)&lt;&gt;IF(OR(AJ199="Growing",AJ199="Stable"),"Healthy",AJ199)</f>
        <v>0</v>
      </c>
      <c r="AL199" s="2" t="str">
        <f aca="false">IF(N199="Lapsed",IF(OR(O199&lt;=Assumptions!$B$48,W199&lt;=Assumptions!$B$49),"One-Off / Insufficient History — Verify","Established Buyer Lapsed"),"N/A")</f>
        <v>One-Off / Insufficient History — Verify</v>
      </c>
      <c r="AM199" s="2" t="n">
        <f aca="false">INDEX('Scored Accounts'!$M$2:$M$301,MATCH($A199,'Scored Accounts'!$A$2:$A$301,0))</f>
        <v>0</v>
      </c>
      <c r="AN199" s="2" t="n">
        <f aca="false">IF((P199/(P199+Q199)*100)&lt;=Assumptions!$B$13,0,IF((P199/(P199+Q199)*100)&lt;Assumptions!$B$14,25,IF((P199/(P199+Q199)*100)&lt;Assumptions!$B$15,50,IF((P199/(P199+Q199)*100)&lt;Assumptions!$B$16,75,100))))</f>
        <v>0</v>
      </c>
      <c r="AO199" s="21" t="n">
        <f aca="false">IF((P199/(P199+Q199)*100)&lt;=Assumptions!$B$8,0,AN199*Assumptions!$B$4+INDEX('Scored Accounts'!$N$2:$N$301,MATCH($A199,'Scored Accounts'!$A$2:$A$301,0))*Assumptions!$B$5+INDEX('Scored Accounts'!$O$2:$O$301,MATCH($A199,'Scored Accounts'!$A$2:$A$301,0))*Assumptions!$B$6)</f>
        <v>0</v>
      </c>
      <c r="AP199" s="2" t="str">
        <f aca="false">IF(AO199&gt;=Assumptions!$B$9,"High",IF(AO199&gt;=Assumptions!$B$10,"Medium","Low"))</f>
        <v>Low</v>
      </c>
      <c r="AQ199" s="10" t="b">
        <f aca="false">OR((E199&lt;=Assumptions!$B$8)&lt;&gt;((P199/(P199+Q199)*100)&lt;=Assumptions!$B$8),AM199&lt;&gt;AN199,G199&lt;&gt;AP199)</f>
        <v>0</v>
      </c>
      <c r="AR199" s="2" t="str">
        <f aca="false">IF(AP199&lt;&gt;"Low","Broker-Reliant",IF(B199="Account Managed","AM-Owned / Self-Serving","Self-Serve"))</f>
        <v>AM-Owned / Self-Serving</v>
      </c>
      <c r="AS199" s="2" t="str">
        <f aca="false">IF(AR199="Broker-Reliant",IF(J199="Tail","5. Cost-to-Serve / Low-Touch",IF(OR(N199="Growing",N199="Stable"),"1. Migration Candidate",IF(N199="Declining","2. Protect / Retain First",IF(N199="Lapsed","3. Win-Back / Verify",IF(N199="H2 Active / No H1 GMV","4. Establish / Re-establish / Observe","UNASSIGNED"))))),IF(AP199="Low",IF(J199="Tail","9. Long-Tail Automated Nurture",IF(OR(N199="Growing",N199="Stable"),"6. Growth Opportunity",IF(N199="H2 Active / No H1 GMV","7. Onboard / Re-engage / Learn",IF(OR(N199="Declining",N199="Lapsed"),"8. Retention / Reactivation","UNASSIGNED")))),"UNASSIGNED"))</f>
        <v>9. Long-Tail Automated Nurture</v>
      </c>
      <c r="AT199" s="10" t="b">
        <f aca="false">AS199&lt;&gt;T199</f>
        <v>0</v>
      </c>
      <c r="AU199" s="2" t="str">
        <f aca="false">IF(NOT(U199),"Not Eligible",IF(OR(AQ199,AH199,AK199,NOT(AND(W199&gt;=Assumptions!$B$83,O199&gt;=Assumptions!$B$84))),"Manual Review","Ready"))</f>
        <v>Not Eligible</v>
      </c>
      <c r="AV199" s="2" t="str">
        <f aca="false">IF(AG199,"Key account - human sign-off required; ","")&amp;IF(AH199,"Borderline momentum; ","")&amp;IF(AK199,"February-sensitive ("&amp;N199&amp;" -&gt; "&amp;AJ199&amp;"); ","")&amp;IF(AL199="One-Off / Insufficient History — Verify","Lapsed on thin history - verify; ","")&amp;IF(AQ199,"Material broker % inconsistency (implied tier "&amp;AP199&amp;"); ","")&amp;IF(AT199,"Implied broker % would move segment to "&amp;AS199&amp;"; ","")</f>
        <v>Lapsed on thin history - verify; </v>
      </c>
      <c r="AW199" s="10" t="b">
        <f aca="false">AND(G199="Low",J199="Tail",I199&gt;=Assumptions!$B$64,O199&gt;=Assumptions!$B$65,OR(N199="Growing",N199="Stable",AND(N199="H2 Active / No H1 GMV",W199&gt;=2)),OR(R199&gt;=Assumptions!$B$66,S199&gt;=Assumptions!$B$67))</f>
        <v>0</v>
      </c>
    </row>
    <row r="200" customFormat="false" ht="15" hidden="false" customHeight="false" outlineLevel="0" collapsed="false">
      <c r="A200" s="2" t="s">
        <v>966</v>
      </c>
      <c r="B200" s="2" t="s">
        <v>1571</v>
      </c>
      <c r="C200" s="2"/>
      <c r="D200" s="2" t="n">
        <v>6</v>
      </c>
      <c r="E200" s="2" t="n">
        <v>12</v>
      </c>
      <c r="F200" s="21" t="n">
        <f aca="false">INDEX('Scored Accounts'!$Q$2:$Q$301,MATCH($A200,'Scored Accounts'!$A$2:$A$301,0))</f>
        <v>0</v>
      </c>
      <c r="G200" s="2" t="str">
        <f aca="false">INDEX('Scored Accounts'!$R$2:$R$301,MATCH($A200,'Scored Accounts'!$A$2:$A$301,0))</f>
        <v>Low</v>
      </c>
      <c r="H200" s="2" t="str">
        <f aca="false">IF(OR(G200="High",G200="Medium"),"Broker-Reliant",IF(AND(G200="Low",B200="Account Managed"),"AM-Owned / Self-Serving",IF(AND(G200="Low",B200="Self Serve"),"Self-Serve","UNASSIGNED")))</f>
        <v>AM-Owned / Self-Serving</v>
      </c>
      <c r="I200" s="9" t="n">
        <v>96</v>
      </c>
      <c r="J200" s="2" t="str">
        <f aca="false">IF(I200&gt;=Assumptions!$B$35,"Key",IF(I200&gt;=Assumptions!$B$34,"Core","Tail"))</f>
        <v>Tail</v>
      </c>
      <c r="K200" s="9" t="n">
        <f aca="false">INDEX('Commercial View'!$R$2:$R$301,MATCH($A200,'Commercial View'!$A$2:$A$301,0))</f>
        <v>96</v>
      </c>
      <c r="L200" s="9" t="n">
        <f aca="false">INDEX('Commercial View'!$S$2:$S$301,MATCH($A200,'Commercial View'!$A$2:$A$301,0))</f>
        <v>0</v>
      </c>
      <c r="M200" s="17" t="n">
        <f aca="false">INDEX('Commercial View'!$T$2:$T$301,MATCH($A200,'Commercial View'!$A$2:$A$301,0))</f>
        <v>-1</v>
      </c>
      <c r="N200" s="2" t="str">
        <f aca="false">INDEX('Commercial View'!$U$2:$U$301,MATCH($A200,'Commercial View'!$A$2:$A$301,0))</f>
        <v>Lapsed</v>
      </c>
      <c r="O200" s="2" t="n">
        <v>1</v>
      </c>
      <c r="P200" s="2" t="n">
        <v>0</v>
      </c>
      <c r="Q200" s="2" t="n">
        <v>1</v>
      </c>
      <c r="R200" s="2" t="n">
        <v>5</v>
      </c>
      <c r="S200" s="2" t="n">
        <v>0</v>
      </c>
      <c r="T200" s="2" t="str">
        <f aca="false">IF(H200="Broker-Reliant",IF(J200="Tail","5. Cost-to-Serve / Low-Touch",IF(OR(N200="Growing",N200="Stable"),"1. Migration Candidate",IF(N200="Declining","2. Protect / Retain First",IF(N200="Lapsed","3. Win-Back / Verify",IF(N200="H2 Active / No H1 GMV","4. Establish / Re-establish / Observe","UNASSIGNED"))))),IF(G200="Low",IF(J200="Tail","9. Long-Tail Automated Nurture",IF(OR(N200="Growing",N200="Stable"),"6. Growth Opportunity",IF(N200="H2 Active / No H1 GMV","7. Onboard / Re-engage / Learn",IF(OR(N200="Declining",N200="Lapsed"),"8. Retention / Reactivation","UNASSIGNED")))),"UNASSIGNED"))</f>
        <v>9. Long-Tail Automated Nurture</v>
      </c>
      <c r="U200" s="10" t="b">
        <f aca="false">AND(T200="1. Migration Candidate",J200="Core",O200&gt;=Assumptions!$B$39,Q200&gt;=Assumptions!$B$40,NOT(Z200))</f>
        <v>0</v>
      </c>
      <c r="V200" s="2" t="n">
        <f aca="false">(AND(H200="Broker-Reliant",J200&lt;&gt;"Tail",OR(N200="Growing",N200="Stable")))*1+(AND(H200="Broker-Reliant",J200&lt;&gt;"Tail",N200="Declining"))*1+(AND(H200="Broker-Reliant",J200&lt;&gt;"Tail",N200="Lapsed"))*1+(AND(H200="Broker-Reliant",J200&lt;&gt;"Tail",N200="H2 Active / No H1 GMV"))*1+(AND(H200="Broker-Reliant",J200="Tail"))*1+(AND(G200="Low",J200&lt;&gt;"Tail",OR(N200="Growing",N200="Stable")))*1+(AND(G200="Low",J200&lt;&gt;"Tail",N200="H2 Active / No H1 GMV"))*1+(AND(G200="Low",J200&lt;&gt;"Tail",OR(N200="Declining",N200="Lapsed")))*1+(AND(G200="Low",J200="Tail"))*1</f>
        <v>1</v>
      </c>
      <c r="W200" s="2" t="n">
        <f aca="false">INDEX('Commercial View'!$V$2:$V$301,MATCH($A200,'Commercial View'!$A$2:$A$301,0))</f>
        <v>1</v>
      </c>
      <c r="X200" s="10" t="b">
        <f aca="false">O200&lt;=Assumptions!$B$30</f>
        <v>1</v>
      </c>
      <c r="Y200" s="10" t="b">
        <f aca="false">W200&lt;=1</f>
        <v>1</v>
      </c>
      <c r="Z200" s="10" t="b">
        <f aca="false">C200="Duplicate"</f>
        <v>0</v>
      </c>
      <c r="AA200" s="10" t="b">
        <f aca="false">C200=""</f>
        <v>1</v>
      </c>
      <c r="AB200" s="2" t="n">
        <f aca="false">IF(P200+Q200&gt;0,ROUND(P200/(P200+Q200)*100,0),"")</f>
        <v>0</v>
      </c>
      <c r="AC200" s="2" t="n">
        <f aca="false">IF(P200+Q200&gt;0,ROUND(E200-P200/(P200+Q200)*100,0),"")</f>
        <v>12</v>
      </c>
      <c r="AD200" s="10" t="b">
        <f aca="false">IF(AC200="",FALSE(),ABS(AC200)&gt;Assumptions!$B$41)</f>
        <v>1</v>
      </c>
      <c r="AE200" s="2" t="str">
        <f aca="false">IF(X200,"Low confidence (&lt;=2 orders); ","")&amp;IF(Y200,"Single-month history; ","")&amp;IF(Z200,"CRITICAL: Duplicate status; ","")&amp;IF(AA200,"Missing status; ","")&amp;IF(AD200,"Broker % vs counts gap "&amp;TEXT(AC200,"+0;-0")&amp;"pts; ","")</f>
        <v>Low confidence (&lt;=2 orders); Single-month history; Missing status; Broker % vs counts gap +12pts; </v>
      </c>
      <c r="AF200" s="2" t="str">
        <f aca="false">IF(AND(K200=0,L200&gt;0),IF(D200&lt;=Assumptions!$B$47,"New Customer","Returned Customer"),"Existing Customer")</f>
        <v>Existing Customer</v>
      </c>
      <c r="AG200" s="10" t="b">
        <f aca="false">AND(T200="1. Migration Candidate",J200="Key")</f>
        <v>0</v>
      </c>
      <c r="AH200" s="10" t="b">
        <f aca="false">IF(AND(K200&gt;0,L200&gt;0),OR(ABS(M200-Assumptions!$B$36)&lt;=Assumptions!$B$46,ABS(M200+Assumptions!$B$36)&lt;=Assumptions!$B$46),FALSE())</f>
        <v>0</v>
      </c>
      <c r="AI200" s="9" t="n">
        <f aca="false">INDEX('Commercial View'!$L$2:$L$301,MATCH($A200,'Commercial View'!$A$2:$A$301,0))+INDEX('Commercial View'!$M$2:$M$301,MATCH($A200,'Commercial View'!$A$2:$A$301,0))</f>
        <v>0</v>
      </c>
      <c r="AJ200" s="2" t="str">
        <f aca="false">IF(AND(K200=0,AI200=0),"No activity ex-Feb",IF(AI200=0,"Lapsed",IF(K200=0,"H2 Active / No H1 GMV",IF((AI200/2)/(K200/3)-1&gt;=Assumptions!$B$36,"Growing",IF((AI200/2)/(K200/3)-1&lt;-Assumptions!$B$36,"Declining","Stable")))))</f>
        <v>Lapsed</v>
      </c>
      <c r="AK200" s="10" t="b">
        <f aca="false">IF(OR(N200="Growing",N200="Stable"),"Healthy",N200)&lt;&gt;IF(OR(AJ200="Growing",AJ200="Stable"),"Healthy",AJ200)</f>
        <v>0</v>
      </c>
      <c r="AL200" s="2" t="str">
        <f aca="false">IF(N200="Lapsed",IF(OR(O200&lt;=Assumptions!$B$48,W200&lt;=Assumptions!$B$49),"One-Off / Insufficient History — Verify","Established Buyer Lapsed"),"N/A")</f>
        <v>One-Off / Insufficient History — Verify</v>
      </c>
      <c r="AM200" s="2" t="n">
        <f aca="false">INDEX('Scored Accounts'!$M$2:$M$301,MATCH($A200,'Scored Accounts'!$A$2:$A$301,0))</f>
        <v>0</v>
      </c>
      <c r="AN200" s="2" t="n">
        <f aca="false">IF((P200/(P200+Q200)*100)&lt;=Assumptions!$B$13,0,IF((P200/(P200+Q200)*100)&lt;Assumptions!$B$14,25,IF((P200/(P200+Q200)*100)&lt;Assumptions!$B$15,50,IF((P200/(P200+Q200)*100)&lt;Assumptions!$B$16,75,100))))</f>
        <v>0</v>
      </c>
      <c r="AO200" s="21" t="n">
        <f aca="false">IF((P200/(P200+Q200)*100)&lt;=Assumptions!$B$8,0,AN200*Assumptions!$B$4+INDEX('Scored Accounts'!$N$2:$N$301,MATCH($A200,'Scored Accounts'!$A$2:$A$301,0))*Assumptions!$B$5+INDEX('Scored Accounts'!$O$2:$O$301,MATCH($A200,'Scored Accounts'!$A$2:$A$301,0))*Assumptions!$B$6)</f>
        <v>0</v>
      </c>
      <c r="AP200" s="2" t="str">
        <f aca="false">IF(AO200&gt;=Assumptions!$B$9,"High",IF(AO200&gt;=Assumptions!$B$10,"Medium","Low"))</f>
        <v>Low</v>
      </c>
      <c r="AQ200" s="10" t="b">
        <f aca="false">OR((E200&lt;=Assumptions!$B$8)&lt;&gt;((P200/(P200+Q200)*100)&lt;=Assumptions!$B$8),AM200&lt;&gt;AN200,G200&lt;&gt;AP200)</f>
        <v>0</v>
      </c>
      <c r="AR200" s="2" t="str">
        <f aca="false">IF(AP200&lt;&gt;"Low","Broker-Reliant",IF(B200="Account Managed","AM-Owned / Self-Serving","Self-Serve"))</f>
        <v>AM-Owned / Self-Serving</v>
      </c>
      <c r="AS200" s="2" t="str">
        <f aca="false">IF(AR200="Broker-Reliant",IF(J200="Tail","5. Cost-to-Serve / Low-Touch",IF(OR(N200="Growing",N200="Stable"),"1. Migration Candidate",IF(N200="Declining","2. Protect / Retain First",IF(N200="Lapsed","3. Win-Back / Verify",IF(N200="H2 Active / No H1 GMV","4. Establish / Re-establish / Observe","UNASSIGNED"))))),IF(AP200="Low",IF(J200="Tail","9. Long-Tail Automated Nurture",IF(OR(N200="Growing",N200="Stable"),"6. Growth Opportunity",IF(N200="H2 Active / No H1 GMV","7. Onboard / Re-engage / Learn",IF(OR(N200="Declining",N200="Lapsed"),"8. Retention / Reactivation","UNASSIGNED")))),"UNASSIGNED"))</f>
        <v>9. Long-Tail Automated Nurture</v>
      </c>
      <c r="AT200" s="10" t="b">
        <f aca="false">AS200&lt;&gt;T200</f>
        <v>0</v>
      </c>
      <c r="AU200" s="2" t="str">
        <f aca="false">IF(NOT(U200),"Not Eligible",IF(OR(AQ200,AH200,AK200,NOT(AND(W200&gt;=Assumptions!$B$83,O200&gt;=Assumptions!$B$84))),"Manual Review","Ready"))</f>
        <v>Not Eligible</v>
      </c>
      <c r="AV200" s="2" t="str">
        <f aca="false">IF(AG200,"Key account - human sign-off required; ","")&amp;IF(AH200,"Borderline momentum; ","")&amp;IF(AK200,"February-sensitive ("&amp;N200&amp;" -&gt; "&amp;AJ200&amp;"); ","")&amp;IF(AL200="One-Off / Insufficient History — Verify","Lapsed on thin history - verify; ","")&amp;IF(AQ200,"Material broker % inconsistency (implied tier "&amp;AP200&amp;"); ","")&amp;IF(AT200,"Implied broker % would move segment to "&amp;AS200&amp;"; ","")</f>
        <v>Lapsed on thin history - verify; </v>
      </c>
      <c r="AW200" s="10" t="b">
        <f aca="false">AND(G200="Low",J200="Tail",I200&gt;=Assumptions!$B$64,O200&gt;=Assumptions!$B$65,OR(N200="Growing",N200="Stable",AND(N200="H2 Active / No H1 GMV",W200&gt;=2)),OR(R200&gt;=Assumptions!$B$66,S200&gt;=Assumptions!$B$67))</f>
        <v>0</v>
      </c>
    </row>
    <row r="201" customFormat="false" ht="15" hidden="false" customHeight="false" outlineLevel="0" collapsed="false">
      <c r="A201" s="2" t="s">
        <v>970</v>
      </c>
      <c r="B201" s="2" t="s">
        <v>1571</v>
      </c>
      <c r="C201" s="2"/>
      <c r="D201" s="2" t="n">
        <v>6</v>
      </c>
      <c r="E201" s="2" t="n">
        <v>12</v>
      </c>
      <c r="F201" s="21" t="n">
        <f aca="false">INDEX('Scored Accounts'!$Q$2:$Q$301,MATCH($A201,'Scored Accounts'!$A$2:$A$301,0))</f>
        <v>0</v>
      </c>
      <c r="G201" s="2" t="str">
        <f aca="false">INDEX('Scored Accounts'!$R$2:$R$301,MATCH($A201,'Scored Accounts'!$A$2:$A$301,0))</f>
        <v>Low</v>
      </c>
      <c r="H201" s="2" t="str">
        <f aca="false">IF(OR(G201="High",G201="Medium"),"Broker-Reliant",IF(AND(G201="Low",B201="Account Managed"),"AM-Owned / Self-Serving",IF(AND(G201="Low",B201="Self Serve"),"Self-Serve","UNASSIGNED")))</f>
        <v>AM-Owned / Self-Serving</v>
      </c>
      <c r="I201" s="9" t="n">
        <v>94</v>
      </c>
      <c r="J201" s="2" t="str">
        <f aca="false">IF(I201&gt;=Assumptions!$B$35,"Key",IF(I201&gt;=Assumptions!$B$34,"Core","Tail"))</f>
        <v>Tail</v>
      </c>
      <c r="K201" s="9" t="n">
        <f aca="false">INDEX('Commercial View'!$R$2:$R$301,MATCH($A201,'Commercial View'!$A$2:$A$301,0))</f>
        <v>94</v>
      </c>
      <c r="L201" s="9" t="n">
        <f aca="false">INDEX('Commercial View'!$S$2:$S$301,MATCH($A201,'Commercial View'!$A$2:$A$301,0))</f>
        <v>0</v>
      </c>
      <c r="M201" s="17" t="n">
        <f aca="false">INDEX('Commercial View'!$T$2:$T$301,MATCH($A201,'Commercial View'!$A$2:$A$301,0))</f>
        <v>-1</v>
      </c>
      <c r="N201" s="2" t="str">
        <f aca="false">INDEX('Commercial View'!$U$2:$U$301,MATCH($A201,'Commercial View'!$A$2:$A$301,0))</f>
        <v>Lapsed</v>
      </c>
      <c r="O201" s="2" t="n">
        <v>1</v>
      </c>
      <c r="P201" s="2" t="n">
        <v>0</v>
      </c>
      <c r="Q201" s="2" t="n">
        <v>1</v>
      </c>
      <c r="R201" s="2" t="n">
        <v>13</v>
      </c>
      <c r="S201" s="2" t="n">
        <v>7</v>
      </c>
      <c r="T201" s="2" t="str">
        <f aca="false">IF(H201="Broker-Reliant",IF(J201="Tail","5. Cost-to-Serve / Low-Touch",IF(OR(N201="Growing",N201="Stable"),"1. Migration Candidate",IF(N201="Declining","2. Protect / Retain First",IF(N201="Lapsed","3. Win-Back / Verify",IF(N201="H2 Active / No H1 GMV","4. Establish / Re-establish / Observe","UNASSIGNED"))))),IF(G201="Low",IF(J201="Tail","9. Long-Tail Automated Nurture",IF(OR(N201="Growing",N201="Stable"),"6. Growth Opportunity",IF(N201="H2 Active / No H1 GMV","7. Onboard / Re-engage / Learn",IF(OR(N201="Declining",N201="Lapsed"),"8. Retention / Reactivation","UNASSIGNED")))),"UNASSIGNED"))</f>
        <v>9. Long-Tail Automated Nurture</v>
      </c>
      <c r="U201" s="10" t="b">
        <f aca="false">AND(T201="1. Migration Candidate",J201="Core",O201&gt;=Assumptions!$B$39,Q201&gt;=Assumptions!$B$40,NOT(Z201))</f>
        <v>0</v>
      </c>
      <c r="V201" s="2" t="n">
        <f aca="false">(AND(H201="Broker-Reliant",J201&lt;&gt;"Tail",OR(N201="Growing",N201="Stable")))*1+(AND(H201="Broker-Reliant",J201&lt;&gt;"Tail",N201="Declining"))*1+(AND(H201="Broker-Reliant",J201&lt;&gt;"Tail",N201="Lapsed"))*1+(AND(H201="Broker-Reliant",J201&lt;&gt;"Tail",N201="H2 Active / No H1 GMV"))*1+(AND(H201="Broker-Reliant",J201="Tail"))*1+(AND(G201="Low",J201&lt;&gt;"Tail",OR(N201="Growing",N201="Stable")))*1+(AND(G201="Low",J201&lt;&gt;"Tail",N201="H2 Active / No H1 GMV"))*1+(AND(G201="Low",J201&lt;&gt;"Tail",OR(N201="Declining",N201="Lapsed")))*1+(AND(G201="Low",J201="Tail"))*1</f>
        <v>1</v>
      </c>
      <c r="W201" s="2" t="n">
        <f aca="false">INDEX('Commercial View'!$V$2:$V$301,MATCH($A201,'Commercial View'!$A$2:$A$301,0))</f>
        <v>1</v>
      </c>
      <c r="X201" s="10" t="b">
        <f aca="false">O201&lt;=Assumptions!$B$30</f>
        <v>1</v>
      </c>
      <c r="Y201" s="10" t="b">
        <f aca="false">W201&lt;=1</f>
        <v>1</v>
      </c>
      <c r="Z201" s="10" t="b">
        <f aca="false">C201="Duplicate"</f>
        <v>0</v>
      </c>
      <c r="AA201" s="10" t="b">
        <f aca="false">C201=""</f>
        <v>1</v>
      </c>
      <c r="AB201" s="2" t="n">
        <f aca="false">IF(P201+Q201&gt;0,ROUND(P201/(P201+Q201)*100,0),"")</f>
        <v>0</v>
      </c>
      <c r="AC201" s="2" t="n">
        <f aca="false">IF(P201+Q201&gt;0,ROUND(E201-P201/(P201+Q201)*100,0),"")</f>
        <v>12</v>
      </c>
      <c r="AD201" s="10" t="b">
        <f aca="false">IF(AC201="",FALSE(),ABS(AC201)&gt;Assumptions!$B$41)</f>
        <v>1</v>
      </c>
      <c r="AE201" s="2" t="str">
        <f aca="false">IF(X201,"Low confidence (&lt;=2 orders); ","")&amp;IF(Y201,"Single-month history; ","")&amp;IF(Z201,"CRITICAL: Duplicate status; ","")&amp;IF(AA201,"Missing status; ","")&amp;IF(AD201,"Broker % vs counts gap "&amp;TEXT(AC201,"+0;-0")&amp;"pts; ","")</f>
        <v>Low confidence (&lt;=2 orders); Single-month history; Missing status; Broker % vs counts gap +12pts; </v>
      </c>
      <c r="AF201" s="2" t="str">
        <f aca="false">IF(AND(K201=0,L201&gt;0),IF(D201&lt;=Assumptions!$B$47,"New Customer","Returned Customer"),"Existing Customer")</f>
        <v>Existing Customer</v>
      </c>
      <c r="AG201" s="10" t="b">
        <f aca="false">AND(T201="1. Migration Candidate",J201="Key")</f>
        <v>0</v>
      </c>
      <c r="AH201" s="10" t="b">
        <f aca="false">IF(AND(K201&gt;0,L201&gt;0),OR(ABS(M201-Assumptions!$B$36)&lt;=Assumptions!$B$46,ABS(M201+Assumptions!$B$36)&lt;=Assumptions!$B$46),FALSE())</f>
        <v>0</v>
      </c>
      <c r="AI201" s="9" t="n">
        <f aca="false">INDEX('Commercial View'!$L$2:$L$301,MATCH($A201,'Commercial View'!$A$2:$A$301,0))+INDEX('Commercial View'!$M$2:$M$301,MATCH($A201,'Commercial View'!$A$2:$A$301,0))</f>
        <v>0</v>
      </c>
      <c r="AJ201" s="2" t="str">
        <f aca="false">IF(AND(K201=0,AI201=0),"No activity ex-Feb",IF(AI201=0,"Lapsed",IF(K201=0,"H2 Active / No H1 GMV",IF((AI201/2)/(K201/3)-1&gt;=Assumptions!$B$36,"Growing",IF((AI201/2)/(K201/3)-1&lt;-Assumptions!$B$36,"Declining","Stable")))))</f>
        <v>Lapsed</v>
      </c>
      <c r="AK201" s="10" t="b">
        <f aca="false">IF(OR(N201="Growing",N201="Stable"),"Healthy",N201)&lt;&gt;IF(OR(AJ201="Growing",AJ201="Stable"),"Healthy",AJ201)</f>
        <v>0</v>
      </c>
      <c r="AL201" s="2" t="str">
        <f aca="false">IF(N201="Lapsed",IF(OR(O201&lt;=Assumptions!$B$48,W201&lt;=Assumptions!$B$49),"One-Off / Insufficient History — Verify","Established Buyer Lapsed"),"N/A")</f>
        <v>One-Off / Insufficient History — Verify</v>
      </c>
      <c r="AM201" s="2" t="n">
        <f aca="false">INDEX('Scored Accounts'!$M$2:$M$301,MATCH($A201,'Scored Accounts'!$A$2:$A$301,0))</f>
        <v>0</v>
      </c>
      <c r="AN201" s="2" t="n">
        <f aca="false">IF((P201/(P201+Q201)*100)&lt;=Assumptions!$B$13,0,IF((P201/(P201+Q201)*100)&lt;Assumptions!$B$14,25,IF((P201/(P201+Q201)*100)&lt;Assumptions!$B$15,50,IF((P201/(P201+Q201)*100)&lt;Assumptions!$B$16,75,100))))</f>
        <v>0</v>
      </c>
      <c r="AO201" s="21" t="n">
        <f aca="false">IF((P201/(P201+Q201)*100)&lt;=Assumptions!$B$8,0,AN201*Assumptions!$B$4+INDEX('Scored Accounts'!$N$2:$N$301,MATCH($A201,'Scored Accounts'!$A$2:$A$301,0))*Assumptions!$B$5+INDEX('Scored Accounts'!$O$2:$O$301,MATCH($A201,'Scored Accounts'!$A$2:$A$301,0))*Assumptions!$B$6)</f>
        <v>0</v>
      </c>
      <c r="AP201" s="2" t="str">
        <f aca="false">IF(AO201&gt;=Assumptions!$B$9,"High",IF(AO201&gt;=Assumptions!$B$10,"Medium","Low"))</f>
        <v>Low</v>
      </c>
      <c r="AQ201" s="10" t="b">
        <f aca="false">OR((E201&lt;=Assumptions!$B$8)&lt;&gt;((P201/(P201+Q201)*100)&lt;=Assumptions!$B$8),AM201&lt;&gt;AN201,G201&lt;&gt;AP201)</f>
        <v>0</v>
      </c>
      <c r="AR201" s="2" t="str">
        <f aca="false">IF(AP201&lt;&gt;"Low","Broker-Reliant",IF(B201="Account Managed","AM-Owned / Self-Serving","Self-Serve"))</f>
        <v>AM-Owned / Self-Serving</v>
      </c>
      <c r="AS201" s="2" t="str">
        <f aca="false">IF(AR201="Broker-Reliant",IF(J201="Tail","5. Cost-to-Serve / Low-Touch",IF(OR(N201="Growing",N201="Stable"),"1. Migration Candidate",IF(N201="Declining","2. Protect / Retain First",IF(N201="Lapsed","3. Win-Back / Verify",IF(N201="H2 Active / No H1 GMV","4. Establish / Re-establish / Observe","UNASSIGNED"))))),IF(AP201="Low",IF(J201="Tail","9. Long-Tail Automated Nurture",IF(OR(N201="Growing",N201="Stable"),"6. Growth Opportunity",IF(N201="H2 Active / No H1 GMV","7. Onboard / Re-engage / Learn",IF(OR(N201="Declining",N201="Lapsed"),"8. Retention / Reactivation","UNASSIGNED")))),"UNASSIGNED"))</f>
        <v>9. Long-Tail Automated Nurture</v>
      </c>
      <c r="AT201" s="10" t="b">
        <f aca="false">AS201&lt;&gt;T201</f>
        <v>0</v>
      </c>
      <c r="AU201" s="2" t="str">
        <f aca="false">IF(NOT(U201),"Not Eligible",IF(OR(AQ201,AH201,AK201,NOT(AND(W201&gt;=Assumptions!$B$83,O201&gt;=Assumptions!$B$84))),"Manual Review","Ready"))</f>
        <v>Not Eligible</v>
      </c>
      <c r="AV201" s="2" t="str">
        <f aca="false">IF(AG201,"Key account - human sign-off required; ","")&amp;IF(AH201,"Borderline momentum; ","")&amp;IF(AK201,"February-sensitive ("&amp;N201&amp;" -&gt; "&amp;AJ201&amp;"); ","")&amp;IF(AL201="One-Off / Insufficient History — Verify","Lapsed on thin history - verify; ","")&amp;IF(AQ201,"Material broker % inconsistency (implied tier "&amp;AP201&amp;"); ","")&amp;IF(AT201,"Implied broker % would move segment to "&amp;AS201&amp;"; ","")</f>
        <v>Lapsed on thin history - verify; </v>
      </c>
      <c r="AW201" s="10" t="b">
        <f aca="false">AND(G201="Low",J201="Tail",I201&gt;=Assumptions!$B$64,O201&gt;=Assumptions!$B$65,OR(N201="Growing",N201="Stable",AND(N201="H2 Active / No H1 GMV",W201&gt;=2)),OR(R201&gt;=Assumptions!$B$66,S201&gt;=Assumptions!$B$67))</f>
        <v>0</v>
      </c>
    </row>
    <row r="202" customFormat="false" ht="15" hidden="false" customHeight="false" outlineLevel="0" collapsed="false">
      <c r="A202" s="2" t="s">
        <v>974</v>
      </c>
      <c r="B202" s="2" t="s">
        <v>1571</v>
      </c>
      <c r="C202" s="2"/>
      <c r="D202" s="2" t="n">
        <v>6</v>
      </c>
      <c r="E202" s="2" t="n">
        <v>16</v>
      </c>
      <c r="F202" s="21" t="n">
        <f aca="false">INDEX('Scored Accounts'!$Q$2:$Q$301,MATCH($A202,'Scored Accounts'!$A$2:$A$301,0))</f>
        <v>0</v>
      </c>
      <c r="G202" s="2" t="str">
        <f aca="false">INDEX('Scored Accounts'!$R$2:$R$301,MATCH($A202,'Scored Accounts'!$A$2:$A$301,0))</f>
        <v>Low</v>
      </c>
      <c r="H202" s="2" t="str">
        <f aca="false">IF(OR(G202="High",G202="Medium"),"Broker-Reliant",IF(AND(G202="Low",B202="Account Managed"),"AM-Owned / Self-Serving",IF(AND(G202="Low",B202="Self Serve"),"Self-Serve","UNASSIGNED")))</f>
        <v>AM-Owned / Self-Serving</v>
      </c>
      <c r="I202" s="9" t="n">
        <v>88</v>
      </c>
      <c r="J202" s="2" t="str">
        <f aca="false">IF(I202&gt;=Assumptions!$B$35,"Key",IF(I202&gt;=Assumptions!$B$34,"Core","Tail"))</f>
        <v>Tail</v>
      </c>
      <c r="K202" s="9" t="n">
        <f aca="false">INDEX('Commercial View'!$R$2:$R$301,MATCH($A202,'Commercial View'!$A$2:$A$301,0))</f>
        <v>88</v>
      </c>
      <c r="L202" s="9" t="n">
        <f aca="false">INDEX('Commercial View'!$S$2:$S$301,MATCH($A202,'Commercial View'!$A$2:$A$301,0))</f>
        <v>0</v>
      </c>
      <c r="M202" s="17" t="n">
        <f aca="false">INDEX('Commercial View'!$T$2:$T$301,MATCH($A202,'Commercial View'!$A$2:$A$301,0))</f>
        <v>-1</v>
      </c>
      <c r="N202" s="2" t="str">
        <f aca="false">INDEX('Commercial View'!$U$2:$U$301,MATCH($A202,'Commercial View'!$A$2:$A$301,0))</f>
        <v>Lapsed</v>
      </c>
      <c r="O202" s="2" t="n">
        <v>1</v>
      </c>
      <c r="P202" s="2" t="n">
        <v>0</v>
      </c>
      <c r="Q202" s="2" t="n">
        <v>1</v>
      </c>
      <c r="R202" s="2" t="n">
        <v>11</v>
      </c>
      <c r="S202" s="2" t="n">
        <v>0</v>
      </c>
      <c r="T202" s="2" t="str">
        <f aca="false">IF(H202="Broker-Reliant",IF(J202="Tail","5. Cost-to-Serve / Low-Touch",IF(OR(N202="Growing",N202="Stable"),"1. Migration Candidate",IF(N202="Declining","2. Protect / Retain First",IF(N202="Lapsed","3. Win-Back / Verify",IF(N202="H2 Active / No H1 GMV","4. Establish / Re-establish / Observe","UNASSIGNED"))))),IF(G202="Low",IF(J202="Tail","9. Long-Tail Automated Nurture",IF(OR(N202="Growing",N202="Stable"),"6. Growth Opportunity",IF(N202="H2 Active / No H1 GMV","7. Onboard / Re-engage / Learn",IF(OR(N202="Declining",N202="Lapsed"),"8. Retention / Reactivation","UNASSIGNED")))),"UNASSIGNED"))</f>
        <v>9. Long-Tail Automated Nurture</v>
      </c>
      <c r="U202" s="10" t="b">
        <f aca="false">AND(T202="1. Migration Candidate",J202="Core",O202&gt;=Assumptions!$B$39,Q202&gt;=Assumptions!$B$40,NOT(Z202))</f>
        <v>0</v>
      </c>
      <c r="V202" s="2" t="n">
        <f aca="false">(AND(H202="Broker-Reliant",J202&lt;&gt;"Tail",OR(N202="Growing",N202="Stable")))*1+(AND(H202="Broker-Reliant",J202&lt;&gt;"Tail",N202="Declining"))*1+(AND(H202="Broker-Reliant",J202&lt;&gt;"Tail",N202="Lapsed"))*1+(AND(H202="Broker-Reliant",J202&lt;&gt;"Tail",N202="H2 Active / No H1 GMV"))*1+(AND(H202="Broker-Reliant",J202="Tail"))*1+(AND(G202="Low",J202&lt;&gt;"Tail",OR(N202="Growing",N202="Stable")))*1+(AND(G202="Low",J202&lt;&gt;"Tail",N202="H2 Active / No H1 GMV"))*1+(AND(G202="Low",J202&lt;&gt;"Tail",OR(N202="Declining",N202="Lapsed")))*1+(AND(G202="Low",J202="Tail"))*1</f>
        <v>1</v>
      </c>
      <c r="W202" s="2" t="n">
        <f aca="false">INDEX('Commercial View'!$V$2:$V$301,MATCH($A202,'Commercial View'!$A$2:$A$301,0))</f>
        <v>1</v>
      </c>
      <c r="X202" s="10" t="b">
        <f aca="false">O202&lt;=Assumptions!$B$30</f>
        <v>1</v>
      </c>
      <c r="Y202" s="10" t="b">
        <f aca="false">W202&lt;=1</f>
        <v>1</v>
      </c>
      <c r="Z202" s="10" t="b">
        <f aca="false">C202="Duplicate"</f>
        <v>0</v>
      </c>
      <c r="AA202" s="10" t="b">
        <f aca="false">C202=""</f>
        <v>1</v>
      </c>
      <c r="AB202" s="2" t="n">
        <f aca="false">IF(P202+Q202&gt;0,ROUND(P202/(P202+Q202)*100,0),"")</f>
        <v>0</v>
      </c>
      <c r="AC202" s="2" t="n">
        <f aca="false">IF(P202+Q202&gt;0,ROUND(E202-P202/(P202+Q202)*100,0),"")</f>
        <v>16</v>
      </c>
      <c r="AD202" s="10" t="b">
        <f aca="false">IF(AC202="",FALSE(),ABS(AC202)&gt;Assumptions!$B$41)</f>
        <v>1</v>
      </c>
      <c r="AE202" s="2" t="str">
        <f aca="false">IF(X202,"Low confidence (&lt;=2 orders); ","")&amp;IF(Y202,"Single-month history; ","")&amp;IF(Z202,"CRITICAL: Duplicate status; ","")&amp;IF(AA202,"Missing status; ","")&amp;IF(AD202,"Broker % vs counts gap "&amp;TEXT(AC202,"+0;-0")&amp;"pts; ","")</f>
        <v>Low confidence (&lt;=2 orders); Single-month history; Missing status; Broker % vs counts gap +16pts; </v>
      </c>
      <c r="AF202" s="2" t="str">
        <f aca="false">IF(AND(K202=0,L202&gt;0),IF(D202&lt;=Assumptions!$B$47,"New Customer","Returned Customer"),"Existing Customer")</f>
        <v>Existing Customer</v>
      </c>
      <c r="AG202" s="10" t="b">
        <f aca="false">AND(T202="1. Migration Candidate",J202="Key")</f>
        <v>0</v>
      </c>
      <c r="AH202" s="10" t="b">
        <f aca="false">IF(AND(K202&gt;0,L202&gt;0),OR(ABS(M202-Assumptions!$B$36)&lt;=Assumptions!$B$46,ABS(M202+Assumptions!$B$36)&lt;=Assumptions!$B$46),FALSE())</f>
        <v>0</v>
      </c>
      <c r="AI202" s="9" t="n">
        <f aca="false">INDEX('Commercial View'!$L$2:$L$301,MATCH($A202,'Commercial View'!$A$2:$A$301,0))+INDEX('Commercial View'!$M$2:$M$301,MATCH($A202,'Commercial View'!$A$2:$A$301,0))</f>
        <v>0</v>
      </c>
      <c r="AJ202" s="2" t="str">
        <f aca="false">IF(AND(K202=0,AI202=0),"No activity ex-Feb",IF(AI202=0,"Lapsed",IF(K202=0,"H2 Active / No H1 GMV",IF((AI202/2)/(K202/3)-1&gt;=Assumptions!$B$36,"Growing",IF((AI202/2)/(K202/3)-1&lt;-Assumptions!$B$36,"Declining","Stable")))))</f>
        <v>Lapsed</v>
      </c>
      <c r="AK202" s="10" t="b">
        <f aca="false">IF(OR(N202="Growing",N202="Stable"),"Healthy",N202)&lt;&gt;IF(OR(AJ202="Growing",AJ202="Stable"),"Healthy",AJ202)</f>
        <v>0</v>
      </c>
      <c r="AL202" s="2" t="str">
        <f aca="false">IF(N202="Lapsed",IF(OR(O202&lt;=Assumptions!$B$48,W202&lt;=Assumptions!$B$49),"One-Off / Insufficient History — Verify","Established Buyer Lapsed"),"N/A")</f>
        <v>One-Off / Insufficient History — Verify</v>
      </c>
      <c r="AM202" s="2" t="n">
        <f aca="false">INDEX('Scored Accounts'!$M$2:$M$301,MATCH($A202,'Scored Accounts'!$A$2:$A$301,0))</f>
        <v>0</v>
      </c>
      <c r="AN202" s="2" t="n">
        <f aca="false">IF((P202/(P202+Q202)*100)&lt;=Assumptions!$B$13,0,IF((P202/(P202+Q202)*100)&lt;Assumptions!$B$14,25,IF((P202/(P202+Q202)*100)&lt;Assumptions!$B$15,50,IF((P202/(P202+Q202)*100)&lt;Assumptions!$B$16,75,100))))</f>
        <v>0</v>
      </c>
      <c r="AO202" s="21" t="n">
        <f aca="false">IF((P202/(P202+Q202)*100)&lt;=Assumptions!$B$8,0,AN202*Assumptions!$B$4+INDEX('Scored Accounts'!$N$2:$N$301,MATCH($A202,'Scored Accounts'!$A$2:$A$301,0))*Assumptions!$B$5+INDEX('Scored Accounts'!$O$2:$O$301,MATCH($A202,'Scored Accounts'!$A$2:$A$301,0))*Assumptions!$B$6)</f>
        <v>0</v>
      </c>
      <c r="AP202" s="2" t="str">
        <f aca="false">IF(AO202&gt;=Assumptions!$B$9,"High",IF(AO202&gt;=Assumptions!$B$10,"Medium","Low"))</f>
        <v>Low</v>
      </c>
      <c r="AQ202" s="10" t="b">
        <f aca="false">OR((E202&lt;=Assumptions!$B$8)&lt;&gt;((P202/(P202+Q202)*100)&lt;=Assumptions!$B$8),AM202&lt;&gt;AN202,G202&lt;&gt;AP202)</f>
        <v>0</v>
      </c>
      <c r="AR202" s="2" t="str">
        <f aca="false">IF(AP202&lt;&gt;"Low","Broker-Reliant",IF(B202="Account Managed","AM-Owned / Self-Serving","Self-Serve"))</f>
        <v>AM-Owned / Self-Serving</v>
      </c>
      <c r="AS202" s="2" t="str">
        <f aca="false">IF(AR202="Broker-Reliant",IF(J202="Tail","5. Cost-to-Serve / Low-Touch",IF(OR(N202="Growing",N202="Stable"),"1. Migration Candidate",IF(N202="Declining","2. Protect / Retain First",IF(N202="Lapsed","3. Win-Back / Verify",IF(N202="H2 Active / No H1 GMV","4. Establish / Re-establish / Observe","UNASSIGNED"))))),IF(AP202="Low",IF(J202="Tail","9. Long-Tail Automated Nurture",IF(OR(N202="Growing",N202="Stable"),"6. Growth Opportunity",IF(N202="H2 Active / No H1 GMV","7. Onboard / Re-engage / Learn",IF(OR(N202="Declining",N202="Lapsed"),"8. Retention / Reactivation","UNASSIGNED")))),"UNASSIGNED"))</f>
        <v>9. Long-Tail Automated Nurture</v>
      </c>
      <c r="AT202" s="10" t="b">
        <f aca="false">AS202&lt;&gt;T202</f>
        <v>0</v>
      </c>
      <c r="AU202" s="2" t="str">
        <f aca="false">IF(NOT(U202),"Not Eligible",IF(OR(AQ202,AH202,AK202,NOT(AND(W202&gt;=Assumptions!$B$83,O202&gt;=Assumptions!$B$84))),"Manual Review","Ready"))</f>
        <v>Not Eligible</v>
      </c>
      <c r="AV202" s="2" t="str">
        <f aca="false">IF(AG202,"Key account - human sign-off required; ","")&amp;IF(AH202,"Borderline momentum; ","")&amp;IF(AK202,"February-sensitive ("&amp;N202&amp;" -&gt; "&amp;AJ202&amp;"); ","")&amp;IF(AL202="One-Off / Insufficient History — Verify","Lapsed on thin history - verify; ","")&amp;IF(AQ202,"Material broker % inconsistency (implied tier "&amp;AP202&amp;"); ","")&amp;IF(AT202,"Implied broker % would move segment to "&amp;AS202&amp;"; ","")</f>
        <v>Lapsed on thin history - verify; </v>
      </c>
      <c r="AW202" s="10" t="b">
        <f aca="false">AND(G202="Low",J202="Tail",I202&gt;=Assumptions!$B$64,O202&gt;=Assumptions!$B$65,OR(N202="Growing",N202="Stable",AND(N202="H2 Active / No H1 GMV",W202&gt;=2)),OR(R202&gt;=Assumptions!$B$66,S202&gt;=Assumptions!$B$67))</f>
        <v>0</v>
      </c>
    </row>
    <row r="203" customFormat="false" ht="15" hidden="false" customHeight="false" outlineLevel="0" collapsed="false">
      <c r="A203" s="2" t="s">
        <v>982</v>
      </c>
      <c r="B203" s="2" t="s">
        <v>1571</v>
      </c>
      <c r="C203" s="2" t="s">
        <v>1572</v>
      </c>
      <c r="D203" s="2" t="n">
        <v>6</v>
      </c>
      <c r="E203" s="2" t="n">
        <v>2</v>
      </c>
      <c r="F203" s="21" t="n">
        <f aca="false">INDEX('Scored Accounts'!$Q$2:$Q$301,MATCH($A203,'Scored Accounts'!$A$2:$A$301,0))</f>
        <v>0</v>
      </c>
      <c r="G203" s="2" t="str">
        <f aca="false">INDEX('Scored Accounts'!$R$2:$R$301,MATCH($A203,'Scored Accounts'!$A$2:$A$301,0))</f>
        <v>Low</v>
      </c>
      <c r="H203" s="2" t="str">
        <f aca="false">IF(OR(G203="High",G203="Medium"),"Broker-Reliant",IF(AND(G203="Low",B203="Account Managed"),"AM-Owned / Self-Serving",IF(AND(G203="Low",B203="Self Serve"),"Self-Serve","UNASSIGNED")))</f>
        <v>AM-Owned / Self-Serving</v>
      </c>
      <c r="I203" s="9" t="n">
        <v>85</v>
      </c>
      <c r="J203" s="2" t="str">
        <f aca="false">IF(I203&gt;=Assumptions!$B$35,"Key",IF(I203&gt;=Assumptions!$B$34,"Core","Tail"))</f>
        <v>Tail</v>
      </c>
      <c r="K203" s="9" t="n">
        <f aca="false">INDEX('Commercial View'!$R$2:$R$301,MATCH($A203,'Commercial View'!$A$2:$A$301,0))</f>
        <v>85</v>
      </c>
      <c r="L203" s="9" t="n">
        <f aca="false">INDEX('Commercial View'!$S$2:$S$301,MATCH($A203,'Commercial View'!$A$2:$A$301,0))</f>
        <v>0</v>
      </c>
      <c r="M203" s="17" t="n">
        <f aca="false">INDEX('Commercial View'!$T$2:$T$301,MATCH($A203,'Commercial View'!$A$2:$A$301,0))</f>
        <v>-1</v>
      </c>
      <c r="N203" s="2" t="str">
        <f aca="false">INDEX('Commercial View'!$U$2:$U$301,MATCH($A203,'Commercial View'!$A$2:$A$301,0))</f>
        <v>Lapsed</v>
      </c>
      <c r="O203" s="2" t="n">
        <v>1</v>
      </c>
      <c r="P203" s="2" t="n">
        <v>0</v>
      </c>
      <c r="Q203" s="2" t="n">
        <v>1</v>
      </c>
      <c r="R203" s="2" t="n">
        <v>13</v>
      </c>
      <c r="S203" s="2" t="n">
        <v>4</v>
      </c>
      <c r="T203" s="2" t="str">
        <f aca="false">IF(H203="Broker-Reliant",IF(J203="Tail","5. Cost-to-Serve / Low-Touch",IF(OR(N203="Growing",N203="Stable"),"1. Migration Candidate",IF(N203="Declining","2. Protect / Retain First",IF(N203="Lapsed","3. Win-Back / Verify",IF(N203="H2 Active / No H1 GMV","4. Establish / Re-establish / Observe","UNASSIGNED"))))),IF(G203="Low",IF(J203="Tail","9. Long-Tail Automated Nurture",IF(OR(N203="Growing",N203="Stable"),"6. Growth Opportunity",IF(N203="H2 Active / No H1 GMV","7. Onboard / Re-engage / Learn",IF(OR(N203="Declining",N203="Lapsed"),"8. Retention / Reactivation","UNASSIGNED")))),"UNASSIGNED"))</f>
        <v>9. Long-Tail Automated Nurture</v>
      </c>
      <c r="U203" s="10" t="b">
        <f aca="false">AND(T203="1. Migration Candidate",J203="Core",O203&gt;=Assumptions!$B$39,Q203&gt;=Assumptions!$B$40,NOT(Z203))</f>
        <v>0</v>
      </c>
      <c r="V203" s="2" t="n">
        <f aca="false">(AND(H203="Broker-Reliant",J203&lt;&gt;"Tail",OR(N203="Growing",N203="Stable")))*1+(AND(H203="Broker-Reliant",J203&lt;&gt;"Tail",N203="Declining"))*1+(AND(H203="Broker-Reliant",J203&lt;&gt;"Tail",N203="Lapsed"))*1+(AND(H203="Broker-Reliant",J203&lt;&gt;"Tail",N203="H2 Active / No H1 GMV"))*1+(AND(H203="Broker-Reliant",J203="Tail"))*1+(AND(G203="Low",J203&lt;&gt;"Tail",OR(N203="Growing",N203="Stable")))*1+(AND(G203="Low",J203&lt;&gt;"Tail",N203="H2 Active / No H1 GMV"))*1+(AND(G203="Low",J203&lt;&gt;"Tail",OR(N203="Declining",N203="Lapsed")))*1+(AND(G203="Low",J203="Tail"))*1</f>
        <v>1</v>
      </c>
      <c r="W203" s="2" t="n">
        <f aca="false">INDEX('Commercial View'!$V$2:$V$301,MATCH($A203,'Commercial View'!$A$2:$A$301,0))</f>
        <v>1</v>
      </c>
      <c r="X203" s="10" t="b">
        <f aca="false">O203&lt;=Assumptions!$B$30</f>
        <v>1</v>
      </c>
      <c r="Y203" s="10" t="b">
        <f aca="false">W203&lt;=1</f>
        <v>1</v>
      </c>
      <c r="Z203" s="10" t="b">
        <f aca="false">C203="Duplicate"</f>
        <v>0</v>
      </c>
      <c r="AA203" s="10" t="b">
        <f aca="false">C203=""</f>
        <v>0</v>
      </c>
      <c r="AB203" s="2" t="n">
        <f aca="false">IF(P203+Q203&gt;0,ROUND(P203/(P203+Q203)*100,0),"")</f>
        <v>0</v>
      </c>
      <c r="AC203" s="2" t="n">
        <f aca="false">IF(P203+Q203&gt;0,ROUND(E203-P203/(P203+Q203)*100,0),"")</f>
        <v>2</v>
      </c>
      <c r="AD203" s="10" t="b">
        <f aca="false">IF(AC203="",FALSE(),ABS(AC203)&gt;Assumptions!$B$41)</f>
        <v>0</v>
      </c>
      <c r="AE203" s="2" t="str">
        <f aca="false">IF(X203,"Low confidence (&lt;=2 orders); ","")&amp;IF(Y203,"Single-month history; ","")&amp;IF(Z203,"CRITICAL: Duplicate status; ","")&amp;IF(AA203,"Missing status; ","")&amp;IF(AD203,"Broker % vs counts gap "&amp;TEXT(AC203,"+0;-0")&amp;"pts; ","")</f>
        <v>Low confidence (&lt;=2 orders); Single-month history; </v>
      </c>
      <c r="AF203" s="2" t="str">
        <f aca="false">IF(AND(K203=0,L203&gt;0),IF(D203&lt;=Assumptions!$B$47,"New Customer","Returned Customer"),"Existing Customer")</f>
        <v>Existing Customer</v>
      </c>
      <c r="AG203" s="10" t="b">
        <f aca="false">AND(T203="1. Migration Candidate",J203="Key")</f>
        <v>0</v>
      </c>
      <c r="AH203" s="10" t="b">
        <f aca="false">IF(AND(K203&gt;0,L203&gt;0),OR(ABS(M203-Assumptions!$B$36)&lt;=Assumptions!$B$46,ABS(M203+Assumptions!$B$36)&lt;=Assumptions!$B$46),FALSE())</f>
        <v>0</v>
      </c>
      <c r="AI203" s="9" t="n">
        <f aca="false">INDEX('Commercial View'!$L$2:$L$301,MATCH($A203,'Commercial View'!$A$2:$A$301,0))+INDEX('Commercial View'!$M$2:$M$301,MATCH($A203,'Commercial View'!$A$2:$A$301,0))</f>
        <v>0</v>
      </c>
      <c r="AJ203" s="2" t="str">
        <f aca="false">IF(AND(K203=0,AI203=0),"No activity ex-Feb",IF(AI203=0,"Lapsed",IF(K203=0,"H2 Active / No H1 GMV",IF((AI203/2)/(K203/3)-1&gt;=Assumptions!$B$36,"Growing",IF((AI203/2)/(K203/3)-1&lt;-Assumptions!$B$36,"Declining","Stable")))))</f>
        <v>Lapsed</v>
      </c>
      <c r="AK203" s="10" t="b">
        <f aca="false">IF(OR(N203="Growing",N203="Stable"),"Healthy",N203)&lt;&gt;IF(OR(AJ203="Growing",AJ203="Stable"),"Healthy",AJ203)</f>
        <v>0</v>
      </c>
      <c r="AL203" s="2" t="str">
        <f aca="false">IF(N203="Lapsed",IF(OR(O203&lt;=Assumptions!$B$48,W203&lt;=Assumptions!$B$49),"One-Off / Insufficient History — Verify","Established Buyer Lapsed"),"N/A")</f>
        <v>One-Off / Insufficient History — Verify</v>
      </c>
      <c r="AM203" s="2" t="n">
        <f aca="false">INDEX('Scored Accounts'!$M$2:$M$301,MATCH($A203,'Scored Accounts'!$A$2:$A$301,0))</f>
        <v>0</v>
      </c>
      <c r="AN203" s="2" t="n">
        <f aca="false">IF((P203/(P203+Q203)*100)&lt;=Assumptions!$B$13,0,IF((P203/(P203+Q203)*100)&lt;Assumptions!$B$14,25,IF((P203/(P203+Q203)*100)&lt;Assumptions!$B$15,50,IF((P203/(P203+Q203)*100)&lt;Assumptions!$B$16,75,100))))</f>
        <v>0</v>
      </c>
      <c r="AO203" s="21" t="n">
        <f aca="false">IF((P203/(P203+Q203)*100)&lt;=Assumptions!$B$8,0,AN203*Assumptions!$B$4+INDEX('Scored Accounts'!$N$2:$N$301,MATCH($A203,'Scored Accounts'!$A$2:$A$301,0))*Assumptions!$B$5+INDEX('Scored Accounts'!$O$2:$O$301,MATCH($A203,'Scored Accounts'!$A$2:$A$301,0))*Assumptions!$B$6)</f>
        <v>0</v>
      </c>
      <c r="AP203" s="2" t="str">
        <f aca="false">IF(AO203&gt;=Assumptions!$B$9,"High",IF(AO203&gt;=Assumptions!$B$10,"Medium","Low"))</f>
        <v>Low</v>
      </c>
      <c r="AQ203" s="10" t="b">
        <f aca="false">OR((E203&lt;=Assumptions!$B$8)&lt;&gt;((P203/(P203+Q203)*100)&lt;=Assumptions!$B$8),AM203&lt;&gt;AN203,G203&lt;&gt;AP203)</f>
        <v>0</v>
      </c>
      <c r="AR203" s="2" t="str">
        <f aca="false">IF(AP203&lt;&gt;"Low","Broker-Reliant",IF(B203="Account Managed","AM-Owned / Self-Serving","Self-Serve"))</f>
        <v>AM-Owned / Self-Serving</v>
      </c>
      <c r="AS203" s="2" t="str">
        <f aca="false">IF(AR203="Broker-Reliant",IF(J203="Tail","5. Cost-to-Serve / Low-Touch",IF(OR(N203="Growing",N203="Stable"),"1. Migration Candidate",IF(N203="Declining","2. Protect / Retain First",IF(N203="Lapsed","3. Win-Back / Verify",IF(N203="H2 Active / No H1 GMV","4. Establish / Re-establish / Observe","UNASSIGNED"))))),IF(AP203="Low",IF(J203="Tail","9. Long-Tail Automated Nurture",IF(OR(N203="Growing",N203="Stable"),"6. Growth Opportunity",IF(N203="H2 Active / No H1 GMV","7. Onboard / Re-engage / Learn",IF(OR(N203="Declining",N203="Lapsed"),"8. Retention / Reactivation","UNASSIGNED")))),"UNASSIGNED"))</f>
        <v>9. Long-Tail Automated Nurture</v>
      </c>
      <c r="AT203" s="10" t="b">
        <f aca="false">AS203&lt;&gt;T203</f>
        <v>0</v>
      </c>
      <c r="AU203" s="2" t="str">
        <f aca="false">IF(NOT(U203),"Not Eligible",IF(OR(AQ203,AH203,AK203,NOT(AND(W203&gt;=Assumptions!$B$83,O203&gt;=Assumptions!$B$84))),"Manual Review","Ready"))</f>
        <v>Not Eligible</v>
      </c>
      <c r="AV203" s="2" t="str">
        <f aca="false">IF(AG203,"Key account - human sign-off required; ","")&amp;IF(AH203,"Borderline momentum; ","")&amp;IF(AK203,"February-sensitive ("&amp;N203&amp;" -&gt; "&amp;AJ203&amp;"); ","")&amp;IF(AL203="One-Off / Insufficient History — Verify","Lapsed on thin history - verify; ","")&amp;IF(AQ203,"Material broker % inconsistency (implied tier "&amp;AP203&amp;"); ","")&amp;IF(AT203,"Implied broker % would move segment to "&amp;AS203&amp;"; ","")</f>
        <v>Lapsed on thin history - verify; </v>
      </c>
      <c r="AW203" s="10" t="b">
        <f aca="false">AND(G203="Low",J203="Tail",I203&gt;=Assumptions!$B$64,O203&gt;=Assumptions!$B$65,OR(N203="Growing",N203="Stable",AND(N203="H2 Active / No H1 GMV",W203&gt;=2)),OR(R203&gt;=Assumptions!$B$66,S203&gt;=Assumptions!$B$67))</f>
        <v>0</v>
      </c>
    </row>
    <row r="204" customFormat="false" ht="15" hidden="false" customHeight="false" outlineLevel="0" collapsed="false">
      <c r="A204" s="2" t="s">
        <v>984</v>
      </c>
      <c r="B204" s="2" t="s">
        <v>1571</v>
      </c>
      <c r="C204" s="2" t="s">
        <v>1572</v>
      </c>
      <c r="D204" s="2" t="n">
        <v>7</v>
      </c>
      <c r="E204" s="2" t="n">
        <v>18</v>
      </c>
      <c r="F204" s="21" t="n">
        <f aca="false">INDEX('Scored Accounts'!$Q$2:$Q$301,MATCH($A204,'Scored Accounts'!$A$2:$A$301,0))</f>
        <v>0</v>
      </c>
      <c r="G204" s="2" t="str">
        <f aca="false">INDEX('Scored Accounts'!$R$2:$R$301,MATCH($A204,'Scored Accounts'!$A$2:$A$301,0))</f>
        <v>Low</v>
      </c>
      <c r="H204" s="2" t="str">
        <f aca="false">IF(OR(G204="High",G204="Medium"),"Broker-Reliant",IF(AND(G204="Low",B204="Account Managed"),"AM-Owned / Self-Serving",IF(AND(G204="Low",B204="Self Serve"),"Self-Serve","UNASSIGNED")))</f>
        <v>AM-Owned / Self-Serving</v>
      </c>
      <c r="I204" s="9" t="n">
        <v>84</v>
      </c>
      <c r="J204" s="2" t="str">
        <f aca="false">IF(I204&gt;=Assumptions!$B$35,"Key",IF(I204&gt;=Assumptions!$B$34,"Core","Tail"))</f>
        <v>Tail</v>
      </c>
      <c r="K204" s="9" t="n">
        <f aca="false">INDEX('Commercial View'!$R$2:$R$301,MATCH($A204,'Commercial View'!$A$2:$A$301,0))</f>
        <v>84</v>
      </c>
      <c r="L204" s="9" t="n">
        <f aca="false">INDEX('Commercial View'!$S$2:$S$301,MATCH($A204,'Commercial View'!$A$2:$A$301,0))</f>
        <v>0</v>
      </c>
      <c r="M204" s="17" t="n">
        <f aca="false">INDEX('Commercial View'!$T$2:$T$301,MATCH($A204,'Commercial View'!$A$2:$A$301,0))</f>
        <v>-1</v>
      </c>
      <c r="N204" s="2" t="str">
        <f aca="false">INDEX('Commercial View'!$U$2:$U$301,MATCH($A204,'Commercial View'!$A$2:$A$301,0))</f>
        <v>Lapsed</v>
      </c>
      <c r="O204" s="2" t="n">
        <v>1</v>
      </c>
      <c r="P204" s="2" t="n">
        <v>0</v>
      </c>
      <c r="Q204" s="2" t="n">
        <v>1</v>
      </c>
      <c r="R204" s="2" t="n">
        <v>7</v>
      </c>
      <c r="S204" s="2" t="n">
        <v>0</v>
      </c>
      <c r="T204" s="2" t="str">
        <f aca="false">IF(H204="Broker-Reliant",IF(J204="Tail","5. Cost-to-Serve / Low-Touch",IF(OR(N204="Growing",N204="Stable"),"1. Migration Candidate",IF(N204="Declining","2. Protect / Retain First",IF(N204="Lapsed","3. Win-Back / Verify",IF(N204="H2 Active / No H1 GMV","4. Establish / Re-establish / Observe","UNASSIGNED"))))),IF(G204="Low",IF(J204="Tail","9. Long-Tail Automated Nurture",IF(OR(N204="Growing",N204="Stable"),"6. Growth Opportunity",IF(N204="H2 Active / No H1 GMV","7. Onboard / Re-engage / Learn",IF(OR(N204="Declining",N204="Lapsed"),"8. Retention / Reactivation","UNASSIGNED")))),"UNASSIGNED"))</f>
        <v>9. Long-Tail Automated Nurture</v>
      </c>
      <c r="U204" s="10" t="b">
        <f aca="false">AND(T204="1. Migration Candidate",J204="Core",O204&gt;=Assumptions!$B$39,Q204&gt;=Assumptions!$B$40,NOT(Z204))</f>
        <v>0</v>
      </c>
      <c r="V204" s="2" t="n">
        <f aca="false">(AND(H204="Broker-Reliant",J204&lt;&gt;"Tail",OR(N204="Growing",N204="Stable")))*1+(AND(H204="Broker-Reliant",J204&lt;&gt;"Tail",N204="Declining"))*1+(AND(H204="Broker-Reliant",J204&lt;&gt;"Tail",N204="Lapsed"))*1+(AND(H204="Broker-Reliant",J204&lt;&gt;"Tail",N204="H2 Active / No H1 GMV"))*1+(AND(H204="Broker-Reliant",J204="Tail"))*1+(AND(G204="Low",J204&lt;&gt;"Tail",OR(N204="Growing",N204="Stable")))*1+(AND(G204="Low",J204&lt;&gt;"Tail",N204="H2 Active / No H1 GMV"))*1+(AND(G204="Low",J204&lt;&gt;"Tail",OR(N204="Declining",N204="Lapsed")))*1+(AND(G204="Low",J204="Tail"))*1</f>
        <v>1</v>
      </c>
      <c r="W204" s="2" t="n">
        <f aca="false">INDEX('Commercial View'!$V$2:$V$301,MATCH($A204,'Commercial View'!$A$2:$A$301,0))</f>
        <v>1</v>
      </c>
      <c r="X204" s="10" t="b">
        <f aca="false">O204&lt;=Assumptions!$B$30</f>
        <v>1</v>
      </c>
      <c r="Y204" s="10" t="b">
        <f aca="false">W204&lt;=1</f>
        <v>1</v>
      </c>
      <c r="Z204" s="10" t="b">
        <f aca="false">C204="Duplicate"</f>
        <v>0</v>
      </c>
      <c r="AA204" s="10" t="b">
        <f aca="false">C204=""</f>
        <v>0</v>
      </c>
      <c r="AB204" s="2" t="n">
        <f aca="false">IF(P204+Q204&gt;0,ROUND(P204/(P204+Q204)*100,0),"")</f>
        <v>0</v>
      </c>
      <c r="AC204" s="2" t="n">
        <f aca="false">IF(P204+Q204&gt;0,ROUND(E204-P204/(P204+Q204)*100,0),"")</f>
        <v>18</v>
      </c>
      <c r="AD204" s="10" t="b">
        <f aca="false">IF(AC204="",FALSE(),ABS(AC204)&gt;Assumptions!$B$41)</f>
        <v>1</v>
      </c>
      <c r="AE204" s="2" t="str">
        <f aca="false">IF(X204,"Low confidence (&lt;=2 orders); ","")&amp;IF(Y204,"Single-month history; ","")&amp;IF(Z204,"CRITICAL: Duplicate status; ","")&amp;IF(AA204,"Missing status; ","")&amp;IF(AD204,"Broker % vs counts gap "&amp;TEXT(AC204,"+0;-0")&amp;"pts; ","")</f>
        <v>Low confidence (&lt;=2 orders); Single-month history; Broker % vs counts gap +18pts; </v>
      </c>
      <c r="AF204" s="2" t="str">
        <f aca="false">IF(AND(K204=0,L204&gt;0),IF(D204&lt;=Assumptions!$B$47,"New Customer","Returned Customer"),"Existing Customer")</f>
        <v>Existing Customer</v>
      </c>
      <c r="AG204" s="10" t="b">
        <f aca="false">AND(T204="1. Migration Candidate",J204="Key")</f>
        <v>0</v>
      </c>
      <c r="AH204" s="10" t="b">
        <f aca="false">IF(AND(K204&gt;0,L204&gt;0),OR(ABS(M204-Assumptions!$B$36)&lt;=Assumptions!$B$46,ABS(M204+Assumptions!$B$36)&lt;=Assumptions!$B$46),FALSE())</f>
        <v>0</v>
      </c>
      <c r="AI204" s="9" t="n">
        <f aca="false">INDEX('Commercial View'!$L$2:$L$301,MATCH($A204,'Commercial View'!$A$2:$A$301,0))+INDEX('Commercial View'!$M$2:$M$301,MATCH($A204,'Commercial View'!$A$2:$A$301,0))</f>
        <v>0</v>
      </c>
      <c r="AJ204" s="2" t="str">
        <f aca="false">IF(AND(K204=0,AI204=0),"No activity ex-Feb",IF(AI204=0,"Lapsed",IF(K204=0,"H2 Active / No H1 GMV",IF((AI204/2)/(K204/3)-1&gt;=Assumptions!$B$36,"Growing",IF((AI204/2)/(K204/3)-1&lt;-Assumptions!$B$36,"Declining","Stable")))))</f>
        <v>Lapsed</v>
      </c>
      <c r="AK204" s="10" t="b">
        <f aca="false">IF(OR(N204="Growing",N204="Stable"),"Healthy",N204)&lt;&gt;IF(OR(AJ204="Growing",AJ204="Stable"),"Healthy",AJ204)</f>
        <v>0</v>
      </c>
      <c r="AL204" s="2" t="str">
        <f aca="false">IF(N204="Lapsed",IF(OR(O204&lt;=Assumptions!$B$48,W204&lt;=Assumptions!$B$49),"One-Off / Insufficient History — Verify","Established Buyer Lapsed"),"N/A")</f>
        <v>One-Off / Insufficient History — Verify</v>
      </c>
      <c r="AM204" s="2" t="n">
        <f aca="false">INDEX('Scored Accounts'!$M$2:$M$301,MATCH($A204,'Scored Accounts'!$A$2:$A$301,0))</f>
        <v>0</v>
      </c>
      <c r="AN204" s="2" t="n">
        <f aca="false">IF((P204/(P204+Q204)*100)&lt;=Assumptions!$B$13,0,IF((P204/(P204+Q204)*100)&lt;Assumptions!$B$14,25,IF((P204/(P204+Q204)*100)&lt;Assumptions!$B$15,50,IF((P204/(P204+Q204)*100)&lt;Assumptions!$B$16,75,100))))</f>
        <v>0</v>
      </c>
      <c r="AO204" s="21" t="n">
        <f aca="false">IF((P204/(P204+Q204)*100)&lt;=Assumptions!$B$8,0,AN204*Assumptions!$B$4+INDEX('Scored Accounts'!$N$2:$N$301,MATCH($A204,'Scored Accounts'!$A$2:$A$301,0))*Assumptions!$B$5+INDEX('Scored Accounts'!$O$2:$O$301,MATCH($A204,'Scored Accounts'!$A$2:$A$301,0))*Assumptions!$B$6)</f>
        <v>0</v>
      </c>
      <c r="AP204" s="2" t="str">
        <f aca="false">IF(AO204&gt;=Assumptions!$B$9,"High",IF(AO204&gt;=Assumptions!$B$10,"Medium","Low"))</f>
        <v>Low</v>
      </c>
      <c r="AQ204" s="10" t="b">
        <f aca="false">OR((E204&lt;=Assumptions!$B$8)&lt;&gt;((P204/(P204+Q204)*100)&lt;=Assumptions!$B$8),AM204&lt;&gt;AN204,G204&lt;&gt;AP204)</f>
        <v>0</v>
      </c>
      <c r="AR204" s="2" t="str">
        <f aca="false">IF(AP204&lt;&gt;"Low","Broker-Reliant",IF(B204="Account Managed","AM-Owned / Self-Serving","Self-Serve"))</f>
        <v>AM-Owned / Self-Serving</v>
      </c>
      <c r="AS204" s="2" t="str">
        <f aca="false">IF(AR204="Broker-Reliant",IF(J204="Tail","5. Cost-to-Serve / Low-Touch",IF(OR(N204="Growing",N204="Stable"),"1. Migration Candidate",IF(N204="Declining","2. Protect / Retain First",IF(N204="Lapsed","3. Win-Back / Verify",IF(N204="H2 Active / No H1 GMV","4. Establish / Re-establish / Observe","UNASSIGNED"))))),IF(AP204="Low",IF(J204="Tail","9. Long-Tail Automated Nurture",IF(OR(N204="Growing",N204="Stable"),"6. Growth Opportunity",IF(N204="H2 Active / No H1 GMV","7. Onboard / Re-engage / Learn",IF(OR(N204="Declining",N204="Lapsed"),"8. Retention / Reactivation","UNASSIGNED")))),"UNASSIGNED"))</f>
        <v>9. Long-Tail Automated Nurture</v>
      </c>
      <c r="AT204" s="10" t="b">
        <f aca="false">AS204&lt;&gt;T204</f>
        <v>0</v>
      </c>
      <c r="AU204" s="2" t="str">
        <f aca="false">IF(NOT(U204),"Not Eligible",IF(OR(AQ204,AH204,AK204,NOT(AND(W204&gt;=Assumptions!$B$83,O204&gt;=Assumptions!$B$84))),"Manual Review","Ready"))</f>
        <v>Not Eligible</v>
      </c>
      <c r="AV204" s="2" t="str">
        <f aca="false">IF(AG204,"Key account - human sign-off required; ","")&amp;IF(AH204,"Borderline momentum; ","")&amp;IF(AK204,"February-sensitive ("&amp;N204&amp;" -&gt; "&amp;AJ204&amp;"); ","")&amp;IF(AL204="One-Off / Insufficient History — Verify","Lapsed on thin history - verify; ","")&amp;IF(AQ204,"Material broker % inconsistency (implied tier "&amp;AP204&amp;"); ","")&amp;IF(AT204,"Implied broker % would move segment to "&amp;AS204&amp;"; ","")</f>
        <v>Lapsed on thin history - verify; </v>
      </c>
      <c r="AW204" s="10" t="b">
        <f aca="false">AND(G204="Low",J204="Tail",I204&gt;=Assumptions!$B$64,O204&gt;=Assumptions!$B$65,OR(N204="Growing",N204="Stable",AND(N204="H2 Active / No H1 GMV",W204&gt;=2)),OR(R204&gt;=Assumptions!$B$66,S204&gt;=Assumptions!$B$67))</f>
        <v>0</v>
      </c>
    </row>
    <row r="205" customFormat="false" ht="15" hidden="false" customHeight="false" outlineLevel="0" collapsed="false">
      <c r="A205" s="2" t="s">
        <v>986</v>
      </c>
      <c r="B205" s="2" t="s">
        <v>1571</v>
      </c>
      <c r="C205" s="2"/>
      <c r="D205" s="2" t="n">
        <v>6</v>
      </c>
      <c r="E205" s="2" t="n">
        <v>6</v>
      </c>
      <c r="F205" s="21" t="n">
        <f aca="false">INDEX('Scored Accounts'!$Q$2:$Q$301,MATCH($A205,'Scored Accounts'!$A$2:$A$301,0))</f>
        <v>0</v>
      </c>
      <c r="G205" s="2" t="str">
        <f aca="false">INDEX('Scored Accounts'!$R$2:$R$301,MATCH($A205,'Scored Accounts'!$A$2:$A$301,0))</f>
        <v>Low</v>
      </c>
      <c r="H205" s="2" t="str">
        <f aca="false">IF(OR(G205="High",G205="Medium"),"Broker-Reliant",IF(AND(G205="Low",B205="Account Managed"),"AM-Owned / Self-Serving",IF(AND(G205="Low",B205="Self Serve"),"Self-Serve","UNASSIGNED")))</f>
        <v>AM-Owned / Self-Serving</v>
      </c>
      <c r="I205" s="9" t="n">
        <v>84</v>
      </c>
      <c r="J205" s="2" t="str">
        <f aca="false">IF(I205&gt;=Assumptions!$B$35,"Key",IF(I205&gt;=Assumptions!$B$34,"Core","Tail"))</f>
        <v>Tail</v>
      </c>
      <c r="K205" s="9" t="n">
        <f aca="false">INDEX('Commercial View'!$R$2:$R$301,MATCH($A205,'Commercial View'!$A$2:$A$301,0))</f>
        <v>84</v>
      </c>
      <c r="L205" s="9" t="n">
        <f aca="false">INDEX('Commercial View'!$S$2:$S$301,MATCH($A205,'Commercial View'!$A$2:$A$301,0))</f>
        <v>0</v>
      </c>
      <c r="M205" s="17" t="n">
        <f aca="false">INDEX('Commercial View'!$T$2:$T$301,MATCH($A205,'Commercial View'!$A$2:$A$301,0))</f>
        <v>-1</v>
      </c>
      <c r="N205" s="2" t="str">
        <f aca="false">INDEX('Commercial View'!$U$2:$U$301,MATCH($A205,'Commercial View'!$A$2:$A$301,0))</f>
        <v>Lapsed</v>
      </c>
      <c r="O205" s="2" t="n">
        <v>1</v>
      </c>
      <c r="P205" s="2" t="n">
        <v>0</v>
      </c>
      <c r="Q205" s="2" t="n">
        <v>1</v>
      </c>
      <c r="R205" s="2" t="n">
        <v>4</v>
      </c>
      <c r="S205" s="2" t="n">
        <v>0</v>
      </c>
      <c r="T205" s="2" t="str">
        <f aca="false">IF(H205="Broker-Reliant",IF(J205="Tail","5. Cost-to-Serve / Low-Touch",IF(OR(N205="Growing",N205="Stable"),"1. Migration Candidate",IF(N205="Declining","2. Protect / Retain First",IF(N205="Lapsed","3. Win-Back / Verify",IF(N205="H2 Active / No H1 GMV","4. Establish / Re-establish / Observe","UNASSIGNED"))))),IF(G205="Low",IF(J205="Tail","9. Long-Tail Automated Nurture",IF(OR(N205="Growing",N205="Stable"),"6. Growth Opportunity",IF(N205="H2 Active / No H1 GMV","7. Onboard / Re-engage / Learn",IF(OR(N205="Declining",N205="Lapsed"),"8. Retention / Reactivation","UNASSIGNED")))),"UNASSIGNED"))</f>
        <v>9. Long-Tail Automated Nurture</v>
      </c>
      <c r="U205" s="10" t="b">
        <f aca="false">AND(T205="1. Migration Candidate",J205="Core",O205&gt;=Assumptions!$B$39,Q205&gt;=Assumptions!$B$40,NOT(Z205))</f>
        <v>0</v>
      </c>
      <c r="V205" s="2" t="n">
        <f aca="false">(AND(H205="Broker-Reliant",J205&lt;&gt;"Tail",OR(N205="Growing",N205="Stable")))*1+(AND(H205="Broker-Reliant",J205&lt;&gt;"Tail",N205="Declining"))*1+(AND(H205="Broker-Reliant",J205&lt;&gt;"Tail",N205="Lapsed"))*1+(AND(H205="Broker-Reliant",J205&lt;&gt;"Tail",N205="H2 Active / No H1 GMV"))*1+(AND(H205="Broker-Reliant",J205="Tail"))*1+(AND(G205="Low",J205&lt;&gt;"Tail",OR(N205="Growing",N205="Stable")))*1+(AND(G205="Low",J205&lt;&gt;"Tail",N205="H2 Active / No H1 GMV"))*1+(AND(G205="Low",J205&lt;&gt;"Tail",OR(N205="Declining",N205="Lapsed")))*1+(AND(G205="Low",J205="Tail"))*1</f>
        <v>1</v>
      </c>
      <c r="W205" s="2" t="n">
        <f aca="false">INDEX('Commercial View'!$V$2:$V$301,MATCH($A205,'Commercial View'!$A$2:$A$301,0))</f>
        <v>1</v>
      </c>
      <c r="X205" s="10" t="b">
        <f aca="false">O205&lt;=Assumptions!$B$30</f>
        <v>1</v>
      </c>
      <c r="Y205" s="10" t="b">
        <f aca="false">W205&lt;=1</f>
        <v>1</v>
      </c>
      <c r="Z205" s="10" t="b">
        <f aca="false">C205="Duplicate"</f>
        <v>0</v>
      </c>
      <c r="AA205" s="10" t="b">
        <f aca="false">C205=""</f>
        <v>1</v>
      </c>
      <c r="AB205" s="2" t="n">
        <f aca="false">IF(P205+Q205&gt;0,ROUND(P205/(P205+Q205)*100,0),"")</f>
        <v>0</v>
      </c>
      <c r="AC205" s="2" t="n">
        <f aca="false">IF(P205+Q205&gt;0,ROUND(E205-P205/(P205+Q205)*100,0),"")</f>
        <v>6</v>
      </c>
      <c r="AD205" s="10" t="b">
        <f aca="false">IF(AC205="",FALSE(),ABS(AC205)&gt;Assumptions!$B$41)</f>
        <v>0</v>
      </c>
      <c r="AE205" s="2" t="str">
        <f aca="false">IF(X205,"Low confidence (&lt;=2 orders); ","")&amp;IF(Y205,"Single-month history; ","")&amp;IF(Z205,"CRITICAL: Duplicate status; ","")&amp;IF(AA205,"Missing status; ","")&amp;IF(AD205,"Broker % vs counts gap "&amp;TEXT(AC205,"+0;-0")&amp;"pts; ","")</f>
        <v>Low confidence (&lt;=2 orders); Single-month history; Missing status; </v>
      </c>
      <c r="AF205" s="2" t="str">
        <f aca="false">IF(AND(K205=0,L205&gt;0),IF(D205&lt;=Assumptions!$B$47,"New Customer","Returned Customer"),"Existing Customer")</f>
        <v>Existing Customer</v>
      </c>
      <c r="AG205" s="10" t="b">
        <f aca="false">AND(T205="1. Migration Candidate",J205="Key")</f>
        <v>0</v>
      </c>
      <c r="AH205" s="10" t="b">
        <f aca="false">IF(AND(K205&gt;0,L205&gt;0),OR(ABS(M205-Assumptions!$B$36)&lt;=Assumptions!$B$46,ABS(M205+Assumptions!$B$36)&lt;=Assumptions!$B$46),FALSE())</f>
        <v>0</v>
      </c>
      <c r="AI205" s="9" t="n">
        <f aca="false">INDEX('Commercial View'!$L$2:$L$301,MATCH($A205,'Commercial View'!$A$2:$A$301,0))+INDEX('Commercial View'!$M$2:$M$301,MATCH($A205,'Commercial View'!$A$2:$A$301,0))</f>
        <v>0</v>
      </c>
      <c r="AJ205" s="2" t="str">
        <f aca="false">IF(AND(K205=0,AI205=0),"No activity ex-Feb",IF(AI205=0,"Lapsed",IF(K205=0,"H2 Active / No H1 GMV",IF((AI205/2)/(K205/3)-1&gt;=Assumptions!$B$36,"Growing",IF((AI205/2)/(K205/3)-1&lt;-Assumptions!$B$36,"Declining","Stable")))))</f>
        <v>Lapsed</v>
      </c>
      <c r="AK205" s="10" t="b">
        <f aca="false">IF(OR(N205="Growing",N205="Stable"),"Healthy",N205)&lt;&gt;IF(OR(AJ205="Growing",AJ205="Stable"),"Healthy",AJ205)</f>
        <v>0</v>
      </c>
      <c r="AL205" s="2" t="str">
        <f aca="false">IF(N205="Lapsed",IF(OR(O205&lt;=Assumptions!$B$48,W205&lt;=Assumptions!$B$49),"One-Off / Insufficient History — Verify","Established Buyer Lapsed"),"N/A")</f>
        <v>One-Off / Insufficient History — Verify</v>
      </c>
      <c r="AM205" s="2" t="n">
        <f aca="false">INDEX('Scored Accounts'!$M$2:$M$301,MATCH($A205,'Scored Accounts'!$A$2:$A$301,0))</f>
        <v>0</v>
      </c>
      <c r="AN205" s="2" t="n">
        <f aca="false">IF((P205/(P205+Q205)*100)&lt;=Assumptions!$B$13,0,IF((P205/(P205+Q205)*100)&lt;Assumptions!$B$14,25,IF((P205/(P205+Q205)*100)&lt;Assumptions!$B$15,50,IF((P205/(P205+Q205)*100)&lt;Assumptions!$B$16,75,100))))</f>
        <v>0</v>
      </c>
      <c r="AO205" s="21" t="n">
        <f aca="false">IF((P205/(P205+Q205)*100)&lt;=Assumptions!$B$8,0,AN205*Assumptions!$B$4+INDEX('Scored Accounts'!$N$2:$N$301,MATCH($A205,'Scored Accounts'!$A$2:$A$301,0))*Assumptions!$B$5+INDEX('Scored Accounts'!$O$2:$O$301,MATCH($A205,'Scored Accounts'!$A$2:$A$301,0))*Assumptions!$B$6)</f>
        <v>0</v>
      </c>
      <c r="AP205" s="2" t="str">
        <f aca="false">IF(AO205&gt;=Assumptions!$B$9,"High",IF(AO205&gt;=Assumptions!$B$10,"Medium","Low"))</f>
        <v>Low</v>
      </c>
      <c r="AQ205" s="10" t="b">
        <f aca="false">OR((E205&lt;=Assumptions!$B$8)&lt;&gt;((P205/(P205+Q205)*100)&lt;=Assumptions!$B$8),AM205&lt;&gt;AN205,G205&lt;&gt;AP205)</f>
        <v>0</v>
      </c>
      <c r="AR205" s="2" t="str">
        <f aca="false">IF(AP205&lt;&gt;"Low","Broker-Reliant",IF(B205="Account Managed","AM-Owned / Self-Serving","Self-Serve"))</f>
        <v>AM-Owned / Self-Serving</v>
      </c>
      <c r="AS205" s="2" t="str">
        <f aca="false">IF(AR205="Broker-Reliant",IF(J205="Tail","5. Cost-to-Serve / Low-Touch",IF(OR(N205="Growing",N205="Stable"),"1. Migration Candidate",IF(N205="Declining","2. Protect / Retain First",IF(N205="Lapsed","3. Win-Back / Verify",IF(N205="H2 Active / No H1 GMV","4. Establish / Re-establish / Observe","UNASSIGNED"))))),IF(AP205="Low",IF(J205="Tail","9. Long-Tail Automated Nurture",IF(OR(N205="Growing",N205="Stable"),"6. Growth Opportunity",IF(N205="H2 Active / No H1 GMV","7. Onboard / Re-engage / Learn",IF(OR(N205="Declining",N205="Lapsed"),"8. Retention / Reactivation","UNASSIGNED")))),"UNASSIGNED"))</f>
        <v>9. Long-Tail Automated Nurture</v>
      </c>
      <c r="AT205" s="10" t="b">
        <f aca="false">AS205&lt;&gt;T205</f>
        <v>0</v>
      </c>
      <c r="AU205" s="2" t="str">
        <f aca="false">IF(NOT(U205),"Not Eligible",IF(OR(AQ205,AH205,AK205,NOT(AND(W205&gt;=Assumptions!$B$83,O205&gt;=Assumptions!$B$84))),"Manual Review","Ready"))</f>
        <v>Not Eligible</v>
      </c>
      <c r="AV205" s="2" t="str">
        <f aca="false">IF(AG205,"Key account - human sign-off required; ","")&amp;IF(AH205,"Borderline momentum; ","")&amp;IF(AK205,"February-sensitive ("&amp;N205&amp;" -&gt; "&amp;AJ205&amp;"); ","")&amp;IF(AL205="One-Off / Insufficient History — Verify","Lapsed on thin history - verify; ","")&amp;IF(AQ205,"Material broker % inconsistency (implied tier "&amp;AP205&amp;"); ","")&amp;IF(AT205,"Implied broker % would move segment to "&amp;AS205&amp;"; ","")</f>
        <v>Lapsed on thin history - verify; </v>
      </c>
      <c r="AW205" s="10" t="b">
        <f aca="false">AND(G205="Low",J205="Tail",I205&gt;=Assumptions!$B$64,O205&gt;=Assumptions!$B$65,OR(N205="Growing",N205="Stable",AND(N205="H2 Active / No H1 GMV",W205&gt;=2)),OR(R205&gt;=Assumptions!$B$66,S205&gt;=Assumptions!$B$67))</f>
        <v>0</v>
      </c>
    </row>
    <row r="206" customFormat="false" ht="15" hidden="false" customHeight="false" outlineLevel="0" collapsed="false">
      <c r="A206" s="2" t="s">
        <v>988</v>
      </c>
      <c r="B206" s="2" t="s">
        <v>1571</v>
      </c>
      <c r="C206" s="2" t="s">
        <v>1572</v>
      </c>
      <c r="D206" s="2" t="n">
        <v>6</v>
      </c>
      <c r="E206" s="2" t="n">
        <v>9</v>
      </c>
      <c r="F206" s="21" t="n">
        <f aca="false">INDEX('Scored Accounts'!$Q$2:$Q$301,MATCH($A206,'Scored Accounts'!$A$2:$A$301,0))</f>
        <v>0</v>
      </c>
      <c r="G206" s="2" t="str">
        <f aca="false">INDEX('Scored Accounts'!$R$2:$R$301,MATCH($A206,'Scored Accounts'!$A$2:$A$301,0))</f>
        <v>Low</v>
      </c>
      <c r="H206" s="2" t="str">
        <f aca="false">IF(OR(G206="High",G206="Medium"),"Broker-Reliant",IF(AND(G206="Low",B206="Account Managed"),"AM-Owned / Self-Serving",IF(AND(G206="Low",B206="Self Serve"),"Self-Serve","UNASSIGNED")))</f>
        <v>AM-Owned / Self-Serving</v>
      </c>
      <c r="I206" s="9" t="n">
        <v>84</v>
      </c>
      <c r="J206" s="2" t="str">
        <f aca="false">IF(I206&gt;=Assumptions!$B$35,"Key",IF(I206&gt;=Assumptions!$B$34,"Core","Tail"))</f>
        <v>Tail</v>
      </c>
      <c r="K206" s="9" t="n">
        <f aca="false">INDEX('Commercial View'!$R$2:$R$301,MATCH($A206,'Commercial View'!$A$2:$A$301,0))</f>
        <v>84</v>
      </c>
      <c r="L206" s="9" t="n">
        <f aca="false">INDEX('Commercial View'!$S$2:$S$301,MATCH($A206,'Commercial View'!$A$2:$A$301,0))</f>
        <v>0</v>
      </c>
      <c r="M206" s="17" t="n">
        <f aca="false">INDEX('Commercial View'!$T$2:$T$301,MATCH($A206,'Commercial View'!$A$2:$A$301,0))</f>
        <v>-1</v>
      </c>
      <c r="N206" s="2" t="str">
        <f aca="false">INDEX('Commercial View'!$U$2:$U$301,MATCH($A206,'Commercial View'!$A$2:$A$301,0))</f>
        <v>Lapsed</v>
      </c>
      <c r="O206" s="2" t="n">
        <v>1</v>
      </c>
      <c r="P206" s="2" t="n">
        <v>0</v>
      </c>
      <c r="Q206" s="2" t="n">
        <v>1</v>
      </c>
      <c r="R206" s="2" t="n">
        <v>6</v>
      </c>
      <c r="S206" s="2" t="n">
        <v>0</v>
      </c>
      <c r="T206" s="2" t="str">
        <f aca="false">IF(H206="Broker-Reliant",IF(J206="Tail","5. Cost-to-Serve / Low-Touch",IF(OR(N206="Growing",N206="Stable"),"1. Migration Candidate",IF(N206="Declining","2. Protect / Retain First",IF(N206="Lapsed","3. Win-Back / Verify",IF(N206="H2 Active / No H1 GMV","4. Establish / Re-establish / Observe","UNASSIGNED"))))),IF(G206="Low",IF(J206="Tail","9. Long-Tail Automated Nurture",IF(OR(N206="Growing",N206="Stable"),"6. Growth Opportunity",IF(N206="H2 Active / No H1 GMV","7. Onboard / Re-engage / Learn",IF(OR(N206="Declining",N206="Lapsed"),"8. Retention / Reactivation","UNASSIGNED")))),"UNASSIGNED"))</f>
        <v>9. Long-Tail Automated Nurture</v>
      </c>
      <c r="U206" s="10" t="b">
        <f aca="false">AND(T206="1. Migration Candidate",J206="Core",O206&gt;=Assumptions!$B$39,Q206&gt;=Assumptions!$B$40,NOT(Z206))</f>
        <v>0</v>
      </c>
      <c r="V206" s="2" t="n">
        <f aca="false">(AND(H206="Broker-Reliant",J206&lt;&gt;"Tail",OR(N206="Growing",N206="Stable")))*1+(AND(H206="Broker-Reliant",J206&lt;&gt;"Tail",N206="Declining"))*1+(AND(H206="Broker-Reliant",J206&lt;&gt;"Tail",N206="Lapsed"))*1+(AND(H206="Broker-Reliant",J206&lt;&gt;"Tail",N206="H2 Active / No H1 GMV"))*1+(AND(H206="Broker-Reliant",J206="Tail"))*1+(AND(G206="Low",J206&lt;&gt;"Tail",OR(N206="Growing",N206="Stable")))*1+(AND(G206="Low",J206&lt;&gt;"Tail",N206="H2 Active / No H1 GMV"))*1+(AND(G206="Low",J206&lt;&gt;"Tail",OR(N206="Declining",N206="Lapsed")))*1+(AND(G206="Low",J206="Tail"))*1</f>
        <v>1</v>
      </c>
      <c r="W206" s="2" t="n">
        <f aca="false">INDEX('Commercial View'!$V$2:$V$301,MATCH($A206,'Commercial View'!$A$2:$A$301,0))</f>
        <v>1</v>
      </c>
      <c r="X206" s="10" t="b">
        <f aca="false">O206&lt;=Assumptions!$B$30</f>
        <v>1</v>
      </c>
      <c r="Y206" s="10" t="b">
        <f aca="false">W206&lt;=1</f>
        <v>1</v>
      </c>
      <c r="Z206" s="10" t="b">
        <f aca="false">C206="Duplicate"</f>
        <v>0</v>
      </c>
      <c r="AA206" s="10" t="b">
        <f aca="false">C206=""</f>
        <v>0</v>
      </c>
      <c r="AB206" s="2" t="n">
        <f aca="false">IF(P206+Q206&gt;0,ROUND(P206/(P206+Q206)*100,0),"")</f>
        <v>0</v>
      </c>
      <c r="AC206" s="2" t="n">
        <f aca="false">IF(P206+Q206&gt;0,ROUND(E206-P206/(P206+Q206)*100,0),"")</f>
        <v>9</v>
      </c>
      <c r="AD206" s="10" t="b">
        <f aca="false">IF(AC206="",FALSE(),ABS(AC206)&gt;Assumptions!$B$41)</f>
        <v>0</v>
      </c>
      <c r="AE206" s="2" t="str">
        <f aca="false">IF(X206,"Low confidence (&lt;=2 orders); ","")&amp;IF(Y206,"Single-month history; ","")&amp;IF(Z206,"CRITICAL: Duplicate status; ","")&amp;IF(AA206,"Missing status; ","")&amp;IF(AD206,"Broker % vs counts gap "&amp;TEXT(AC206,"+0;-0")&amp;"pts; ","")</f>
        <v>Low confidence (&lt;=2 orders); Single-month history; </v>
      </c>
      <c r="AF206" s="2" t="str">
        <f aca="false">IF(AND(K206=0,L206&gt;0),IF(D206&lt;=Assumptions!$B$47,"New Customer","Returned Customer"),"Existing Customer")</f>
        <v>Existing Customer</v>
      </c>
      <c r="AG206" s="10" t="b">
        <f aca="false">AND(T206="1. Migration Candidate",J206="Key")</f>
        <v>0</v>
      </c>
      <c r="AH206" s="10" t="b">
        <f aca="false">IF(AND(K206&gt;0,L206&gt;0),OR(ABS(M206-Assumptions!$B$36)&lt;=Assumptions!$B$46,ABS(M206+Assumptions!$B$36)&lt;=Assumptions!$B$46),FALSE())</f>
        <v>0</v>
      </c>
      <c r="AI206" s="9" t="n">
        <f aca="false">INDEX('Commercial View'!$L$2:$L$301,MATCH($A206,'Commercial View'!$A$2:$A$301,0))+INDEX('Commercial View'!$M$2:$M$301,MATCH($A206,'Commercial View'!$A$2:$A$301,0))</f>
        <v>0</v>
      </c>
      <c r="AJ206" s="2" t="str">
        <f aca="false">IF(AND(K206=0,AI206=0),"No activity ex-Feb",IF(AI206=0,"Lapsed",IF(K206=0,"H2 Active / No H1 GMV",IF((AI206/2)/(K206/3)-1&gt;=Assumptions!$B$36,"Growing",IF((AI206/2)/(K206/3)-1&lt;-Assumptions!$B$36,"Declining","Stable")))))</f>
        <v>Lapsed</v>
      </c>
      <c r="AK206" s="10" t="b">
        <f aca="false">IF(OR(N206="Growing",N206="Stable"),"Healthy",N206)&lt;&gt;IF(OR(AJ206="Growing",AJ206="Stable"),"Healthy",AJ206)</f>
        <v>0</v>
      </c>
      <c r="AL206" s="2" t="str">
        <f aca="false">IF(N206="Lapsed",IF(OR(O206&lt;=Assumptions!$B$48,W206&lt;=Assumptions!$B$49),"One-Off / Insufficient History — Verify","Established Buyer Lapsed"),"N/A")</f>
        <v>One-Off / Insufficient History — Verify</v>
      </c>
      <c r="AM206" s="2" t="n">
        <f aca="false">INDEX('Scored Accounts'!$M$2:$M$301,MATCH($A206,'Scored Accounts'!$A$2:$A$301,0))</f>
        <v>0</v>
      </c>
      <c r="AN206" s="2" t="n">
        <f aca="false">IF((P206/(P206+Q206)*100)&lt;=Assumptions!$B$13,0,IF((P206/(P206+Q206)*100)&lt;Assumptions!$B$14,25,IF((P206/(P206+Q206)*100)&lt;Assumptions!$B$15,50,IF((P206/(P206+Q206)*100)&lt;Assumptions!$B$16,75,100))))</f>
        <v>0</v>
      </c>
      <c r="AO206" s="21" t="n">
        <f aca="false">IF((P206/(P206+Q206)*100)&lt;=Assumptions!$B$8,0,AN206*Assumptions!$B$4+INDEX('Scored Accounts'!$N$2:$N$301,MATCH($A206,'Scored Accounts'!$A$2:$A$301,0))*Assumptions!$B$5+INDEX('Scored Accounts'!$O$2:$O$301,MATCH($A206,'Scored Accounts'!$A$2:$A$301,0))*Assumptions!$B$6)</f>
        <v>0</v>
      </c>
      <c r="AP206" s="2" t="str">
        <f aca="false">IF(AO206&gt;=Assumptions!$B$9,"High",IF(AO206&gt;=Assumptions!$B$10,"Medium","Low"))</f>
        <v>Low</v>
      </c>
      <c r="AQ206" s="10" t="b">
        <f aca="false">OR((E206&lt;=Assumptions!$B$8)&lt;&gt;((P206/(P206+Q206)*100)&lt;=Assumptions!$B$8),AM206&lt;&gt;AN206,G206&lt;&gt;AP206)</f>
        <v>0</v>
      </c>
      <c r="AR206" s="2" t="str">
        <f aca="false">IF(AP206&lt;&gt;"Low","Broker-Reliant",IF(B206="Account Managed","AM-Owned / Self-Serving","Self-Serve"))</f>
        <v>AM-Owned / Self-Serving</v>
      </c>
      <c r="AS206" s="2" t="str">
        <f aca="false">IF(AR206="Broker-Reliant",IF(J206="Tail","5. Cost-to-Serve / Low-Touch",IF(OR(N206="Growing",N206="Stable"),"1. Migration Candidate",IF(N206="Declining","2. Protect / Retain First",IF(N206="Lapsed","3. Win-Back / Verify",IF(N206="H2 Active / No H1 GMV","4. Establish / Re-establish / Observe","UNASSIGNED"))))),IF(AP206="Low",IF(J206="Tail","9. Long-Tail Automated Nurture",IF(OR(N206="Growing",N206="Stable"),"6. Growth Opportunity",IF(N206="H2 Active / No H1 GMV","7. Onboard / Re-engage / Learn",IF(OR(N206="Declining",N206="Lapsed"),"8. Retention / Reactivation","UNASSIGNED")))),"UNASSIGNED"))</f>
        <v>9. Long-Tail Automated Nurture</v>
      </c>
      <c r="AT206" s="10" t="b">
        <f aca="false">AS206&lt;&gt;T206</f>
        <v>0</v>
      </c>
      <c r="AU206" s="2" t="str">
        <f aca="false">IF(NOT(U206),"Not Eligible",IF(OR(AQ206,AH206,AK206,NOT(AND(W206&gt;=Assumptions!$B$83,O206&gt;=Assumptions!$B$84))),"Manual Review","Ready"))</f>
        <v>Not Eligible</v>
      </c>
      <c r="AV206" s="2" t="str">
        <f aca="false">IF(AG206,"Key account - human sign-off required; ","")&amp;IF(AH206,"Borderline momentum; ","")&amp;IF(AK206,"February-sensitive ("&amp;N206&amp;" -&gt; "&amp;AJ206&amp;"); ","")&amp;IF(AL206="One-Off / Insufficient History — Verify","Lapsed on thin history - verify; ","")&amp;IF(AQ206,"Material broker % inconsistency (implied tier "&amp;AP206&amp;"); ","")&amp;IF(AT206,"Implied broker % would move segment to "&amp;AS206&amp;"; ","")</f>
        <v>Lapsed on thin history - verify; </v>
      </c>
      <c r="AW206" s="10" t="b">
        <f aca="false">AND(G206="Low",J206="Tail",I206&gt;=Assumptions!$B$64,O206&gt;=Assumptions!$B$65,OR(N206="Growing",N206="Stable",AND(N206="H2 Active / No H1 GMV",W206&gt;=2)),OR(R206&gt;=Assumptions!$B$66,S206&gt;=Assumptions!$B$67))</f>
        <v>0</v>
      </c>
    </row>
    <row r="207" customFormat="false" ht="15" hidden="false" customHeight="false" outlineLevel="0" collapsed="false">
      <c r="A207" s="2" t="s">
        <v>996</v>
      </c>
      <c r="B207" s="2" t="s">
        <v>1571</v>
      </c>
      <c r="C207" s="2" t="s">
        <v>1572</v>
      </c>
      <c r="D207" s="2" t="n">
        <v>9</v>
      </c>
      <c r="E207" s="2" t="n">
        <v>5</v>
      </c>
      <c r="F207" s="21" t="n">
        <f aca="false">INDEX('Scored Accounts'!$Q$2:$Q$301,MATCH($A207,'Scored Accounts'!$A$2:$A$301,0))</f>
        <v>0</v>
      </c>
      <c r="G207" s="2" t="str">
        <f aca="false">INDEX('Scored Accounts'!$R$2:$R$301,MATCH($A207,'Scored Accounts'!$A$2:$A$301,0))</f>
        <v>Low</v>
      </c>
      <c r="H207" s="2" t="str">
        <f aca="false">IF(OR(G207="High",G207="Medium"),"Broker-Reliant",IF(AND(G207="Low",B207="Account Managed"),"AM-Owned / Self-Serving",IF(AND(G207="Low",B207="Self Serve"),"Self-Serve","UNASSIGNED")))</f>
        <v>AM-Owned / Self-Serving</v>
      </c>
      <c r="I207" s="9" t="n">
        <v>80</v>
      </c>
      <c r="J207" s="2" t="str">
        <f aca="false">IF(I207&gt;=Assumptions!$B$35,"Key",IF(I207&gt;=Assumptions!$B$34,"Core","Tail"))</f>
        <v>Tail</v>
      </c>
      <c r="K207" s="9" t="n">
        <f aca="false">INDEX('Commercial View'!$R$2:$R$301,MATCH($A207,'Commercial View'!$A$2:$A$301,0))</f>
        <v>80</v>
      </c>
      <c r="L207" s="9" t="n">
        <f aca="false">INDEX('Commercial View'!$S$2:$S$301,MATCH($A207,'Commercial View'!$A$2:$A$301,0))</f>
        <v>0</v>
      </c>
      <c r="M207" s="17" t="n">
        <f aca="false">INDEX('Commercial View'!$T$2:$T$301,MATCH($A207,'Commercial View'!$A$2:$A$301,0))</f>
        <v>-1</v>
      </c>
      <c r="N207" s="2" t="str">
        <f aca="false">INDEX('Commercial View'!$U$2:$U$301,MATCH($A207,'Commercial View'!$A$2:$A$301,0))</f>
        <v>Lapsed</v>
      </c>
      <c r="O207" s="2" t="n">
        <v>1</v>
      </c>
      <c r="P207" s="2" t="n">
        <v>0</v>
      </c>
      <c r="Q207" s="2" t="n">
        <v>1</v>
      </c>
      <c r="R207" s="2" t="n">
        <v>7</v>
      </c>
      <c r="S207" s="2" t="n">
        <v>1</v>
      </c>
      <c r="T207" s="2" t="str">
        <f aca="false">IF(H207="Broker-Reliant",IF(J207="Tail","5. Cost-to-Serve / Low-Touch",IF(OR(N207="Growing",N207="Stable"),"1. Migration Candidate",IF(N207="Declining","2. Protect / Retain First",IF(N207="Lapsed","3. Win-Back / Verify",IF(N207="H2 Active / No H1 GMV","4. Establish / Re-establish / Observe","UNASSIGNED"))))),IF(G207="Low",IF(J207="Tail","9. Long-Tail Automated Nurture",IF(OR(N207="Growing",N207="Stable"),"6. Growth Opportunity",IF(N207="H2 Active / No H1 GMV","7. Onboard / Re-engage / Learn",IF(OR(N207="Declining",N207="Lapsed"),"8. Retention / Reactivation","UNASSIGNED")))),"UNASSIGNED"))</f>
        <v>9. Long-Tail Automated Nurture</v>
      </c>
      <c r="U207" s="10" t="b">
        <f aca="false">AND(T207="1. Migration Candidate",J207="Core",O207&gt;=Assumptions!$B$39,Q207&gt;=Assumptions!$B$40,NOT(Z207))</f>
        <v>0</v>
      </c>
      <c r="V207" s="2" t="n">
        <f aca="false">(AND(H207="Broker-Reliant",J207&lt;&gt;"Tail",OR(N207="Growing",N207="Stable")))*1+(AND(H207="Broker-Reliant",J207&lt;&gt;"Tail",N207="Declining"))*1+(AND(H207="Broker-Reliant",J207&lt;&gt;"Tail",N207="Lapsed"))*1+(AND(H207="Broker-Reliant",J207&lt;&gt;"Tail",N207="H2 Active / No H1 GMV"))*1+(AND(H207="Broker-Reliant",J207="Tail"))*1+(AND(G207="Low",J207&lt;&gt;"Tail",OR(N207="Growing",N207="Stable")))*1+(AND(G207="Low",J207&lt;&gt;"Tail",N207="H2 Active / No H1 GMV"))*1+(AND(G207="Low",J207&lt;&gt;"Tail",OR(N207="Declining",N207="Lapsed")))*1+(AND(G207="Low",J207="Tail"))*1</f>
        <v>1</v>
      </c>
      <c r="W207" s="2" t="n">
        <f aca="false">INDEX('Commercial View'!$V$2:$V$301,MATCH($A207,'Commercial View'!$A$2:$A$301,0))</f>
        <v>1</v>
      </c>
      <c r="X207" s="10" t="b">
        <f aca="false">O207&lt;=Assumptions!$B$30</f>
        <v>1</v>
      </c>
      <c r="Y207" s="10" t="b">
        <f aca="false">W207&lt;=1</f>
        <v>1</v>
      </c>
      <c r="Z207" s="10" t="b">
        <f aca="false">C207="Duplicate"</f>
        <v>0</v>
      </c>
      <c r="AA207" s="10" t="b">
        <f aca="false">C207=""</f>
        <v>0</v>
      </c>
      <c r="AB207" s="2" t="n">
        <f aca="false">IF(P207+Q207&gt;0,ROUND(P207/(P207+Q207)*100,0),"")</f>
        <v>0</v>
      </c>
      <c r="AC207" s="2" t="n">
        <f aca="false">IF(P207+Q207&gt;0,ROUND(E207-P207/(P207+Q207)*100,0),"")</f>
        <v>5</v>
      </c>
      <c r="AD207" s="10" t="b">
        <f aca="false">IF(AC207="",FALSE(),ABS(AC207)&gt;Assumptions!$B$41)</f>
        <v>0</v>
      </c>
      <c r="AE207" s="2" t="str">
        <f aca="false">IF(X207,"Low confidence (&lt;=2 orders); ","")&amp;IF(Y207,"Single-month history; ","")&amp;IF(Z207,"CRITICAL: Duplicate status; ","")&amp;IF(AA207,"Missing status; ","")&amp;IF(AD207,"Broker % vs counts gap "&amp;TEXT(AC207,"+0;-0")&amp;"pts; ","")</f>
        <v>Low confidence (&lt;=2 orders); Single-month history; </v>
      </c>
      <c r="AF207" s="2" t="str">
        <f aca="false">IF(AND(K207=0,L207&gt;0),IF(D207&lt;=Assumptions!$B$47,"New Customer","Returned Customer"),"Existing Customer")</f>
        <v>Existing Customer</v>
      </c>
      <c r="AG207" s="10" t="b">
        <f aca="false">AND(T207="1. Migration Candidate",J207="Key")</f>
        <v>0</v>
      </c>
      <c r="AH207" s="10" t="b">
        <f aca="false">IF(AND(K207&gt;0,L207&gt;0),OR(ABS(M207-Assumptions!$B$36)&lt;=Assumptions!$B$46,ABS(M207+Assumptions!$B$36)&lt;=Assumptions!$B$46),FALSE())</f>
        <v>0</v>
      </c>
      <c r="AI207" s="9" t="n">
        <f aca="false">INDEX('Commercial View'!$L$2:$L$301,MATCH($A207,'Commercial View'!$A$2:$A$301,0))+INDEX('Commercial View'!$M$2:$M$301,MATCH($A207,'Commercial View'!$A$2:$A$301,0))</f>
        <v>0</v>
      </c>
      <c r="AJ207" s="2" t="str">
        <f aca="false">IF(AND(K207=0,AI207=0),"No activity ex-Feb",IF(AI207=0,"Lapsed",IF(K207=0,"H2 Active / No H1 GMV",IF((AI207/2)/(K207/3)-1&gt;=Assumptions!$B$36,"Growing",IF((AI207/2)/(K207/3)-1&lt;-Assumptions!$B$36,"Declining","Stable")))))</f>
        <v>Lapsed</v>
      </c>
      <c r="AK207" s="10" t="b">
        <f aca="false">IF(OR(N207="Growing",N207="Stable"),"Healthy",N207)&lt;&gt;IF(OR(AJ207="Growing",AJ207="Stable"),"Healthy",AJ207)</f>
        <v>0</v>
      </c>
      <c r="AL207" s="2" t="str">
        <f aca="false">IF(N207="Lapsed",IF(OR(O207&lt;=Assumptions!$B$48,W207&lt;=Assumptions!$B$49),"One-Off / Insufficient History — Verify","Established Buyer Lapsed"),"N/A")</f>
        <v>One-Off / Insufficient History — Verify</v>
      </c>
      <c r="AM207" s="2" t="n">
        <f aca="false">INDEX('Scored Accounts'!$M$2:$M$301,MATCH($A207,'Scored Accounts'!$A$2:$A$301,0))</f>
        <v>0</v>
      </c>
      <c r="AN207" s="2" t="n">
        <f aca="false">IF((P207/(P207+Q207)*100)&lt;=Assumptions!$B$13,0,IF((P207/(P207+Q207)*100)&lt;Assumptions!$B$14,25,IF((P207/(P207+Q207)*100)&lt;Assumptions!$B$15,50,IF((P207/(P207+Q207)*100)&lt;Assumptions!$B$16,75,100))))</f>
        <v>0</v>
      </c>
      <c r="AO207" s="21" t="n">
        <f aca="false">IF((P207/(P207+Q207)*100)&lt;=Assumptions!$B$8,0,AN207*Assumptions!$B$4+INDEX('Scored Accounts'!$N$2:$N$301,MATCH($A207,'Scored Accounts'!$A$2:$A$301,0))*Assumptions!$B$5+INDEX('Scored Accounts'!$O$2:$O$301,MATCH($A207,'Scored Accounts'!$A$2:$A$301,0))*Assumptions!$B$6)</f>
        <v>0</v>
      </c>
      <c r="AP207" s="2" t="str">
        <f aca="false">IF(AO207&gt;=Assumptions!$B$9,"High",IF(AO207&gt;=Assumptions!$B$10,"Medium","Low"))</f>
        <v>Low</v>
      </c>
      <c r="AQ207" s="10" t="b">
        <f aca="false">OR((E207&lt;=Assumptions!$B$8)&lt;&gt;((P207/(P207+Q207)*100)&lt;=Assumptions!$B$8),AM207&lt;&gt;AN207,G207&lt;&gt;AP207)</f>
        <v>0</v>
      </c>
      <c r="AR207" s="2" t="str">
        <f aca="false">IF(AP207&lt;&gt;"Low","Broker-Reliant",IF(B207="Account Managed","AM-Owned / Self-Serving","Self-Serve"))</f>
        <v>AM-Owned / Self-Serving</v>
      </c>
      <c r="AS207" s="2" t="str">
        <f aca="false">IF(AR207="Broker-Reliant",IF(J207="Tail","5. Cost-to-Serve / Low-Touch",IF(OR(N207="Growing",N207="Stable"),"1. Migration Candidate",IF(N207="Declining","2. Protect / Retain First",IF(N207="Lapsed","3. Win-Back / Verify",IF(N207="H2 Active / No H1 GMV","4. Establish / Re-establish / Observe","UNASSIGNED"))))),IF(AP207="Low",IF(J207="Tail","9. Long-Tail Automated Nurture",IF(OR(N207="Growing",N207="Stable"),"6. Growth Opportunity",IF(N207="H2 Active / No H1 GMV","7. Onboard / Re-engage / Learn",IF(OR(N207="Declining",N207="Lapsed"),"8. Retention / Reactivation","UNASSIGNED")))),"UNASSIGNED"))</f>
        <v>9. Long-Tail Automated Nurture</v>
      </c>
      <c r="AT207" s="10" t="b">
        <f aca="false">AS207&lt;&gt;T207</f>
        <v>0</v>
      </c>
      <c r="AU207" s="2" t="str">
        <f aca="false">IF(NOT(U207),"Not Eligible",IF(OR(AQ207,AH207,AK207,NOT(AND(W207&gt;=Assumptions!$B$83,O207&gt;=Assumptions!$B$84))),"Manual Review","Ready"))</f>
        <v>Not Eligible</v>
      </c>
      <c r="AV207" s="2" t="str">
        <f aca="false">IF(AG207,"Key account - human sign-off required; ","")&amp;IF(AH207,"Borderline momentum; ","")&amp;IF(AK207,"February-sensitive ("&amp;N207&amp;" -&gt; "&amp;AJ207&amp;"); ","")&amp;IF(AL207="One-Off / Insufficient History — Verify","Lapsed on thin history - verify; ","")&amp;IF(AQ207,"Material broker % inconsistency (implied tier "&amp;AP207&amp;"); ","")&amp;IF(AT207,"Implied broker % would move segment to "&amp;AS207&amp;"; ","")</f>
        <v>Lapsed on thin history - verify; </v>
      </c>
      <c r="AW207" s="10" t="b">
        <f aca="false">AND(G207="Low",J207="Tail",I207&gt;=Assumptions!$B$64,O207&gt;=Assumptions!$B$65,OR(N207="Growing",N207="Stable",AND(N207="H2 Active / No H1 GMV",W207&gt;=2)),OR(R207&gt;=Assumptions!$B$66,S207&gt;=Assumptions!$B$67))</f>
        <v>0</v>
      </c>
    </row>
    <row r="208" customFormat="false" ht="15" hidden="false" customHeight="false" outlineLevel="0" collapsed="false">
      <c r="A208" s="2" t="s">
        <v>1000</v>
      </c>
      <c r="B208" s="2" t="s">
        <v>1571</v>
      </c>
      <c r="C208" s="2"/>
      <c r="D208" s="2" t="n">
        <v>6</v>
      </c>
      <c r="E208" s="2" t="n">
        <v>18</v>
      </c>
      <c r="F208" s="21" t="n">
        <f aca="false">INDEX('Scored Accounts'!$Q$2:$Q$301,MATCH($A208,'Scored Accounts'!$A$2:$A$301,0))</f>
        <v>0</v>
      </c>
      <c r="G208" s="2" t="str">
        <f aca="false">INDEX('Scored Accounts'!$R$2:$R$301,MATCH($A208,'Scored Accounts'!$A$2:$A$301,0))</f>
        <v>Low</v>
      </c>
      <c r="H208" s="2" t="str">
        <f aca="false">IF(OR(G208="High",G208="Medium"),"Broker-Reliant",IF(AND(G208="Low",B208="Account Managed"),"AM-Owned / Self-Serving",IF(AND(G208="Low",B208="Self Serve"),"Self-Serve","UNASSIGNED")))</f>
        <v>AM-Owned / Self-Serving</v>
      </c>
      <c r="I208" s="9" t="n">
        <v>77</v>
      </c>
      <c r="J208" s="2" t="str">
        <f aca="false">IF(I208&gt;=Assumptions!$B$35,"Key",IF(I208&gt;=Assumptions!$B$34,"Core","Tail"))</f>
        <v>Tail</v>
      </c>
      <c r="K208" s="9" t="n">
        <f aca="false">INDEX('Commercial View'!$R$2:$R$301,MATCH($A208,'Commercial View'!$A$2:$A$301,0))</f>
        <v>77</v>
      </c>
      <c r="L208" s="9" t="n">
        <f aca="false">INDEX('Commercial View'!$S$2:$S$301,MATCH($A208,'Commercial View'!$A$2:$A$301,0))</f>
        <v>0</v>
      </c>
      <c r="M208" s="17" t="n">
        <f aca="false">INDEX('Commercial View'!$T$2:$T$301,MATCH($A208,'Commercial View'!$A$2:$A$301,0))</f>
        <v>-1</v>
      </c>
      <c r="N208" s="2" t="str">
        <f aca="false">INDEX('Commercial View'!$U$2:$U$301,MATCH($A208,'Commercial View'!$A$2:$A$301,0))</f>
        <v>Lapsed</v>
      </c>
      <c r="O208" s="2" t="n">
        <v>1</v>
      </c>
      <c r="P208" s="2" t="n">
        <v>0</v>
      </c>
      <c r="Q208" s="2" t="n">
        <v>1</v>
      </c>
      <c r="R208" s="2" t="n">
        <v>11</v>
      </c>
      <c r="S208" s="2" t="n">
        <v>8</v>
      </c>
      <c r="T208" s="2" t="str">
        <f aca="false">IF(H208="Broker-Reliant",IF(J208="Tail","5. Cost-to-Serve / Low-Touch",IF(OR(N208="Growing",N208="Stable"),"1. Migration Candidate",IF(N208="Declining","2. Protect / Retain First",IF(N208="Lapsed","3. Win-Back / Verify",IF(N208="H2 Active / No H1 GMV","4. Establish / Re-establish / Observe","UNASSIGNED"))))),IF(G208="Low",IF(J208="Tail","9. Long-Tail Automated Nurture",IF(OR(N208="Growing",N208="Stable"),"6. Growth Opportunity",IF(N208="H2 Active / No H1 GMV","7. Onboard / Re-engage / Learn",IF(OR(N208="Declining",N208="Lapsed"),"8. Retention / Reactivation","UNASSIGNED")))),"UNASSIGNED"))</f>
        <v>9. Long-Tail Automated Nurture</v>
      </c>
      <c r="U208" s="10" t="b">
        <f aca="false">AND(T208="1. Migration Candidate",J208="Core",O208&gt;=Assumptions!$B$39,Q208&gt;=Assumptions!$B$40,NOT(Z208))</f>
        <v>0</v>
      </c>
      <c r="V208" s="2" t="n">
        <f aca="false">(AND(H208="Broker-Reliant",J208&lt;&gt;"Tail",OR(N208="Growing",N208="Stable")))*1+(AND(H208="Broker-Reliant",J208&lt;&gt;"Tail",N208="Declining"))*1+(AND(H208="Broker-Reliant",J208&lt;&gt;"Tail",N208="Lapsed"))*1+(AND(H208="Broker-Reliant",J208&lt;&gt;"Tail",N208="H2 Active / No H1 GMV"))*1+(AND(H208="Broker-Reliant",J208="Tail"))*1+(AND(G208="Low",J208&lt;&gt;"Tail",OR(N208="Growing",N208="Stable")))*1+(AND(G208="Low",J208&lt;&gt;"Tail",N208="H2 Active / No H1 GMV"))*1+(AND(G208="Low",J208&lt;&gt;"Tail",OR(N208="Declining",N208="Lapsed")))*1+(AND(G208="Low",J208="Tail"))*1</f>
        <v>1</v>
      </c>
      <c r="W208" s="2" t="n">
        <f aca="false">INDEX('Commercial View'!$V$2:$V$301,MATCH($A208,'Commercial View'!$A$2:$A$301,0))</f>
        <v>1</v>
      </c>
      <c r="X208" s="10" t="b">
        <f aca="false">O208&lt;=Assumptions!$B$30</f>
        <v>1</v>
      </c>
      <c r="Y208" s="10" t="b">
        <f aca="false">W208&lt;=1</f>
        <v>1</v>
      </c>
      <c r="Z208" s="10" t="b">
        <f aca="false">C208="Duplicate"</f>
        <v>0</v>
      </c>
      <c r="AA208" s="10" t="b">
        <f aca="false">C208=""</f>
        <v>1</v>
      </c>
      <c r="AB208" s="2" t="n">
        <f aca="false">IF(P208+Q208&gt;0,ROUND(P208/(P208+Q208)*100,0),"")</f>
        <v>0</v>
      </c>
      <c r="AC208" s="2" t="n">
        <f aca="false">IF(P208+Q208&gt;0,ROUND(E208-P208/(P208+Q208)*100,0),"")</f>
        <v>18</v>
      </c>
      <c r="AD208" s="10" t="b">
        <f aca="false">IF(AC208="",FALSE(),ABS(AC208)&gt;Assumptions!$B$41)</f>
        <v>1</v>
      </c>
      <c r="AE208" s="2" t="str">
        <f aca="false">IF(X208,"Low confidence (&lt;=2 orders); ","")&amp;IF(Y208,"Single-month history; ","")&amp;IF(Z208,"CRITICAL: Duplicate status; ","")&amp;IF(AA208,"Missing status; ","")&amp;IF(AD208,"Broker % vs counts gap "&amp;TEXT(AC208,"+0;-0")&amp;"pts; ","")</f>
        <v>Low confidence (&lt;=2 orders); Single-month history; Missing status; Broker % vs counts gap +18pts; </v>
      </c>
      <c r="AF208" s="2" t="str">
        <f aca="false">IF(AND(K208=0,L208&gt;0),IF(D208&lt;=Assumptions!$B$47,"New Customer","Returned Customer"),"Existing Customer")</f>
        <v>Existing Customer</v>
      </c>
      <c r="AG208" s="10" t="b">
        <f aca="false">AND(T208="1. Migration Candidate",J208="Key")</f>
        <v>0</v>
      </c>
      <c r="AH208" s="10" t="b">
        <f aca="false">IF(AND(K208&gt;0,L208&gt;0),OR(ABS(M208-Assumptions!$B$36)&lt;=Assumptions!$B$46,ABS(M208+Assumptions!$B$36)&lt;=Assumptions!$B$46),FALSE())</f>
        <v>0</v>
      </c>
      <c r="AI208" s="9" t="n">
        <f aca="false">INDEX('Commercial View'!$L$2:$L$301,MATCH($A208,'Commercial View'!$A$2:$A$301,0))+INDEX('Commercial View'!$M$2:$M$301,MATCH($A208,'Commercial View'!$A$2:$A$301,0))</f>
        <v>0</v>
      </c>
      <c r="AJ208" s="2" t="str">
        <f aca="false">IF(AND(K208=0,AI208=0),"No activity ex-Feb",IF(AI208=0,"Lapsed",IF(K208=0,"H2 Active / No H1 GMV",IF((AI208/2)/(K208/3)-1&gt;=Assumptions!$B$36,"Growing",IF((AI208/2)/(K208/3)-1&lt;-Assumptions!$B$36,"Declining","Stable")))))</f>
        <v>Lapsed</v>
      </c>
      <c r="AK208" s="10" t="b">
        <f aca="false">IF(OR(N208="Growing",N208="Stable"),"Healthy",N208)&lt;&gt;IF(OR(AJ208="Growing",AJ208="Stable"),"Healthy",AJ208)</f>
        <v>0</v>
      </c>
      <c r="AL208" s="2" t="str">
        <f aca="false">IF(N208="Lapsed",IF(OR(O208&lt;=Assumptions!$B$48,W208&lt;=Assumptions!$B$49),"One-Off / Insufficient History — Verify","Established Buyer Lapsed"),"N/A")</f>
        <v>One-Off / Insufficient History — Verify</v>
      </c>
      <c r="AM208" s="2" t="n">
        <f aca="false">INDEX('Scored Accounts'!$M$2:$M$301,MATCH($A208,'Scored Accounts'!$A$2:$A$301,0))</f>
        <v>0</v>
      </c>
      <c r="AN208" s="2" t="n">
        <f aca="false">IF((P208/(P208+Q208)*100)&lt;=Assumptions!$B$13,0,IF((P208/(P208+Q208)*100)&lt;Assumptions!$B$14,25,IF((P208/(P208+Q208)*100)&lt;Assumptions!$B$15,50,IF((P208/(P208+Q208)*100)&lt;Assumptions!$B$16,75,100))))</f>
        <v>0</v>
      </c>
      <c r="AO208" s="21" t="n">
        <f aca="false">IF((P208/(P208+Q208)*100)&lt;=Assumptions!$B$8,0,AN208*Assumptions!$B$4+INDEX('Scored Accounts'!$N$2:$N$301,MATCH($A208,'Scored Accounts'!$A$2:$A$301,0))*Assumptions!$B$5+INDEX('Scored Accounts'!$O$2:$O$301,MATCH($A208,'Scored Accounts'!$A$2:$A$301,0))*Assumptions!$B$6)</f>
        <v>0</v>
      </c>
      <c r="AP208" s="2" t="str">
        <f aca="false">IF(AO208&gt;=Assumptions!$B$9,"High",IF(AO208&gt;=Assumptions!$B$10,"Medium","Low"))</f>
        <v>Low</v>
      </c>
      <c r="AQ208" s="10" t="b">
        <f aca="false">OR((E208&lt;=Assumptions!$B$8)&lt;&gt;((P208/(P208+Q208)*100)&lt;=Assumptions!$B$8),AM208&lt;&gt;AN208,G208&lt;&gt;AP208)</f>
        <v>0</v>
      </c>
      <c r="AR208" s="2" t="str">
        <f aca="false">IF(AP208&lt;&gt;"Low","Broker-Reliant",IF(B208="Account Managed","AM-Owned / Self-Serving","Self-Serve"))</f>
        <v>AM-Owned / Self-Serving</v>
      </c>
      <c r="AS208" s="2" t="str">
        <f aca="false">IF(AR208="Broker-Reliant",IF(J208="Tail","5. Cost-to-Serve / Low-Touch",IF(OR(N208="Growing",N208="Stable"),"1. Migration Candidate",IF(N208="Declining","2. Protect / Retain First",IF(N208="Lapsed","3. Win-Back / Verify",IF(N208="H2 Active / No H1 GMV","4. Establish / Re-establish / Observe","UNASSIGNED"))))),IF(AP208="Low",IF(J208="Tail","9. Long-Tail Automated Nurture",IF(OR(N208="Growing",N208="Stable"),"6. Growth Opportunity",IF(N208="H2 Active / No H1 GMV","7. Onboard / Re-engage / Learn",IF(OR(N208="Declining",N208="Lapsed"),"8. Retention / Reactivation","UNASSIGNED")))),"UNASSIGNED"))</f>
        <v>9. Long-Tail Automated Nurture</v>
      </c>
      <c r="AT208" s="10" t="b">
        <f aca="false">AS208&lt;&gt;T208</f>
        <v>0</v>
      </c>
      <c r="AU208" s="2" t="str">
        <f aca="false">IF(NOT(U208),"Not Eligible",IF(OR(AQ208,AH208,AK208,NOT(AND(W208&gt;=Assumptions!$B$83,O208&gt;=Assumptions!$B$84))),"Manual Review","Ready"))</f>
        <v>Not Eligible</v>
      </c>
      <c r="AV208" s="2" t="str">
        <f aca="false">IF(AG208,"Key account - human sign-off required; ","")&amp;IF(AH208,"Borderline momentum; ","")&amp;IF(AK208,"February-sensitive ("&amp;N208&amp;" -&gt; "&amp;AJ208&amp;"); ","")&amp;IF(AL208="One-Off / Insufficient History — Verify","Lapsed on thin history - verify; ","")&amp;IF(AQ208,"Material broker % inconsistency (implied tier "&amp;AP208&amp;"); ","")&amp;IF(AT208,"Implied broker % would move segment to "&amp;AS208&amp;"; ","")</f>
        <v>Lapsed on thin history - verify; </v>
      </c>
      <c r="AW208" s="10" t="b">
        <f aca="false">AND(G208="Low",J208="Tail",I208&gt;=Assumptions!$B$64,O208&gt;=Assumptions!$B$65,OR(N208="Growing",N208="Stable",AND(N208="H2 Active / No H1 GMV",W208&gt;=2)),OR(R208&gt;=Assumptions!$B$66,S208&gt;=Assumptions!$B$67))</f>
        <v>0</v>
      </c>
    </row>
    <row r="209" customFormat="false" ht="15" hidden="false" customHeight="false" outlineLevel="0" collapsed="false">
      <c r="A209" s="2" t="s">
        <v>1012</v>
      </c>
      <c r="B209" s="2" t="s">
        <v>1571</v>
      </c>
      <c r="C209" s="2" t="s">
        <v>1572</v>
      </c>
      <c r="D209" s="2" t="n">
        <v>6</v>
      </c>
      <c r="E209" s="2" t="n">
        <v>13</v>
      </c>
      <c r="F209" s="21" t="n">
        <f aca="false">INDEX('Scored Accounts'!$Q$2:$Q$301,MATCH($A209,'Scored Accounts'!$A$2:$A$301,0))</f>
        <v>0</v>
      </c>
      <c r="G209" s="2" t="str">
        <f aca="false">INDEX('Scored Accounts'!$R$2:$R$301,MATCH($A209,'Scored Accounts'!$A$2:$A$301,0))</f>
        <v>Low</v>
      </c>
      <c r="H209" s="2" t="str">
        <f aca="false">IF(OR(G209="High",G209="Medium"),"Broker-Reliant",IF(AND(G209="Low",B209="Account Managed"),"AM-Owned / Self-Serving",IF(AND(G209="Low",B209="Self Serve"),"Self-Serve","UNASSIGNED")))</f>
        <v>AM-Owned / Self-Serving</v>
      </c>
      <c r="I209" s="9" t="n">
        <v>53</v>
      </c>
      <c r="J209" s="2" t="str">
        <f aca="false">IF(I209&gt;=Assumptions!$B$35,"Key",IF(I209&gt;=Assumptions!$B$34,"Core","Tail"))</f>
        <v>Tail</v>
      </c>
      <c r="K209" s="9" t="n">
        <f aca="false">INDEX('Commercial View'!$R$2:$R$301,MATCH($A209,'Commercial View'!$A$2:$A$301,0))</f>
        <v>53</v>
      </c>
      <c r="L209" s="9" t="n">
        <f aca="false">INDEX('Commercial View'!$S$2:$S$301,MATCH($A209,'Commercial View'!$A$2:$A$301,0))</f>
        <v>0</v>
      </c>
      <c r="M209" s="17" t="n">
        <f aca="false">INDEX('Commercial View'!$T$2:$T$301,MATCH($A209,'Commercial View'!$A$2:$A$301,0))</f>
        <v>-1</v>
      </c>
      <c r="N209" s="2" t="str">
        <f aca="false">INDEX('Commercial View'!$U$2:$U$301,MATCH($A209,'Commercial View'!$A$2:$A$301,0))</f>
        <v>Lapsed</v>
      </c>
      <c r="O209" s="2" t="n">
        <v>1</v>
      </c>
      <c r="P209" s="2" t="n">
        <v>0</v>
      </c>
      <c r="Q209" s="2" t="n">
        <v>1</v>
      </c>
      <c r="R209" s="2" t="n">
        <v>4</v>
      </c>
      <c r="S209" s="2" t="n">
        <v>1</v>
      </c>
      <c r="T209" s="2" t="str">
        <f aca="false">IF(H209="Broker-Reliant",IF(J209="Tail","5. Cost-to-Serve / Low-Touch",IF(OR(N209="Growing",N209="Stable"),"1. Migration Candidate",IF(N209="Declining","2. Protect / Retain First",IF(N209="Lapsed","3. Win-Back / Verify",IF(N209="H2 Active / No H1 GMV","4. Establish / Re-establish / Observe","UNASSIGNED"))))),IF(G209="Low",IF(J209="Tail","9. Long-Tail Automated Nurture",IF(OR(N209="Growing",N209="Stable"),"6. Growth Opportunity",IF(N209="H2 Active / No H1 GMV","7. Onboard / Re-engage / Learn",IF(OR(N209="Declining",N209="Lapsed"),"8. Retention / Reactivation","UNASSIGNED")))),"UNASSIGNED"))</f>
        <v>9. Long-Tail Automated Nurture</v>
      </c>
      <c r="U209" s="10" t="b">
        <f aca="false">AND(T209="1. Migration Candidate",J209="Core",O209&gt;=Assumptions!$B$39,Q209&gt;=Assumptions!$B$40,NOT(Z209))</f>
        <v>0</v>
      </c>
      <c r="V209" s="2" t="n">
        <f aca="false">(AND(H209="Broker-Reliant",J209&lt;&gt;"Tail",OR(N209="Growing",N209="Stable")))*1+(AND(H209="Broker-Reliant",J209&lt;&gt;"Tail",N209="Declining"))*1+(AND(H209="Broker-Reliant",J209&lt;&gt;"Tail",N209="Lapsed"))*1+(AND(H209="Broker-Reliant",J209&lt;&gt;"Tail",N209="H2 Active / No H1 GMV"))*1+(AND(H209="Broker-Reliant",J209="Tail"))*1+(AND(G209="Low",J209&lt;&gt;"Tail",OR(N209="Growing",N209="Stable")))*1+(AND(G209="Low",J209&lt;&gt;"Tail",N209="H2 Active / No H1 GMV"))*1+(AND(G209="Low",J209&lt;&gt;"Tail",OR(N209="Declining",N209="Lapsed")))*1+(AND(G209="Low",J209="Tail"))*1</f>
        <v>1</v>
      </c>
      <c r="W209" s="2" t="n">
        <f aca="false">INDEX('Commercial View'!$V$2:$V$301,MATCH($A209,'Commercial View'!$A$2:$A$301,0))</f>
        <v>1</v>
      </c>
      <c r="X209" s="10" t="b">
        <f aca="false">O209&lt;=Assumptions!$B$30</f>
        <v>1</v>
      </c>
      <c r="Y209" s="10" t="b">
        <f aca="false">W209&lt;=1</f>
        <v>1</v>
      </c>
      <c r="Z209" s="10" t="b">
        <f aca="false">C209="Duplicate"</f>
        <v>0</v>
      </c>
      <c r="AA209" s="10" t="b">
        <f aca="false">C209=""</f>
        <v>0</v>
      </c>
      <c r="AB209" s="2" t="n">
        <f aca="false">IF(P209+Q209&gt;0,ROUND(P209/(P209+Q209)*100,0),"")</f>
        <v>0</v>
      </c>
      <c r="AC209" s="2" t="n">
        <f aca="false">IF(P209+Q209&gt;0,ROUND(E209-P209/(P209+Q209)*100,0),"")</f>
        <v>13</v>
      </c>
      <c r="AD209" s="10" t="b">
        <f aca="false">IF(AC209="",FALSE(),ABS(AC209)&gt;Assumptions!$B$41)</f>
        <v>1</v>
      </c>
      <c r="AE209" s="2" t="str">
        <f aca="false">IF(X209,"Low confidence (&lt;=2 orders); ","")&amp;IF(Y209,"Single-month history; ","")&amp;IF(Z209,"CRITICAL: Duplicate status; ","")&amp;IF(AA209,"Missing status; ","")&amp;IF(AD209,"Broker % vs counts gap "&amp;TEXT(AC209,"+0;-0")&amp;"pts; ","")</f>
        <v>Low confidence (&lt;=2 orders); Single-month history; Broker % vs counts gap +13pts; </v>
      </c>
      <c r="AF209" s="2" t="str">
        <f aca="false">IF(AND(K209=0,L209&gt;0),IF(D209&lt;=Assumptions!$B$47,"New Customer","Returned Customer"),"Existing Customer")</f>
        <v>Existing Customer</v>
      </c>
      <c r="AG209" s="10" t="b">
        <f aca="false">AND(T209="1. Migration Candidate",J209="Key")</f>
        <v>0</v>
      </c>
      <c r="AH209" s="10" t="b">
        <f aca="false">IF(AND(K209&gt;0,L209&gt;0),OR(ABS(M209-Assumptions!$B$36)&lt;=Assumptions!$B$46,ABS(M209+Assumptions!$B$36)&lt;=Assumptions!$B$46),FALSE())</f>
        <v>0</v>
      </c>
      <c r="AI209" s="9" t="n">
        <f aca="false">INDEX('Commercial View'!$L$2:$L$301,MATCH($A209,'Commercial View'!$A$2:$A$301,0))+INDEX('Commercial View'!$M$2:$M$301,MATCH($A209,'Commercial View'!$A$2:$A$301,0))</f>
        <v>0</v>
      </c>
      <c r="AJ209" s="2" t="str">
        <f aca="false">IF(AND(K209=0,AI209=0),"No activity ex-Feb",IF(AI209=0,"Lapsed",IF(K209=0,"H2 Active / No H1 GMV",IF((AI209/2)/(K209/3)-1&gt;=Assumptions!$B$36,"Growing",IF((AI209/2)/(K209/3)-1&lt;-Assumptions!$B$36,"Declining","Stable")))))</f>
        <v>Lapsed</v>
      </c>
      <c r="AK209" s="10" t="b">
        <f aca="false">IF(OR(N209="Growing",N209="Stable"),"Healthy",N209)&lt;&gt;IF(OR(AJ209="Growing",AJ209="Stable"),"Healthy",AJ209)</f>
        <v>0</v>
      </c>
      <c r="AL209" s="2" t="str">
        <f aca="false">IF(N209="Lapsed",IF(OR(O209&lt;=Assumptions!$B$48,W209&lt;=Assumptions!$B$49),"One-Off / Insufficient History — Verify","Established Buyer Lapsed"),"N/A")</f>
        <v>One-Off / Insufficient History — Verify</v>
      </c>
      <c r="AM209" s="2" t="n">
        <f aca="false">INDEX('Scored Accounts'!$M$2:$M$301,MATCH($A209,'Scored Accounts'!$A$2:$A$301,0))</f>
        <v>0</v>
      </c>
      <c r="AN209" s="2" t="n">
        <f aca="false">IF((P209/(P209+Q209)*100)&lt;=Assumptions!$B$13,0,IF((P209/(P209+Q209)*100)&lt;Assumptions!$B$14,25,IF((P209/(P209+Q209)*100)&lt;Assumptions!$B$15,50,IF((P209/(P209+Q209)*100)&lt;Assumptions!$B$16,75,100))))</f>
        <v>0</v>
      </c>
      <c r="AO209" s="21" t="n">
        <f aca="false">IF((P209/(P209+Q209)*100)&lt;=Assumptions!$B$8,0,AN209*Assumptions!$B$4+INDEX('Scored Accounts'!$N$2:$N$301,MATCH($A209,'Scored Accounts'!$A$2:$A$301,0))*Assumptions!$B$5+INDEX('Scored Accounts'!$O$2:$O$301,MATCH($A209,'Scored Accounts'!$A$2:$A$301,0))*Assumptions!$B$6)</f>
        <v>0</v>
      </c>
      <c r="AP209" s="2" t="str">
        <f aca="false">IF(AO209&gt;=Assumptions!$B$9,"High",IF(AO209&gt;=Assumptions!$B$10,"Medium","Low"))</f>
        <v>Low</v>
      </c>
      <c r="AQ209" s="10" t="b">
        <f aca="false">OR((E209&lt;=Assumptions!$B$8)&lt;&gt;((P209/(P209+Q209)*100)&lt;=Assumptions!$B$8),AM209&lt;&gt;AN209,G209&lt;&gt;AP209)</f>
        <v>0</v>
      </c>
      <c r="AR209" s="2" t="str">
        <f aca="false">IF(AP209&lt;&gt;"Low","Broker-Reliant",IF(B209="Account Managed","AM-Owned / Self-Serving","Self-Serve"))</f>
        <v>AM-Owned / Self-Serving</v>
      </c>
      <c r="AS209" s="2" t="str">
        <f aca="false">IF(AR209="Broker-Reliant",IF(J209="Tail","5. Cost-to-Serve / Low-Touch",IF(OR(N209="Growing",N209="Stable"),"1. Migration Candidate",IF(N209="Declining","2. Protect / Retain First",IF(N209="Lapsed","3. Win-Back / Verify",IF(N209="H2 Active / No H1 GMV","4. Establish / Re-establish / Observe","UNASSIGNED"))))),IF(AP209="Low",IF(J209="Tail","9. Long-Tail Automated Nurture",IF(OR(N209="Growing",N209="Stable"),"6. Growth Opportunity",IF(N209="H2 Active / No H1 GMV","7. Onboard / Re-engage / Learn",IF(OR(N209="Declining",N209="Lapsed"),"8. Retention / Reactivation","UNASSIGNED")))),"UNASSIGNED"))</f>
        <v>9. Long-Tail Automated Nurture</v>
      </c>
      <c r="AT209" s="10" t="b">
        <f aca="false">AS209&lt;&gt;T209</f>
        <v>0</v>
      </c>
      <c r="AU209" s="2" t="str">
        <f aca="false">IF(NOT(U209),"Not Eligible",IF(OR(AQ209,AH209,AK209,NOT(AND(W209&gt;=Assumptions!$B$83,O209&gt;=Assumptions!$B$84))),"Manual Review","Ready"))</f>
        <v>Not Eligible</v>
      </c>
      <c r="AV209" s="2" t="str">
        <f aca="false">IF(AG209,"Key account - human sign-off required; ","")&amp;IF(AH209,"Borderline momentum; ","")&amp;IF(AK209,"February-sensitive ("&amp;N209&amp;" -&gt; "&amp;AJ209&amp;"); ","")&amp;IF(AL209="One-Off / Insufficient History — Verify","Lapsed on thin history - verify; ","")&amp;IF(AQ209,"Material broker % inconsistency (implied tier "&amp;AP209&amp;"); ","")&amp;IF(AT209,"Implied broker % would move segment to "&amp;AS209&amp;"; ","")</f>
        <v>Lapsed on thin history - verify; </v>
      </c>
      <c r="AW209" s="10" t="b">
        <f aca="false">AND(G209="Low",J209="Tail",I209&gt;=Assumptions!$B$64,O209&gt;=Assumptions!$B$65,OR(N209="Growing",N209="Stable",AND(N209="H2 Active / No H1 GMV",W209&gt;=2)),OR(R209&gt;=Assumptions!$B$66,S209&gt;=Assumptions!$B$67))</f>
        <v>0</v>
      </c>
    </row>
    <row r="210" customFormat="false" ht="15" hidden="false" customHeight="false" outlineLevel="0" collapsed="false">
      <c r="A210" s="2" t="s">
        <v>1014</v>
      </c>
      <c r="B210" s="2" t="s">
        <v>1571</v>
      </c>
      <c r="C210" s="2" t="s">
        <v>1572</v>
      </c>
      <c r="D210" s="2" t="n">
        <v>8</v>
      </c>
      <c r="E210" s="2" t="n">
        <v>9</v>
      </c>
      <c r="F210" s="21" t="n">
        <f aca="false">INDEX('Scored Accounts'!$Q$2:$Q$301,MATCH($A210,'Scored Accounts'!$A$2:$A$301,0))</f>
        <v>0</v>
      </c>
      <c r="G210" s="2" t="str">
        <f aca="false">INDEX('Scored Accounts'!$R$2:$R$301,MATCH($A210,'Scored Accounts'!$A$2:$A$301,0))</f>
        <v>Low</v>
      </c>
      <c r="H210" s="2" t="str">
        <f aca="false">IF(OR(G210="High",G210="Medium"),"Broker-Reliant",IF(AND(G210="Low",B210="Account Managed"),"AM-Owned / Self-Serving",IF(AND(G210="Low",B210="Self Serve"),"Self-Serve","UNASSIGNED")))</f>
        <v>AM-Owned / Self-Serving</v>
      </c>
      <c r="I210" s="9" t="n">
        <v>49</v>
      </c>
      <c r="J210" s="2" t="str">
        <f aca="false">IF(I210&gt;=Assumptions!$B$35,"Key",IF(I210&gt;=Assumptions!$B$34,"Core","Tail"))</f>
        <v>Tail</v>
      </c>
      <c r="K210" s="9" t="n">
        <f aca="false">INDEX('Commercial View'!$R$2:$R$301,MATCH($A210,'Commercial View'!$A$2:$A$301,0))</f>
        <v>0</v>
      </c>
      <c r="L210" s="9" t="n">
        <f aca="false">INDEX('Commercial View'!$S$2:$S$301,MATCH($A210,'Commercial View'!$A$2:$A$301,0))</f>
        <v>49</v>
      </c>
      <c r="M210" s="17" t="str">
        <f aca="false">INDEX('Commercial View'!$T$2:$T$301,MATCH($A210,'Commercial View'!$A$2:$A$301,0))</f>
        <v/>
      </c>
      <c r="N210" s="2" t="str">
        <f aca="false">INDEX('Commercial View'!$U$2:$U$301,MATCH($A210,'Commercial View'!$A$2:$A$301,0))</f>
        <v>H2 Active / No H1 GMV</v>
      </c>
      <c r="O210" s="2" t="n">
        <v>1</v>
      </c>
      <c r="P210" s="2" t="n">
        <v>0</v>
      </c>
      <c r="Q210" s="2" t="n">
        <v>1</v>
      </c>
      <c r="R210" s="2" t="n">
        <v>9</v>
      </c>
      <c r="S210" s="2" t="n">
        <v>2</v>
      </c>
      <c r="T210" s="2" t="str">
        <f aca="false">IF(H210="Broker-Reliant",IF(J210="Tail","5. Cost-to-Serve / Low-Touch",IF(OR(N210="Growing",N210="Stable"),"1. Migration Candidate",IF(N210="Declining","2. Protect / Retain First",IF(N210="Lapsed","3. Win-Back / Verify",IF(N210="H2 Active / No H1 GMV","4. Establish / Re-establish / Observe","UNASSIGNED"))))),IF(G210="Low",IF(J210="Tail","9. Long-Tail Automated Nurture",IF(OR(N210="Growing",N210="Stable"),"6. Growth Opportunity",IF(N210="H2 Active / No H1 GMV","7. Onboard / Re-engage / Learn",IF(OR(N210="Declining",N210="Lapsed"),"8. Retention / Reactivation","UNASSIGNED")))),"UNASSIGNED"))</f>
        <v>9. Long-Tail Automated Nurture</v>
      </c>
      <c r="U210" s="10" t="b">
        <f aca="false">AND(T210="1. Migration Candidate",J210="Core",O210&gt;=Assumptions!$B$39,Q210&gt;=Assumptions!$B$40,NOT(Z210))</f>
        <v>0</v>
      </c>
      <c r="V210" s="2" t="n">
        <f aca="false">(AND(H210="Broker-Reliant",J210&lt;&gt;"Tail",OR(N210="Growing",N210="Stable")))*1+(AND(H210="Broker-Reliant",J210&lt;&gt;"Tail",N210="Declining"))*1+(AND(H210="Broker-Reliant",J210&lt;&gt;"Tail",N210="Lapsed"))*1+(AND(H210="Broker-Reliant",J210&lt;&gt;"Tail",N210="H2 Active / No H1 GMV"))*1+(AND(H210="Broker-Reliant",J210="Tail"))*1+(AND(G210="Low",J210&lt;&gt;"Tail",OR(N210="Growing",N210="Stable")))*1+(AND(G210="Low",J210&lt;&gt;"Tail",N210="H2 Active / No H1 GMV"))*1+(AND(G210="Low",J210&lt;&gt;"Tail",OR(N210="Declining",N210="Lapsed")))*1+(AND(G210="Low",J210="Tail"))*1</f>
        <v>1</v>
      </c>
      <c r="W210" s="2" t="n">
        <f aca="false">INDEX('Commercial View'!$V$2:$V$301,MATCH($A210,'Commercial View'!$A$2:$A$301,0))</f>
        <v>1</v>
      </c>
      <c r="X210" s="10" t="b">
        <f aca="false">O210&lt;=Assumptions!$B$30</f>
        <v>1</v>
      </c>
      <c r="Y210" s="10" t="b">
        <f aca="false">W210&lt;=1</f>
        <v>1</v>
      </c>
      <c r="Z210" s="10" t="b">
        <f aca="false">C210="Duplicate"</f>
        <v>0</v>
      </c>
      <c r="AA210" s="10" t="b">
        <f aca="false">C210=""</f>
        <v>0</v>
      </c>
      <c r="AB210" s="2" t="n">
        <f aca="false">IF(P210+Q210&gt;0,ROUND(P210/(P210+Q210)*100,0),"")</f>
        <v>0</v>
      </c>
      <c r="AC210" s="2" t="n">
        <f aca="false">IF(P210+Q210&gt;0,ROUND(E210-P210/(P210+Q210)*100,0),"")</f>
        <v>9</v>
      </c>
      <c r="AD210" s="10" t="b">
        <f aca="false">IF(AC210="",FALSE(),ABS(AC210)&gt;Assumptions!$B$41)</f>
        <v>0</v>
      </c>
      <c r="AE210" s="2" t="str">
        <f aca="false">IF(X210,"Low confidence (&lt;=2 orders); ","")&amp;IF(Y210,"Single-month history; ","")&amp;IF(Z210,"CRITICAL: Duplicate status; ","")&amp;IF(AA210,"Missing status; ","")&amp;IF(AD210,"Broker % vs counts gap "&amp;TEXT(AC210,"+0;-0")&amp;"pts; ","")</f>
        <v>Low confidence (&lt;=2 orders); Single-month history; </v>
      </c>
      <c r="AF210" s="2" t="str">
        <f aca="false">IF(AND(K210=0,L210&gt;0),IF(D210&lt;=Assumptions!$B$47,"New Customer","Returned Customer"),"Existing Customer")</f>
        <v>Returned Customer</v>
      </c>
      <c r="AG210" s="10" t="b">
        <f aca="false">AND(T210="1. Migration Candidate",J210="Key")</f>
        <v>0</v>
      </c>
      <c r="AH210" s="10" t="b">
        <f aca="false">IF(AND(K210&gt;0,L210&gt;0),OR(ABS(M210-Assumptions!$B$36)&lt;=Assumptions!$B$46,ABS(M210+Assumptions!$B$36)&lt;=Assumptions!$B$46),FALSE())</f>
        <v>0</v>
      </c>
      <c r="AI210" s="9" t="n">
        <f aca="false">INDEX('Commercial View'!$L$2:$L$301,MATCH($A210,'Commercial View'!$A$2:$A$301,0))+INDEX('Commercial View'!$M$2:$M$301,MATCH($A210,'Commercial View'!$A$2:$A$301,0))</f>
        <v>49</v>
      </c>
      <c r="AJ210" s="2" t="str">
        <f aca="false">IF(AND(K210=0,AI210=0),"No activity ex-Feb",IF(AI210=0,"Lapsed",IF(K210=0,"H2 Active / No H1 GMV",IF((AI210/2)/(K210/3)-1&gt;=Assumptions!$B$36,"Growing",IF((AI210/2)/(K210/3)-1&lt;-Assumptions!$B$36,"Declining","Stable")))))</f>
        <v>H2 Active / No H1 GMV</v>
      </c>
      <c r="AK210" s="10" t="b">
        <f aca="false">IF(OR(N210="Growing",N210="Stable"),"Healthy",N210)&lt;&gt;IF(OR(AJ210="Growing",AJ210="Stable"),"Healthy",AJ210)</f>
        <v>0</v>
      </c>
      <c r="AL210" s="2" t="str">
        <f aca="false">IF(N210="Lapsed",IF(OR(O210&lt;=Assumptions!$B$48,W210&lt;=Assumptions!$B$49),"One-Off / Insufficient History — Verify","Established Buyer Lapsed"),"N/A")</f>
        <v>N/A</v>
      </c>
      <c r="AM210" s="2" t="n">
        <f aca="false">INDEX('Scored Accounts'!$M$2:$M$301,MATCH($A210,'Scored Accounts'!$A$2:$A$301,0))</f>
        <v>0</v>
      </c>
      <c r="AN210" s="2" t="n">
        <f aca="false">IF((P210/(P210+Q210)*100)&lt;=Assumptions!$B$13,0,IF((P210/(P210+Q210)*100)&lt;Assumptions!$B$14,25,IF((P210/(P210+Q210)*100)&lt;Assumptions!$B$15,50,IF((P210/(P210+Q210)*100)&lt;Assumptions!$B$16,75,100))))</f>
        <v>0</v>
      </c>
      <c r="AO210" s="21" t="n">
        <f aca="false">IF((P210/(P210+Q210)*100)&lt;=Assumptions!$B$8,0,AN210*Assumptions!$B$4+INDEX('Scored Accounts'!$N$2:$N$301,MATCH($A210,'Scored Accounts'!$A$2:$A$301,0))*Assumptions!$B$5+INDEX('Scored Accounts'!$O$2:$O$301,MATCH($A210,'Scored Accounts'!$A$2:$A$301,0))*Assumptions!$B$6)</f>
        <v>0</v>
      </c>
      <c r="AP210" s="2" t="str">
        <f aca="false">IF(AO210&gt;=Assumptions!$B$9,"High",IF(AO210&gt;=Assumptions!$B$10,"Medium","Low"))</f>
        <v>Low</v>
      </c>
      <c r="AQ210" s="10" t="b">
        <f aca="false">OR((E210&lt;=Assumptions!$B$8)&lt;&gt;((P210/(P210+Q210)*100)&lt;=Assumptions!$B$8),AM210&lt;&gt;AN210,G210&lt;&gt;AP210)</f>
        <v>0</v>
      </c>
      <c r="AR210" s="2" t="str">
        <f aca="false">IF(AP210&lt;&gt;"Low","Broker-Reliant",IF(B210="Account Managed","AM-Owned / Self-Serving","Self-Serve"))</f>
        <v>AM-Owned / Self-Serving</v>
      </c>
      <c r="AS210" s="2" t="str">
        <f aca="false">IF(AR210="Broker-Reliant",IF(J210="Tail","5. Cost-to-Serve / Low-Touch",IF(OR(N210="Growing",N210="Stable"),"1. Migration Candidate",IF(N210="Declining","2. Protect / Retain First",IF(N210="Lapsed","3. Win-Back / Verify",IF(N210="H2 Active / No H1 GMV","4. Establish / Re-establish / Observe","UNASSIGNED"))))),IF(AP210="Low",IF(J210="Tail","9. Long-Tail Automated Nurture",IF(OR(N210="Growing",N210="Stable"),"6. Growth Opportunity",IF(N210="H2 Active / No H1 GMV","7. Onboard / Re-engage / Learn",IF(OR(N210="Declining",N210="Lapsed"),"8. Retention / Reactivation","UNASSIGNED")))),"UNASSIGNED"))</f>
        <v>9. Long-Tail Automated Nurture</v>
      </c>
      <c r="AT210" s="10" t="b">
        <f aca="false">AS210&lt;&gt;T210</f>
        <v>0</v>
      </c>
      <c r="AU210" s="2" t="str">
        <f aca="false">IF(NOT(U210),"Not Eligible",IF(OR(AQ210,AH210,AK210,NOT(AND(W210&gt;=Assumptions!$B$83,O210&gt;=Assumptions!$B$84))),"Manual Review","Ready"))</f>
        <v>Not Eligible</v>
      </c>
      <c r="AV210" s="2" t="str">
        <f aca="false">IF(AG210,"Key account - human sign-off required; ","")&amp;IF(AH210,"Borderline momentum; ","")&amp;IF(AK210,"February-sensitive ("&amp;N210&amp;" -&gt; "&amp;AJ210&amp;"); ","")&amp;IF(AL210="One-Off / Insufficient History — Verify","Lapsed on thin history - verify; ","")&amp;IF(AQ210,"Material broker % inconsistency (implied tier "&amp;AP210&amp;"); ","")&amp;IF(AT210,"Implied broker % would move segment to "&amp;AS210&amp;"; ","")</f>
        <v/>
      </c>
      <c r="AW210" s="10" t="b">
        <f aca="false">AND(G210="Low",J210="Tail",I210&gt;=Assumptions!$B$64,O210&gt;=Assumptions!$B$65,OR(N210="Growing",N210="Stable",AND(N210="H2 Active / No H1 GMV",W210&gt;=2)),OR(R210&gt;=Assumptions!$B$66,S210&gt;=Assumptions!$B$67))</f>
        <v>0</v>
      </c>
    </row>
    <row r="211" customFormat="false" ht="15" hidden="false" customHeight="false" outlineLevel="0" collapsed="false">
      <c r="A211" s="2" t="s">
        <v>1018</v>
      </c>
      <c r="B211" s="2" t="s">
        <v>1571</v>
      </c>
      <c r="C211" s="2" t="s">
        <v>1572</v>
      </c>
      <c r="D211" s="2" t="n">
        <v>7</v>
      </c>
      <c r="E211" s="2" t="n">
        <v>1</v>
      </c>
      <c r="F211" s="21" t="n">
        <f aca="false">INDEX('Scored Accounts'!$Q$2:$Q$301,MATCH($A211,'Scored Accounts'!$A$2:$A$301,0))</f>
        <v>0</v>
      </c>
      <c r="G211" s="2" t="str">
        <f aca="false">INDEX('Scored Accounts'!$R$2:$R$301,MATCH($A211,'Scored Accounts'!$A$2:$A$301,0))</f>
        <v>Low</v>
      </c>
      <c r="H211" s="2" t="str">
        <f aca="false">IF(OR(G211="High",G211="Medium"),"Broker-Reliant",IF(AND(G211="Low",B211="Account Managed"),"AM-Owned / Self-Serving",IF(AND(G211="Low",B211="Self Serve"),"Self-Serve","UNASSIGNED")))</f>
        <v>AM-Owned / Self-Serving</v>
      </c>
      <c r="I211" s="9" t="n">
        <v>7</v>
      </c>
      <c r="J211" s="2" t="str">
        <f aca="false">IF(I211&gt;=Assumptions!$B$35,"Key",IF(I211&gt;=Assumptions!$B$34,"Core","Tail"))</f>
        <v>Tail</v>
      </c>
      <c r="K211" s="9" t="n">
        <f aca="false">INDEX('Commercial View'!$R$2:$R$301,MATCH($A211,'Commercial View'!$A$2:$A$301,0))</f>
        <v>7</v>
      </c>
      <c r="L211" s="9" t="n">
        <f aca="false">INDEX('Commercial View'!$S$2:$S$301,MATCH($A211,'Commercial View'!$A$2:$A$301,0))</f>
        <v>0</v>
      </c>
      <c r="M211" s="17" t="n">
        <f aca="false">INDEX('Commercial View'!$T$2:$T$301,MATCH($A211,'Commercial View'!$A$2:$A$301,0))</f>
        <v>-1</v>
      </c>
      <c r="N211" s="2" t="str">
        <f aca="false">INDEX('Commercial View'!$U$2:$U$301,MATCH($A211,'Commercial View'!$A$2:$A$301,0))</f>
        <v>Lapsed</v>
      </c>
      <c r="O211" s="2" t="n">
        <v>1</v>
      </c>
      <c r="P211" s="2" t="n">
        <v>0</v>
      </c>
      <c r="Q211" s="2" t="n">
        <v>1</v>
      </c>
      <c r="R211" s="2" t="n">
        <v>2</v>
      </c>
      <c r="S211" s="2" t="n">
        <v>0</v>
      </c>
      <c r="T211" s="2" t="str">
        <f aca="false">IF(H211="Broker-Reliant",IF(J211="Tail","5. Cost-to-Serve / Low-Touch",IF(OR(N211="Growing",N211="Stable"),"1. Migration Candidate",IF(N211="Declining","2. Protect / Retain First",IF(N211="Lapsed","3. Win-Back / Verify",IF(N211="H2 Active / No H1 GMV","4. Establish / Re-establish / Observe","UNASSIGNED"))))),IF(G211="Low",IF(J211="Tail","9. Long-Tail Automated Nurture",IF(OR(N211="Growing",N211="Stable"),"6. Growth Opportunity",IF(N211="H2 Active / No H1 GMV","7. Onboard / Re-engage / Learn",IF(OR(N211="Declining",N211="Lapsed"),"8. Retention / Reactivation","UNASSIGNED")))),"UNASSIGNED"))</f>
        <v>9. Long-Tail Automated Nurture</v>
      </c>
      <c r="U211" s="10" t="b">
        <f aca="false">AND(T211="1. Migration Candidate",J211="Core",O211&gt;=Assumptions!$B$39,Q211&gt;=Assumptions!$B$40,NOT(Z211))</f>
        <v>0</v>
      </c>
      <c r="V211" s="2" t="n">
        <f aca="false">(AND(H211="Broker-Reliant",J211&lt;&gt;"Tail",OR(N211="Growing",N211="Stable")))*1+(AND(H211="Broker-Reliant",J211&lt;&gt;"Tail",N211="Declining"))*1+(AND(H211="Broker-Reliant",J211&lt;&gt;"Tail",N211="Lapsed"))*1+(AND(H211="Broker-Reliant",J211&lt;&gt;"Tail",N211="H2 Active / No H1 GMV"))*1+(AND(H211="Broker-Reliant",J211="Tail"))*1+(AND(G211="Low",J211&lt;&gt;"Tail",OR(N211="Growing",N211="Stable")))*1+(AND(G211="Low",J211&lt;&gt;"Tail",N211="H2 Active / No H1 GMV"))*1+(AND(G211="Low",J211&lt;&gt;"Tail",OR(N211="Declining",N211="Lapsed")))*1+(AND(G211="Low",J211="Tail"))*1</f>
        <v>1</v>
      </c>
      <c r="W211" s="2" t="n">
        <f aca="false">INDEX('Commercial View'!$V$2:$V$301,MATCH($A211,'Commercial View'!$A$2:$A$301,0))</f>
        <v>1</v>
      </c>
      <c r="X211" s="10" t="b">
        <f aca="false">O211&lt;=Assumptions!$B$30</f>
        <v>1</v>
      </c>
      <c r="Y211" s="10" t="b">
        <f aca="false">W211&lt;=1</f>
        <v>1</v>
      </c>
      <c r="Z211" s="10" t="b">
        <f aca="false">C211="Duplicate"</f>
        <v>0</v>
      </c>
      <c r="AA211" s="10" t="b">
        <f aca="false">C211=""</f>
        <v>0</v>
      </c>
      <c r="AB211" s="2" t="n">
        <f aca="false">IF(P211+Q211&gt;0,ROUND(P211/(P211+Q211)*100,0),"")</f>
        <v>0</v>
      </c>
      <c r="AC211" s="2" t="n">
        <f aca="false">IF(P211+Q211&gt;0,ROUND(E211-P211/(P211+Q211)*100,0),"")</f>
        <v>1</v>
      </c>
      <c r="AD211" s="10" t="b">
        <f aca="false">IF(AC211="",FALSE(),ABS(AC211)&gt;Assumptions!$B$41)</f>
        <v>0</v>
      </c>
      <c r="AE211" s="2" t="str">
        <f aca="false">IF(X211,"Low confidence (&lt;=2 orders); ","")&amp;IF(Y211,"Single-month history; ","")&amp;IF(Z211,"CRITICAL: Duplicate status; ","")&amp;IF(AA211,"Missing status; ","")&amp;IF(AD211,"Broker % vs counts gap "&amp;TEXT(AC211,"+0;-0")&amp;"pts; ","")</f>
        <v>Low confidence (&lt;=2 orders); Single-month history; </v>
      </c>
      <c r="AF211" s="2" t="str">
        <f aca="false">IF(AND(K211=0,L211&gt;0),IF(D211&lt;=Assumptions!$B$47,"New Customer","Returned Customer"),"Existing Customer")</f>
        <v>Existing Customer</v>
      </c>
      <c r="AG211" s="10" t="b">
        <f aca="false">AND(T211="1. Migration Candidate",J211="Key")</f>
        <v>0</v>
      </c>
      <c r="AH211" s="10" t="b">
        <f aca="false">IF(AND(K211&gt;0,L211&gt;0),OR(ABS(M211-Assumptions!$B$36)&lt;=Assumptions!$B$46,ABS(M211+Assumptions!$B$36)&lt;=Assumptions!$B$46),FALSE())</f>
        <v>0</v>
      </c>
      <c r="AI211" s="9" t="n">
        <f aca="false">INDEX('Commercial View'!$L$2:$L$301,MATCH($A211,'Commercial View'!$A$2:$A$301,0))+INDEX('Commercial View'!$M$2:$M$301,MATCH($A211,'Commercial View'!$A$2:$A$301,0))</f>
        <v>0</v>
      </c>
      <c r="AJ211" s="2" t="str">
        <f aca="false">IF(AND(K211=0,AI211=0),"No activity ex-Feb",IF(AI211=0,"Lapsed",IF(K211=0,"H2 Active / No H1 GMV",IF((AI211/2)/(K211/3)-1&gt;=Assumptions!$B$36,"Growing",IF((AI211/2)/(K211/3)-1&lt;-Assumptions!$B$36,"Declining","Stable")))))</f>
        <v>Lapsed</v>
      </c>
      <c r="AK211" s="10" t="b">
        <f aca="false">IF(OR(N211="Growing",N211="Stable"),"Healthy",N211)&lt;&gt;IF(OR(AJ211="Growing",AJ211="Stable"),"Healthy",AJ211)</f>
        <v>0</v>
      </c>
      <c r="AL211" s="2" t="str">
        <f aca="false">IF(N211="Lapsed",IF(OR(O211&lt;=Assumptions!$B$48,W211&lt;=Assumptions!$B$49),"One-Off / Insufficient History — Verify","Established Buyer Lapsed"),"N/A")</f>
        <v>One-Off / Insufficient History — Verify</v>
      </c>
      <c r="AM211" s="2" t="n">
        <f aca="false">INDEX('Scored Accounts'!$M$2:$M$301,MATCH($A211,'Scored Accounts'!$A$2:$A$301,0))</f>
        <v>0</v>
      </c>
      <c r="AN211" s="2" t="n">
        <f aca="false">IF((P211/(P211+Q211)*100)&lt;=Assumptions!$B$13,0,IF((P211/(P211+Q211)*100)&lt;Assumptions!$B$14,25,IF((P211/(P211+Q211)*100)&lt;Assumptions!$B$15,50,IF((P211/(P211+Q211)*100)&lt;Assumptions!$B$16,75,100))))</f>
        <v>0</v>
      </c>
      <c r="AO211" s="21" t="n">
        <f aca="false">IF((P211/(P211+Q211)*100)&lt;=Assumptions!$B$8,0,AN211*Assumptions!$B$4+INDEX('Scored Accounts'!$N$2:$N$301,MATCH($A211,'Scored Accounts'!$A$2:$A$301,0))*Assumptions!$B$5+INDEX('Scored Accounts'!$O$2:$O$301,MATCH($A211,'Scored Accounts'!$A$2:$A$301,0))*Assumptions!$B$6)</f>
        <v>0</v>
      </c>
      <c r="AP211" s="2" t="str">
        <f aca="false">IF(AO211&gt;=Assumptions!$B$9,"High",IF(AO211&gt;=Assumptions!$B$10,"Medium","Low"))</f>
        <v>Low</v>
      </c>
      <c r="AQ211" s="10" t="b">
        <f aca="false">OR((E211&lt;=Assumptions!$B$8)&lt;&gt;((P211/(P211+Q211)*100)&lt;=Assumptions!$B$8),AM211&lt;&gt;AN211,G211&lt;&gt;AP211)</f>
        <v>0</v>
      </c>
      <c r="AR211" s="2" t="str">
        <f aca="false">IF(AP211&lt;&gt;"Low","Broker-Reliant",IF(B211="Account Managed","AM-Owned / Self-Serving","Self-Serve"))</f>
        <v>AM-Owned / Self-Serving</v>
      </c>
      <c r="AS211" s="2" t="str">
        <f aca="false">IF(AR211="Broker-Reliant",IF(J211="Tail","5. Cost-to-Serve / Low-Touch",IF(OR(N211="Growing",N211="Stable"),"1. Migration Candidate",IF(N211="Declining","2. Protect / Retain First",IF(N211="Lapsed","3. Win-Back / Verify",IF(N211="H2 Active / No H1 GMV","4. Establish / Re-establish / Observe","UNASSIGNED"))))),IF(AP211="Low",IF(J211="Tail","9. Long-Tail Automated Nurture",IF(OR(N211="Growing",N211="Stable"),"6. Growth Opportunity",IF(N211="H2 Active / No H1 GMV","7. Onboard / Re-engage / Learn",IF(OR(N211="Declining",N211="Lapsed"),"8. Retention / Reactivation","UNASSIGNED")))),"UNASSIGNED"))</f>
        <v>9. Long-Tail Automated Nurture</v>
      </c>
      <c r="AT211" s="10" t="b">
        <f aca="false">AS211&lt;&gt;T211</f>
        <v>0</v>
      </c>
      <c r="AU211" s="2" t="str">
        <f aca="false">IF(NOT(U211),"Not Eligible",IF(OR(AQ211,AH211,AK211,NOT(AND(W211&gt;=Assumptions!$B$83,O211&gt;=Assumptions!$B$84))),"Manual Review","Ready"))</f>
        <v>Not Eligible</v>
      </c>
      <c r="AV211" s="2" t="str">
        <f aca="false">IF(AG211,"Key account - human sign-off required; ","")&amp;IF(AH211,"Borderline momentum; ","")&amp;IF(AK211,"February-sensitive ("&amp;N211&amp;" -&gt; "&amp;AJ211&amp;"); ","")&amp;IF(AL211="One-Off / Insufficient History — Verify","Lapsed on thin history - verify; ","")&amp;IF(AQ211,"Material broker % inconsistency (implied tier "&amp;AP211&amp;"); ","")&amp;IF(AT211,"Implied broker % would move segment to "&amp;AS211&amp;"; ","")</f>
        <v>Lapsed on thin history - verify; </v>
      </c>
      <c r="AW211" s="10" t="b">
        <f aca="false">AND(G211="Low",J211="Tail",I211&gt;=Assumptions!$B$64,O211&gt;=Assumptions!$B$65,OR(N211="Growing",N211="Stable",AND(N211="H2 Active / No H1 GMV",W211&gt;=2)),OR(R211&gt;=Assumptions!$B$66,S211&gt;=Assumptions!$B$67))</f>
        <v>0</v>
      </c>
    </row>
    <row r="212" customFormat="false" ht="15" hidden="false" customHeight="false" outlineLevel="0" collapsed="false">
      <c r="A212" s="2" t="s">
        <v>178</v>
      </c>
      <c r="B212" s="2" t="s">
        <v>1574</v>
      </c>
      <c r="C212" s="2"/>
      <c r="D212" s="2" t="n">
        <v>5</v>
      </c>
      <c r="E212" s="2" t="n">
        <v>0</v>
      </c>
      <c r="F212" s="21" t="n">
        <f aca="false">INDEX('Scored Accounts'!$Q$2:$Q$301,MATCH($A212,'Scored Accounts'!$A$2:$A$301,0))</f>
        <v>0</v>
      </c>
      <c r="G212" s="2" t="str">
        <f aca="false">INDEX('Scored Accounts'!$R$2:$R$301,MATCH($A212,'Scored Accounts'!$A$2:$A$301,0))</f>
        <v>Low</v>
      </c>
      <c r="H212" s="2" t="str">
        <f aca="false">IF(OR(G212="High",G212="Medium"),"Broker-Reliant",IF(AND(G212="Low",B212="Account Managed"),"AM-Owned / Self-Serving",IF(AND(G212="Low",B212="Self Serve"),"Self-Serve","UNASSIGNED")))</f>
        <v>Self-Serve</v>
      </c>
      <c r="I212" s="9" t="n">
        <v>13412</v>
      </c>
      <c r="J212" s="2" t="str">
        <f aca="false">IF(I212&gt;=Assumptions!$B$35,"Key",IF(I212&gt;=Assumptions!$B$34,"Core","Tail"))</f>
        <v>Key</v>
      </c>
      <c r="K212" s="9" t="n">
        <f aca="false">INDEX('Commercial View'!$R$2:$R$301,MATCH($A212,'Commercial View'!$A$2:$A$301,0))</f>
        <v>9034</v>
      </c>
      <c r="L212" s="9" t="n">
        <f aca="false">INDEX('Commercial View'!$S$2:$S$301,MATCH($A212,'Commercial View'!$A$2:$A$301,0))</f>
        <v>4378</v>
      </c>
      <c r="M212" s="17" t="n">
        <f aca="false">INDEX('Commercial View'!$T$2:$T$301,MATCH($A212,'Commercial View'!$A$2:$A$301,0))</f>
        <v>-0.515386318352889</v>
      </c>
      <c r="N212" s="2" t="str">
        <f aca="false">INDEX('Commercial View'!$U$2:$U$301,MATCH($A212,'Commercial View'!$A$2:$A$301,0))</f>
        <v>Declining</v>
      </c>
      <c r="O212" s="2" t="n">
        <v>15</v>
      </c>
      <c r="P212" s="2" t="n">
        <v>0</v>
      </c>
      <c r="Q212" s="2" t="n">
        <v>15</v>
      </c>
      <c r="R212" s="2" t="n">
        <v>100</v>
      </c>
      <c r="S212" s="2" t="n">
        <v>71</v>
      </c>
      <c r="T212" s="2" t="str">
        <f aca="false">IF(H212="Broker-Reliant",IF(J212="Tail","5. Cost-to-Serve / Low-Touch",IF(OR(N212="Growing",N212="Stable"),"1. Migration Candidate",IF(N212="Declining","2. Protect / Retain First",IF(N212="Lapsed","3. Win-Back / Verify",IF(N212="H2 Active / No H1 GMV","4. Establish / Re-establish / Observe","UNASSIGNED"))))),IF(G212="Low",IF(J212="Tail","9. Long-Tail Automated Nurture",IF(OR(N212="Growing",N212="Stable"),"6. Growth Opportunity",IF(N212="H2 Active / No H1 GMV","7. Onboard / Re-engage / Learn",IF(OR(N212="Declining",N212="Lapsed"),"8. Retention / Reactivation","UNASSIGNED")))),"UNASSIGNED"))</f>
        <v>8. Retention / Reactivation</v>
      </c>
      <c r="U212" s="10" t="b">
        <f aca="false">AND(T212="1. Migration Candidate",J212="Core",O212&gt;=Assumptions!$B$39,Q212&gt;=Assumptions!$B$40,NOT(Z212))</f>
        <v>0</v>
      </c>
      <c r="V212" s="2" t="n">
        <f aca="false">(AND(H212="Broker-Reliant",J212&lt;&gt;"Tail",OR(N212="Growing",N212="Stable")))*1+(AND(H212="Broker-Reliant",J212&lt;&gt;"Tail",N212="Declining"))*1+(AND(H212="Broker-Reliant",J212&lt;&gt;"Tail",N212="Lapsed"))*1+(AND(H212="Broker-Reliant",J212&lt;&gt;"Tail",N212="H2 Active / No H1 GMV"))*1+(AND(H212="Broker-Reliant",J212="Tail"))*1+(AND(G212="Low",J212&lt;&gt;"Tail",OR(N212="Growing",N212="Stable")))*1+(AND(G212="Low",J212&lt;&gt;"Tail",N212="H2 Active / No H1 GMV"))*1+(AND(G212="Low",J212&lt;&gt;"Tail",OR(N212="Declining",N212="Lapsed")))*1+(AND(G212="Low",J212="Tail"))*1</f>
        <v>1</v>
      </c>
      <c r="W212" s="2" t="n">
        <f aca="false">INDEX('Commercial View'!$V$2:$V$301,MATCH($A212,'Commercial View'!$A$2:$A$301,0))</f>
        <v>3</v>
      </c>
      <c r="X212" s="10" t="b">
        <f aca="false">O212&lt;=Assumptions!$B$30</f>
        <v>0</v>
      </c>
      <c r="Y212" s="10" t="b">
        <f aca="false">W212&lt;=1</f>
        <v>0</v>
      </c>
      <c r="Z212" s="10" t="b">
        <f aca="false">C212="Duplicate"</f>
        <v>0</v>
      </c>
      <c r="AA212" s="10" t="b">
        <f aca="false">C212=""</f>
        <v>1</v>
      </c>
      <c r="AB212" s="2" t="n">
        <f aca="false">IF(P212+Q212&gt;0,ROUND(P212/(P212+Q212)*100,0),"")</f>
        <v>0</v>
      </c>
      <c r="AC212" s="2" t="n">
        <f aca="false">IF(P212+Q212&gt;0,ROUND(E212-P212/(P212+Q212)*100,0),"")</f>
        <v>0</v>
      </c>
      <c r="AD212" s="10" t="b">
        <f aca="false">IF(AC212="",FALSE(),ABS(AC212)&gt;Assumptions!$B$41)</f>
        <v>0</v>
      </c>
      <c r="AE212" s="2" t="str">
        <f aca="false">IF(X212,"Low confidence (&lt;=2 orders); ","")&amp;IF(Y212,"Single-month history; ","")&amp;IF(Z212,"CRITICAL: Duplicate status; ","")&amp;IF(AA212,"Missing status; ","")&amp;IF(AD212,"Broker % vs counts gap "&amp;TEXT(AC212,"+0;-0")&amp;"pts; ","")</f>
        <v>Missing status; </v>
      </c>
      <c r="AF212" s="2" t="str">
        <f aca="false">IF(AND(K212=0,L212&gt;0),IF(D212&lt;=Assumptions!$B$47,"New Customer","Returned Customer"),"Existing Customer")</f>
        <v>Existing Customer</v>
      </c>
      <c r="AG212" s="10" t="b">
        <f aca="false">AND(T212="1. Migration Candidate",J212="Key")</f>
        <v>0</v>
      </c>
      <c r="AH212" s="10" t="b">
        <f aca="false">IF(AND(K212&gt;0,L212&gt;0),OR(ABS(M212-Assumptions!$B$36)&lt;=Assumptions!$B$46,ABS(M212+Assumptions!$B$36)&lt;=Assumptions!$B$46),FALSE())</f>
        <v>0</v>
      </c>
      <c r="AI212" s="9" t="n">
        <f aca="false">INDEX('Commercial View'!$L$2:$L$301,MATCH($A212,'Commercial View'!$A$2:$A$301,0))+INDEX('Commercial View'!$M$2:$M$301,MATCH($A212,'Commercial View'!$A$2:$A$301,0))</f>
        <v>4378</v>
      </c>
      <c r="AJ212" s="2" t="str">
        <f aca="false">IF(AND(K212=0,AI212=0),"No activity ex-Feb",IF(AI212=0,"Lapsed",IF(K212=0,"H2 Active / No H1 GMV",IF((AI212/2)/(K212/3)-1&gt;=Assumptions!$B$36,"Growing",IF((AI212/2)/(K212/3)-1&lt;-Assumptions!$B$36,"Declining","Stable")))))</f>
        <v>Declining</v>
      </c>
      <c r="AK212" s="10" t="b">
        <f aca="false">IF(OR(N212="Growing",N212="Stable"),"Healthy",N212)&lt;&gt;IF(OR(AJ212="Growing",AJ212="Stable"),"Healthy",AJ212)</f>
        <v>0</v>
      </c>
      <c r="AL212" s="2" t="str">
        <f aca="false">IF(N212="Lapsed",IF(OR(O212&lt;=Assumptions!$B$48,W212&lt;=Assumptions!$B$49),"One-Off / Insufficient History — Verify","Established Buyer Lapsed"),"N/A")</f>
        <v>N/A</v>
      </c>
      <c r="AM212" s="2" t="n">
        <f aca="false">INDEX('Scored Accounts'!$M$2:$M$301,MATCH($A212,'Scored Accounts'!$A$2:$A$301,0))</f>
        <v>0</v>
      </c>
      <c r="AN212" s="2" t="n">
        <f aca="false">IF((P212/(P212+Q212)*100)&lt;=Assumptions!$B$13,0,IF((P212/(P212+Q212)*100)&lt;Assumptions!$B$14,25,IF((P212/(P212+Q212)*100)&lt;Assumptions!$B$15,50,IF((P212/(P212+Q212)*100)&lt;Assumptions!$B$16,75,100))))</f>
        <v>0</v>
      </c>
      <c r="AO212" s="21" t="n">
        <f aca="false">IF((P212/(P212+Q212)*100)&lt;=Assumptions!$B$8,0,AN212*Assumptions!$B$4+INDEX('Scored Accounts'!$N$2:$N$301,MATCH($A212,'Scored Accounts'!$A$2:$A$301,0))*Assumptions!$B$5+INDEX('Scored Accounts'!$O$2:$O$301,MATCH($A212,'Scored Accounts'!$A$2:$A$301,0))*Assumptions!$B$6)</f>
        <v>0</v>
      </c>
      <c r="AP212" s="2" t="str">
        <f aca="false">IF(AO212&gt;=Assumptions!$B$9,"High",IF(AO212&gt;=Assumptions!$B$10,"Medium","Low"))</f>
        <v>Low</v>
      </c>
      <c r="AQ212" s="10" t="b">
        <f aca="false">OR((E212&lt;=Assumptions!$B$8)&lt;&gt;((P212/(P212+Q212)*100)&lt;=Assumptions!$B$8),AM212&lt;&gt;AN212,G212&lt;&gt;AP212)</f>
        <v>0</v>
      </c>
      <c r="AR212" s="2" t="str">
        <f aca="false">IF(AP212&lt;&gt;"Low","Broker-Reliant",IF(B212="Account Managed","AM-Owned / Self-Serving","Self-Serve"))</f>
        <v>Self-Serve</v>
      </c>
      <c r="AS212" s="2" t="str">
        <f aca="false">IF(AR212="Broker-Reliant",IF(J212="Tail","5. Cost-to-Serve / Low-Touch",IF(OR(N212="Growing",N212="Stable"),"1. Migration Candidate",IF(N212="Declining","2. Protect / Retain First",IF(N212="Lapsed","3. Win-Back / Verify",IF(N212="H2 Active / No H1 GMV","4. Establish / Re-establish / Observe","UNASSIGNED"))))),IF(AP212="Low",IF(J212="Tail","9. Long-Tail Automated Nurture",IF(OR(N212="Growing",N212="Stable"),"6. Growth Opportunity",IF(N212="H2 Active / No H1 GMV","7. Onboard / Re-engage / Learn",IF(OR(N212="Declining",N212="Lapsed"),"8. Retention / Reactivation","UNASSIGNED")))),"UNASSIGNED"))</f>
        <v>8. Retention / Reactivation</v>
      </c>
      <c r="AT212" s="10" t="b">
        <f aca="false">AS212&lt;&gt;T212</f>
        <v>0</v>
      </c>
      <c r="AU212" s="2" t="str">
        <f aca="false">IF(NOT(U212),"Not Eligible",IF(OR(AQ212,AH212,AK212,NOT(AND(W212&gt;=Assumptions!$B$83,O212&gt;=Assumptions!$B$84))),"Manual Review","Ready"))</f>
        <v>Not Eligible</v>
      </c>
      <c r="AV212" s="2" t="str">
        <f aca="false">IF(AG212,"Key account - human sign-off required; ","")&amp;IF(AH212,"Borderline momentum; ","")&amp;IF(AK212,"February-sensitive ("&amp;N212&amp;" -&gt; "&amp;AJ212&amp;"); ","")&amp;IF(AL212="One-Off / Insufficient History — Verify","Lapsed on thin history - verify; ","")&amp;IF(AQ212,"Material broker % inconsistency (implied tier "&amp;AP212&amp;"); ","")&amp;IF(AT212,"Implied broker % would move segment to "&amp;AS212&amp;"; ","")</f>
        <v/>
      </c>
      <c r="AW212" s="10" t="b">
        <f aca="false">AND(G212="Low",J212="Tail",I212&gt;=Assumptions!$B$64,O212&gt;=Assumptions!$B$65,OR(N212="Growing",N212="Stable",AND(N212="H2 Active / No H1 GMV",W212&gt;=2)),OR(R212&gt;=Assumptions!$B$66,S212&gt;=Assumptions!$B$67))</f>
        <v>0</v>
      </c>
    </row>
    <row r="213" customFormat="false" ht="15" hidden="false" customHeight="false" outlineLevel="0" collapsed="false">
      <c r="A213" s="2" t="s">
        <v>365</v>
      </c>
      <c r="B213" s="2" t="s">
        <v>1574</v>
      </c>
      <c r="C213" s="2"/>
      <c r="D213" s="2" t="n">
        <v>5</v>
      </c>
      <c r="E213" s="2" t="n">
        <v>0</v>
      </c>
      <c r="F213" s="21" t="n">
        <f aca="false">INDEX('Scored Accounts'!$Q$2:$Q$301,MATCH($A213,'Scored Accounts'!$A$2:$A$301,0))</f>
        <v>0</v>
      </c>
      <c r="G213" s="2" t="str">
        <f aca="false">INDEX('Scored Accounts'!$R$2:$R$301,MATCH($A213,'Scored Accounts'!$A$2:$A$301,0))</f>
        <v>Low</v>
      </c>
      <c r="H213" s="2" t="str">
        <f aca="false">IF(OR(G213="High",G213="Medium"),"Broker-Reliant",IF(AND(G213="Low",B213="Account Managed"),"AM-Owned / Self-Serving",IF(AND(G213="Low",B213="Self Serve"),"Self-Serve","UNASSIGNED")))</f>
        <v>Self-Serve</v>
      </c>
      <c r="I213" s="9" t="n">
        <v>8581</v>
      </c>
      <c r="J213" s="2" t="str">
        <f aca="false">IF(I213&gt;=Assumptions!$B$35,"Key",IF(I213&gt;=Assumptions!$B$34,"Core","Tail"))</f>
        <v>Core</v>
      </c>
      <c r="K213" s="9" t="n">
        <f aca="false">INDEX('Commercial View'!$R$2:$R$301,MATCH($A213,'Commercial View'!$A$2:$A$301,0))</f>
        <v>2679</v>
      </c>
      <c r="L213" s="9" t="n">
        <f aca="false">INDEX('Commercial View'!$S$2:$S$301,MATCH($A213,'Commercial View'!$A$2:$A$301,0))</f>
        <v>5903</v>
      </c>
      <c r="M213" s="17" t="n">
        <f aca="false">INDEX('Commercial View'!$T$2:$T$301,MATCH($A213,'Commercial View'!$A$2:$A$301,0))</f>
        <v>1.20343411720791</v>
      </c>
      <c r="N213" s="2" t="str">
        <f aca="false">INDEX('Commercial View'!$U$2:$U$301,MATCH($A213,'Commercial View'!$A$2:$A$301,0))</f>
        <v>Growing</v>
      </c>
      <c r="O213" s="2" t="n">
        <v>8</v>
      </c>
      <c r="P213" s="2" t="n">
        <v>0</v>
      </c>
      <c r="Q213" s="2" t="n">
        <v>8</v>
      </c>
      <c r="R213" s="2" t="n">
        <v>78</v>
      </c>
      <c r="S213" s="2" t="n">
        <v>5</v>
      </c>
      <c r="T213" s="2" t="str">
        <f aca="false">IF(H213="Broker-Reliant",IF(J213="Tail","5. Cost-to-Serve / Low-Touch",IF(OR(N213="Growing",N213="Stable"),"1. Migration Candidate",IF(N213="Declining","2. Protect / Retain First",IF(N213="Lapsed","3. Win-Back / Verify",IF(N213="H2 Active / No H1 GMV","4. Establish / Re-establish / Observe","UNASSIGNED"))))),IF(G213="Low",IF(J213="Tail","9. Long-Tail Automated Nurture",IF(OR(N213="Growing",N213="Stable"),"6. Growth Opportunity",IF(N213="H2 Active / No H1 GMV","7. Onboard / Re-engage / Learn",IF(OR(N213="Declining",N213="Lapsed"),"8. Retention / Reactivation","UNASSIGNED")))),"UNASSIGNED"))</f>
        <v>6. Growth Opportunity</v>
      </c>
      <c r="U213" s="10" t="b">
        <f aca="false">AND(T213="1. Migration Candidate",J213="Core",O213&gt;=Assumptions!$B$39,Q213&gt;=Assumptions!$B$40,NOT(Z213))</f>
        <v>0</v>
      </c>
      <c r="V213" s="2" t="n">
        <f aca="false">(AND(H213="Broker-Reliant",J213&lt;&gt;"Tail",OR(N213="Growing",N213="Stable")))*1+(AND(H213="Broker-Reliant",J213&lt;&gt;"Tail",N213="Declining"))*1+(AND(H213="Broker-Reliant",J213&lt;&gt;"Tail",N213="Lapsed"))*1+(AND(H213="Broker-Reliant",J213&lt;&gt;"Tail",N213="H2 Active / No H1 GMV"))*1+(AND(H213="Broker-Reliant",J213="Tail"))*1+(AND(G213="Low",J213&lt;&gt;"Tail",OR(N213="Growing",N213="Stable")))*1+(AND(G213="Low",J213&lt;&gt;"Tail",N213="H2 Active / No H1 GMV"))*1+(AND(G213="Low",J213&lt;&gt;"Tail",OR(N213="Declining",N213="Lapsed")))*1+(AND(G213="Low",J213="Tail"))*1</f>
        <v>1</v>
      </c>
      <c r="W213" s="2" t="n">
        <f aca="false">INDEX('Commercial View'!$V$2:$V$301,MATCH($A213,'Commercial View'!$A$2:$A$301,0))</f>
        <v>4</v>
      </c>
      <c r="X213" s="10" t="b">
        <f aca="false">O213&lt;=Assumptions!$B$30</f>
        <v>0</v>
      </c>
      <c r="Y213" s="10" t="b">
        <f aca="false">W213&lt;=1</f>
        <v>0</v>
      </c>
      <c r="Z213" s="10" t="b">
        <f aca="false">C213="Duplicate"</f>
        <v>0</v>
      </c>
      <c r="AA213" s="10" t="b">
        <f aca="false">C213=""</f>
        <v>1</v>
      </c>
      <c r="AB213" s="2" t="n">
        <f aca="false">IF(P213+Q213&gt;0,ROUND(P213/(P213+Q213)*100,0),"")</f>
        <v>0</v>
      </c>
      <c r="AC213" s="2" t="n">
        <f aca="false">IF(P213+Q213&gt;0,ROUND(E213-P213/(P213+Q213)*100,0),"")</f>
        <v>0</v>
      </c>
      <c r="AD213" s="10" t="b">
        <f aca="false">IF(AC213="",FALSE(),ABS(AC213)&gt;Assumptions!$B$41)</f>
        <v>0</v>
      </c>
      <c r="AE213" s="2" t="str">
        <f aca="false">IF(X213,"Low confidence (&lt;=2 orders); ","")&amp;IF(Y213,"Single-month history; ","")&amp;IF(Z213,"CRITICAL: Duplicate status; ","")&amp;IF(AA213,"Missing status; ","")&amp;IF(AD213,"Broker % vs counts gap "&amp;TEXT(AC213,"+0;-0")&amp;"pts; ","")</f>
        <v>Missing status; </v>
      </c>
      <c r="AF213" s="2" t="str">
        <f aca="false">IF(AND(K213=0,L213&gt;0),IF(D213&lt;=Assumptions!$B$47,"New Customer","Returned Customer"),"Existing Customer")</f>
        <v>Existing Customer</v>
      </c>
      <c r="AG213" s="10" t="b">
        <f aca="false">AND(T213="1. Migration Candidate",J213="Key")</f>
        <v>0</v>
      </c>
      <c r="AH213" s="10" t="b">
        <f aca="false">IF(AND(K213&gt;0,L213&gt;0),OR(ABS(M213-Assumptions!$B$36)&lt;=Assumptions!$B$46,ABS(M213+Assumptions!$B$36)&lt;=Assumptions!$B$46),FALSE())</f>
        <v>0</v>
      </c>
      <c r="AI213" s="9" t="n">
        <f aca="false">INDEX('Commercial View'!$L$2:$L$301,MATCH($A213,'Commercial View'!$A$2:$A$301,0))+INDEX('Commercial View'!$M$2:$M$301,MATCH($A213,'Commercial View'!$A$2:$A$301,0))</f>
        <v>4310</v>
      </c>
      <c r="AJ213" s="2" t="str">
        <f aca="false">IF(AND(K213=0,AI213=0),"No activity ex-Feb",IF(AI213=0,"Lapsed",IF(K213=0,"H2 Active / No H1 GMV",IF((AI213/2)/(K213/3)-1&gt;=Assumptions!$B$36,"Growing",IF((AI213/2)/(K213/3)-1&lt;-Assumptions!$B$36,"Declining","Stable")))))</f>
        <v>Growing</v>
      </c>
      <c r="AK213" s="10" t="b">
        <f aca="false">IF(OR(N213="Growing",N213="Stable"),"Healthy",N213)&lt;&gt;IF(OR(AJ213="Growing",AJ213="Stable"),"Healthy",AJ213)</f>
        <v>0</v>
      </c>
      <c r="AL213" s="2" t="str">
        <f aca="false">IF(N213="Lapsed",IF(OR(O213&lt;=Assumptions!$B$48,W213&lt;=Assumptions!$B$49),"One-Off / Insufficient History — Verify","Established Buyer Lapsed"),"N/A")</f>
        <v>N/A</v>
      </c>
      <c r="AM213" s="2" t="n">
        <f aca="false">INDEX('Scored Accounts'!$M$2:$M$301,MATCH($A213,'Scored Accounts'!$A$2:$A$301,0))</f>
        <v>0</v>
      </c>
      <c r="AN213" s="2" t="n">
        <f aca="false">IF((P213/(P213+Q213)*100)&lt;=Assumptions!$B$13,0,IF((P213/(P213+Q213)*100)&lt;Assumptions!$B$14,25,IF((P213/(P213+Q213)*100)&lt;Assumptions!$B$15,50,IF((P213/(P213+Q213)*100)&lt;Assumptions!$B$16,75,100))))</f>
        <v>0</v>
      </c>
      <c r="AO213" s="21" t="n">
        <f aca="false">IF((P213/(P213+Q213)*100)&lt;=Assumptions!$B$8,0,AN213*Assumptions!$B$4+INDEX('Scored Accounts'!$N$2:$N$301,MATCH($A213,'Scored Accounts'!$A$2:$A$301,0))*Assumptions!$B$5+INDEX('Scored Accounts'!$O$2:$O$301,MATCH($A213,'Scored Accounts'!$A$2:$A$301,0))*Assumptions!$B$6)</f>
        <v>0</v>
      </c>
      <c r="AP213" s="2" t="str">
        <f aca="false">IF(AO213&gt;=Assumptions!$B$9,"High",IF(AO213&gt;=Assumptions!$B$10,"Medium","Low"))</f>
        <v>Low</v>
      </c>
      <c r="AQ213" s="10" t="b">
        <f aca="false">OR((E213&lt;=Assumptions!$B$8)&lt;&gt;((P213/(P213+Q213)*100)&lt;=Assumptions!$B$8),AM213&lt;&gt;AN213,G213&lt;&gt;AP213)</f>
        <v>0</v>
      </c>
      <c r="AR213" s="2" t="str">
        <f aca="false">IF(AP213&lt;&gt;"Low","Broker-Reliant",IF(B213="Account Managed","AM-Owned / Self-Serving","Self-Serve"))</f>
        <v>Self-Serve</v>
      </c>
      <c r="AS213" s="2" t="str">
        <f aca="false">IF(AR213="Broker-Reliant",IF(J213="Tail","5. Cost-to-Serve / Low-Touch",IF(OR(N213="Growing",N213="Stable"),"1. Migration Candidate",IF(N213="Declining","2. Protect / Retain First",IF(N213="Lapsed","3. Win-Back / Verify",IF(N213="H2 Active / No H1 GMV","4. Establish / Re-establish / Observe","UNASSIGNED"))))),IF(AP213="Low",IF(J213="Tail","9. Long-Tail Automated Nurture",IF(OR(N213="Growing",N213="Stable"),"6. Growth Opportunity",IF(N213="H2 Active / No H1 GMV","7. Onboard / Re-engage / Learn",IF(OR(N213="Declining",N213="Lapsed"),"8. Retention / Reactivation","UNASSIGNED")))),"UNASSIGNED"))</f>
        <v>6. Growth Opportunity</v>
      </c>
      <c r="AT213" s="10" t="b">
        <f aca="false">AS213&lt;&gt;T213</f>
        <v>0</v>
      </c>
      <c r="AU213" s="2" t="str">
        <f aca="false">IF(NOT(U213),"Not Eligible",IF(OR(AQ213,AH213,AK213,NOT(AND(W213&gt;=Assumptions!$B$83,O213&gt;=Assumptions!$B$84))),"Manual Review","Ready"))</f>
        <v>Not Eligible</v>
      </c>
      <c r="AV213" s="2" t="str">
        <f aca="false">IF(AG213,"Key account - human sign-off required; ","")&amp;IF(AH213,"Borderline momentum; ","")&amp;IF(AK213,"February-sensitive ("&amp;N213&amp;" -&gt; "&amp;AJ213&amp;"); ","")&amp;IF(AL213="One-Off / Insufficient History — Verify","Lapsed on thin history - verify; ","")&amp;IF(AQ213,"Material broker % inconsistency (implied tier "&amp;AP213&amp;"); ","")&amp;IF(AT213,"Implied broker % would move segment to "&amp;AS213&amp;"; ","")</f>
        <v/>
      </c>
      <c r="AW213" s="10" t="b">
        <f aca="false">AND(G213="Low",J213="Tail",I213&gt;=Assumptions!$B$64,O213&gt;=Assumptions!$B$65,OR(N213="Growing",N213="Stable",AND(N213="H2 Active / No H1 GMV",W213&gt;=2)),OR(R213&gt;=Assumptions!$B$66,S213&gt;=Assumptions!$B$67))</f>
        <v>0</v>
      </c>
    </row>
    <row r="214" customFormat="false" ht="15" hidden="false" customHeight="false" outlineLevel="0" collapsed="false">
      <c r="A214" s="2" t="s">
        <v>405</v>
      </c>
      <c r="B214" s="2" t="s">
        <v>1574</v>
      </c>
      <c r="C214" s="2"/>
      <c r="D214" s="2" t="n">
        <v>5</v>
      </c>
      <c r="E214" s="2" t="n">
        <v>0</v>
      </c>
      <c r="F214" s="21" t="n">
        <f aca="false">INDEX('Scored Accounts'!$Q$2:$Q$301,MATCH($A214,'Scored Accounts'!$A$2:$A$301,0))</f>
        <v>0</v>
      </c>
      <c r="G214" s="2" t="str">
        <f aca="false">INDEX('Scored Accounts'!$R$2:$R$301,MATCH($A214,'Scored Accounts'!$A$2:$A$301,0))</f>
        <v>Low</v>
      </c>
      <c r="H214" s="2" t="str">
        <f aca="false">IF(OR(G214="High",G214="Medium"),"Broker-Reliant",IF(AND(G214="Low",B214="Account Managed"),"AM-Owned / Self-Serving",IF(AND(G214="Low",B214="Self Serve"),"Self-Serve","UNASSIGNED")))</f>
        <v>Self-Serve</v>
      </c>
      <c r="I214" s="9" t="n">
        <v>4899</v>
      </c>
      <c r="J214" s="2" t="str">
        <f aca="false">IF(I214&gt;=Assumptions!$B$35,"Key",IF(I214&gt;=Assumptions!$B$34,"Core","Tail"))</f>
        <v>Core</v>
      </c>
      <c r="K214" s="9" t="n">
        <f aca="false">INDEX('Commercial View'!$R$2:$R$301,MATCH($A214,'Commercial View'!$A$2:$A$301,0))</f>
        <v>868</v>
      </c>
      <c r="L214" s="9" t="n">
        <f aca="false">INDEX('Commercial View'!$S$2:$S$301,MATCH($A214,'Commercial View'!$A$2:$A$301,0))</f>
        <v>4031</v>
      </c>
      <c r="M214" s="17" t="n">
        <f aca="false">INDEX('Commercial View'!$T$2:$T$301,MATCH($A214,'Commercial View'!$A$2:$A$301,0))</f>
        <v>3.64400921658986</v>
      </c>
      <c r="N214" s="2" t="str">
        <f aca="false">INDEX('Commercial View'!$U$2:$U$301,MATCH($A214,'Commercial View'!$A$2:$A$301,0))</f>
        <v>Growing</v>
      </c>
      <c r="O214" s="2" t="n">
        <v>8</v>
      </c>
      <c r="P214" s="2" t="n">
        <v>0</v>
      </c>
      <c r="Q214" s="2" t="n">
        <v>8</v>
      </c>
      <c r="R214" s="2" t="n">
        <v>29</v>
      </c>
      <c r="S214" s="2" t="n">
        <v>37</v>
      </c>
      <c r="T214" s="2" t="str">
        <f aca="false">IF(H214="Broker-Reliant",IF(J214="Tail","5. Cost-to-Serve / Low-Touch",IF(OR(N214="Growing",N214="Stable"),"1. Migration Candidate",IF(N214="Declining","2. Protect / Retain First",IF(N214="Lapsed","3. Win-Back / Verify",IF(N214="H2 Active / No H1 GMV","4. Establish / Re-establish / Observe","UNASSIGNED"))))),IF(G214="Low",IF(J214="Tail","9. Long-Tail Automated Nurture",IF(OR(N214="Growing",N214="Stable"),"6. Growth Opportunity",IF(N214="H2 Active / No H1 GMV","7. Onboard / Re-engage / Learn",IF(OR(N214="Declining",N214="Lapsed"),"8. Retention / Reactivation","UNASSIGNED")))),"UNASSIGNED"))</f>
        <v>6. Growth Opportunity</v>
      </c>
      <c r="U214" s="10" t="b">
        <f aca="false">AND(T214="1. Migration Candidate",J214="Core",O214&gt;=Assumptions!$B$39,Q214&gt;=Assumptions!$B$40,NOT(Z214))</f>
        <v>0</v>
      </c>
      <c r="V214" s="2" t="n">
        <f aca="false">(AND(H214="Broker-Reliant",J214&lt;&gt;"Tail",OR(N214="Growing",N214="Stable")))*1+(AND(H214="Broker-Reliant",J214&lt;&gt;"Tail",N214="Declining"))*1+(AND(H214="Broker-Reliant",J214&lt;&gt;"Tail",N214="Lapsed"))*1+(AND(H214="Broker-Reliant",J214&lt;&gt;"Tail",N214="H2 Active / No H1 GMV"))*1+(AND(H214="Broker-Reliant",J214="Tail"))*1+(AND(G214="Low",J214&lt;&gt;"Tail",OR(N214="Growing",N214="Stable")))*1+(AND(G214="Low",J214&lt;&gt;"Tail",N214="H2 Active / No H1 GMV"))*1+(AND(G214="Low",J214&lt;&gt;"Tail",OR(N214="Declining",N214="Lapsed")))*1+(AND(G214="Low",J214="Tail"))*1</f>
        <v>1</v>
      </c>
      <c r="W214" s="2" t="n">
        <f aca="false">INDEX('Commercial View'!$V$2:$V$301,MATCH($A214,'Commercial View'!$A$2:$A$301,0))</f>
        <v>4</v>
      </c>
      <c r="X214" s="10" t="b">
        <f aca="false">O214&lt;=Assumptions!$B$30</f>
        <v>0</v>
      </c>
      <c r="Y214" s="10" t="b">
        <f aca="false">W214&lt;=1</f>
        <v>0</v>
      </c>
      <c r="Z214" s="10" t="b">
        <f aca="false">C214="Duplicate"</f>
        <v>0</v>
      </c>
      <c r="AA214" s="10" t="b">
        <f aca="false">C214=""</f>
        <v>1</v>
      </c>
      <c r="AB214" s="2" t="n">
        <f aca="false">IF(P214+Q214&gt;0,ROUND(P214/(P214+Q214)*100,0),"")</f>
        <v>0</v>
      </c>
      <c r="AC214" s="2" t="n">
        <f aca="false">IF(P214+Q214&gt;0,ROUND(E214-P214/(P214+Q214)*100,0),"")</f>
        <v>0</v>
      </c>
      <c r="AD214" s="10" t="b">
        <f aca="false">IF(AC214="",FALSE(),ABS(AC214)&gt;Assumptions!$B$41)</f>
        <v>0</v>
      </c>
      <c r="AE214" s="2" t="str">
        <f aca="false">IF(X214,"Low confidence (&lt;=2 orders); ","")&amp;IF(Y214,"Single-month history; ","")&amp;IF(Z214,"CRITICAL: Duplicate status; ","")&amp;IF(AA214,"Missing status; ","")&amp;IF(AD214,"Broker % vs counts gap "&amp;TEXT(AC214,"+0;-0")&amp;"pts; ","")</f>
        <v>Missing status; </v>
      </c>
      <c r="AF214" s="2" t="str">
        <f aca="false">IF(AND(K214=0,L214&gt;0),IF(D214&lt;=Assumptions!$B$47,"New Customer","Returned Customer"),"Existing Customer")</f>
        <v>Existing Customer</v>
      </c>
      <c r="AG214" s="10" t="b">
        <f aca="false">AND(T214="1. Migration Candidate",J214="Key")</f>
        <v>0</v>
      </c>
      <c r="AH214" s="10" t="b">
        <f aca="false">IF(AND(K214&gt;0,L214&gt;0),OR(ABS(M214-Assumptions!$B$36)&lt;=Assumptions!$B$46,ABS(M214+Assumptions!$B$36)&lt;=Assumptions!$B$46),FALSE())</f>
        <v>0</v>
      </c>
      <c r="AI214" s="9" t="n">
        <f aca="false">INDEX('Commercial View'!$L$2:$L$301,MATCH($A214,'Commercial View'!$A$2:$A$301,0))+INDEX('Commercial View'!$M$2:$M$301,MATCH($A214,'Commercial View'!$A$2:$A$301,0))</f>
        <v>4031</v>
      </c>
      <c r="AJ214" s="2" t="str">
        <f aca="false">IF(AND(K214=0,AI214=0),"No activity ex-Feb",IF(AI214=0,"Lapsed",IF(K214=0,"H2 Active / No H1 GMV",IF((AI214/2)/(K214/3)-1&gt;=Assumptions!$B$36,"Growing",IF((AI214/2)/(K214/3)-1&lt;-Assumptions!$B$36,"Declining","Stable")))))</f>
        <v>Growing</v>
      </c>
      <c r="AK214" s="10" t="b">
        <f aca="false">IF(OR(N214="Growing",N214="Stable"),"Healthy",N214)&lt;&gt;IF(OR(AJ214="Growing",AJ214="Stable"),"Healthy",AJ214)</f>
        <v>0</v>
      </c>
      <c r="AL214" s="2" t="str">
        <f aca="false">IF(N214="Lapsed",IF(OR(O214&lt;=Assumptions!$B$48,W214&lt;=Assumptions!$B$49),"One-Off / Insufficient History — Verify","Established Buyer Lapsed"),"N/A")</f>
        <v>N/A</v>
      </c>
      <c r="AM214" s="2" t="n">
        <f aca="false">INDEX('Scored Accounts'!$M$2:$M$301,MATCH($A214,'Scored Accounts'!$A$2:$A$301,0))</f>
        <v>0</v>
      </c>
      <c r="AN214" s="2" t="n">
        <f aca="false">IF((P214/(P214+Q214)*100)&lt;=Assumptions!$B$13,0,IF((P214/(P214+Q214)*100)&lt;Assumptions!$B$14,25,IF((P214/(P214+Q214)*100)&lt;Assumptions!$B$15,50,IF((P214/(P214+Q214)*100)&lt;Assumptions!$B$16,75,100))))</f>
        <v>0</v>
      </c>
      <c r="AO214" s="21" t="n">
        <f aca="false">IF((P214/(P214+Q214)*100)&lt;=Assumptions!$B$8,0,AN214*Assumptions!$B$4+INDEX('Scored Accounts'!$N$2:$N$301,MATCH($A214,'Scored Accounts'!$A$2:$A$301,0))*Assumptions!$B$5+INDEX('Scored Accounts'!$O$2:$O$301,MATCH($A214,'Scored Accounts'!$A$2:$A$301,0))*Assumptions!$B$6)</f>
        <v>0</v>
      </c>
      <c r="AP214" s="2" t="str">
        <f aca="false">IF(AO214&gt;=Assumptions!$B$9,"High",IF(AO214&gt;=Assumptions!$B$10,"Medium","Low"))</f>
        <v>Low</v>
      </c>
      <c r="AQ214" s="10" t="b">
        <f aca="false">OR((E214&lt;=Assumptions!$B$8)&lt;&gt;((P214/(P214+Q214)*100)&lt;=Assumptions!$B$8),AM214&lt;&gt;AN214,G214&lt;&gt;AP214)</f>
        <v>0</v>
      </c>
      <c r="AR214" s="2" t="str">
        <f aca="false">IF(AP214&lt;&gt;"Low","Broker-Reliant",IF(B214="Account Managed","AM-Owned / Self-Serving","Self-Serve"))</f>
        <v>Self-Serve</v>
      </c>
      <c r="AS214" s="2" t="str">
        <f aca="false">IF(AR214="Broker-Reliant",IF(J214="Tail","5. Cost-to-Serve / Low-Touch",IF(OR(N214="Growing",N214="Stable"),"1. Migration Candidate",IF(N214="Declining","2. Protect / Retain First",IF(N214="Lapsed","3. Win-Back / Verify",IF(N214="H2 Active / No H1 GMV","4. Establish / Re-establish / Observe","UNASSIGNED"))))),IF(AP214="Low",IF(J214="Tail","9. Long-Tail Automated Nurture",IF(OR(N214="Growing",N214="Stable"),"6. Growth Opportunity",IF(N214="H2 Active / No H1 GMV","7. Onboard / Re-engage / Learn",IF(OR(N214="Declining",N214="Lapsed"),"8. Retention / Reactivation","UNASSIGNED")))),"UNASSIGNED"))</f>
        <v>6. Growth Opportunity</v>
      </c>
      <c r="AT214" s="10" t="b">
        <f aca="false">AS214&lt;&gt;T214</f>
        <v>0</v>
      </c>
      <c r="AU214" s="2" t="str">
        <f aca="false">IF(NOT(U214),"Not Eligible",IF(OR(AQ214,AH214,AK214,NOT(AND(W214&gt;=Assumptions!$B$83,O214&gt;=Assumptions!$B$84))),"Manual Review","Ready"))</f>
        <v>Not Eligible</v>
      </c>
      <c r="AV214" s="2" t="str">
        <f aca="false">IF(AG214,"Key account - human sign-off required; ","")&amp;IF(AH214,"Borderline momentum; ","")&amp;IF(AK214,"February-sensitive ("&amp;N214&amp;" -&gt; "&amp;AJ214&amp;"); ","")&amp;IF(AL214="One-Off / Insufficient History — Verify","Lapsed on thin history - verify; ","")&amp;IF(AQ214,"Material broker % inconsistency (implied tier "&amp;AP214&amp;"); ","")&amp;IF(AT214,"Implied broker % would move segment to "&amp;AS214&amp;"; ","")</f>
        <v/>
      </c>
      <c r="AW214" s="10" t="b">
        <f aca="false">AND(G214="Low",J214="Tail",I214&gt;=Assumptions!$B$64,O214&gt;=Assumptions!$B$65,OR(N214="Growing",N214="Stable",AND(N214="H2 Active / No H1 GMV",W214&gt;=2)),OR(R214&gt;=Assumptions!$B$66,S214&gt;=Assumptions!$B$67))</f>
        <v>0</v>
      </c>
    </row>
    <row r="215" customFormat="false" ht="15" hidden="false" customHeight="false" outlineLevel="0" collapsed="false">
      <c r="A215" s="2" t="s">
        <v>226</v>
      </c>
      <c r="B215" s="2" t="s">
        <v>1574</v>
      </c>
      <c r="C215" s="2"/>
      <c r="D215" s="2" t="n">
        <v>5</v>
      </c>
      <c r="E215" s="2" t="n">
        <v>0</v>
      </c>
      <c r="F215" s="21" t="n">
        <f aca="false">INDEX('Scored Accounts'!$Q$2:$Q$301,MATCH($A215,'Scored Accounts'!$A$2:$A$301,0))</f>
        <v>0</v>
      </c>
      <c r="G215" s="2" t="str">
        <f aca="false">INDEX('Scored Accounts'!$R$2:$R$301,MATCH($A215,'Scored Accounts'!$A$2:$A$301,0))</f>
        <v>Low</v>
      </c>
      <c r="H215" s="2" t="str">
        <f aca="false">IF(OR(G215="High",G215="Medium"),"Broker-Reliant",IF(AND(G215="Low",B215="Account Managed"),"AM-Owned / Self-Serving",IF(AND(G215="Low",B215="Self Serve"),"Self-Serve","UNASSIGNED")))</f>
        <v>Self-Serve</v>
      </c>
      <c r="I215" s="9" t="n">
        <v>4632</v>
      </c>
      <c r="J215" s="2" t="str">
        <f aca="false">IF(I215&gt;=Assumptions!$B$35,"Key",IF(I215&gt;=Assumptions!$B$34,"Core","Tail"))</f>
        <v>Core</v>
      </c>
      <c r="K215" s="9" t="n">
        <f aca="false">INDEX('Commercial View'!$R$2:$R$301,MATCH($A215,'Commercial View'!$A$2:$A$301,0))</f>
        <v>4516</v>
      </c>
      <c r="L215" s="9" t="n">
        <f aca="false">INDEX('Commercial View'!$S$2:$S$301,MATCH($A215,'Commercial View'!$A$2:$A$301,0))</f>
        <v>116</v>
      </c>
      <c r="M215" s="17" t="n">
        <f aca="false">INDEX('Commercial View'!$T$2:$T$301,MATCH($A215,'Commercial View'!$A$2:$A$301,0))</f>
        <v>-0.974313551815766</v>
      </c>
      <c r="N215" s="2" t="str">
        <f aca="false">INDEX('Commercial View'!$U$2:$U$301,MATCH($A215,'Commercial View'!$A$2:$A$301,0))</f>
        <v>Declining</v>
      </c>
      <c r="O215" s="2" t="n">
        <v>12</v>
      </c>
      <c r="P215" s="2" t="n">
        <v>0</v>
      </c>
      <c r="Q215" s="2" t="n">
        <v>12</v>
      </c>
      <c r="R215" s="2" t="n">
        <v>74</v>
      </c>
      <c r="S215" s="2" t="n">
        <v>53</v>
      </c>
      <c r="T215" s="2" t="str">
        <f aca="false">IF(H215="Broker-Reliant",IF(J215="Tail","5. Cost-to-Serve / Low-Touch",IF(OR(N215="Growing",N215="Stable"),"1. Migration Candidate",IF(N215="Declining","2. Protect / Retain First",IF(N215="Lapsed","3. Win-Back / Verify",IF(N215="H2 Active / No H1 GMV","4. Establish / Re-establish / Observe","UNASSIGNED"))))),IF(G215="Low",IF(J215="Tail","9. Long-Tail Automated Nurture",IF(OR(N215="Growing",N215="Stable"),"6. Growth Opportunity",IF(N215="H2 Active / No H1 GMV","7. Onboard / Re-engage / Learn",IF(OR(N215="Declining",N215="Lapsed"),"8. Retention / Reactivation","UNASSIGNED")))),"UNASSIGNED"))</f>
        <v>8. Retention / Reactivation</v>
      </c>
      <c r="U215" s="10" t="b">
        <f aca="false">AND(T215="1. Migration Candidate",J215="Core",O215&gt;=Assumptions!$B$39,Q215&gt;=Assumptions!$B$40,NOT(Z215))</f>
        <v>0</v>
      </c>
      <c r="V215" s="2" t="n">
        <f aca="false">(AND(H215="Broker-Reliant",J215&lt;&gt;"Tail",OR(N215="Growing",N215="Stable")))*1+(AND(H215="Broker-Reliant",J215&lt;&gt;"Tail",N215="Declining"))*1+(AND(H215="Broker-Reliant",J215&lt;&gt;"Tail",N215="Lapsed"))*1+(AND(H215="Broker-Reliant",J215&lt;&gt;"Tail",N215="H2 Active / No H1 GMV"))*1+(AND(H215="Broker-Reliant",J215="Tail"))*1+(AND(G215="Low",J215&lt;&gt;"Tail",OR(N215="Growing",N215="Stable")))*1+(AND(G215="Low",J215&lt;&gt;"Tail",N215="H2 Active / No H1 GMV"))*1+(AND(G215="Low",J215&lt;&gt;"Tail",OR(N215="Declining",N215="Lapsed")))*1+(AND(G215="Low",J215="Tail"))*1</f>
        <v>1</v>
      </c>
      <c r="W215" s="2" t="n">
        <f aca="false">INDEX('Commercial View'!$V$2:$V$301,MATCH($A215,'Commercial View'!$A$2:$A$301,0))</f>
        <v>3</v>
      </c>
      <c r="X215" s="10" t="b">
        <f aca="false">O215&lt;=Assumptions!$B$30</f>
        <v>0</v>
      </c>
      <c r="Y215" s="10" t="b">
        <f aca="false">W215&lt;=1</f>
        <v>0</v>
      </c>
      <c r="Z215" s="10" t="b">
        <f aca="false">C215="Duplicate"</f>
        <v>0</v>
      </c>
      <c r="AA215" s="10" t="b">
        <f aca="false">C215=""</f>
        <v>1</v>
      </c>
      <c r="AB215" s="2" t="n">
        <f aca="false">IF(P215+Q215&gt;0,ROUND(P215/(P215+Q215)*100,0),"")</f>
        <v>0</v>
      </c>
      <c r="AC215" s="2" t="n">
        <f aca="false">IF(P215+Q215&gt;0,ROUND(E215-P215/(P215+Q215)*100,0),"")</f>
        <v>0</v>
      </c>
      <c r="AD215" s="10" t="b">
        <f aca="false">IF(AC215="",FALSE(),ABS(AC215)&gt;Assumptions!$B$41)</f>
        <v>0</v>
      </c>
      <c r="AE215" s="2" t="str">
        <f aca="false">IF(X215,"Low confidence (&lt;=2 orders); ","")&amp;IF(Y215,"Single-month history; ","")&amp;IF(Z215,"CRITICAL: Duplicate status; ","")&amp;IF(AA215,"Missing status; ","")&amp;IF(AD215,"Broker % vs counts gap "&amp;TEXT(AC215,"+0;-0")&amp;"pts; ","")</f>
        <v>Missing status; </v>
      </c>
      <c r="AF215" s="2" t="str">
        <f aca="false">IF(AND(K215=0,L215&gt;0),IF(D215&lt;=Assumptions!$B$47,"New Customer","Returned Customer"),"Existing Customer")</f>
        <v>Existing Customer</v>
      </c>
      <c r="AG215" s="10" t="b">
        <f aca="false">AND(T215="1. Migration Candidate",J215="Key")</f>
        <v>0</v>
      </c>
      <c r="AH215" s="10" t="b">
        <f aca="false">IF(AND(K215&gt;0,L215&gt;0),OR(ABS(M215-Assumptions!$B$36)&lt;=Assumptions!$B$46,ABS(M215+Assumptions!$B$36)&lt;=Assumptions!$B$46),FALSE())</f>
        <v>0</v>
      </c>
      <c r="AI215" s="9" t="n">
        <f aca="false">INDEX('Commercial View'!$L$2:$L$301,MATCH($A215,'Commercial View'!$A$2:$A$301,0))+INDEX('Commercial View'!$M$2:$M$301,MATCH($A215,'Commercial View'!$A$2:$A$301,0))</f>
        <v>116</v>
      </c>
      <c r="AJ215" s="2" t="str">
        <f aca="false">IF(AND(K215=0,AI215=0),"No activity ex-Feb",IF(AI215=0,"Lapsed",IF(K215=0,"H2 Active / No H1 GMV",IF((AI215/2)/(K215/3)-1&gt;=Assumptions!$B$36,"Growing",IF((AI215/2)/(K215/3)-1&lt;-Assumptions!$B$36,"Declining","Stable")))))</f>
        <v>Declining</v>
      </c>
      <c r="AK215" s="10" t="b">
        <f aca="false">IF(OR(N215="Growing",N215="Stable"),"Healthy",N215)&lt;&gt;IF(OR(AJ215="Growing",AJ215="Stable"),"Healthy",AJ215)</f>
        <v>0</v>
      </c>
      <c r="AL215" s="2" t="str">
        <f aca="false">IF(N215="Lapsed",IF(OR(O215&lt;=Assumptions!$B$48,W215&lt;=Assumptions!$B$49),"One-Off / Insufficient History — Verify","Established Buyer Lapsed"),"N/A")</f>
        <v>N/A</v>
      </c>
      <c r="AM215" s="2" t="n">
        <f aca="false">INDEX('Scored Accounts'!$M$2:$M$301,MATCH($A215,'Scored Accounts'!$A$2:$A$301,0))</f>
        <v>0</v>
      </c>
      <c r="AN215" s="2" t="n">
        <f aca="false">IF((P215/(P215+Q215)*100)&lt;=Assumptions!$B$13,0,IF((P215/(P215+Q215)*100)&lt;Assumptions!$B$14,25,IF((P215/(P215+Q215)*100)&lt;Assumptions!$B$15,50,IF((P215/(P215+Q215)*100)&lt;Assumptions!$B$16,75,100))))</f>
        <v>0</v>
      </c>
      <c r="AO215" s="21" t="n">
        <f aca="false">IF((P215/(P215+Q215)*100)&lt;=Assumptions!$B$8,0,AN215*Assumptions!$B$4+INDEX('Scored Accounts'!$N$2:$N$301,MATCH($A215,'Scored Accounts'!$A$2:$A$301,0))*Assumptions!$B$5+INDEX('Scored Accounts'!$O$2:$O$301,MATCH($A215,'Scored Accounts'!$A$2:$A$301,0))*Assumptions!$B$6)</f>
        <v>0</v>
      </c>
      <c r="AP215" s="2" t="str">
        <f aca="false">IF(AO215&gt;=Assumptions!$B$9,"High",IF(AO215&gt;=Assumptions!$B$10,"Medium","Low"))</f>
        <v>Low</v>
      </c>
      <c r="AQ215" s="10" t="b">
        <f aca="false">OR((E215&lt;=Assumptions!$B$8)&lt;&gt;((P215/(P215+Q215)*100)&lt;=Assumptions!$B$8),AM215&lt;&gt;AN215,G215&lt;&gt;AP215)</f>
        <v>0</v>
      </c>
      <c r="AR215" s="2" t="str">
        <f aca="false">IF(AP215&lt;&gt;"Low","Broker-Reliant",IF(B215="Account Managed","AM-Owned / Self-Serving","Self-Serve"))</f>
        <v>Self-Serve</v>
      </c>
      <c r="AS215" s="2" t="str">
        <f aca="false">IF(AR215="Broker-Reliant",IF(J215="Tail","5. Cost-to-Serve / Low-Touch",IF(OR(N215="Growing",N215="Stable"),"1. Migration Candidate",IF(N215="Declining","2. Protect / Retain First",IF(N215="Lapsed","3. Win-Back / Verify",IF(N215="H2 Active / No H1 GMV","4. Establish / Re-establish / Observe","UNASSIGNED"))))),IF(AP215="Low",IF(J215="Tail","9. Long-Tail Automated Nurture",IF(OR(N215="Growing",N215="Stable"),"6. Growth Opportunity",IF(N215="H2 Active / No H1 GMV","7. Onboard / Re-engage / Learn",IF(OR(N215="Declining",N215="Lapsed"),"8. Retention / Reactivation","UNASSIGNED")))),"UNASSIGNED"))</f>
        <v>8. Retention / Reactivation</v>
      </c>
      <c r="AT215" s="10" t="b">
        <f aca="false">AS215&lt;&gt;T215</f>
        <v>0</v>
      </c>
      <c r="AU215" s="2" t="str">
        <f aca="false">IF(NOT(U215),"Not Eligible",IF(OR(AQ215,AH215,AK215,NOT(AND(W215&gt;=Assumptions!$B$83,O215&gt;=Assumptions!$B$84))),"Manual Review","Ready"))</f>
        <v>Not Eligible</v>
      </c>
      <c r="AV215" s="2" t="str">
        <f aca="false">IF(AG215,"Key account - human sign-off required; ","")&amp;IF(AH215,"Borderline momentum; ","")&amp;IF(AK215,"February-sensitive ("&amp;N215&amp;" -&gt; "&amp;AJ215&amp;"); ","")&amp;IF(AL215="One-Off / Insufficient History — Verify","Lapsed on thin history - verify; ","")&amp;IF(AQ215,"Material broker % inconsistency (implied tier "&amp;AP215&amp;"); ","")&amp;IF(AT215,"Implied broker % would move segment to "&amp;AS215&amp;"; ","")</f>
        <v/>
      </c>
      <c r="AW215" s="10" t="b">
        <f aca="false">AND(G215="Low",J215="Tail",I215&gt;=Assumptions!$B$64,O215&gt;=Assumptions!$B$65,OR(N215="Growing",N215="Stable",AND(N215="H2 Active / No H1 GMV",W215&gt;=2)),OR(R215&gt;=Assumptions!$B$66,S215&gt;=Assumptions!$B$67))</f>
        <v>0</v>
      </c>
    </row>
    <row r="216" customFormat="false" ht="15" hidden="false" customHeight="false" outlineLevel="0" collapsed="false">
      <c r="A216" s="2" t="s">
        <v>232</v>
      </c>
      <c r="B216" s="2" t="s">
        <v>1574</v>
      </c>
      <c r="C216" s="2"/>
      <c r="D216" s="2" t="n">
        <v>5</v>
      </c>
      <c r="E216" s="2" t="n">
        <v>0</v>
      </c>
      <c r="F216" s="21" t="n">
        <f aca="false">INDEX('Scored Accounts'!$Q$2:$Q$301,MATCH($A216,'Scored Accounts'!$A$2:$A$301,0))</f>
        <v>0</v>
      </c>
      <c r="G216" s="2" t="str">
        <f aca="false">INDEX('Scored Accounts'!$R$2:$R$301,MATCH($A216,'Scored Accounts'!$A$2:$A$301,0))</f>
        <v>Low</v>
      </c>
      <c r="H216" s="2" t="str">
        <f aca="false">IF(OR(G216="High",G216="Medium"),"Broker-Reliant",IF(AND(G216="Low",B216="Account Managed"),"AM-Owned / Self-Serving",IF(AND(G216="Low",B216="Self Serve"),"Self-Serve","UNASSIGNED")))</f>
        <v>Self-Serve</v>
      </c>
      <c r="I216" s="9" t="n">
        <v>3907</v>
      </c>
      <c r="J216" s="2" t="str">
        <f aca="false">IF(I216&gt;=Assumptions!$B$35,"Key",IF(I216&gt;=Assumptions!$B$34,"Core","Tail"))</f>
        <v>Core</v>
      </c>
      <c r="K216" s="9" t="n">
        <f aca="false">INDEX('Commercial View'!$R$2:$R$301,MATCH($A216,'Commercial View'!$A$2:$A$301,0))</f>
        <v>3907</v>
      </c>
      <c r="L216" s="9" t="n">
        <f aca="false">INDEX('Commercial View'!$S$2:$S$301,MATCH($A216,'Commercial View'!$A$2:$A$301,0))</f>
        <v>0</v>
      </c>
      <c r="M216" s="17" t="n">
        <f aca="false">INDEX('Commercial View'!$T$2:$T$301,MATCH($A216,'Commercial View'!$A$2:$A$301,0))</f>
        <v>-1</v>
      </c>
      <c r="N216" s="2" t="str">
        <f aca="false">INDEX('Commercial View'!$U$2:$U$301,MATCH($A216,'Commercial View'!$A$2:$A$301,0))</f>
        <v>Lapsed</v>
      </c>
      <c r="O216" s="2" t="n">
        <v>1</v>
      </c>
      <c r="P216" s="2" t="n">
        <v>0</v>
      </c>
      <c r="Q216" s="2" t="n">
        <v>1</v>
      </c>
      <c r="R216" s="2" t="n">
        <v>14</v>
      </c>
      <c r="S216" s="2" t="n">
        <v>0</v>
      </c>
      <c r="T216" s="2" t="str">
        <f aca="false">IF(H216="Broker-Reliant",IF(J216="Tail","5. Cost-to-Serve / Low-Touch",IF(OR(N216="Growing",N216="Stable"),"1. Migration Candidate",IF(N216="Declining","2. Protect / Retain First",IF(N216="Lapsed","3. Win-Back / Verify",IF(N216="H2 Active / No H1 GMV","4. Establish / Re-establish / Observe","UNASSIGNED"))))),IF(G216="Low",IF(J216="Tail","9. Long-Tail Automated Nurture",IF(OR(N216="Growing",N216="Stable"),"6. Growth Opportunity",IF(N216="H2 Active / No H1 GMV","7. Onboard / Re-engage / Learn",IF(OR(N216="Declining",N216="Lapsed"),"8. Retention / Reactivation","UNASSIGNED")))),"UNASSIGNED"))</f>
        <v>8. Retention / Reactivation</v>
      </c>
      <c r="U216" s="10" t="b">
        <f aca="false">AND(T216="1. Migration Candidate",J216="Core",O216&gt;=Assumptions!$B$39,Q216&gt;=Assumptions!$B$40,NOT(Z216))</f>
        <v>0</v>
      </c>
      <c r="V216" s="2" t="n">
        <f aca="false">(AND(H216="Broker-Reliant",J216&lt;&gt;"Tail",OR(N216="Growing",N216="Stable")))*1+(AND(H216="Broker-Reliant",J216&lt;&gt;"Tail",N216="Declining"))*1+(AND(H216="Broker-Reliant",J216&lt;&gt;"Tail",N216="Lapsed"))*1+(AND(H216="Broker-Reliant",J216&lt;&gt;"Tail",N216="H2 Active / No H1 GMV"))*1+(AND(H216="Broker-Reliant",J216="Tail"))*1+(AND(G216="Low",J216&lt;&gt;"Tail",OR(N216="Growing",N216="Stable")))*1+(AND(G216="Low",J216&lt;&gt;"Tail",N216="H2 Active / No H1 GMV"))*1+(AND(G216="Low",J216&lt;&gt;"Tail",OR(N216="Declining",N216="Lapsed")))*1+(AND(G216="Low",J216="Tail"))*1</f>
        <v>1</v>
      </c>
      <c r="W216" s="2" t="n">
        <f aca="false">INDEX('Commercial View'!$V$2:$V$301,MATCH($A216,'Commercial View'!$A$2:$A$301,0))</f>
        <v>1</v>
      </c>
      <c r="X216" s="10" t="b">
        <f aca="false">O216&lt;=Assumptions!$B$30</f>
        <v>1</v>
      </c>
      <c r="Y216" s="10" t="b">
        <f aca="false">W216&lt;=1</f>
        <v>1</v>
      </c>
      <c r="Z216" s="10" t="b">
        <f aca="false">C216="Duplicate"</f>
        <v>0</v>
      </c>
      <c r="AA216" s="10" t="b">
        <f aca="false">C216=""</f>
        <v>1</v>
      </c>
      <c r="AB216" s="2" t="n">
        <f aca="false">IF(P216+Q216&gt;0,ROUND(P216/(P216+Q216)*100,0),"")</f>
        <v>0</v>
      </c>
      <c r="AC216" s="2" t="n">
        <f aca="false">IF(P216+Q216&gt;0,ROUND(E216-P216/(P216+Q216)*100,0),"")</f>
        <v>0</v>
      </c>
      <c r="AD216" s="10" t="b">
        <f aca="false">IF(AC216="",FALSE(),ABS(AC216)&gt;Assumptions!$B$41)</f>
        <v>0</v>
      </c>
      <c r="AE216" s="2" t="str">
        <f aca="false">IF(X216,"Low confidence (&lt;=2 orders); ","")&amp;IF(Y216,"Single-month history; ","")&amp;IF(Z216,"CRITICAL: Duplicate status; ","")&amp;IF(AA216,"Missing status; ","")&amp;IF(AD216,"Broker % vs counts gap "&amp;TEXT(AC216,"+0;-0")&amp;"pts; ","")</f>
        <v>Low confidence (&lt;=2 orders); Single-month history; Missing status; </v>
      </c>
      <c r="AF216" s="2" t="str">
        <f aca="false">IF(AND(K216=0,L216&gt;0),IF(D216&lt;=Assumptions!$B$47,"New Customer","Returned Customer"),"Existing Customer")</f>
        <v>Existing Customer</v>
      </c>
      <c r="AG216" s="10" t="b">
        <f aca="false">AND(T216="1. Migration Candidate",J216="Key")</f>
        <v>0</v>
      </c>
      <c r="AH216" s="10" t="b">
        <f aca="false">IF(AND(K216&gt;0,L216&gt;0),OR(ABS(M216-Assumptions!$B$36)&lt;=Assumptions!$B$46,ABS(M216+Assumptions!$B$36)&lt;=Assumptions!$B$46),FALSE())</f>
        <v>0</v>
      </c>
      <c r="AI216" s="9" t="n">
        <f aca="false">INDEX('Commercial View'!$L$2:$L$301,MATCH($A216,'Commercial View'!$A$2:$A$301,0))+INDEX('Commercial View'!$M$2:$M$301,MATCH($A216,'Commercial View'!$A$2:$A$301,0))</f>
        <v>0</v>
      </c>
      <c r="AJ216" s="2" t="str">
        <f aca="false">IF(AND(K216=0,AI216=0),"No activity ex-Feb",IF(AI216=0,"Lapsed",IF(K216=0,"H2 Active / No H1 GMV",IF((AI216/2)/(K216/3)-1&gt;=Assumptions!$B$36,"Growing",IF((AI216/2)/(K216/3)-1&lt;-Assumptions!$B$36,"Declining","Stable")))))</f>
        <v>Lapsed</v>
      </c>
      <c r="AK216" s="10" t="b">
        <f aca="false">IF(OR(N216="Growing",N216="Stable"),"Healthy",N216)&lt;&gt;IF(OR(AJ216="Growing",AJ216="Stable"),"Healthy",AJ216)</f>
        <v>0</v>
      </c>
      <c r="AL216" s="2" t="str">
        <f aca="false">IF(N216="Lapsed",IF(OR(O216&lt;=Assumptions!$B$48,W216&lt;=Assumptions!$B$49),"One-Off / Insufficient History — Verify","Established Buyer Lapsed"),"N/A")</f>
        <v>One-Off / Insufficient History — Verify</v>
      </c>
      <c r="AM216" s="2" t="n">
        <f aca="false">INDEX('Scored Accounts'!$M$2:$M$301,MATCH($A216,'Scored Accounts'!$A$2:$A$301,0))</f>
        <v>0</v>
      </c>
      <c r="AN216" s="2" t="n">
        <f aca="false">IF((P216/(P216+Q216)*100)&lt;=Assumptions!$B$13,0,IF((P216/(P216+Q216)*100)&lt;Assumptions!$B$14,25,IF((P216/(P216+Q216)*100)&lt;Assumptions!$B$15,50,IF((P216/(P216+Q216)*100)&lt;Assumptions!$B$16,75,100))))</f>
        <v>0</v>
      </c>
      <c r="AO216" s="21" t="n">
        <f aca="false">IF((P216/(P216+Q216)*100)&lt;=Assumptions!$B$8,0,AN216*Assumptions!$B$4+INDEX('Scored Accounts'!$N$2:$N$301,MATCH($A216,'Scored Accounts'!$A$2:$A$301,0))*Assumptions!$B$5+INDEX('Scored Accounts'!$O$2:$O$301,MATCH($A216,'Scored Accounts'!$A$2:$A$301,0))*Assumptions!$B$6)</f>
        <v>0</v>
      </c>
      <c r="AP216" s="2" t="str">
        <f aca="false">IF(AO216&gt;=Assumptions!$B$9,"High",IF(AO216&gt;=Assumptions!$B$10,"Medium","Low"))</f>
        <v>Low</v>
      </c>
      <c r="AQ216" s="10" t="b">
        <f aca="false">OR((E216&lt;=Assumptions!$B$8)&lt;&gt;((P216/(P216+Q216)*100)&lt;=Assumptions!$B$8),AM216&lt;&gt;AN216,G216&lt;&gt;AP216)</f>
        <v>0</v>
      </c>
      <c r="AR216" s="2" t="str">
        <f aca="false">IF(AP216&lt;&gt;"Low","Broker-Reliant",IF(B216="Account Managed","AM-Owned / Self-Serving","Self-Serve"))</f>
        <v>Self-Serve</v>
      </c>
      <c r="AS216" s="2" t="str">
        <f aca="false">IF(AR216="Broker-Reliant",IF(J216="Tail","5. Cost-to-Serve / Low-Touch",IF(OR(N216="Growing",N216="Stable"),"1. Migration Candidate",IF(N216="Declining","2. Protect / Retain First",IF(N216="Lapsed","3. Win-Back / Verify",IF(N216="H2 Active / No H1 GMV","4. Establish / Re-establish / Observe","UNASSIGNED"))))),IF(AP216="Low",IF(J216="Tail","9. Long-Tail Automated Nurture",IF(OR(N216="Growing",N216="Stable"),"6. Growth Opportunity",IF(N216="H2 Active / No H1 GMV","7. Onboard / Re-engage / Learn",IF(OR(N216="Declining",N216="Lapsed"),"8. Retention / Reactivation","UNASSIGNED")))),"UNASSIGNED"))</f>
        <v>8. Retention / Reactivation</v>
      </c>
      <c r="AT216" s="10" t="b">
        <f aca="false">AS216&lt;&gt;T216</f>
        <v>0</v>
      </c>
      <c r="AU216" s="2" t="str">
        <f aca="false">IF(NOT(U216),"Not Eligible",IF(OR(AQ216,AH216,AK216,NOT(AND(W216&gt;=Assumptions!$B$83,O216&gt;=Assumptions!$B$84))),"Manual Review","Ready"))</f>
        <v>Not Eligible</v>
      </c>
      <c r="AV216" s="2" t="str">
        <f aca="false">IF(AG216,"Key account - human sign-off required; ","")&amp;IF(AH216,"Borderline momentum; ","")&amp;IF(AK216,"February-sensitive ("&amp;N216&amp;" -&gt; "&amp;AJ216&amp;"); ","")&amp;IF(AL216="One-Off / Insufficient History — Verify","Lapsed on thin history - verify; ","")&amp;IF(AQ216,"Material broker % inconsistency (implied tier "&amp;AP216&amp;"); ","")&amp;IF(AT216,"Implied broker % would move segment to "&amp;AS216&amp;"; ","")</f>
        <v>Lapsed on thin history - verify; </v>
      </c>
      <c r="AW216" s="10" t="b">
        <f aca="false">AND(G216="Low",J216="Tail",I216&gt;=Assumptions!$B$64,O216&gt;=Assumptions!$B$65,OR(N216="Growing",N216="Stable",AND(N216="H2 Active / No H1 GMV",W216&gt;=2)),OR(R216&gt;=Assumptions!$B$66,S216&gt;=Assumptions!$B$67))</f>
        <v>0</v>
      </c>
    </row>
    <row r="217" customFormat="false" ht="15" hidden="false" customHeight="false" outlineLevel="0" collapsed="false">
      <c r="A217" s="2" t="s">
        <v>252</v>
      </c>
      <c r="B217" s="2" t="s">
        <v>1574</v>
      </c>
      <c r="C217" s="2"/>
      <c r="D217" s="2" t="n">
        <v>5</v>
      </c>
      <c r="E217" s="2" t="n">
        <v>0</v>
      </c>
      <c r="F217" s="21" t="n">
        <f aca="false">INDEX('Scored Accounts'!$Q$2:$Q$301,MATCH($A217,'Scored Accounts'!$A$2:$A$301,0))</f>
        <v>0</v>
      </c>
      <c r="G217" s="2" t="str">
        <f aca="false">INDEX('Scored Accounts'!$R$2:$R$301,MATCH($A217,'Scored Accounts'!$A$2:$A$301,0))</f>
        <v>Low</v>
      </c>
      <c r="H217" s="2" t="str">
        <f aca="false">IF(OR(G217="High",G217="Medium"),"Broker-Reliant",IF(AND(G217="Low",B217="Account Managed"),"AM-Owned / Self-Serving",IF(AND(G217="Low",B217="Self Serve"),"Self-Serve","UNASSIGNED")))</f>
        <v>Self-Serve</v>
      </c>
      <c r="I217" s="9" t="n">
        <v>3497</v>
      </c>
      <c r="J217" s="2" t="str">
        <f aca="false">IF(I217&gt;=Assumptions!$B$35,"Key",IF(I217&gt;=Assumptions!$B$34,"Core","Tail"))</f>
        <v>Core</v>
      </c>
      <c r="K217" s="9" t="n">
        <f aca="false">INDEX('Commercial View'!$R$2:$R$301,MATCH($A217,'Commercial View'!$A$2:$A$301,0))</f>
        <v>1394</v>
      </c>
      <c r="L217" s="9" t="n">
        <f aca="false">INDEX('Commercial View'!$S$2:$S$301,MATCH($A217,'Commercial View'!$A$2:$A$301,0))</f>
        <v>2103</v>
      </c>
      <c r="M217" s="17" t="n">
        <f aca="false">INDEX('Commercial View'!$T$2:$T$301,MATCH($A217,'Commercial View'!$A$2:$A$301,0))</f>
        <v>0.508608321377331</v>
      </c>
      <c r="N217" s="2" t="str">
        <f aca="false">INDEX('Commercial View'!$U$2:$U$301,MATCH($A217,'Commercial View'!$A$2:$A$301,0))</f>
        <v>Growing</v>
      </c>
      <c r="O217" s="2" t="n">
        <v>11</v>
      </c>
      <c r="P217" s="2" t="n">
        <v>0</v>
      </c>
      <c r="Q217" s="2" t="n">
        <v>11</v>
      </c>
      <c r="R217" s="2" t="n">
        <v>50</v>
      </c>
      <c r="S217" s="2" t="n">
        <v>13</v>
      </c>
      <c r="T217" s="2" t="str">
        <f aca="false">IF(H217="Broker-Reliant",IF(J217="Tail","5. Cost-to-Serve / Low-Touch",IF(OR(N217="Growing",N217="Stable"),"1. Migration Candidate",IF(N217="Declining","2. Protect / Retain First",IF(N217="Lapsed","3. Win-Back / Verify",IF(N217="H2 Active / No H1 GMV","4. Establish / Re-establish / Observe","UNASSIGNED"))))),IF(G217="Low",IF(J217="Tail","9. Long-Tail Automated Nurture",IF(OR(N217="Growing",N217="Stable"),"6. Growth Opportunity",IF(N217="H2 Active / No H1 GMV","7. Onboard / Re-engage / Learn",IF(OR(N217="Declining",N217="Lapsed"),"8. Retention / Reactivation","UNASSIGNED")))),"UNASSIGNED"))</f>
        <v>6. Growth Opportunity</v>
      </c>
      <c r="U217" s="10" t="b">
        <f aca="false">AND(T217="1. Migration Candidate",J217="Core",O217&gt;=Assumptions!$B$39,Q217&gt;=Assumptions!$B$40,NOT(Z217))</f>
        <v>0</v>
      </c>
      <c r="V217" s="2" t="n">
        <f aca="false">(AND(H217="Broker-Reliant",J217&lt;&gt;"Tail",OR(N217="Growing",N217="Stable")))*1+(AND(H217="Broker-Reliant",J217&lt;&gt;"Tail",N217="Declining"))*1+(AND(H217="Broker-Reliant",J217&lt;&gt;"Tail",N217="Lapsed"))*1+(AND(H217="Broker-Reliant",J217&lt;&gt;"Tail",N217="H2 Active / No H1 GMV"))*1+(AND(H217="Broker-Reliant",J217="Tail"))*1+(AND(G217="Low",J217&lt;&gt;"Tail",OR(N217="Growing",N217="Stable")))*1+(AND(G217="Low",J217&lt;&gt;"Tail",N217="H2 Active / No H1 GMV"))*1+(AND(G217="Low",J217&lt;&gt;"Tail",OR(N217="Declining",N217="Lapsed")))*1+(AND(G217="Low",J217="Tail"))*1</f>
        <v>1</v>
      </c>
      <c r="W217" s="2" t="n">
        <f aca="false">INDEX('Commercial View'!$V$2:$V$301,MATCH($A217,'Commercial View'!$A$2:$A$301,0))</f>
        <v>3</v>
      </c>
      <c r="X217" s="10" t="b">
        <f aca="false">O217&lt;=Assumptions!$B$30</f>
        <v>0</v>
      </c>
      <c r="Y217" s="10" t="b">
        <f aca="false">W217&lt;=1</f>
        <v>0</v>
      </c>
      <c r="Z217" s="10" t="b">
        <f aca="false">C217="Duplicate"</f>
        <v>0</v>
      </c>
      <c r="AA217" s="10" t="b">
        <f aca="false">C217=""</f>
        <v>1</v>
      </c>
      <c r="AB217" s="2" t="n">
        <f aca="false">IF(P217+Q217&gt;0,ROUND(P217/(P217+Q217)*100,0),"")</f>
        <v>0</v>
      </c>
      <c r="AC217" s="2" t="n">
        <f aca="false">IF(P217+Q217&gt;0,ROUND(E217-P217/(P217+Q217)*100,0),"")</f>
        <v>0</v>
      </c>
      <c r="AD217" s="10" t="b">
        <f aca="false">IF(AC217="",FALSE(),ABS(AC217)&gt;Assumptions!$B$41)</f>
        <v>0</v>
      </c>
      <c r="AE217" s="2" t="str">
        <f aca="false">IF(X217,"Low confidence (&lt;=2 orders); ","")&amp;IF(Y217,"Single-month history; ","")&amp;IF(Z217,"CRITICAL: Duplicate status; ","")&amp;IF(AA217,"Missing status; ","")&amp;IF(AD217,"Broker % vs counts gap "&amp;TEXT(AC217,"+0;-0")&amp;"pts; ","")</f>
        <v>Missing status; </v>
      </c>
      <c r="AF217" s="2" t="str">
        <f aca="false">IF(AND(K217=0,L217&gt;0),IF(D217&lt;=Assumptions!$B$47,"New Customer","Returned Customer"),"Existing Customer")</f>
        <v>Existing Customer</v>
      </c>
      <c r="AG217" s="10" t="b">
        <f aca="false">AND(T217="1. Migration Candidate",J217="Key")</f>
        <v>0</v>
      </c>
      <c r="AH217" s="10" t="b">
        <f aca="false">IF(AND(K217&gt;0,L217&gt;0),OR(ABS(M217-Assumptions!$B$36)&lt;=Assumptions!$B$46,ABS(M217+Assumptions!$B$36)&lt;=Assumptions!$B$46),FALSE())</f>
        <v>0</v>
      </c>
      <c r="AI217" s="9" t="n">
        <f aca="false">INDEX('Commercial View'!$L$2:$L$301,MATCH($A217,'Commercial View'!$A$2:$A$301,0))+INDEX('Commercial View'!$M$2:$M$301,MATCH($A217,'Commercial View'!$A$2:$A$301,0))</f>
        <v>2103</v>
      </c>
      <c r="AJ217" s="2" t="str">
        <f aca="false">IF(AND(K217=0,AI217=0),"No activity ex-Feb",IF(AI217=0,"Lapsed",IF(K217=0,"H2 Active / No H1 GMV",IF((AI217/2)/(K217/3)-1&gt;=Assumptions!$B$36,"Growing",IF((AI217/2)/(K217/3)-1&lt;-Assumptions!$B$36,"Declining","Stable")))))</f>
        <v>Growing</v>
      </c>
      <c r="AK217" s="10" t="b">
        <f aca="false">IF(OR(N217="Growing",N217="Stable"),"Healthy",N217)&lt;&gt;IF(OR(AJ217="Growing",AJ217="Stable"),"Healthy",AJ217)</f>
        <v>0</v>
      </c>
      <c r="AL217" s="2" t="str">
        <f aca="false">IF(N217="Lapsed",IF(OR(O217&lt;=Assumptions!$B$48,W217&lt;=Assumptions!$B$49),"One-Off / Insufficient History — Verify","Established Buyer Lapsed"),"N/A")</f>
        <v>N/A</v>
      </c>
      <c r="AM217" s="2" t="n">
        <f aca="false">INDEX('Scored Accounts'!$M$2:$M$301,MATCH($A217,'Scored Accounts'!$A$2:$A$301,0))</f>
        <v>0</v>
      </c>
      <c r="AN217" s="2" t="n">
        <f aca="false">IF((P217/(P217+Q217)*100)&lt;=Assumptions!$B$13,0,IF((P217/(P217+Q217)*100)&lt;Assumptions!$B$14,25,IF((P217/(P217+Q217)*100)&lt;Assumptions!$B$15,50,IF((P217/(P217+Q217)*100)&lt;Assumptions!$B$16,75,100))))</f>
        <v>0</v>
      </c>
      <c r="AO217" s="21" t="n">
        <f aca="false">IF((P217/(P217+Q217)*100)&lt;=Assumptions!$B$8,0,AN217*Assumptions!$B$4+INDEX('Scored Accounts'!$N$2:$N$301,MATCH($A217,'Scored Accounts'!$A$2:$A$301,0))*Assumptions!$B$5+INDEX('Scored Accounts'!$O$2:$O$301,MATCH($A217,'Scored Accounts'!$A$2:$A$301,0))*Assumptions!$B$6)</f>
        <v>0</v>
      </c>
      <c r="AP217" s="2" t="str">
        <f aca="false">IF(AO217&gt;=Assumptions!$B$9,"High",IF(AO217&gt;=Assumptions!$B$10,"Medium","Low"))</f>
        <v>Low</v>
      </c>
      <c r="AQ217" s="10" t="b">
        <f aca="false">OR((E217&lt;=Assumptions!$B$8)&lt;&gt;((P217/(P217+Q217)*100)&lt;=Assumptions!$B$8),AM217&lt;&gt;AN217,G217&lt;&gt;AP217)</f>
        <v>0</v>
      </c>
      <c r="AR217" s="2" t="str">
        <f aca="false">IF(AP217&lt;&gt;"Low","Broker-Reliant",IF(B217="Account Managed","AM-Owned / Self-Serving","Self-Serve"))</f>
        <v>Self-Serve</v>
      </c>
      <c r="AS217" s="2" t="str">
        <f aca="false">IF(AR217="Broker-Reliant",IF(J217="Tail","5. Cost-to-Serve / Low-Touch",IF(OR(N217="Growing",N217="Stable"),"1. Migration Candidate",IF(N217="Declining","2. Protect / Retain First",IF(N217="Lapsed","3. Win-Back / Verify",IF(N217="H2 Active / No H1 GMV","4. Establish / Re-establish / Observe","UNASSIGNED"))))),IF(AP217="Low",IF(J217="Tail","9. Long-Tail Automated Nurture",IF(OR(N217="Growing",N217="Stable"),"6. Growth Opportunity",IF(N217="H2 Active / No H1 GMV","7. Onboard / Re-engage / Learn",IF(OR(N217="Declining",N217="Lapsed"),"8. Retention / Reactivation","UNASSIGNED")))),"UNASSIGNED"))</f>
        <v>6. Growth Opportunity</v>
      </c>
      <c r="AT217" s="10" t="b">
        <f aca="false">AS217&lt;&gt;T217</f>
        <v>0</v>
      </c>
      <c r="AU217" s="2" t="str">
        <f aca="false">IF(NOT(U217),"Not Eligible",IF(OR(AQ217,AH217,AK217,NOT(AND(W217&gt;=Assumptions!$B$83,O217&gt;=Assumptions!$B$84))),"Manual Review","Ready"))</f>
        <v>Not Eligible</v>
      </c>
      <c r="AV217" s="2" t="str">
        <f aca="false">IF(AG217,"Key account - human sign-off required; ","")&amp;IF(AH217,"Borderline momentum; ","")&amp;IF(AK217,"February-sensitive ("&amp;N217&amp;" -&gt; "&amp;AJ217&amp;"); ","")&amp;IF(AL217="One-Off / Insufficient History — Verify","Lapsed on thin history - verify; ","")&amp;IF(AQ217,"Material broker % inconsistency (implied tier "&amp;AP217&amp;"); ","")&amp;IF(AT217,"Implied broker % would move segment to "&amp;AS217&amp;"; ","")</f>
        <v/>
      </c>
      <c r="AW217" s="10" t="b">
        <f aca="false">AND(G217="Low",J217="Tail",I217&gt;=Assumptions!$B$64,O217&gt;=Assumptions!$B$65,OR(N217="Growing",N217="Stable",AND(N217="H2 Active / No H1 GMV",W217&gt;=2)),OR(R217&gt;=Assumptions!$B$66,S217&gt;=Assumptions!$B$67))</f>
        <v>0</v>
      </c>
    </row>
    <row r="218" customFormat="false" ht="15" hidden="false" customHeight="false" outlineLevel="0" collapsed="false">
      <c r="A218" s="2" t="s">
        <v>435</v>
      </c>
      <c r="B218" s="2" t="s">
        <v>1574</v>
      </c>
      <c r="C218" s="2"/>
      <c r="D218" s="2" t="n">
        <v>3</v>
      </c>
      <c r="E218" s="2" t="n">
        <v>0</v>
      </c>
      <c r="F218" s="21" t="n">
        <f aca="false">INDEX('Scored Accounts'!$Q$2:$Q$301,MATCH($A218,'Scored Accounts'!$A$2:$A$301,0))</f>
        <v>0</v>
      </c>
      <c r="G218" s="2" t="str">
        <f aca="false">INDEX('Scored Accounts'!$R$2:$R$301,MATCH($A218,'Scored Accounts'!$A$2:$A$301,0))</f>
        <v>Low</v>
      </c>
      <c r="H218" s="2" t="str">
        <f aca="false">IF(OR(G218="High",G218="Medium"),"Broker-Reliant",IF(AND(G218="Low",B218="Account Managed"),"AM-Owned / Self-Serving",IF(AND(G218="Low",B218="Self Serve"),"Self-Serve","UNASSIGNED")))</f>
        <v>Self-Serve</v>
      </c>
      <c r="I218" s="9" t="n">
        <v>2402</v>
      </c>
      <c r="J218" s="2" t="str">
        <f aca="false">IF(I218&gt;=Assumptions!$B$35,"Key",IF(I218&gt;=Assumptions!$B$34,"Core","Tail"))</f>
        <v>Core</v>
      </c>
      <c r="K218" s="9" t="n">
        <f aca="false">INDEX('Commercial View'!$R$2:$R$301,MATCH($A218,'Commercial View'!$A$2:$A$301,0))</f>
        <v>0</v>
      </c>
      <c r="L218" s="9" t="n">
        <f aca="false">INDEX('Commercial View'!$S$2:$S$301,MATCH($A218,'Commercial View'!$A$2:$A$301,0))</f>
        <v>2402</v>
      </c>
      <c r="M218" s="17" t="str">
        <f aca="false">INDEX('Commercial View'!$T$2:$T$301,MATCH($A218,'Commercial View'!$A$2:$A$301,0))</f>
        <v/>
      </c>
      <c r="N218" s="2" t="str">
        <f aca="false">INDEX('Commercial View'!$U$2:$U$301,MATCH($A218,'Commercial View'!$A$2:$A$301,0))</f>
        <v>H2 Active / No H1 GMV</v>
      </c>
      <c r="O218" s="2" t="n">
        <v>9</v>
      </c>
      <c r="P218" s="2" t="n">
        <v>0</v>
      </c>
      <c r="Q218" s="2" t="n">
        <v>9</v>
      </c>
      <c r="R218" s="2" t="n">
        <v>21</v>
      </c>
      <c r="S218" s="2" t="n">
        <v>0</v>
      </c>
      <c r="T218" s="2" t="str">
        <f aca="false">IF(H218="Broker-Reliant",IF(J218="Tail","5. Cost-to-Serve / Low-Touch",IF(OR(N218="Growing",N218="Stable"),"1. Migration Candidate",IF(N218="Declining","2. Protect / Retain First",IF(N218="Lapsed","3. Win-Back / Verify",IF(N218="H2 Active / No H1 GMV","4. Establish / Re-establish / Observe","UNASSIGNED"))))),IF(G218="Low",IF(J218="Tail","9. Long-Tail Automated Nurture",IF(OR(N218="Growing",N218="Stable"),"6. Growth Opportunity",IF(N218="H2 Active / No H1 GMV","7. Onboard / Re-engage / Learn",IF(OR(N218="Declining",N218="Lapsed"),"8. Retention / Reactivation","UNASSIGNED")))),"UNASSIGNED"))</f>
        <v>7. Onboard / Re-engage / Learn</v>
      </c>
      <c r="U218" s="10" t="b">
        <f aca="false">AND(T218="1. Migration Candidate",J218="Core",O218&gt;=Assumptions!$B$39,Q218&gt;=Assumptions!$B$40,NOT(Z218))</f>
        <v>0</v>
      </c>
      <c r="V218" s="2" t="n">
        <f aca="false">(AND(H218="Broker-Reliant",J218&lt;&gt;"Tail",OR(N218="Growing",N218="Stable")))*1+(AND(H218="Broker-Reliant",J218&lt;&gt;"Tail",N218="Declining"))*1+(AND(H218="Broker-Reliant",J218&lt;&gt;"Tail",N218="Lapsed"))*1+(AND(H218="Broker-Reliant",J218&lt;&gt;"Tail",N218="H2 Active / No H1 GMV"))*1+(AND(H218="Broker-Reliant",J218="Tail"))*1+(AND(G218="Low",J218&lt;&gt;"Tail",OR(N218="Growing",N218="Stable")))*1+(AND(G218="Low",J218&lt;&gt;"Tail",N218="H2 Active / No H1 GMV"))*1+(AND(G218="Low",J218&lt;&gt;"Tail",OR(N218="Declining",N218="Lapsed")))*1+(AND(G218="Low",J218="Tail"))*1</f>
        <v>1</v>
      </c>
      <c r="W218" s="2" t="n">
        <f aca="false">INDEX('Commercial View'!$V$2:$V$301,MATCH($A218,'Commercial View'!$A$2:$A$301,0))</f>
        <v>3</v>
      </c>
      <c r="X218" s="10" t="b">
        <f aca="false">O218&lt;=Assumptions!$B$30</f>
        <v>0</v>
      </c>
      <c r="Y218" s="10" t="b">
        <f aca="false">W218&lt;=1</f>
        <v>0</v>
      </c>
      <c r="Z218" s="10" t="b">
        <f aca="false">C218="Duplicate"</f>
        <v>0</v>
      </c>
      <c r="AA218" s="10" t="b">
        <f aca="false">C218=""</f>
        <v>1</v>
      </c>
      <c r="AB218" s="2" t="n">
        <f aca="false">IF(P218+Q218&gt;0,ROUND(P218/(P218+Q218)*100,0),"")</f>
        <v>0</v>
      </c>
      <c r="AC218" s="2" t="n">
        <f aca="false">IF(P218+Q218&gt;0,ROUND(E218-P218/(P218+Q218)*100,0),"")</f>
        <v>0</v>
      </c>
      <c r="AD218" s="10" t="b">
        <f aca="false">IF(AC218="",FALSE(),ABS(AC218)&gt;Assumptions!$B$41)</f>
        <v>0</v>
      </c>
      <c r="AE218" s="2" t="str">
        <f aca="false">IF(X218,"Low confidence (&lt;=2 orders); ","")&amp;IF(Y218,"Single-month history; ","")&amp;IF(Z218,"CRITICAL: Duplicate status; ","")&amp;IF(AA218,"Missing status; ","")&amp;IF(AD218,"Broker % vs counts gap "&amp;TEXT(AC218,"+0;-0")&amp;"pts; ","")</f>
        <v>Missing status; </v>
      </c>
      <c r="AF218" s="2" t="str">
        <f aca="false">IF(AND(K218=0,L218&gt;0),IF(D218&lt;=Assumptions!$B$47,"New Customer","Returned Customer"),"Existing Customer")</f>
        <v>New Customer</v>
      </c>
      <c r="AG218" s="10" t="b">
        <f aca="false">AND(T218="1. Migration Candidate",J218="Key")</f>
        <v>0</v>
      </c>
      <c r="AH218" s="10" t="b">
        <f aca="false">IF(AND(K218&gt;0,L218&gt;0),OR(ABS(M218-Assumptions!$B$36)&lt;=Assumptions!$B$46,ABS(M218+Assumptions!$B$36)&lt;=Assumptions!$B$46),FALSE())</f>
        <v>0</v>
      </c>
      <c r="AI218" s="9" t="n">
        <f aca="false">INDEX('Commercial View'!$L$2:$L$301,MATCH($A218,'Commercial View'!$A$2:$A$301,0))+INDEX('Commercial View'!$M$2:$M$301,MATCH($A218,'Commercial View'!$A$2:$A$301,0))</f>
        <v>900</v>
      </c>
      <c r="AJ218" s="2" t="str">
        <f aca="false">IF(AND(K218=0,AI218=0),"No activity ex-Feb",IF(AI218=0,"Lapsed",IF(K218=0,"H2 Active / No H1 GMV",IF((AI218/2)/(K218/3)-1&gt;=Assumptions!$B$36,"Growing",IF((AI218/2)/(K218/3)-1&lt;-Assumptions!$B$36,"Declining","Stable")))))</f>
        <v>H2 Active / No H1 GMV</v>
      </c>
      <c r="AK218" s="10" t="b">
        <f aca="false">IF(OR(N218="Growing",N218="Stable"),"Healthy",N218)&lt;&gt;IF(OR(AJ218="Growing",AJ218="Stable"),"Healthy",AJ218)</f>
        <v>0</v>
      </c>
      <c r="AL218" s="2" t="str">
        <f aca="false">IF(N218="Lapsed",IF(OR(O218&lt;=Assumptions!$B$48,W218&lt;=Assumptions!$B$49),"One-Off / Insufficient History — Verify","Established Buyer Lapsed"),"N/A")</f>
        <v>N/A</v>
      </c>
      <c r="AM218" s="2" t="n">
        <f aca="false">INDEX('Scored Accounts'!$M$2:$M$301,MATCH($A218,'Scored Accounts'!$A$2:$A$301,0))</f>
        <v>0</v>
      </c>
      <c r="AN218" s="2" t="n">
        <f aca="false">IF((P218/(P218+Q218)*100)&lt;=Assumptions!$B$13,0,IF((P218/(P218+Q218)*100)&lt;Assumptions!$B$14,25,IF((P218/(P218+Q218)*100)&lt;Assumptions!$B$15,50,IF((P218/(P218+Q218)*100)&lt;Assumptions!$B$16,75,100))))</f>
        <v>0</v>
      </c>
      <c r="AO218" s="21" t="n">
        <f aca="false">IF((P218/(P218+Q218)*100)&lt;=Assumptions!$B$8,0,AN218*Assumptions!$B$4+INDEX('Scored Accounts'!$N$2:$N$301,MATCH($A218,'Scored Accounts'!$A$2:$A$301,0))*Assumptions!$B$5+INDEX('Scored Accounts'!$O$2:$O$301,MATCH($A218,'Scored Accounts'!$A$2:$A$301,0))*Assumptions!$B$6)</f>
        <v>0</v>
      </c>
      <c r="AP218" s="2" t="str">
        <f aca="false">IF(AO218&gt;=Assumptions!$B$9,"High",IF(AO218&gt;=Assumptions!$B$10,"Medium","Low"))</f>
        <v>Low</v>
      </c>
      <c r="AQ218" s="10" t="b">
        <f aca="false">OR((E218&lt;=Assumptions!$B$8)&lt;&gt;((P218/(P218+Q218)*100)&lt;=Assumptions!$B$8),AM218&lt;&gt;AN218,G218&lt;&gt;AP218)</f>
        <v>0</v>
      </c>
      <c r="AR218" s="2" t="str">
        <f aca="false">IF(AP218&lt;&gt;"Low","Broker-Reliant",IF(B218="Account Managed","AM-Owned / Self-Serving","Self-Serve"))</f>
        <v>Self-Serve</v>
      </c>
      <c r="AS218" s="2" t="str">
        <f aca="false">IF(AR218="Broker-Reliant",IF(J218="Tail","5. Cost-to-Serve / Low-Touch",IF(OR(N218="Growing",N218="Stable"),"1. Migration Candidate",IF(N218="Declining","2. Protect / Retain First",IF(N218="Lapsed","3. Win-Back / Verify",IF(N218="H2 Active / No H1 GMV","4. Establish / Re-establish / Observe","UNASSIGNED"))))),IF(AP218="Low",IF(J218="Tail","9. Long-Tail Automated Nurture",IF(OR(N218="Growing",N218="Stable"),"6. Growth Opportunity",IF(N218="H2 Active / No H1 GMV","7. Onboard / Re-engage / Learn",IF(OR(N218="Declining",N218="Lapsed"),"8. Retention / Reactivation","UNASSIGNED")))),"UNASSIGNED"))</f>
        <v>7. Onboard / Re-engage / Learn</v>
      </c>
      <c r="AT218" s="10" t="b">
        <f aca="false">AS218&lt;&gt;T218</f>
        <v>0</v>
      </c>
      <c r="AU218" s="2" t="str">
        <f aca="false">IF(NOT(U218),"Not Eligible",IF(OR(AQ218,AH218,AK218,NOT(AND(W218&gt;=Assumptions!$B$83,O218&gt;=Assumptions!$B$84))),"Manual Review","Ready"))</f>
        <v>Not Eligible</v>
      </c>
      <c r="AV218" s="2" t="str">
        <f aca="false">IF(AG218,"Key account - human sign-off required; ","")&amp;IF(AH218,"Borderline momentum; ","")&amp;IF(AK218,"February-sensitive ("&amp;N218&amp;" -&gt; "&amp;AJ218&amp;"); ","")&amp;IF(AL218="One-Off / Insufficient History — Verify","Lapsed on thin history - verify; ","")&amp;IF(AQ218,"Material broker % inconsistency (implied tier "&amp;AP218&amp;"); ","")&amp;IF(AT218,"Implied broker % would move segment to "&amp;AS218&amp;"; ","")</f>
        <v/>
      </c>
      <c r="AW218" s="10" t="b">
        <f aca="false">AND(G218="Low",J218="Tail",I218&gt;=Assumptions!$B$64,O218&gt;=Assumptions!$B$65,OR(N218="Growing",N218="Stable",AND(N218="H2 Active / No H1 GMV",W218&gt;=2)),OR(R218&gt;=Assumptions!$B$66,S218&gt;=Assumptions!$B$67))</f>
        <v>0</v>
      </c>
    </row>
    <row r="219" customFormat="false" ht="15" hidden="false" customHeight="false" outlineLevel="0" collapsed="false">
      <c r="A219" s="2" t="s">
        <v>601</v>
      </c>
      <c r="B219" s="2" t="s">
        <v>1574</v>
      </c>
      <c r="C219" s="2"/>
      <c r="D219" s="2" t="n">
        <v>5</v>
      </c>
      <c r="E219" s="2" t="n">
        <v>0</v>
      </c>
      <c r="F219" s="21" t="n">
        <f aca="false">INDEX('Scored Accounts'!$Q$2:$Q$301,MATCH($A219,'Scored Accounts'!$A$2:$A$301,0))</f>
        <v>0</v>
      </c>
      <c r="G219" s="2" t="str">
        <f aca="false">INDEX('Scored Accounts'!$R$2:$R$301,MATCH($A219,'Scored Accounts'!$A$2:$A$301,0))</f>
        <v>Low</v>
      </c>
      <c r="H219" s="2" t="str">
        <f aca="false">IF(OR(G219="High",G219="Medium"),"Broker-Reliant",IF(AND(G219="Low",B219="Account Managed"),"AM-Owned / Self-Serving",IF(AND(G219="Low",B219="Self Serve"),"Self-Serve","UNASSIGNED")))</f>
        <v>Self-Serve</v>
      </c>
      <c r="I219" s="9" t="n">
        <v>1219</v>
      </c>
      <c r="J219" s="2" t="str">
        <f aca="false">IF(I219&gt;=Assumptions!$B$35,"Key",IF(I219&gt;=Assumptions!$B$34,"Core","Tail"))</f>
        <v>Tail</v>
      </c>
      <c r="K219" s="9" t="n">
        <f aca="false">INDEX('Commercial View'!$R$2:$R$301,MATCH($A219,'Commercial View'!$A$2:$A$301,0))</f>
        <v>1219</v>
      </c>
      <c r="L219" s="9" t="n">
        <f aca="false">INDEX('Commercial View'!$S$2:$S$301,MATCH($A219,'Commercial View'!$A$2:$A$301,0))</f>
        <v>0</v>
      </c>
      <c r="M219" s="17" t="n">
        <f aca="false">INDEX('Commercial View'!$T$2:$T$301,MATCH($A219,'Commercial View'!$A$2:$A$301,0))</f>
        <v>-1</v>
      </c>
      <c r="N219" s="2" t="str">
        <f aca="false">INDEX('Commercial View'!$U$2:$U$301,MATCH($A219,'Commercial View'!$A$2:$A$301,0))</f>
        <v>Lapsed</v>
      </c>
      <c r="O219" s="2" t="n">
        <v>4</v>
      </c>
      <c r="P219" s="2" t="n">
        <v>0</v>
      </c>
      <c r="Q219" s="2" t="n">
        <v>4</v>
      </c>
      <c r="R219" s="2" t="n">
        <v>0</v>
      </c>
      <c r="S219" s="2" t="n">
        <v>0</v>
      </c>
      <c r="T219" s="2" t="str">
        <f aca="false">IF(H219="Broker-Reliant",IF(J219="Tail","5. Cost-to-Serve / Low-Touch",IF(OR(N219="Growing",N219="Stable"),"1. Migration Candidate",IF(N219="Declining","2. Protect / Retain First",IF(N219="Lapsed","3. Win-Back / Verify",IF(N219="H2 Active / No H1 GMV","4. Establish / Re-establish / Observe","UNASSIGNED"))))),IF(G219="Low",IF(J219="Tail","9. Long-Tail Automated Nurture",IF(OR(N219="Growing",N219="Stable"),"6. Growth Opportunity",IF(N219="H2 Active / No H1 GMV","7. Onboard / Re-engage / Learn",IF(OR(N219="Declining",N219="Lapsed"),"8. Retention / Reactivation","UNASSIGNED")))),"UNASSIGNED"))</f>
        <v>9. Long-Tail Automated Nurture</v>
      </c>
      <c r="U219" s="10" t="b">
        <f aca="false">AND(T219="1. Migration Candidate",J219="Core",O219&gt;=Assumptions!$B$39,Q219&gt;=Assumptions!$B$40,NOT(Z219))</f>
        <v>0</v>
      </c>
      <c r="V219" s="2" t="n">
        <f aca="false">(AND(H219="Broker-Reliant",J219&lt;&gt;"Tail",OR(N219="Growing",N219="Stable")))*1+(AND(H219="Broker-Reliant",J219&lt;&gt;"Tail",N219="Declining"))*1+(AND(H219="Broker-Reliant",J219&lt;&gt;"Tail",N219="Lapsed"))*1+(AND(H219="Broker-Reliant",J219&lt;&gt;"Tail",N219="H2 Active / No H1 GMV"))*1+(AND(H219="Broker-Reliant",J219="Tail"))*1+(AND(G219="Low",J219&lt;&gt;"Tail",OR(N219="Growing",N219="Stable")))*1+(AND(G219="Low",J219&lt;&gt;"Tail",N219="H2 Active / No H1 GMV"))*1+(AND(G219="Low",J219&lt;&gt;"Tail",OR(N219="Declining",N219="Lapsed")))*1+(AND(G219="Low",J219="Tail"))*1</f>
        <v>1</v>
      </c>
      <c r="W219" s="2" t="n">
        <f aca="false">INDEX('Commercial View'!$V$2:$V$301,MATCH($A219,'Commercial View'!$A$2:$A$301,0))</f>
        <v>1</v>
      </c>
      <c r="X219" s="10" t="b">
        <f aca="false">O219&lt;=Assumptions!$B$30</f>
        <v>0</v>
      </c>
      <c r="Y219" s="10" t="b">
        <f aca="false">W219&lt;=1</f>
        <v>1</v>
      </c>
      <c r="Z219" s="10" t="b">
        <f aca="false">C219="Duplicate"</f>
        <v>0</v>
      </c>
      <c r="AA219" s="10" t="b">
        <f aca="false">C219=""</f>
        <v>1</v>
      </c>
      <c r="AB219" s="2" t="n">
        <f aca="false">IF(P219+Q219&gt;0,ROUND(P219/(P219+Q219)*100,0),"")</f>
        <v>0</v>
      </c>
      <c r="AC219" s="2" t="n">
        <f aca="false">IF(P219+Q219&gt;0,ROUND(E219-P219/(P219+Q219)*100,0),"")</f>
        <v>0</v>
      </c>
      <c r="AD219" s="10" t="b">
        <f aca="false">IF(AC219="",FALSE(),ABS(AC219)&gt;Assumptions!$B$41)</f>
        <v>0</v>
      </c>
      <c r="AE219" s="2" t="str">
        <f aca="false">IF(X219,"Low confidence (&lt;=2 orders); ","")&amp;IF(Y219,"Single-month history; ","")&amp;IF(Z219,"CRITICAL: Duplicate status; ","")&amp;IF(AA219,"Missing status; ","")&amp;IF(AD219,"Broker % vs counts gap "&amp;TEXT(AC219,"+0;-0")&amp;"pts; ","")</f>
        <v>Single-month history; Missing status; </v>
      </c>
      <c r="AF219" s="2" t="str">
        <f aca="false">IF(AND(K219=0,L219&gt;0),IF(D219&lt;=Assumptions!$B$47,"New Customer","Returned Customer"),"Existing Customer")</f>
        <v>Existing Customer</v>
      </c>
      <c r="AG219" s="10" t="b">
        <f aca="false">AND(T219="1. Migration Candidate",J219="Key")</f>
        <v>0</v>
      </c>
      <c r="AH219" s="10" t="b">
        <f aca="false">IF(AND(K219&gt;0,L219&gt;0),OR(ABS(M219-Assumptions!$B$36)&lt;=Assumptions!$B$46,ABS(M219+Assumptions!$B$36)&lt;=Assumptions!$B$46),FALSE())</f>
        <v>0</v>
      </c>
      <c r="AI219" s="9" t="n">
        <f aca="false">INDEX('Commercial View'!$L$2:$L$301,MATCH($A219,'Commercial View'!$A$2:$A$301,0))+INDEX('Commercial View'!$M$2:$M$301,MATCH($A219,'Commercial View'!$A$2:$A$301,0))</f>
        <v>0</v>
      </c>
      <c r="AJ219" s="2" t="str">
        <f aca="false">IF(AND(K219=0,AI219=0),"No activity ex-Feb",IF(AI219=0,"Lapsed",IF(K219=0,"H2 Active / No H1 GMV",IF((AI219/2)/(K219/3)-1&gt;=Assumptions!$B$36,"Growing",IF((AI219/2)/(K219/3)-1&lt;-Assumptions!$B$36,"Declining","Stable")))))</f>
        <v>Lapsed</v>
      </c>
      <c r="AK219" s="10" t="b">
        <f aca="false">IF(OR(N219="Growing",N219="Stable"),"Healthy",N219)&lt;&gt;IF(OR(AJ219="Growing",AJ219="Stable"),"Healthy",AJ219)</f>
        <v>0</v>
      </c>
      <c r="AL219" s="2" t="str">
        <f aca="false">IF(N219="Lapsed",IF(OR(O219&lt;=Assumptions!$B$48,W219&lt;=Assumptions!$B$49),"One-Off / Insufficient History — Verify","Established Buyer Lapsed"),"N/A")</f>
        <v>One-Off / Insufficient History — Verify</v>
      </c>
      <c r="AM219" s="2" t="n">
        <f aca="false">INDEX('Scored Accounts'!$M$2:$M$301,MATCH($A219,'Scored Accounts'!$A$2:$A$301,0))</f>
        <v>0</v>
      </c>
      <c r="AN219" s="2" t="n">
        <f aca="false">IF((P219/(P219+Q219)*100)&lt;=Assumptions!$B$13,0,IF((P219/(P219+Q219)*100)&lt;Assumptions!$B$14,25,IF((P219/(P219+Q219)*100)&lt;Assumptions!$B$15,50,IF((P219/(P219+Q219)*100)&lt;Assumptions!$B$16,75,100))))</f>
        <v>0</v>
      </c>
      <c r="AO219" s="21" t="n">
        <f aca="false">IF((P219/(P219+Q219)*100)&lt;=Assumptions!$B$8,0,AN219*Assumptions!$B$4+INDEX('Scored Accounts'!$N$2:$N$301,MATCH($A219,'Scored Accounts'!$A$2:$A$301,0))*Assumptions!$B$5+INDEX('Scored Accounts'!$O$2:$O$301,MATCH($A219,'Scored Accounts'!$A$2:$A$301,0))*Assumptions!$B$6)</f>
        <v>0</v>
      </c>
      <c r="AP219" s="2" t="str">
        <f aca="false">IF(AO219&gt;=Assumptions!$B$9,"High",IF(AO219&gt;=Assumptions!$B$10,"Medium","Low"))</f>
        <v>Low</v>
      </c>
      <c r="AQ219" s="10" t="b">
        <f aca="false">OR((E219&lt;=Assumptions!$B$8)&lt;&gt;((P219/(P219+Q219)*100)&lt;=Assumptions!$B$8),AM219&lt;&gt;AN219,G219&lt;&gt;AP219)</f>
        <v>0</v>
      </c>
      <c r="AR219" s="2" t="str">
        <f aca="false">IF(AP219&lt;&gt;"Low","Broker-Reliant",IF(B219="Account Managed","AM-Owned / Self-Serving","Self-Serve"))</f>
        <v>Self-Serve</v>
      </c>
      <c r="AS219" s="2" t="str">
        <f aca="false">IF(AR219="Broker-Reliant",IF(J219="Tail","5. Cost-to-Serve / Low-Touch",IF(OR(N219="Growing",N219="Stable"),"1. Migration Candidate",IF(N219="Declining","2. Protect / Retain First",IF(N219="Lapsed","3. Win-Back / Verify",IF(N219="H2 Active / No H1 GMV","4. Establish / Re-establish / Observe","UNASSIGNED"))))),IF(AP219="Low",IF(J219="Tail","9. Long-Tail Automated Nurture",IF(OR(N219="Growing",N219="Stable"),"6. Growth Opportunity",IF(N219="H2 Active / No H1 GMV","7. Onboard / Re-engage / Learn",IF(OR(N219="Declining",N219="Lapsed"),"8. Retention / Reactivation","UNASSIGNED")))),"UNASSIGNED"))</f>
        <v>9. Long-Tail Automated Nurture</v>
      </c>
      <c r="AT219" s="10" t="b">
        <f aca="false">AS219&lt;&gt;T219</f>
        <v>0</v>
      </c>
      <c r="AU219" s="2" t="str">
        <f aca="false">IF(NOT(U219),"Not Eligible",IF(OR(AQ219,AH219,AK219,NOT(AND(W219&gt;=Assumptions!$B$83,O219&gt;=Assumptions!$B$84))),"Manual Review","Ready"))</f>
        <v>Not Eligible</v>
      </c>
      <c r="AV219" s="2" t="str">
        <f aca="false">IF(AG219,"Key account - human sign-off required; ","")&amp;IF(AH219,"Borderline momentum; ","")&amp;IF(AK219,"February-sensitive ("&amp;N219&amp;" -&gt; "&amp;AJ219&amp;"); ","")&amp;IF(AL219="One-Off / Insufficient History — Verify","Lapsed on thin history - verify; ","")&amp;IF(AQ219,"Material broker % inconsistency (implied tier "&amp;AP219&amp;"); ","")&amp;IF(AT219,"Implied broker % would move segment to "&amp;AS219&amp;"; ","")</f>
        <v>Lapsed on thin history - verify; </v>
      </c>
      <c r="AW219" s="10" t="b">
        <f aca="false">AND(G219="Low",J219="Tail",I219&gt;=Assumptions!$B$64,O219&gt;=Assumptions!$B$65,OR(N219="Growing",N219="Stable",AND(N219="H2 Active / No H1 GMV",W219&gt;=2)),OR(R219&gt;=Assumptions!$B$66,S219&gt;=Assumptions!$B$67))</f>
        <v>0</v>
      </c>
    </row>
    <row r="220" customFormat="false" ht="15" hidden="false" customHeight="false" outlineLevel="0" collapsed="false">
      <c r="A220" s="2" t="s">
        <v>541</v>
      </c>
      <c r="B220" s="2" t="s">
        <v>1574</v>
      </c>
      <c r="C220" s="2"/>
      <c r="D220" s="2" t="n">
        <v>3</v>
      </c>
      <c r="E220" s="2" t="n">
        <v>0</v>
      </c>
      <c r="F220" s="21" t="n">
        <f aca="false">INDEX('Scored Accounts'!$Q$2:$Q$301,MATCH($A220,'Scored Accounts'!$A$2:$A$301,0))</f>
        <v>0</v>
      </c>
      <c r="G220" s="2" t="str">
        <f aca="false">INDEX('Scored Accounts'!$R$2:$R$301,MATCH($A220,'Scored Accounts'!$A$2:$A$301,0))</f>
        <v>Low</v>
      </c>
      <c r="H220" s="2" t="str">
        <f aca="false">IF(OR(G220="High",G220="Medium"),"Broker-Reliant",IF(AND(G220="Low",B220="Account Managed"),"AM-Owned / Self-Serving",IF(AND(G220="Low",B220="Self Serve"),"Self-Serve","UNASSIGNED")))</f>
        <v>Self-Serve</v>
      </c>
      <c r="I220" s="9" t="n">
        <v>1166</v>
      </c>
      <c r="J220" s="2" t="str">
        <f aca="false">IF(I220&gt;=Assumptions!$B$35,"Key",IF(I220&gt;=Assumptions!$B$34,"Core","Tail"))</f>
        <v>Tail</v>
      </c>
      <c r="K220" s="9" t="n">
        <f aca="false">INDEX('Commercial View'!$R$2:$R$301,MATCH($A220,'Commercial View'!$A$2:$A$301,0))</f>
        <v>0</v>
      </c>
      <c r="L220" s="9" t="n">
        <f aca="false">INDEX('Commercial View'!$S$2:$S$301,MATCH($A220,'Commercial View'!$A$2:$A$301,0))</f>
        <v>1166</v>
      </c>
      <c r="M220" s="17" t="str">
        <f aca="false">INDEX('Commercial View'!$T$2:$T$301,MATCH($A220,'Commercial View'!$A$2:$A$301,0))</f>
        <v/>
      </c>
      <c r="N220" s="2" t="str">
        <f aca="false">INDEX('Commercial View'!$U$2:$U$301,MATCH($A220,'Commercial View'!$A$2:$A$301,0))</f>
        <v>H2 Active / No H1 GMV</v>
      </c>
      <c r="O220" s="2" t="n">
        <v>5</v>
      </c>
      <c r="P220" s="2" t="n">
        <v>0</v>
      </c>
      <c r="Q220" s="2" t="n">
        <v>5</v>
      </c>
      <c r="R220" s="2" t="n">
        <v>39</v>
      </c>
      <c r="S220" s="2" t="n">
        <v>2</v>
      </c>
      <c r="T220" s="2" t="str">
        <f aca="false">IF(H220="Broker-Reliant",IF(J220="Tail","5. Cost-to-Serve / Low-Touch",IF(OR(N220="Growing",N220="Stable"),"1. Migration Candidate",IF(N220="Declining","2. Protect / Retain First",IF(N220="Lapsed","3. Win-Back / Verify",IF(N220="H2 Active / No H1 GMV","4. Establish / Re-establish / Observe","UNASSIGNED"))))),IF(G220="Low",IF(J220="Tail","9. Long-Tail Automated Nurture",IF(OR(N220="Growing",N220="Stable"),"6. Growth Opportunity",IF(N220="H2 Active / No H1 GMV","7. Onboard / Re-engage / Learn",IF(OR(N220="Declining",N220="Lapsed"),"8. Retention / Reactivation","UNASSIGNED")))),"UNASSIGNED"))</f>
        <v>9. Long-Tail Automated Nurture</v>
      </c>
      <c r="U220" s="10" t="b">
        <f aca="false">AND(T220="1. Migration Candidate",J220="Core",O220&gt;=Assumptions!$B$39,Q220&gt;=Assumptions!$B$40,NOT(Z220))</f>
        <v>0</v>
      </c>
      <c r="V220" s="2" t="n">
        <f aca="false">(AND(H220="Broker-Reliant",J220&lt;&gt;"Tail",OR(N220="Growing",N220="Stable")))*1+(AND(H220="Broker-Reliant",J220&lt;&gt;"Tail",N220="Declining"))*1+(AND(H220="Broker-Reliant",J220&lt;&gt;"Tail",N220="Lapsed"))*1+(AND(H220="Broker-Reliant",J220&lt;&gt;"Tail",N220="H2 Active / No H1 GMV"))*1+(AND(H220="Broker-Reliant",J220="Tail"))*1+(AND(G220="Low",J220&lt;&gt;"Tail",OR(N220="Growing",N220="Stable")))*1+(AND(G220="Low",J220&lt;&gt;"Tail",N220="H2 Active / No H1 GMV"))*1+(AND(G220="Low",J220&lt;&gt;"Tail",OR(N220="Declining",N220="Lapsed")))*1+(AND(G220="Low",J220="Tail"))*1</f>
        <v>1</v>
      </c>
      <c r="W220" s="2" t="n">
        <f aca="false">INDEX('Commercial View'!$V$2:$V$301,MATCH($A220,'Commercial View'!$A$2:$A$301,0))</f>
        <v>3</v>
      </c>
      <c r="X220" s="10" t="b">
        <f aca="false">O220&lt;=Assumptions!$B$30</f>
        <v>0</v>
      </c>
      <c r="Y220" s="10" t="b">
        <f aca="false">W220&lt;=1</f>
        <v>0</v>
      </c>
      <c r="Z220" s="10" t="b">
        <f aca="false">C220="Duplicate"</f>
        <v>0</v>
      </c>
      <c r="AA220" s="10" t="b">
        <f aca="false">C220=""</f>
        <v>1</v>
      </c>
      <c r="AB220" s="2" t="n">
        <f aca="false">IF(P220+Q220&gt;0,ROUND(P220/(P220+Q220)*100,0),"")</f>
        <v>0</v>
      </c>
      <c r="AC220" s="2" t="n">
        <f aca="false">IF(P220+Q220&gt;0,ROUND(E220-P220/(P220+Q220)*100,0),"")</f>
        <v>0</v>
      </c>
      <c r="AD220" s="10" t="b">
        <f aca="false">IF(AC220="",FALSE(),ABS(AC220)&gt;Assumptions!$B$41)</f>
        <v>0</v>
      </c>
      <c r="AE220" s="2" t="str">
        <f aca="false">IF(X220,"Low confidence (&lt;=2 orders); ","")&amp;IF(Y220,"Single-month history; ","")&amp;IF(Z220,"CRITICAL: Duplicate status; ","")&amp;IF(AA220,"Missing status; ","")&amp;IF(AD220,"Broker % vs counts gap "&amp;TEXT(AC220,"+0;-0")&amp;"pts; ","")</f>
        <v>Missing status; </v>
      </c>
      <c r="AF220" s="2" t="str">
        <f aca="false">IF(AND(K220=0,L220&gt;0),IF(D220&lt;=Assumptions!$B$47,"New Customer","Returned Customer"),"Existing Customer")</f>
        <v>New Customer</v>
      </c>
      <c r="AG220" s="10" t="b">
        <f aca="false">AND(T220="1. Migration Candidate",J220="Key")</f>
        <v>0</v>
      </c>
      <c r="AH220" s="10" t="b">
        <f aca="false">IF(AND(K220&gt;0,L220&gt;0),OR(ABS(M220-Assumptions!$B$36)&lt;=Assumptions!$B$46,ABS(M220+Assumptions!$B$36)&lt;=Assumptions!$B$46),FALSE())</f>
        <v>0</v>
      </c>
      <c r="AI220" s="9" t="n">
        <f aca="false">INDEX('Commercial View'!$L$2:$L$301,MATCH($A220,'Commercial View'!$A$2:$A$301,0))+INDEX('Commercial View'!$M$2:$M$301,MATCH($A220,'Commercial View'!$A$2:$A$301,0))</f>
        <v>951</v>
      </c>
      <c r="AJ220" s="2" t="str">
        <f aca="false">IF(AND(K220=0,AI220=0),"No activity ex-Feb",IF(AI220=0,"Lapsed",IF(K220=0,"H2 Active / No H1 GMV",IF((AI220/2)/(K220/3)-1&gt;=Assumptions!$B$36,"Growing",IF((AI220/2)/(K220/3)-1&lt;-Assumptions!$B$36,"Declining","Stable")))))</f>
        <v>H2 Active / No H1 GMV</v>
      </c>
      <c r="AK220" s="10" t="b">
        <f aca="false">IF(OR(N220="Growing",N220="Stable"),"Healthy",N220)&lt;&gt;IF(OR(AJ220="Growing",AJ220="Stable"),"Healthy",AJ220)</f>
        <v>0</v>
      </c>
      <c r="AL220" s="2" t="str">
        <f aca="false">IF(N220="Lapsed",IF(OR(O220&lt;=Assumptions!$B$48,W220&lt;=Assumptions!$B$49),"One-Off / Insufficient History — Verify","Established Buyer Lapsed"),"N/A")</f>
        <v>N/A</v>
      </c>
      <c r="AM220" s="2" t="n">
        <f aca="false">INDEX('Scored Accounts'!$M$2:$M$301,MATCH($A220,'Scored Accounts'!$A$2:$A$301,0))</f>
        <v>0</v>
      </c>
      <c r="AN220" s="2" t="n">
        <f aca="false">IF((P220/(P220+Q220)*100)&lt;=Assumptions!$B$13,0,IF((P220/(P220+Q220)*100)&lt;Assumptions!$B$14,25,IF((P220/(P220+Q220)*100)&lt;Assumptions!$B$15,50,IF((P220/(P220+Q220)*100)&lt;Assumptions!$B$16,75,100))))</f>
        <v>0</v>
      </c>
      <c r="AO220" s="21" t="n">
        <f aca="false">IF((P220/(P220+Q220)*100)&lt;=Assumptions!$B$8,0,AN220*Assumptions!$B$4+INDEX('Scored Accounts'!$N$2:$N$301,MATCH($A220,'Scored Accounts'!$A$2:$A$301,0))*Assumptions!$B$5+INDEX('Scored Accounts'!$O$2:$O$301,MATCH($A220,'Scored Accounts'!$A$2:$A$301,0))*Assumptions!$B$6)</f>
        <v>0</v>
      </c>
      <c r="AP220" s="2" t="str">
        <f aca="false">IF(AO220&gt;=Assumptions!$B$9,"High",IF(AO220&gt;=Assumptions!$B$10,"Medium","Low"))</f>
        <v>Low</v>
      </c>
      <c r="AQ220" s="10" t="b">
        <f aca="false">OR((E220&lt;=Assumptions!$B$8)&lt;&gt;((P220/(P220+Q220)*100)&lt;=Assumptions!$B$8),AM220&lt;&gt;AN220,G220&lt;&gt;AP220)</f>
        <v>0</v>
      </c>
      <c r="AR220" s="2" t="str">
        <f aca="false">IF(AP220&lt;&gt;"Low","Broker-Reliant",IF(B220="Account Managed","AM-Owned / Self-Serving","Self-Serve"))</f>
        <v>Self-Serve</v>
      </c>
      <c r="AS220" s="2" t="str">
        <f aca="false">IF(AR220="Broker-Reliant",IF(J220="Tail","5. Cost-to-Serve / Low-Touch",IF(OR(N220="Growing",N220="Stable"),"1. Migration Candidate",IF(N220="Declining","2. Protect / Retain First",IF(N220="Lapsed","3. Win-Back / Verify",IF(N220="H2 Active / No H1 GMV","4. Establish / Re-establish / Observe","UNASSIGNED"))))),IF(AP220="Low",IF(J220="Tail","9. Long-Tail Automated Nurture",IF(OR(N220="Growing",N220="Stable"),"6. Growth Opportunity",IF(N220="H2 Active / No H1 GMV","7. Onboard / Re-engage / Learn",IF(OR(N220="Declining",N220="Lapsed"),"8. Retention / Reactivation","UNASSIGNED")))),"UNASSIGNED"))</f>
        <v>9. Long-Tail Automated Nurture</v>
      </c>
      <c r="AT220" s="10" t="b">
        <f aca="false">AS220&lt;&gt;T220</f>
        <v>0</v>
      </c>
      <c r="AU220" s="2" t="str">
        <f aca="false">IF(NOT(U220),"Not Eligible",IF(OR(AQ220,AH220,AK220,NOT(AND(W220&gt;=Assumptions!$B$83,O220&gt;=Assumptions!$B$84))),"Manual Review","Ready"))</f>
        <v>Not Eligible</v>
      </c>
      <c r="AV220" s="2" t="str">
        <f aca="false">IF(AG220,"Key account - human sign-off required; ","")&amp;IF(AH220,"Borderline momentum; ","")&amp;IF(AK220,"February-sensitive ("&amp;N220&amp;" -&gt; "&amp;AJ220&amp;"); ","")&amp;IF(AL220="One-Off / Insufficient History — Verify","Lapsed on thin history - verify; ","")&amp;IF(AQ220,"Material broker % inconsistency (implied tier "&amp;AP220&amp;"); ","")&amp;IF(AT220,"Implied broker % would move segment to "&amp;AS220&amp;"; ","")</f>
        <v/>
      </c>
      <c r="AW220" s="10" t="b">
        <f aca="false">AND(G220="Low",J220="Tail",I220&gt;=Assumptions!$B$64,O220&gt;=Assumptions!$B$65,OR(N220="Growing",N220="Stable",AND(N220="H2 Active / No H1 GMV",W220&gt;=2)),OR(R220&gt;=Assumptions!$B$66,S220&gt;=Assumptions!$B$67))</f>
        <v>1</v>
      </c>
    </row>
    <row r="221" customFormat="false" ht="15" hidden="false" customHeight="false" outlineLevel="0" collapsed="false">
      <c r="A221" s="2" t="s">
        <v>605</v>
      </c>
      <c r="B221" s="2" t="s">
        <v>1574</v>
      </c>
      <c r="C221" s="2"/>
      <c r="D221" s="2" t="n">
        <v>3</v>
      </c>
      <c r="E221" s="2" t="n">
        <v>0</v>
      </c>
      <c r="F221" s="21" t="n">
        <f aca="false">INDEX('Scored Accounts'!$Q$2:$Q$301,MATCH($A221,'Scored Accounts'!$A$2:$A$301,0))</f>
        <v>0</v>
      </c>
      <c r="G221" s="2" t="str">
        <f aca="false">INDEX('Scored Accounts'!$R$2:$R$301,MATCH($A221,'Scored Accounts'!$A$2:$A$301,0))</f>
        <v>Low</v>
      </c>
      <c r="H221" s="2" t="str">
        <f aca="false">IF(OR(G221="High",G221="Medium"),"Broker-Reliant",IF(AND(G221="Low",B221="Account Managed"),"AM-Owned / Self-Serving",IF(AND(G221="Low",B221="Self Serve"),"Self-Serve","UNASSIGNED")))</f>
        <v>Self-Serve</v>
      </c>
      <c r="I221" s="9" t="n">
        <v>1119</v>
      </c>
      <c r="J221" s="2" t="str">
        <f aca="false">IF(I221&gt;=Assumptions!$B$35,"Key",IF(I221&gt;=Assumptions!$B$34,"Core","Tail"))</f>
        <v>Tail</v>
      </c>
      <c r="K221" s="9" t="n">
        <f aca="false">INDEX('Commercial View'!$R$2:$R$301,MATCH($A221,'Commercial View'!$A$2:$A$301,0))</f>
        <v>0</v>
      </c>
      <c r="L221" s="9" t="n">
        <f aca="false">INDEX('Commercial View'!$S$2:$S$301,MATCH($A221,'Commercial View'!$A$2:$A$301,0))</f>
        <v>1119</v>
      </c>
      <c r="M221" s="17" t="str">
        <f aca="false">INDEX('Commercial View'!$T$2:$T$301,MATCH($A221,'Commercial View'!$A$2:$A$301,0))</f>
        <v/>
      </c>
      <c r="N221" s="2" t="str">
        <f aca="false">INDEX('Commercial View'!$U$2:$U$301,MATCH($A221,'Commercial View'!$A$2:$A$301,0))</f>
        <v>H2 Active / No H1 GMV</v>
      </c>
      <c r="O221" s="2" t="n">
        <v>1</v>
      </c>
      <c r="P221" s="2" t="n">
        <v>0</v>
      </c>
      <c r="Q221" s="2" t="n">
        <v>1</v>
      </c>
      <c r="R221" s="2" t="n">
        <v>8</v>
      </c>
      <c r="S221" s="2" t="n">
        <v>0</v>
      </c>
      <c r="T221" s="2" t="str">
        <f aca="false">IF(H221="Broker-Reliant",IF(J221="Tail","5. Cost-to-Serve / Low-Touch",IF(OR(N221="Growing",N221="Stable"),"1. Migration Candidate",IF(N221="Declining","2. Protect / Retain First",IF(N221="Lapsed","3. Win-Back / Verify",IF(N221="H2 Active / No H1 GMV","4. Establish / Re-establish / Observe","UNASSIGNED"))))),IF(G221="Low",IF(J221="Tail","9. Long-Tail Automated Nurture",IF(OR(N221="Growing",N221="Stable"),"6. Growth Opportunity",IF(N221="H2 Active / No H1 GMV","7. Onboard / Re-engage / Learn",IF(OR(N221="Declining",N221="Lapsed"),"8. Retention / Reactivation","UNASSIGNED")))),"UNASSIGNED"))</f>
        <v>9. Long-Tail Automated Nurture</v>
      </c>
      <c r="U221" s="10" t="b">
        <f aca="false">AND(T221="1. Migration Candidate",J221="Core",O221&gt;=Assumptions!$B$39,Q221&gt;=Assumptions!$B$40,NOT(Z221))</f>
        <v>0</v>
      </c>
      <c r="V221" s="2" t="n">
        <f aca="false">(AND(H221="Broker-Reliant",J221&lt;&gt;"Tail",OR(N221="Growing",N221="Stable")))*1+(AND(H221="Broker-Reliant",J221&lt;&gt;"Tail",N221="Declining"))*1+(AND(H221="Broker-Reliant",J221&lt;&gt;"Tail",N221="Lapsed"))*1+(AND(H221="Broker-Reliant",J221&lt;&gt;"Tail",N221="H2 Active / No H1 GMV"))*1+(AND(H221="Broker-Reliant",J221="Tail"))*1+(AND(G221="Low",J221&lt;&gt;"Tail",OR(N221="Growing",N221="Stable")))*1+(AND(G221="Low",J221&lt;&gt;"Tail",N221="H2 Active / No H1 GMV"))*1+(AND(G221="Low",J221&lt;&gt;"Tail",OR(N221="Declining",N221="Lapsed")))*1+(AND(G221="Low",J221="Tail"))*1</f>
        <v>1</v>
      </c>
      <c r="W221" s="2" t="n">
        <f aca="false">INDEX('Commercial View'!$V$2:$V$301,MATCH($A221,'Commercial View'!$A$2:$A$301,0))</f>
        <v>1</v>
      </c>
      <c r="X221" s="10" t="b">
        <f aca="false">O221&lt;=Assumptions!$B$30</f>
        <v>1</v>
      </c>
      <c r="Y221" s="10" t="b">
        <f aca="false">W221&lt;=1</f>
        <v>1</v>
      </c>
      <c r="Z221" s="10" t="b">
        <f aca="false">C221="Duplicate"</f>
        <v>0</v>
      </c>
      <c r="AA221" s="10" t="b">
        <f aca="false">C221=""</f>
        <v>1</v>
      </c>
      <c r="AB221" s="2" t="n">
        <f aca="false">IF(P221+Q221&gt;0,ROUND(P221/(P221+Q221)*100,0),"")</f>
        <v>0</v>
      </c>
      <c r="AC221" s="2" t="n">
        <f aca="false">IF(P221+Q221&gt;0,ROUND(E221-P221/(P221+Q221)*100,0),"")</f>
        <v>0</v>
      </c>
      <c r="AD221" s="10" t="b">
        <f aca="false">IF(AC221="",FALSE(),ABS(AC221)&gt;Assumptions!$B$41)</f>
        <v>0</v>
      </c>
      <c r="AE221" s="2" t="str">
        <f aca="false">IF(X221,"Low confidence (&lt;=2 orders); ","")&amp;IF(Y221,"Single-month history; ","")&amp;IF(Z221,"CRITICAL: Duplicate status; ","")&amp;IF(AA221,"Missing status; ","")&amp;IF(AD221,"Broker % vs counts gap "&amp;TEXT(AC221,"+0;-0")&amp;"pts; ","")</f>
        <v>Low confidence (&lt;=2 orders); Single-month history; Missing status; </v>
      </c>
      <c r="AF221" s="2" t="str">
        <f aca="false">IF(AND(K221=0,L221&gt;0),IF(D221&lt;=Assumptions!$B$47,"New Customer","Returned Customer"),"Existing Customer")</f>
        <v>New Customer</v>
      </c>
      <c r="AG221" s="10" t="b">
        <f aca="false">AND(T221="1. Migration Candidate",J221="Key")</f>
        <v>0</v>
      </c>
      <c r="AH221" s="10" t="b">
        <f aca="false">IF(AND(K221&gt;0,L221&gt;0),OR(ABS(M221-Assumptions!$B$36)&lt;=Assumptions!$B$46,ABS(M221+Assumptions!$B$36)&lt;=Assumptions!$B$46),FALSE())</f>
        <v>0</v>
      </c>
      <c r="AI221" s="9" t="n">
        <f aca="false">INDEX('Commercial View'!$L$2:$L$301,MATCH($A221,'Commercial View'!$A$2:$A$301,0))+INDEX('Commercial View'!$M$2:$M$301,MATCH($A221,'Commercial View'!$A$2:$A$301,0))</f>
        <v>1119</v>
      </c>
      <c r="AJ221" s="2" t="str">
        <f aca="false">IF(AND(K221=0,AI221=0),"No activity ex-Feb",IF(AI221=0,"Lapsed",IF(K221=0,"H2 Active / No H1 GMV",IF((AI221/2)/(K221/3)-1&gt;=Assumptions!$B$36,"Growing",IF((AI221/2)/(K221/3)-1&lt;-Assumptions!$B$36,"Declining","Stable")))))</f>
        <v>H2 Active / No H1 GMV</v>
      </c>
      <c r="AK221" s="10" t="b">
        <f aca="false">IF(OR(N221="Growing",N221="Stable"),"Healthy",N221)&lt;&gt;IF(OR(AJ221="Growing",AJ221="Stable"),"Healthy",AJ221)</f>
        <v>0</v>
      </c>
      <c r="AL221" s="2" t="str">
        <f aca="false">IF(N221="Lapsed",IF(OR(O221&lt;=Assumptions!$B$48,W221&lt;=Assumptions!$B$49),"One-Off / Insufficient History — Verify","Established Buyer Lapsed"),"N/A")</f>
        <v>N/A</v>
      </c>
      <c r="AM221" s="2" t="n">
        <f aca="false">INDEX('Scored Accounts'!$M$2:$M$301,MATCH($A221,'Scored Accounts'!$A$2:$A$301,0))</f>
        <v>0</v>
      </c>
      <c r="AN221" s="2" t="n">
        <f aca="false">IF((P221/(P221+Q221)*100)&lt;=Assumptions!$B$13,0,IF((P221/(P221+Q221)*100)&lt;Assumptions!$B$14,25,IF((P221/(P221+Q221)*100)&lt;Assumptions!$B$15,50,IF((P221/(P221+Q221)*100)&lt;Assumptions!$B$16,75,100))))</f>
        <v>0</v>
      </c>
      <c r="AO221" s="21" t="n">
        <f aca="false">IF((P221/(P221+Q221)*100)&lt;=Assumptions!$B$8,0,AN221*Assumptions!$B$4+INDEX('Scored Accounts'!$N$2:$N$301,MATCH($A221,'Scored Accounts'!$A$2:$A$301,0))*Assumptions!$B$5+INDEX('Scored Accounts'!$O$2:$O$301,MATCH($A221,'Scored Accounts'!$A$2:$A$301,0))*Assumptions!$B$6)</f>
        <v>0</v>
      </c>
      <c r="AP221" s="2" t="str">
        <f aca="false">IF(AO221&gt;=Assumptions!$B$9,"High",IF(AO221&gt;=Assumptions!$B$10,"Medium","Low"))</f>
        <v>Low</v>
      </c>
      <c r="AQ221" s="10" t="b">
        <f aca="false">OR((E221&lt;=Assumptions!$B$8)&lt;&gt;((P221/(P221+Q221)*100)&lt;=Assumptions!$B$8),AM221&lt;&gt;AN221,G221&lt;&gt;AP221)</f>
        <v>0</v>
      </c>
      <c r="AR221" s="2" t="str">
        <f aca="false">IF(AP221&lt;&gt;"Low","Broker-Reliant",IF(B221="Account Managed","AM-Owned / Self-Serving","Self-Serve"))</f>
        <v>Self-Serve</v>
      </c>
      <c r="AS221" s="2" t="str">
        <f aca="false">IF(AR221="Broker-Reliant",IF(J221="Tail","5. Cost-to-Serve / Low-Touch",IF(OR(N221="Growing",N221="Stable"),"1. Migration Candidate",IF(N221="Declining","2. Protect / Retain First",IF(N221="Lapsed","3. Win-Back / Verify",IF(N221="H2 Active / No H1 GMV","4. Establish / Re-establish / Observe","UNASSIGNED"))))),IF(AP221="Low",IF(J221="Tail","9. Long-Tail Automated Nurture",IF(OR(N221="Growing",N221="Stable"),"6. Growth Opportunity",IF(N221="H2 Active / No H1 GMV","7. Onboard / Re-engage / Learn",IF(OR(N221="Declining",N221="Lapsed"),"8. Retention / Reactivation","UNASSIGNED")))),"UNASSIGNED"))</f>
        <v>9. Long-Tail Automated Nurture</v>
      </c>
      <c r="AT221" s="10" t="b">
        <f aca="false">AS221&lt;&gt;T221</f>
        <v>0</v>
      </c>
      <c r="AU221" s="2" t="str">
        <f aca="false">IF(NOT(U221),"Not Eligible",IF(OR(AQ221,AH221,AK221,NOT(AND(W221&gt;=Assumptions!$B$83,O221&gt;=Assumptions!$B$84))),"Manual Review","Ready"))</f>
        <v>Not Eligible</v>
      </c>
      <c r="AV221" s="2" t="str">
        <f aca="false">IF(AG221,"Key account - human sign-off required; ","")&amp;IF(AH221,"Borderline momentum; ","")&amp;IF(AK221,"February-sensitive ("&amp;N221&amp;" -&gt; "&amp;AJ221&amp;"); ","")&amp;IF(AL221="One-Off / Insufficient History — Verify","Lapsed on thin history - verify; ","")&amp;IF(AQ221,"Material broker % inconsistency (implied tier "&amp;AP221&amp;"); ","")&amp;IF(AT221,"Implied broker % would move segment to "&amp;AS221&amp;"; ","")</f>
        <v/>
      </c>
      <c r="AW221" s="10" t="b">
        <f aca="false">AND(G221="Low",J221="Tail",I221&gt;=Assumptions!$B$64,O221&gt;=Assumptions!$B$65,OR(N221="Growing",N221="Stable",AND(N221="H2 Active / No H1 GMV",W221&gt;=2)),OR(R221&gt;=Assumptions!$B$66,S221&gt;=Assumptions!$B$67))</f>
        <v>0</v>
      </c>
    </row>
    <row r="222" customFormat="false" ht="15" hidden="false" customHeight="false" outlineLevel="0" collapsed="false">
      <c r="A222" s="2" t="s">
        <v>622</v>
      </c>
      <c r="B222" s="2" t="s">
        <v>1574</v>
      </c>
      <c r="C222" s="2"/>
      <c r="D222" s="2" t="n">
        <v>3</v>
      </c>
      <c r="E222" s="2" t="n">
        <v>0</v>
      </c>
      <c r="F222" s="21" t="n">
        <f aca="false">INDEX('Scored Accounts'!$Q$2:$Q$301,MATCH($A222,'Scored Accounts'!$A$2:$A$301,0))</f>
        <v>0</v>
      </c>
      <c r="G222" s="2" t="str">
        <f aca="false">INDEX('Scored Accounts'!$R$2:$R$301,MATCH($A222,'Scored Accounts'!$A$2:$A$301,0))</f>
        <v>Low</v>
      </c>
      <c r="H222" s="2" t="str">
        <f aca="false">IF(OR(G222="High",G222="Medium"),"Broker-Reliant",IF(AND(G222="Low",B222="Account Managed"),"AM-Owned / Self-Serving",IF(AND(G222="Low",B222="Self Serve"),"Self-Serve","UNASSIGNED")))</f>
        <v>Self-Serve</v>
      </c>
      <c r="I222" s="9" t="n">
        <v>925</v>
      </c>
      <c r="J222" s="2" t="str">
        <f aca="false">IF(I222&gt;=Assumptions!$B$35,"Key",IF(I222&gt;=Assumptions!$B$34,"Core","Tail"))</f>
        <v>Tail</v>
      </c>
      <c r="K222" s="9" t="n">
        <f aca="false">INDEX('Commercial View'!$R$2:$R$301,MATCH($A222,'Commercial View'!$A$2:$A$301,0))</f>
        <v>0</v>
      </c>
      <c r="L222" s="9" t="n">
        <f aca="false">INDEX('Commercial View'!$S$2:$S$301,MATCH($A222,'Commercial View'!$A$2:$A$301,0))</f>
        <v>924</v>
      </c>
      <c r="M222" s="17" t="str">
        <f aca="false">INDEX('Commercial View'!$T$2:$T$301,MATCH($A222,'Commercial View'!$A$2:$A$301,0))</f>
        <v/>
      </c>
      <c r="N222" s="2" t="str">
        <f aca="false">INDEX('Commercial View'!$U$2:$U$301,MATCH($A222,'Commercial View'!$A$2:$A$301,0))</f>
        <v>H2 Active / No H1 GMV</v>
      </c>
      <c r="O222" s="2" t="n">
        <v>4</v>
      </c>
      <c r="P222" s="2" t="n">
        <v>0</v>
      </c>
      <c r="Q222" s="2" t="n">
        <v>4</v>
      </c>
      <c r="R222" s="2" t="n">
        <v>21</v>
      </c>
      <c r="S222" s="2" t="n">
        <v>13</v>
      </c>
      <c r="T222" s="2" t="str">
        <f aca="false">IF(H222="Broker-Reliant",IF(J222="Tail","5. Cost-to-Serve / Low-Touch",IF(OR(N222="Growing",N222="Stable"),"1. Migration Candidate",IF(N222="Declining","2. Protect / Retain First",IF(N222="Lapsed","3. Win-Back / Verify",IF(N222="H2 Active / No H1 GMV","4. Establish / Re-establish / Observe","UNASSIGNED"))))),IF(G222="Low",IF(J222="Tail","9. Long-Tail Automated Nurture",IF(OR(N222="Growing",N222="Stable"),"6. Growth Opportunity",IF(N222="H2 Active / No H1 GMV","7. Onboard / Re-engage / Learn",IF(OR(N222="Declining",N222="Lapsed"),"8. Retention / Reactivation","UNASSIGNED")))),"UNASSIGNED"))</f>
        <v>9. Long-Tail Automated Nurture</v>
      </c>
      <c r="U222" s="10" t="b">
        <f aca="false">AND(T222="1. Migration Candidate",J222="Core",O222&gt;=Assumptions!$B$39,Q222&gt;=Assumptions!$B$40,NOT(Z222))</f>
        <v>0</v>
      </c>
      <c r="V222" s="2" t="n">
        <f aca="false">(AND(H222="Broker-Reliant",J222&lt;&gt;"Tail",OR(N222="Growing",N222="Stable")))*1+(AND(H222="Broker-Reliant",J222&lt;&gt;"Tail",N222="Declining"))*1+(AND(H222="Broker-Reliant",J222&lt;&gt;"Tail",N222="Lapsed"))*1+(AND(H222="Broker-Reliant",J222&lt;&gt;"Tail",N222="H2 Active / No H1 GMV"))*1+(AND(H222="Broker-Reliant",J222="Tail"))*1+(AND(G222="Low",J222&lt;&gt;"Tail",OR(N222="Growing",N222="Stable")))*1+(AND(G222="Low",J222&lt;&gt;"Tail",N222="H2 Active / No H1 GMV"))*1+(AND(G222="Low",J222&lt;&gt;"Tail",OR(N222="Declining",N222="Lapsed")))*1+(AND(G222="Low",J222="Tail"))*1</f>
        <v>1</v>
      </c>
      <c r="W222" s="2" t="n">
        <f aca="false">INDEX('Commercial View'!$V$2:$V$301,MATCH($A222,'Commercial View'!$A$2:$A$301,0))</f>
        <v>3</v>
      </c>
      <c r="X222" s="10" t="b">
        <f aca="false">O222&lt;=Assumptions!$B$30</f>
        <v>0</v>
      </c>
      <c r="Y222" s="10" t="b">
        <f aca="false">W222&lt;=1</f>
        <v>0</v>
      </c>
      <c r="Z222" s="10" t="b">
        <f aca="false">C222="Duplicate"</f>
        <v>0</v>
      </c>
      <c r="AA222" s="10" t="b">
        <f aca="false">C222=""</f>
        <v>1</v>
      </c>
      <c r="AB222" s="2" t="n">
        <f aca="false">IF(P222+Q222&gt;0,ROUND(P222/(P222+Q222)*100,0),"")</f>
        <v>0</v>
      </c>
      <c r="AC222" s="2" t="n">
        <f aca="false">IF(P222+Q222&gt;0,ROUND(E222-P222/(P222+Q222)*100,0),"")</f>
        <v>0</v>
      </c>
      <c r="AD222" s="10" t="b">
        <f aca="false">IF(AC222="",FALSE(),ABS(AC222)&gt;Assumptions!$B$41)</f>
        <v>0</v>
      </c>
      <c r="AE222" s="2" t="str">
        <f aca="false">IF(X222,"Low confidence (&lt;=2 orders); ","")&amp;IF(Y222,"Single-month history; ","")&amp;IF(Z222,"CRITICAL: Duplicate status; ","")&amp;IF(AA222,"Missing status; ","")&amp;IF(AD222,"Broker % vs counts gap "&amp;TEXT(AC222,"+0;-0")&amp;"pts; ","")</f>
        <v>Missing status; </v>
      </c>
      <c r="AF222" s="2" t="str">
        <f aca="false">IF(AND(K222=0,L222&gt;0),IF(D222&lt;=Assumptions!$B$47,"New Customer","Returned Customer"),"Existing Customer")</f>
        <v>New Customer</v>
      </c>
      <c r="AG222" s="10" t="b">
        <f aca="false">AND(T222="1. Migration Candidate",J222="Key")</f>
        <v>0</v>
      </c>
      <c r="AH222" s="10" t="b">
        <f aca="false">IF(AND(K222&gt;0,L222&gt;0),OR(ABS(M222-Assumptions!$B$36)&lt;=Assumptions!$B$46,ABS(M222+Assumptions!$B$36)&lt;=Assumptions!$B$46),FALSE())</f>
        <v>0</v>
      </c>
      <c r="AI222" s="9" t="n">
        <f aca="false">INDEX('Commercial View'!$L$2:$L$301,MATCH($A222,'Commercial View'!$A$2:$A$301,0))+INDEX('Commercial View'!$M$2:$M$301,MATCH($A222,'Commercial View'!$A$2:$A$301,0))</f>
        <v>464</v>
      </c>
      <c r="AJ222" s="2" t="str">
        <f aca="false">IF(AND(K222=0,AI222=0),"No activity ex-Feb",IF(AI222=0,"Lapsed",IF(K222=0,"H2 Active / No H1 GMV",IF((AI222/2)/(K222/3)-1&gt;=Assumptions!$B$36,"Growing",IF((AI222/2)/(K222/3)-1&lt;-Assumptions!$B$36,"Declining","Stable")))))</f>
        <v>H2 Active / No H1 GMV</v>
      </c>
      <c r="AK222" s="10" t="b">
        <f aca="false">IF(OR(N222="Growing",N222="Stable"),"Healthy",N222)&lt;&gt;IF(OR(AJ222="Growing",AJ222="Stable"),"Healthy",AJ222)</f>
        <v>0</v>
      </c>
      <c r="AL222" s="2" t="str">
        <f aca="false">IF(N222="Lapsed",IF(OR(O222&lt;=Assumptions!$B$48,W222&lt;=Assumptions!$B$49),"One-Off / Insufficient History — Verify","Established Buyer Lapsed"),"N/A")</f>
        <v>N/A</v>
      </c>
      <c r="AM222" s="2" t="n">
        <f aca="false">INDEX('Scored Accounts'!$M$2:$M$301,MATCH($A222,'Scored Accounts'!$A$2:$A$301,0))</f>
        <v>0</v>
      </c>
      <c r="AN222" s="2" t="n">
        <f aca="false">IF((P222/(P222+Q222)*100)&lt;=Assumptions!$B$13,0,IF((P222/(P222+Q222)*100)&lt;Assumptions!$B$14,25,IF((P222/(P222+Q222)*100)&lt;Assumptions!$B$15,50,IF((P222/(P222+Q222)*100)&lt;Assumptions!$B$16,75,100))))</f>
        <v>0</v>
      </c>
      <c r="AO222" s="21" t="n">
        <f aca="false">IF((P222/(P222+Q222)*100)&lt;=Assumptions!$B$8,0,AN222*Assumptions!$B$4+INDEX('Scored Accounts'!$N$2:$N$301,MATCH($A222,'Scored Accounts'!$A$2:$A$301,0))*Assumptions!$B$5+INDEX('Scored Accounts'!$O$2:$O$301,MATCH($A222,'Scored Accounts'!$A$2:$A$301,0))*Assumptions!$B$6)</f>
        <v>0</v>
      </c>
      <c r="AP222" s="2" t="str">
        <f aca="false">IF(AO222&gt;=Assumptions!$B$9,"High",IF(AO222&gt;=Assumptions!$B$10,"Medium","Low"))</f>
        <v>Low</v>
      </c>
      <c r="AQ222" s="10" t="b">
        <f aca="false">OR((E222&lt;=Assumptions!$B$8)&lt;&gt;((P222/(P222+Q222)*100)&lt;=Assumptions!$B$8),AM222&lt;&gt;AN222,G222&lt;&gt;AP222)</f>
        <v>0</v>
      </c>
      <c r="AR222" s="2" t="str">
        <f aca="false">IF(AP222&lt;&gt;"Low","Broker-Reliant",IF(B222="Account Managed","AM-Owned / Self-Serving","Self-Serve"))</f>
        <v>Self-Serve</v>
      </c>
      <c r="AS222" s="2" t="str">
        <f aca="false">IF(AR222="Broker-Reliant",IF(J222="Tail","5. Cost-to-Serve / Low-Touch",IF(OR(N222="Growing",N222="Stable"),"1. Migration Candidate",IF(N222="Declining","2. Protect / Retain First",IF(N222="Lapsed","3. Win-Back / Verify",IF(N222="H2 Active / No H1 GMV","4. Establish / Re-establish / Observe","UNASSIGNED"))))),IF(AP222="Low",IF(J222="Tail","9. Long-Tail Automated Nurture",IF(OR(N222="Growing",N222="Stable"),"6. Growth Opportunity",IF(N222="H2 Active / No H1 GMV","7. Onboard / Re-engage / Learn",IF(OR(N222="Declining",N222="Lapsed"),"8. Retention / Reactivation","UNASSIGNED")))),"UNASSIGNED"))</f>
        <v>9. Long-Tail Automated Nurture</v>
      </c>
      <c r="AT222" s="10" t="b">
        <f aca="false">AS222&lt;&gt;T222</f>
        <v>0</v>
      </c>
      <c r="AU222" s="2" t="str">
        <f aca="false">IF(NOT(U222),"Not Eligible",IF(OR(AQ222,AH222,AK222,NOT(AND(W222&gt;=Assumptions!$B$83,O222&gt;=Assumptions!$B$84))),"Manual Review","Ready"))</f>
        <v>Not Eligible</v>
      </c>
      <c r="AV222" s="2" t="str">
        <f aca="false">IF(AG222,"Key account - human sign-off required; ","")&amp;IF(AH222,"Borderline momentum; ","")&amp;IF(AK222,"February-sensitive ("&amp;N222&amp;" -&gt; "&amp;AJ222&amp;"); ","")&amp;IF(AL222="One-Off / Insufficient History — Verify","Lapsed on thin history - verify; ","")&amp;IF(AQ222,"Material broker % inconsistency (implied tier "&amp;AP222&amp;"); ","")&amp;IF(AT222,"Implied broker % would move segment to "&amp;AS222&amp;"; ","")</f>
        <v/>
      </c>
      <c r="AW222" s="10" t="b">
        <f aca="false">AND(G222="Low",J222="Tail",I222&gt;=Assumptions!$B$64,O222&gt;=Assumptions!$B$65,OR(N222="Growing",N222="Stable",AND(N222="H2 Active / No H1 GMV",W222&gt;=2)),OR(R222&gt;=Assumptions!$B$66,S222&gt;=Assumptions!$B$67))</f>
        <v>0</v>
      </c>
    </row>
    <row r="223" customFormat="false" ht="15" hidden="false" customHeight="false" outlineLevel="0" collapsed="false">
      <c r="A223" s="2" t="s">
        <v>631</v>
      </c>
      <c r="B223" s="2" t="s">
        <v>1574</v>
      </c>
      <c r="C223" s="2"/>
      <c r="D223" s="2" t="n">
        <v>1</v>
      </c>
      <c r="E223" s="2" t="n">
        <v>0</v>
      </c>
      <c r="F223" s="21" t="n">
        <f aca="false">INDEX('Scored Accounts'!$Q$2:$Q$301,MATCH($A223,'Scored Accounts'!$A$2:$A$301,0))</f>
        <v>0</v>
      </c>
      <c r="G223" s="2" t="str">
        <f aca="false">INDEX('Scored Accounts'!$R$2:$R$301,MATCH($A223,'Scored Accounts'!$A$2:$A$301,0))</f>
        <v>Low</v>
      </c>
      <c r="H223" s="2" t="str">
        <f aca="false">IF(OR(G223="High",G223="Medium"),"Broker-Reliant",IF(AND(G223="Low",B223="Account Managed"),"AM-Owned / Self-Serving",IF(AND(G223="Low",B223="Self Serve"),"Self-Serve","UNASSIGNED")))</f>
        <v>Self-Serve</v>
      </c>
      <c r="I223" s="9" t="n">
        <v>880</v>
      </c>
      <c r="J223" s="2" t="str">
        <f aca="false">IF(I223&gt;=Assumptions!$B$35,"Key",IF(I223&gt;=Assumptions!$B$34,"Core","Tail"))</f>
        <v>Tail</v>
      </c>
      <c r="K223" s="9" t="n">
        <f aca="false">INDEX('Commercial View'!$R$2:$R$301,MATCH($A223,'Commercial View'!$A$2:$A$301,0))</f>
        <v>0</v>
      </c>
      <c r="L223" s="9" t="n">
        <f aca="false">INDEX('Commercial View'!$S$2:$S$301,MATCH($A223,'Commercial View'!$A$2:$A$301,0))</f>
        <v>880</v>
      </c>
      <c r="M223" s="17" t="str">
        <f aca="false">INDEX('Commercial View'!$T$2:$T$301,MATCH($A223,'Commercial View'!$A$2:$A$301,0))</f>
        <v/>
      </c>
      <c r="N223" s="2" t="str">
        <f aca="false">INDEX('Commercial View'!$U$2:$U$301,MATCH($A223,'Commercial View'!$A$2:$A$301,0))</f>
        <v>H2 Active / No H1 GMV</v>
      </c>
      <c r="O223" s="2" t="n">
        <v>1</v>
      </c>
      <c r="P223" s="2" t="n">
        <v>0</v>
      </c>
      <c r="Q223" s="2" t="n">
        <v>1</v>
      </c>
      <c r="R223" s="2" t="n">
        <v>2</v>
      </c>
      <c r="S223" s="2" t="n">
        <v>7</v>
      </c>
      <c r="T223" s="2" t="str">
        <f aca="false">IF(H223="Broker-Reliant",IF(J223="Tail","5. Cost-to-Serve / Low-Touch",IF(OR(N223="Growing",N223="Stable"),"1. Migration Candidate",IF(N223="Declining","2. Protect / Retain First",IF(N223="Lapsed","3. Win-Back / Verify",IF(N223="H2 Active / No H1 GMV","4. Establish / Re-establish / Observe","UNASSIGNED"))))),IF(G223="Low",IF(J223="Tail","9. Long-Tail Automated Nurture",IF(OR(N223="Growing",N223="Stable"),"6. Growth Opportunity",IF(N223="H2 Active / No H1 GMV","7. Onboard / Re-engage / Learn",IF(OR(N223="Declining",N223="Lapsed"),"8. Retention / Reactivation","UNASSIGNED")))),"UNASSIGNED"))</f>
        <v>9. Long-Tail Automated Nurture</v>
      </c>
      <c r="U223" s="10" t="b">
        <f aca="false">AND(T223="1. Migration Candidate",J223="Core",O223&gt;=Assumptions!$B$39,Q223&gt;=Assumptions!$B$40,NOT(Z223))</f>
        <v>0</v>
      </c>
      <c r="V223" s="2" t="n">
        <f aca="false">(AND(H223="Broker-Reliant",J223&lt;&gt;"Tail",OR(N223="Growing",N223="Stable")))*1+(AND(H223="Broker-Reliant",J223&lt;&gt;"Tail",N223="Declining"))*1+(AND(H223="Broker-Reliant",J223&lt;&gt;"Tail",N223="Lapsed"))*1+(AND(H223="Broker-Reliant",J223&lt;&gt;"Tail",N223="H2 Active / No H1 GMV"))*1+(AND(H223="Broker-Reliant",J223="Tail"))*1+(AND(G223="Low",J223&lt;&gt;"Tail",OR(N223="Growing",N223="Stable")))*1+(AND(G223="Low",J223&lt;&gt;"Tail",N223="H2 Active / No H1 GMV"))*1+(AND(G223="Low",J223&lt;&gt;"Tail",OR(N223="Declining",N223="Lapsed")))*1+(AND(G223="Low",J223="Tail"))*1</f>
        <v>1</v>
      </c>
      <c r="W223" s="2" t="n">
        <f aca="false">INDEX('Commercial View'!$V$2:$V$301,MATCH($A223,'Commercial View'!$A$2:$A$301,0))</f>
        <v>1</v>
      </c>
      <c r="X223" s="10" t="b">
        <f aca="false">O223&lt;=Assumptions!$B$30</f>
        <v>1</v>
      </c>
      <c r="Y223" s="10" t="b">
        <f aca="false">W223&lt;=1</f>
        <v>1</v>
      </c>
      <c r="Z223" s="10" t="b">
        <f aca="false">C223="Duplicate"</f>
        <v>0</v>
      </c>
      <c r="AA223" s="10" t="b">
        <f aca="false">C223=""</f>
        <v>1</v>
      </c>
      <c r="AB223" s="2" t="n">
        <f aca="false">IF(P223+Q223&gt;0,ROUND(P223/(P223+Q223)*100,0),"")</f>
        <v>0</v>
      </c>
      <c r="AC223" s="2" t="n">
        <f aca="false">IF(P223+Q223&gt;0,ROUND(E223-P223/(P223+Q223)*100,0),"")</f>
        <v>0</v>
      </c>
      <c r="AD223" s="10" t="b">
        <f aca="false">IF(AC223="",FALSE(),ABS(AC223)&gt;Assumptions!$B$41)</f>
        <v>0</v>
      </c>
      <c r="AE223" s="2" t="str">
        <f aca="false">IF(X223,"Low confidence (&lt;=2 orders); ","")&amp;IF(Y223,"Single-month history; ","")&amp;IF(Z223,"CRITICAL: Duplicate status; ","")&amp;IF(AA223,"Missing status; ","")&amp;IF(AD223,"Broker % vs counts gap "&amp;TEXT(AC223,"+0;-0")&amp;"pts; ","")</f>
        <v>Low confidence (&lt;=2 orders); Single-month history; Missing status; </v>
      </c>
      <c r="AF223" s="2" t="str">
        <f aca="false">IF(AND(K223=0,L223&gt;0),IF(D223&lt;=Assumptions!$B$47,"New Customer","Returned Customer"),"Existing Customer")</f>
        <v>New Customer</v>
      </c>
      <c r="AG223" s="10" t="b">
        <f aca="false">AND(T223="1. Migration Candidate",J223="Key")</f>
        <v>0</v>
      </c>
      <c r="AH223" s="10" t="b">
        <f aca="false">IF(AND(K223&gt;0,L223&gt;0),OR(ABS(M223-Assumptions!$B$36)&lt;=Assumptions!$B$46,ABS(M223+Assumptions!$B$36)&lt;=Assumptions!$B$46),FALSE())</f>
        <v>0</v>
      </c>
      <c r="AI223" s="9" t="n">
        <f aca="false">INDEX('Commercial View'!$L$2:$L$301,MATCH($A223,'Commercial View'!$A$2:$A$301,0))+INDEX('Commercial View'!$M$2:$M$301,MATCH($A223,'Commercial View'!$A$2:$A$301,0))</f>
        <v>0</v>
      </c>
      <c r="AJ223" s="2" t="str">
        <f aca="false">IF(AND(K223=0,AI223=0),"No activity ex-Feb",IF(AI223=0,"Lapsed",IF(K223=0,"H2 Active / No H1 GMV",IF((AI223/2)/(K223/3)-1&gt;=Assumptions!$B$36,"Growing",IF((AI223/2)/(K223/3)-1&lt;-Assumptions!$B$36,"Declining","Stable")))))</f>
        <v>No activity ex-Feb</v>
      </c>
      <c r="AK223" s="10" t="b">
        <f aca="false">IF(OR(N223="Growing",N223="Stable"),"Healthy",N223)&lt;&gt;IF(OR(AJ223="Growing",AJ223="Stable"),"Healthy",AJ223)</f>
        <v>1</v>
      </c>
      <c r="AL223" s="2" t="str">
        <f aca="false">IF(N223="Lapsed",IF(OR(O223&lt;=Assumptions!$B$48,W223&lt;=Assumptions!$B$49),"One-Off / Insufficient History — Verify","Established Buyer Lapsed"),"N/A")</f>
        <v>N/A</v>
      </c>
      <c r="AM223" s="2" t="n">
        <f aca="false">INDEX('Scored Accounts'!$M$2:$M$301,MATCH($A223,'Scored Accounts'!$A$2:$A$301,0))</f>
        <v>0</v>
      </c>
      <c r="AN223" s="2" t="n">
        <f aca="false">IF((P223/(P223+Q223)*100)&lt;=Assumptions!$B$13,0,IF((P223/(P223+Q223)*100)&lt;Assumptions!$B$14,25,IF((P223/(P223+Q223)*100)&lt;Assumptions!$B$15,50,IF((P223/(P223+Q223)*100)&lt;Assumptions!$B$16,75,100))))</f>
        <v>0</v>
      </c>
      <c r="AO223" s="21" t="n">
        <f aca="false">IF((P223/(P223+Q223)*100)&lt;=Assumptions!$B$8,0,AN223*Assumptions!$B$4+INDEX('Scored Accounts'!$N$2:$N$301,MATCH($A223,'Scored Accounts'!$A$2:$A$301,0))*Assumptions!$B$5+INDEX('Scored Accounts'!$O$2:$O$301,MATCH($A223,'Scored Accounts'!$A$2:$A$301,0))*Assumptions!$B$6)</f>
        <v>0</v>
      </c>
      <c r="AP223" s="2" t="str">
        <f aca="false">IF(AO223&gt;=Assumptions!$B$9,"High",IF(AO223&gt;=Assumptions!$B$10,"Medium","Low"))</f>
        <v>Low</v>
      </c>
      <c r="AQ223" s="10" t="b">
        <f aca="false">OR((E223&lt;=Assumptions!$B$8)&lt;&gt;((P223/(P223+Q223)*100)&lt;=Assumptions!$B$8),AM223&lt;&gt;AN223,G223&lt;&gt;AP223)</f>
        <v>0</v>
      </c>
      <c r="AR223" s="2" t="str">
        <f aca="false">IF(AP223&lt;&gt;"Low","Broker-Reliant",IF(B223="Account Managed","AM-Owned / Self-Serving","Self-Serve"))</f>
        <v>Self-Serve</v>
      </c>
      <c r="AS223" s="2" t="str">
        <f aca="false">IF(AR223="Broker-Reliant",IF(J223="Tail","5. Cost-to-Serve / Low-Touch",IF(OR(N223="Growing",N223="Stable"),"1. Migration Candidate",IF(N223="Declining","2. Protect / Retain First",IF(N223="Lapsed","3. Win-Back / Verify",IF(N223="H2 Active / No H1 GMV","4. Establish / Re-establish / Observe","UNASSIGNED"))))),IF(AP223="Low",IF(J223="Tail","9. Long-Tail Automated Nurture",IF(OR(N223="Growing",N223="Stable"),"6. Growth Opportunity",IF(N223="H2 Active / No H1 GMV","7. Onboard / Re-engage / Learn",IF(OR(N223="Declining",N223="Lapsed"),"8. Retention / Reactivation","UNASSIGNED")))),"UNASSIGNED"))</f>
        <v>9. Long-Tail Automated Nurture</v>
      </c>
      <c r="AT223" s="10" t="b">
        <f aca="false">AS223&lt;&gt;T223</f>
        <v>0</v>
      </c>
      <c r="AU223" s="2" t="str">
        <f aca="false">IF(NOT(U223),"Not Eligible",IF(OR(AQ223,AH223,AK223,NOT(AND(W223&gt;=Assumptions!$B$83,O223&gt;=Assumptions!$B$84))),"Manual Review","Ready"))</f>
        <v>Not Eligible</v>
      </c>
      <c r="AV223" s="2" t="str">
        <f aca="false">IF(AG223,"Key account - human sign-off required; ","")&amp;IF(AH223,"Borderline momentum; ","")&amp;IF(AK223,"February-sensitive ("&amp;N223&amp;" -&gt; "&amp;AJ223&amp;"); ","")&amp;IF(AL223="One-Off / Insufficient History — Verify","Lapsed on thin history - verify; ","")&amp;IF(AQ223,"Material broker % inconsistency (implied tier "&amp;AP223&amp;"); ","")&amp;IF(AT223,"Implied broker % would move segment to "&amp;AS223&amp;"; ","")</f>
        <v>February-sensitive (H2 Active / No H1 GMV -&gt; No activity ex-Feb); </v>
      </c>
      <c r="AW223" s="10" t="b">
        <f aca="false">AND(G223="Low",J223="Tail",I223&gt;=Assumptions!$B$64,O223&gt;=Assumptions!$B$65,OR(N223="Growing",N223="Stable",AND(N223="H2 Active / No H1 GMV",W223&gt;=2)),OR(R223&gt;=Assumptions!$B$66,S223&gt;=Assumptions!$B$67))</f>
        <v>0</v>
      </c>
    </row>
    <row r="224" customFormat="false" ht="15" hidden="false" customHeight="false" outlineLevel="0" collapsed="false">
      <c r="A224" s="2" t="s">
        <v>676</v>
      </c>
      <c r="B224" s="2" t="s">
        <v>1574</v>
      </c>
      <c r="C224" s="2"/>
      <c r="D224" s="2" t="n">
        <v>5</v>
      </c>
      <c r="E224" s="2" t="n">
        <v>0</v>
      </c>
      <c r="F224" s="21" t="n">
        <f aca="false">INDEX('Scored Accounts'!$Q$2:$Q$301,MATCH($A224,'Scored Accounts'!$A$2:$A$301,0))</f>
        <v>0</v>
      </c>
      <c r="G224" s="2" t="str">
        <f aca="false">INDEX('Scored Accounts'!$R$2:$R$301,MATCH($A224,'Scored Accounts'!$A$2:$A$301,0))</f>
        <v>Low</v>
      </c>
      <c r="H224" s="2" t="str">
        <f aca="false">IF(OR(G224="High",G224="Medium"),"Broker-Reliant",IF(AND(G224="Low",B224="Account Managed"),"AM-Owned / Self-Serving",IF(AND(G224="Low",B224="Self Serve"),"Self-Serve","UNASSIGNED")))</f>
        <v>Self-Serve</v>
      </c>
      <c r="I224" s="9" t="n">
        <v>550</v>
      </c>
      <c r="J224" s="2" t="str">
        <f aca="false">IF(I224&gt;=Assumptions!$B$35,"Key",IF(I224&gt;=Assumptions!$B$34,"Core","Tail"))</f>
        <v>Tail</v>
      </c>
      <c r="K224" s="9" t="n">
        <f aca="false">INDEX('Commercial View'!$R$2:$R$301,MATCH($A224,'Commercial View'!$A$2:$A$301,0))</f>
        <v>550</v>
      </c>
      <c r="L224" s="9" t="n">
        <f aca="false">INDEX('Commercial View'!$S$2:$S$301,MATCH($A224,'Commercial View'!$A$2:$A$301,0))</f>
        <v>0</v>
      </c>
      <c r="M224" s="17" t="n">
        <f aca="false">INDEX('Commercial View'!$T$2:$T$301,MATCH($A224,'Commercial View'!$A$2:$A$301,0))</f>
        <v>-1</v>
      </c>
      <c r="N224" s="2" t="str">
        <f aca="false">INDEX('Commercial View'!$U$2:$U$301,MATCH($A224,'Commercial View'!$A$2:$A$301,0))</f>
        <v>Lapsed</v>
      </c>
      <c r="O224" s="2" t="n">
        <v>2</v>
      </c>
      <c r="P224" s="2" t="n">
        <v>0</v>
      </c>
      <c r="Q224" s="2" t="n">
        <v>2</v>
      </c>
      <c r="R224" s="2" t="n">
        <v>23</v>
      </c>
      <c r="S224" s="2" t="n">
        <v>0</v>
      </c>
      <c r="T224" s="2" t="str">
        <f aca="false">IF(H224="Broker-Reliant",IF(J224="Tail","5. Cost-to-Serve / Low-Touch",IF(OR(N224="Growing",N224="Stable"),"1. Migration Candidate",IF(N224="Declining","2. Protect / Retain First",IF(N224="Lapsed","3. Win-Back / Verify",IF(N224="H2 Active / No H1 GMV","4. Establish / Re-establish / Observe","UNASSIGNED"))))),IF(G224="Low",IF(J224="Tail","9. Long-Tail Automated Nurture",IF(OR(N224="Growing",N224="Stable"),"6. Growth Opportunity",IF(N224="H2 Active / No H1 GMV","7. Onboard / Re-engage / Learn",IF(OR(N224="Declining",N224="Lapsed"),"8. Retention / Reactivation","UNASSIGNED")))),"UNASSIGNED"))</f>
        <v>9. Long-Tail Automated Nurture</v>
      </c>
      <c r="U224" s="10" t="b">
        <f aca="false">AND(T224="1. Migration Candidate",J224="Core",O224&gt;=Assumptions!$B$39,Q224&gt;=Assumptions!$B$40,NOT(Z224))</f>
        <v>0</v>
      </c>
      <c r="V224" s="2" t="n">
        <f aca="false">(AND(H224="Broker-Reliant",J224&lt;&gt;"Tail",OR(N224="Growing",N224="Stable")))*1+(AND(H224="Broker-Reliant",J224&lt;&gt;"Tail",N224="Declining"))*1+(AND(H224="Broker-Reliant",J224&lt;&gt;"Tail",N224="Lapsed"))*1+(AND(H224="Broker-Reliant",J224&lt;&gt;"Tail",N224="H2 Active / No H1 GMV"))*1+(AND(H224="Broker-Reliant",J224="Tail"))*1+(AND(G224="Low",J224&lt;&gt;"Tail",OR(N224="Growing",N224="Stable")))*1+(AND(G224="Low",J224&lt;&gt;"Tail",N224="H2 Active / No H1 GMV"))*1+(AND(G224="Low",J224&lt;&gt;"Tail",OR(N224="Declining",N224="Lapsed")))*1+(AND(G224="Low",J224="Tail"))*1</f>
        <v>1</v>
      </c>
      <c r="W224" s="2" t="n">
        <f aca="false">INDEX('Commercial View'!$V$2:$V$301,MATCH($A224,'Commercial View'!$A$2:$A$301,0))</f>
        <v>2</v>
      </c>
      <c r="X224" s="10" t="b">
        <f aca="false">O224&lt;=Assumptions!$B$30</f>
        <v>1</v>
      </c>
      <c r="Y224" s="10" t="b">
        <f aca="false">W224&lt;=1</f>
        <v>0</v>
      </c>
      <c r="Z224" s="10" t="b">
        <f aca="false">C224="Duplicate"</f>
        <v>0</v>
      </c>
      <c r="AA224" s="10" t="b">
        <f aca="false">C224=""</f>
        <v>1</v>
      </c>
      <c r="AB224" s="2" t="n">
        <f aca="false">IF(P224+Q224&gt;0,ROUND(P224/(P224+Q224)*100,0),"")</f>
        <v>0</v>
      </c>
      <c r="AC224" s="2" t="n">
        <f aca="false">IF(P224+Q224&gt;0,ROUND(E224-P224/(P224+Q224)*100,0),"")</f>
        <v>0</v>
      </c>
      <c r="AD224" s="10" t="b">
        <f aca="false">IF(AC224="",FALSE(),ABS(AC224)&gt;Assumptions!$B$41)</f>
        <v>0</v>
      </c>
      <c r="AE224" s="2" t="str">
        <f aca="false">IF(X224,"Low confidence (&lt;=2 orders); ","")&amp;IF(Y224,"Single-month history; ","")&amp;IF(Z224,"CRITICAL: Duplicate status; ","")&amp;IF(AA224,"Missing status; ","")&amp;IF(AD224,"Broker % vs counts gap "&amp;TEXT(AC224,"+0;-0")&amp;"pts; ","")</f>
        <v>Low confidence (&lt;=2 orders); Missing status; </v>
      </c>
      <c r="AF224" s="2" t="str">
        <f aca="false">IF(AND(K224=0,L224&gt;0),IF(D224&lt;=Assumptions!$B$47,"New Customer","Returned Customer"),"Existing Customer")</f>
        <v>Existing Customer</v>
      </c>
      <c r="AG224" s="10" t="b">
        <f aca="false">AND(T224="1. Migration Candidate",J224="Key")</f>
        <v>0</v>
      </c>
      <c r="AH224" s="10" t="b">
        <f aca="false">IF(AND(K224&gt;0,L224&gt;0),OR(ABS(M224-Assumptions!$B$36)&lt;=Assumptions!$B$46,ABS(M224+Assumptions!$B$36)&lt;=Assumptions!$B$46),FALSE())</f>
        <v>0</v>
      </c>
      <c r="AI224" s="9" t="n">
        <f aca="false">INDEX('Commercial View'!$L$2:$L$301,MATCH($A224,'Commercial View'!$A$2:$A$301,0))+INDEX('Commercial View'!$M$2:$M$301,MATCH($A224,'Commercial View'!$A$2:$A$301,0))</f>
        <v>0</v>
      </c>
      <c r="AJ224" s="2" t="str">
        <f aca="false">IF(AND(K224=0,AI224=0),"No activity ex-Feb",IF(AI224=0,"Lapsed",IF(K224=0,"H2 Active / No H1 GMV",IF((AI224/2)/(K224/3)-1&gt;=Assumptions!$B$36,"Growing",IF((AI224/2)/(K224/3)-1&lt;-Assumptions!$B$36,"Declining","Stable")))))</f>
        <v>Lapsed</v>
      </c>
      <c r="AK224" s="10" t="b">
        <f aca="false">IF(OR(N224="Growing",N224="Stable"),"Healthy",N224)&lt;&gt;IF(OR(AJ224="Growing",AJ224="Stable"),"Healthy",AJ224)</f>
        <v>0</v>
      </c>
      <c r="AL224" s="2" t="str">
        <f aca="false">IF(N224="Lapsed",IF(OR(O224&lt;=Assumptions!$B$48,W224&lt;=Assumptions!$B$49),"One-Off / Insufficient History — Verify","Established Buyer Lapsed"),"N/A")</f>
        <v>One-Off / Insufficient History — Verify</v>
      </c>
      <c r="AM224" s="2" t="n">
        <f aca="false">INDEX('Scored Accounts'!$M$2:$M$301,MATCH($A224,'Scored Accounts'!$A$2:$A$301,0))</f>
        <v>0</v>
      </c>
      <c r="AN224" s="2" t="n">
        <f aca="false">IF((P224/(P224+Q224)*100)&lt;=Assumptions!$B$13,0,IF((P224/(P224+Q224)*100)&lt;Assumptions!$B$14,25,IF((P224/(P224+Q224)*100)&lt;Assumptions!$B$15,50,IF((P224/(P224+Q224)*100)&lt;Assumptions!$B$16,75,100))))</f>
        <v>0</v>
      </c>
      <c r="AO224" s="21" t="n">
        <f aca="false">IF((P224/(P224+Q224)*100)&lt;=Assumptions!$B$8,0,AN224*Assumptions!$B$4+INDEX('Scored Accounts'!$N$2:$N$301,MATCH($A224,'Scored Accounts'!$A$2:$A$301,0))*Assumptions!$B$5+INDEX('Scored Accounts'!$O$2:$O$301,MATCH($A224,'Scored Accounts'!$A$2:$A$301,0))*Assumptions!$B$6)</f>
        <v>0</v>
      </c>
      <c r="AP224" s="2" t="str">
        <f aca="false">IF(AO224&gt;=Assumptions!$B$9,"High",IF(AO224&gt;=Assumptions!$B$10,"Medium","Low"))</f>
        <v>Low</v>
      </c>
      <c r="AQ224" s="10" t="b">
        <f aca="false">OR((E224&lt;=Assumptions!$B$8)&lt;&gt;((P224/(P224+Q224)*100)&lt;=Assumptions!$B$8),AM224&lt;&gt;AN224,G224&lt;&gt;AP224)</f>
        <v>0</v>
      </c>
      <c r="AR224" s="2" t="str">
        <f aca="false">IF(AP224&lt;&gt;"Low","Broker-Reliant",IF(B224="Account Managed","AM-Owned / Self-Serving","Self-Serve"))</f>
        <v>Self-Serve</v>
      </c>
      <c r="AS224" s="2" t="str">
        <f aca="false">IF(AR224="Broker-Reliant",IF(J224="Tail","5. Cost-to-Serve / Low-Touch",IF(OR(N224="Growing",N224="Stable"),"1. Migration Candidate",IF(N224="Declining","2. Protect / Retain First",IF(N224="Lapsed","3. Win-Back / Verify",IF(N224="H2 Active / No H1 GMV","4. Establish / Re-establish / Observe","UNASSIGNED"))))),IF(AP224="Low",IF(J224="Tail","9. Long-Tail Automated Nurture",IF(OR(N224="Growing",N224="Stable"),"6. Growth Opportunity",IF(N224="H2 Active / No H1 GMV","7. Onboard / Re-engage / Learn",IF(OR(N224="Declining",N224="Lapsed"),"8. Retention / Reactivation","UNASSIGNED")))),"UNASSIGNED"))</f>
        <v>9. Long-Tail Automated Nurture</v>
      </c>
      <c r="AT224" s="10" t="b">
        <f aca="false">AS224&lt;&gt;T224</f>
        <v>0</v>
      </c>
      <c r="AU224" s="2" t="str">
        <f aca="false">IF(NOT(U224),"Not Eligible",IF(OR(AQ224,AH224,AK224,NOT(AND(W224&gt;=Assumptions!$B$83,O224&gt;=Assumptions!$B$84))),"Manual Review","Ready"))</f>
        <v>Not Eligible</v>
      </c>
      <c r="AV224" s="2" t="str">
        <f aca="false">IF(AG224,"Key account - human sign-off required; ","")&amp;IF(AH224,"Borderline momentum; ","")&amp;IF(AK224,"February-sensitive ("&amp;N224&amp;" -&gt; "&amp;AJ224&amp;"); ","")&amp;IF(AL224="One-Off / Insufficient History — Verify","Lapsed on thin history - verify; ","")&amp;IF(AQ224,"Material broker % inconsistency (implied tier "&amp;AP224&amp;"); ","")&amp;IF(AT224,"Implied broker % would move segment to "&amp;AS224&amp;"; ","")</f>
        <v>Lapsed on thin history - verify; </v>
      </c>
      <c r="AW224" s="10" t="b">
        <f aca="false">AND(G224="Low",J224="Tail",I224&gt;=Assumptions!$B$64,O224&gt;=Assumptions!$B$65,OR(N224="Growing",N224="Stable",AND(N224="H2 Active / No H1 GMV",W224&gt;=2)),OR(R224&gt;=Assumptions!$B$66,S224&gt;=Assumptions!$B$67))</f>
        <v>0</v>
      </c>
    </row>
    <row r="225" customFormat="false" ht="15" hidden="false" customHeight="false" outlineLevel="0" collapsed="false">
      <c r="A225" s="2" t="s">
        <v>682</v>
      </c>
      <c r="B225" s="2" t="s">
        <v>1574</v>
      </c>
      <c r="C225" s="2"/>
      <c r="D225" s="2" t="n">
        <v>2</v>
      </c>
      <c r="E225" s="2" t="n">
        <v>0</v>
      </c>
      <c r="F225" s="21" t="n">
        <f aca="false">INDEX('Scored Accounts'!$Q$2:$Q$301,MATCH($A225,'Scored Accounts'!$A$2:$A$301,0))</f>
        <v>0</v>
      </c>
      <c r="G225" s="2" t="str">
        <f aca="false">INDEX('Scored Accounts'!$R$2:$R$301,MATCH($A225,'Scored Accounts'!$A$2:$A$301,0))</f>
        <v>Low</v>
      </c>
      <c r="H225" s="2" t="str">
        <f aca="false">IF(OR(G225="High",G225="Medium"),"Broker-Reliant",IF(AND(G225="Low",B225="Account Managed"),"AM-Owned / Self-Serving",IF(AND(G225="Low",B225="Self Serve"),"Self-Serve","UNASSIGNED")))</f>
        <v>Self-Serve</v>
      </c>
      <c r="I225" s="9" t="n">
        <v>501</v>
      </c>
      <c r="J225" s="2" t="str">
        <f aca="false">IF(I225&gt;=Assumptions!$B$35,"Key",IF(I225&gt;=Assumptions!$B$34,"Core","Tail"))</f>
        <v>Tail</v>
      </c>
      <c r="K225" s="9" t="n">
        <f aca="false">INDEX('Commercial View'!$R$2:$R$301,MATCH($A225,'Commercial View'!$A$2:$A$301,0))</f>
        <v>0</v>
      </c>
      <c r="L225" s="9" t="n">
        <f aca="false">INDEX('Commercial View'!$S$2:$S$301,MATCH($A225,'Commercial View'!$A$2:$A$301,0))</f>
        <v>501</v>
      </c>
      <c r="M225" s="17" t="str">
        <f aca="false">INDEX('Commercial View'!$T$2:$T$301,MATCH($A225,'Commercial View'!$A$2:$A$301,0))</f>
        <v/>
      </c>
      <c r="N225" s="2" t="str">
        <f aca="false">INDEX('Commercial View'!$U$2:$U$301,MATCH($A225,'Commercial View'!$A$2:$A$301,0))</f>
        <v>H2 Active / No H1 GMV</v>
      </c>
      <c r="O225" s="2" t="n">
        <v>1</v>
      </c>
      <c r="P225" s="2" t="n">
        <v>0</v>
      </c>
      <c r="Q225" s="2" t="n">
        <v>1</v>
      </c>
      <c r="R225" s="2" t="n">
        <v>4</v>
      </c>
      <c r="S225" s="2" t="n">
        <v>1</v>
      </c>
      <c r="T225" s="2" t="str">
        <f aca="false">IF(H225="Broker-Reliant",IF(J225="Tail","5. Cost-to-Serve / Low-Touch",IF(OR(N225="Growing",N225="Stable"),"1. Migration Candidate",IF(N225="Declining","2. Protect / Retain First",IF(N225="Lapsed","3. Win-Back / Verify",IF(N225="H2 Active / No H1 GMV","4. Establish / Re-establish / Observe","UNASSIGNED"))))),IF(G225="Low",IF(J225="Tail","9. Long-Tail Automated Nurture",IF(OR(N225="Growing",N225="Stable"),"6. Growth Opportunity",IF(N225="H2 Active / No H1 GMV","7. Onboard / Re-engage / Learn",IF(OR(N225="Declining",N225="Lapsed"),"8. Retention / Reactivation","UNASSIGNED")))),"UNASSIGNED"))</f>
        <v>9. Long-Tail Automated Nurture</v>
      </c>
      <c r="U225" s="10" t="b">
        <f aca="false">AND(T225="1. Migration Candidate",J225="Core",O225&gt;=Assumptions!$B$39,Q225&gt;=Assumptions!$B$40,NOT(Z225))</f>
        <v>0</v>
      </c>
      <c r="V225" s="2" t="n">
        <f aca="false">(AND(H225="Broker-Reliant",J225&lt;&gt;"Tail",OR(N225="Growing",N225="Stable")))*1+(AND(H225="Broker-Reliant",J225&lt;&gt;"Tail",N225="Declining"))*1+(AND(H225="Broker-Reliant",J225&lt;&gt;"Tail",N225="Lapsed"))*1+(AND(H225="Broker-Reliant",J225&lt;&gt;"Tail",N225="H2 Active / No H1 GMV"))*1+(AND(H225="Broker-Reliant",J225="Tail"))*1+(AND(G225="Low",J225&lt;&gt;"Tail",OR(N225="Growing",N225="Stable")))*1+(AND(G225="Low",J225&lt;&gt;"Tail",N225="H2 Active / No H1 GMV"))*1+(AND(G225="Low",J225&lt;&gt;"Tail",OR(N225="Declining",N225="Lapsed")))*1+(AND(G225="Low",J225="Tail"))*1</f>
        <v>1</v>
      </c>
      <c r="W225" s="2" t="n">
        <f aca="false">INDEX('Commercial View'!$V$2:$V$301,MATCH($A225,'Commercial View'!$A$2:$A$301,0))</f>
        <v>1</v>
      </c>
      <c r="X225" s="10" t="b">
        <f aca="false">O225&lt;=Assumptions!$B$30</f>
        <v>1</v>
      </c>
      <c r="Y225" s="10" t="b">
        <f aca="false">W225&lt;=1</f>
        <v>1</v>
      </c>
      <c r="Z225" s="10" t="b">
        <f aca="false">C225="Duplicate"</f>
        <v>0</v>
      </c>
      <c r="AA225" s="10" t="b">
        <f aca="false">C225=""</f>
        <v>1</v>
      </c>
      <c r="AB225" s="2" t="n">
        <f aca="false">IF(P225+Q225&gt;0,ROUND(P225/(P225+Q225)*100,0),"")</f>
        <v>0</v>
      </c>
      <c r="AC225" s="2" t="n">
        <f aca="false">IF(P225+Q225&gt;0,ROUND(E225-P225/(P225+Q225)*100,0),"")</f>
        <v>0</v>
      </c>
      <c r="AD225" s="10" t="b">
        <f aca="false">IF(AC225="",FALSE(),ABS(AC225)&gt;Assumptions!$B$41)</f>
        <v>0</v>
      </c>
      <c r="AE225" s="2" t="str">
        <f aca="false">IF(X225,"Low confidence (&lt;=2 orders); ","")&amp;IF(Y225,"Single-month history; ","")&amp;IF(Z225,"CRITICAL: Duplicate status; ","")&amp;IF(AA225,"Missing status; ","")&amp;IF(AD225,"Broker % vs counts gap "&amp;TEXT(AC225,"+0;-0")&amp;"pts; ","")</f>
        <v>Low confidence (&lt;=2 orders); Single-month history; Missing status; </v>
      </c>
      <c r="AF225" s="2" t="str">
        <f aca="false">IF(AND(K225=0,L225&gt;0),IF(D225&lt;=Assumptions!$B$47,"New Customer","Returned Customer"),"Existing Customer")</f>
        <v>New Customer</v>
      </c>
      <c r="AG225" s="10" t="b">
        <f aca="false">AND(T225="1. Migration Candidate",J225="Key")</f>
        <v>0</v>
      </c>
      <c r="AH225" s="10" t="b">
        <f aca="false">IF(AND(K225&gt;0,L225&gt;0),OR(ABS(M225-Assumptions!$B$36)&lt;=Assumptions!$B$46,ABS(M225+Assumptions!$B$36)&lt;=Assumptions!$B$46),FALSE())</f>
        <v>0</v>
      </c>
      <c r="AI225" s="9" t="n">
        <f aca="false">INDEX('Commercial View'!$L$2:$L$301,MATCH($A225,'Commercial View'!$A$2:$A$301,0))+INDEX('Commercial View'!$M$2:$M$301,MATCH($A225,'Commercial View'!$A$2:$A$301,0))</f>
        <v>501</v>
      </c>
      <c r="AJ225" s="2" t="str">
        <f aca="false">IF(AND(K225=0,AI225=0),"No activity ex-Feb",IF(AI225=0,"Lapsed",IF(K225=0,"H2 Active / No H1 GMV",IF((AI225/2)/(K225/3)-1&gt;=Assumptions!$B$36,"Growing",IF((AI225/2)/(K225/3)-1&lt;-Assumptions!$B$36,"Declining","Stable")))))</f>
        <v>H2 Active / No H1 GMV</v>
      </c>
      <c r="AK225" s="10" t="b">
        <f aca="false">IF(OR(N225="Growing",N225="Stable"),"Healthy",N225)&lt;&gt;IF(OR(AJ225="Growing",AJ225="Stable"),"Healthy",AJ225)</f>
        <v>0</v>
      </c>
      <c r="AL225" s="2" t="str">
        <f aca="false">IF(N225="Lapsed",IF(OR(O225&lt;=Assumptions!$B$48,W225&lt;=Assumptions!$B$49),"One-Off / Insufficient History — Verify","Established Buyer Lapsed"),"N/A")</f>
        <v>N/A</v>
      </c>
      <c r="AM225" s="2" t="n">
        <f aca="false">INDEX('Scored Accounts'!$M$2:$M$301,MATCH($A225,'Scored Accounts'!$A$2:$A$301,0))</f>
        <v>0</v>
      </c>
      <c r="AN225" s="2" t="n">
        <f aca="false">IF((P225/(P225+Q225)*100)&lt;=Assumptions!$B$13,0,IF((P225/(P225+Q225)*100)&lt;Assumptions!$B$14,25,IF((P225/(P225+Q225)*100)&lt;Assumptions!$B$15,50,IF((P225/(P225+Q225)*100)&lt;Assumptions!$B$16,75,100))))</f>
        <v>0</v>
      </c>
      <c r="AO225" s="21" t="n">
        <f aca="false">IF((P225/(P225+Q225)*100)&lt;=Assumptions!$B$8,0,AN225*Assumptions!$B$4+INDEX('Scored Accounts'!$N$2:$N$301,MATCH($A225,'Scored Accounts'!$A$2:$A$301,0))*Assumptions!$B$5+INDEX('Scored Accounts'!$O$2:$O$301,MATCH($A225,'Scored Accounts'!$A$2:$A$301,0))*Assumptions!$B$6)</f>
        <v>0</v>
      </c>
      <c r="AP225" s="2" t="str">
        <f aca="false">IF(AO225&gt;=Assumptions!$B$9,"High",IF(AO225&gt;=Assumptions!$B$10,"Medium","Low"))</f>
        <v>Low</v>
      </c>
      <c r="AQ225" s="10" t="b">
        <f aca="false">OR((E225&lt;=Assumptions!$B$8)&lt;&gt;((P225/(P225+Q225)*100)&lt;=Assumptions!$B$8),AM225&lt;&gt;AN225,G225&lt;&gt;AP225)</f>
        <v>0</v>
      </c>
      <c r="AR225" s="2" t="str">
        <f aca="false">IF(AP225&lt;&gt;"Low","Broker-Reliant",IF(B225="Account Managed","AM-Owned / Self-Serving","Self-Serve"))</f>
        <v>Self-Serve</v>
      </c>
      <c r="AS225" s="2" t="str">
        <f aca="false">IF(AR225="Broker-Reliant",IF(J225="Tail","5. Cost-to-Serve / Low-Touch",IF(OR(N225="Growing",N225="Stable"),"1. Migration Candidate",IF(N225="Declining","2. Protect / Retain First",IF(N225="Lapsed","3. Win-Back / Verify",IF(N225="H2 Active / No H1 GMV","4. Establish / Re-establish / Observe","UNASSIGNED"))))),IF(AP225="Low",IF(J225="Tail","9. Long-Tail Automated Nurture",IF(OR(N225="Growing",N225="Stable"),"6. Growth Opportunity",IF(N225="H2 Active / No H1 GMV","7. Onboard / Re-engage / Learn",IF(OR(N225="Declining",N225="Lapsed"),"8. Retention / Reactivation","UNASSIGNED")))),"UNASSIGNED"))</f>
        <v>9. Long-Tail Automated Nurture</v>
      </c>
      <c r="AT225" s="10" t="b">
        <f aca="false">AS225&lt;&gt;T225</f>
        <v>0</v>
      </c>
      <c r="AU225" s="2" t="str">
        <f aca="false">IF(NOT(U225),"Not Eligible",IF(OR(AQ225,AH225,AK225,NOT(AND(W225&gt;=Assumptions!$B$83,O225&gt;=Assumptions!$B$84))),"Manual Review","Ready"))</f>
        <v>Not Eligible</v>
      </c>
      <c r="AV225" s="2" t="str">
        <f aca="false">IF(AG225,"Key account - human sign-off required; ","")&amp;IF(AH225,"Borderline momentum; ","")&amp;IF(AK225,"February-sensitive ("&amp;N225&amp;" -&gt; "&amp;AJ225&amp;"); ","")&amp;IF(AL225="One-Off / Insufficient History — Verify","Lapsed on thin history - verify; ","")&amp;IF(AQ225,"Material broker % inconsistency (implied tier "&amp;AP225&amp;"); ","")&amp;IF(AT225,"Implied broker % would move segment to "&amp;AS225&amp;"; ","")</f>
        <v/>
      </c>
      <c r="AW225" s="10" t="b">
        <f aca="false">AND(G225="Low",J225="Tail",I225&gt;=Assumptions!$B$64,O225&gt;=Assumptions!$B$65,OR(N225="Growing",N225="Stable",AND(N225="H2 Active / No H1 GMV",W225&gt;=2)),OR(R225&gt;=Assumptions!$B$66,S225&gt;=Assumptions!$B$67))</f>
        <v>0</v>
      </c>
    </row>
    <row r="226" customFormat="false" ht="15" hidden="false" customHeight="false" outlineLevel="0" collapsed="false">
      <c r="A226" s="2" t="s">
        <v>684</v>
      </c>
      <c r="B226" s="2" t="s">
        <v>1574</v>
      </c>
      <c r="C226" s="2"/>
      <c r="D226" s="2" t="n">
        <v>6</v>
      </c>
      <c r="E226" s="2" t="n">
        <v>0</v>
      </c>
      <c r="F226" s="21" t="n">
        <f aca="false">INDEX('Scored Accounts'!$Q$2:$Q$301,MATCH($A226,'Scored Accounts'!$A$2:$A$301,0))</f>
        <v>0</v>
      </c>
      <c r="G226" s="2" t="str">
        <f aca="false">INDEX('Scored Accounts'!$R$2:$R$301,MATCH($A226,'Scored Accounts'!$A$2:$A$301,0))</f>
        <v>Low</v>
      </c>
      <c r="H226" s="2" t="str">
        <f aca="false">IF(OR(G226="High",G226="Medium"),"Broker-Reliant",IF(AND(G226="Low",B226="Account Managed"),"AM-Owned / Self-Serving",IF(AND(G226="Low",B226="Self Serve"),"Self-Serve","UNASSIGNED")))</f>
        <v>Self-Serve</v>
      </c>
      <c r="I226" s="9" t="n">
        <v>493</v>
      </c>
      <c r="J226" s="2" t="str">
        <f aca="false">IF(I226&gt;=Assumptions!$B$35,"Key",IF(I226&gt;=Assumptions!$B$34,"Core","Tail"))</f>
        <v>Tail</v>
      </c>
      <c r="K226" s="9" t="n">
        <f aca="false">INDEX('Commercial View'!$R$2:$R$301,MATCH($A226,'Commercial View'!$A$2:$A$301,0))</f>
        <v>494</v>
      </c>
      <c r="L226" s="9" t="n">
        <f aca="false">INDEX('Commercial View'!$S$2:$S$301,MATCH($A226,'Commercial View'!$A$2:$A$301,0))</f>
        <v>0</v>
      </c>
      <c r="M226" s="17" t="n">
        <f aca="false">INDEX('Commercial View'!$T$2:$T$301,MATCH($A226,'Commercial View'!$A$2:$A$301,0))</f>
        <v>-1</v>
      </c>
      <c r="N226" s="2" t="str">
        <f aca="false">INDEX('Commercial View'!$U$2:$U$301,MATCH($A226,'Commercial View'!$A$2:$A$301,0))</f>
        <v>Lapsed</v>
      </c>
      <c r="O226" s="2" t="n">
        <v>3</v>
      </c>
      <c r="P226" s="2" t="n">
        <v>0</v>
      </c>
      <c r="Q226" s="2" t="n">
        <v>3</v>
      </c>
      <c r="R226" s="2" t="n">
        <v>35</v>
      </c>
      <c r="S226" s="2" t="n">
        <v>2</v>
      </c>
      <c r="T226" s="2" t="str">
        <f aca="false">IF(H226="Broker-Reliant",IF(J226="Tail","5. Cost-to-Serve / Low-Touch",IF(OR(N226="Growing",N226="Stable"),"1. Migration Candidate",IF(N226="Declining","2. Protect / Retain First",IF(N226="Lapsed","3. Win-Back / Verify",IF(N226="H2 Active / No H1 GMV","4. Establish / Re-establish / Observe","UNASSIGNED"))))),IF(G226="Low",IF(J226="Tail","9. Long-Tail Automated Nurture",IF(OR(N226="Growing",N226="Stable"),"6. Growth Opportunity",IF(N226="H2 Active / No H1 GMV","7. Onboard / Re-engage / Learn",IF(OR(N226="Declining",N226="Lapsed"),"8. Retention / Reactivation","UNASSIGNED")))),"UNASSIGNED"))</f>
        <v>9. Long-Tail Automated Nurture</v>
      </c>
      <c r="U226" s="10" t="b">
        <f aca="false">AND(T226="1. Migration Candidate",J226="Core",O226&gt;=Assumptions!$B$39,Q226&gt;=Assumptions!$B$40,NOT(Z226))</f>
        <v>0</v>
      </c>
      <c r="V226" s="2" t="n">
        <f aca="false">(AND(H226="Broker-Reliant",J226&lt;&gt;"Tail",OR(N226="Growing",N226="Stable")))*1+(AND(H226="Broker-Reliant",J226&lt;&gt;"Tail",N226="Declining"))*1+(AND(H226="Broker-Reliant",J226&lt;&gt;"Tail",N226="Lapsed"))*1+(AND(H226="Broker-Reliant",J226&lt;&gt;"Tail",N226="H2 Active / No H1 GMV"))*1+(AND(H226="Broker-Reliant",J226="Tail"))*1+(AND(G226="Low",J226&lt;&gt;"Tail",OR(N226="Growing",N226="Stable")))*1+(AND(G226="Low",J226&lt;&gt;"Tail",N226="H2 Active / No H1 GMV"))*1+(AND(G226="Low",J226&lt;&gt;"Tail",OR(N226="Declining",N226="Lapsed")))*1+(AND(G226="Low",J226="Tail"))*1</f>
        <v>1</v>
      </c>
      <c r="W226" s="2" t="n">
        <f aca="false">INDEX('Commercial View'!$V$2:$V$301,MATCH($A226,'Commercial View'!$A$2:$A$301,0))</f>
        <v>3</v>
      </c>
      <c r="X226" s="10" t="b">
        <f aca="false">O226&lt;=Assumptions!$B$30</f>
        <v>0</v>
      </c>
      <c r="Y226" s="10" t="b">
        <f aca="false">W226&lt;=1</f>
        <v>0</v>
      </c>
      <c r="Z226" s="10" t="b">
        <f aca="false">C226="Duplicate"</f>
        <v>0</v>
      </c>
      <c r="AA226" s="10" t="b">
        <f aca="false">C226=""</f>
        <v>1</v>
      </c>
      <c r="AB226" s="2" t="n">
        <f aca="false">IF(P226+Q226&gt;0,ROUND(P226/(P226+Q226)*100,0),"")</f>
        <v>0</v>
      </c>
      <c r="AC226" s="2" t="n">
        <f aca="false">IF(P226+Q226&gt;0,ROUND(E226-P226/(P226+Q226)*100,0),"")</f>
        <v>0</v>
      </c>
      <c r="AD226" s="10" t="b">
        <f aca="false">IF(AC226="",FALSE(),ABS(AC226)&gt;Assumptions!$B$41)</f>
        <v>0</v>
      </c>
      <c r="AE226" s="2" t="str">
        <f aca="false">IF(X226,"Low confidence (&lt;=2 orders); ","")&amp;IF(Y226,"Single-month history; ","")&amp;IF(Z226,"CRITICAL: Duplicate status; ","")&amp;IF(AA226,"Missing status; ","")&amp;IF(AD226,"Broker % vs counts gap "&amp;TEXT(AC226,"+0;-0")&amp;"pts; ","")</f>
        <v>Missing status; </v>
      </c>
      <c r="AF226" s="2" t="str">
        <f aca="false">IF(AND(K226=0,L226&gt;0),IF(D226&lt;=Assumptions!$B$47,"New Customer","Returned Customer"),"Existing Customer")</f>
        <v>Existing Customer</v>
      </c>
      <c r="AG226" s="10" t="b">
        <f aca="false">AND(T226="1. Migration Candidate",J226="Key")</f>
        <v>0</v>
      </c>
      <c r="AH226" s="10" t="b">
        <f aca="false">IF(AND(K226&gt;0,L226&gt;0),OR(ABS(M226-Assumptions!$B$36)&lt;=Assumptions!$B$46,ABS(M226+Assumptions!$B$36)&lt;=Assumptions!$B$46),FALSE())</f>
        <v>0</v>
      </c>
      <c r="AI226" s="9" t="n">
        <f aca="false">INDEX('Commercial View'!$L$2:$L$301,MATCH($A226,'Commercial View'!$A$2:$A$301,0))+INDEX('Commercial View'!$M$2:$M$301,MATCH($A226,'Commercial View'!$A$2:$A$301,0))</f>
        <v>0</v>
      </c>
      <c r="AJ226" s="2" t="str">
        <f aca="false">IF(AND(K226=0,AI226=0),"No activity ex-Feb",IF(AI226=0,"Lapsed",IF(K226=0,"H2 Active / No H1 GMV",IF((AI226/2)/(K226/3)-1&gt;=Assumptions!$B$36,"Growing",IF((AI226/2)/(K226/3)-1&lt;-Assumptions!$B$36,"Declining","Stable")))))</f>
        <v>Lapsed</v>
      </c>
      <c r="AK226" s="10" t="b">
        <f aca="false">IF(OR(N226="Growing",N226="Stable"),"Healthy",N226)&lt;&gt;IF(OR(AJ226="Growing",AJ226="Stable"),"Healthy",AJ226)</f>
        <v>0</v>
      </c>
      <c r="AL226" s="2" t="str">
        <f aca="false">IF(N226="Lapsed",IF(OR(O226&lt;=Assumptions!$B$48,W226&lt;=Assumptions!$B$49),"One-Off / Insufficient History — Verify","Established Buyer Lapsed"),"N/A")</f>
        <v>Established Buyer Lapsed</v>
      </c>
      <c r="AM226" s="2" t="n">
        <f aca="false">INDEX('Scored Accounts'!$M$2:$M$301,MATCH($A226,'Scored Accounts'!$A$2:$A$301,0))</f>
        <v>0</v>
      </c>
      <c r="AN226" s="2" t="n">
        <f aca="false">IF((P226/(P226+Q226)*100)&lt;=Assumptions!$B$13,0,IF((P226/(P226+Q226)*100)&lt;Assumptions!$B$14,25,IF((P226/(P226+Q226)*100)&lt;Assumptions!$B$15,50,IF((P226/(P226+Q226)*100)&lt;Assumptions!$B$16,75,100))))</f>
        <v>0</v>
      </c>
      <c r="AO226" s="21" t="n">
        <f aca="false">IF((P226/(P226+Q226)*100)&lt;=Assumptions!$B$8,0,AN226*Assumptions!$B$4+INDEX('Scored Accounts'!$N$2:$N$301,MATCH($A226,'Scored Accounts'!$A$2:$A$301,0))*Assumptions!$B$5+INDEX('Scored Accounts'!$O$2:$O$301,MATCH($A226,'Scored Accounts'!$A$2:$A$301,0))*Assumptions!$B$6)</f>
        <v>0</v>
      </c>
      <c r="AP226" s="2" t="str">
        <f aca="false">IF(AO226&gt;=Assumptions!$B$9,"High",IF(AO226&gt;=Assumptions!$B$10,"Medium","Low"))</f>
        <v>Low</v>
      </c>
      <c r="AQ226" s="10" t="b">
        <f aca="false">OR((E226&lt;=Assumptions!$B$8)&lt;&gt;((P226/(P226+Q226)*100)&lt;=Assumptions!$B$8),AM226&lt;&gt;AN226,G226&lt;&gt;AP226)</f>
        <v>0</v>
      </c>
      <c r="AR226" s="2" t="str">
        <f aca="false">IF(AP226&lt;&gt;"Low","Broker-Reliant",IF(B226="Account Managed","AM-Owned / Self-Serving","Self-Serve"))</f>
        <v>Self-Serve</v>
      </c>
      <c r="AS226" s="2" t="str">
        <f aca="false">IF(AR226="Broker-Reliant",IF(J226="Tail","5. Cost-to-Serve / Low-Touch",IF(OR(N226="Growing",N226="Stable"),"1. Migration Candidate",IF(N226="Declining","2. Protect / Retain First",IF(N226="Lapsed","3. Win-Back / Verify",IF(N226="H2 Active / No H1 GMV","4. Establish / Re-establish / Observe","UNASSIGNED"))))),IF(AP226="Low",IF(J226="Tail","9. Long-Tail Automated Nurture",IF(OR(N226="Growing",N226="Stable"),"6. Growth Opportunity",IF(N226="H2 Active / No H1 GMV","7. Onboard / Re-engage / Learn",IF(OR(N226="Declining",N226="Lapsed"),"8. Retention / Reactivation","UNASSIGNED")))),"UNASSIGNED"))</f>
        <v>9. Long-Tail Automated Nurture</v>
      </c>
      <c r="AT226" s="10" t="b">
        <f aca="false">AS226&lt;&gt;T226</f>
        <v>0</v>
      </c>
      <c r="AU226" s="2" t="str">
        <f aca="false">IF(NOT(U226),"Not Eligible",IF(OR(AQ226,AH226,AK226,NOT(AND(W226&gt;=Assumptions!$B$83,O226&gt;=Assumptions!$B$84))),"Manual Review","Ready"))</f>
        <v>Not Eligible</v>
      </c>
      <c r="AV226" s="2" t="str">
        <f aca="false">IF(AG226,"Key account - human sign-off required; ","")&amp;IF(AH226,"Borderline momentum; ","")&amp;IF(AK226,"February-sensitive ("&amp;N226&amp;" -&gt; "&amp;AJ226&amp;"); ","")&amp;IF(AL226="One-Off / Insufficient History — Verify","Lapsed on thin history - verify; ","")&amp;IF(AQ226,"Material broker % inconsistency (implied tier "&amp;AP226&amp;"); ","")&amp;IF(AT226,"Implied broker % would move segment to "&amp;AS226&amp;"; ","")</f>
        <v/>
      </c>
      <c r="AW226" s="10" t="b">
        <f aca="false">AND(G226="Low",J226="Tail",I226&gt;=Assumptions!$B$64,O226&gt;=Assumptions!$B$65,OR(N226="Growing",N226="Stable",AND(N226="H2 Active / No H1 GMV",W226&gt;=2)),OR(R226&gt;=Assumptions!$B$66,S226&gt;=Assumptions!$B$67))</f>
        <v>0</v>
      </c>
    </row>
    <row r="227" customFormat="false" ht="15" hidden="false" customHeight="false" outlineLevel="0" collapsed="false">
      <c r="A227" s="2" t="s">
        <v>691</v>
      </c>
      <c r="B227" s="2" t="s">
        <v>1574</v>
      </c>
      <c r="C227" s="2"/>
      <c r="D227" s="2" t="n">
        <v>5</v>
      </c>
      <c r="E227" s="2" t="n">
        <v>0</v>
      </c>
      <c r="F227" s="21" t="n">
        <f aca="false">INDEX('Scored Accounts'!$Q$2:$Q$301,MATCH($A227,'Scored Accounts'!$A$2:$A$301,0))</f>
        <v>0</v>
      </c>
      <c r="G227" s="2" t="str">
        <f aca="false">INDEX('Scored Accounts'!$R$2:$R$301,MATCH($A227,'Scored Accounts'!$A$2:$A$301,0))</f>
        <v>Low</v>
      </c>
      <c r="H227" s="2" t="str">
        <f aca="false">IF(OR(G227="High",G227="Medium"),"Broker-Reliant",IF(AND(G227="Low",B227="Account Managed"),"AM-Owned / Self-Serving",IF(AND(G227="Low",B227="Self Serve"),"Self-Serve","UNASSIGNED")))</f>
        <v>Self-Serve</v>
      </c>
      <c r="I227" s="9" t="n">
        <v>486</v>
      </c>
      <c r="J227" s="2" t="str">
        <f aca="false">IF(I227&gt;=Assumptions!$B$35,"Key",IF(I227&gt;=Assumptions!$B$34,"Core","Tail"))</f>
        <v>Tail</v>
      </c>
      <c r="K227" s="9" t="n">
        <f aca="false">INDEX('Commercial View'!$R$2:$R$301,MATCH($A227,'Commercial View'!$A$2:$A$301,0))</f>
        <v>486</v>
      </c>
      <c r="L227" s="9" t="n">
        <f aca="false">INDEX('Commercial View'!$S$2:$S$301,MATCH($A227,'Commercial View'!$A$2:$A$301,0))</f>
        <v>0</v>
      </c>
      <c r="M227" s="17" t="n">
        <f aca="false">INDEX('Commercial View'!$T$2:$T$301,MATCH($A227,'Commercial View'!$A$2:$A$301,0))</f>
        <v>-1</v>
      </c>
      <c r="N227" s="2" t="str">
        <f aca="false">INDEX('Commercial View'!$U$2:$U$301,MATCH($A227,'Commercial View'!$A$2:$A$301,0))</f>
        <v>Lapsed</v>
      </c>
      <c r="O227" s="2" t="n">
        <v>2</v>
      </c>
      <c r="P227" s="2" t="n">
        <v>0</v>
      </c>
      <c r="Q227" s="2" t="n">
        <v>2</v>
      </c>
      <c r="R227" s="2" t="n">
        <v>39</v>
      </c>
      <c r="S227" s="2" t="n">
        <v>17</v>
      </c>
      <c r="T227" s="2" t="str">
        <f aca="false">IF(H227="Broker-Reliant",IF(J227="Tail","5. Cost-to-Serve / Low-Touch",IF(OR(N227="Growing",N227="Stable"),"1. Migration Candidate",IF(N227="Declining","2. Protect / Retain First",IF(N227="Lapsed","3. Win-Back / Verify",IF(N227="H2 Active / No H1 GMV","4. Establish / Re-establish / Observe","UNASSIGNED"))))),IF(G227="Low",IF(J227="Tail","9. Long-Tail Automated Nurture",IF(OR(N227="Growing",N227="Stable"),"6. Growth Opportunity",IF(N227="H2 Active / No H1 GMV","7. Onboard / Re-engage / Learn",IF(OR(N227="Declining",N227="Lapsed"),"8. Retention / Reactivation","UNASSIGNED")))),"UNASSIGNED"))</f>
        <v>9. Long-Tail Automated Nurture</v>
      </c>
      <c r="U227" s="10" t="b">
        <f aca="false">AND(T227="1. Migration Candidate",J227="Core",O227&gt;=Assumptions!$B$39,Q227&gt;=Assumptions!$B$40,NOT(Z227))</f>
        <v>0</v>
      </c>
      <c r="V227" s="2" t="n">
        <f aca="false">(AND(H227="Broker-Reliant",J227&lt;&gt;"Tail",OR(N227="Growing",N227="Stable")))*1+(AND(H227="Broker-Reliant",J227&lt;&gt;"Tail",N227="Declining"))*1+(AND(H227="Broker-Reliant",J227&lt;&gt;"Tail",N227="Lapsed"))*1+(AND(H227="Broker-Reliant",J227&lt;&gt;"Tail",N227="H2 Active / No H1 GMV"))*1+(AND(H227="Broker-Reliant",J227="Tail"))*1+(AND(G227="Low",J227&lt;&gt;"Tail",OR(N227="Growing",N227="Stable")))*1+(AND(G227="Low",J227&lt;&gt;"Tail",N227="H2 Active / No H1 GMV"))*1+(AND(G227="Low",J227&lt;&gt;"Tail",OR(N227="Declining",N227="Lapsed")))*1+(AND(G227="Low",J227="Tail"))*1</f>
        <v>1</v>
      </c>
      <c r="W227" s="2" t="n">
        <f aca="false">INDEX('Commercial View'!$V$2:$V$301,MATCH($A227,'Commercial View'!$A$2:$A$301,0))</f>
        <v>1</v>
      </c>
      <c r="X227" s="10" t="b">
        <f aca="false">O227&lt;=Assumptions!$B$30</f>
        <v>1</v>
      </c>
      <c r="Y227" s="10" t="b">
        <f aca="false">W227&lt;=1</f>
        <v>1</v>
      </c>
      <c r="Z227" s="10" t="b">
        <f aca="false">C227="Duplicate"</f>
        <v>0</v>
      </c>
      <c r="AA227" s="10" t="b">
        <f aca="false">C227=""</f>
        <v>1</v>
      </c>
      <c r="AB227" s="2" t="n">
        <f aca="false">IF(P227+Q227&gt;0,ROUND(P227/(P227+Q227)*100,0),"")</f>
        <v>0</v>
      </c>
      <c r="AC227" s="2" t="n">
        <f aca="false">IF(P227+Q227&gt;0,ROUND(E227-P227/(P227+Q227)*100,0),"")</f>
        <v>0</v>
      </c>
      <c r="AD227" s="10" t="b">
        <f aca="false">IF(AC227="",FALSE(),ABS(AC227)&gt;Assumptions!$B$41)</f>
        <v>0</v>
      </c>
      <c r="AE227" s="2" t="str">
        <f aca="false">IF(X227,"Low confidence (&lt;=2 orders); ","")&amp;IF(Y227,"Single-month history; ","")&amp;IF(Z227,"CRITICAL: Duplicate status; ","")&amp;IF(AA227,"Missing status; ","")&amp;IF(AD227,"Broker % vs counts gap "&amp;TEXT(AC227,"+0;-0")&amp;"pts; ","")</f>
        <v>Low confidence (&lt;=2 orders); Single-month history; Missing status; </v>
      </c>
      <c r="AF227" s="2" t="str">
        <f aca="false">IF(AND(K227=0,L227&gt;0),IF(D227&lt;=Assumptions!$B$47,"New Customer","Returned Customer"),"Existing Customer")</f>
        <v>Existing Customer</v>
      </c>
      <c r="AG227" s="10" t="b">
        <f aca="false">AND(T227="1. Migration Candidate",J227="Key")</f>
        <v>0</v>
      </c>
      <c r="AH227" s="10" t="b">
        <f aca="false">IF(AND(K227&gt;0,L227&gt;0),OR(ABS(M227-Assumptions!$B$36)&lt;=Assumptions!$B$46,ABS(M227+Assumptions!$B$36)&lt;=Assumptions!$B$46),FALSE())</f>
        <v>0</v>
      </c>
      <c r="AI227" s="9" t="n">
        <f aca="false">INDEX('Commercial View'!$L$2:$L$301,MATCH($A227,'Commercial View'!$A$2:$A$301,0))+INDEX('Commercial View'!$M$2:$M$301,MATCH($A227,'Commercial View'!$A$2:$A$301,0))</f>
        <v>0</v>
      </c>
      <c r="AJ227" s="2" t="str">
        <f aca="false">IF(AND(K227=0,AI227=0),"No activity ex-Feb",IF(AI227=0,"Lapsed",IF(K227=0,"H2 Active / No H1 GMV",IF((AI227/2)/(K227/3)-1&gt;=Assumptions!$B$36,"Growing",IF((AI227/2)/(K227/3)-1&lt;-Assumptions!$B$36,"Declining","Stable")))))</f>
        <v>Lapsed</v>
      </c>
      <c r="AK227" s="10" t="b">
        <f aca="false">IF(OR(N227="Growing",N227="Stable"),"Healthy",N227)&lt;&gt;IF(OR(AJ227="Growing",AJ227="Stable"),"Healthy",AJ227)</f>
        <v>0</v>
      </c>
      <c r="AL227" s="2" t="str">
        <f aca="false">IF(N227="Lapsed",IF(OR(O227&lt;=Assumptions!$B$48,W227&lt;=Assumptions!$B$49),"One-Off / Insufficient History — Verify","Established Buyer Lapsed"),"N/A")</f>
        <v>One-Off / Insufficient History — Verify</v>
      </c>
      <c r="AM227" s="2" t="n">
        <f aca="false">INDEX('Scored Accounts'!$M$2:$M$301,MATCH($A227,'Scored Accounts'!$A$2:$A$301,0))</f>
        <v>0</v>
      </c>
      <c r="AN227" s="2" t="n">
        <f aca="false">IF((P227/(P227+Q227)*100)&lt;=Assumptions!$B$13,0,IF((P227/(P227+Q227)*100)&lt;Assumptions!$B$14,25,IF((P227/(P227+Q227)*100)&lt;Assumptions!$B$15,50,IF((P227/(P227+Q227)*100)&lt;Assumptions!$B$16,75,100))))</f>
        <v>0</v>
      </c>
      <c r="AO227" s="21" t="n">
        <f aca="false">IF((P227/(P227+Q227)*100)&lt;=Assumptions!$B$8,0,AN227*Assumptions!$B$4+INDEX('Scored Accounts'!$N$2:$N$301,MATCH($A227,'Scored Accounts'!$A$2:$A$301,0))*Assumptions!$B$5+INDEX('Scored Accounts'!$O$2:$O$301,MATCH($A227,'Scored Accounts'!$A$2:$A$301,0))*Assumptions!$B$6)</f>
        <v>0</v>
      </c>
      <c r="AP227" s="2" t="str">
        <f aca="false">IF(AO227&gt;=Assumptions!$B$9,"High",IF(AO227&gt;=Assumptions!$B$10,"Medium","Low"))</f>
        <v>Low</v>
      </c>
      <c r="AQ227" s="10" t="b">
        <f aca="false">OR((E227&lt;=Assumptions!$B$8)&lt;&gt;((P227/(P227+Q227)*100)&lt;=Assumptions!$B$8),AM227&lt;&gt;AN227,G227&lt;&gt;AP227)</f>
        <v>0</v>
      </c>
      <c r="AR227" s="2" t="str">
        <f aca="false">IF(AP227&lt;&gt;"Low","Broker-Reliant",IF(B227="Account Managed","AM-Owned / Self-Serving","Self-Serve"))</f>
        <v>Self-Serve</v>
      </c>
      <c r="AS227" s="2" t="str">
        <f aca="false">IF(AR227="Broker-Reliant",IF(J227="Tail","5. Cost-to-Serve / Low-Touch",IF(OR(N227="Growing",N227="Stable"),"1. Migration Candidate",IF(N227="Declining","2. Protect / Retain First",IF(N227="Lapsed","3. Win-Back / Verify",IF(N227="H2 Active / No H1 GMV","4. Establish / Re-establish / Observe","UNASSIGNED"))))),IF(AP227="Low",IF(J227="Tail","9. Long-Tail Automated Nurture",IF(OR(N227="Growing",N227="Stable"),"6. Growth Opportunity",IF(N227="H2 Active / No H1 GMV","7. Onboard / Re-engage / Learn",IF(OR(N227="Declining",N227="Lapsed"),"8. Retention / Reactivation","UNASSIGNED")))),"UNASSIGNED"))</f>
        <v>9. Long-Tail Automated Nurture</v>
      </c>
      <c r="AT227" s="10" t="b">
        <f aca="false">AS227&lt;&gt;T227</f>
        <v>0</v>
      </c>
      <c r="AU227" s="2" t="str">
        <f aca="false">IF(NOT(U227),"Not Eligible",IF(OR(AQ227,AH227,AK227,NOT(AND(W227&gt;=Assumptions!$B$83,O227&gt;=Assumptions!$B$84))),"Manual Review","Ready"))</f>
        <v>Not Eligible</v>
      </c>
      <c r="AV227" s="2" t="str">
        <f aca="false">IF(AG227,"Key account - human sign-off required; ","")&amp;IF(AH227,"Borderline momentum; ","")&amp;IF(AK227,"February-sensitive ("&amp;N227&amp;" -&gt; "&amp;AJ227&amp;"); ","")&amp;IF(AL227="One-Off / Insufficient History — Verify","Lapsed on thin history - verify; ","")&amp;IF(AQ227,"Material broker % inconsistency (implied tier "&amp;AP227&amp;"); ","")&amp;IF(AT227,"Implied broker % would move segment to "&amp;AS227&amp;"; ","")</f>
        <v>Lapsed on thin history - verify; </v>
      </c>
      <c r="AW227" s="10" t="b">
        <f aca="false">AND(G227="Low",J227="Tail",I227&gt;=Assumptions!$B$64,O227&gt;=Assumptions!$B$65,OR(N227="Growing",N227="Stable",AND(N227="H2 Active / No H1 GMV",W227&gt;=2)),OR(R227&gt;=Assumptions!$B$66,S227&gt;=Assumptions!$B$67))</f>
        <v>0</v>
      </c>
    </row>
    <row r="228" customFormat="false" ht="15" hidden="false" customHeight="false" outlineLevel="0" collapsed="false">
      <c r="A228" s="2" t="s">
        <v>697</v>
      </c>
      <c r="B228" s="2" t="s">
        <v>1574</v>
      </c>
      <c r="C228" s="2"/>
      <c r="D228" s="2" t="n">
        <v>1</v>
      </c>
      <c r="E228" s="2" t="n">
        <v>0</v>
      </c>
      <c r="F228" s="21" t="n">
        <f aca="false">INDEX('Scored Accounts'!$Q$2:$Q$301,MATCH($A228,'Scored Accounts'!$A$2:$A$301,0))</f>
        <v>0</v>
      </c>
      <c r="G228" s="2" t="str">
        <f aca="false">INDEX('Scored Accounts'!$R$2:$R$301,MATCH($A228,'Scored Accounts'!$A$2:$A$301,0))</f>
        <v>Low</v>
      </c>
      <c r="H228" s="2" t="str">
        <f aca="false">IF(OR(G228="High",G228="Medium"),"Broker-Reliant",IF(AND(G228="Low",B228="Account Managed"),"AM-Owned / Self-Serving",IF(AND(G228="Low",B228="Self Serve"),"Self-Serve","UNASSIGNED")))</f>
        <v>Self-Serve</v>
      </c>
      <c r="I228" s="9" t="n">
        <v>461</v>
      </c>
      <c r="J228" s="2" t="str">
        <f aca="false">IF(I228&gt;=Assumptions!$B$35,"Key",IF(I228&gt;=Assumptions!$B$34,"Core","Tail"))</f>
        <v>Tail</v>
      </c>
      <c r="K228" s="9" t="n">
        <f aca="false">INDEX('Commercial View'!$R$2:$R$301,MATCH($A228,'Commercial View'!$A$2:$A$301,0))</f>
        <v>0</v>
      </c>
      <c r="L228" s="9" t="n">
        <f aca="false">INDEX('Commercial View'!$S$2:$S$301,MATCH($A228,'Commercial View'!$A$2:$A$301,0))</f>
        <v>461</v>
      </c>
      <c r="M228" s="17" t="str">
        <f aca="false">INDEX('Commercial View'!$T$2:$T$301,MATCH($A228,'Commercial View'!$A$2:$A$301,0))</f>
        <v/>
      </c>
      <c r="N228" s="2" t="str">
        <f aca="false">INDEX('Commercial View'!$U$2:$U$301,MATCH($A228,'Commercial View'!$A$2:$A$301,0))</f>
        <v>H2 Active / No H1 GMV</v>
      </c>
      <c r="O228" s="2" t="n">
        <v>1</v>
      </c>
      <c r="P228" s="2" t="n">
        <v>0</v>
      </c>
      <c r="Q228" s="2" t="n">
        <v>1</v>
      </c>
      <c r="R228" s="2" t="n">
        <v>9</v>
      </c>
      <c r="S228" s="2" t="n">
        <v>0</v>
      </c>
      <c r="T228" s="2" t="str">
        <f aca="false">IF(H228="Broker-Reliant",IF(J228="Tail","5. Cost-to-Serve / Low-Touch",IF(OR(N228="Growing",N228="Stable"),"1. Migration Candidate",IF(N228="Declining","2. Protect / Retain First",IF(N228="Lapsed","3. Win-Back / Verify",IF(N228="H2 Active / No H1 GMV","4. Establish / Re-establish / Observe","UNASSIGNED"))))),IF(G228="Low",IF(J228="Tail","9. Long-Tail Automated Nurture",IF(OR(N228="Growing",N228="Stable"),"6. Growth Opportunity",IF(N228="H2 Active / No H1 GMV","7. Onboard / Re-engage / Learn",IF(OR(N228="Declining",N228="Lapsed"),"8. Retention / Reactivation","UNASSIGNED")))),"UNASSIGNED"))</f>
        <v>9. Long-Tail Automated Nurture</v>
      </c>
      <c r="U228" s="10" t="b">
        <f aca="false">AND(T228="1. Migration Candidate",J228="Core",O228&gt;=Assumptions!$B$39,Q228&gt;=Assumptions!$B$40,NOT(Z228))</f>
        <v>0</v>
      </c>
      <c r="V228" s="2" t="n">
        <f aca="false">(AND(H228="Broker-Reliant",J228&lt;&gt;"Tail",OR(N228="Growing",N228="Stable")))*1+(AND(H228="Broker-Reliant",J228&lt;&gt;"Tail",N228="Declining"))*1+(AND(H228="Broker-Reliant",J228&lt;&gt;"Tail",N228="Lapsed"))*1+(AND(H228="Broker-Reliant",J228&lt;&gt;"Tail",N228="H2 Active / No H1 GMV"))*1+(AND(H228="Broker-Reliant",J228="Tail"))*1+(AND(G228="Low",J228&lt;&gt;"Tail",OR(N228="Growing",N228="Stable")))*1+(AND(G228="Low",J228&lt;&gt;"Tail",N228="H2 Active / No H1 GMV"))*1+(AND(G228="Low",J228&lt;&gt;"Tail",OR(N228="Declining",N228="Lapsed")))*1+(AND(G228="Low",J228="Tail"))*1</f>
        <v>1</v>
      </c>
      <c r="W228" s="2" t="n">
        <f aca="false">INDEX('Commercial View'!$V$2:$V$301,MATCH($A228,'Commercial View'!$A$2:$A$301,0))</f>
        <v>1</v>
      </c>
      <c r="X228" s="10" t="b">
        <f aca="false">O228&lt;=Assumptions!$B$30</f>
        <v>1</v>
      </c>
      <c r="Y228" s="10" t="b">
        <f aca="false">W228&lt;=1</f>
        <v>1</v>
      </c>
      <c r="Z228" s="10" t="b">
        <f aca="false">C228="Duplicate"</f>
        <v>0</v>
      </c>
      <c r="AA228" s="10" t="b">
        <f aca="false">C228=""</f>
        <v>1</v>
      </c>
      <c r="AB228" s="2" t="n">
        <f aca="false">IF(P228+Q228&gt;0,ROUND(P228/(P228+Q228)*100,0),"")</f>
        <v>0</v>
      </c>
      <c r="AC228" s="2" t="n">
        <f aca="false">IF(P228+Q228&gt;0,ROUND(E228-P228/(P228+Q228)*100,0),"")</f>
        <v>0</v>
      </c>
      <c r="AD228" s="10" t="b">
        <f aca="false">IF(AC228="",FALSE(),ABS(AC228)&gt;Assumptions!$B$41)</f>
        <v>0</v>
      </c>
      <c r="AE228" s="2" t="str">
        <f aca="false">IF(X228,"Low confidence (&lt;=2 orders); ","")&amp;IF(Y228,"Single-month history; ","")&amp;IF(Z228,"CRITICAL: Duplicate status; ","")&amp;IF(AA228,"Missing status; ","")&amp;IF(AD228,"Broker % vs counts gap "&amp;TEXT(AC228,"+0;-0")&amp;"pts; ","")</f>
        <v>Low confidence (&lt;=2 orders); Single-month history; Missing status; </v>
      </c>
      <c r="AF228" s="2" t="str">
        <f aca="false">IF(AND(K228=0,L228&gt;0),IF(D228&lt;=Assumptions!$B$47,"New Customer","Returned Customer"),"Existing Customer")</f>
        <v>New Customer</v>
      </c>
      <c r="AG228" s="10" t="b">
        <f aca="false">AND(T228="1. Migration Candidate",J228="Key")</f>
        <v>0</v>
      </c>
      <c r="AH228" s="10" t="b">
        <f aca="false">IF(AND(K228&gt;0,L228&gt;0),OR(ABS(M228-Assumptions!$B$36)&lt;=Assumptions!$B$46,ABS(M228+Assumptions!$B$36)&lt;=Assumptions!$B$46),FALSE())</f>
        <v>0</v>
      </c>
      <c r="AI228" s="9" t="n">
        <f aca="false">INDEX('Commercial View'!$L$2:$L$301,MATCH($A228,'Commercial View'!$A$2:$A$301,0))+INDEX('Commercial View'!$M$2:$M$301,MATCH($A228,'Commercial View'!$A$2:$A$301,0))</f>
        <v>0</v>
      </c>
      <c r="AJ228" s="2" t="str">
        <f aca="false">IF(AND(K228=0,AI228=0),"No activity ex-Feb",IF(AI228=0,"Lapsed",IF(K228=0,"H2 Active / No H1 GMV",IF((AI228/2)/(K228/3)-1&gt;=Assumptions!$B$36,"Growing",IF((AI228/2)/(K228/3)-1&lt;-Assumptions!$B$36,"Declining","Stable")))))</f>
        <v>No activity ex-Feb</v>
      </c>
      <c r="AK228" s="10" t="b">
        <f aca="false">IF(OR(N228="Growing",N228="Stable"),"Healthy",N228)&lt;&gt;IF(OR(AJ228="Growing",AJ228="Stable"),"Healthy",AJ228)</f>
        <v>1</v>
      </c>
      <c r="AL228" s="2" t="str">
        <f aca="false">IF(N228="Lapsed",IF(OR(O228&lt;=Assumptions!$B$48,W228&lt;=Assumptions!$B$49),"One-Off / Insufficient History — Verify","Established Buyer Lapsed"),"N/A")</f>
        <v>N/A</v>
      </c>
      <c r="AM228" s="2" t="n">
        <f aca="false">INDEX('Scored Accounts'!$M$2:$M$301,MATCH($A228,'Scored Accounts'!$A$2:$A$301,0))</f>
        <v>0</v>
      </c>
      <c r="AN228" s="2" t="n">
        <f aca="false">IF((P228/(P228+Q228)*100)&lt;=Assumptions!$B$13,0,IF((P228/(P228+Q228)*100)&lt;Assumptions!$B$14,25,IF((P228/(P228+Q228)*100)&lt;Assumptions!$B$15,50,IF((P228/(P228+Q228)*100)&lt;Assumptions!$B$16,75,100))))</f>
        <v>0</v>
      </c>
      <c r="AO228" s="21" t="n">
        <f aca="false">IF((P228/(P228+Q228)*100)&lt;=Assumptions!$B$8,0,AN228*Assumptions!$B$4+INDEX('Scored Accounts'!$N$2:$N$301,MATCH($A228,'Scored Accounts'!$A$2:$A$301,0))*Assumptions!$B$5+INDEX('Scored Accounts'!$O$2:$O$301,MATCH($A228,'Scored Accounts'!$A$2:$A$301,0))*Assumptions!$B$6)</f>
        <v>0</v>
      </c>
      <c r="AP228" s="2" t="str">
        <f aca="false">IF(AO228&gt;=Assumptions!$B$9,"High",IF(AO228&gt;=Assumptions!$B$10,"Medium","Low"))</f>
        <v>Low</v>
      </c>
      <c r="AQ228" s="10" t="b">
        <f aca="false">OR((E228&lt;=Assumptions!$B$8)&lt;&gt;((P228/(P228+Q228)*100)&lt;=Assumptions!$B$8),AM228&lt;&gt;AN228,G228&lt;&gt;AP228)</f>
        <v>0</v>
      </c>
      <c r="AR228" s="2" t="str">
        <f aca="false">IF(AP228&lt;&gt;"Low","Broker-Reliant",IF(B228="Account Managed","AM-Owned / Self-Serving","Self-Serve"))</f>
        <v>Self-Serve</v>
      </c>
      <c r="AS228" s="2" t="str">
        <f aca="false">IF(AR228="Broker-Reliant",IF(J228="Tail","5. Cost-to-Serve / Low-Touch",IF(OR(N228="Growing",N228="Stable"),"1. Migration Candidate",IF(N228="Declining","2. Protect / Retain First",IF(N228="Lapsed","3. Win-Back / Verify",IF(N228="H2 Active / No H1 GMV","4. Establish / Re-establish / Observe","UNASSIGNED"))))),IF(AP228="Low",IF(J228="Tail","9. Long-Tail Automated Nurture",IF(OR(N228="Growing",N228="Stable"),"6. Growth Opportunity",IF(N228="H2 Active / No H1 GMV","7. Onboard / Re-engage / Learn",IF(OR(N228="Declining",N228="Lapsed"),"8. Retention / Reactivation","UNASSIGNED")))),"UNASSIGNED"))</f>
        <v>9. Long-Tail Automated Nurture</v>
      </c>
      <c r="AT228" s="10" t="b">
        <f aca="false">AS228&lt;&gt;T228</f>
        <v>0</v>
      </c>
      <c r="AU228" s="2" t="str">
        <f aca="false">IF(NOT(U228),"Not Eligible",IF(OR(AQ228,AH228,AK228,NOT(AND(W228&gt;=Assumptions!$B$83,O228&gt;=Assumptions!$B$84))),"Manual Review","Ready"))</f>
        <v>Not Eligible</v>
      </c>
      <c r="AV228" s="2" t="str">
        <f aca="false">IF(AG228,"Key account - human sign-off required; ","")&amp;IF(AH228,"Borderline momentum; ","")&amp;IF(AK228,"February-sensitive ("&amp;N228&amp;" -&gt; "&amp;AJ228&amp;"); ","")&amp;IF(AL228="One-Off / Insufficient History — Verify","Lapsed on thin history - verify; ","")&amp;IF(AQ228,"Material broker % inconsistency (implied tier "&amp;AP228&amp;"); ","")&amp;IF(AT228,"Implied broker % would move segment to "&amp;AS228&amp;"; ","")</f>
        <v>February-sensitive (H2 Active / No H1 GMV -&gt; No activity ex-Feb); </v>
      </c>
      <c r="AW228" s="10" t="b">
        <f aca="false">AND(G228="Low",J228="Tail",I228&gt;=Assumptions!$B$64,O228&gt;=Assumptions!$B$65,OR(N228="Growing",N228="Stable",AND(N228="H2 Active / No H1 GMV",W228&gt;=2)),OR(R228&gt;=Assumptions!$B$66,S228&gt;=Assumptions!$B$67))</f>
        <v>0</v>
      </c>
    </row>
    <row r="229" customFormat="false" ht="15" hidden="false" customHeight="false" outlineLevel="0" collapsed="false">
      <c r="A229" s="2" t="s">
        <v>701</v>
      </c>
      <c r="B229" s="2" t="s">
        <v>1574</v>
      </c>
      <c r="C229" s="2"/>
      <c r="D229" s="2" t="n">
        <v>1</v>
      </c>
      <c r="E229" s="2" t="n">
        <v>0</v>
      </c>
      <c r="F229" s="21" t="n">
        <f aca="false">INDEX('Scored Accounts'!$Q$2:$Q$301,MATCH($A229,'Scored Accounts'!$A$2:$A$301,0))</f>
        <v>0</v>
      </c>
      <c r="G229" s="2" t="str">
        <f aca="false">INDEX('Scored Accounts'!$R$2:$R$301,MATCH($A229,'Scored Accounts'!$A$2:$A$301,0))</f>
        <v>Low</v>
      </c>
      <c r="H229" s="2" t="str">
        <f aca="false">IF(OR(G229="High",G229="Medium"),"Broker-Reliant",IF(AND(G229="Low",B229="Account Managed"),"AM-Owned / Self-Serving",IF(AND(G229="Low",B229="Self Serve"),"Self-Serve","UNASSIGNED")))</f>
        <v>Self-Serve</v>
      </c>
      <c r="I229" s="9" t="n">
        <v>457</v>
      </c>
      <c r="J229" s="2" t="str">
        <f aca="false">IF(I229&gt;=Assumptions!$B$35,"Key",IF(I229&gt;=Assumptions!$B$34,"Core","Tail"))</f>
        <v>Tail</v>
      </c>
      <c r="K229" s="9" t="n">
        <f aca="false">INDEX('Commercial View'!$R$2:$R$301,MATCH($A229,'Commercial View'!$A$2:$A$301,0))</f>
        <v>0</v>
      </c>
      <c r="L229" s="9" t="n">
        <f aca="false">INDEX('Commercial View'!$S$2:$S$301,MATCH($A229,'Commercial View'!$A$2:$A$301,0))</f>
        <v>457</v>
      </c>
      <c r="M229" s="17" t="str">
        <f aca="false">INDEX('Commercial View'!$T$2:$T$301,MATCH($A229,'Commercial View'!$A$2:$A$301,0))</f>
        <v/>
      </c>
      <c r="N229" s="2" t="str">
        <f aca="false">INDEX('Commercial View'!$U$2:$U$301,MATCH($A229,'Commercial View'!$A$2:$A$301,0))</f>
        <v>H2 Active / No H1 GMV</v>
      </c>
      <c r="O229" s="2" t="n">
        <v>1</v>
      </c>
      <c r="P229" s="2" t="n">
        <v>0</v>
      </c>
      <c r="Q229" s="2" t="n">
        <v>1</v>
      </c>
      <c r="R229" s="2" t="n">
        <v>5</v>
      </c>
      <c r="S229" s="2" t="n">
        <v>3</v>
      </c>
      <c r="T229" s="2" t="str">
        <f aca="false">IF(H229="Broker-Reliant",IF(J229="Tail","5. Cost-to-Serve / Low-Touch",IF(OR(N229="Growing",N229="Stable"),"1. Migration Candidate",IF(N229="Declining","2. Protect / Retain First",IF(N229="Lapsed","3. Win-Back / Verify",IF(N229="H2 Active / No H1 GMV","4. Establish / Re-establish / Observe","UNASSIGNED"))))),IF(G229="Low",IF(J229="Tail","9. Long-Tail Automated Nurture",IF(OR(N229="Growing",N229="Stable"),"6. Growth Opportunity",IF(N229="H2 Active / No H1 GMV","7. Onboard / Re-engage / Learn",IF(OR(N229="Declining",N229="Lapsed"),"8. Retention / Reactivation","UNASSIGNED")))),"UNASSIGNED"))</f>
        <v>9. Long-Tail Automated Nurture</v>
      </c>
      <c r="U229" s="10" t="b">
        <f aca="false">AND(T229="1. Migration Candidate",J229="Core",O229&gt;=Assumptions!$B$39,Q229&gt;=Assumptions!$B$40,NOT(Z229))</f>
        <v>0</v>
      </c>
      <c r="V229" s="2" t="n">
        <f aca="false">(AND(H229="Broker-Reliant",J229&lt;&gt;"Tail",OR(N229="Growing",N229="Stable")))*1+(AND(H229="Broker-Reliant",J229&lt;&gt;"Tail",N229="Declining"))*1+(AND(H229="Broker-Reliant",J229&lt;&gt;"Tail",N229="Lapsed"))*1+(AND(H229="Broker-Reliant",J229&lt;&gt;"Tail",N229="H2 Active / No H1 GMV"))*1+(AND(H229="Broker-Reliant",J229="Tail"))*1+(AND(G229="Low",J229&lt;&gt;"Tail",OR(N229="Growing",N229="Stable")))*1+(AND(G229="Low",J229&lt;&gt;"Tail",N229="H2 Active / No H1 GMV"))*1+(AND(G229="Low",J229&lt;&gt;"Tail",OR(N229="Declining",N229="Lapsed")))*1+(AND(G229="Low",J229="Tail"))*1</f>
        <v>1</v>
      </c>
      <c r="W229" s="2" t="n">
        <f aca="false">INDEX('Commercial View'!$V$2:$V$301,MATCH($A229,'Commercial View'!$A$2:$A$301,0))</f>
        <v>1</v>
      </c>
      <c r="X229" s="10" t="b">
        <f aca="false">O229&lt;=Assumptions!$B$30</f>
        <v>1</v>
      </c>
      <c r="Y229" s="10" t="b">
        <f aca="false">W229&lt;=1</f>
        <v>1</v>
      </c>
      <c r="Z229" s="10" t="b">
        <f aca="false">C229="Duplicate"</f>
        <v>0</v>
      </c>
      <c r="AA229" s="10" t="b">
        <f aca="false">C229=""</f>
        <v>1</v>
      </c>
      <c r="AB229" s="2" t="n">
        <f aca="false">IF(P229+Q229&gt;0,ROUND(P229/(P229+Q229)*100,0),"")</f>
        <v>0</v>
      </c>
      <c r="AC229" s="2" t="n">
        <f aca="false">IF(P229+Q229&gt;0,ROUND(E229-P229/(P229+Q229)*100,0),"")</f>
        <v>0</v>
      </c>
      <c r="AD229" s="10" t="b">
        <f aca="false">IF(AC229="",FALSE(),ABS(AC229)&gt;Assumptions!$B$41)</f>
        <v>0</v>
      </c>
      <c r="AE229" s="2" t="str">
        <f aca="false">IF(X229,"Low confidence (&lt;=2 orders); ","")&amp;IF(Y229,"Single-month history; ","")&amp;IF(Z229,"CRITICAL: Duplicate status; ","")&amp;IF(AA229,"Missing status; ","")&amp;IF(AD229,"Broker % vs counts gap "&amp;TEXT(AC229,"+0;-0")&amp;"pts; ","")</f>
        <v>Low confidence (&lt;=2 orders); Single-month history; Missing status; </v>
      </c>
      <c r="AF229" s="2" t="str">
        <f aca="false">IF(AND(K229=0,L229&gt;0),IF(D229&lt;=Assumptions!$B$47,"New Customer","Returned Customer"),"Existing Customer")</f>
        <v>New Customer</v>
      </c>
      <c r="AG229" s="10" t="b">
        <f aca="false">AND(T229="1. Migration Candidate",J229="Key")</f>
        <v>0</v>
      </c>
      <c r="AH229" s="10" t="b">
        <f aca="false">IF(AND(K229&gt;0,L229&gt;0),OR(ABS(M229-Assumptions!$B$36)&lt;=Assumptions!$B$46,ABS(M229+Assumptions!$B$36)&lt;=Assumptions!$B$46),FALSE())</f>
        <v>0</v>
      </c>
      <c r="AI229" s="9" t="n">
        <f aca="false">INDEX('Commercial View'!$L$2:$L$301,MATCH($A229,'Commercial View'!$A$2:$A$301,0))+INDEX('Commercial View'!$M$2:$M$301,MATCH($A229,'Commercial View'!$A$2:$A$301,0))</f>
        <v>0</v>
      </c>
      <c r="AJ229" s="2" t="str">
        <f aca="false">IF(AND(K229=0,AI229=0),"No activity ex-Feb",IF(AI229=0,"Lapsed",IF(K229=0,"H2 Active / No H1 GMV",IF((AI229/2)/(K229/3)-1&gt;=Assumptions!$B$36,"Growing",IF((AI229/2)/(K229/3)-1&lt;-Assumptions!$B$36,"Declining","Stable")))))</f>
        <v>No activity ex-Feb</v>
      </c>
      <c r="AK229" s="10" t="b">
        <f aca="false">IF(OR(N229="Growing",N229="Stable"),"Healthy",N229)&lt;&gt;IF(OR(AJ229="Growing",AJ229="Stable"),"Healthy",AJ229)</f>
        <v>1</v>
      </c>
      <c r="AL229" s="2" t="str">
        <f aca="false">IF(N229="Lapsed",IF(OR(O229&lt;=Assumptions!$B$48,W229&lt;=Assumptions!$B$49),"One-Off / Insufficient History — Verify","Established Buyer Lapsed"),"N/A")</f>
        <v>N/A</v>
      </c>
      <c r="AM229" s="2" t="n">
        <f aca="false">INDEX('Scored Accounts'!$M$2:$M$301,MATCH($A229,'Scored Accounts'!$A$2:$A$301,0))</f>
        <v>0</v>
      </c>
      <c r="AN229" s="2" t="n">
        <f aca="false">IF((P229/(P229+Q229)*100)&lt;=Assumptions!$B$13,0,IF((P229/(P229+Q229)*100)&lt;Assumptions!$B$14,25,IF((P229/(P229+Q229)*100)&lt;Assumptions!$B$15,50,IF((P229/(P229+Q229)*100)&lt;Assumptions!$B$16,75,100))))</f>
        <v>0</v>
      </c>
      <c r="AO229" s="21" t="n">
        <f aca="false">IF((P229/(P229+Q229)*100)&lt;=Assumptions!$B$8,0,AN229*Assumptions!$B$4+INDEX('Scored Accounts'!$N$2:$N$301,MATCH($A229,'Scored Accounts'!$A$2:$A$301,0))*Assumptions!$B$5+INDEX('Scored Accounts'!$O$2:$O$301,MATCH($A229,'Scored Accounts'!$A$2:$A$301,0))*Assumptions!$B$6)</f>
        <v>0</v>
      </c>
      <c r="AP229" s="2" t="str">
        <f aca="false">IF(AO229&gt;=Assumptions!$B$9,"High",IF(AO229&gt;=Assumptions!$B$10,"Medium","Low"))</f>
        <v>Low</v>
      </c>
      <c r="AQ229" s="10" t="b">
        <f aca="false">OR((E229&lt;=Assumptions!$B$8)&lt;&gt;((P229/(P229+Q229)*100)&lt;=Assumptions!$B$8),AM229&lt;&gt;AN229,G229&lt;&gt;AP229)</f>
        <v>0</v>
      </c>
      <c r="AR229" s="2" t="str">
        <f aca="false">IF(AP229&lt;&gt;"Low","Broker-Reliant",IF(B229="Account Managed","AM-Owned / Self-Serving","Self-Serve"))</f>
        <v>Self-Serve</v>
      </c>
      <c r="AS229" s="2" t="str">
        <f aca="false">IF(AR229="Broker-Reliant",IF(J229="Tail","5. Cost-to-Serve / Low-Touch",IF(OR(N229="Growing",N229="Stable"),"1. Migration Candidate",IF(N229="Declining","2. Protect / Retain First",IF(N229="Lapsed","3. Win-Back / Verify",IF(N229="H2 Active / No H1 GMV","4. Establish / Re-establish / Observe","UNASSIGNED"))))),IF(AP229="Low",IF(J229="Tail","9. Long-Tail Automated Nurture",IF(OR(N229="Growing",N229="Stable"),"6. Growth Opportunity",IF(N229="H2 Active / No H1 GMV","7. Onboard / Re-engage / Learn",IF(OR(N229="Declining",N229="Lapsed"),"8. Retention / Reactivation","UNASSIGNED")))),"UNASSIGNED"))</f>
        <v>9. Long-Tail Automated Nurture</v>
      </c>
      <c r="AT229" s="10" t="b">
        <f aca="false">AS229&lt;&gt;T229</f>
        <v>0</v>
      </c>
      <c r="AU229" s="2" t="str">
        <f aca="false">IF(NOT(U229),"Not Eligible",IF(OR(AQ229,AH229,AK229,NOT(AND(W229&gt;=Assumptions!$B$83,O229&gt;=Assumptions!$B$84))),"Manual Review","Ready"))</f>
        <v>Not Eligible</v>
      </c>
      <c r="AV229" s="2" t="str">
        <f aca="false">IF(AG229,"Key account - human sign-off required; ","")&amp;IF(AH229,"Borderline momentum; ","")&amp;IF(AK229,"February-sensitive ("&amp;N229&amp;" -&gt; "&amp;AJ229&amp;"); ","")&amp;IF(AL229="One-Off / Insufficient History — Verify","Lapsed on thin history - verify; ","")&amp;IF(AQ229,"Material broker % inconsistency (implied tier "&amp;AP229&amp;"); ","")&amp;IF(AT229,"Implied broker % would move segment to "&amp;AS229&amp;"; ","")</f>
        <v>February-sensitive (H2 Active / No H1 GMV -&gt; No activity ex-Feb); </v>
      </c>
      <c r="AW229" s="10" t="b">
        <f aca="false">AND(G229="Low",J229="Tail",I229&gt;=Assumptions!$B$64,O229&gt;=Assumptions!$B$65,OR(N229="Growing",N229="Stable",AND(N229="H2 Active / No H1 GMV",W229&gt;=2)),OR(R229&gt;=Assumptions!$B$66,S229&gt;=Assumptions!$B$67))</f>
        <v>0</v>
      </c>
    </row>
    <row r="230" customFormat="false" ht="15" hidden="false" customHeight="false" outlineLevel="0" collapsed="false">
      <c r="A230" s="2" t="s">
        <v>711</v>
      </c>
      <c r="B230" s="2" t="s">
        <v>1574</v>
      </c>
      <c r="C230" s="2"/>
      <c r="D230" s="2" t="n">
        <v>2</v>
      </c>
      <c r="E230" s="2" t="n">
        <v>0</v>
      </c>
      <c r="F230" s="21" t="n">
        <f aca="false">INDEX('Scored Accounts'!$Q$2:$Q$301,MATCH($A230,'Scored Accounts'!$A$2:$A$301,0))</f>
        <v>0</v>
      </c>
      <c r="G230" s="2" t="str">
        <f aca="false">INDEX('Scored Accounts'!$R$2:$R$301,MATCH($A230,'Scored Accounts'!$A$2:$A$301,0))</f>
        <v>Low</v>
      </c>
      <c r="H230" s="2" t="str">
        <f aca="false">IF(OR(G230="High",G230="Medium"),"Broker-Reliant",IF(AND(G230="Low",B230="Account Managed"),"AM-Owned / Self-Serving",IF(AND(G230="Low",B230="Self Serve"),"Self-Serve","UNASSIGNED")))</f>
        <v>Self-Serve</v>
      </c>
      <c r="I230" s="9" t="n">
        <v>442</v>
      </c>
      <c r="J230" s="2" t="str">
        <f aca="false">IF(I230&gt;=Assumptions!$B$35,"Key",IF(I230&gt;=Assumptions!$B$34,"Core","Tail"))</f>
        <v>Tail</v>
      </c>
      <c r="K230" s="9" t="n">
        <f aca="false">INDEX('Commercial View'!$R$2:$R$301,MATCH($A230,'Commercial View'!$A$2:$A$301,0))</f>
        <v>0</v>
      </c>
      <c r="L230" s="9" t="n">
        <f aca="false">INDEX('Commercial View'!$S$2:$S$301,MATCH($A230,'Commercial View'!$A$2:$A$301,0))</f>
        <v>442</v>
      </c>
      <c r="M230" s="17" t="str">
        <f aca="false">INDEX('Commercial View'!$T$2:$T$301,MATCH($A230,'Commercial View'!$A$2:$A$301,0))</f>
        <v/>
      </c>
      <c r="N230" s="2" t="str">
        <f aca="false">INDEX('Commercial View'!$U$2:$U$301,MATCH($A230,'Commercial View'!$A$2:$A$301,0))</f>
        <v>H2 Active / No H1 GMV</v>
      </c>
      <c r="O230" s="2" t="n">
        <v>1</v>
      </c>
      <c r="P230" s="2" t="n">
        <v>0</v>
      </c>
      <c r="Q230" s="2" t="n">
        <v>1</v>
      </c>
      <c r="R230" s="2" t="n">
        <v>3</v>
      </c>
      <c r="S230" s="2" t="n">
        <v>0</v>
      </c>
      <c r="T230" s="2" t="str">
        <f aca="false">IF(H230="Broker-Reliant",IF(J230="Tail","5. Cost-to-Serve / Low-Touch",IF(OR(N230="Growing",N230="Stable"),"1. Migration Candidate",IF(N230="Declining","2. Protect / Retain First",IF(N230="Lapsed","3. Win-Back / Verify",IF(N230="H2 Active / No H1 GMV","4. Establish / Re-establish / Observe","UNASSIGNED"))))),IF(G230="Low",IF(J230="Tail","9. Long-Tail Automated Nurture",IF(OR(N230="Growing",N230="Stable"),"6. Growth Opportunity",IF(N230="H2 Active / No H1 GMV","7. Onboard / Re-engage / Learn",IF(OR(N230="Declining",N230="Lapsed"),"8. Retention / Reactivation","UNASSIGNED")))),"UNASSIGNED"))</f>
        <v>9. Long-Tail Automated Nurture</v>
      </c>
      <c r="U230" s="10" t="b">
        <f aca="false">AND(T230="1. Migration Candidate",J230="Core",O230&gt;=Assumptions!$B$39,Q230&gt;=Assumptions!$B$40,NOT(Z230))</f>
        <v>0</v>
      </c>
      <c r="V230" s="2" t="n">
        <f aca="false">(AND(H230="Broker-Reliant",J230&lt;&gt;"Tail",OR(N230="Growing",N230="Stable")))*1+(AND(H230="Broker-Reliant",J230&lt;&gt;"Tail",N230="Declining"))*1+(AND(H230="Broker-Reliant",J230&lt;&gt;"Tail",N230="Lapsed"))*1+(AND(H230="Broker-Reliant",J230&lt;&gt;"Tail",N230="H2 Active / No H1 GMV"))*1+(AND(H230="Broker-Reliant",J230="Tail"))*1+(AND(G230="Low",J230&lt;&gt;"Tail",OR(N230="Growing",N230="Stable")))*1+(AND(G230="Low",J230&lt;&gt;"Tail",N230="H2 Active / No H1 GMV"))*1+(AND(G230="Low",J230&lt;&gt;"Tail",OR(N230="Declining",N230="Lapsed")))*1+(AND(G230="Low",J230="Tail"))*1</f>
        <v>1</v>
      </c>
      <c r="W230" s="2" t="n">
        <f aca="false">INDEX('Commercial View'!$V$2:$V$301,MATCH($A230,'Commercial View'!$A$2:$A$301,0))</f>
        <v>1</v>
      </c>
      <c r="X230" s="10" t="b">
        <f aca="false">O230&lt;=Assumptions!$B$30</f>
        <v>1</v>
      </c>
      <c r="Y230" s="10" t="b">
        <f aca="false">W230&lt;=1</f>
        <v>1</v>
      </c>
      <c r="Z230" s="10" t="b">
        <f aca="false">C230="Duplicate"</f>
        <v>0</v>
      </c>
      <c r="AA230" s="10" t="b">
        <f aca="false">C230=""</f>
        <v>1</v>
      </c>
      <c r="AB230" s="2" t="n">
        <f aca="false">IF(P230+Q230&gt;0,ROUND(P230/(P230+Q230)*100,0),"")</f>
        <v>0</v>
      </c>
      <c r="AC230" s="2" t="n">
        <f aca="false">IF(P230+Q230&gt;0,ROUND(E230-P230/(P230+Q230)*100,0),"")</f>
        <v>0</v>
      </c>
      <c r="AD230" s="10" t="b">
        <f aca="false">IF(AC230="",FALSE(),ABS(AC230)&gt;Assumptions!$B$41)</f>
        <v>0</v>
      </c>
      <c r="AE230" s="2" t="str">
        <f aca="false">IF(X230,"Low confidence (&lt;=2 orders); ","")&amp;IF(Y230,"Single-month history; ","")&amp;IF(Z230,"CRITICAL: Duplicate status; ","")&amp;IF(AA230,"Missing status; ","")&amp;IF(AD230,"Broker % vs counts gap "&amp;TEXT(AC230,"+0;-0")&amp;"pts; ","")</f>
        <v>Low confidence (&lt;=2 orders); Single-month history; Missing status; </v>
      </c>
      <c r="AF230" s="2" t="str">
        <f aca="false">IF(AND(K230=0,L230&gt;0),IF(D230&lt;=Assumptions!$B$47,"New Customer","Returned Customer"),"Existing Customer")</f>
        <v>New Customer</v>
      </c>
      <c r="AG230" s="10" t="b">
        <f aca="false">AND(T230="1. Migration Candidate",J230="Key")</f>
        <v>0</v>
      </c>
      <c r="AH230" s="10" t="b">
        <f aca="false">IF(AND(K230&gt;0,L230&gt;0),OR(ABS(M230-Assumptions!$B$36)&lt;=Assumptions!$B$46,ABS(M230+Assumptions!$B$36)&lt;=Assumptions!$B$46),FALSE())</f>
        <v>0</v>
      </c>
      <c r="AI230" s="9" t="n">
        <f aca="false">INDEX('Commercial View'!$L$2:$L$301,MATCH($A230,'Commercial View'!$A$2:$A$301,0))+INDEX('Commercial View'!$M$2:$M$301,MATCH($A230,'Commercial View'!$A$2:$A$301,0))</f>
        <v>442</v>
      </c>
      <c r="AJ230" s="2" t="str">
        <f aca="false">IF(AND(K230=0,AI230=0),"No activity ex-Feb",IF(AI230=0,"Lapsed",IF(K230=0,"H2 Active / No H1 GMV",IF((AI230/2)/(K230/3)-1&gt;=Assumptions!$B$36,"Growing",IF((AI230/2)/(K230/3)-1&lt;-Assumptions!$B$36,"Declining","Stable")))))</f>
        <v>H2 Active / No H1 GMV</v>
      </c>
      <c r="AK230" s="10" t="b">
        <f aca="false">IF(OR(N230="Growing",N230="Stable"),"Healthy",N230)&lt;&gt;IF(OR(AJ230="Growing",AJ230="Stable"),"Healthy",AJ230)</f>
        <v>0</v>
      </c>
      <c r="AL230" s="2" t="str">
        <f aca="false">IF(N230="Lapsed",IF(OR(O230&lt;=Assumptions!$B$48,W230&lt;=Assumptions!$B$49),"One-Off / Insufficient History — Verify","Established Buyer Lapsed"),"N/A")</f>
        <v>N/A</v>
      </c>
      <c r="AM230" s="2" t="n">
        <f aca="false">INDEX('Scored Accounts'!$M$2:$M$301,MATCH($A230,'Scored Accounts'!$A$2:$A$301,0))</f>
        <v>0</v>
      </c>
      <c r="AN230" s="2" t="n">
        <f aca="false">IF((P230/(P230+Q230)*100)&lt;=Assumptions!$B$13,0,IF((P230/(P230+Q230)*100)&lt;Assumptions!$B$14,25,IF((P230/(P230+Q230)*100)&lt;Assumptions!$B$15,50,IF((P230/(P230+Q230)*100)&lt;Assumptions!$B$16,75,100))))</f>
        <v>0</v>
      </c>
      <c r="AO230" s="21" t="n">
        <f aca="false">IF((P230/(P230+Q230)*100)&lt;=Assumptions!$B$8,0,AN230*Assumptions!$B$4+INDEX('Scored Accounts'!$N$2:$N$301,MATCH($A230,'Scored Accounts'!$A$2:$A$301,0))*Assumptions!$B$5+INDEX('Scored Accounts'!$O$2:$O$301,MATCH($A230,'Scored Accounts'!$A$2:$A$301,0))*Assumptions!$B$6)</f>
        <v>0</v>
      </c>
      <c r="AP230" s="2" t="str">
        <f aca="false">IF(AO230&gt;=Assumptions!$B$9,"High",IF(AO230&gt;=Assumptions!$B$10,"Medium","Low"))</f>
        <v>Low</v>
      </c>
      <c r="AQ230" s="10" t="b">
        <f aca="false">OR((E230&lt;=Assumptions!$B$8)&lt;&gt;((P230/(P230+Q230)*100)&lt;=Assumptions!$B$8),AM230&lt;&gt;AN230,G230&lt;&gt;AP230)</f>
        <v>0</v>
      </c>
      <c r="AR230" s="2" t="str">
        <f aca="false">IF(AP230&lt;&gt;"Low","Broker-Reliant",IF(B230="Account Managed","AM-Owned / Self-Serving","Self-Serve"))</f>
        <v>Self-Serve</v>
      </c>
      <c r="AS230" s="2" t="str">
        <f aca="false">IF(AR230="Broker-Reliant",IF(J230="Tail","5. Cost-to-Serve / Low-Touch",IF(OR(N230="Growing",N230="Stable"),"1. Migration Candidate",IF(N230="Declining","2. Protect / Retain First",IF(N230="Lapsed","3. Win-Back / Verify",IF(N230="H2 Active / No H1 GMV","4. Establish / Re-establish / Observe","UNASSIGNED"))))),IF(AP230="Low",IF(J230="Tail","9. Long-Tail Automated Nurture",IF(OR(N230="Growing",N230="Stable"),"6. Growth Opportunity",IF(N230="H2 Active / No H1 GMV","7. Onboard / Re-engage / Learn",IF(OR(N230="Declining",N230="Lapsed"),"8. Retention / Reactivation","UNASSIGNED")))),"UNASSIGNED"))</f>
        <v>9. Long-Tail Automated Nurture</v>
      </c>
      <c r="AT230" s="10" t="b">
        <f aca="false">AS230&lt;&gt;T230</f>
        <v>0</v>
      </c>
      <c r="AU230" s="2" t="str">
        <f aca="false">IF(NOT(U230),"Not Eligible",IF(OR(AQ230,AH230,AK230,NOT(AND(W230&gt;=Assumptions!$B$83,O230&gt;=Assumptions!$B$84))),"Manual Review","Ready"))</f>
        <v>Not Eligible</v>
      </c>
      <c r="AV230" s="2" t="str">
        <f aca="false">IF(AG230,"Key account - human sign-off required; ","")&amp;IF(AH230,"Borderline momentum; ","")&amp;IF(AK230,"February-sensitive ("&amp;N230&amp;" -&gt; "&amp;AJ230&amp;"); ","")&amp;IF(AL230="One-Off / Insufficient History — Verify","Lapsed on thin history - verify; ","")&amp;IF(AQ230,"Material broker % inconsistency (implied tier "&amp;AP230&amp;"); ","")&amp;IF(AT230,"Implied broker % would move segment to "&amp;AS230&amp;"; ","")</f>
        <v/>
      </c>
      <c r="AW230" s="10" t="b">
        <f aca="false">AND(G230="Low",J230="Tail",I230&gt;=Assumptions!$B$64,O230&gt;=Assumptions!$B$65,OR(N230="Growing",N230="Stable",AND(N230="H2 Active / No H1 GMV",W230&gt;=2)),OR(R230&gt;=Assumptions!$B$66,S230&gt;=Assumptions!$B$67))</f>
        <v>0</v>
      </c>
    </row>
    <row r="231" customFormat="false" ht="15" hidden="false" customHeight="false" outlineLevel="0" collapsed="false">
      <c r="A231" s="2" t="s">
        <v>713</v>
      </c>
      <c r="B231" s="2" t="s">
        <v>1574</v>
      </c>
      <c r="C231" s="2"/>
      <c r="D231" s="2" t="n">
        <v>6</v>
      </c>
      <c r="E231" s="2" t="n">
        <v>0</v>
      </c>
      <c r="F231" s="21" t="n">
        <f aca="false">INDEX('Scored Accounts'!$Q$2:$Q$301,MATCH($A231,'Scored Accounts'!$A$2:$A$301,0))</f>
        <v>0</v>
      </c>
      <c r="G231" s="2" t="str">
        <f aca="false">INDEX('Scored Accounts'!$R$2:$R$301,MATCH($A231,'Scored Accounts'!$A$2:$A$301,0))</f>
        <v>Low</v>
      </c>
      <c r="H231" s="2" t="str">
        <f aca="false">IF(OR(G231="High",G231="Medium"),"Broker-Reliant",IF(AND(G231="Low",B231="Account Managed"),"AM-Owned / Self-Serving",IF(AND(G231="Low",B231="Self Serve"),"Self-Serve","UNASSIGNED")))</f>
        <v>Self-Serve</v>
      </c>
      <c r="I231" s="9" t="n">
        <v>422</v>
      </c>
      <c r="J231" s="2" t="str">
        <f aca="false">IF(I231&gt;=Assumptions!$B$35,"Key",IF(I231&gt;=Assumptions!$B$34,"Core","Tail"))</f>
        <v>Tail</v>
      </c>
      <c r="K231" s="9" t="n">
        <f aca="false">INDEX('Commercial View'!$R$2:$R$301,MATCH($A231,'Commercial View'!$A$2:$A$301,0))</f>
        <v>189</v>
      </c>
      <c r="L231" s="9" t="n">
        <f aca="false">INDEX('Commercial View'!$S$2:$S$301,MATCH($A231,'Commercial View'!$A$2:$A$301,0))</f>
        <v>233</v>
      </c>
      <c r="M231" s="17" t="n">
        <f aca="false">INDEX('Commercial View'!$T$2:$T$301,MATCH($A231,'Commercial View'!$A$2:$A$301,0))</f>
        <v>0.232804232804233</v>
      </c>
      <c r="N231" s="2" t="str">
        <f aca="false">INDEX('Commercial View'!$U$2:$U$301,MATCH($A231,'Commercial View'!$A$2:$A$301,0))</f>
        <v>Growing</v>
      </c>
      <c r="O231" s="2" t="n">
        <v>3</v>
      </c>
      <c r="P231" s="2" t="n">
        <v>0</v>
      </c>
      <c r="Q231" s="2" t="n">
        <v>3</v>
      </c>
      <c r="R231" s="2" t="n">
        <v>0</v>
      </c>
      <c r="S231" s="2" t="n">
        <v>0</v>
      </c>
      <c r="T231" s="2" t="str">
        <f aca="false">IF(H231="Broker-Reliant",IF(J231="Tail","5. Cost-to-Serve / Low-Touch",IF(OR(N231="Growing",N231="Stable"),"1. Migration Candidate",IF(N231="Declining","2. Protect / Retain First",IF(N231="Lapsed","3. Win-Back / Verify",IF(N231="H2 Active / No H1 GMV","4. Establish / Re-establish / Observe","UNASSIGNED"))))),IF(G231="Low",IF(J231="Tail","9. Long-Tail Automated Nurture",IF(OR(N231="Growing",N231="Stable"),"6. Growth Opportunity",IF(N231="H2 Active / No H1 GMV","7. Onboard / Re-engage / Learn",IF(OR(N231="Declining",N231="Lapsed"),"8. Retention / Reactivation","UNASSIGNED")))),"UNASSIGNED"))</f>
        <v>9. Long-Tail Automated Nurture</v>
      </c>
      <c r="U231" s="10" t="b">
        <f aca="false">AND(T231="1. Migration Candidate",J231="Core",O231&gt;=Assumptions!$B$39,Q231&gt;=Assumptions!$B$40,NOT(Z231))</f>
        <v>0</v>
      </c>
      <c r="V231" s="2" t="n">
        <f aca="false">(AND(H231="Broker-Reliant",J231&lt;&gt;"Tail",OR(N231="Growing",N231="Stable")))*1+(AND(H231="Broker-Reliant",J231&lt;&gt;"Tail",N231="Declining"))*1+(AND(H231="Broker-Reliant",J231&lt;&gt;"Tail",N231="Lapsed"))*1+(AND(H231="Broker-Reliant",J231&lt;&gt;"Tail",N231="H2 Active / No H1 GMV"))*1+(AND(H231="Broker-Reliant",J231="Tail"))*1+(AND(G231="Low",J231&lt;&gt;"Tail",OR(N231="Growing",N231="Stable")))*1+(AND(G231="Low",J231&lt;&gt;"Tail",N231="H2 Active / No H1 GMV"))*1+(AND(G231="Low",J231&lt;&gt;"Tail",OR(N231="Declining",N231="Lapsed")))*1+(AND(G231="Low",J231="Tail"))*1</f>
        <v>1</v>
      </c>
      <c r="W231" s="2" t="n">
        <f aca="false">INDEX('Commercial View'!$V$2:$V$301,MATCH($A231,'Commercial View'!$A$2:$A$301,0))</f>
        <v>3</v>
      </c>
      <c r="X231" s="10" t="b">
        <f aca="false">O231&lt;=Assumptions!$B$30</f>
        <v>0</v>
      </c>
      <c r="Y231" s="10" t="b">
        <f aca="false">W231&lt;=1</f>
        <v>0</v>
      </c>
      <c r="Z231" s="10" t="b">
        <f aca="false">C231="Duplicate"</f>
        <v>0</v>
      </c>
      <c r="AA231" s="10" t="b">
        <f aca="false">C231=""</f>
        <v>1</v>
      </c>
      <c r="AB231" s="2" t="n">
        <f aca="false">IF(P231+Q231&gt;0,ROUND(P231/(P231+Q231)*100,0),"")</f>
        <v>0</v>
      </c>
      <c r="AC231" s="2" t="n">
        <f aca="false">IF(P231+Q231&gt;0,ROUND(E231-P231/(P231+Q231)*100,0),"")</f>
        <v>0</v>
      </c>
      <c r="AD231" s="10" t="b">
        <f aca="false">IF(AC231="",FALSE(),ABS(AC231)&gt;Assumptions!$B$41)</f>
        <v>0</v>
      </c>
      <c r="AE231" s="2" t="str">
        <f aca="false">IF(X231,"Low confidence (&lt;=2 orders); ","")&amp;IF(Y231,"Single-month history; ","")&amp;IF(Z231,"CRITICAL: Duplicate status; ","")&amp;IF(AA231,"Missing status; ","")&amp;IF(AD231,"Broker % vs counts gap "&amp;TEXT(AC231,"+0;-0")&amp;"pts; ","")</f>
        <v>Missing status; </v>
      </c>
      <c r="AF231" s="2" t="str">
        <f aca="false">IF(AND(K231=0,L231&gt;0),IF(D231&lt;=Assumptions!$B$47,"New Customer","Returned Customer"),"Existing Customer")</f>
        <v>Existing Customer</v>
      </c>
      <c r="AG231" s="10" t="b">
        <f aca="false">AND(T231="1. Migration Candidate",J231="Key")</f>
        <v>0</v>
      </c>
      <c r="AH231" s="10" t="b">
        <f aca="false">IF(AND(K231&gt;0,L231&gt;0),OR(ABS(M231-Assumptions!$B$36)&lt;=Assumptions!$B$46,ABS(M231+Assumptions!$B$36)&lt;=Assumptions!$B$46),FALSE())</f>
        <v>1</v>
      </c>
      <c r="AI231" s="9" t="n">
        <f aca="false">INDEX('Commercial View'!$L$2:$L$301,MATCH($A231,'Commercial View'!$A$2:$A$301,0))+INDEX('Commercial View'!$M$2:$M$301,MATCH($A231,'Commercial View'!$A$2:$A$301,0))</f>
        <v>233</v>
      </c>
      <c r="AJ231" s="2" t="str">
        <f aca="false">IF(AND(K231=0,AI231=0),"No activity ex-Feb",IF(AI231=0,"Lapsed",IF(K231=0,"H2 Active / No H1 GMV",IF((AI231/2)/(K231/3)-1&gt;=Assumptions!$B$36,"Growing",IF((AI231/2)/(K231/3)-1&lt;-Assumptions!$B$36,"Declining","Stable")))))</f>
        <v>Growing</v>
      </c>
      <c r="AK231" s="10" t="b">
        <f aca="false">IF(OR(N231="Growing",N231="Stable"),"Healthy",N231)&lt;&gt;IF(OR(AJ231="Growing",AJ231="Stable"),"Healthy",AJ231)</f>
        <v>0</v>
      </c>
      <c r="AL231" s="2" t="str">
        <f aca="false">IF(N231="Lapsed",IF(OR(O231&lt;=Assumptions!$B$48,W231&lt;=Assumptions!$B$49),"One-Off / Insufficient History — Verify","Established Buyer Lapsed"),"N/A")</f>
        <v>N/A</v>
      </c>
      <c r="AM231" s="2" t="n">
        <f aca="false">INDEX('Scored Accounts'!$M$2:$M$301,MATCH($A231,'Scored Accounts'!$A$2:$A$301,0))</f>
        <v>0</v>
      </c>
      <c r="AN231" s="2" t="n">
        <f aca="false">IF((P231/(P231+Q231)*100)&lt;=Assumptions!$B$13,0,IF((P231/(P231+Q231)*100)&lt;Assumptions!$B$14,25,IF((P231/(P231+Q231)*100)&lt;Assumptions!$B$15,50,IF((P231/(P231+Q231)*100)&lt;Assumptions!$B$16,75,100))))</f>
        <v>0</v>
      </c>
      <c r="AO231" s="21" t="n">
        <f aca="false">IF((P231/(P231+Q231)*100)&lt;=Assumptions!$B$8,0,AN231*Assumptions!$B$4+INDEX('Scored Accounts'!$N$2:$N$301,MATCH($A231,'Scored Accounts'!$A$2:$A$301,0))*Assumptions!$B$5+INDEX('Scored Accounts'!$O$2:$O$301,MATCH($A231,'Scored Accounts'!$A$2:$A$301,0))*Assumptions!$B$6)</f>
        <v>0</v>
      </c>
      <c r="AP231" s="2" t="str">
        <f aca="false">IF(AO231&gt;=Assumptions!$B$9,"High",IF(AO231&gt;=Assumptions!$B$10,"Medium","Low"))</f>
        <v>Low</v>
      </c>
      <c r="AQ231" s="10" t="b">
        <f aca="false">OR((E231&lt;=Assumptions!$B$8)&lt;&gt;((P231/(P231+Q231)*100)&lt;=Assumptions!$B$8),AM231&lt;&gt;AN231,G231&lt;&gt;AP231)</f>
        <v>0</v>
      </c>
      <c r="AR231" s="2" t="str">
        <f aca="false">IF(AP231&lt;&gt;"Low","Broker-Reliant",IF(B231="Account Managed","AM-Owned / Self-Serving","Self-Serve"))</f>
        <v>Self-Serve</v>
      </c>
      <c r="AS231" s="2" t="str">
        <f aca="false">IF(AR231="Broker-Reliant",IF(J231="Tail","5. Cost-to-Serve / Low-Touch",IF(OR(N231="Growing",N231="Stable"),"1. Migration Candidate",IF(N231="Declining","2. Protect / Retain First",IF(N231="Lapsed","3. Win-Back / Verify",IF(N231="H2 Active / No H1 GMV","4. Establish / Re-establish / Observe","UNASSIGNED"))))),IF(AP231="Low",IF(J231="Tail","9. Long-Tail Automated Nurture",IF(OR(N231="Growing",N231="Stable"),"6. Growth Opportunity",IF(N231="H2 Active / No H1 GMV","7. Onboard / Re-engage / Learn",IF(OR(N231="Declining",N231="Lapsed"),"8. Retention / Reactivation","UNASSIGNED")))),"UNASSIGNED"))</f>
        <v>9. Long-Tail Automated Nurture</v>
      </c>
      <c r="AT231" s="10" t="b">
        <f aca="false">AS231&lt;&gt;T231</f>
        <v>0</v>
      </c>
      <c r="AU231" s="2" t="str">
        <f aca="false">IF(NOT(U231),"Not Eligible",IF(OR(AQ231,AH231,AK231,NOT(AND(W231&gt;=Assumptions!$B$83,O231&gt;=Assumptions!$B$84))),"Manual Review","Ready"))</f>
        <v>Not Eligible</v>
      </c>
      <c r="AV231" s="2" t="str">
        <f aca="false">IF(AG231,"Key account - human sign-off required; ","")&amp;IF(AH231,"Borderline momentum; ","")&amp;IF(AK231,"February-sensitive ("&amp;N231&amp;" -&gt; "&amp;AJ231&amp;"); ","")&amp;IF(AL231="One-Off / Insufficient History — Verify","Lapsed on thin history - verify; ","")&amp;IF(AQ231,"Material broker % inconsistency (implied tier "&amp;AP231&amp;"); ","")&amp;IF(AT231,"Implied broker % would move segment to "&amp;AS231&amp;"; ","")</f>
        <v>Borderline momentum; </v>
      </c>
      <c r="AW231" s="10" t="b">
        <f aca="false">AND(G231="Low",J231="Tail",I231&gt;=Assumptions!$B$64,O231&gt;=Assumptions!$B$65,OR(N231="Growing",N231="Stable",AND(N231="H2 Active / No H1 GMV",W231&gt;=2)),OR(R231&gt;=Assumptions!$B$66,S231&gt;=Assumptions!$B$67))</f>
        <v>0</v>
      </c>
    </row>
    <row r="232" customFormat="false" ht="15" hidden="false" customHeight="false" outlineLevel="0" collapsed="false">
      <c r="A232" s="2" t="s">
        <v>716</v>
      </c>
      <c r="B232" s="2" t="s">
        <v>1574</v>
      </c>
      <c r="C232" s="2"/>
      <c r="D232" s="2" t="n">
        <v>4</v>
      </c>
      <c r="E232" s="2" t="n">
        <v>0</v>
      </c>
      <c r="F232" s="21" t="n">
        <f aca="false">INDEX('Scored Accounts'!$Q$2:$Q$301,MATCH($A232,'Scored Accounts'!$A$2:$A$301,0))</f>
        <v>0</v>
      </c>
      <c r="G232" s="2" t="str">
        <f aca="false">INDEX('Scored Accounts'!$R$2:$R$301,MATCH($A232,'Scored Accounts'!$A$2:$A$301,0))</f>
        <v>Low</v>
      </c>
      <c r="H232" s="2" t="str">
        <f aca="false">IF(OR(G232="High",G232="Medium"),"Broker-Reliant",IF(AND(G232="Low",B232="Account Managed"),"AM-Owned / Self-Serving",IF(AND(G232="Low",B232="Self Serve"),"Self-Serve","UNASSIGNED")))</f>
        <v>Self-Serve</v>
      </c>
      <c r="I232" s="9" t="n">
        <v>416</v>
      </c>
      <c r="J232" s="2" t="str">
        <f aca="false">IF(I232&gt;=Assumptions!$B$35,"Key",IF(I232&gt;=Assumptions!$B$34,"Core","Tail"))</f>
        <v>Tail</v>
      </c>
      <c r="K232" s="9" t="n">
        <f aca="false">INDEX('Commercial View'!$R$2:$R$301,MATCH($A232,'Commercial View'!$A$2:$A$301,0))</f>
        <v>127</v>
      </c>
      <c r="L232" s="9" t="n">
        <f aca="false">INDEX('Commercial View'!$S$2:$S$301,MATCH($A232,'Commercial View'!$A$2:$A$301,0))</f>
        <v>289</v>
      </c>
      <c r="M232" s="17" t="n">
        <f aca="false">INDEX('Commercial View'!$T$2:$T$301,MATCH($A232,'Commercial View'!$A$2:$A$301,0))</f>
        <v>1.2755905511811</v>
      </c>
      <c r="N232" s="2" t="str">
        <f aca="false">INDEX('Commercial View'!$U$2:$U$301,MATCH($A232,'Commercial View'!$A$2:$A$301,0))</f>
        <v>Growing</v>
      </c>
      <c r="O232" s="2" t="n">
        <v>2</v>
      </c>
      <c r="P232" s="2" t="n">
        <v>0</v>
      </c>
      <c r="Q232" s="2" t="n">
        <v>2</v>
      </c>
      <c r="R232" s="2" t="n">
        <v>15</v>
      </c>
      <c r="S232" s="2" t="n">
        <v>2</v>
      </c>
      <c r="T232" s="2" t="str">
        <f aca="false">IF(H232="Broker-Reliant",IF(J232="Tail","5. Cost-to-Serve / Low-Touch",IF(OR(N232="Growing",N232="Stable"),"1. Migration Candidate",IF(N232="Declining","2. Protect / Retain First",IF(N232="Lapsed","3. Win-Back / Verify",IF(N232="H2 Active / No H1 GMV","4. Establish / Re-establish / Observe","UNASSIGNED"))))),IF(G232="Low",IF(J232="Tail","9. Long-Tail Automated Nurture",IF(OR(N232="Growing",N232="Stable"),"6. Growth Opportunity",IF(N232="H2 Active / No H1 GMV","7. Onboard / Re-engage / Learn",IF(OR(N232="Declining",N232="Lapsed"),"8. Retention / Reactivation","UNASSIGNED")))),"UNASSIGNED"))</f>
        <v>9. Long-Tail Automated Nurture</v>
      </c>
      <c r="U232" s="10" t="b">
        <f aca="false">AND(T232="1. Migration Candidate",J232="Core",O232&gt;=Assumptions!$B$39,Q232&gt;=Assumptions!$B$40,NOT(Z232))</f>
        <v>0</v>
      </c>
      <c r="V232" s="2" t="n">
        <f aca="false">(AND(H232="Broker-Reliant",J232&lt;&gt;"Tail",OR(N232="Growing",N232="Stable")))*1+(AND(H232="Broker-Reliant",J232&lt;&gt;"Tail",N232="Declining"))*1+(AND(H232="Broker-Reliant",J232&lt;&gt;"Tail",N232="Lapsed"))*1+(AND(H232="Broker-Reliant",J232&lt;&gt;"Tail",N232="H2 Active / No H1 GMV"))*1+(AND(H232="Broker-Reliant",J232="Tail"))*1+(AND(G232="Low",J232&lt;&gt;"Tail",OR(N232="Growing",N232="Stable")))*1+(AND(G232="Low",J232&lt;&gt;"Tail",N232="H2 Active / No H1 GMV"))*1+(AND(G232="Low",J232&lt;&gt;"Tail",OR(N232="Declining",N232="Lapsed")))*1+(AND(G232="Low",J232="Tail"))*1</f>
        <v>1</v>
      </c>
      <c r="W232" s="2" t="n">
        <f aca="false">INDEX('Commercial View'!$V$2:$V$301,MATCH($A232,'Commercial View'!$A$2:$A$301,0))</f>
        <v>2</v>
      </c>
      <c r="X232" s="10" t="b">
        <f aca="false">O232&lt;=Assumptions!$B$30</f>
        <v>1</v>
      </c>
      <c r="Y232" s="10" t="b">
        <f aca="false">W232&lt;=1</f>
        <v>0</v>
      </c>
      <c r="Z232" s="10" t="b">
        <f aca="false">C232="Duplicate"</f>
        <v>0</v>
      </c>
      <c r="AA232" s="10" t="b">
        <f aca="false">C232=""</f>
        <v>1</v>
      </c>
      <c r="AB232" s="2" t="n">
        <f aca="false">IF(P232+Q232&gt;0,ROUND(P232/(P232+Q232)*100,0),"")</f>
        <v>0</v>
      </c>
      <c r="AC232" s="2" t="n">
        <f aca="false">IF(P232+Q232&gt;0,ROUND(E232-P232/(P232+Q232)*100,0),"")</f>
        <v>0</v>
      </c>
      <c r="AD232" s="10" t="b">
        <f aca="false">IF(AC232="",FALSE(),ABS(AC232)&gt;Assumptions!$B$41)</f>
        <v>0</v>
      </c>
      <c r="AE232" s="2" t="str">
        <f aca="false">IF(X232,"Low confidence (&lt;=2 orders); ","")&amp;IF(Y232,"Single-month history; ","")&amp;IF(Z232,"CRITICAL: Duplicate status; ","")&amp;IF(AA232,"Missing status; ","")&amp;IF(AD232,"Broker % vs counts gap "&amp;TEXT(AC232,"+0;-0")&amp;"pts; ","")</f>
        <v>Low confidence (&lt;=2 orders); Missing status; </v>
      </c>
      <c r="AF232" s="2" t="str">
        <f aca="false">IF(AND(K232=0,L232&gt;0),IF(D232&lt;=Assumptions!$B$47,"New Customer","Returned Customer"),"Existing Customer")</f>
        <v>Existing Customer</v>
      </c>
      <c r="AG232" s="10" t="b">
        <f aca="false">AND(T232="1. Migration Candidate",J232="Key")</f>
        <v>0</v>
      </c>
      <c r="AH232" s="10" t="b">
        <f aca="false">IF(AND(K232&gt;0,L232&gt;0),OR(ABS(M232-Assumptions!$B$36)&lt;=Assumptions!$B$46,ABS(M232+Assumptions!$B$36)&lt;=Assumptions!$B$46),FALSE())</f>
        <v>0</v>
      </c>
      <c r="AI232" s="9" t="n">
        <f aca="false">INDEX('Commercial View'!$L$2:$L$301,MATCH($A232,'Commercial View'!$A$2:$A$301,0))+INDEX('Commercial View'!$M$2:$M$301,MATCH($A232,'Commercial View'!$A$2:$A$301,0))</f>
        <v>289</v>
      </c>
      <c r="AJ232" s="2" t="str">
        <f aca="false">IF(AND(K232=0,AI232=0),"No activity ex-Feb",IF(AI232=0,"Lapsed",IF(K232=0,"H2 Active / No H1 GMV",IF((AI232/2)/(K232/3)-1&gt;=Assumptions!$B$36,"Growing",IF((AI232/2)/(K232/3)-1&lt;-Assumptions!$B$36,"Declining","Stable")))))</f>
        <v>Growing</v>
      </c>
      <c r="AK232" s="10" t="b">
        <f aca="false">IF(OR(N232="Growing",N232="Stable"),"Healthy",N232)&lt;&gt;IF(OR(AJ232="Growing",AJ232="Stable"),"Healthy",AJ232)</f>
        <v>0</v>
      </c>
      <c r="AL232" s="2" t="str">
        <f aca="false">IF(N232="Lapsed",IF(OR(O232&lt;=Assumptions!$B$48,W232&lt;=Assumptions!$B$49),"One-Off / Insufficient History — Verify","Established Buyer Lapsed"),"N/A")</f>
        <v>N/A</v>
      </c>
      <c r="AM232" s="2" t="n">
        <f aca="false">INDEX('Scored Accounts'!$M$2:$M$301,MATCH($A232,'Scored Accounts'!$A$2:$A$301,0))</f>
        <v>0</v>
      </c>
      <c r="AN232" s="2" t="n">
        <f aca="false">IF((P232/(P232+Q232)*100)&lt;=Assumptions!$B$13,0,IF((P232/(P232+Q232)*100)&lt;Assumptions!$B$14,25,IF((P232/(P232+Q232)*100)&lt;Assumptions!$B$15,50,IF((P232/(P232+Q232)*100)&lt;Assumptions!$B$16,75,100))))</f>
        <v>0</v>
      </c>
      <c r="AO232" s="21" t="n">
        <f aca="false">IF((P232/(P232+Q232)*100)&lt;=Assumptions!$B$8,0,AN232*Assumptions!$B$4+INDEX('Scored Accounts'!$N$2:$N$301,MATCH($A232,'Scored Accounts'!$A$2:$A$301,0))*Assumptions!$B$5+INDEX('Scored Accounts'!$O$2:$O$301,MATCH($A232,'Scored Accounts'!$A$2:$A$301,0))*Assumptions!$B$6)</f>
        <v>0</v>
      </c>
      <c r="AP232" s="2" t="str">
        <f aca="false">IF(AO232&gt;=Assumptions!$B$9,"High",IF(AO232&gt;=Assumptions!$B$10,"Medium","Low"))</f>
        <v>Low</v>
      </c>
      <c r="AQ232" s="10" t="b">
        <f aca="false">OR((E232&lt;=Assumptions!$B$8)&lt;&gt;((P232/(P232+Q232)*100)&lt;=Assumptions!$B$8),AM232&lt;&gt;AN232,G232&lt;&gt;AP232)</f>
        <v>0</v>
      </c>
      <c r="AR232" s="2" t="str">
        <f aca="false">IF(AP232&lt;&gt;"Low","Broker-Reliant",IF(B232="Account Managed","AM-Owned / Self-Serving","Self-Serve"))</f>
        <v>Self-Serve</v>
      </c>
      <c r="AS232" s="2" t="str">
        <f aca="false">IF(AR232="Broker-Reliant",IF(J232="Tail","5. Cost-to-Serve / Low-Touch",IF(OR(N232="Growing",N232="Stable"),"1. Migration Candidate",IF(N232="Declining","2. Protect / Retain First",IF(N232="Lapsed","3. Win-Back / Verify",IF(N232="H2 Active / No H1 GMV","4. Establish / Re-establish / Observe","UNASSIGNED"))))),IF(AP232="Low",IF(J232="Tail","9. Long-Tail Automated Nurture",IF(OR(N232="Growing",N232="Stable"),"6. Growth Opportunity",IF(N232="H2 Active / No H1 GMV","7. Onboard / Re-engage / Learn",IF(OR(N232="Declining",N232="Lapsed"),"8. Retention / Reactivation","UNASSIGNED")))),"UNASSIGNED"))</f>
        <v>9. Long-Tail Automated Nurture</v>
      </c>
      <c r="AT232" s="10" t="b">
        <f aca="false">AS232&lt;&gt;T232</f>
        <v>0</v>
      </c>
      <c r="AU232" s="2" t="str">
        <f aca="false">IF(NOT(U232),"Not Eligible",IF(OR(AQ232,AH232,AK232,NOT(AND(W232&gt;=Assumptions!$B$83,O232&gt;=Assumptions!$B$84))),"Manual Review","Ready"))</f>
        <v>Not Eligible</v>
      </c>
      <c r="AV232" s="2" t="str">
        <f aca="false">IF(AG232,"Key account - human sign-off required; ","")&amp;IF(AH232,"Borderline momentum; ","")&amp;IF(AK232,"February-sensitive ("&amp;N232&amp;" -&gt; "&amp;AJ232&amp;"); ","")&amp;IF(AL232="One-Off / Insufficient History — Verify","Lapsed on thin history - verify; ","")&amp;IF(AQ232,"Material broker % inconsistency (implied tier "&amp;AP232&amp;"); ","")&amp;IF(AT232,"Implied broker % would move segment to "&amp;AS232&amp;"; ","")</f>
        <v/>
      </c>
      <c r="AW232" s="10" t="b">
        <f aca="false">AND(G232="Low",J232="Tail",I232&gt;=Assumptions!$B$64,O232&gt;=Assumptions!$B$65,OR(N232="Growing",N232="Stable",AND(N232="H2 Active / No H1 GMV",W232&gt;=2)),OR(R232&gt;=Assumptions!$B$66,S232&gt;=Assumptions!$B$67))</f>
        <v>0</v>
      </c>
    </row>
    <row r="233" customFormat="false" ht="15" hidden="false" customHeight="false" outlineLevel="0" collapsed="false">
      <c r="A233" s="2" t="s">
        <v>718</v>
      </c>
      <c r="B233" s="2" t="s">
        <v>1574</v>
      </c>
      <c r="C233" s="2"/>
      <c r="D233" s="2" t="n">
        <v>4</v>
      </c>
      <c r="E233" s="2" t="n">
        <v>0</v>
      </c>
      <c r="F233" s="21" t="n">
        <f aca="false">INDEX('Scored Accounts'!$Q$2:$Q$301,MATCH($A233,'Scored Accounts'!$A$2:$A$301,0))</f>
        <v>0</v>
      </c>
      <c r="G233" s="2" t="str">
        <f aca="false">INDEX('Scored Accounts'!$R$2:$R$301,MATCH($A233,'Scored Accounts'!$A$2:$A$301,0))</f>
        <v>Low</v>
      </c>
      <c r="H233" s="2" t="str">
        <f aca="false">IF(OR(G233="High",G233="Medium"),"Broker-Reliant",IF(AND(G233="Low",B233="Account Managed"),"AM-Owned / Self-Serving",IF(AND(G233="Low",B233="Self Serve"),"Self-Serve","UNASSIGNED")))</f>
        <v>Self-Serve</v>
      </c>
      <c r="I233" s="9" t="n">
        <v>399</v>
      </c>
      <c r="J233" s="2" t="str">
        <f aca="false">IF(I233&gt;=Assumptions!$B$35,"Key",IF(I233&gt;=Assumptions!$B$34,"Core","Tail"))</f>
        <v>Tail</v>
      </c>
      <c r="K233" s="9" t="n">
        <f aca="false">INDEX('Commercial View'!$R$2:$R$301,MATCH($A233,'Commercial View'!$A$2:$A$301,0))</f>
        <v>399</v>
      </c>
      <c r="L233" s="9" t="n">
        <f aca="false">INDEX('Commercial View'!$S$2:$S$301,MATCH($A233,'Commercial View'!$A$2:$A$301,0))</f>
        <v>0</v>
      </c>
      <c r="M233" s="17" t="n">
        <f aca="false">INDEX('Commercial View'!$T$2:$T$301,MATCH($A233,'Commercial View'!$A$2:$A$301,0))</f>
        <v>-1</v>
      </c>
      <c r="N233" s="2" t="str">
        <f aca="false">INDEX('Commercial View'!$U$2:$U$301,MATCH($A233,'Commercial View'!$A$2:$A$301,0))</f>
        <v>Lapsed</v>
      </c>
      <c r="O233" s="2" t="n">
        <v>1</v>
      </c>
      <c r="P233" s="2" t="n">
        <v>0</v>
      </c>
      <c r="Q233" s="2" t="n">
        <v>1</v>
      </c>
      <c r="R233" s="2" t="n">
        <v>8</v>
      </c>
      <c r="S233" s="2" t="n">
        <v>0</v>
      </c>
      <c r="T233" s="2" t="str">
        <f aca="false">IF(H233="Broker-Reliant",IF(J233="Tail","5. Cost-to-Serve / Low-Touch",IF(OR(N233="Growing",N233="Stable"),"1. Migration Candidate",IF(N233="Declining","2. Protect / Retain First",IF(N233="Lapsed","3. Win-Back / Verify",IF(N233="H2 Active / No H1 GMV","4. Establish / Re-establish / Observe","UNASSIGNED"))))),IF(G233="Low",IF(J233="Tail","9. Long-Tail Automated Nurture",IF(OR(N233="Growing",N233="Stable"),"6. Growth Opportunity",IF(N233="H2 Active / No H1 GMV","7. Onboard / Re-engage / Learn",IF(OR(N233="Declining",N233="Lapsed"),"8. Retention / Reactivation","UNASSIGNED")))),"UNASSIGNED"))</f>
        <v>9. Long-Tail Automated Nurture</v>
      </c>
      <c r="U233" s="10" t="b">
        <f aca="false">AND(T233="1. Migration Candidate",J233="Core",O233&gt;=Assumptions!$B$39,Q233&gt;=Assumptions!$B$40,NOT(Z233))</f>
        <v>0</v>
      </c>
      <c r="V233" s="2" t="n">
        <f aca="false">(AND(H233="Broker-Reliant",J233&lt;&gt;"Tail",OR(N233="Growing",N233="Stable")))*1+(AND(H233="Broker-Reliant",J233&lt;&gt;"Tail",N233="Declining"))*1+(AND(H233="Broker-Reliant",J233&lt;&gt;"Tail",N233="Lapsed"))*1+(AND(H233="Broker-Reliant",J233&lt;&gt;"Tail",N233="H2 Active / No H1 GMV"))*1+(AND(H233="Broker-Reliant",J233="Tail"))*1+(AND(G233="Low",J233&lt;&gt;"Tail",OR(N233="Growing",N233="Stable")))*1+(AND(G233="Low",J233&lt;&gt;"Tail",N233="H2 Active / No H1 GMV"))*1+(AND(G233="Low",J233&lt;&gt;"Tail",OR(N233="Declining",N233="Lapsed")))*1+(AND(G233="Low",J233="Tail"))*1</f>
        <v>1</v>
      </c>
      <c r="W233" s="2" t="n">
        <f aca="false">INDEX('Commercial View'!$V$2:$V$301,MATCH($A233,'Commercial View'!$A$2:$A$301,0))</f>
        <v>1</v>
      </c>
      <c r="X233" s="10" t="b">
        <f aca="false">O233&lt;=Assumptions!$B$30</f>
        <v>1</v>
      </c>
      <c r="Y233" s="10" t="b">
        <f aca="false">W233&lt;=1</f>
        <v>1</v>
      </c>
      <c r="Z233" s="10" t="b">
        <f aca="false">C233="Duplicate"</f>
        <v>0</v>
      </c>
      <c r="AA233" s="10" t="b">
        <f aca="false">C233=""</f>
        <v>1</v>
      </c>
      <c r="AB233" s="2" t="n">
        <f aca="false">IF(P233+Q233&gt;0,ROUND(P233/(P233+Q233)*100,0),"")</f>
        <v>0</v>
      </c>
      <c r="AC233" s="2" t="n">
        <f aca="false">IF(P233+Q233&gt;0,ROUND(E233-P233/(P233+Q233)*100,0),"")</f>
        <v>0</v>
      </c>
      <c r="AD233" s="10" t="b">
        <f aca="false">IF(AC233="",FALSE(),ABS(AC233)&gt;Assumptions!$B$41)</f>
        <v>0</v>
      </c>
      <c r="AE233" s="2" t="str">
        <f aca="false">IF(X233,"Low confidence (&lt;=2 orders); ","")&amp;IF(Y233,"Single-month history; ","")&amp;IF(Z233,"CRITICAL: Duplicate status; ","")&amp;IF(AA233,"Missing status; ","")&amp;IF(AD233,"Broker % vs counts gap "&amp;TEXT(AC233,"+0;-0")&amp;"pts; ","")</f>
        <v>Low confidence (&lt;=2 orders); Single-month history; Missing status; </v>
      </c>
      <c r="AF233" s="2" t="str">
        <f aca="false">IF(AND(K233=0,L233&gt;0),IF(D233&lt;=Assumptions!$B$47,"New Customer","Returned Customer"),"Existing Customer")</f>
        <v>Existing Customer</v>
      </c>
      <c r="AG233" s="10" t="b">
        <f aca="false">AND(T233="1. Migration Candidate",J233="Key")</f>
        <v>0</v>
      </c>
      <c r="AH233" s="10" t="b">
        <f aca="false">IF(AND(K233&gt;0,L233&gt;0),OR(ABS(M233-Assumptions!$B$36)&lt;=Assumptions!$B$46,ABS(M233+Assumptions!$B$36)&lt;=Assumptions!$B$46),FALSE())</f>
        <v>0</v>
      </c>
      <c r="AI233" s="9" t="n">
        <f aca="false">INDEX('Commercial View'!$L$2:$L$301,MATCH($A233,'Commercial View'!$A$2:$A$301,0))+INDEX('Commercial View'!$M$2:$M$301,MATCH($A233,'Commercial View'!$A$2:$A$301,0))</f>
        <v>0</v>
      </c>
      <c r="AJ233" s="2" t="str">
        <f aca="false">IF(AND(K233=0,AI233=0),"No activity ex-Feb",IF(AI233=0,"Lapsed",IF(K233=0,"H2 Active / No H1 GMV",IF((AI233/2)/(K233/3)-1&gt;=Assumptions!$B$36,"Growing",IF((AI233/2)/(K233/3)-1&lt;-Assumptions!$B$36,"Declining","Stable")))))</f>
        <v>Lapsed</v>
      </c>
      <c r="AK233" s="10" t="b">
        <f aca="false">IF(OR(N233="Growing",N233="Stable"),"Healthy",N233)&lt;&gt;IF(OR(AJ233="Growing",AJ233="Stable"),"Healthy",AJ233)</f>
        <v>0</v>
      </c>
      <c r="AL233" s="2" t="str">
        <f aca="false">IF(N233="Lapsed",IF(OR(O233&lt;=Assumptions!$B$48,W233&lt;=Assumptions!$B$49),"One-Off / Insufficient History — Verify","Established Buyer Lapsed"),"N/A")</f>
        <v>One-Off / Insufficient History — Verify</v>
      </c>
      <c r="AM233" s="2" t="n">
        <f aca="false">INDEX('Scored Accounts'!$M$2:$M$301,MATCH($A233,'Scored Accounts'!$A$2:$A$301,0))</f>
        <v>0</v>
      </c>
      <c r="AN233" s="2" t="n">
        <f aca="false">IF((P233/(P233+Q233)*100)&lt;=Assumptions!$B$13,0,IF((P233/(P233+Q233)*100)&lt;Assumptions!$B$14,25,IF((P233/(P233+Q233)*100)&lt;Assumptions!$B$15,50,IF((P233/(P233+Q233)*100)&lt;Assumptions!$B$16,75,100))))</f>
        <v>0</v>
      </c>
      <c r="AO233" s="21" t="n">
        <f aca="false">IF((P233/(P233+Q233)*100)&lt;=Assumptions!$B$8,0,AN233*Assumptions!$B$4+INDEX('Scored Accounts'!$N$2:$N$301,MATCH($A233,'Scored Accounts'!$A$2:$A$301,0))*Assumptions!$B$5+INDEX('Scored Accounts'!$O$2:$O$301,MATCH($A233,'Scored Accounts'!$A$2:$A$301,0))*Assumptions!$B$6)</f>
        <v>0</v>
      </c>
      <c r="AP233" s="2" t="str">
        <f aca="false">IF(AO233&gt;=Assumptions!$B$9,"High",IF(AO233&gt;=Assumptions!$B$10,"Medium","Low"))</f>
        <v>Low</v>
      </c>
      <c r="AQ233" s="10" t="b">
        <f aca="false">OR((E233&lt;=Assumptions!$B$8)&lt;&gt;((P233/(P233+Q233)*100)&lt;=Assumptions!$B$8),AM233&lt;&gt;AN233,G233&lt;&gt;AP233)</f>
        <v>0</v>
      </c>
      <c r="AR233" s="2" t="str">
        <f aca="false">IF(AP233&lt;&gt;"Low","Broker-Reliant",IF(B233="Account Managed","AM-Owned / Self-Serving","Self-Serve"))</f>
        <v>Self-Serve</v>
      </c>
      <c r="AS233" s="2" t="str">
        <f aca="false">IF(AR233="Broker-Reliant",IF(J233="Tail","5. Cost-to-Serve / Low-Touch",IF(OR(N233="Growing",N233="Stable"),"1. Migration Candidate",IF(N233="Declining","2. Protect / Retain First",IF(N233="Lapsed","3. Win-Back / Verify",IF(N233="H2 Active / No H1 GMV","4. Establish / Re-establish / Observe","UNASSIGNED"))))),IF(AP233="Low",IF(J233="Tail","9. Long-Tail Automated Nurture",IF(OR(N233="Growing",N233="Stable"),"6. Growth Opportunity",IF(N233="H2 Active / No H1 GMV","7. Onboard / Re-engage / Learn",IF(OR(N233="Declining",N233="Lapsed"),"8. Retention / Reactivation","UNASSIGNED")))),"UNASSIGNED"))</f>
        <v>9. Long-Tail Automated Nurture</v>
      </c>
      <c r="AT233" s="10" t="b">
        <f aca="false">AS233&lt;&gt;T233</f>
        <v>0</v>
      </c>
      <c r="AU233" s="2" t="str">
        <f aca="false">IF(NOT(U233),"Not Eligible",IF(OR(AQ233,AH233,AK233,NOT(AND(W233&gt;=Assumptions!$B$83,O233&gt;=Assumptions!$B$84))),"Manual Review","Ready"))</f>
        <v>Not Eligible</v>
      </c>
      <c r="AV233" s="2" t="str">
        <f aca="false">IF(AG233,"Key account - human sign-off required; ","")&amp;IF(AH233,"Borderline momentum; ","")&amp;IF(AK233,"February-sensitive ("&amp;N233&amp;" -&gt; "&amp;AJ233&amp;"); ","")&amp;IF(AL233="One-Off / Insufficient History — Verify","Lapsed on thin history - verify; ","")&amp;IF(AQ233,"Material broker % inconsistency (implied tier "&amp;AP233&amp;"); ","")&amp;IF(AT233,"Implied broker % would move segment to "&amp;AS233&amp;"; ","")</f>
        <v>Lapsed on thin history - verify; </v>
      </c>
      <c r="AW233" s="10" t="b">
        <f aca="false">AND(G233="Low",J233="Tail",I233&gt;=Assumptions!$B$64,O233&gt;=Assumptions!$B$65,OR(N233="Growing",N233="Stable",AND(N233="H2 Active / No H1 GMV",W233&gt;=2)),OR(R233&gt;=Assumptions!$B$66,S233&gt;=Assumptions!$B$67))</f>
        <v>0</v>
      </c>
    </row>
    <row r="234" customFormat="false" ht="15" hidden="false" customHeight="false" outlineLevel="0" collapsed="false">
      <c r="A234" s="2" t="s">
        <v>720</v>
      </c>
      <c r="B234" s="2" t="s">
        <v>1574</v>
      </c>
      <c r="C234" s="2"/>
      <c r="D234" s="2" t="n">
        <v>4</v>
      </c>
      <c r="E234" s="2" t="n">
        <v>0</v>
      </c>
      <c r="F234" s="21" t="n">
        <f aca="false">INDEX('Scored Accounts'!$Q$2:$Q$301,MATCH($A234,'Scored Accounts'!$A$2:$A$301,0))</f>
        <v>0</v>
      </c>
      <c r="G234" s="2" t="str">
        <f aca="false">INDEX('Scored Accounts'!$R$2:$R$301,MATCH($A234,'Scored Accounts'!$A$2:$A$301,0))</f>
        <v>Low</v>
      </c>
      <c r="H234" s="2" t="str">
        <f aca="false">IF(OR(G234="High",G234="Medium"),"Broker-Reliant",IF(AND(G234="Low",B234="Account Managed"),"AM-Owned / Self-Serving",IF(AND(G234="Low",B234="Self Serve"),"Self-Serve","UNASSIGNED")))</f>
        <v>Self-Serve</v>
      </c>
      <c r="I234" s="9" t="n">
        <v>395</v>
      </c>
      <c r="J234" s="2" t="str">
        <f aca="false">IF(I234&gt;=Assumptions!$B$35,"Key",IF(I234&gt;=Assumptions!$B$34,"Core","Tail"))</f>
        <v>Tail</v>
      </c>
      <c r="K234" s="9" t="n">
        <f aca="false">INDEX('Commercial View'!$R$2:$R$301,MATCH($A234,'Commercial View'!$A$2:$A$301,0))</f>
        <v>392</v>
      </c>
      <c r="L234" s="9" t="n">
        <f aca="false">INDEX('Commercial View'!$S$2:$S$301,MATCH($A234,'Commercial View'!$A$2:$A$301,0))</f>
        <v>3</v>
      </c>
      <c r="M234" s="17" t="n">
        <f aca="false">INDEX('Commercial View'!$T$2:$T$301,MATCH($A234,'Commercial View'!$A$2:$A$301,0))</f>
        <v>-0.99234693877551</v>
      </c>
      <c r="N234" s="2" t="str">
        <f aca="false">INDEX('Commercial View'!$U$2:$U$301,MATCH($A234,'Commercial View'!$A$2:$A$301,0))</f>
        <v>Declining</v>
      </c>
      <c r="O234" s="2" t="n">
        <v>2</v>
      </c>
      <c r="P234" s="2" t="n">
        <v>0</v>
      </c>
      <c r="Q234" s="2" t="n">
        <v>2</v>
      </c>
      <c r="R234" s="2" t="n">
        <v>54</v>
      </c>
      <c r="S234" s="2" t="n">
        <v>5</v>
      </c>
      <c r="T234" s="2" t="str">
        <f aca="false">IF(H234="Broker-Reliant",IF(J234="Tail","5. Cost-to-Serve / Low-Touch",IF(OR(N234="Growing",N234="Stable"),"1. Migration Candidate",IF(N234="Declining","2. Protect / Retain First",IF(N234="Lapsed","3. Win-Back / Verify",IF(N234="H2 Active / No H1 GMV","4. Establish / Re-establish / Observe","UNASSIGNED"))))),IF(G234="Low",IF(J234="Tail","9. Long-Tail Automated Nurture",IF(OR(N234="Growing",N234="Stable"),"6. Growth Opportunity",IF(N234="H2 Active / No H1 GMV","7. Onboard / Re-engage / Learn",IF(OR(N234="Declining",N234="Lapsed"),"8. Retention / Reactivation","UNASSIGNED")))),"UNASSIGNED"))</f>
        <v>9. Long-Tail Automated Nurture</v>
      </c>
      <c r="U234" s="10" t="b">
        <f aca="false">AND(T234="1. Migration Candidate",J234="Core",O234&gt;=Assumptions!$B$39,Q234&gt;=Assumptions!$B$40,NOT(Z234))</f>
        <v>0</v>
      </c>
      <c r="V234" s="2" t="n">
        <f aca="false">(AND(H234="Broker-Reliant",J234&lt;&gt;"Tail",OR(N234="Growing",N234="Stable")))*1+(AND(H234="Broker-Reliant",J234&lt;&gt;"Tail",N234="Declining"))*1+(AND(H234="Broker-Reliant",J234&lt;&gt;"Tail",N234="Lapsed"))*1+(AND(H234="Broker-Reliant",J234&lt;&gt;"Tail",N234="H2 Active / No H1 GMV"))*1+(AND(H234="Broker-Reliant",J234="Tail"))*1+(AND(G234="Low",J234&lt;&gt;"Tail",OR(N234="Growing",N234="Stable")))*1+(AND(G234="Low",J234&lt;&gt;"Tail",N234="H2 Active / No H1 GMV"))*1+(AND(G234="Low",J234&lt;&gt;"Tail",OR(N234="Declining",N234="Lapsed")))*1+(AND(G234="Low",J234="Tail"))*1</f>
        <v>1</v>
      </c>
      <c r="W234" s="2" t="n">
        <f aca="false">INDEX('Commercial View'!$V$2:$V$301,MATCH($A234,'Commercial View'!$A$2:$A$301,0))</f>
        <v>2</v>
      </c>
      <c r="X234" s="10" t="b">
        <f aca="false">O234&lt;=Assumptions!$B$30</f>
        <v>1</v>
      </c>
      <c r="Y234" s="10" t="b">
        <f aca="false">W234&lt;=1</f>
        <v>0</v>
      </c>
      <c r="Z234" s="10" t="b">
        <f aca="false">C234="Duplicate"</f>
        <v>0</v>
      </c>
      <c r="AA234" s="10" t="b">
        <f aca="false">C234=""</f>
        <v>1</v>
      </c>
      <c r="AB234" s="2" t="n">
        <f aca="false">IF(P234+Q234&gt;0,ROUND(P234/(P234+Q234)*100,0),"")</f>
        <v>0</v>
      </c>
      <c r="AC234" s="2" t="n">
        <f aca="false">IF(P234+Q234&gt;0,ROUND(E234-P234/(P234+Q234)*100,0),"")</f>
        <v>0</v>
      </c>
      <c r="AD234" s="10" t="b">
        <f aca="false">IF(AC234="",FALSE(),ABS(AC234)&gt;Assumptions!$B$41)</f>
        <v>0</v>
      </c>
      <c r="AE234" s="2" t="str">
        <f aca="false">IF(X234,"Low confidence (&lt;=2 orders); ","")&amp;IF(Y234,"Single-month history; ","")&amp;IF(Z234,"CRITICAL: Duplicate status; ","")&amp;IF(AA234,"Missing status; ","")&amp;IF(AD234,"Broker % vs counts gap "&amp;TEXT(AC234,"+0;-0")&amp;"pts; ","")</f>
        <v>Low confidence (&lt;=2 orders); Missing status; </v>
      </c>
      <c r="AF234" s="2" t="str">
        <f aca="false">IF(AND(K234=0,L234&gt;0),IF(D234&lt;=Assumptions!$B$47,"New Customer","Returned Customer"),"Existing Customer")</f>
        <v>Existing Customer</v>
      </c>
      <c r="AG234" s="10" t="b">
        <f aca="false">AND(T234="1. Migration Candidate",J234="Key")</f>
        <v>0</v>
      </c>
      <c r="AH234" s="10" t="b">
        <f aca="false">IF(AND(K234&gt;0,L234&gt;0),OR(ABS(M234-Assumptions!$B$36)&lt;=Assumptions!$B$46,ABS(M234+Assumptions!$B$36)&lt;=Assumptions!$B$46),FALSE())</f>
        <v>0</v>
      </c>
      <c r="AI234" s="9" t="n">
        <f aca="false">INDEX('Commercial View'!$L$2:$L$301,MATCH($A234,'Commercial View'!$A$2:$A$301,0))+INDEX('Commercial View'!$M$2:$M$301,MATCH($A234,'Commercial View'!$A$2:$A$301,0))</f>
        <v>3</v>
      </c>
      <c r="AJ234" s="2" t="str">
        <f aca="false">IF(AND(K234=0,AI234=0),"No activity ex-Feb",IF(AI234=0,"Lapsed",IF(K234=0,"H2 Active / No H1 GMV",IF((AI234/2)/(K234/3)-1&gt;=Assumptions!$B$36,"Growing",IF((AI234/2)/(K234/3)-1&lt;-Assumptions!$B$36,"Declining","Stable")))))</f>
        <v>Declining</v>
      </c>
      <c r="AK234" s="10" t="b">
        <f aca="false">IF(OR(N234="Growing",N234="Stable"),"Healthy",N234)&lt;&gt;IF(OR(AJ234="Growing",AJ234="Stable"),"Healthy",AJ234)</f>
        <v>0</v>
      </c>
      <c r="AL234" s="2" t="str">
        <f aca="false">IF(N234="Lapsed",IF(OR(O234&lt;=Assumptions!$B$48,W234&lt;=Assumptions!$B$49),"One-Off / Insufficient History — Verify","Established Buyer Lapsed"),"N/A")</f>
        <v>N/A</v>
      </c>
      <c r="AM234" s="2" t="n">
        <f aca="false">INDEX('Scored Accounts'!$M$2:$M$301,MATCH($A234,'Scored Accounts'!$A$2:$A$301,0))</f>
        <v>0</v>
      </c>
      <c r="AN234" s="2" t="n">
        <f aca="false">IF((P234/(P234+Q234)*100)&lt;=Assumptions!$B$13,0,IF((P234/(P234+Q234)*100)&lt;Assumptions!$B$14,25,IF((P234/(P234+Q234)*100)&lt;Assumptions!$B$15,50,IF((P234/(P234+Q234)*100)&lt;Assumptions!$B$16,75,100))))</f>
        <v>0</v>
      </c>
      <c r="AO234" s="21" t="n">
        <f aca="false">IF((P234/(P234+Q234)*100)&lt;=Assumptions!$B$8,0,AN234*Assumptions!$B$4+INDEX('Scored Accounts'!$N$2:$N$301,MATCH($A234,'Scored Accounts'!$A$2:$A$301,0))*Assumptions!$B$5+INDEX('Scored Accounts'!$O$2:$O$301,MATCH($A234,'Scored Accounts'!$A$2:$A$301,0))*Assumptions!$B$6)</f>
        <v>0</v>
      </c>
      <c r="AP234" s="2" t="str">
        <f aca="false">IF(AO234&gt;=Assumptions!$B$9,"High",IF(AO234&gt;=Assumptions!$B$10,"Medium","Low"))</f>
        <v>Low</v>
      </c>
      <c r="AQ234" s="10" t="b">
        <f aca="false">OR((E234&lt;=Assumptions!$B$8)&lt;&gt;((P234/(P234+Q234)*100)&lt;=Assumptions!$B$8),AM234&lt;&gt;AN234,G234&lt;&gt;AP234)</f>
        <v>0</v>
      </c>
      <c r="AR234" s="2" t="str">
        <f aca="false">IF(AP234&lt;&gt;"Low","Broker-Reliant",IF(B234="Account Managed","AM-Owned / Self-Serving","Self-Serve"))</f>
        <v>Self-Serve</v>
      </c>
      <c r="AS234" s="2" t="str">
        <f aca="false">IF(AR234="Broker-Reliant",IF(J234="Tail","5. Cost-to-Serve / Low-Touch",IF(OR(N234="Growing",N234="Stable"),"1. Migration Candidate",IF(N234="Declining","2. Protect / Retain First",IF(N234="Lapsed","3. Win-Back / Verify",IF(N234="H2 Active / No H1 GMV","4. Establish / Re-establish / Observe","UNASSIGNED"))))),IF(AP234="Low",IF(J234="Tail","9. Long-Tail Automated Nurture",IF(OR(N234="Growing",N234="Stable"),"6. Growth Opportunity",IF(N234="H2 Active / No H1 GMV","7. Onboard / Re-engage / Learn",IF(OR(N234="Declining",N234="Lapsed"),"8. Retention / Reactivation","UNASSIGNED")))),"UNASSIGNED"))</f>
        <v>9. Long-Tail Automated Nurture</v>
      </c>
      <c r="AT234" s="10" t="b">
        <f aca="false">AS234&lt;&gt;T234</f>
        <v>0</v>
      </c>
      <c r="AU234" s="2" t="str">
        <f aca="false">IF(NOT(U234),"Not Eligible",IF(OR(AQ234,AH234,AK234,NOT(AND(W234&gt;=Assumptions!$B$83,O234&gt;=Assumptions!$B$84))),"Manual Review","Ready"))</f>
        <v>Not Eligible</v>
      </c>
      <c r="AV234" s="2" t="str">
        <f aca="false">IF(AG234,"Key account - human sign-off required; ","")&amp;IF(AH234,"Borderline momentum; ","")&amp;IF(AK234,"February-sensitive ("&amp;N234&amp;" -&gt; "&amp;AJ234&amp;"); ","")&amp;IF(AL234="One-Off / Insufficient History — Verify","Lapsed on thin history - verify; ","")&amp;IF(AQ234,"Material broker % inconsistency (implied tier "&amp;AP234&amp;"); ","")&amp;IF(AT234,"Implied broker % would move segment to "&amp;AS234&amp;"; ","")</f>
        <v/>
      </c>
      <c r="AW234" s="10" t="b">
        <f aca="false">AND(G234="Low",J234="Tail",I234&gt;=Assumptions!$B$64,O234&gt;=Assumptions!$B$65,OR(N234="Growing",N234="Stable",AND(N234="H2 Active / No H1 GMV",W234&gt;=2)),OR(R234&gt;=Assumptions!$B$66,S234&gt;=Assumptions!$B$67))</f>
        <v>0</v>
      </c>
    </row>
    <row r="235" customFormat="false" ht="15" hidden="false" customHeight="false" outlineLevel="0" collapsed="false">
      <c r="A235" s="2" t="s">
        <v>722</v>
      </c>
      <c r="B235" s="2" t="s">
        <v>1574</v>
      </c>
      <c r="C235" s="2"/>
      <c r="D235" s="2" t="n">
        <v>1</v>
      </c>
      <c r="E235" s="2" t="n">
        <v>0</v>
      </c>
      <c r="F235" s="21" t="n">
        <f aca="false">INDEX('Scored Accounts'!$Q$2:$Q$301,MATCH($A235,'Scored Accounts'!$A$2:$A$301,0))</f>
        <v>0</v>
      </c>
      <c r="G235" s="2" t="str">
        <f aca="false">INDEX('Scored Accounts'!$R$2:$R$301,MATCH($A235,'Scored Accounts'!$A$2:$A$301,0))</f>
        <v>Low</v>
      </c>
      <c r="H235" s="2" t="str">
        <f aca="false">IF(OR(G235="High",G235="Medium"),"Broker-Reliant",IF(AND(G235="Low",B235="Account Managed"),"AM-Owned / Self-Serving",IF(AND(G235="Low",B235="Self Serve"),"Self-Serve","UNASSIGNED")))</f>
        <v>Self-Serve</v>
      </c>
      <c r="I235" s="9" t="n">
        <v>393</v>
      </c>
      <c r="J235" s="2" t="str">
        <f aca="false">IF(I235&gt;=Assumptions!$B$35,"Key",IF(I235&gt;=Assumptions!$B$34,"Core","Tail"))</f>
        <v>Tail</v>
      </c>
      <c r="K235" s="9" t="n">
        <f aca="false">INDEX('Commercial View'!$R$2:$R$301,MATCH($A235,'Commercial View'!$A$2:$A$301,0))</f>
        <v>0</v>
      </c>
      <c r="L235" s="9" t="n">
        <f aca="false">INDEX('Commercial View'!$S$2:$S$301,MATCH($A235,'Commercial View'!$A$2:$A$301,0))</f>
        <v>393</v>
      </c>
      <c r="M235" s="17" t="str">
        <f aca="false">INDEX('Commercial View'!$T$2:$T$301,MATCH($A235,'Commercial View'!$A$2:$A$301,0))</f>
        <v/>
      </c>
      <c r="N235" s="2" t="str">
        <f aca="false">INDEX('Commercial View'!$U$2:$U$301,MATCH($A235,'Commercial View'!$A$2:$A$301,0))</f>
        <v>H2 Active / No H1 GMV</v>
      </c>
      <c r="O235" s="2" t="n">
        <v>1</v>
      </c>
      <c r="P235" s="2" t="n">
        <v>0</v>
      </c>
      <c r="Q235" s="2" t="n">
        <v>1</v>
      </c>
      <c r="R235" s="2" t="n">
        <v>1</v>
      </c>
      <c r="S235" s="2" t="n">
        <v>1</v>
      </c>
      <c r="T235" s="2" t="str">
        <f aca="false">IF(H235="Broker-Reliant",IF(J235="Tail","5. Cost-to-Serve / Low-Touch",IF(OR(N235="Growing",N235="Stable"),"1. Migration Candidate",IF(N235="Declining","2. Protect / Retain First",IF(N235="Lapsed","3. Win-Back / Verify",IF(N235="H2 Active / No H1 GMV","4. Establish / Re-establish / Observe","UNASSIGNED"))))),IF(G235="Low",IF(J235="Tail","9. Long-Tail Automated Nurture",IF(OR(N235="Growing",N235="Stable"),"6. Growth Opportunity",IF(N235="H2 Active / No H1 GMV","7. Onboard / Re-engage / Learn",IF(OR(N235="Declining",N235="Lapsed"),"8. Retention / Reactivation","UNASSIGNED")))),"UNASSIGNED"))</f>
        <v>9. Long-Tail Automated Nurture</v>
      </c>
      <c r="U235" s="10" t="b">
        <f aca="false">AND(T235="1. Migration Candidate",J235="Core",O235&gt;=Assumptions!$B$39,Q235&gt;=Assumptions!$B$40,NOT(Z235))</f>
        <v>0</v>
      </c>
      <c r="V235" s="2" t="n">
        <f aca="false">(AND(H235="Broker-Reliant",J235&lt;&gt;"Tail",OR(N235="Growing",N235="Stable")))*1+(AND(H235="Broker-Reliant",J235&lt;&gt;"Tail",N235="Declining"))*1+(AND(H235="Broker-Reliant",J235&lt;&gt;"Tail",N235="Lapsed"))*1+(AND(H235="Broker-Reliant",J235&lt;&gt;"Tail",N235="H2 Active / No H1 GMV"))*1+(AND(H235="Broker-Reliant",J235="Tail"))*1+(AND(G235="Low",J235&lt;&gt;"Tail",OR(N235="Growing",N235="Stable")))*1+(AND(G235="Low",J235&lt;&gt;"Tail",N235="H2 Active / No H1 GMV"))*1+(AND(G235="Low",J235&lt;&gt;"Tail",OR(N235="Declining",N235="Lapsed")))*1+(AND(G235="Low",J235="Tail"))*1</f>
        <v>1</v>
      </c>
      <c r="W235" s="2" t="n">
        <f aca="false">INDEX('Commercial View'!$V$2:$V$301,MATCH($A235,'Commercial View'!$A$2:$A$301,0))</f>
        <v>1</v>
      </c>
      <c r="X235" s="10" t="b">
        <f aca="false">O235&lt;=Assumptions!$B$30</f>
        <v>1</v>
      </c>
      <c r="Y235" s="10" t="b">
        <f aca="false">W235&lt;=1</f>
        <v>1</v>
      </c>
      <c r="Z235" s="10" t="b">
        <f aca="false">C235="Duplicate"</f>
        <v>0</v>
      </c>
      <c r="AA235" s="10" t="b">
        <f aca="false">C235=""</f>
        <v>1</v>
      </c>
      <c r="AB235" s="2" t="n">
        <f aca="false">IF(P235+Q235&gt;0,ROUND(P235/(P235+Q235)*100,0),"")</f>
        <v>0</v>
      </c>
      <c r="AC235" s="2" t="n">
        <f aca="false">IF(P235+Q235&gt;0,ROUND(E235-P235/(P235+Q235)*100,0),"")</f>
        <v>0</v>
      </c>
      <c r="AD235" s="10" t="b">
        <f aca="false">IF(AC235="",FALSE(),ABS(AC235)&gt;Assumptions!$B$41)</f>
        <v>0</v>
      </c>
      <c r="AE235" s="2" t="str">
        <f aca="false">IF(X235,"Low confidence (&lt;=2 orders); ","")&amp;IF(Y235,"Single-month history; ","")&amp;IF(Z235,"CRITICAL: Duplicate status; ","")&amp;IF(AA235,"Missing status; ","")&amp;IF(AD235,"Broker % vs counts gap "&amp;TEXT(AC235,"+0;-0")&amp;"pts; ","")</f>
        <v>Low confidence (&lt;=2 orders); Single-month history; Missing status; </v>
      </c>
      <c r="AF235" s="2" t="str">
        <f aca="false">IF(AND(K235=0,L235&gt;0),IF(D235&lt;=Assumptions!$B$47,"New Customer","Returned Customer"),"Existing Customer")</f>
        <v>New Customer</v>
      </c>
      <c r="AG235" s="10" t="b">
        <f aca="false">AND(T235="1. Migration Candidate",J235="Key")</f>
        <v>0</v>
      </c>
      <c r="AH235" s="10" t="b">
        <f aca="false">IF(AND(K235&gt;0,L235&gt;0),OR(ABS(M235-Assumptions!$B$36)&lt;=Assumptions!$B$46,ABS(M235+Assumptions!$B$36)&lt;=Assumptions!$B$46),FALSE())</f>
        <v>0</v>
      </c>
      <c r="AI235" s="9" t="n">
        <f aca="false">INDEX('Commercial View'!$L$2:$L$301,MATCH($A235,'Commercial View'!$A$2:$A$301,0))+INDEX('Commercial View'!$M$2:$M$301,MATCH($A235,'Commercial View'!$A$2:$A$301,0))</f>
        <v>0</v>
      </c>
      <c r="AJ235" s="2" t="str">
        <f aca="false">IF(AND(K235=0,AI235=0),"No activity ex-Feb",IF(AI235=0,"Lapsed",IF(K235=0,"H2 Active / No H1 GMV",IF((AI235/2)/(K235/3)-1&gt;=Assumptions!$B$36,"Growing",IF((AI235/2)/(K235/3)-1&lt;-Assumptions!$B$36,"Declining","Stable")))))</f>
        <v>No activity ex-Feb</v>
      </c>
      <c r="AK235" s="10" t="b">
        <f aca="false">IF(OR(N235="Growing",N235="Stable"),"Healthy",N235)&lt;&gt;IF(OR(AJ235="Growing",AJ235="Stable"),"Healthy",AJ235)</f>
        <v>1</v>
      </c>
      <c r="AL235" s="2" t="str">
        <f aca="false">IF(N235="Lapsed",IF(OR(O235&lt;=Assumptions!$B$48,W235&lt;=Assumptions!$B$49),"One-Off / Insufficient History — Verify","Established Buyer Lapsed"),"N/A")</f>
        <v>N/A</v>
      </c>
      <c r="AM235" s="2" t="n">
        <f aca="false">INDEX('Scored Accounts'!$M$2:$M$301,MATCH($A235,'Scored Accounts'!$A$2:$A$301,0))</f>
        <v>0</v>
      </c>
      <c r="AN235" s="2" t="n">
        <f aca="false">IF((P235/(P235+Q235)*100)&lt;=Assumptions!$B$13,0,IF((P235/(P235+Q235)*100)&lt;Assumptions!$B$14,25,IF((P235/(P235+Q235)*100)&lt;Assumptions!$B$15,50,IF((P235/(P235+Q235)*100)&lt;Assumptions!$B$16,75,100))))</f>
        <v>0</v>
      </c>
      <c r="AO235" s="21" t="n">
        <f aca="false">IF((P235/(P235+Q235)*100)&lt;=Assumptions!$B$8,0,AN235*Assumptions!$B$4+INDEX('Scored Accounts'!$N$2:$N$301,MATCH($A235,'Scored Accounts'!$A$2:$A$301,0))*Assumptions!$B$5+INDEX('Scored Accounts'!$O$2:$O$301,MATCH($A235,'Scored Accounts'!$A$2:$A$301,0))*Assumptions!$B$6)</f>
        <v>0</v>
      </c>
      <c r="AP235" s="2" t="str">
        <f aca="false">IF(AO235&gt;=Assumptions!$B$9,"High",IF(AO235&gt;=Assumptions!$B$10,"Medium","Low"))</f>
        <v>Low</v>
      </c>
      <c r="AQ235" s="10" t="b">
        <f aca="false">OR((E235&lt;=Assumptions!$B$8)&lt;&gt;((P235/(P235+Q235)*100)&lt;=Assumptions!$B$8),AM235&lt;&gt;AN235,G235&lt;&gt;AP235)</f>
        <v>0</v>
      </c>
      <c r="AR235" s="2" t="str">
        <f aca="false">IF(AP235&lt;&gt;"Low","Broker-Reliant",IF(B235="Account Managed","AM-Owned / Self-Serving","Self-Serve"))</f>
        <v>Self-Serve</v>
      </c>
      <c r="AS235" s="2" t="str">
        <f aca="false">IF(AR235="Broker-Reliant",IF(J235="Tail","5. Cost-to-Serve / Low-Touch",IF(OR(N235="Growing",N235="Stable"),"1. Migration Candidate",IF(N235="Declining","2. Protect / Retain First",IF(N235="Lapsed","3. Win-Back / Verify",IF(N235="H2 Active / No H1 GMV","4. Establish / Re-establish / Observe","UNASSIGNED"))))),IF(AP235="Low",IF(J235="Tail","9. Long-Tail Automated Nurture",IF(OR(N235="Growing",N235="Stable"),"6. Growth Opportunity",IF(N235="H2 Active / No H1 GMV","7. Onboard / Re-engage / Learn",IF(OR(N235="Declining",N235="Lapsed"),"8. Retention / Reactivation","UNASSIGNED")))),"UNASSIGNED"))</f>
        <v>9. Long-Tail Automated Nurture</v>
      </c>
      <c r="AT235" s="10" t="b">
        <f aca="false">AS235&lt;&gt;T235</f>
        <v>0</v>
      </c>
      <c r="AU235" s="2" t="str">
        <f aca="false">IF(NOT(U235),"Not Eligible",IF(OR(AQ235,AH235,AK235,NOT(AND(W235&gt;=Assumptions!$B$83,O235&gt;=Assumptions!$B$84))),"Manual Review","Ready"))</f>
        <v>Not Eligible</v>
      </c>
      <c r="AV235" s="2" t="str">
        <f aca="false">IF(AG235,"Key account - human sign-off required; ","")&amp;IF(AH235,"Borderline momentum; ","")&amp;IF(AK235,"February-sensitive ("&amp;N235&amp;" -&gt; "&amp;AJ235&amp;"); ","")&amp;IF(AL235="One-Off / Insufficient History — Verify","Lapsed on thin history - verify; ","")&amp;IF(AQ235,"Material broker % inconsistency (implied tier "&amp;AP235&amp;"); ","")&amp;IF(AT235,"Implied broker % would move segment to "&amp;AS235&amp;"; ","")</f>
        <v>February-sensitive (H2 Active / No H1 GMV -&gt; No activity ex-Feb); </v>
      </c>
      <c r="AW235" s="10" t="b">
        <f aca="false">AND(G235="Low",J235="Tail",I235&gt;=Assumptions!$B$64,O235&gt;=Assumptions!$B$65,OR(N235="Growing",N235="Stable",AND(N235="H2 Active / No H1 GMV",W235&gt;=2)),OR(R235&gt;=Assumptions!$B$66,S235&gt;=Assumptions!$B$67))</f>
        <v>0</v>
      </c>
    </row>
    <row r="236" customFormat="false" ht="15" hidden="false" customHeight="false" outlineLevel="0" collapsed="false">
      <c r="A236" s="2" t="s">
        <v>728</v>
      </c>
      <c r="B236" s="2" t="s">
        <v>1574</v>
      </c>
      <c r="C236" s="2"/>
      <c r="D236" s="2" t="n">
        <v>2</v>
      </c>
      <c r="E236" s="2" t="n">
        <v>0</v>
      </c>
      <c r="F236" s="21" t="n">
        <f aca="false">INDEX('Scored Accounts'!$Q$2:$Q$301,MATCH($A236,'Scored Accounts'!$A$2:$A$301,0))</f>
        <v>0</v>
      </c>
      <c r="G236" s="2" t="str">
        <f aca="false">INDEX('Scored Accounts'!$R$2:$R$301,MATCH($A236,'Scored Accounts'!$A$2:$A$301,0))</f>
        <v>Low</v>
      </c>
      <c r="H236" s="2" t="str">
        <f aca="false">IF(OR(G236="High",G236="Medium"),"Broker-Reliant",IF(AND(G236="Low",B236="Account Managed"),"AM-Owned / Self-Serving",IF(AND(G236="Low",B236="Self Serve"),"Self-Serve","UNASSIGNED")))</f>
        <v>Self-Serve</v>
      </c>
      <c r="I236" s="9" t="n">
        <v>384</v>
      </c>
      <c r="J236" s="2" t="str">
        <f aca="false">IF(I236&gt;=Assumptions!$B$35,"Key",IF(I236&gt;=Assumptions!$B$34,"Core","Tail"))</f>
        <v>Tail</v>
      </c>
      <c r="K236" s="9" t="n">
        <f aca="false">INDEX('Commercial View'!$R$2:$R$301,MATCH($A236,'Commercial View'!$A$2:$A$301,0))</f>
        <v>0</v>
      </c>
      <c r="L236" s="9" t="n">
        <f aca="false">INDEX('Commercial View'!$S$2:$S$301,MATCH($A236,'Commercial View'!$A$2:$A$301,0))</f>
        <v>384</v>
      </c>
      <c r="M236" s="17" t="str">
        <f aca="false">INDEX('Commercial View'!$T$2:$T$301,MATCH($A236,'Commercial View'!$A$2:$A$301,0))</f>
        <v/>
      </c>
      <c r="N236" s="2" t="str">
        <f aca="false">INDEX('Commercial View'!$U$2:$U$301,MATCH($A236,'Commercial View'!$A$2:$A$301,0))</f>
        <v>H2 Active / No H1 GMV</v>
      </c>
      <c r="O236" s="2" t="n">
        <v>1</v>
      </c>
      <c r="P236" s="2" t="n">
        <v>0</v>
      </c>
      <c r="Q236" s="2" t="n">
        <v>1</v>
      </c>
      <c r="R236" s="2" t="n">
        <v>41</v>
      </c>
      <c r="S236" s="2" t="n">
        <v>1</v>
      </c>
      <c r="T236" s="2" t="str">
        <f aca="false">IF(H236="Broker-Reliant",IF(J236="Tail","5. Cost-to-Serve / Low-Touch",IF(OR(N236="Growing",N236="Stable"),"1. Migration Candidate",IF(N236="Declining","2. Protect / Retain First",IF(N236="Lapsed","3. Win-Back / Verify",IF(N236="H2 Active / No H1 GMV","4. Establish / Re-establish / Observe","UNASSIGNED"))))),IF(G236="Low",IF(J236="Tail","9. Long-Tail Automated Nurture",IF(OR(N236="Growing",N236="Stable"),"6. Growth Opportunity",IF(N236="H2 Active / No H1 GMV","7. Onboard / Re-engage / Learn",IF(OR(N236="Declining",N236="Lapsed"),"8. Retention / Reactivation","UNASSIGNED")))),"UNASSIGNED"))</f>
        <v>9. Long-Tail Automated Nurture</v>
      </c>
      <c r="U236" s="10" t="b">
        <f aca="false">AND(T236="1. Migration Candidate",J236="Core",O236&gt;=Assumptions!$B$39,Q236&gt;=Assumptions!$B$40,NOT(Z236))</f>
        <v>0</v>
      </c>
      <c r="V236" s="2" t="n">
        <f aca="false">(AND(H236="Broker-Reliant",J236&lt;&gt;"Tail",OR(N236="Growing",N236="Stable")))*1+(AND(H236="Broker-Reliant",J236&lt;&gt;"Tail",N236="Declining"))*1+(AND(H236="Broker-Reliant",J236&lt;&gt;"Tail",N236="Lapsed"))*1+(AND(H236="Broker-Reliant",J236&lt;&gt;"Tail",N236="H2 Active / No H1 GMV"))*1+(AND(H236="Broker-Reliant",J236="Tail"))*1+(AND(G236="Low",J236&lt;&gt;"Tail",OR(N236="Growing",N236="Stable")))*1+(AND(G236="Low",J236&lt;&gt;"Tail",N236="H2 Active / No H1 GMV"))*1+(AND(G236="Low",J236&lt;&gt;"Tail",OR(N236="Declining",N236="Lapsed")))*1+(AND(G236="Low",J236="Tail"))*1</f>
        <v>1</v>
      </c>
      <c r="W236" s="2" t="n">
        <f aca="false">INDEX('Commercial View'!$V$2:$V$301,MATCH($A236,'Commercial View'!$A$2:$A$301,0))</f>
        <v>1</v>
      </c>
      <c r="X236" s="10" t="b">
        <f aca="false">O236&lt;=Assumptions!$B$30</f>
        <v>1</v>
      </c>
      <c r="Y236" s="10" t="b">
        <f aca="false">W236&lt;=1</f>
        <v>1</v>
      </c>
      <c r="Z236" s="10" t="b">
        <f aca="false">C236="Duplicate"</f>
        <v>0</v>
      </c>
      <c r="AA236" s="10" t="b">
        <f aca="false">C236=""</f>
        <v>1</v>
      </c>
      <c r="AB236" s="2" t="n">
        <f aca="false">IF(P236+Q236&gt;0,ROUND(P236/(P236+Q236)*100,0),"")</f>
        <v>0</v>
      </c>
      <c r="AC236" s="2" t="n">
        <f aca="false">IF(P236+Q236&gt;0,ROUND(E236-P236/(P236+Q236)*100,0),"")</f>
        <v>0</v>
      </c>
      <c r="AD236" s="10" t="b">
        <f aca="false">IF(AC236="",FALSE(),ABS(AC236)&gt;Assumptions!$B$41)</f>
        <v>0</v>
      </c>
      <c r="AE236" s="2" t="str">
        <f aca="false">IF(X236,"Low confidence (&lt;=2 orders); ","")&amp;IF(Y236,"Single-month history; ","")&amp;IF(Z236,"CRITICAL: Duplicate status; ","")&amp;IF(AA236,"Missing status; ","")&amp;IF(AD236,"Broker % vs counts gap "&amp;TEXT(AC236,"+0;-0")&amp;"pts; ","")</f>
        <v>Low confidence (&lt;=2 orders); Single-month history; Missing status; </v>
      </c>
      <c r="AF236" s="2" t="str">
        <f aca="false">IF(AND(K236=0,L236&gt;0),IF(D236&lt;=Assumptions!$B$47,"New Customer","Returned Customer"),"Existing Customer")</f>
        <v>New Customer</v>
      </c>
      <c r="AG236" s="10" t="b">
        <f aca="false">AND(T236="1. Migration Candidate",J236="Key")</f>
        <v>0</v>
      </c>
      <c r="AH236" s="10" t="b">
        <f aca="false">IF(AND(K236&gt;0,L236&gt;0),OR(ABS(M236-Assumptions!$B$36)&lt;=Assumptions!$B$46,ABS(M236+Assumptions!$B$36)&lt;=Assumptions!$B$46),FALSE())</f>
        <v>0</v>
      </c>
      <c r="AI236" s="9" t="n">
        <f aca="false">INDEX('Commercial View'!$L$2:$L$301,MATCH($A236,'Commercial View'!$A$2:$A$301,0))+INDEX('Commercial View'!$M$2:$M$301,MATCH($A236,'Commercial View'!$A$2:$A$301,0))</f>
        <v>384</v>
      </c>
      <c r="AJ236" s="2" t="str">
        <f aca="false">IF(AND(K236=0,AI236=0),"No activity ex-Feb",IF(AI236=0,"Lapsed",IF(K236=0,"H2 Active / No H1 GMV",IF((AI236/2)/(K236/3)-1&gt;=Assumptions!$B$36,"Growing",IF((AI236/2)/(K236/3)-1&lt;-Assumptions!$B$36,"Declining","Stable")))))</f>
        <v>H2 Active / No H1 GMV</v>
      </c>
      <c r="AK236" s="10" t="b">
        <f aca="false">IF(OR(N236="Growing",N236="Stable"),"Healthy",N236)&lt;&gt;IF(OR(AJ236="Growing",AJ236="Stable"),"Healthy",AJ236)</f>
        <v>0</v>
      </c>
      <c r="AL236" s="2" t="str">
        <f aca="false">IF(N236="Lapsed",IF(OR(O236&lt;=Assumptions!$B$48,W236&lt;=Assumptions!$B$49),"One-Off / Insufficient History — Verify","Established Buyer Lapsed"),"N/A")</f>
        <v>N/A</v>
      </c>
      <c r="AM236" s="2" t="n">
        <f aca="false">INDEX('Scored Accounts'!$M$2:$M$301,MATCH($A236,'Scored Accounts'!$A$2:$A$301,0))</f>
        <v>0</v>
      </c>
      <c r="AN236" s="2" t="n">
        <f aca="false">IF((P236/(P236+Q236)*100)&lt;=Assumptions!$B$13,0,IF((P236/(P236+Q236)*100)&lt;Assumptions!$B$14,25,IF((P236/(P236+Q236)*100)&lt;Assumptions!$B$15,50,IF((P236/(P236+Q236)*100)&lt;Assumptions!$B$16,75,100))))</f>
        <v>0</v>
      </c>
      <c r="AO236" s="21" t="n">
        <f aca="false">IF((P236/(P236+Q236)*100)&lt;=Assumptions!$B$8,0,AN236*Assumptions!$B$4+INDEX('Scored Accounts'!$N$2:$N$301,MATCH($A236,'Scored Accounts'!$A$2:$A$301,0))*Assumptions!$B$5+INDEX('Scored Accounts'!$O$2:$O$301,MATCH($A236,'Scored Accounts'!$A$2:$A$301,0))*Assumptions!$B$6)</f>
        <v>0</v>
      </c>
      <c r="AP236" s="2" t="str">
        <f aca="false">IF(AO236&gt;=Assumptions!$B$9,"High",IF(AO236&gt;=Assumptions!$B$10,"Medium","Low"))</f>
        <v>Low</v>
      </c>
      <c r="AQ236" s="10" t="b">
        <f aca="false">OR((E236&lt;=Assumptions!$B$8)&lt;&gt;((P236/(P236+Q236)*100)&lt;=Assumptions!$B$8),AM236&lt;&gt;AN236,G236&lt;&gt;AP236)</f>
        <v>0</v>
      </c>
      <c r="AR236" s="2" t="str">
        <f aca="false">IF(AP236&lt;&gt;"Low","Broker-Reliant",IF(B236="Account Managed","AM-Owned / Self-Serving","Self-Serve"))</f>
        <v>Self-Serve</v>
      </c>
      <c r="AS236" s="2" t="str">
        <f aca="false">IF(AR236="Broker-Reliant",IF(J236="Tail","5. Cost-to-Serve / Low-Touch",IF(OR(N236="Growing",N236="Stable"),"1. Migration Candidate",IF(N236="Declining","2. Protect / Retain First",IF(N236="Lapsed","3. Win-Back / Verify",IF(N236="H2 Active / No H1 GMV","4. Establish / Re-establish / Observe","UNASSIGNED"))))),IF(AP236="Low",IF(J236="Tail","9. Long-Tail Automated Nurture",IF(OR(N236="Growing",N236="Stable"),"6. Growth Opportunity",IF(N236="H2 Active / No H1 GMV","7. Onboard / Re-engage / Learn",IF(OR(N236="Declining",N236="Lapsed"),"8. Retention / Reactivation","UNASSIGNED")))),"UNASSIGNED"))</f>
        <v>9. Long-Tail Automated Nurture</v>
      </c>
      <c r="AT236" s="10" t="b">
        <f aca="false">AS236&lt;&gt;T236</f>
        <v>0</v>
      </c>
      <c r="AU236" s="2" t="str">
        <f aca="false">IF(NOT(U236),"Not Eligible",IF(OR(AQ236,AH236,AK236,NOT(AND(W236&gt;=Assumptions!$B$83,O236&gt;=Assumptions!$B$84))),"Manual Review","Ready"))</f>
        <v>Not Eligible</v>
      </c>
      <c r="AV236" s="2" t="str">
        <f aca="false">IF(AG236,"Key account - human sign-off required; ","")&amp;IF(AH236,"Borderline momentum; ","")&amp;IF(AK236,"February-sensitive ("&amp;N236&amp;" -&gt; "&amp;AJ236&amp;"); ","")&amp;IF(AL236="One-Off / Insufficient History — Verify","Lapsed on thin history - verify; ","")&amp;IF(AQ236,"Material broker % inconsistency (implied tier "&amp;AP236&amp;"); ","")&amp;IF(AT236,"Implied broker % would move segment to "&amp;AS236&amp;"; ","")</f>
        <v/>
      </c>
      <c r="AW236" s="10" t="b">
        <f aca="false">AND(G236="Low",J236="Tail",I236&gt;=Assumptions!$B$64,O236&gt;=Assumptions!$B$65,OR(N236="Growing",N236="Stable",AND(N236="H2 Active / No H1 GMV",W236&gt;=2)),OR(R236&gt;=Assumptions!$B$66,S236&gt;=Assumptions!$B$67))</f>
        <v>0</v>
      </c>
    </row>
    <row r="237" customFormat="false" ht="15" hidden="false" customHeight="false" outlineLevel="0" collapsed="false">
      <c r="A237" s="2" t="s">
        <v>734</v>
      </c>
      <c r="B237" s="2" t="s">
        <v>1574</v>
      </c>
      <c r="C237" s="2"/>
      <c r="D237" s="2" t="n">
        <v>2</v>
      </c>
      <c r="E237" s="2" t="n">
        <v>0</v>
      </c>
      <c r="F237" s="21" t="n">
        <f aca="false">INDEX('Scored Accounts'!$Q$2:$Q$301,MATCH($A237,'Scored Accounts'!$A$2:$A$301,0))</f>
        <v>0</v>
      </c>
      <c r="G237" s="2" t="str">
        <f aca="false">INDEX('Scored Accounts'!$R$2:$R$301,MATCH($A237,'Scored Accounts'!$A$2:$A$301,0))</f>
        <v>Low</v>
      </c>
      <c r="H237" s="2" t="str">
        <f aca="false">IF(OR(G237="High",G237="Medium"),"Broker-Reliant",IF(AND(G237="Low",B237="Account Managed"),"AM-Owned / Self-Serving",IF(AND(G237="Low",B237="Self Serve"),"Self-Serve","UNASSIGNED")))</f>
        <v>Self-Serve</v>
      </c>
      <c r="I237" s="9" t="n">
        <v>371</v>
      </c>
      <c r="J237" s="2" t="str">
        <f aca="false">IF(I237&gt;=Assumptions!$B$35,"Key",IF(I237&gt;=Assumptions!$B$34,"Core","Tail"))</f>
        <v>Tail</v>
      </c>
      <c r="K237" s="9" t="n">
        <f aca="false">INDEX('Commercial View'!$R$2:$R$301,MATCH($A237,'Commercial View'!$A$2:$A$301,0))</f>
        <v>0</v>
      </c>
      <c r="L237" s="9" t="n">
        <f aca="false">INDEX('Commercial View'!$S$2:$S$301,MATCH($A237,'Commercial View'!$A$2:$A$301,0))</f>
        <v>371</v>
      </c>
      <c r="M237" s="17" t="str">
        <f aca="false">INDEX('Commercial View'!$T$2:$T$301,MATCH($A237,'Commercial View'!$A$2:$A$301,0))</f>
        <v/>
      </c>
      <c r="N237" s="2" t="str">
        <f aca="false">INDEX('Commercial View'!$U$2:$U$301,MATCH($A237,'Commercial View'!$A$2:$A$301,0))</f>
        <v>H2 Active / No H1 GMV</v>
      </c>
      <c r="O237" s="2" t="n">
        <v>1</v>
      </c>
      <c r="P237" s="2" t="n">
        <v>0</v>
      </c>
      <c r="Q237" s="2" t="n">
        <v>1</v>
      </c>
      <c r="R237" s="2" t="n">
        <v>21</v>
      </c>
      <c r="S237" s="2" t="n">
        <v>9</v>
      </c>
      <c r="T237" s="2" t="str">
        <f aca="false">IF(H237="Broker-Reliant",IF(J237="Tail","5. Cost-to-Serve / Low-Touch",IF(OR(N237="Growing",N237="Stable"),"1. Migration Candidate",IF(N237="Declining","2. Protect / Retain First",IF(N237="Lapsed","3. Win-Back / Verify",IF(N237="H2 Active / No H1 GMV","4. Establish / Re-establish / Observe","UNASSIGNED"))))),IF(G237="Low",IF(J237="Tail","9. Long-Tail Automated Nurture",IF(OR(N237="Growing",N237="Stable"),"6. Growth Opportunity",IF(N237="H2 Active / No H1 GMV","7. Onboard / Re-engage / Learn",IF(OR(N237="Declining",N237="Lapsed"),"8. Retention / Reactivation","UNASSIGNED")))),"UNASSIGNED"))</f>
        <v>9. Long-Tail Automated Nurture</v>
      </c>
      <c r="U237" s="10" t="b">
        <f aca="false">AND(T237="1. Migration Candidate",J237="Core",O237&gt;=Assumptions!$B$39,Q237&gt;=Assumptions!$B$40,NOT(Z237))</f>
        <v>0</v>
      </c>
      <c r="V237" s="2" t="n">
        <f aca="false">(AND(H237="Broker-Reliant",J237&lt;&gt;"Tail",OR(N237="Growing",N237="Stable")))*1+(AND(H237="Broker-Reliant",J237&lt;&gt;"Tail",N237="Declining"))*1+(AND(H237="Broker-Reliant",J237&lt;&gt;"Tail",N237="Lapsed"))*1+(AND(H237="Broker-Reliant",J237&lt;&gt;"Tail",N237="H2 Active / No H1 GMV"))*1+(AND(H237="Broker-Reliant",J237="Tail"))*1+(AND(G237="Low",J237&lt;&gt;"Tail",OR(N237="Growing",N237="Stable")))*1+(AND(G237="Low",J237&lt;&gt;"Tail",N237="H2 Active / No H1 GMV"))*1+(AND(G237="Low",J237&lt;&gt;"Tail",OR(N237="Declining",N237="Lapsed")))*1+(AND(G237="Low",J237="Tail"))*1</f>
        <v>1</v>
      </c>
      <c r="W237" s="2" t="n">
        <f aca="false">INDEX('Commercial View'!$V$2:$V$301,MATCH($A237,'Commercial View'!$A$2:$A$301,0))</f>
        <v>1</v>
      </c>
      <c r="X237" s="10" t="b">
        <f aca="false">O237&lt;=Assumptions!$B$30</f>
        <v>1</v>
      </c>
      <c r="Y237" s="10" t="b">
        <f aca="false">W237&lt;=1</f>
        <v>1</v>
      </c>
      <c r="Z237" s="10" t="b">
        <f aca="false">C237="Duplicate"</f>
        <v>0</v>
      </c>
      <c r="AA237" s="10" t="b">
        <f aca="false">C237=""</f>
        <v>1</v>
      </c>
      <c r="AB237" s="2" t="n">
        <f aca="false">IF(P237+Q237&gt;0,ROUND(P237/(P237+Q237)*100,0),"")</f>
        <v>0</v>
      </c>
      <c r="AC237" s="2" t="n">
        <f aca="false">IF(P237+Q237&gt;0,ROUND(E237-P237/(P237+Q237)*100,0),"")</f>
        <v>0</v>
      </c>
      <c r="AD237" s="10" t="b">
        <f aca="false">IF(AC237="",FALSE(),ABS(AC237)&gt;Assumptions!$B$41)</f>
        <v>0</v>
      </c>
      <c r="AE237" s="2" t="str">
        <f aca="false">IF(X237,"Low confidence (&lt;=2 orders); ","")&amp;IF(Y237,"Single-month history; ","")&amp;IF(Z237,"CRITICAL: Duplicate status; ","")&amp;IF(AA237,"Missing status; ","")&amp;IF(AD237,"Broker % vs counts gap "&amp;TEXT(AC237,"+0;-0")&amp;"pts; ","")</f>
        <v>Low confidence (&lt;=2 orders); Single-month history; Missing status; </v>
      </c>
      <c r="AF237" s="2" t="str">
        <f aca="false">IF(AND(K237=0,L237&gt;0),IF(D237&lt;=Assumptions!$B$47,"New Customer","Returned Customer"),"Existing Customer")</f>
        <v>New Customer</v>
      </c>
      <c r="AG237" s="10" t="b">
        <f aca="false">AND(T237="1. Migration Candidate",J237="Key")</f>
        <v>0</v>
      </c>
      <c r="AH237" s="10" t="b">
        <f aca="false">IF(AND(K237&gt;0,L237&gt;0),OR(ABS(M237-Assumptions!$B$36)&lt;=Assumptions!$B$46,ABS(M237+Assumptions!$B$36)&lt;=Assumptions!$B$46),FALSE())</f>
        <v>0</v>
      </c>
      <c r="AI237" s="9" t="n">
        <f aca="false">INDEX('Commercial View'!$L$2:$L$301,MATCH($A237,'Commercial View'!$A$2:$A$301,0))+INDEX('Commercial View'!$M$2:$M$301,MATCH($A237,'Commercial View'!$A$2:$A$301,0))</f>
        <v>371</v>
      </c>
      <c r="AJ237" s="2" t="str">
        <f aca="false">IF(AND(K237=0,AI237=0),"No activity ex-Feb",IF(AI237=0,"Lapsed",IF(K237=0,"H2 Active / No H1 GMV",IF((AI237/2)/(K237/3)-1&gt;=Assumptions!$B$36,"Growing",IF((AI237/2)/(K237/3)-1&lt;-Assumptions!$B$36,"Declining","Stable")))))</f>
        <v>H2 Active / No H1 GMV</v>
      </c>
      <c r="AK237" s="10" t="b">
        <f aca="false">IF(OR(N237="Growing",N237="Stable"),"Healthy",N237)&lt;&gt;IF(OR(AJ237="Growing",AJ237="Stable"),"Healthy",AJ237)</f>
        <v>0</v>
      </c>
      <c r="AL237" s="2" t="str">
        <f aca="false">IF(N237="Lapsed",IF(OR(O237&lt;=Assumptions!$B$48,W237&lt;=Assumptions!$B$49),"One-Off / Insufficient History — Verify","Established Buyer Lapsed"),"N/A")</f>
        <v>N/A</v>
      </c>
      <c r="AM237" s="2" t="n">
        <f aca="false">INDEX('Scored Accounts'!$M$2:$M$301,MATCH($A237,'Scored Accounts'!$A$2:$A$301,0))</f>
        <v>0</v>
      </c>
      <c r="AN237" s="2" t="n">
        <f aca="false">IF((P237/(P237+Q237)*100)&lt;=Assumptions!$B$13,0,IF((P237/(P237+Q237)*100)&lt;Assumptions!$B$14,25,IF((P237/(P237+Q237)*100)&lt;Assumptions!$B$15,50,IF((P237/(P237+Q237)*100)&lt;Assumptions!$B$16,75,100))))</f>
        <v>0</v>
      </c>
      <c r="AO237" s="21" t="n">
        <f aca="false">IF((P237/(P237+Q237)*100)&lt;=Assumptions!$B$8,0,AN237*Assumptions!$B$4+INDEX('Scored Accounts'!$N$2:$N$301,MATCH($A237,'Scored Accounts'!$A$2:$A$301,0))*Assumptions!$B$5+INDEX('Scored Accounts'!$O$2:$O$301,MATCH($A237,'Scored Accounts'!$A$2:$A$301,0))*Assumptions!$B$6)</f>
        <v>0</v>
      </c>
      <c r="AP237" s="2" t="str">
        <f aca="false">IF(AO237&gt;=Assumptions!$B$9,"High",IF(AO237&gt;=Assumptions!$B$10,"Medium","Low"))</f>
        <v>Low</v>
      </c>
      <c r="AQ237" s="10" t="b">
        <f aca="false">OR((E237&lt;=Assumptions!$B$8)&lt;&gt;((P237/(P237+Q237)*100)&lt;=Assumptions!$B$8),AM237&lt;&gt;AN237,G237&lt;&gt;AP237)</f>
        <v>0</v>
      </c>
      <c r="AR237" s="2" t="str">
        <f aca="false">IF(AP237&lt;&gt;"Low","Broker-Reliant",IF(B237="Account Managed","AM-Owned / Self-Serving","Self-Serve"))</f>
        <v>Self-Serve</v>
      </c>
      <c r="AS237" s="2" t="str">
        <f aca="false">IF(AR237="Broker-Reliant",IF(J237="Tail","5. Cost-to-Serve / Low-Touch",IF(OR(N237="Growing",N237="Stable"),"1. Migration Candidate",IF(N237="Declining","2. Protect / Retain First",IF(N237="Lapsed","3. Win-Back / Verify",IF(N237="H2 Active / No H1 GMV","4. Establish / Re-establish / Observe","UNASSIGNED"))))),IF(AP237="Low",IF(J237="Tail","9. Long-Tail Automated Nurture",IF(OR(N237="Growing",N237="Stable"),"6. Growth Opportunity",IF(N237="H2 Active / No H1 GMV","7. Onboard / Re-engage / Learn",IF(OR(N237="Declining",N237="Lapsed"),"8. Retention / Reactivation","UNASSIGNED")))),"UNASSIGNED"))</f>
        <v>9. Long-Tail Automated Nurture</v>
      </c>
      <c r="AT237" s="10" t="b">
        <f aca="false">AS237&lt;&gt;T237</f>
        <v>0</v>
      </c>
      <c r="AU237" s="2" t="str">
        <f aca="false">IF(NOT(U237),"Not Eligible",IF(OR(AQ237,AH237,AK237,NOT(AND(W237&gt;=Assumptions!$B$83,O237&gt;=Assumptions!$B$84))),"Manual Review","Ready"))</f>
        <v>Not Eligible</v>
      </c>
      <c r="AV237" s="2" t="str">
        <f aca="false">IF(AG237,"Key account - human sign-off required; ","")&amp;IF(AH237,"Borderline momentum; ","")&amp;IF(AK237,"February-sensitive ("&amp;N237&amp;" -&gt; "&amp;AJ237&amp;"); ","")&amp;IF(AL237="One-Off / Insufficient History — Verify","Lapsed on thin history - verify; ","")&amp;IF(AQ237,"Material broker % inconsistency (implied tier "&amp;AP237&amp;"); ","")&amp;IF(AT237,"Implied broker % would move segment to "&amp;AS237&amp;"; ","")</f>
        <v/>
      </c>
      <c r="AW237" s="10" t="b">
        <f aca="false">AND(G237="Low",J237="Tail",I237&gt;=Assumptions!$B$64,O237&gt;=Assumptions!$B$65,OR(N237="Growing",N237="Stable",AND(N237="H2 Active / No H1 GMV",W237&gt;=2)),OR(R237&gt;=Assumptions!$B$66,S237&gt;=Assumptions!$B$67))</f>
        <v>0</v>
      </c>
    </row>
    <row r="238" customFormat="false" ht="15" hidden="false" customHeight="false" outlineLevel="0" collapsed="false">
      <c r="A238" s="2" t="s">
        <v>736</v>
      </c>
      <c r="B238" s="2" t="s">
        <v>1574</v>
      </c>
      <c r="C238" s="2"/>
      <c r="D238" s="2" t="n">
        <v>2</v>
      </c>
      <c r="E238" s="2" t="n">
        <v>0</v>
      </c>
      <c r="F238" s="21" t="n">
        <f aca="false">INDEX('Scored Accounts'!$Q$2:$Q$301,MATCH($A238,'Scored Accounts'!$A$2:$A$301,0))</f>
        <v>0</v>
      </c>
      <c r="G238" s="2" t="str">
        <f aca="false">INDEX('Scored Accounts'!$R$2:$R$301,MATCH($A238,'Scored Accounts'!$A$2:$A$301,0))</f>
        <v>Low</v>
      </c>
      <c r="H238" s="2" t="str">
        <f aca="false">IF(OR(G238="High",G238="Medium"),"Broker-Reliant",IF(AND(G238="Low",B238="Account Managed"),"AM-Owned / Self-Serving",IF(AND(G238="Low",B238="Self Serve"),"Self-Serve","UNASSIGNED")))</f>
        <v>Self-Serve</v>
      </c>
      <c r="I238" s="9" t="n">
        <v>371</v>
      </c>
      <c r="J238" s="2" t="str">
        <f aca="false">IF(I238&gt;=Assumptions!$B$35,"Key",IF(I238&gt;=Assumptions!$B$34,"Core","Tail"))</f>
        <v>Tail</v>
      </c>
      <c r="K238" s="9" t="n">
        <f aca="false">INDEX('Commercial View'!$R$2:$R$301,MATCH($A238,'Commercial View'!$A$2:$A$301,0))</f>
        <v>0</v>
      </c>
      <c r="L238" s="9" t="n">
        <f aca="false">INDEX('Commercial View'!$S$2:$S$301,MATCH($A238,'Commercial View'!$A$2:$A$301,0))</f>
        <v>371</v>
      </c>
      <c r="M238" s="17" t="str">
        <f aca="false">INDEX('Commercial View'!$T$2:$T$301,MATCH($A238,'Commercial View'!$A$2:$A$301,0))</f>
        <v/>
      </c>
      <c r="N238" s="2" t="str">
        <f aca="false">INDEX('Commercial View'!$U$2:$U$301,MATCH($A238,'Commercial View'!$A$2:$A$301,0))</f>
        <v>H2 Active / No H1 GMV</v>
      </c>
      <c r="O238" s="2" t="n">
        <v>1</v>
      </c>
      <c r="P238" s="2" t="n">
        <v>0</v>
      </c>
      <c r="Q238" s="2" t="n">
        <v>1</v>
      </c>
      <c r="R238" s="2" t="n">
        <v>4</v>
      </c>
      <c r="S238" s="2" t="n">
        <v>0</v>
      </c>
      <c r="T238" s="2" t="str">
        <f aca="false">IF(H238="Broker-Reliant",IF(J238="Tail","5. Cost-to-Serve / Low-Touch",IF(OR(N238="Growing",N238="Stable"),"1. Migration Candidate",IF(N238="Declining","2. Protect / Retain First",IF(N238="Lapsed","3. Win-Back / Verify",IF(N238="H2 Active / No H1 GMV","4. Establish / Re-establish / Observe","UNASSIGNED"))))),IF(G238="Low",IF(J238="Tail","9. Long-Tail Automated Nurture",IF(OR(N238="Growing",N238="Stable"),"6. Growth Opportunity",IF(N238="H2 Active / No H1 GMV","7. Onboard / Re-engage / Learn",IF(OR(N238="Declining",N238="Lapsed"),"8. Retention / Reactivation","UNASSIGNED")))),"UNASSIGNED"))</f>
        <v>9. Long-Tail Automated Nurture</v>
      </c>
      <c r="U238" s="10" t="b">
        <f aca="false">AND(T238="1. Migration Candidate",J238="Core",O238&gt;=Assumptions!$B$39,Q238&gt;=Assumptions!$B$40,NOT(Z238))</f>
        <v>0</v>
      </c>
      <c r="V238" s="2" t="n">
        <f aca="false">(AND(H238="Broker-Reliant",J238&lt;&gt;"Tail",OR(N238="Growing",N238="Stable")))*1+(AND(H238="Broker-Reliant",J238&lt;&gt;"Tail",N238="Declining"))*1+(AND(H238="Broker-Reliant",J238&lt;&gt;"Tail",N238="Lapsed"))*1+(AND(H238="Broker-Reliant",J238&lt;&gt;"Tail",N238="H2 Active / No H1 GMV"))*1+(AND(H238="Broker-Reliant",J238="Tail"))*1+(AND(G238="Low",J238&lt;&gt;"Tail",OR(N238="Growing",N238="Stable")))*1+(AND(G238="Low",J238&lt;&gt;"Tail",N238="H2 Active / No H1 GMV"))*1+(AND(G238="Low",J238&lt;&gt;"Tail",OR(N238="Declining",N238="Lapsed")))*1+(AND(G238="Low",J238="Tail"))*1</f>
        <v>1</v>
      </c>
      <c r="W238" s="2" t="n">
        <f aca="false">INDEX('Commercial View'!$V$2:$V$301,MATCH($A238,'Commercial View'!$A$2:$A$301,0))</f>
        <v>1</v>
      </c>
      <c r="X238" s="10" t="b">
        <f aca="false">O238&lt;=Assumptions!$B$30</f>
        <v>1</v>
      </c>
      <c r="Y238" s="10" t="b">
        <f aca="false">W238&lt;=1</f>
        <v>1</v>
      </c>
      <c r="Z238" s="10" t="b">
        <f aca="false">C238="Duplicate"</f>
        <v>0</v>
      </c>
      <c r="AA238" s="10" t="b">
        <f aca="false">C238=""</f>
        <v>1</v>
      </c>
      <c r="AB238" s="2" t="n">
        <f aca="false">IF(P238+Q238&gt;0,ROUND(P238/(P238+Q238)*100,0),"")</f>
        <v>0</v>
      </c>
      <c r="AC238" s="2" t="n">
        <f aca="false">IF(P238+Q238&gt;0,ROUND(E238-P238/(P238+Q238)*100,0),"")</f>
        <v>0</v>
      </c>
      <c r="AD238" s="10" t="b">
        <f aca="false">IF(AC238="",FALSE(),ABS(AC238)&gt;Assumptions!$B$41)</f>
        <v>0</v>
      </c>
      <c r="AE238" s="2" t="str">
        <f aca="false">IF(X238,"Low confidence (&lt;=2 orders); ","")&amp;IF(Y238,"Single-month history; ","")&amp;IF(Z238,"CRITICAL: Duplicate status; ","")&amp;IF(AA238,"Missing status; ","")&amp;IF(AD238,"Broker % vs counts gap "&amp;TEXT(AC238,"+0;-0")&amp;"pts; ","")</f>
        <v>Low confidence (&lt;=2 orders); Single-month history; Missing status; </v>
      </c>
      <c r="AF238" s="2" t="str">
        <f aca="false">IF(AND(K238=0,L238&gt;0),IF(D238&lt;=Assumptions!$B$47,"New Customer","Returned Customer"),"Existing Customer")</f>
        <v>New Customer</v>
      </c>
      <c r="AG238" s="10" t="b">
        <f aca="false">AND(T238="1. Migration Candidate",J238="Key")</f>
        <v>0</v>
      </c>
      <c r="AH238" s="10" t="b">
        <f aca="false">IF(AND(K238&gt;0,L238&gt;0),OR(ABS(M238-Assumptions!$B$36)&lt;=Assumptions!$B$46,ABS(M238+Assumptions!$B$36)&lt;=Assumptions!$B$46),FALSE())</f>
        <v>0</v>
      </c>
      <c r="AI238" s="9" t="n">
        <f aca="false">INDEX('Commercial View'!$L$2:$L$301,MATCH($A238,'Commercial View'!$A$2:$A$301,0))+INDEX('Commercial View'!$M$2:$M$301,MATCH($A238,'Commercial View'!$A$2:$A$301,0))</f>
        <v>371</v>
      </c>
      <c r="AJ238" s="2" t="str">
        <f aca="false">IF(AND(K238=0,AI238=0),"No activity ex-Feb",IF(AI238=0,"Lapsed",IF(K238=0,"H2 Active / No H1 GMV",IF((AI238/2)/(K238/3)-1&gt;=Assumptions!$B$36,"Growing",IF((AI238/2)/(K238/3)-1&lt;-Assumptions!$B$36,"Declining","Stable")))))</f>
        <v>H2 Active / No H1 GMV</v>
      </c>
      <c r="AK238" s="10" t="b">
        <f aca="false">IF(OR(N238="Growing",N238="Stable"),"Healthy",N238)&lt;&gt;IF(OR(AJ238="Growing",AJ238="Stable"),"Healthy",AJ238)</f>
        <v>0</v>
      </c>
      <c r="AL238" s="2" t="str">
        <f aca="false">IF(N238="Lapsed",IF(OR(O238&lt;=Assumptions!$B$48,W238&lt;=Assumptions!$B$49),"One-Off / Insufficient History — Verify","Established Buyer Lapsed"),"N/A")</f>
        <v>N/A</v>
      </c>
      <c r="AM238" s="2" t="n">
        <f aca="false">INDEX('Scored Accounts'!$M$2:$M$301,MATCH($A238,'Scored Accounts'!$A$2:$A$301,0))</f>
        <v>0</v>
      </c>
      <c r="AN238" s="2" t="n">
        <f aca="false">IF((P238/(P238+Q238)*100)&lt;=Assumptions!$B$13,0,IF((P238/(P238+Q238)*100)&lt;Assumptions!$B$14,25,IF((P238/(P238+Q238)*100)&lt;Assumptions!$B$15,50,IF((P238/(P238+Q238)*100)&lt;Assumptions!$B$16,75,100))))</f>
        <v>0</v>
      </c>
      <c r="AO238" s="21" t="n">
        <f aca="false">IF((P238/(P238+Q238)*100)&lt;=Assumptions!$B$8,0,AN238*Assumptions!$B$4+INDEX('Scored Accounts'!$N$2:$N$301,MATCH($A238,'Scored Accounts'!$A$2:$A$301,0))*Assumptions!$B$5+INDEX('Scored Accounts'!$O$2:$O$301,MATCH($A238,'Scored Accounts'!$A$2:$A$301,0))*Assumptions!$B$6)</f>
        <v>0</v>
      </c>
      <c r="AP238" s="2" t="str">
        <f aca="false">IF(AO238&gt;=Assumptions!$B$9,"High",IF(AO238&gt;=Assumptions!$B$10,"Medium","Low"))</f>
        <v>Low</v>
      </c>
      <c r="AQ238" s="10" t="b">
        <f aca="false">OR((E238&lt;=Assumptions!$B$8)&lt;&gt;((P238/(P238+Q238)*100)&lt;=Assumptions!$B$8),AM238&lt;&gt;AN238,G238&lt;&gt;AP238)</f>
        <v>0</v>
      </c>
      <c r="AR238" s="2" t="str">
        <f aca="false">IF(AP238&lt;&gt;"Low","Broker-Reliant",IF(B238="Account Managed","AM-Owned / Self-Serving","Self-Serve"))</f>
        <v>Self-Serve</v>
      </c>
      <c r="AS238" s="2" t="str">
        <f aca="false">IF(AR238="Broker-Reliant",IF(J238="Tail","5. Cost-to-Serve / Low-Touch",IF(OR(N238="Growing",N238="Stable"),"1. Migration Candidate",IF(N238="Declining","2. Protect / Retain First",IF(N238="Lapsed","3. Win-Back / Verify",IF(N238="H2 Active / No H1 GMV","4. Establish / Re-establish / Observe","UNASSIGNED"))))),IF(AP238="Low",IF(J238="Tail","9. Long-Tail Automated Nurture",IF(OR(N238="Growing",N238="Stable"),"6. Growth Opportunity",IF(N238="H2 Active / No H1 GMV","7. Onboard / Re-engage / Learn",IF(OR(N238="Declining",N238="Lapsed"),"8. Retention / Reactivation","UNASSIGNED")))),"UNASSIGNED"))</f>
        <v>9. Long-Tail Automated Nurture</v>
      </c>
      <c r="AT238" s="10" t="b">
        <f aca="false">AS238&lt;&gt;T238</f>
        <v>0</v>
      </c>
      <c r="AU238" s="2" t="str">
        <f aca="false">IF(NOT(U238),"Not Eligible",IF(OR(AQ238,AH238,AK238,NOT(AND(W238&gt;=Assumptions!$B$83,O238&gt;=Assumptions!$B$84))),"Manual Review","Ready"))</f>
        <v>Not Eligible</v>
      </c>
      <c r="AV238" s="2" t="str">
        <f aca="false">IF(AG238,"Key account - human sign-off required; ","")&amp;IF(AH238,"Borderline momentum; ","")&amp;IF(AK238,"February-sensitive ("&amp;N238&amp;" -&gt; "&amp;AJ238&amp;"); ","")&amp;IF(AL238="One-Off / Insufficient History — Verify","Lapsed on thin history - verify; ","")&amp;IF(AQ238,"Material broker % inconsistency (implied tier "&amp;AP238&amp;"); ","")&amp;IF(AT238,"Implied broker % would move segment to "&amp;AS238&amp;"; ","")</f>
        <v/>
      </c>
      <c r="AW238" s="10" t="b">
        <f aca="false">AND(G238="Low",J238="Tail",I238&gt;=Assumptions!$B$64,O238&gt;=Assumptions!$B$65,OR(N238="Growing",N238="Stable",AND(N238="H2 Active / No H1 GMV",W238&gt;=2)),OR(R238&gt;=Assumptions!$B$66,S238&gt;=Assumptions!$B$67))</f>
        <v>0</v>
      </c>
    </row>
    <row r="239" customFormat="false" ht="15" hidden="false" customHeight="false" outlineLevel="0" collapsed="false">
      <c r="A239" s="2" t="s">
        <v>748</v>
      </c>
      <c r="B239" s="2" t="s">
        <v>1574</v>
      </c>
      <c r="C239" s="2"/>
      <c r="D239" s="2" t="n">
        <v>2</v>
      </c>
      <c r="E239" s="2" t="n">
        <v>0</v>
      </c>
      <c r="F239" s="21" t="n">
        <f aca="false">INDEX('Scored Accounts'!$Q$2:$Q$301,MATCH($A239,'Scored Accounts'!$A$2:$A$301,0))</f>
        <v>0</v>
      </c>
      <c r="G239" s="2" t="str">
        <f aca="false">INDEX('Scored Accounts'!$R$2:$R$301,MATCH($A239,'Scored Accounts'!$A$2:$A$301,0))</f>
        <v>Low</v>
      </c>
      <c r="H239" s="2" t="str">
        <f aca="false">IF(OR(G239="High",G239="Medium"),"Broker-Reliant",IF(AND(G239="Low",B239="Account Managed"),"AM-Owned / Self-Serving",IF(AND(G239="Low",B239="Self Serve"),"Self-Serve","UNASSIGNED")))</f>
        <v>Self-Serve</v>
      </c>
      <c r="I239" s="9" t="n">
        <v>353</v>
      </c>
      <c r="J239" s="2" t="str">
        <f aca="false">IF(I239&gt;=Assumptions!$B$35,"Key",IF(I239&gt;=Assumptions!$B$34,"Core","Tail"))</f>
        <v>Tail</v>
      </c>
      <c r="K239" s="9" t="n">
        <f aca="false">INDEX('Commercial View'!$R$2:$R$301,MATCH($A239,'Commercial View'!$A$2:$A$301,0))</f>
        <v>0</v>
      </c>
      <c r="L239" s="9" t="n">
        <f aca="false">INDEX('Commercial View'!$S$2:$S$301,MATCH($A239,'Commercial View'!$A$2:$A$301,0))</f>
        <v>353</v>
      </c>
      <c r="M239" s="17" t="str">
        <f aca="false">INDEX('Commercial View'!$T$2:$T$301,MATCH($A239,'Commercial View'!$A$2:$A$301,0))</f>
        <v/>
      </c>
      <c r="N239" s="2" t="str">
        <f aca="false">INDEX('Commercial View'!$U$2:$U$301,MATCH($A239,'Commercial View'!$A$2:$A$301,0))</f>
        <v>H2 Active / No H1 GMV</v>
      </c>
      <c r="O239" s="2" t="n">
        <v>1</v>
      </c>
      <c r="P239" s="2" t="n">
        <v>0</v>
      </c>
      <c r="Q239" s="2" t="n">
        <v>1</v>
      </c>
      <c r="R239" s="2" t="n">
        <v>10</v>
      </c>
      <c r="S239" s="2" t="n">
        <v>0</v>
      </c>
      <c r="T239" s="2" t="str">
        <f aca="false">IF(H239="Broker-Reliant",IF(J239="Tail","5. Cost-to-Serve / Low-Touch",IF(OR(N239="Growing",N239="Stable"),"1. Migration Candidate",IF(N239="Declining","2. Protect / Retain First",IF(N239="Lapsed","3. Win-Back / Verify",IF(N239="H2 Active / No H1 GMV","4. Establish / Re-establish / Observe","UNASSIGNED"))))),IF(G239="Low",IF(J239="Tail","9. Long-Tail Automated Nurture",IF(OR(N239="Growing",N239="Stable"),"6. Growth Opportunity",IF(N239="H2 Active / No H1 GMV","7. Onboard / Re-engage / Learn",IF(OR(N239="Declining",N239="Lapsed"),"8. Retention / Reactivation","UNASSIGNED")))),"UNASSIGNED"))</f>
        <v>9. Long-Tail Automated Nurture</v>
      </c>
      <c r="U239" s="10" t="b">
        <f aca="false">AND(T239="1. Migration Candidate",J239="Core",O239&gt;=Assumptions!$B$39,Q239&gt;=Assumptions!$B$40,NOT(Z239))</f>
        <v>0</v>
      </c>
      <c r="V239" s="2" t="n">
        <f aca="false">(AND(H239="Broker-Reliant",J239&lt;&gt;"Tail",OR(N239="Growing",N239="Stable")))*1+(AND(H239="Broker-Reliant",J239&lt;&gt;"Tail",N239="Declining"))*1+(AND(H239="Broker-Reliant",J239&lt;&gt;"Tail",N239="Lapsed"))*1+(AND(H239="Broker-Reliant",J239&lt;&gt;"Tail",N239="H2 Active / No H1 GMV"))*1+(AND(H239="Broker-Reliant",J239="Tail"))*1+(AND(G239="Low",J239&lt;&gt;"Tail",OR(N239="Growing",N239="Stable")))*1+(AND(G239="Low",J239&lt;&gt;"Tail",N239="H2 Active / No H1 GMV"))*1+(AND(G239="Low",J239&lt;&gt;"Tail",OR(N239="Declining",N239="Lapsed")))*1+(AND(G239="Low",J239="Tail"))*1</f>
        <v>1</v>
      </c>
      <c r="W239" s="2" t="n">
        <f aca="false">INDEX('Commercial View'!$V$2:$V$301,MATCH($A239,'Commercial View'!$A$2:$A$301,0))</f>
        <v>1</v>
      </c>
      <c r="X239" s="10" t="b">
        <f aca="false">O239&lt;=Assumptions!$B$30</f>
        <v>1</v>
      </c>
      <c r="Y239" s="10" t="b">
        <f aca="false">W239&lt;=1</f>
        <v>1</v>
      </c>
      <c r="Z239" s="10" t="b">
        <f aca="false">C239="Duplicate"</f>
        <v>0</v>
      </c>
      <c r="AA239" s="10" t="b">
        <f aca="false">C239=""</f>
        <v>1</v>
      </c>
      <c r="AB239" s="2" t="n">
        <f aca="false">IF(P239+Q239&gt;0,ROUND(P239/(P239+Q239)*100,0),"")</f>
        <v>0</v>
      </c>
      <c r="AC239" s="2" t="n">
        <f aca="false">IF(P239+Q239&gt;0,ROUND(E239-P239/(P239+Q239)*100,0),"")</f>
        <v>0</v>
      </c>
      <c r="AD239" s="10" t="b">
        <f aca="false">IF(AC239="",FALSE(),ABS(AC239)&gt;Assumptions!$B$41)</f>
        <v>0</v>
      </c>
      <c r="AE239" s="2" t="str">
        <f aca="false">IF(X239,"Low confidence (&lt;=2 orders); ","")&amp;IF(Y239,"Single-month history; ","")&amp;IF(Z239,"CRITICAL: Duplicate status; ","")&amp;IF(AA239,"Missing status; ","")&amp;IF(AD239,"Broker % vs counts gap "&amp;TEXT(AC239,"+0;-0")&amp;"pts; ","")</f>
        <v>Low confidence (&lt;=2 orders); Single-month history; Missing status; </v>
      </c>
      <c r="AF239" s="2" t="str">
        <f aca="false">IF(AND(K239=0,L239&gt;0),IF(D239&lt;=Assumptions!$B$47,"New Customer","Returned Customer"),"Existing Customer")</f>
        <v>New Customer</v>
      </c>
      <c r="AG239" s="10" t="b">
        <f aca="false">AND(T239="1. Migration Candidate",J239="Key")</f>
        <v>0</v>
      </c>
      <c r="AH239" s="10" t="b">
        <f aca="false">IF(AND(K239&gt;0,L239&gt;0),OR(ABS(M239-Assumptions!$B$36)&lt;=Assumptions!$B$46,ABS(M239+Assumptions!$B$36)&lt;=Assumptions!$B$46),FALSE())</f>
        <v>0</v>
      </c>
      <c r="AI239" s="9" t="n">
        <f aca="false">INDEX('Commercial View'!$L$2:$L$301,MATCH($A239,'Commercial View'!$A$2:$A$301,0))+INDEX('Commercial View'!$M$2:$M$301,MATCH($A239,'Commercial View'!$A$2:$A$301,0))</f>
        <v>353</v>
      </c>
      <c r="AJ239" s="2" t="str">
        <f aca="false">IF(AND(K239=0,AI239=0),"No activity ex-Feb",IF(AI239=0,"Lapsed",IF(K239=0,"H2 Active / No H1 GMV",IF((AI239/2)/(K239/3)-1&gt;=Assumptions!$B$36,"Growing",IF((AI239/2)/(K239/3)-1&lt;-Assumptions!$B$36,"Declining","Stable")))))</f>
        <v>H2 Active / No H1 GMV</v>
      </c>
      <c r="AK239" s="10" t="b">
        <f aca="false">IF(OR(N239="Growing",N239="Stable"),"Healthy",N239)&lt;&gt;IF(OR(AJ239="Growing",AJ239="Stable"),"Healthy",AJ239)</f>
        <v>0</v>
      </c>
      <c r="AL239" s="2" t="str">
        <f aca="false">IF(N239="Lapsed",IF(OR(O239&lt;=Assumptions!$B$48,W239&lt;=Assumptions!$B$49),"One-Off / Insufficient History — Verify","Established Buyer Lapsed"),"N/A")</f>
        <v>N/A</v>
      </c>
      <c r="AM239" s="2" t="n">
        <f aca="false">INDEX('Scored Accounts'!$M$2:$M$301,MATCH($A239,'Scored Accounts'!$A$2:$A$301,0))</f>
        <v>0</v>
      </c>
      <c r="AN239" s="2" t="n">
        <f aca="false">IF((P239/(P239+Q239)*100)&lt;=Assumptions!$B$13,0,IF((P239/(P239+Q239)*100)&lt;Assumptions!$B$14,25,IF((P239/(P239+Q239)*100)&lt;Assumptions!$B$15,50,IF((P239/(P239+Q239)*100)&lt;Assumptions!$B$16,75,100))))</f>
        <v>0</v>
      </c>
      <c r="AO239" s="21" t="n">
        <f aca="false">IF((P239/(P239+Q239)*100)&lt;=Assumptions!$B$8,0,AN239*Assumptions!$B$4+INDEX('Scored Accounts'!$N$2:$N$301,MATCH($A239,'Scored Accounts'!$A$2:$A$301,0))*Assumptions!$B$5+INDEX('Scored Accounts'!$O$2:$O$301,MATCH($A239,'Scored Accounts'!$A$2:$A$301,0))*Assumptions!$B$6)</f>
        <v>0</v>
      </c>
      <c r="AP239" s="2" t="str">
        <f aca="false">IF(AO239&gt;=Assumptions!$B$9,"High",IF(AO239&gt;=Assumptions!$B$10,"Medium","Low"))</f>
        <v>Low</v>
      </c>
      <c r="AQ239" s="10" t="b">
        <f aca="false">OR((E239&lt;=Assumptions!$B$8)&lt;&gt;((P239/(P239+Q239)*100)&lt;=Assumptions!$B$8),AM239&lt;&gt;AN239,G239&lt;&gt;AP239)</f>
        <v>0</v>
      </c>
      <c r="AR239" s="2" t="str">
        <f aca="false">IF(AP239&lt;&gt;"Low","Broker-Reliant",IF(B239="Account Managed","AM-Owned / Self-Serving","Self-Serve"))</f>
        <v>Self-Serve</v>
      </c>
      <c r="AS239" s="2" t="str">
        <f aca="false">IF(AR239="Broker-Reliant",IF(J239="Tail","5. Cost-to-Serve / Low-Touch",IF(OR(N239="Growing",N239="Stable"),"1. Migration Candidate",IF(N239="Declining","2. Protect / Retain First",IF(N239="Lapsed","3. Win-Back / Verify",IF(N239="H2 Active / No H1 GMV","4. Establish / Re-establish / Observe","UNASSIGNED"))))),IF(AP239="Low",IF(J239="Tail","9. Long-Tail Automated Nurture",IF(OR(N239="Growing",N239="Stable"),"6. Growth Opportunity",IF(N239="H2 Active / No H1 GMV","7. Onboard / Re-engage / Learn",IF(OR(N239="Declining",N239="Lapsed"),"8. Retention / Reactivation","UNASSIGNED")))),"UNASSIGNED"))</f>
        <v>9. Long-Tail Automated Nurture</v>
      </c>
      <c r="AT239" s="10" t="b">
        <f aca="false">AS239&lt;&gt;T239</f>
        <v>0</v>
      </c>
      <c r="AU239" s="2" t="str">
        <f aca="false">IF(NOT(U239),"Not Eligible",IF(OR(AQ239,AH239,AK239,NOT(AND(W239&gt;=Assumptions!$B$83,O239&gt;=Assumptions!$B$84))),"Manual Review","Ready"))</f>
        <v>Not Eligible</v>
      </c>
      <c r="AV239" s="2" t="str">
        <f aca="false">IF(AG239,"Key account - human sign-off required; ","")&amp;IF(AH239,"Borderline momentum; ","")&amp;IF(AK239,"February-sensitive ("&amp;N239&amp;" -&gt; "&amp;AJ239&amp;"); ","")&amp;IF(AL239="One-Off / Insufficient History — Verify","Lapsed on thin history - verify; ","")&amp;IF(AQ239,"Material broker % inconsistency (implied tier "&amp;AP239&amp;"); ","")&amp;IF(AT239,"Implied broker % would move segment to "&amp;AS239&amp;"; ","")</f>
        <v/>
      </c>
      <c r="AW239" s="10" t="b">
        <f aca="false">AND(G239="Low",J239="Tail",I239&gt;=Assumptions!$B$64,O239&gt;=Assumptions!$B$65,OR(N239="Growing",N239="Stable",AND(N239="H2 Active / No H1 GMV",W239&gt;=2)),OR(R239&gt;=Assumptions!$B$66,S239&gt;=Assumptions!$B$67))</f>
        <v>0</v>
      </c>
    </row>
    <row r="240" customFormat="false" ht="15" hidden="false" customHeight="false" outlineLevel="0" collapsed="false">
      <c r="A240" s="2" t="s">
        <v>752</v>
      </c>
      <c r="B240" s="2" t="s">
        <v>1574</v>
      </c>
      <c r="C240" s="2"/>
      <c r="D240" s="2" t="n">
        <v>4</v>
      </c>
      <c r="E240" s="2" t="n">
        <v>0</v>
      </c>
      <c r="F240" s="21" t="n">
        <f aca="false">INDEX('Scored Accounts'!$Q$2:$Q$301,MATCH($A240,'Scored Accounts'!$A$2:$A$301,0))</f>
        <v>0</v>
      </c>
      <c r="G240" s="2" t="str">
        <f aca="false">INDEX('Scored Accounts'!$R$2:$R$301,MATCH($A240,'Scored Accounts'!$A$2:$A$301,0))</f>
        <v>Low</v>
      </c>
      <c r="H240" s="2" t="str">
        <f aca="false">IF(OR(G240="High",G240="Medium"),"Broker-Reliant",IF(AND(G240="Low",B240="Account Managed"),"AM-Owned / Self-Serving",IF(AND(G240="Low",B240="Self Serve"),"Self-Serve","UNASSIGNED")))</f>
        <v>Self-Serve</v>
      </c>
      <c r="I240" s="9" t="n">
        <v>345</v>
      </c>
      <c r="J240" s="2" t="str">
        <f aca="false">IF(I240&gt;=Assumptions!$B$35,"Key",IF(I240&gt;=Assumptions!$B$34,"Core","Tail"))</f>
        <v>Tail</v>
      </c>
      <c r="K240" s="9" t="n">
        <f aca="false">INDEX('Commercial View'!$R$2:$R$301,MATCH($A240,'Commercial View'!$A$2:$A$301,0))</f>
        <v>345</v>
      </c>
      <c r="L240" s="9" t="n">
        <f aca="false">INDEX('Commercial View'!$S$2:$S$301,MATCH($A240,'Commercial View'!$A$2:$A$301,0))</f>
        <v>0</v>
      </c>
      <c r="M240" s="17" t="n">
        <f aca="false">INDEX('Commercial View'!$T$2:$T$301,MATCH($A240,'Commercial View'!$A$2:$A$301,0))</f>
        <v>-1</v>
      </c>
      <c r="N240" s="2" t="str">
        <f aca="false">INDEX('Commercial View'!$U$2:$U$301,MATCH($A240,'Commercial View'!$A$2:$A$301,0))</f>
        <v>Lapsed</v>
      </c>
      <c r="O240" s="2" t="n">
        <v>1</v>
      </c>
      <c r="P240" s="2" t="n">
        <v>0</v>
      </c>
      <c r="Q240" s="2" t="n">
        <v>1</v>
      </c>
      <c r="R240" s="2" t="n">
        <v>1</v>
      </c>
      <c r="S240" s="2" t="n">
        <v>2</v>
      </c>
      <c r="T240" s="2" t="str">
        <f aca="false">IF(H240="Broker-Reliant",IF(J240="Tail","5. Cost-to-Serve / Low-Touch",IF(OR(N240="Growing",N240="Stable"),"1. Migration Candidate",IF(N240="Declining","2. Protect / Retain First",IF(N240="Lapsed","3. Win-Back / Verify",IF(N240="H2 Active / No H1 GMV","4. Establish / Re-establish / Observe","UNASSIGNED"))))),IF(G240="Low",IF(J240="Tail","9. Long-Tail Automated Nurture",IF(OR(N240="Growing",N240="Stable"),"6. Growth Opportunity",IF(N240="H2 Active / No H1 GMV","7. Onboard / Re-engage / Learn",IF(OR(N240="Declining",N240="Lapsed"),"8. Retention / Reactivation","UNASSIGNED")))),"UNASSIGNED"))</f>
        <v>9. Long-Tail Automated Nurture</v>
      </c>
      <c r="U240" s="10" t="b">
        <f aca="false">AND(T240="1. Migration Candidate",J240="Core",O240&gt;=Assumptions!$B$39,Q240&gt;=Assumptions!$B$40,NOT(Z240))</f>
        <v>0</v>
      </c>
      <c r="V240" s="2" t="n">
        <f aca="false">(AND(H240="Broker-Reliant",J240&lt;&gt;"Tail",OR(N240="Growing",N240="Stable")))*1+(AND(H240="Broker-Reliant",J240&lt;&gt;"Tail",N240="Declining"))*1+(AND(H240="Broker-Reliant",J240&lt;&gt;"Tail",N240="Lapsed"))*1+(AND(H240="Broker-Reliant",J240&lt;&gt;"Tail",N240="H2 Active / No H1 GMV"))*1+(AND(H240="Broker-Reliant",J240="Tail"))*1+(AND(G240="Low",J240&lt;&gt;"Tail",OR(N240="Growing",N240="Stable")))*1+(AND(G240="Low",J240&lt;&gt;"Tail",N240="H2 Active / No H1 GMV"))*1+(AND(G240="Low",J240&lt;&gt;"Tail",OR(N240="Declining",N240="Lapsed")))*1+(AND(G240="Low",J240="Tail"))*1</f>
        <v>1</v>
      </c>
      <c r="W240" s="2" t="n">
        <f aca="false">INDEX('Commercial View'!$V$2:$V$301,MATCH($A240,'Commercial View'!$A$2:$A$301,0))</f>
        <v>1</v>
      </c>
      <c r="X240" s="10" t="b">
        <f aca="false">O240&lt;=Assumptions!$B$30</f>
        <v>1</v>
      </c>
      <c r="Y240" s="10" t="b">
        <f aca="false">W240&lt;=1</f>
        <v>1</v>
      </c>
      <c r="Z240" s="10" t="b">
        <f aca="false">C240="Duplicate"</f>
        <v>0</v>
      </c>
      <c r="AA240" s="10" t="b">
        <f aca="false">C240=""</f>
        <v>1</v>
      </c>
      <c r="AB240" s="2" t="n">
        <f aca="false">IF(P240+Q240&gt;0,ROUND(P240/(P240+Q240)*100,0),"")</f>
        <v>0</v>
      </c>
      <c r="AC240" s="2" t="n">
        <f aca="false">IF(P240+Q240&gt;0,ROUND(E240-P240/(P240+Q240)*100,0),"")</f>
        <v>0</v>
      </c>
      <c r="AD240" s="10" t="b">
        <f aca="false">IF(AC240="",FALSE(),ABS(AC240)&gt;Assumptions!$B$41)</f>
        <v>0</v>
      </c>
      <c r="AE240" s="2" t="str">
        <f aca="false">IF(X240,"Low confidence (&lt;=2 orders); ","")&amp;IF(Y240,"Single-month history; ","")&amp;IF(Z240,"CRITICAL: Duplicate status; ","")&amp;IF(AA240,"Missing status; ","")&amp;IF(AD240,"Broker % vs counts gap "&amp;TEXT(AC240,"+0;-0")&amp;"pts; ","")</f>
        <v>Low confidence (&lt;=2 orders); Single-month history; Missing status; </v>
      </c>
      <c r="AF240" s="2" t="str">
        <f aca="false">IF(AND(K240=0,L240&gt;0),IF(D240&lt;=Assumptions!$B$47,"New Customer","Returned Customer"),"Existing Customer")</f>
        <v>Existing Customer</v>
      </c>
      <c r="AG240" s="10" t="b">
        <f aca="false">AND(T240="1. Migration Candidate",J240="Key")</f>
        <v>0</v>
      </c>
      <c r="AH240" s="10" t="b">
        <f aca="false">IF(AND(K240&gt;0,L240&gt;0),OR(ABS(M240-Assumptions!$B$36)&lt;=Assumptions!$B$46,ABS(M240+Assumptions!$B$36)&lt;=Assumptions!$B$46),FALSE())</f>
        <v>0</v>
      </c>
      <c r="AI240" s="9" t="n">
        <f aca="false">INDEX('Commercial View'!$L$2:$L$301,MATCH($A240,'Commercial View'!$A$2:$A$301,0))+INDEX('Commercial View'!$M$2:$M$301,MATCH($A240,'Commercial View'!$A$2:$A$301,0))</f>
        <v>0</v>
      </c>
      <c r="AJ240" s="2" t="str">
        <f aca="false">IF(AND(K240=0,AI240=0),"No activity ex-Feb",IF(AI240=0,"Lapsed",IF(K240=0,"H2 Active / No H1 GMV",IF((AI240/2)/(K240/3)-1&gt;=Assumptions!$B$36,"Growing",IF((AI240/2)/(K240/3)-1&lt;-Assumptions!$B$36,"Declining","Stable")))))</f>
        <v>Lapsed</v>
      </c>
      <c r="AK240" s="10" t="b">
        <f aca="false">IF(OR(N240="Growing",N240="Stable"),"Healthy",N240)&lt;&gt;IF(OR(AJ240="Growing",AJ240="Stable"),"Healthy",AJ240)</f>
        <v>0</v>
      </c>
      <c r="AL240" s="2" t="str">
        <f aca="false">IF(N240="Lapsed",IF(OR(O240&lt;=Assumptions!$B$48,W240&lt;=Assumptions!$B$49),"One-Off / Insufficient History — Verify","Established Buyer Lapsed"),"N/A")</f>
        <v>One-Off / Insufficient History — Verify</v>
      </c>
      <c r="AM240" s="2" t="n">
        <f aca="false">INDEX('Scored Accounts'!$M$2:$M$301,MATCH($A240,'Scored Accounts'!$A$2:$A$301,0))</f>
        <v>0</v>
      </c>
      <c r="AN240" s="2" t="n">
        <f aca="false">IF((P240/(P240+Q240)*100)&lt;=Assumptions!$B$13,0,IF((P240/(P240+Q240)*100)&lt;Assumptions!$B$14,25,IF((P240/(P240+Q240)*100)&lt;Assumptions!$B$15,50,IF((P240/(P240+Q240)*100)&lt;Assumptions!$B$16,75,100))))</f>
        <v>0</v>
      </c>
      <c r="AO240" s="21" t="n">
        <f aca="false">IF((P240/(P240+Q240)*100)&lt;=Assumptions!$B$8,0,AN240*Assumptions!$B$4+INDEX('Scored Accounts'!$N$2:$N$301,MATCH($A240,'Scored Accounts'!$A$2:$A$301,0))*Assumptions!$B$5+INDEX('Scored Accounts'!$O$2:$O$301,MATCH($A240,'Scored Accounts'!$A$2:$A$301,0))*Assumptions!$B$6)</f>
        <v>0</v>
      </c>
      <c r="AP240" s="2" t="str">
        <f aca="false">IF(AO240&gt;=Assumptions!$B$9,"High",IF(AO240&gt;=Assumptions!$B$10,"Medium","Low"))</f>
        <v>Low</v>
      </c>
      <c r="AQ240" s="10" t="b">
        <f aca="false">OR((E240&lt;=Assumptions!$B$8)&lt;&gt;((P240/(P240+Q240)*100)&lt;=Assumptions!$B$8),AM240&lt;&gt;AN240,G240&lt;&gt;AP240)</f>
        <v>0</v>
      </c>
      <c r="AR240" s="2" t="str">
        <f aca="false">IF(AP240&lt;&gt;"Low","Broker-Reliant",IF(B240="Account Managed","AM-Owned / Self-Serving","Self-Serve"))</f>
        <v>Self-Serve</v>
      </c>
      <c r="AS240" s="2" t="str">
        <f aca="false">IF(AR240="Broker-Reliant",IF(J240="Tail","5. Cost-to-Serve / Low-Touch",IF(OR(N240="Growing",N240="Stable"),"1. Migration Candidate",IF(N240="Declining","2. Protect / Retain First",IF(N240="Lapsed","3. Win-Back / Verify",IF(N240="H2 Active / No H1 GMV","4. Establish / Re-establish / Observe","UNASSIGNED"))))),IF(AP240="Low",IF(J240="Tail","9. Long-Tail Automated Nurture",IF(OR(N240="Growing",N240="Stable"),"6. Growth Opportunity",IF(N240="H2 Active / No H1 GMV","7. Onboard / Re-engage / Learn",IF(OR(N240="Declining",N240="Lapsed"),"8. Retention / Reactivation","UNASSIGNED")))),"UNASSIGNED"))</f>
        <v>9. Long-Tail Automated Nurture</v>
      </c>
      <c r="AT240" s="10" t="b">
        <f aca="false">AS240&lt;&gt;T240</f>
        <v>0</v>
      </c>
      <c r="AU240" s="2" t="str">
        <f aca="false">IF(NOT(U240),"Not Eligible",IF(OR(AQ240,AH240,AK240,NOT(AND(W240&gt;=Assumptions!$B$83,O240&gt;=Assumptions!$B$84))),"Manual Review","Ready"))</f>
        <v>Not Eligible</v>
      </c>
      <c r="AV240" s="2" t="str">
        <f aca="false">IF(AG240,"Key account - human sign-off required; ","")&amp;IF(AH240,"Borderline momentum; ","")&amp;IF(AK240,"February-sensitive ("&amp;N240&amp;" -&gt; "&amp;AJ240&amp;"); ","")&amp;IF(AL240="One-Off / Insufficient History — Verify","Lapsed on thin history - verify; ","")&amp;IF(AQ240,"Material broker % inconsistency (implied tier "&amp;AP240&amp;"); ","")&amp;IF(AT240,"Implied broker % would move segment to "&amp;AS240&amp;"; ","")</f>
        <v>Lapsed on thin history - verify; </v>
      </c>
      <c r="AW240" s="10" t="b">
        <f aca="false">AND(G240="Low",J240="Tail",I240&gt;=Assumptions!$B$64,O240&gt;=Assumptions!$B$65,OR(N240="Growing",N240="Stable",AND(N240="H2 Active / No H1 GMV",W240&gt;=2)),OR(R240&gt;=Assumptions!$B$66,S240&gt;=Assumptions!$B$67))</f>
        <v>0</v>
      </c>
    </row>
    <row r="241" customFormat="false" ht="15" hidden="false" customHeight="false" outlineLevel="0" collapsed="false">
      <c r="A241" s="2" t="s">
        <v>756</v>
      </c>
      <c r="B241" s="2" t="s">
        <v>1574</v>
      </c>
      <c r="C241" s="2"/>
      <c r="D241" s="2" t="n">
        <v>2</v>
      </c>
      <c r="E241" s="2" t="n">
        <v>0</v>
      </c>
      <c r="F241" s="21" t="n">
        <f aca="false">INDEX('Scored Accounts'!$Q$2:$Q$301,MATCH($A241,'Scored Accounts'!$A$2:$A$301,0))</f>
        <v>0</v>
      </c>
      <c r="G241" s="2" t="str">
        <f aca="false">INDEX('Scored Accounts'!$R$2:$R$301,MATCH($A241,'Scored Accounts'!$A$2:$A$301,0))</f>
        <v>Low</v>
      </c>
      <c r="H241" s="2" t="str">
        <f aca="false">IF(OR(G241="High",G241="Medium"),"Broker-Reliant",IF(AND(G241="Low",B241="Account Managed"),"AM-Owned / Self-Serving",IF(AND(G241="Low",B241="Self Serve"),"Self-Serve","UNASSIGNED")))</f>
        <v>Self-Serve</v>
      </c>
      <c r="I241" s="9" t="n">
        <v>337</v>
      </c>
      <c r="J241" s="2" t="str">
        <f aca="false">IF(I241&gt;=Assumptions!$B$35,"Key",IF(I241&gt;=Assumptions!$B$34,"Core","Tail"))</f>
        <v>Tail</v>
      </c>
      <c r="K241" s="9" t="n">
        <f aca="false">INDEX('Commercial View'!$R$2:$R$301,MATCH($A241,'Commercial View'!$A$2:$A$301,0))</f>
        <v>0</v>
      </c>
      <c r="L241" s="9" t="n">
        <f aca="false">INDEX('Commercial View'!$S$2:$S$301,MATCH($A241,'Commercial View'!$A$2:$A$301,0))</f>
        <v>337</v>
      </c>
      <c r="M241" s="17" t="str">
        <f aca="false">INDEX('Commercial View'!$T$2:$T$301,MATCH($A241,'Commercial View'!$A$2:$A$301,0))</f>
        <v/>
      </c>
      <c r="N241" s="2" t="str">
        <f aca="false">INDEX('Commercial View'!$U$2:$U$301,MATCH($A241,'Commercial View'!$A$2:$A$301,0))</f>
        <v>H2 Active / No H1 GMV</v>
      </c>
      <c r="O241" s="2" t="n">
        <v>1</v>
      </c>
      <c r="P241" s="2" t="n">
        <v>0</v>
      </c>
      <c r="Q241" s="2" t="n">
        <v>1</v>
      </c>
      <c r="R241" s="2" t="n">
        <v>8</v>
      </c>
      <c r="S241" s="2" t="n">
        <v>0</v>
      </c>
      <c r="T241" s="2" t="str">
        <f aca="false">IF(H241="Broker-Reliant",IF(J241="Tail","5. Cost-to-Serve / Low-Touch",IF(OR(N241="Growing",N241="Stable"),"1. Migration Candidate",IF(N241="Declining","2. Protect / Retain First",IF(N241="Lapsed","3. Win-Back / Verify",IF(N241="H2 Active / No H1 GMV","4. Establish / Re-establish / Observe","UNASSIGNED"))))),IF(G241="Low",IF(J241="Tail","9. Long-Tail Automated Nurture",IF(OR(N241="Growing",N241="Stable"),"6. Growth Opportunity",IF(N241="H2 Active / No H1 GMV","7. Onboard / Re-engage / Learn",IF(OR(N241="Declining",N241="Lapsed"),"8. Retention / Reactivation","UNASSIGNED")))),"UNASSIGNED"))</f>
        <v>9. Long-Tail Automated Nurture</v>
      </c>
      <c r="U241" s="10" t="b">
        <f aca="false">AND(T241="1. Migration Candidate",J241="Core",O241&gt;=Assumptions!$B$39,Q241&gt;=Assumptions!$B$40,NOT(Z241))</f>
        <v>0</v>
      </c>
      <c r="V241" s="2" t="n">
        <f aca="false">(AND(H241="Broker-Reliant",J241&lt;&gt;"Tail",OR(N241="Growing",N241="Stable")))*1+(AND(H241="Broker-Reliant",J241&lt;&gt;"Tail",N241="Declining"))*1+(AND(H241="Broker-Reliant",J241&lt;&gt;"Tail",N241="Lapsed"))*1+(AND(H241="Broker-Reliant",J241&lt;&gt;"Tail",N241="H2 Active / No H1 GMV"))*1+(AND(H241="Broker-Reliant",J241="Tail"))*1+(AND(G241="Low",J241&lt;&gt;"Tail",OR(N241="Growing",N241="Stable")))*1+(AND(G241="Low",J241&lt;&gt;"Tail",N241="H2 Active / No H1 GMV"))*1+(AND(G241="Low",J241&lt;&gt;"Tail",OR(N241="Declining",N241="Lapsed")))*1+(AND(G241="Low",J241="Tail"))*1</f>
        <v>1</v>
      </c>
      <c r="W241" s="2" t="n">
        <f aca="false">INDEX('Commercial View'!$V$2:$V$301,MATCH($A241,'Commercial View'!$A$2:$A$301,0))</f>
        <v>1</v>
      </c>
      <c r="X241" s="10" t="b">
        <f aca="false">O241&lt;=Assumptions!$B$30</f>
        <v>1</v>
      </c>
      <c r="Y241" s="10" t="b">
        <f aca="false">W241&lt;=1</f>
        <v>1</v>
      </c>
      <c r="Z241" s="10" t="b">
        <f aca="false">C241="Duplicate"</f>
        <v>0</v>
      </c>
      <c r="AA241" s="10" t="b">
        <f aca="false">C241=""</f>
        <v>1</v>
      </c>
      <c r="AB241" s="2" t="n">
        <f aca="false">IF(P241+Q241&gt;0,ROUND(P241/(P241+Q241)*100,0),"")</f>
        <v>0</v>
      </c>
      <c r="AC241" s="2" t="n">
        <f aca="false">IF(P241+Q241&gt;0,ROUND(E241-P241/(P241+Q241)*100,0),"")</f>
        <v>0</v>
      </c>
      <c r="AD241" s="10" t="b">
        <f aca="false">IF(AC241="",FALSE(),ABS(AC241)&gt;Assumptions!$B$41)</f>
        <v>0</v>
      </c>
      <c r="AE241" s="2" t="str">
        <f aca="false">IF(X241,"Low confidence (&lt;=2 orders); ","")&amp;IF(Y241,"Single-month history; ","")&amp;IF(Z241,"CRITICAL: Duplicate status; ","")&amp;IF(AA241,"Missing status; ","")&amp;IF(AD241,"Broker % vs counts gap "&amp;TEXT(AC241,"+0;-0")&amp;"pts; ","")</f>
        <v>Low confidence (&lt;=2 orders); Single-month history; Missing status; </v>
      </c>
      <c r="AF241" s="2" t="str">
        <f aca="false">IF(AND(K241=0,L241&gt;0),IF(D241&lt;=Assumptions!$B$47,"New Customer","Returned Customer"),"Existing Customer")</f>
        <v>New Customer</v>
      </c>
      <c r="AG241" s="10" t="b">
        <f aca="false">AND(T241="1. Migration Candidate",J241="Key")</f>
        <v>0</v>
      </c>
      <c r="AH241" s="10" t="b">
        <f aca="false">IF(AND(K241&gt;0,L241&gt;0),OR(ABS(M241-Assumptions!$B$36)&lt;=Assumptions!$B$46,ABS(M241+Assumptions!$B$36)&lt;=Assumptions!$B$46),FALSE())</f>
        <v>0</v>
      </c>
      <c r="AI241" s="9" t="n">
        <f aca="false">INDEX('Commercial View'!$L$2:$L$301,MATCH($A241,'Commercial View'!$A$2:$A$301,0))+INDEX('Commercial View'!$M$2:$M$301,MATCH($A241,'Commercial View'!$A$2:$A$301,0))</f>
        <v>337</v>
      </c>
      <c r="AJ241" s="2" t="str">
        <f aca="false">IF(AND(K241=0,AI241=0),"No activity ex-Feb",IF(AI241=0,"Lapsed",IF(K241=0,"H2 Active / No H1 GMV",IF((AI241/2)/(K241/3)-1&gt;=Assumptions!$B$36,"Growing",IF((AI241/2)/(K241/3)-1&lt;-Assumptions!$B$36,"Declining","Stable")))))</f>
        <v>H2 Active / No H1 GMV</v>
      </c>
      <c r="AK241" s="10" t="b">
        <f aca="false">IF(OR(N241="Growing",N241="Stable"),"Healthy",N241)&lt;&gt;IF(OR(AJ241="Growing",AJ241="Stable"),"Healthy",AJ241)</f>
        <v>0</v>
      </c>
      <c r="AL241" s="2" t="str">
        <f aca="false">IF(N241="Lapsed",IF(OR(O241&lt;=Assumptions!$B$48,W241&lt;=Assumptions!$B$49),"One-Off / Insufficient History — Verify","Established Buyer Lapsed"),"N/A")</f>
        <v>N/A</v>
      </c>
      <c r="AM241" s="2" t="n">
        <f aca="false">INDEX('Scored Accounts'!$M$2:$M$301,MATCH($A241,'Scored Accounts'!$A$2:$A$301,0))</f>
        <v>0</v>
      </c>
      <c r="AN241" s="2" t="n">
        <f aca="false">IF((P241/(P241+Q241)*100)&lt;=Assumptions!$B$13,0,IF((P241/(P241+Q241)*100)&lt;Assumptions!$B$14,25,IF((P241/(P241+Q241)*100)&lt;Assumptions!$B$15,50,IF((P241/(P241+Q241)*100)&lt;Assumptions!$B$16,75,100))))</f>
        <v>0</v>
      </c>
      <c r="AO241" s="21" t="n">
        <f aca="false">IF((P241/(P241+Q241)*100)&lt;=Assumptions!$B$8,0,AN241*Assumptions!$B$4+INDEX('Scored Accounts'!$N$2:$N$301,MATCH($A241,'Scored Accounts'!$A$2:$A$301,0))*Assumptions!$B$5+INDEX('Scored Accounts'!$O$2:$O$301,MATCH($A241,'Scored Accounts'!$A$2:$A$301,0))*Assumptions!$B$6)</f>
        <v>0</v>
      </c>
      <c r="AP241" s="2" t="str">
        <f aca="false">IF(AO241&gt;=Assumptions!$B$9,"High",IF(AO241&gt;=Assumptions!$B$10,"Medium","Low"))</f>
        <v>Low</v>
      </c>
      <c r="AQ241" s="10" t="b">
        <f aca="false">OR((E241&lt;=Assumptions!$B$8)&lt;&gt;((P241/(P241+Q241)*100)&lt;=Assumptions!$B$8),AM241&lt;&gt;AN241,G241&lt;&gt;AP241)</f>
        <v>0</v>
      </c>
      <c r="AR241" s="2" t="str">
        <f aca="false">IF(AP241&lt;&gt;"Low","Broker-Reliant",IF(B241="Account Managed","AM-Owned / Self-Serving","Self-Serve"))</f>
        <v>Self-Serve</v>
      </c>
      <c r="AS241" s="2" t="str">
        <f aca="false">IF(AR241="Broker-Reliant",IF(J241="Tail","5. Cost-to-Serve / Low-Touch",IF(OR(N241="Growing",N241="Stable"),"1. Migration Candidate",IF(N241="Declining","2. Protect / Retain First",IF(N241="Lapsed","3. Win-Back / Verify",IF(N241="H2 Active / No H1 GMV","4. Establish / Re-establish / Observe","UNASSIGNED"))))),IF(AP241="Low",IF(J241="Tail","9. Long-Tail Automated Nurture",IF(OR(N241="Growing",N241="Stable"),"6. Growth Opportunity",IF(N241="H2 Active / No H1 GMV","7. Onboard / Re-engage / Learn",IF(OR(N241="Declining",N241="Lapsed"),"8. Retention / Reactivation","UNASSIGNED")))),"UNASSIGNED"))</f>
        <v>9. Long-Tail Automated Nurture</v>
      </c>
      <c r="AT241" s="10" t="b">
        <f aca="false">AS241&lt;&gt;T241</f>
        <v>0</v>
      </c>
      <c r="AU241" s="2" t="str">
        <f aca="false">IF(NOT(U241),"Not Eligible",IF(OR(AQ241,AH241,AK241,NOT(AND(W241&gt;=Assumptions!$B$83,O241&gt;=Assumptions!$B$84))),"Manual Review","Ready"))</f>
        <v>Not Eligible</v>
      </c>
      <c r="AV241" s="2" t="str">
        <f aca="false">IF(AG241,"Key account - human sign-off required; ","")&amp;IF(AH241,"Borderline momentum; ","")&amp;IF(AK241,"February-sensitive ("&amp;N241&amp;" -&gt; "&amp;AJ241&amp;"); ","")&amp;IF(AL241="One-Off / Insufficient History — Verify","Lapsed on thin history - verify; ","")&amp;IF(AQ241,"Material broker % inconsistency (implied tier "&amp;AP241&amp;"); ","")&amp;IF(AT241,"Implied broker % would move segment to "&amp;AS241&amp;"; ","")</f>
        <v/>
      </c>
      <c r="AW241" s="10" t="b">
        <f aca="false">AND(G241="Low",J241="Tail",I241&gt;=Assumptions!$B$64,O241&gt;=Assumptions!$B$65,OR(N241="Growing",N241="Stable",AND(N241="H2 Active / No H1 GMV",W241&gt;=2)),OR(R241&gt;=Assumptions!$B$66,S241&gt;=Assumptions!$B$67))</f>
        <v>0</v>
      </c>
    </row>
    <row r="242" customFormat="false" ht="15" hidden="false" customHeight="false" outlineLevel="0" collapsed="false">
      <c r="A242" s="2" t="s">
        <v>758</v>
      </c>
      <c r="B242" s="2" t="s">
        <v>1574</v>
      </c>
      <c r="C242" s="2"/>
      <c r="D242" s="2" t="n">
        <v>4</v>
      </c>
      <c r="E242" s="2" t="n">
        <v>0</v>
      </c>
      <c r="F242" s="21" t="n">
        <f aca="false">INDEX('Scored Accounts'!$Q$2:$Q$301,MATCH($A242,'Scored Accounts'!$A$2:$A$301,0))</f>
        <v>0</v>
      </c>
      <c r="G242" s="2" t="str">
        <f aca="false">INDEX('Scored Accounts'!$R$2:$R$301,MATCH($A242,'Scored Accounts'!$A$2:$A$301,0))</f>
        <v>Low</v>
      </c>
      <c r="H242" s="2" t="str">
        <f aca="false">IF(OR(G242="High",G242="Medium"),"Broker-Reliant",IF(AND(G242="Low",B242="Account Managed"),"AM-Owned / Self-Serving",IF(AND(G242="Low",B242="Self Serve"),"Self-Serve","UNASSIGNED")))</f>
        <v>Self-Serve</v>
      </c>
      <c r="I242" s="9" t="n">
        <v>336</v>
      </c>
      <c r="J242" s="2" t="str">
        <f aca="false">IF(I242&gt;=Assumptions!$B$35,"Key",IF(I242&gt;=Assumptions!$B$34,"Core","Tail"))</f>
        <v>Tail</v>
      </c>
      <c r="K242" s="9" t="n">
        <f aca="false">INDEX('Commercial View'!$R$2:$R$301,MATCH($A242,'Commercial View'!$A$2:$A$301,0))</f>
        <v>336</v>
      </c>
      <c r="L242" s="9" t="n">
        <f aca="false">INDEX('Commercial View'!$S$2:$S$301,MATCH($A242,'Commercial View'!$A$2:$A$301,0))</f>
        <v>0</v>
      </c>
      <c r="M242" s="17" t="n">
        <f aca="false">INDEX('Commercial View'!$T$2:$T$301,MATCH($A242,'Commercial View'!$A$2:$A$301,0))</f>
        <v>-1</v>
      </c>
      <c r="N242" s="2" t="str">
        <f aca="false">INDEX('Commercial View'!$U$2:$U$301,MATCH($A242,'Commercial View'!$A$2:$A$301,0))</f>
        <v>Lapsed</v>
      </c>
      <c r="O242" s="2" t="n">
        <v>1</v>
      </c>
      <c r="P242" s="2" t="n">
        <v>0</v>
      </c>
      <c r="Q242" s="2" t="n">
        <v>1</v>
      </c>
      <c r="R242" s="2" t="n">
        <v>7</v>
      </c>
      <c r="S242" s="2" t="n">
        <v>0</v>
      </c>
      <c r="T242" s="2" t="str">
        <f aca="false">IF(H242="Broker-Reliant",IF(J242="Tail","5. Cost-to-Serve / Low-Touch",IF(OR(N242="Growing",N242="Stable"),"1. Migration Candidate",IF(N242="Declining","2. Protect / Retain First",IF(N242="Lapsed","3. Win-Back / Verify",IF(N242="H2 Active / No H1 GMV","4. Establish / Re-establish / Observe","UNASSIGNED"))))),IF(G242="Low",IF(J242="Tail","9. Long-Tail Automated Nurture",IF(OR(N242="Growing",N242="Stable"),"6. Growth Opportunity",IF(N242="H2 Active / No H1 GMV","7. Onboard / Re-engage / Learn",IF(OR(N242="Declining",N242="Lapsed"),"8. Retention / Reactivation","UNASSIGNED")))),"UNASSIGNED"))</f>
        <v>9. Long-Tail Automated Nurture</v>
      </c>
      <c r="U242" s="10" t="b">
        <f aca="false">AND(T242="1. Migration Candidate",J242="Core",O242&gt;=Assumptions!$B$39,Q242&gt;=Assumptions!$B$40,NOT(Z242))</f>
        <v>0</v>
      </c>
      <c r="V242" s="2" t="n">
        <f aca="false">(AND(H242="Broker-Reliant",J242&lt;&gt;"Tail",OR(N242="Growing",N242="Stable")))*1+(AND(H242="Broker-Reliant",J242&lt;&gt;"Tail",N242="Declining"))*1+(AND(H242="Broker-Reliant",J242&lt;&gt;"Tail",N242="Lapsed"))*1+(AND(H242="Broker-Reliant",J242&lt;&gt;"Tail",N242="H2 Active / No H1 GMV"))*1+(AND(H242="Broker-Reliant",J242="Tail"))*1+(AND(G242="Low",J242&lt;&gt;"Tail",OR(N242="Growing",N242="Stable")))*1+(AND(G242="Low",J242&lt;&gt;"Tail",N242="H2 Active / No H1 GMV"))*1+(AND(G242="Low",J242&lt;&gt;"Tail",OR(N242="Declining",N242="Lapsed")))*1+(AND(G242="Low",J242="Tail"))*1</f>
        <v>1</v>
      </c>
      <c r="W242" s="2" t="n">
        <f aca="false">INDEX('Commercial View'!$V$2:$V$301,MATCH($A242,'Commercial View'!$A$2:$A$301,0))</f>
        <v>1</v>
      </c>
      <c r="X242" s="10" t="b">
        <f aca="false">O242&lt;=Assumptions!$B$30</f>
        <v>1</v>
      </c>
      <c r="Y242" s="10" t="b">
        <f aca="false">W242&lt;=1</f>
        <v>1</v>
      </c>
      <c r="Z242" s="10" t="b">
        <f aca="false">C242="Duplicate"</f>
        <v>0</v>
      </c>
      <c r="AA242" s="10" t="b">
        <f aca="false">C242=""</f>
        <v>1</v>
      </c>
      <c r="AB242" s="2" t="n">
        <f aca="false">IF(P242+Q242&gt;0,ROUND(P242/(P242+Q242)*100,0),"")</f>
        <v>0</v>
      </c>
      <c r="AC242" s="2" t="n">
        <f aca="false">IF(P242+Q242&gt;0,ROUND(E242-P242/(P242+Q242)*100,0),"")</f>
        <v>0</v>
      </c>
      <c r="AD242" s="10" t="b">
        <f aca="false">IF(AC242="",FALSE(),ABS(AC242)&gt;Assumptions!$B$41)</f>
        <v>0</v>
      </c>
      <c r="AE242" s="2" t="str">
        <f aca="false">IF(X242,"Low confidence (&lt;=2 orders); ","")&amp;IF(Y242,"Single-month history; ","")&amp;IF(Z242,"CRITICAL: Duplicate status; ","")&amp;IF(AA242,"Missing status; ","")&amp;IF(AD242,"Broker % vs counts gap "&amp;TEXT(AC242,"+0;-0")&amp;"pts; ","")</f>
        <v>Low confidence (&lt;=2 orders); Single-month history; Missing status; </v>
      </c>
      <c r="AF242" s="2" t="str">
        <f aca="false">IF(AND(K242=0,L242&gt;0),IF(D242&lt;=Assumptions!$B$47,"New Customer","Returned Customer"),"Existing Customer")</f>
        <v>Existing Customer</v>
      </c>
      <c r="AG242" s="10" t="b">
        <f aca="false">AND(T242="1. Migration Candidate",J242="Key")</f>
        <v>0</v>
      </c>
      <c r="AH242" s="10" t="b">
        <f aca="false">IF(AND(K242&gt;0,L242&gt;0),OR(ABS(M242-Assumptions!$B$36)&lt;=Assumptions!$B$46,ABS(M242+Assumptions!$B$36)&lt;=Assumptions!$B$46),FALSE())</f>
        <v>0</v>
      </c>
      <c r="AI242" s="9" t="n">
        <f aca="false">INDEX('Commercial View'!$L$2:$L$301,MATCH($A242,'Commercial View'!$A$2:$A$301,0))+INDEX('Commercial View'!$M$2:$M$301,MATCH($A242,'Commercial View'!$A$2:$A$301,0))</f>
        <v>0</v>
      </c>
      <c r="AJ242" s="2" t="str">
        <f aca="false">IF(AND(K242=0,AI242=0),"No activity ex-Feb",IF(AI242=0,"Lapsed",IF(K242=0,"H2 Active / No H1 GMV",IF((AI242/2)/(K242/3)-1&gt;=Assumptions!$B$36,"Growing",IF((AI242/2)/(K242/3)-1&lt;-Assumptions!$B$36,"Declining","Stable")))))</f>
        <v>Lapsed</v>
      </c>
      <c r="AK242" s="10" t="b">
        <f aca="false">IF(OR(N242="Growing",N242="Stable"),"Healthy",N242)&lt;&gt;IF(OR(AJ242="Growing",AJ242="Stable"),"Healthy",AJ242)</f>
        <v>0</v>
      </c>
      <c r="AL242" s="2" t="str">
        <f aca="false">IF(N242="Lapsed",IF(OR(O242&lt;=Assumptions!$B$48,W242&lt;=Assumptions!$B$49),"One-Off / Insufficient History — Verify","Established Buyer Lapsed"),"N/A")</f>
        <v>One-Off / Insufficient History — Verify</v>
      </c>
      <c r="AM242" s="2" t="n">
        <f aca="false">INDEX('Scored Accounts'!$M$2:$M$301,MATCH($A242,'Scored Accounts'!$A$2:$A$301,0))</f>
        <v>0</v>
      </c>
      <c r="AN242" s="2" t="n">
        <f aca="false">IF((P242/(P242+Q242)*100)&lt;=Assumptions!$B$13,0,IF((P242/(P242+Q242)*100)&lt;Assumptions!$B$14,25,IF((P242/(P242+Q242)*100)&lt;Assumptions!$B$15,50,IF((P242/(P242+Q242)*100)&lt;Assumptions!$B$16,75,100))))</f>
        <v>0</v>
      </c>
      <c r="AO242" s="21" t="n">
        <f aca="false">IF((P242/(P242+Q242)*100)&lt;=Assumptions!$B$8,0,AN242*Assumptions!$B$4+INDEX('Scored Accounts'!$N$2:$N$301,MATCH($A242,'Scored Accounts'!$A$2:$A$301,0))*Assumptions!$B$5+INDEX('Scored Accounts'!$O$2:$O$301,MATCH($A242,'Scored Accounts'!$A$2:$A$301,0))*Assumptions!$B$6)</f>
        <v>0</v>
      </c>
      <c r="AP242" s="2" t="str">
        <f aca="false">IF(AO242&gt;=Assumptions!$B$9,"High",IF(AO242&gt;=Assumptions!$B$10,"Medium","Low"))</f>
        <v>Low</v>
      </c>
      <c r="AQ242" s="10" t="b">
        <f aca="false">OR((E242&lt;=Assumptions!$B$8)&lt;&gt;((P242/(P242+Q242)*100)&lt;=Assumptions!$B$8),AM242&lt;&gt;AN242,G242&lt;&gt;AP242)</f>
        <v>0</v>
      </c>
      <c r="AR242" s="2" t="str">
        <f aca="false">IF(AP242&lt;&gt;"Low","Broker-Reliant",IF(B242="Account Managed","AM-Owned / Self-Serving","Self-Serve"))</f>
        <v>Self-Serve</v>
      </c>
      <c r="AS242" s="2" t="str">
        <f aca="false">IF(AR242="Broker-Reliant",IF(J242="Tail","5. Cost-to-Serve / Low-Touch",IF(OR(N242="Growing",N242="Stable"),"1. Migration Candidate",IF(N242="Declining","2. Protect / Retain First",IF(N242="Lapsed","3. Win-Back / Verify",IF(N242="H2 Active / No H1 GMV","4. Establish / Re-establish / Observe","UNASSIGNED"))))),IF(AP242="Low",IF(J242="Tail","9. Long-Tail Automated Nurture",IF(OR(N242="Growing",N242="Stable"),"6. Growth Opportunity",IF(N242="H2 Active / No H1 GMV","7. Onboard / Re-engage / Learn",IF(OR(N242="Declining",N242="Lapsed"),"8. Retention / Reactivation","UNASSIGNED")))),"UNASSIGNED"))</f>
        <v>9. Long-Tail Automated Nurture</v>
      </c>
      <c r="AT242" s="10" t="b">
        <f aca="false">AS242&lt;&gt;T242</f>
        <v>0</v>
      </c>
      <c r="AU242" s="2" t="str">
        <f aca="false">IF(NOT(U242),"Not Eligible",IF(OR(AQ242,AH242,AK242,NOT(AND(W242&gt;=Assumptions!$B$83,O242&gt;=Assumptions!$B$84))),"Manual Review","Ready"))</f>
        <v>Not Eligible</v>
      </c>
      <c r="AV242" s="2" t="str">
        <f aca="false">IF(AG242,"Key account - human sign-off required; ","")&amp;IF(AH242,"Borderline momentum; ","")&amp;IF(AK242,"February-sensitive ("&amp;N242&amp;" -&gt; "&amp;AJ242&amp;"); ","")&amp;IF(AL242="One-Off / Insufficient History — Verify","Lapsed on thin history - verify; ","")&amp;IF(AQ242,"Material broker % inconsistency (implied tier "&amp;AP242&amp;"); ","")&amp;IF(AT242,"Implied broker % would move segment to "&amp;AS242&amp;"; ","")</f>
        <v>Lapsed on thin history - verify; </v>
      </c>
      <c r="AW242" s="10" t="b">
        <f aca="false">AND(G242="Low",J242="Tail",I242&gt;=Assumptions!$B$64,O242&gt;=Assumptions!$B$65,OR(N242="Growing",N242="Stable",AND(N242="H2 Active / No H1 GMV",W242&gt;=2)),OR(R242&gt;=Assumptions!$B$66,S242&gt;=Assumptions!$B$67))</f>
        <v>0</v>
      </c>
    </row>
    <row r="243" customFormat="false" ht="15" hidden="false" customHeight="false" outlineLevel="0" collapsed="false">
      <c r="A243" s="2" t="s">
        <v>760</v>
      </c>
      <c r="B243" s="2" t="s">
        <v>1574</v>
      </c>
      <c r="C243" s="2"/>
      <c r="D243" s="2" t="n">
        <v>2</v>
      </c>
      <c r="E243" s="2" t="n">
        <v>0</v>
      </c>
      <c r="F243" s="21" t="n">
        <f aca="false">INDEX('Scored Accounts'!$Q$2:$Q$301,MATCH($A243,'Scored Accounts'!$A$2:$A$301,0))</f>
        <v>0</v>
      </c>
      <c r="G243" s="2" t="str">
        <f aca="false">INDEX('Scored Accounts'!$R$2:$R$301,MATCH($A243,'Scored Accounts'!$A$2:$A$301,0))</f>
        <v>Low</v>
      </c>
      <c r="H243" s="2" t="str">
        <f aca="false">IF(OR(G243="High",G243="Medium"),"Broker-Reliant",IF(AND(G243="Low",B243="Account Managed"),"AM-Owned / Self-Serving",IF(AND(G243="Low",B243="Self Serve"),"Self-Serve","UNASSIGNED")))</f>
        <v>Self-Serve</v>
      </c>
      <c r="I243" s="9" t="n">
        <v>332</v>
      </c>
      <c r="J243" s="2" t="str">
        <f aca="false">IF(I243&gt;=Assumptions!$B$35,"Key",IF(I243&gt;=Assumptions!$B$34,"Core","Tail"))</f>
        <v>Tail</v>
      </c>
      <c r="K243" s="9" t="n">
        <f aca="false">INDEX('Commercial View'!$R$2:$R$301,MATCH($A243,'Commercial View'!$A$2:$A$301,0))</f>
        <v>0</v>
      </c>
      <c r="L243" s="9" t="n">
        <f aca="false">INDEX('Commercial View'!$S$2:$S$301,MATCH($A243,'Commercial View'!$A$2:$A$301,0))</f>
        <v>332</v>
      </c>
      <c r="M243" s="17" t="str">
        <f aca="false">INDEX('Commercial View'!$T$2:$T$301,MATCH($A243,'Commercial View'!$A$2:$A$301,0))</f>
        <v/>
      </c>
      <c r="N243" s="2" t="str">
        <f aca="false">INDEX('Commercial View'!$U$2:$U$301,MATCH($A243,'Commercial View'!$A$2:$A$301,0))</f>
        <v>H2 Active / No H1 GMV</v>
      </c>
      <c r="O243" s="2" t="n">
        <v>1</v>
      </c>
      <c r="P243" s="2" t="n">
        <v>0</v>
      </c>
      <c r="Q243" s="2" t="n">
        <v>1</v>
      </c>
      <c r="R243" s="2" t="n">
        <v>2</v>
      </c>
      <c r="S243" s="2" t="n">
        <v>1</v>
      </c>
      <c r="T243" s="2" t="str">
        <f aca="false">IF(H243="Broker-Reliant",IF(J243="Tail","5. Cost-to-Serve / Low-Touch",IF(OR(N243="Growing",N243="Stable"),"1. Migration Candidate",IF(N243="Declining","2. Protect / Retain First",IF(N243="Lapsed","3. Win-Back / Verify",IF(N243="H2 Active / No H1 GMV","4. Establish / Re-establish / Observe","UNASSIGNED"))))),IF(G243="Low",IF(J243="Tail","9. Long-Tail Automated Nurture",IF(OR(N243="Growing",N243="Stable"),"6. Growth Opportunity",IF(N243="H2 Active / No H1 GMV","7. Onboard / Re-engage / Learn",IF(OR(N243="Declining",N243="Lapsed"),"8. Retention / Reactivation","UNASSIGNED")))),"UNASSIGNED"))</f>
        <v>9. Long-Tail Automated Nurture</v>
      </c>
      <c r="U243" s="10" t="b">
        <f aca="false">AND(T243="1. Migration Candidate",J243="Core",O243&gt;=Assumptions!$B$39,Q243&gt;=Assumptions!$B$40,NOT(Z243))</f>
        <v>0</v>
      </c>
      <c r="V243" s="2" t="n">
        <f aca="false">(AND(H243="Broker-Reliant",J243&lt;&gt;"Tail",OR(N243="Growing",N243="Stable")))*1+(AND(H243="Broker-Reliant",J243&lt;&gt;"Tail",N243="Declining"))*1+(AND(H243="Broker-Reliant",J243&lt;&gt;"Tail",N243="Lapsed"))*1+(AND(H243="Broker-Reliant",J243&lt;&gt;"Tail",N243="H2 Active / No H1 GMV"))*1+(AND(H243="Broker-Reliant",J243="Tail"))*1+(AND(G243="Low",J243&lt;&gt;"Tail",OR(N243="Growing",N243="Stable")))*1+(AND(G243="Low",J243&lt;&gt;"Tail",N243="H2 Active / No H1 GMV"))*1+(AND(G243="Low",J243&lt;&gt;"Tail",OR(N243="Declining",N243="Lapsed")))*1+(AND(G243="Low",J243="Tail"))*1</f>
        <v>1</v>
      </c>
      <c r="W243" s="2" t="n">
        <f aca="false">INDEX('Commercial View'!$V$2:$V$301,MATCH($A243,'Commercial View'!$A$2:$A$301,0))</f>
        <v>1</v>
      </c>
      <c r="X243" s="10" t="b">
        <f aca="false">O243&lt;=Assumptions!$B$30</f>
        <v>1</v>
      </c>
      <c r="Y243" s="10" t="b">
        <f aca="false">W243&lt;=1</f>
        <v>1</v>
      </c>
      <c r="Z243" s="10" t="b">
        <f aca="false">C243="Duplicate"</f>
        <v>0</v>
      </c>
      <c r="AA243" s="10" t="b">
        <f aca="false">C243=""</f>
        <v>1</v>
      </c>
      <c r="AB243" s="2" t="n">
        <f aca="false">IF(P243+Q243&gt;0,ROUND(P243/(P243+Q243)*100,0),"")</f>
        <v>0</v>
      </c>
      <c r="AC243" s="2" t="n">
        <f aca="false">IF(P243+Q243&gt;0,ROUND(E243-P243/(P243+Q243)*100,0),"")</f>
        <v>0</v>
      </c>
      <c r="AD243" s="10" t="b">
        <f aca="false">IF(AC243="",FALSE(),ABS(AC243)&gt;Assumptions!$B$41)</f>
        <v>0</v>
      </c>
      <c r="AE243" s="2" t="str">
        <f aca="false">IF(X243,"Low confidence (&lt;=2 orders); ","")&amp;IF(Y243,"Single-month history; ","")&amp;IF(Z243,"CRITICAL: Duplicate status; ","")&amp;IF(AA243,"Missing status; ","")&amp;IF(AD243,"Broker % vs counts gap "&amp;TEXT(AC243,"+0;-0")&amp;"pts; ","")</f>
        <v>Low confidence (&lt;=2 orders); Single-month history; Missing status; </v>
      </c>
      <c r="AF243" s="2" t="str">
        <f aca="false">IF(AND(K243=0,L243&gt;0),IF(D243&lt;=Assumptions!$B$47,"New Customer","Returned Customer"),"Existing Customer")</f>
        <v>New Customer</v>
      </c>
      <c r="AG243" s="10" t="b">
        <f aca="false">AND(T243="1. Migration Candidate",J243="Key")</f>
        <v>0</v>
      </c>
      <c r="AH243" s="10" t="b">
        <f aca="false">IF(AND(K243&gt;0,L243&gt;0),OR(ABS(M243-Assumptions!$B$36)&lt;=Assumptions!$B$46,ABS(M243+Assumptions!$B$36)&lt;=Assumptions!$B$46),FALSE())</f>
        <v>0</v>
      </c>
      <c r="AI243" s="9" t="n">
        <f aca="false">INDEX('Commercial View'!$L$2:$L$301,MATCH($A243,'Commercial View'!$A$2:$A$301,0))+INDEX('Commercial View'!$M$2:$M$301,MATCH($A243,'Commercial View'!$A$2:$A$301,0))</f>
        <v>332</v>
      </c>
      <c r="AJ243" s="2" t="str">
        <f aca="false">IF(AND(K243=0,AI243=0),"No activity ex-Feb",IF(AI243=0,"Lapsed",IF(K243=0,"H2 Active / No H1 GMV",IF((AI243/2)/(K243/3)-1&gt;=Assumptions!$B$36,"Growing",IF((AI243/2)/(K243/3)-1&lt;-Assumptions!$B$36,"Declining","Stable")))))</f>
        <v>H2 Active / No H1 GMV</v>
      </c>
      <c r="AK243" s="10" t="b">
        <f aca="false">IF(OR(N243="Growing",N243="Stable"),"Healthy",N243)&lt;&gt;IF(OR(AJ243="Growing",AJ243="Stable"),"Healthy",AJ243)</f>
        <v>0</v>
      </c>
      <c r="AL243" s="2" t="str">
        <f aca="false">IF(N243="Lapsed",IF(OR(O243&lt;=Assumptions!$B$48,W243&lt;=Assumptions!$B$49),"One-Off / Insufficient History — Verify","Established Buyer Lapsed"),"N/A")</f>
        <v>N/A</v>
      </c>
      <c r="AM243" s="2" t="n">
        <f aca="false">INDEX('Scored Accounts'!$M$2:$M$301,MATCH($A243,'Scored Accounts'!$A$2:$A$301,0))</f>
        <v>0</v>
      </c>
      <c r="AN243" s="2" t="n">
        <f aca="false">IF((P243/(P243+Q243)*100)&lt;=Assumptions!$B$13,0,IF((P243/(P243+Q243)*100)&lt;Assumptions!$B$14,25,IF((P243/(P243+Q243)*100)&lt;Assumptions!$B$15,50,IF((P243/(P243+Q243)*100)&lt;Assumptions!$B$16,75,100))))</f>
        <v>0</v>
      </c>
      <c r="AO243" s="21" t="n">
        <f aca="false">IF((P243/(P243+Q243)*100)&lt;=Assumptions!$B$8,0,AN243*Assumptions!$B$4+INDEX('Scored Accounts'!$N$2:$N$301,MATCH($A243,'Scored Accounts'!$A$2:$A$301,0))*Assumptions!$B$5+INDEX('Scored Accounts'!$O$2:$O$301,MATCH($A243,'Scored Accounts'!$A$2:$A$301,0))*Assumptions!$B$6)</f>
        <v>0</v>
      </c>
      <c r="AP243" s="2" t="str">
        <f aca="false">IF(AO243&gt;=Assumptions!$B$9,"High",IF(AO243&gt;=Assumptions!$B$10,"Medium","Low"))</f>
        <v>Low</v>
      </c>
      <c r="AQ243" s="10" t="b">
        <f aca="false">OR((E243&lt;=Assumptions!$B$8)&lt;&gt;((P243/(P243+Q243)*100)&lt;=Assumptions!$B$8),AM243&lt;&gt;AN243,G243&lt;&gt;AP243)</f>
        <v>0</v>
      </c>
      <c r="AR243" s="2" t="str">
        <f aca="false">IF(AP243&lt;&gt;"Low","Broker-Reliant",IF(B243="Account Managed","AM-Owned / Self-Serving","Self-Serve"))</f>
        <v>Self-Serve</v>
      </c>
      <c r="AS243" s="2" t="str">
        <f aca="false">IF(AR243="Broker-Reliant",IF(J243="Tail","5. Cost-to-Serve / Low-Touch",IF(OR(N243="Growing",N243="Stable"),"1. Migration Candidate",IF(N243="Declining","2. Protect / Retain First",IF(N243="Lapsed","3. Win-Back / Verify",IF(N243="H2 Active / No H1 GMV","4. Establish / Re-establish / Observe","UNASSIGNED"))))),IF(AP243="Low",IF(J243="Tail","9. Long-Tail Automated Nurture",IF(OR(N243="Growing",N243="Stable"),"6. Growth Opportunity",IF(N243="H2 Active / No H1 GMV","7. Onboard / Re-engage / Learn",IF(OR(N243="Declining",N243="Lapsed"),"8. Retention / Reactivation","UNASSIGNED")))),"UNASSIGNED"))</f>
        <v>9. Long-Tail Automated Nurture</v>
      </c>
      <c r="AT243" s="10" t="b">
        <f aca="false">AS243&lt;&gt;T243</f>
        <v>0</v>
      </c>
      <c r="AU243" s="2" t="str">
        <f aca="false">IF(NOT(U243),"Not Eligible",IF(OR(AQ243,AH243,AK243,NOT(AND(W243&gt;=Assumptions!$B$83,O243&gt;=Assumptions!$B$84))),"Manual Review","Ready"))</f>
        <v>Not Eligible</v>
      </c>
      <c r="AV243" s="2" t="str">
        <f aca="false">IF(AG243,"Key account - human sign-off required; ","")&amp;IF(AH243,"Borderline momentum; ","")&amp;IF(AK243,"February-sensitive ("&amp;N243&amp;" -&gt; "&amp;AJ243&amp;"); ","")&amp;IF(AL243="One-Off / Insufficient History — Verify","Lapsed on thin history - verify; ","")&amp;IF(AQ243,"Material broker % inconsistency (implied tier "&amp;AP243&amp;"); ","")&amp;IF(AT243,"Implied broker % would move segment to "&amp;AS243&amp;"; ","")</f>
        <v/>
      </c>
      <c r="AW243" s="10" t="b">
        <f aca="false">AND(G243="Low",J243="Tail",I243&gt;=Assumptions!$B$64,O243&gt;=Assumptions!$B$65,OR(N243="Growing",N243="Stable",AND(N243="H2 Active / No H1 GMV",W243&gt;=2)),OR(R243&gt;=Assumptions!$B$66,S243&gt;=Assumptions!$B$67))</f>
        <v>0</v>
      </c>
    </row>
    <row r="244" customFormat="false" ht="15" hidden="false" customHeight="false" outlineLevel="0" collapsed="false">
      <c r="A244" s="2" t="s">
        <v>766</v>
      </c>
      <c r="B244" s="2" t="s">
        <v>1574</v>
      </c>
      <c r="C244" s="2"/>
      <c r="D244" s="2" t="n">
        <v>2</v>
      </c>
      <c r="E244" s="2" t="n">
        <v>0</v>
      </c>
      <c r="F244" s="21" t="n">
        <f aca="false">INDEX('Scored Accounts'!$Q$2:$Q$301,MATCH($A244,'Scored Accounts'!$A$2:$A$301,0))</f>
        <v>0</v>
      </c>
      <c r="G244" s="2" t="str">
        <f aca="false">INDEX('Scored Accounts'!$R$2:$R$301,MATCH($A244,'Scored Accounts'!$A$2:$A$301,0))</f>
        <v>Low</v>
      </c>
      <c r="H244" s="2" t="str">
        <f aca="false">IF(OR(G244="High",G244="Medium"),"Broker-Reliant",IF(AND(G244="Low",B244="Account Managed"),"AM-Owned / Self-Serving",IF(AND(G244="Low",B244="Self Serve"),"Self-Serve","UNASSIGNED")))</f>
        <v>Self-Serve</v>
      </c>
      <c r="I244" s="9" t="n">
        <v>322</v>
      </c>
      <c r="J244" s="2" t="str">
        <f aca="false">IF(I244&gt;=Assumptions!$B$35,"Key",IF(I244&gt;=Assumptions!$B$34,"Core","Tail"))</f>
        <v>Tail</v>
      </c>
      <c r="K244" s="9" t="n">
        <f aca="false">INDEX('Commercial View'!$R$2:$R$301,MATCH($A244,'Commercial View'!$A$2:$A$301,0))</f>
        <v>0</v>
      </c>
      <c r="L244" s="9" t="n">
        <f aca="false">INDEX('Commercial View'!$S$2:$S$301,MATCH($A244,'Commercial View'!$A$2:$A$301,0))</f>
        <v>322</v>
      </c>
      <c r="M244" s="17" t="str">
        <f aca="false">INDEX('Commercial View'!$T$2:$T$301,MATCH($A244,'Commercial View'!$A$2:$A$301,0))</f>
        <v/>
      </c>
      <c r="N244" s="2" t="str">
        <f aca="false">INDEX('Commercial View'!$U$2:$U$301,MATCH($A244,'Commercial View'!$A$2:$A$301,0))</f>
        <v>H2 Active / No H1 GMV</v>
      </c>
      <c r="O244" s="2" t="n">
        <v>1</v>
      </c>
      <c r="P244" s="2" t="n">
        <v>0</v>
      </c>
      <c r="Q244" s="2" t="n">
        <v>1</v>
      </c>
      <c r="R244" s="2" t="n">
        <v>4</v>
      </c>
      <c r="S244" s="2" t="n">
        <v>0</v>
      </c>
      <c r="T244" s="2" t="str">
        <f aca="false">IF(H244="Broker-Reliant",IF(J244="Tail","5. Cost-to-Serve / Low-Touch",IF(OR(N244="Growing",N244="Stable"),"1. Migration Candidate",IF(N244="Declining","2. Protect / Retain First",IF(N244="Lapsed","3. Win-Back / Verify",IF(N244="H2 Active / No H1 GMV","4. Establish / Re-establish / Observe","UNASSIGNED"))))),IF(G244="Low",IF(J244="Tail","9. Long-Tail Automated Nurture",IF(OR(N244="Growing",N244="Stable"),"6. Growth Opportunity",IF(N244="H2 Active / No H1 GMV","7. Onboard / Re-engage / Learn",IF(OR(N244="Declining",N244="Lapsed"),"8. Retention / Reactivation","UNASSIGNED")))),"UNASSIGNED"))</f>
        <v>9. Long-Tail Automated Nurture</v>
      </c>
      <c r="U244" s="10" t="b">
        <f aca="false">AND(T244="1. Migration Candidate",J244="Core",O244&gt;=Assumptions!$B$39,Q244&gt;=Assumptions!$B$40,NOT(Z244))</f>
        <v>0</v>
      </c>
      <c r="V244" s="2" t="n">
        <f aca="false">(AND(H244="Broker-Reliant",J244&lt;&gt;"Tail",OR(N244="Growing",N244="Stable")))*1+(AND(H244="Broker-Reliant",J244&lt;&gt;"Tail",N244="Declining"))*1+(AND(H244="Broker-Reliant",J244&lt;&gt;"Tail",N244="Lapsed"))*1+(AND(H244="Broker-Reliant",J244&lt;&gt;"Tail",N244="H2 Active / No H1 GMV"))*1+(AND(H244="Broker-Reliant",J244="Tail"))*1+(AND(G244="Low",J244&lt;&gt;"Tail",OR(N244="Growing",N244="Stable")))*1+(AND(G244="Low",J244&lt;&gt;"Tail",N244="H2 Active / No H1 GMV"))*1+(AND(G244="Low",J244&lt;&gt;"Tail",OR(N244="Declining",N244="Lapsed")))*1+(AND(G244="Low",J244="Tail"))*1</f>
        <v>1</v>
      </c>
      <c r="W244" s="2" t="n">
        <f aca="false">INDEX('Commercial View'!$V$2:$V$301,MATCH($A244,'Commercial View'!$A$2:$A$301,0))</f>
        <v>1</v>
      </c>
      <c r="X244" s="10" t="b">
        <f aca="false">O244&lt;=Assumptions!$B$30</f>
        <v>1</v>
      </c>
      <c r="Y244" s="10" t="b">
        <f aca="false">W244&lt;=1</f>
        <v>1</v>
      </c>
      <c r="Z244" s="10" t="b">
        <f aca="false">C244="Duplicate"</f>
        <v>0</v>
      </c>
      <c r="AA244" s="10" t="b">
        <f aca="false">C244=""</f>
        <v>1</v>
      </c>
      <c r="AB244" s="2" t="n">
        <f aca="false">IF(P244+Q244&gt;0,ROUND(P244/(P244+Q244)*100,0),"")</f>
        <v>0</v>
      </c>
      <c r="AC244" s="2" t="n">
        <f aca="false">IF(P244+Q244&gt;0,ROUND(E244-P244/(P244+Q244)*100,0),"")</f>
        <v>0</v>
      </c>
      <c r="AD244" s="10" t="b">
        <f aca="false">IF(AC244="",FALSE(),ABS(AC244)&gt;Assumptions!$B$41)</f>
        <v>0</v>
      </c>
      <c r="AE244" s="2" t="str">
        <f aca="false">IF(X244,"Low confidence (&lt;=2 orders); ","")&amp;IF(Y244,"Single-month history; ","")&amp;IF(Z244,"CRITICAL: Duplicate status; ","")&amp;IF(AA244,"Missing status; ","")&amp;IF(AD244,"Broker % vs counts gap "&amp;TEXT(AC244,"+0;-0")&amp;"pts; ","")</f>
        <v>Low confidence (&lt;=2 orders); Single-month history; Missing status; </v>
      </c>
      <c r="AF244" s="2" t="str">
        <f aca="false">IF(AND(K244=0,L244&gt;0),IF(D244&lt;=Assumptions!$B$47,"New Customer","Returned Customer"),"Existing Customer")</f>
        <v>New Customer</v>
      </c>
      <c r="AG244" s="10" t="b">
        <f aca="false">AND(T244="1. Migration Candidate",J244="Key")</f>
        <v>0</v>
      </c>
      <c r="AH244" s="10" t="b">
        <f aca="false">IF(AND(K244&gt;0,L244&gt;0),OR(ABS(M244-Assumptions!$B$36)&lt;=Assumptions!$B$46,ABS(M244+Assumptions!$B$36)&lt;=Assumptions!$B$46),FALSE())</f>
        <v>0</v>
      </c>
      <c r="AI244" s="9" t="n">
        <f aca="false">INDEX('Commercial View'!$L$2:$L$301,MATCH($A244,'Commercial View'!$A$2:$A$301,0))+INDEX('Commercial View'!$M$2:$M$301,MATCH($A244,'Commercial View'!$A$2:$A$301,0))</f>
        <v>322</v>
      </c>
      <c r="AJ244" s="2" t="str">
        <f aca="false">IF(AND(K244=0,AI244=0),"No activity ex-Feb",IF(AI244=0,"Lapsed",IF(K244=0,"H2 Active / No H1 GMV",IF((AI244/2)/(K244/3)-1&gt;=Assumptions!$B$36,"Growing",IF((AI244/2)/(K244/3)-1&lt;-Assumptions!$B$36,"Declining","Stable")))))</f>
        <v>H2 Active / No H1 GMV</v>
      </c>
      <c r="AK244" s="10" t="b">
        <f aca="false">IF(OR(N244="Growing",N244="Stable"),"Healthy",N244)&lt;&gt;IF(OR(AJ244="Growing",AJ244="Stable"),"Healthy",AJ244)</f>
        <v>0</v>
      </c>
      <c r="AL244" s="2" t="str">
        <f aca="false">IF(N244="Lapsed",IF(OR(O244&lt;=Assumptions!$B$48,W244&lt;=Assumptions!$B$49),"One-Off / Insufficient History — Verify","Established Buyer Lapsed"),"N/A")</f>
        <v>N/A</v>
      </c>
      <c r="AM244" s="2" t="n">
        <f aca="false">INDEX('Scored Accounts'!$M$2:$M$301,MATCH($A244,'Scored Accounts'!$A$2:$A$301,0))</f>
        <v>0</v>
      </c>
      <c r="AN244" s="2" t="n">
        <f aca="false">IF((P244/(P244+Q244)*100)&lt;=Assumptions!$B$13,0,IF((P244/(P244+Q244)*100)&lt;Assumptions!$B$14,25,IF((P244/(P244+Q244)*100)&lt;Assumptions!$B$15,50,IF((P244/(P244+Q244)*100)&lt;Assumptions!$B$16,75,100))))</f>
        <v>0</v>
      </c>
      <c r="AO244" s="21" t="n">
        <f aca="false">IF((P244/(P244+Q244)*100)&lt;=Assumptions!$B$8,0,AN244*Assumptions!$B$4+INDEX('Scored Accounts'!$N$2:$N$301,MATCH($A244,'Scored Accounts'!$A$2:$A$301,0))*Assumptions!$B$5+INDEX('Scored Accounts'!$O$2:$O$301,MATCH($A244,'Scored Accounts'!$A$2:$A$301,0))*Assumptions!$B$6)</f>
        <v>0</v>
      </c>
      <c r="AP244" s="2" t="str">
        <f aca="false">IF(AO244&gt;=Assumptions!$B$9,"High",IF(AO244&gt;=Assumptions!$B$10,"Medium","Low"))</f>
        <v>Low</v>
      </c>
      <c r="AQ244" s="10" t="b">
        <f aca="false">OR((E244&lt;=Assumptions!$B$8)&lt;&gt;((P244/(P244+Q244)*100)&lt;=Assumptions!$B$8),AM244&lt;&gt;AN244,G244&lt;&gt;AP244)</f>
        <v>0</v>
      </c>
      <c r="AR244" s="2" t="str">
        <f aca="false">IF(AP244&lt;&gt;"Low","Broker-Reliant",IF(B244="Account Managed","AM-Owned / Self-Serving","Self-Serve"))</f>
        <v>Self-Serve</v>
      </c>
      <c r="AS244" s="2" t="str">
        <f aca="false">IF(AR244="Broker-Reliant",IF(J244="Tail","5. Cost-to-Serve / Low-Touch",IF(OR(N244="Growing",N244="Stable"),"1. Migration Candidate",IF(N244="Declining","2. Protect / Retain First",IF(N244="Lapsed","3. Win-Back / Verify",IF(N244="H2 Active / No H1 GMV","4. Establish / Re-establish / Observe","UNASSIGNED"))))),IF(AP244="Low",IF(J244="Tail","9. Long-Tail Automated Nurture",IF(OR(N244="Growing",N244="Stable"),"6. Growth Opportunity",IF(N244="H2 Active / No H1 GMV","7. Onboard / Re-engage / Learn",IF(OR(N244="Declining",N244="Lapsed"),"8. Retention / Reactivation","UNASSIGNED")))),"UNASSIGNED"))</f>
        <v>9. Long-Tail Automated Nurture</v>
      </c>
      <c r="AT244" s="10" t="b">
        <f aca="false">AS244&lt;&gt;T244</f>
        <v>0</v>
      </c>
      <c r="AU244" s="2" t="str">
        <f aca="false">IF(NOT(U244),"Not Eligible",IF(OR(AQ244,AH244,AK244,NOT(AND(W244&gt;=Assumptions!$B$83,O244&gt;=Assumptions!$B$84))),"Manual Review","Ready"))</f>
        <v>Not Eligible</v>
      </c>
      <c r="AV244" s="2" t="str">
        <f aca="false">IF(AG244,"Key account - human sign-off required; ","")&amp;IF(AH244,"Borderline momentum; ","")&amp;IF(AK244,"February-sensitive ("&amp;N244&amp;" -&gt; "&amp;AJ244&amp;"); ","")&amp;IF(AL244="One-Off / Insufficient History — Verify","Lapsed on thin history - verify; ","")&amp;IF(AQ244,"Material broker % inconsistency (implied tier "&amp;AP244&amp;"); ","")&amp;IF(AT244,"Implied broker % would move segment to "&amp;AS244&amp;"; ","")</f>
        <v/>
      </c>
      <c r="AW244" s="10" t="b">
        <f aca="false">AND(G244="Low",J244="Tail",I244&gt;=Assumptions!$B$64,O244&gt;=Assumptions!$B$65,OR(N244="Growing",N244="Stable",AND(N244="H2 Active / No H1 GMV",W244&gt;=2)),OR(R244&gt;=Assumptions!$B$66,S244&gt;=Assumptions!$B$67))</f>
        <v>0</v>
      </c>
    </row>
    <row r="245" customFormat="false" ht="15" hidden="false" customHeight="false" outlineLevel="0" collapsed="false">
      <c r="A245" s="2" t="s">
        <v>770</v>
      </c>
      <c r="B245" s="2" t="s">
        <v>1574</v>
      </c>
      <c r="C245" s="2"/>
      <c r="D245" s="2" t="n">
        <v>5</v>
      </c>
      <c r="E245" s="2" t="n">
        <v>0</v>
      </c>
      <c r="F245" s="21" t="n">
        <f aca="false">INDEX('Scored Accounts'!$Q$2:$Q$301,MATCH($A245,'Scored Accounts'!$A$2:$A$301,0))</f>
        <v>0</v>
      </c>
      <c r="G245" s="2" t="str">
        <f aca="false">INDEX('Scored Accounts'!$R$2:$R$301,MATCH($A245,'Scored Accounts'!$A$2:$A$301,0))</f>
        <v>Low</v>
      </c>
      <c r="H245" s="2" t="str">
        <f aca="false">IF(OR(G245="High",G245="Medium"),"Broker-Reliant",IF(AND(G245="Low",B245="Account Managed"),"AM-Owned / Self-Serving",IF(AND(G245="Low",B245="Self Serve"),"Self-Serve","UNASSIGNED")))</f>
        <v>Self-Serve</v>
      </c>
      <c r="I245" s="9" t="n">
        <v>316</v>
      </c>
      <c r="J245" s="2" t="str">
        <f aca="false">IF(I245&gt;=Assumptions!$B$35,"Key",IF(I245&gt;=Assumptions!$B$34,"Core","Tail"))</f>
        <v>Tail</v>
      </c>
      <c r="K245" s="9" t="n">
        <f aca="false">INDEX('Commercial View'!$R$2:$R$301,MATCH($A245,'Commercial View'!$A$2:$A$301,0))</f>
        <v>316</v>
      </c>
      <c r="L245" s="9" t="n">
        <f aca="false">INDEX('Commercial View'!$S$2:$S$301,MATCH($A245,'Commercial View'!$A$2:$A$301,0))</f>
        <v>0</v>
      </c>
      <c r="M245" s="17" t="n">
        <f aca="false">INDEX('Commercial View'!$T$2:$T$301,MATCH($A245,'Commercial View'!$A$2:$A$301,0))</f>
        <v>-1</v>
      </c>
      <c r="N245" s="2" t="str">
        <f aca="false">INDEX('Commercial View'!$U$2:$U$301,MATCH($A245,'Commercial View'!$A$2:$A$301,0))</f>
        <v>Lapsed</v>
      </c>
      <c r="O245" s="2" t="n">
        <v>1</v>
      </c>
      <c r="P245" s="2" t="n">
        <v>0</v>
      </c>
      <c r="Q245" s="2" t="n">
        <v>1</v>
      </c>
      <c r="R245" s="2" t="n">
        <v>10</v>
      </c>
      <c r="S245" s="2" t="n">
        <v>0</v>
      </c>
      <c r="T245" s="2" t="str">
        <f aca="false">IF(H245="Broker-Reliant",IF(J245="Tail","5. Cost-to-Serve / Low-Touch",IF(OR(N245="Growing",N245="Stable"),"1. Migration Candidate",IF(N245="Declining","2. Protect / Retain First",IF(N245="Lapsed","3. Win-Back / Verify",IF(N245="H2 Active / No H1 GMV","4. Establish / Re-establish / Observe","UNASSIGNED"))))),IF(G245="Low",IF(J245="Tail","9. Long-Tail Automated Nurture",IF(OR(N245="Growing",N245="Stable"),"6. Growth Opportunity",IF(N245="H2 Active / No H1 GMV","7. Onboard / Re-engage / Learn",IF(OR(N245="Declining",N245="Lapsed"),"8. Retention / Reactivation","UNASSIGNED")))),"UNASSIGNED"))</f>
        <v>9. Long-Tail Automated Nurture</v>
      </c>
      <c r="U245" s="10" t="b">
        <f aca="false">AND(T245="1. Migration Candidate",J245="Core",O245&gt;=Assumptions!$B$39,Q245&gt;=Assumptions!$B$40,NOT(Z245))</f>
        <v>0</v>
      </c>
      <c r="V245" s="2" t="n">
        <f aca="false">(AND(H245="Broker-Reliant",J245&lt;&gt;"Tail",OR(N245="Growing",N245="Stable")))*1+(AND(H245="Broker-Reliant",J245&lt;&gt;"Tail",N245="Declining"))*1+(AND(H245="Broker-Reliant",J245&lt;&gt;"Tail",N245="Lapsed"))*1+(AND(H245="Broker-Reliant",J245&lt;&gt;"Tail",N245="H2 Active / No H1 GMV"))*1+(AND(H245="Broker-Reliant",J245="Tail"))*1+(AND(G245="Low",J245&lt;&gt;"Tail",OR(N245="Growing",N245="Stable")))*1+(AND(G245="Low",J245&lt;&gt;"Tail",N245="H2 Active / No H1 GMV"))*1+(AND(G245="Low",J245&lt;&gt;"Tail",OR(N245="Declining",N245="Lapsed")))*1+(AND(G245="Low",J245="Tail"))*1</f>
        <v>1</v>
      </c>
      <c r="W245" s="2" t="n">
        <f aca="false">INDEX('Commercial View'!$V$2:$V$301,MATCH($A245,'Commercial View'!$A$2:$A$301,0))</f>
        <v>1</v>
      </c>
      <c r="X245" s="10" t="b">
        <f aca="false">O245&lt;=Assumptions!$B$30</f>
        <v>1</v>
      </c>
      <c r="Y245" s="10" t="b">
        <f aca="false">W245&lt;=1</f>
        <v>1</v>
      </c>
      <c r="Z245" s="10" t="b">
        <f aca="false">C245="Duplicate"</f>
        <v>0</v>
      </c>
      <c r="AA245" s="10" t="b">
        <f aca="false">C245=""</f>
        <v>1</v>
      </c>
      <c r="AB245" s="2" t="n">
        <f aca="false">IF(P245+Q245&gt;0,ROUND(P245/(P245+Q245)*100,0),"")</f>
        <v>0</v>
      </c>
      <c r="AC245" s="2" t="n">
        <f aca="false">IF(P245+Q245&gt;0,ROUND(E245-P245/(P245+Q245)*100,0),"")</f>
        <v>0</v>
      </c>
      <c r="AD245" s="10" t="b">
        <f aca="false">IF(AC245="",FALSE(),ABS(AC245)&gt;Assumptions!$B$41)</f>
        <v>0</v>
      </c>
      <c r="AE245" s="2" t="str">
        <f aca="false">IF(X245,"Low confidence (&lt;=2 orders); ","")&amp;IF(Y245,"Single-month history; ","")&amp;IF(Z245,"CRITICAL: Duplicate status; ","")&amp;IF(AA245,"Missing status; ","")&amp;IF(AD245,"Broker % vs counts gap "&amp;TEXT(AC245,"+0;-0")&amp;"pts; ","")</f>
        <v>Low confidence (&lt;=2 orders); Single-month history; Missing status; </v>
      </c>
      <c r="AF245" s="2" t="str">
        <f aca="false">IF(AND(K245=0,L245&gt;0),IF(D245&lt;=Assumptions!$B$47,"New Customer","Returned Customer"),"Existing Customer")</f>
        <v>Existing Customer</v>
      </c>
      <c r="AG245" s="10" t="b">
        <f aca="false">AND(T245="1. Migration Candidate",J245="Key")</f>
        <v>0</v>
      </c>
      <c r="AH245" s="10" t="b">
        <f aca="false">IF(AND(K245&gt;0,L245&gt;0),OR(ABS(M245-Assumptions!$B$36)&lt;=Assumptions!$B$46,ABS(M245+Assumptions!$B$36)&lt;=Assumptions!$B$46),FALSE())</f>
        <v>0</v>
      </c>
      <c r="AI245" s="9" t="n">
        <f aca="false">INDEX('Commercial View'!$L$2:$L$301,MATCH($A245,'Commercial View'!$A$2:$A$301,0))+INDEX('Commercial View'!$M$2:$M$301,MATCH($A245,'Commercial View'!$A$2:$A$301,0))</f>
        <v>0</v>
      </c>
      <c r="AJ245" s="2" t="str">
        <f aca="false">IF(AND(K245=0,AI245=0),"No activity ex-Feb",IF(AI245=0,"Lapsed",IF(K245=0,"H2 Active / No H1 GMV",IF((AI245/2)/(K245/3)-1&gt;=Assumptions!$B$36,"Growing",IF((AI245/2)/(K245/3)-1&lt;-Assumptions!$B$36,"Declining","Stable")))))</f>
        <v>Lapsed</v>
      </c>
      <c r="AK245" s="10" t="b">
        <f aca="false">IF(OR(N245="Growing",N245="Stable"),"Healthy",N245)&lt;&gt;IF(OR(AJ245="Growing",AJ245="Stable"),"Healthy",AJ245)</f>
        <v>0</v>
      </c>
      <c r="AL245" s="2" t="str">
        <f aca="false">IF(N245="Lapsed",IF(OR(O245&lt;=Assumptions!$B$48,W245&lt;=Assumptions!$B$49),"One-Off / Insufficient History — Verify","Established Buyer Lapsed"),"N/A")</f>
        <v>One-Off / Insufficient History — Verify</v>
      </c>
      <c r="AM245" s="2" t="n">
        <f aca="false">INDEX('Scored Accounts'!$M$2:$M$301,MATCH($A245,'Scored Accounts'!$A$2:$A$301,0))</f>
        <v>0</v>
      </c>
      <c r="AN245" s="2" t="n">
        <f aca="false">IF((P245/(P245+Q245)*100)&lt;=Assumptions!$B$13,0,IF((P245/(P245+Q245)*100)&lt;Assumptions!$B$14,25,IF((P245/(P245+Q245)*100)&lt;Assumptions!$B$15,50,IF((P245/(P245+Q245)*100)&lt;Assumptions!$B$16,75,100))))</f>
        <v>0</v>
      </c>
      <c r="AO245" s="21" t="n">
        <f aca="false">IF((P245/(P245+Q245)*100)&lt;=Assumptions!$B$8,0,AN245*Assumptions!$B$4+INDEX('Scored Accounts'!$N$2:$N$301,MATCH($A245,'Scored Accounts'!$A$2:$A$301,0))*Assumptions!$B$5+INDEX('Scored Accounts'!$O$2:$O$301,MATCH($A245,'Scored Accounts'!$A$2:$A$301,0))*Assumptions!$B$6)</f>
        <v>0</v>
      </c>
      <c r="AP245" s="2" t="str">
        <f aca="false">IF(AO245&gt;=Assumptions!$B$9,"High",IF(AO245&gt;=Assumptions!$B$10,"Medium","Low"))</f>
        <v>Low</v>
      </c>
      <c r="AQ245" s="10" t="b">
        <f aca="false">OR((E245&lt;=Assumptions!$B$8)&lt;&gt;((P245/(P245+Q245)*100)&lt;=Assumptions!$B$8),AM245&lt;&gt;AN245,G245&lt;&gt;AP245)</f>
        <v>0</v>
      </c>
      <c r="AR245" s="2" t="str">
        <f aca="false">IF(AP245&lt;&gt;"Low","Broker-Reliant",IF(B245="Account Managed","AM-Owned / Self-Serving","Self-Serve"))</f>
        <v>Self-Serve</v>
      </c>
      <c r="AS245" s="2" t="str">
        <f aca="false">IF(AR245="Broker-Reliant",IF(J245="Tail","5. Cost-to-Serve / Low-Touch",IF(OR(N245="Growing",N245="Stable"),"1. Migration Candidate",IF(N245="Declining","2. Protect / Retain First",IF(N245="Lapsed","3. Win-Back / Verify",IF(N245="H2 Active / No H1 GMV","4. Establish / Re-establish / Observe","UNASSIGNED"))))),IF(AP245="Low",IF(J245="Tail","9. Long-Tail Automated Nurture",IF(OR(N245="Growing",N245="Stable"),"6. Growth Opportunity",IF(N245="H2 Active / No H1 GMV","7. Onboard / Re-engage / Learn",IF(OR(N245="Declining",N245="Lapsed"),"8. Retention / Reactivation","UNASSIGNED")))),"UNASSIGNED"))</f>
        <v>9. Long-Tail Automated Nurture</v>
      </c>
      <c r="AT245" s="10" t="b">
        <f aca="false">AS245&lt;&gt;T245</f>
        <v>0</v>
      </c>
      <c r="AU245" s="2" t="str">
        <f aca="false">IF(NOT(U245),"Not Eligible",IF(OR(AQ245,AH245,AK245,NOT(AND(W245&gt;=Assumptions!$B$83,O245&gt;=Assumptions!$B$84))),"Manual Review","Ready"))</f>
        <v>Not Eligible</v>
      </c>
      <c r="AV245" s="2" t="str">
        <f aca="false">IF(AG245,"Key account - human sign-off required; ","")&amp;IF(AH245,"Borderline momentum; ","")&amp;IF(AK245,"February-sensitive ("&amp;N245&amp;" -&gt; "&amp;AJ245&amp;"); ","")&amp;IF(AL245="One-Off / Insufficient History — Verify","Lapsed on thin history - verify; ","")&amp;IF(AQ245,"Material broker % inconsistency (implied tier "&amp;AP245&amp;"); ","")&amp;IF(AT245,"Implied broker % would move segment to "&amp;AS245&amp;"; ","")</f>
        <v>Lapsed on thin history - verify; </v>
      </c>
      <c r="AW245" s="10" t="b">
        <f aca="false">AND(G245="Low",J245="Tail",I245&gt;=Assumptions!$B$64,O245&gt;=Assumptions!$B$65,OR(N245="Growing",N245="Stable",AND(N245="H2 Active / No H1 GMV",W245&gt;=2)),OR(R245&gt;=Assumptions!$B$66,S245&gt;=Assumptions!$B$67))</f>
        <v>0</v>
      </c>
    </row>
    <row r="246" customFormat="false" ht="15" hidden="false" customHeight="false" outlineLevel="0" collapsed="false">
      <c r="A246" s="2" t="s">
        <v>776</v>
      </c>
      <c r="B246" s="2" t="s">
        <v>1574</v>
      </c>
      <c r="C246" s="2"/>
      <c r="D246" s="2" t="n">
        <v>5</v>
      </c>
      <c r="E246" s="2" t="n">
        <v>0</v>
      </c>
      <c r="F246" s="21" t="n">
        <f aca="false">INDEX('Scored Accounts'!$Q$2:$Q$301,MATCH($A246,'Scored Accounts'!$A$2:$A$301,0))</f>
        <v>0</v>
      </c>
      <c r="G246" s="2" t="str">
        <f aca="false">INDEX('Scored Accounts'!$R$2:$R$301,MATCH($A246,'Scored Accounts'!$A$2:$A$301,0))</f>
        <v>Low</v>
      </c>
      <c r="H246" s="2" t="str">
        <f aca="false">IF(OR(G246="High",G246="Medium"),"Broker-Reliant",IF(AND(G246="Low",B246="Account Managed"),"AM-Owned / Self-Serving",IF(AND(G246="Low",B246="Self Serve"),"Self-Serve","UNASSIGNED")))</f>
        <v>Self-Serve</v>
      </c>
      <c r="I246" s="9" t="n">
        <v>312</v>
      </c>
      <c r="J246" s="2" t="str">
        <f aca="false">IF(I246&gt;=Assumptions!$B$35,"Key",IF(I246&gt;=Assumptions!$B$34,"Core","Tail"))</f>
        <v>Tail</v>
      </c>
      <c r="K246" s="9" t="n">
        <f aca="false">INDEX('Commercial View'!$R$2:$R$301,MATCH($A246,'Commercial View'!$A$2:$A$301,0))</f>
        <v>312</v>
      </c>
      <c r="L246" s="9" t="n">
        <f aca="false">INDEX('Commercial View'!$S$2:$S$301,MATCH($A246,'Commercial View'!$A$2:$A$301,0))</f>
        <v>0</v>
      </c>
      <c r="M246" s="17" t="n">
        <f aca="false">INDEX('Commercial View'!$T$2:$T$301,MATCH($A246,'Commercial View'!$A$2:$A$301,0))</f>
        <v>-1</v>
      </c>
      <c r="N246" s="2" t="str">
        <f aca="false">INDEX('Commercial View'!$U$2:$U$301,MATCH($A246,'Commercial View'!$A$2:$A$301,0))</f>
        <v>Lapsed</v>
      </c>
      <c r="O246" s="2" t="n">
        <v>2</v>
      </c>
      <c r="P246" s="2" t="n">
        <v>0</v>
      </c>
      <c r="Q246" s="2" t="n">
        <v>2</v>
      </c>
      <c r="R246" s="2" t="n">
        <v>22</v>
      </c>
      <c r="S246" s="2" t="n">
        <v>4</v>
      </c>
      <c r="T246" s="2" t="str">
        <f aca="false">IF(H246="Broker-Reliant",IF(J246="Tail","5. Cost-to-Serve / Low-Touch",IF(OR(N246="Growing",N246="Stable"),"1. Migration Candidate",IF(N246="Declining","2. Protect / Retain First",IF(N246="Lapsed","3. Win-Back / Verify",IF(N246="H2 Active / No H1 GMV","4. Establish / Re-establish / Observe","UNASSIGNED"))))),IF(G246="Low",IF(J246="Tail","9. Long-Tail Automated Nurture",IF(OR(N246="Growing",N246="Stable"),"6. Growth Opportunity",IF(N246="H2 Active / No H1 GMV","7. Onboard / Re-engage / Learn",IF(OR(N246="Declining",N246="Lapsed"),"8. Retention / Reactivation","UNASSIGNED")))),"UNASSIGNED"))</f>
        <v>9. Long-Tail Automated Nurture</v>
      </c>
      <c r="U246" s="10" t="b">
        <f aca="false">AND(T246="1. Migration Candidate",J246="Core",O246&gt;=Assumptions!$B$39,Q246&gt;=Assumptions!$B$40,NOT(Z246))</f>
        <v>0</v>
      </c>
      <c r="V246" s="2" t="n">
        <f aca="false">(AND(H246="Broker-Reliant",J246&lt;&gt;"Tail",OR(N246="Growing",N246="Stable")))*1+(AND(H246="Broker-Reliant",J246&lt;&gt;"Tail",N246="Declining"))*1+(AND(H246="Broker-Reliant",J246&lt;&gt;"Tail",N246="Lapsed"))*1+(AND(H246="Broker-Reliant",J246&lt;&gt;"Tail",N246="H2 Active / No H1 GMV"))*1+(AND(H246="Broker-Reliant",J246="Tail"))*1+(AND(G246="Low",J246&lt;&gt;"Tail",OR(N246="Growing",N246="Stable")))*1+(AND(G246="Low",J246&lt;&gt;"Tail",N246="H2 Active / No H1 GMV"))*1+(AND(G246="Low",J246&lt;&gt;"Tail",OR(N246="Declining",N246="Lapsed")))*1+(AND(G246="Low",J246="Tail"))*1</f>
        <v>1</v>
      </c>
      <c r="W246" s="2" t="n">
        <f aca="false">INDEX('Commercial View'!$V$2:$V$301,MATCH($A246,'Commercial View'!$A$2:$A$301,0))</f>
        <v>1</v>
      </c>
      <c r="X246" s="10" t="b">
        <f aca="false">O246&lt;=Assumptions!$B$30</f>
        <v>1</v>
      </c>
      <c r="Y246" s="10" t="b">
        <f aca="false">W246&lt;=1</f>
        <v>1</v>
      </c>
      <c r="Z246" s="10" t="b">
        <f aca="false">C246="Duplicate"</f>
        <v>0</v>
      </c>
      <c r="AA246" s="10" t="b">
        <f aca="false">C246=""</f>
        <v>1</v>
      </c>
      <c r="AB246" s="2" t="n">
        <f aca="false">IF(P246+Q246&gt;0,ROUND(P246/(P246+Q246)*100,0),"")</f>
        <v>0</v>
      </c>
      <c r="AC246" s="2" t="n">
        <f aca="false">IF(P246+Q246&gt;0,ROUND(E246-P246/(P246+Q246)*100,0),"")</f>
        <v>0</v>
      </c>
      <c r="AD246" s="10" t="b">
        <f aca="false">IF(AC246="",FALSE(),ABS(AC246)&gt;Assumptions!$B$41)</f>
        <v>0</v>
      </c>
      <c r="AE246" s="2" t="str">
        <f aca="false">IF(X246,"Low confidence (&lt;=2 orders); ","")&amp;IF(Y246,"Single-month history; ","")&amp;IF(Z246,"CRITICAL: Duplicate status; ","")&amp;IF(AA246,"Missing status; ","")&amp;IF(AD246,"Broker % vs counts gap "&amp;TEXT(AC246,"+0;-0")&amp;"pts; ","")</f>
        <v>Low confidence (&lt;=2 orders); Single-month history; Missing status; </v>
      </c>
      <c r="AF246" s="2" t="str">
        <f aca="false">IF(AND(K246=0,L246&gt;0),IF(D246&lt;=Assumptions!$B$47,"New Customer","Returned Customer"),"Existing Customer")</f>
        <v>Existing Customer</v>
      </c>
      <c r="AG246" s="10" t="b">
        <f aca="false">AND(T246="1. Migration Candidate",J246="Key")</f>
        <v>0</v>
      </c>
      <c r="AH246" s="10" t="b">
        <f aca="false">IF(AND(K246&gt;0,L246&gt;0),OR(ABS(M246-Assumptions!$B$36)&lt;=Assumptions!$B$46,ABS(M246+Assumptions!$B$36)&lt;=Assumptions!$B$46),FALSE())</f>
        <v>0</v>
      </c>
      <c r="AI246" s="9" t="n">
        <f aca="false">INDEX('Commercial View'!$L$2:$L$301,MATCH($A246,'Commercial View'!$A$2:$A$301,0))+INDEX('Commercial View'!$M$2:$M$301,MATCH($A246,'Commercial View'!$A$2:$A$301,0))</f>
        <v>0</v>
      </c>
      <c r="AJ246" s="2" t="str">
        <f aca="false">IF(AND(K246=0,AI246=0),"No activity ex-Feb",IF(AI246=0,"Lapsed",IF(K246=0,"H2 Active / No H1 GMV",IF((AI246/2)/(K246/3)-1&gt;=Assumptions!$B$36,"Growing",IF((AI246/2)/(K246/3)-1&lt;-Assumptions!$B$36,"Declining","Stable")))))</f>
        <v>Lapsed</v>
      </c>
      <c r="AK246" s="10" t="b">
        <f aca="false">IF(OR(N246="Growing",N246="Stable"),"Healthy",N246)&lt;&gt;IF(OR(AJ246="Growing",AJ246="Stable"),"Healthy",AJ246)</f>
        <v>0</v>
      </c>
      <c r="AL246" s="2" t="str">
        <f aca="false">IF(N246="Lapsed",IF(OR(O246&lt;=Assumptions!$B$48,W246&lt;=Assumptions!$B$49),"One-Off / Insufficient History — Verify","Established Buyer Lapsed"),"N/A")</f>
        <v>One-Off / Insufficient History — Verify</v>
      </c>
      <c r="AM246" s="2" t="n">
        <f aca="false">INDEX('Scored Accounts'!$M$2:$M$301,MATCH($A246,'Scored Accounts'!$A$2:$A$301,0))</f>
        <v>0</v>
      </c>
      <c r="AN246" s="2" t="n">
        <f aca="false">IF((P246/(P246+Q246)*100)&lt;=Assumptions!$B$13,0,IF((P246/(P246+Q246)*100)&lt;Assumptions!$B$14,25,IF((P246/(P246+Q246)*100)&lt;Assumptions!$B$15,50,IF((P246/(P246+Q246)*100)&lt;Assumptions!$B$16,75,100))))</f>
        <v>0</v>
      </c>
      <c r="AO246" s="21" t="n">
        <f aca="false">IF((P246/(P246+Q246)*100)&lt;=Assumptions!$B$8,0,AN246*Assumptions!$B$4+INDEX('Scored Accounts'!$N$2:$N$301,MATCH($A246,'Scored Accounts'!$A$2:$A$301,0))*Assumptions!$B$5+INDEX('Scored Accounts'!$O$2:$O$301,MATCH($A246,'Scored Accounts'!$A$2:$A$301,0))*Assumptions!$B$6)</f>
        <v>0</v>
      </c>
      <c r="AP246" s="2" t="str">
        <f aca="false">IF(AO246&gt;=Assumptions!$B$9,"High",IF(AO246&gt;=Assumptions!$B$10,"Medium","Low"))</f>
        <v>Low</v>
      </c>
      <c r="AQ246" s="10" t="b">
        <f aca="false">OR((E246&lt;=Assumptions!$B$8)&lt;&gt;((P246/(P246+Q246)*100)&lt;=Assumptions!$B$8),AM246&lt;&gt;AN246,G246&lt;&gt;AP246)</f>
        <v>0</v>
      </c>
      <c r="AR246" s="2" t="str">
        <f aca="false">IF(AP246&lt;&gt;"Low","Broker-Reliant",IF(B246="Account Managed","AM-Owned / Self-Serving","Self-Serve"))</f>
        <v>Self-Serve</v>
      </c>
      <c r="AS246" s="2" t="str">
        <f aca="false">IF(AR246="Broker-Reliant",IF(J246="Tail","5. Cost-to-Serve / Low-Touch",IF(OR(N246="Growing",N246="Stable"),"1. Migration Candidate",IF(N246="Declining","2. Protect / Retain First",IF(N246="Lapsed","3. Win-Back / Verify",IF(N246="H2 Active / No H1 GMV","4. Establish / Re-establish / Observe","UNASSIGNED"))))),IF(AP246="Low",IF(J246="Tail","9. Long-Tail Automated Nurture",IF(OR(N246="Growing",N246="Stable"),"6. Growth Opportunity",IF(N246="H2 Active / No H1 GMV","7. Onboard / Re-engage / Learn",IF(OR(N246="Declining",N246="Lapsed"),"8. Retention / Reactivation","UNASSIGNED")))),"UNASSIGNED"))</f>
        <v>9. Long-Tail Automated Nurture</v>
      </c>
      <c r="AT246" s="10" t="b">
        <f aca="false">AS246&lt;&gt;T246</f>
        <v>0</v>
      </c>
      <c r="AU246" s="2" t="str">
        <f aca="false">IF(NOT(U246),"Not Eligible",IF(OR(AQ246,AH246,AK246,NOT(AND(W246&gt;=Assumptions!$B$83,O246&gt;=Assumptions!$B$84))),"Manual Review","Ready"))</f>
        <v>Not Eligible</v>
      </c>
      <c r="AV246" s="2" t="str">
        <f aca="false">IF(AG246,"Key account - human sign-off required; ","")&amp;IF(AH246,"Borderline momentum; ","")&amp;IF(AK246,"February-sensitive ("&amp;N246&amp;" -&gt; "&amp;AJ246&amp;"); ","")&amp;IF(AL246="One-Off / Insufficient History — Verify","Lapsed on thin history - verify; ","")&amp;IF(AQ246,"Material broker % inconsistency (implied tier "&amp;AP246&amp;"); ","")&amp;IF(AT246,"Implied broker % would move segment to "&amp;AS246&amp;"; ","")</f>
        <v>Lapsed on thin history - verify; </v>
      </c>
      <c r="AW246" s="10" t="b">
        <f aca="false">AND(G246="Low",J246="Tail",I246&gt;=Assumptions!$B$64,O246&gt;=Assumptions!$B$65,OR(N246="Growing",N246="Stable",AND(N246="H2 Active / No H1 GMV",W246&gt;=2)),OR(R246&gt;=Assumptions!$B$66,S246&gt;=Assumptions!$B$67))</f>
        <v>0</v>
      </c>
    </row>
    <row r="247" customFormat="false" ht="15" hidden="false" customHeight="false" outlineLevel="0" collapsed="false">
      <c r="A247" s="2" t="s">
        <v>780</v>
      </c>
      <c r="B247" s="2" t="s">
        <v>1574</v>
      </c>
      <c r="C247" s="2"/>
      <c r="D247" s="2" t="n">
        <v>1</v>
      </c>
      <c r="E247" s="2" t="n">
        <v>0</v>
      </c>
      <c r="F247" s="21" t="n">
        <f aca="false">INDEX('Scored Accounts'!$Q$2:$Q$301,MATCH($A247,'Scored Accounts'!$A$2:$A$301,0))</f>
        <v>0</v>
      </c>
      <c r="G247" s="2" t="str">
        <f aca="false">INDEX('Scored Accounts'!$R$2:$R$301,MATCH($A247,'Scored Accounts'!$A$2:$A$301,0))</f>
        <v>Low</v>
      </c>
      <c r="H247" s="2" t="str">
        <f aca="false">IF(OR(G247="High",G247="Medium"),"Broker-Reliant",IF(AND(G247="Low",B247="Account Managed"),"AM-Owned / Self-Serving",IF(AND(G247="Low",B247="Self Serve"),"Self-Serve","UNASSIGNED")))</f>
        <v>Self-Serve</v>
      </c>
      <c r="I247" s="9" t="n">
        <v>308</v>
      </c>
      <c r="J247" s="2" t="str">
        <f aca="false">IF(I247&gt;=Assumptions!$B$35,"Key",IF(I247&gt;=Assumptions!$B$34,"Core","Tail"))</f>
        <v>Tail</v>
      </c>
      <c r="K247" s="9" t="n">
        <f aca="false">INDEX('Commercial View'!$R$2:$R$301,MATCH($A247,'Commercial View'!$A$2:$A$301,0))</f>
        <v>0</v>
      </c>
      <c r="L247" s="9" t="n">
        <f aca="false">INDEX('Commercial View'!$S$2:$S$301,MATCH($A247,'Commercial View'!$A$2:$A$301,0))</f>
        <v>308</v>
      </c>
      <c r="M247" s="17" t="str">
        <f aca="false">INDEX('Commercial View'!$T$2:$T$301,MATCH($A247,'Commercial View'!$A$2:$A$301,0))</f>
        <v/>
      </c>
      <c r="N247" s="2" t="str">
        <f aca="false">INDEX('Commercial View'!$U$2:$U$301,MATCH($A247,'Commercial View'!$A$2:$A$301,0))</f>
        <v>H2 Active / No H1 GMV</v>
      </c>
      <c r="O247" s="2" t="n">
        <v>1</v>
      </c>
      <c r="P247" s="2" t="n">
        <v>0</v>
      </c>
      <c r="Q247" s="2" t="n">
        <v>1</v>
      </c>
      <c r="R247" s="2" t="n">
        <v>1</v>
      </c>
      <c r="S247" s="2" t="n">
        <v>4</v>
      </c>
      <c r="T247" s="2" t="str">
        <f aca="false">IF(H247="Broker-Reliant",IF(J247="Tail","5. Cost-to-Serve / Low-Touch",IF(OR(N247="Growing",N247="Stable"),"1. Migration Candidate",IF(N247="Declining","2. Protect / Retain First",IF(N247="Lapsed","3. Win-Back / Verify",IF(N247="H2 Active / No H1 GMV","4. Establish / Re-establish / Observe","UNASSIGNED"))))),IF(G247="Low",IF(J247="Tail","9. Long-Tail Automated Nurture",IF(OR(N247="Growing",N247="Stable"),"6. Growth Opportunity",IF(N247="H2 Active / No H1 GMV","7. Onboard / Re-engage / Learn",IF(OR(N247="Declining",N247="Lapsed"),"8. Retention / Reactivation","UNASSIGNED")))),"UNASSIGNED"))</f>
        <v>9. Long-Tail Automated Nurture</v>
      </c>
      <c r="U247" s="10" t="b">
        <f aca="false">AND(T247="1. Migration Candidate",J247="Core",O247&gt;=Assumptions!$B$39,Q247&gt;=Assumptions!$B$40,NOT(Z247))</f>
        <v>0</v>
      </c>
      <c r="V247" s="2" t="n">
        <f aca="false">(AND(H247="Broker-Reliant",J247&lt;&gt;"Tail",OR(N247="Growing",N247="Stable")))*1+(AND(H247="Broker-Reliant",J247&lt;&gt;"Tail",N247="Declining"))*1+(AND(H247="Broker-Reliant",J247&lt;&gt;"Tail",N247="Lapsed"))*1+(AND(H247="Broker-Reliant",J247&lt;&gt;"Tail",N247="H2 Active / No H1 GMV"))*1+(AND(H247="Broker-Reliant",J247="Tail"))*1+(AND(G247="Low",J247&lt;&gt;"Tail",OR(N247="Growing",N247="Stable")))*1+(AND(G247="Low",J247&lt;&gt;"Tail",N247="H2 Active / No H1 GMV"))*1+(AND(G247="Low",J247&lt;&gt;"Tail",OR(N247="Declining",N247="Lapsed")))*1+(AND(G247="Low",J247="Tail"))*1</f>
        <v>1</v>
      </c>
      <c r="W247" s="2" t="n">
        <f aca="false">INDEX('Commercial View'!$V$2:$V$301,MATCH($A247,'Commercial View'!$A$2:$A$301,0))</f>
        <v>1</v>
      </c>
      <c r="X247" s="10" t="b">
        <f aca="false">O247&lt;=Assumptions!$B$30</f>
        <v>1</v>
      </c>
      <c r="Y247" s="10" t="b">
        <f aca="false">W247&lt;=1</f>
        <v>1</v>
      </c>
      <c r="Z247" s="10" t="b">
        <f aca="false">C247="Duplicate"</f>
        <v>0</v>
      </c>
      <c r="AA247" s="10" t="b">
        <f aca="false">C247=""</f>
        <v>1</v>
      </c>
      <c r="AB247" s="2" t="n">
        <f aca="false">IF(P247+Q247&gt;0,ROUND(P247/(P247+Q247)*100,0),"")</f>
        <v>0</v>
      </c>
      <c r="AC247" s="2" t="n">
        <f aca="false">IF(P247+Q247&gt;0,ROUND(E247-P247/(P247+Q247)*100,0),"")</f>
        <v>0</v>
      </c>
      <c r="AD247" s="10" t="b">
        <f aca="false">IF(AC247="",FALSE(),ABS(AC247)&gt;Assumptions!$B$41)</f>
        <v>0</v>
      </c>
      <c r="AE247" s="2" t="str">
        <f aca="false">IF(X247,"Low confidence (&lt;=2 orders); ","")&amp;IF(Y247,"Single-month history; ","")&amp;IF(Z247,"CRITICAL: Duplicate status; ","")&amp;IF(AA247,"Missing status; ","")&amp;IF(AD247,"Broker % vs counts gap "&amp;TEXT(AC247,"+0;-0")&amp;"pts; ","")</f>
        <v>Low confidence (&lt;=2 orders); Single-month history; Missing status; </v>
      </c>
      <c r="AF247" s="2" t="str">
        <f aca="false">IF(AND(K247=0,L247&gt;0),IF(D247&lt;=Assumptions!$B$47,"New Customer","Returned Customer"),"Existing Customer")</f>
        <v>New Customer</v>
      </c>
      <c r="AG247" s="10" t="b">
        <f aca="false">AND(T247="1. Migration Candidate",J247="Key")</f>
        <v>0</v>
      </c>
      <c r="AH247" s="10" t="b">
        <f aca="false">IF(AND(K247&gt;0,L247&gt;0),OR(ABS(M247-Assumptions!$B$36)&lt;=Assumptions!$B$46,ABS(M247+Assumptions!$B$36)&lt;=Assumptions!$B$46),FALSE())</f>
        <v>0</v>
      </c>
      <c r="AI247" s="9" t="n">
        <f aca="false">INDEX('Commercial View'!$L$2:$L$301,MATCH($A247,'Commercial View'!$A$2:$A$301,0))+INDEX('Commercial View'!$M$2:$M$301,MATCH($A247,'Commercial View'!$A$2:$A$301,0))</f>
        <v>0</v>
      </c>
      <c r="AJ247" s="2" t="str">
        <f aca="false">IF(AND(K247=0,AI247=0),"No activity ex-Feb",IF(AI247=0,"Lapsed",IF(K247=0,"H2 Active / No H1 GMV",IF((AI247/2)/(K247/3)-1&gt;=Assumptions!$B$36,"Growing",IF((AI247/2)/(K247/3)-1&lt;-Assumptions!$B$36,"Declining","Stable")))))</f>
        <v>No activity ex-Feb</v>
      </c>
      <c r="AK247" s="10" t="b">
        <f aca="false">IF(OR(N247="Growing",N247="Stable"),"Healthy",N247)&lt;&gt;IF(OR(AJ247="Growing",AJ247="Stable"),"Healthy",AJ247)</f>
        <v>1</v>
      </c>
      <c r="AL247" s="2" t="str">
        <f aca="false">IF(N247="Lapsed",IF(OR(O247&lt;=Assumptions!$B$48,W247&lt;=Assumptions!$B$49),"One-Off / Insufficient History — Verify","Established Buyer Lapsed"),"N/A")</f>
        <v>N/A</v>
      </c>
      <c r="AM247" s="2" t="n">
        <f aca="false">INDEX('Scored Accounts'!$M$2:$M$301,MATCH($A247,'Scored Accounts'!$A$2:$A$301,0))</f>
        <v>0</v>
      </c>
      <c r="AN247" s="2" t="n">
        <f aca="false">IF((P247/(P247+Q247)*100)&lt;=Assumptions!$B$13,0,IF((P247/(P247+Q247)*100)&lt;Assumptions!$B$14,25,IF((P247/(P247+Q247)*100)&lt;Assumptions!$B$15,50,IF((P247/(P247+Q247)*100)&lt;Assumptions!$B$16,75,100))))</f>
        <v>0</v>
      </c>
      <c r="AO247" s="21" t="n">
        <f aca="false">IF((P247/(P247+Q247)*100)&lt;=Assumptions!$B$8,0,AN247*Assumptions!$B$4+INDEX('Scored Accounts'!$N$2:$N$301,MATCH($A247,'Scored Accounts'!$A$2:$A$301,0))*Assumptions!$B$5+INDEX('Scored Accounts'!$O$2:$O$301,MATCH($A247,'Scored Accounts'!$A$2:$A$301,0))*Assumptions!$B$6)</f>
        <v>0</v>
      </c>
      <c r="AP247" s="2" t="str">
        <f aca="false">IF(AO247&gt;=Assumptions!$B$9,"High",IF(AO247&gt;=Assumptions!$B$10,"Medium","Low"))</f>
        <v>Low</v>
      </c>
      <c r="AQ247" s="10" t="b">
        <f aca="false">OR((E247&lt;=Assumptions!$B$8)&lt;&gt;((P247/(P247+Q247)*100)&lt;=Assumptions!$B$8),AM247&lt;&gt;AN247,G247&lt;&gt;AP247)</f>
        <v>0</v>
      </c>
      <c r="AR247" s="2" t="str">
        <f aca="false">IF(AP247&lt;&gt;"Low","Broker-Reliant",IF(B247="Account Managed","AM-Owned / Self-Serving","Self-Serve"))</f>
        <v>Self-Serve</v>
      </c>
      <c r="AS247" s="2" t="str">
        <f aca="false">IF(AR247="Broker-Reliant",IF(J247="Tail","5. Cost-to-Serve / Low-Touch",IF(OR(N247="Growing",N247="Stable"),"1. Migration Candidate",IF(N247="Declining","2. Protect / Retain First",IF(N247="Lapsed","3. Win-Back / Verify",IF(N247="H2 Active / No H1 GMV","4. Establish / Re-establish / Observe","UNASSIGNED"))))),IF(AP247="Low",IF(J247="Tail","9. Long-Tail Automated Nurture",IF(OR(N247="Growing",N247="Stable"),"6. Growth Opportunity",IF(N247="H2 Active / No H1 GMV","7. Onboard / Re-engage / Learn",IF(OR(N247="Declining",N247="Lapsed"),"8. Retention / Reactivation","UNASSIGNED")))),"UNASSIGNED"))</f>
        <v>9. Long-Tail Automated Nurture</v>
      </c>
      <c r="AT247" s="10" t="b">
        <f aca="false">AS247&lt;&gt;T247</f>
        <v>0</v>
      </c>
      <c r="AU247" s="2" t="str">
        <f aca="false">IF(NOT(U247),"Not Eligible",IF(OR(AQ247,AH247,AK247,NOT(AND(W247&gt;=Assumptions!$B$83,O247&gt;=Assumptions!$B$84))),"Manual Review","Ready"))</f>
        <v>Not Eligible</v>
      </c>
      <c r="AV247" s="2" t="str">
        <f aca="false">IF(AG247,"Key account - human sign-off required; ","")&amp;IF(AH247,"Borderline momentum; ","")&amp;IF(AK247,"February-sensitive ("&amp;N247&amp;" -&gt; "&amp;AJ247&amp;"); ","")&amp;IF(AL247="One-Off / Insufficient History — Verify","Lapsed on thin history - verify; ","")&amp;IF(AQ247,"Material broker % inconsistency (implied tier "&amp;AP247&amp;"); ","")&amp;IF(AT247,"Implied broker % would move segment to "&amp;AS247&amp;"; ","")</f>
        <v>February-sensitive (H2 Active / No H1 GMV -&gt; No activity ex-Feb); </v>
      </c>
      <c r="AW247" s="10" t="b">
        <f aca="false">AND(G247="Low",J247="Tail",I247&gt;=Assumptions!$B$64,O247&gt;=Assumptions!$B$65,OR(N247="Growing",N247="Stable",AND(N247="H2 Active / No H1 GMV",W247&gt;=2)),OR(R247&gt;=Assumptions!$B$66,S247&gt;=Assumptions!$B$67))</f>
        <v>0</v>
      </c>
    </row>
    <row r="248" customFormat="false" ht="15" hidden="false" customHeight="false" outlineLevel="0" collapsed="false">
      <c r="A248" s="2" t="s">
        <v>786</v>
      </c>
      <c r="B248" s="2" t="s">
        <v>1574</v>
      </c>
      <c r="C248" s="2"/>
      <c r="D248" s="2" t="n">
        <v>2</v>
      </c>
      <c r="E248" s="2" t="n">
        <v>0</v>
      </c>
      <c r="F248" s="21" t="n">
        <f aca="false">INDEX('Scored Accounts'!$Q$2:$Q$301,MATCH($A248,'Scored Accounts'!$A$2:$A$301,0))</f>
        <v>0</v>
      </c>
      <c r="G248" s="2" t="str">
        <f aca="false">INDEX('Scored Accounts'!$R$2:$R$301,MATCH($A248,'Scored Accounts'!$A$2:$A$301,0))</f>
        <v>Low</v>
      </c>
      <c r="H248" s="2" t="str">
        <f aca="false">IF(OR(G248="High",G248="Medium"),"Broker-Reliant",IF(AND(G248="Low",B248="Account Managed"),"AM-Owned / Self-Serving",IF(AND(G248="Low",B248="Self Serve"),"Self-Serve","UNASSIGNED")))</f>
        <v>Self-Serve</v>
      </c>
      <c r="I248" s="9" t="n">
        <v>304</v>
      </c>
      <c r="J248" s="2" t="str">
        <f aca="false">IF(I248&gt;=Assumptions!$B$35,"Key",IF(I248&gt;=Assumptions!$B$34,"Core","Tail"))</f>
        <v>Tail</v>
      </c>
      <c r="K248" s="9" t="n">
        <f aca="false">INDEX('Commercial View'!$R$2:$R$301,MATCH($A248,'Commercial View'!$A$2:$A$301,0))</f>
        <v>0</v>
      </c>
      <c r="L248" s="9" t="n">
        <f aca="false">INDEX('Commercial View'!$S$2:$S$301,MATCH($A248,'Commercial View'!$A$2:$A$301,0))</f>
        <v>304</v>
      </c>
      <c r="M248" s="17" t="str">
        <f aca="false">INDEX('Commercial View'!$T$2:$T$301,MATCH($A248,'Commercial View'!$A$2:$A$301,0))</f>
        <v/>
      </c>
      <c r="N248" s="2" t="str">
        <f aca="false">INDEX('Commercial View'!$U$2:$U$301,MATCH($A248,'Commercial View'!$A$2:$A$301,0))</f>
        <v>H2 Active / No H1 GMV</v>
      </c>
      <c r="O248" s="2" t="n">
        <v>1</v>
      </c>
      <c r="P248" s="2" t="n">
        <v>0</v>
      </c>
      <c r="Q248" s="2" t="n">
        <v>1</v>
      </c>
      <c r="R248" s="2" t="n">
        <v>6</v>
      </c>
      <c r="S248" s="2" t="n">
        <v>0</v>
      </c>
      <c r="T248" s="2" t="str">
        <f aca="false">IF(H248="Broker-Reliant",IF(J248="Tail","5. Cost-to-Serve / Low-Touch",IF(OR(N248="Growing",N248="Stable"),"1. Migration Candidate",IF(N248="Declining","2. Protect / Retain First",IF(N248="Lapsed","3. Win-Back / Verify",IF(N248="H2 Active / No H1 GMV","4. Establish / Re-establish / Observe","UNASSIGNED"))))),IF(G248="Low",IF(J248="Tail","9. Long-Tail Automated Nurture",IF(OR(N248="Growing",N248="Stable"),"6. Growth Opportunity",IF(N248="H2 Active / No H1 GMV","7. Onboard / Re-engage / Learn",IF(OR(N248="Declining",N248="Lapsed"),"8. Retention / Reactivation","UNASSIGNED")))),"UNASSIGNED"))</f>
        <v>9. Long-Tail Automated Nurture</v>
      </c>
      <c r="U248" s="10" t="b">
        <f aca="false">AND(T248="1. Migration Candidate",J248="Core",O248&gt;=Assumptions!$B$39,Q248&gt;=Assumptions!$B$40,NOT(Z248))</f>
        <v>0</v>
      </c>
      <c r="V248" s="2" t="n">
        <f aca="false">(AND(H248="Broker-Reliant",J248&lt;&gt;"Tail",OR(N248="Growing",N248="Stable")))*1+(AND(H248="Broker-Reliant",J248&lt;&gt;"Tail",N248="Declining"))*1+(AND(H248="Broker-Reliant",J248&lt;&gt;"Tail",N248="Lapsed"))*1+(AND(H248="Broker-Reliant",J248&lt;&gt;"Tail",N248="H2 Active / No H1 GMV"))*1+(AND(H248="Broker-Reliant",J248="Tail"))*1+(AND(G248="Low",J248&lt;&gt;"Tail",OR(N248="Growing",N248="Stable")))*1+(AND(G248="Low",J248&lt;&gt;"Tail",N248="H2 Active / No H1 GMV"))*1+(AND(G248="Low",J248&lt;&gt;"Tail",OR(N248="Declining",N248="Lapsed")))*1+(AND(G248="Low",J248="Tail"))*1</f>
        <v>1</v>
      </c>
      <c r="W248" s="2" t="n">
        <f aca="false">INDEX('Commercial View'!$V$2:$V$301,MATCH($A248,'Commercial View'!$A$2:$A$301,0))</f>
        <v>1</v>
      </c>
      <c r="X248" s="10" t="b">
        <f aca="false">O248&lt;=Assumptions!$B$30</f>
        <v>1</v>
      </c>
      <c r="Y248" s="10" t="b">
        <f aca="false">W248&lt;=1</f>
        <v>1</v>
      </c>
      <c r="Z248" s="10" t="b">
        <f aca="false">C248="Duplicate"</f>
        <v>0</v>
      </c>
      <c r="AA248" s="10" t="b">
        <f aca="false">C248=""</f>
        <v>1</v>
      </c>
      <c r="AB248" s="2" t="n">
        <f aca="false">IF(P248+Q248&gt;0,ROUND(P248/(P248+Q248)*100,0),"")</f>
        <v>0</v>
      </c>
      <c r="AC248" s="2" t="n">
        <f aca="false">IF(P248+Q248&gt;0,ROUND(E248-P248/(P248+Q248)*100,0),"")</f>
        <v>0</v>
      </c>
      <c r="AD248" s="10" t="b">
        <f aca="false">IF(AC248="",FALSE(),ABS(AC248)&gt;Assumptions!$B$41)</f>
        <v>0</v>
      </c>
      <c r="AE248" s="2" t="str">
        <f aca="false">IF(X248,"Low confidence (&lt;=2 orders); ","")&amp;IF(Y248,"Single-month history; ","")&amp;IF(Z248,"CRITICAL: Duplicate status; ","")&amp;IF(AA248,"Missing status; ","")&amp;IF(AD248,"Broker % vs counts gap "&amp;TEXT(AC248,"+0;-0")&amp;"pts; ","")</f>
        <v>Low confidence (&lt;=2 orders); Single-month history; Missing status; </v>
      </c>
      <c r="AF248" s="2" t="str">
        <f aca="false">IF(AND(K248=0,L248&gt;0),IF(D248&lt;=Assumptions!$B$47,"New Customer","Returned Customer"),"Existing Customer")</f>
        <v>New Customer</v>
      </c>
      <c r="AG248" s="10" t="b">
        <f aca="false">AND(T248="1. Migration Candidate",J248="Key")</f>
        <v>0</v>
      </c>
      <c r="AH248" s="10" t="b">
        <f aca="false">IF(AND(K248&gt;0,L248&gt;0),OR(ABS(M248-Assumptions!$B$36)&lt;=Assumptions!$B$46,ABS(M248+Assumptions!$B$36)&lt;=Assumptions!$B$46),FALSE())</f>
        <v>0</v>
      </c>
      <c r="AI248" s="9" t="n">
        <f aca="false">INDEX('Commercial View'!$L$2:$L$301,MATCH($A248,'Commercial View'!$A$2:$A$301,0))+INDEX('Commercial View'!$M$2:$M$301,MATCH($A248,'Commercial View'!$A$2:$A$301,0))</f>
        <v>304</v>
      </c>
      <c r="AJ248" s="2" t="str">
        <f aca="false">IF(AND(K248=0,AI248=0),"No activity ex-Feb",IF(AI248=0,"Lapsed",IF(K248=0,"H2 Active / No H1 GMV",IF((AI248/2)/(K248/3)-1&gt;=Assumptions!$B$36,"Growing",IF((AI248/2)/(K248/3)-1&lt;-Assumptions!$B$36,"Declining","Stable")))))</f>
        <v>H2 Active / No H1 GMV</v>
      </c>
      <c r="AK248" s="10" t="b">
        <f aca="false">IF(OR(N248="Growing",N248="Stable"),"Healthy",N248)&lt;&gt;IF(OR(AJ248="Growing",AJ248="Stable"),"Healthy",AJ248)</f>
        <v>0</v>
      </c>
      <c r="AL248" s="2" t="str">
        <f aca="false">IF(N248="Lapsed",IF(OR(O248&lt;=Assumptions!$B$48,W248&lt;=Assumptions!$B$49),"One-Off / Insufficient History — Verify","Established Buyer Lapsed"),"N/A")</f>
        <v>N/A</v>
      </c>
      <c r="AM248" s="2" t="n">
        <f aca="false">INDEX('Scored Accounts'!$M$2:$M$301,MATCH($A248,'Scored Accounts'!$A$2:$A$301,0))</f>
        <v>0</v>
      </c>
      <c r="AN248" s="2" t="n">
        <f aca="false">IF((P248/(P248+Q248)*100)&lt;=Assumptions!$B$13,0,IF((P248/(P248+Q248)*100)&lt;Assumptions!$B$14,25,IF((P248/(P248+Q248)*100)&lt;Assumptions!$B$15,50,IF((P248/(P248+Q248)*100)&lt;Assumptions!$B$16,75,100))))</f>
        <v>0</v>
      </c>
      <c r="AO248" s="21" t="n">
        <f aca="false">IF((P248/(P248+Q248)*100)&lt;=Assumptions!$B$8,0,AN248*Assumptions!$B$4+INDEX('Scored Accounts'!$N$2:$N$301,MATCH($A248,'Scored Accounts'!$A$2:$A$301,0))*Assumptions!$B$5+INDEX('Scored Accounts'!$O$2:$O$301,MATCH($A248,'Scored Accounts'!$A$2:$A$301,0))*Assumptions!$B$6)</f>
        <v>0</v>
      </c>
      <c r="AP248" s="2" t="str">
        <f aca="false">IF(AO248&gt;=Assumptions!$B$9,"High",IF(AO248&gt;=Assumptions!$B$10,"Medium","Low"))</f>
        <v>Low</v>
      </c>
      <c r="AQ248" s="10" t="b">
        <f aca="false">OR((E248&lt;=Assumptions!$B$8)&lt;&gt;((P248/(P248+Q248)*100)&lt;=Assumptions!$B$8),AM248&lt;&gt;AN248,G248&lt;&gt;AP248)</f>
        <v>0</v>
      </c>
      <c r="AR248" s="2" t="str">
        <f aca="false">IF(AP248&lt;&gt;"Low","Broker-Reliant",IF(B248="Account Managed","AM-Owned / Self-Serving","Self-Serve"))</f>
        <v>Self-Serve</v>
      </c>
      <c r="AS248" s="2" t="str">
        <f aca="false">IF(AR248="Broker-Reliant",IF(J248="Tail","5. Cost-to-Serve / Low-Touch",IF(OR(N248="Growing",N248="Stable"),"1. Migration Candidate",IF(N248="Declining","2. Protect / Retain First",IF(N248="Lapsed","3. Win-Back / Verify",IF(N248="H2 Active / No H1 GMV","4. Establish / Re-establish / Observe","UNASSIGNED"))))),IF(AP248="Low",IF(J248="Tail","9. Long-Tail Automated Nurture",IF(OR(N248="Growing",N248="Stable"),"6. Growth Opportunity",IF(N248="H2 Active / No H1 GMV","7. Onboard / Re-engage / Learn",IF(OR(N248="Declining",N248="Lapsed"),"8. Retention / Reactivation","UNASSIGNED")))),"UNASSIGNED"))</f>
        <v>9. Long-Tail Automated Nurture</v>
      </c>
      <c r="AT248" s="10" t="b">
        <f aca="false">AS248&lt;&gt;T248</f>
        <v>0</v>
      </c>
      <c r="AU248" s="2" t="str">
        <f aca="false">IF(NOT(U248),"Not Eligible",IF(OR(AQ248,AH248,AK248,NOT(AND(W248&gt;=Assumptions!$B$83,O248&gt;=Assumptions!$B$84))),"Manual Review","Ready"))</f>
        <v>Not Eligible</v>
      </c>
      <c r="AV248" s="2" t="str">
        <f aca="false">IF(AG248,"Key account - human sign-off required; ","")&amp;IF(AH248,"Borderline momentum; ","")&amp;IF(AK248,"February-sensitive ("&amp;N248&amp;" -&gt; "&amp;AJ248&amp;"); ","")&amp;IF(AL248="One-Off / Insufficient History — Verify","Lapsed on thin history - verify; ","")&amp;IF(AQ248,"Material broker % inconsistency (implied tier "&amp;AP248&amp;"); ","")&amp;IF(AT248,"Implied broker % would move segment to "&amp;AS248&amp;"; ","")</f>
        <v/>
      </c>
      <c r="AW248" s="10" t="b">
        <f aca="false">AND(G248="Low",J248="Tail",I248&gt;=Assumptions!$B$64,O248&gt;=Assumptions!$B$65,OR(N248="Growing",N248="Stable",AND(N248="H2 Active / No H1 GMV",W248&gt;=2)),OR(R248&gt;=Assumptions!$B$66,S248&gt;=Assumptions!$B$67))</f>
        <v>0</v>
      </c>
    </row>
    <row r="249" customFormat="false" ht="15" hidden="false" customHeight="false" outlineLevel="0" collapsed="false">
      <c r="A249" s="2" t="s">
        <v>788</v>
      </c>
      <c r="B249" s="2" t="s">
        <v>1574</v>
      </c>
      <c r="C249" s="2"/>
      <c r="D249" s="2" t="n">
        <v>5</v>
      </c>
      <c r="E249" s="2" t="n">
        <v>0</v>
      </c>
      <c r="F249" s="21" t="n">
        <f aca="false">INDEX('Scored Accounts'!$Q$2:$Q$301,MATCH($A249,'Scored Accounts'!$A$2:$A$301,0))</f>
        <v>0</v>
      </c>
      <c r="G249" s="2" t="str">
        <f aca="false">INDEX('Scored Accounts'!$R$2:$R$301,MATCH($A249,'Scored Accounts'!$A$2:$A$301,0))</f>
        <v>Low</v>
      </c>
      <c r="H249" s="2" t="str">
        <f aca="false">IF(OR(G249="High",G249="Medium"),"Broker-Reliant",IF(AND(G249="Low",B249="Account Managed"),"AM-Owned / Self-Serving",IF(AND(G249="Low",B249="Self Serve"),"Self-Serve","UNASSIGNED")))</f>
        <v>Self-Serve</v>
      </c>
      <c r="I249" s="9" t="n">
        <v>303</v>
      </c>
      <c r="J249" s="2" t="str">
        <f aca="false">IF(I249&gt;=Assumptions!$B$35,"Key",IF(I249&gt;=Assumptions!$B$34,"Core","Tail"))</f>
        <v>Tail</v>
      </c>
      <c r="K249" s="9" t="n">
        <f aca="false">INDEX('Commercial View'!$R$2:$R$301,MATCH($A249,'Commercial View'!$A$2:$A$301,0))</f>
        <v>303</v>
      </c>
      <c r="L249" s="9" t="n">
        <f aca="false">INDEX('Commercial View'!$S$2:$S$301,MATCH($A249,'Commercial View'!$A$2:$A$301,0))</f>
        <v>0</v>
      </c>
      <c r="M249" s="17" t="n">
        <f aca="false">INDEX('Commercial View'!$T$2:$T$301,MATCH($A249,'Commercial View'!$A$2:$A$301,0))</f>
        <v>-1</v>
      </c>
      <c r="N249" s="2" t="str">
        <f aca="false">INDEX('Commercial View'!$U$2:$U$301,MATCH($A249,'Commercial View'!$A$2:$A$301,0))</f>
        <v>Lapsed</v>
      </c>
      <c r="O249" s="2" t="n">
        <v>1</v>
      </c>
      <c r="P249" s="2" t="n">
        <v>0</v>
      </c>
      <c r="Q249" s="2" t="n">
        <v>1</v>
      </c>
      <c r="R249" s="2" t="n">
        <v>4</v>
      </c>
      <c r="S249" s="2" t="n">
        <v>0</v>
      </c>
      <c r="T249" s="2" t="str">
        <f aca="false">IF(H249="Broker-Reliant",IF(J249="Tail","5. Cost-to-Serve / Low-Touch",IF(OR(N249="Growing",N249="Stable"),"1. Migration Candidate",IF(N249="Declining","2. Protect / Retain First",IF(N249="Lapsed","3. Win-Back / Verify",IF(N249="H2 Active / No H1 GMV","4. Establish / Re-establish / Observe","UNASSIGNED"))))),IF(G249="Low",IF(J249="Tail","9. Long-Tail Automated Nurture",IF(OR(N249="Growing",N249="Stable"),"6. Growth Opportunity",IF(N249="H2 Active / No H1 GMV","7. Onboard / Re-engage / Learn",IF(OR(N249="Declining",N249="Lapsed"),"8. Retention / Reactivation","UNASSIGNED")))),"UNASSIGNED"))</f>
        <v>9. Long-Tail Automated Nurture</v>
      </c>
      <c r="U249" s="10" t="b">
        <f aca="false">AND(T249="1. Migration Candidate",J249="Core",O249&gt;=Assumptions!$B$39,Q249&gt;=Assumptions!$B$40,NOT(Z249))</f>
        <v>0</v>
      </c>
      <c r="V249" s="2" t="n">
        <f aca="false">(AND(H249="Broker-Reliant",J249&lt;&gt;"Tail",OR(N249="Growing",N249="Stable")))*1+(AND(H249="Broker-Reliant",J249&lt;&gt;"Tail",N249="Declining"))*1+(AND(H249="Broker-Reliant",J249&lt;&gt;"Tail",N249="Lapsed"))*1+(AND(H249="Broker-Reliant",J249&lt;&gt;"Tail",N249="H2 Active / No H1 GMV"))*1+(AND(H249="Broker-Reliant",J249="Tail"))*1+(AND(G249="Low",J249&lt;&gt;"Tail",OR(N249="Growing",N249="Stable")))*1+(AND(G249="Low",J249&lt;&gt;"Tail",N249="H2 Active / No H1 GMV"))*1+(AND(G249="Low",J249&lt;&gt;"Tail",OR(N249="Declining",N249="Lapsed")))*1+(AND(G249="Low",J249="Tail"))*1</f>
        <v>1</v>
      </c>
      <c r="W249" s="2" t="n">
        <f aca="false">INDEX('Commercial View'!$V$2:$V$301,MATCH($A249,'Commercial View'!$A$2:$A$301,0))</f>
        <v>1</v>
      </c>
      <c r="X249" s="10" t="b">
        <f aca="false">O249&lt;=Assumptions!$B$30</f>
        <v>1</v>
      </c>
      <c r="Y249" s="10" t="b">
        <f aca="false">W249&lt;=1</f>
        <v>1</v>
      </c>
      <c r="Z249" s="10" t="b">
        <f aca="false">C249="Duplicate"</f>
        <v>0</v>
      </c>
      <c r="AA249" s="10" t="b">
        <f aca="false">C249=""</f>
        <v>1</v>
      </c>
      <c r="AB249" s="2" t="n">
        <f aca="false">IF(P249+Q249&gt;0,ROUND(P249/(P249+Q249)*100,0),"")</f>
        <v>0</v>
      </c>
      <c r="AC249" s="2" t="n">
        <f aca="false">IF(P249+Q249&gt;0,ROUND(E249-P249/(P249+Q249)*100,0),"")</f>
        <v>0</v>
      </c>
      <c r="AD249" s="10" t="b">
        <f aca="false">IF(AC249="",FALSE(),ABS(AC249)&gt;Assumptions!$B$41)</f>
        <v>0</v>
      </c>
      <c r="AE249" s="2" t="str">
        <f aca="false">IF(X249,"Low confidence (&lt;=2 orders); ","")&amp;IF(Y249,"Single-month history; ","")&amp;IF(Z249,"CRITICAL: Duplicate status; ","")&amp;IF(AA249,"Missing status; ","")&amp;IF(AD249,"Broker % vs counts gap "&amp;TEXT(AC249,"+0;-0")&amp;"pts; ","")</f>
        <v>Low confidence (&lt;=2 orders); Single-month history; Missing status; </v>
      </c>
      <c r="AF249" s="2" t="str">
        <f aca="false">IF(AND(K249=0,L249&gt;0),IF(D249&lt;=Assumptions!$B$47,"New Customer","Returned Customer"),"Existing Customer")</f>
        <v>Existing Customer</v>
      </c>
      <c r="AG249" s="10" t="b">
        <f aca="false">AND(T249="1. Migration Candidate",J249="Key")</f>
        <v>0</v>
      </c>
      <c r="AH249" s="10" t="b">
        <f aca="false">IF(AND(K249&gt;0,L249&gt;0),OR(ABS(M249-Assumptions!$B$36)&lt;=Assumptions!$B$46,ABS(M249+Assumptions!$B$36)&lt;=Assumptions!$B$46),FALSE())</f>
        <v>0</v>
      </c>
      <c r="AI249" s="9" t="n">
        <f aca="false">INDEX('Commercial View'!$L$2:$L$301,MATCH($A249,'Commercial View'!$A$2:$A$301,0))+INDEX('Commercial View'!$M$2:$M$301,MATCH($A249,'Commercial View'!$A$2:$A$301,0))</f>
        <v>0</v>
      </c>
      <c r="AJ249" s="2" t="str">
        <f aca="false">IF(AND(K249=0,AI249=0),"No activity ex-Feb",IF(AI249=0,"Lapsed",IF(K249=0,"H2 Active / No H1 GMV",IF((AI249/2)/(K249/3)-1&gt;=Assumptions!$B$36,"Growing",IF((AI249/2)/(K249/3)-1&lt;-Assumptions!$B$36,"Declining","Stable")))))</f>
        <v>Lapsed</v>
      </c>
      <c r="AK249" s="10" t="b">
        <f aca="false">IF(OR(N249="Growing",N249="Stable"),"Healthy",N249)&lt;&gt;IF(OR(AJ249="Growing",AJ249="Stable"),"Healthy",AJ249)</f>
        <v>0</v>
      </c>
      <c r="AL249" s="2" t="str">
        <f aca="false">IF(N249="Lapsed",IF(OR(O249&lt;=Assumptions!$B$48,W249&lt;=Assumptions!$B$49),"One-Off / Insufficient History — Verify","Established Buyer Lapsed"),"N/A")</f>
        <v>One-Off / Insufficient History — Verify</v>
      </c>
      <c r="AM249" s="2" t="n">
        <f aca="false">INDEX('Scored Accounts'!$M$2:$M$301,MATCH($A249,'Scored Accounts'!$A$2:$A$301,0))</f>
        <v>0</v>
      </c>
      <c r="AN249" s="2" t="n">
        <f aca="false">IF((P249/(P249+Q249)*100)&lt;=Assumptions!$B$13,0,IF((P249/(P249+Q249)*100)&lt;Assumptions!$B$14,25,IF((P249/(P249+Q249)*100)&lt;Assumptions!$B$15,50,IF((P249/(P249+Q249)*100)&lt;Assumptions!$B$16,75,100))))</f>
        <v>0</v>
      </c>
      <c r="AO249" s="21" t="n">
        <f aca="false">IF((P249/(P249+Q249)*100)&lt;=Assumptions!$B$8,0,AN249*Assumptions!$B$4+INDEX('Scored Accounts'!$N$2:$N$301,MATCH($A249,'Scored Accounts'!$A$2:$A$301,0))*Assumptions!$B$5+INDEX('Scored Accounts'!$O$2:$O$301,MATCH($A249,'Scored Accounts'!$A$2:$A$301,0))*Assumptions!$B$6)</f>
        <v>0</v>
      </c>
      <c r="AP249" s="2" t="str">
        <f aca="false">IF(AO249&gt;=Assumptions!$B$9,"High",IF(AO249&gt;=Assumptions!$B$10,"Medium","Low"))</f>
        <v>Low</v>
      </c>
      <c r="AQ249" s="10" t="b">
        <f aca="false">OR((E249&lt;=Assumptions!$B$8)&lt;&gt;((P249/(P249+Q249)*100)&lt;=Assumptions!$B$8),AM249&lt;&gt;AN249,G249&lt;&gt;AP249)</f>
        <v>0</v>
      </c>
      <c r="AR249" s="2" t="str">
        <f aca="false">IF(AP249&lt;&gt;"Low","Broker-Reliant",IF(B249="Account Managed","AM-Owned / Self-Serving","Self-Serve"))</f>
        <v>Self-Serve</v>
      </c>
      <c r="AS249" s="2" t="str">
        <f aca="false">IF(AR249="Broker-Reliant",IF(J249="Tail","5. Cost-to-Serve / Low-Touch",IF(OR(N249="Growing",N249="Stable"),"1. Migration Candidate",IF(N249="Declining","2. Protect / Retain First",IF(N249="Lapsed","3. Win-Back / Verify",IF(N249="H2 Active / No H1 GMV","4. Establish / Re-establish / Observe","UNASSIGNED"))))),IF(AP249="Low",IF(J249="Tail","9. Long-Tail Automated Nurture",IF(OR(N249="Growing",N249="Stable"),"6. Growth Opportunity",IF(N249="H2 Active / No H1 GMV","7. Onboard / Re-engage / Learn",IF(OR(N249="Declining",N249="Lapsed"),"8. Retention / Reactivation","UNASSIGNED")))),"UNASSIGNED"))</f>
        <v>9. Long-Tail Automated Nurture</v>
      </c>
      <c r="AT249" s="10" t="b">
        <f aca="false">AS249&lt;&gt;T249</f>
        <v>0</v>
      </c>
      <c r="AU249" s="2" t="str">
        <f aca="false">IF(NOT(U249),"Not Eligible",IF(OR(AQ249,AH249,AK249,NOT(AND(W249&gt;=Assumptions!$B$83,O249&gt;=Assumptions!$B$84))),"Manual Review","Ready"))</f>
        <v>Not Eligible</v>
      </c>
      <c r="AV249" s="2" t="str">
        <f aca="false">IF(AG249,"Key account - human sign-off required; ","")&amp;IF(AH249,"Borderline momentum; ","")&amp;IF(AK249,"February-sensitive ("&amp;N249&amp;" -&gt; "&amp;AJ249&amp;"); ","")&amp;IF(AL249="One-Off / Insufficient History — Verify","Lapsed on thin history - verify; ","")&amp;IF(AQ249,"Material broker % inconsistency (implied tier "&amp;AP249&amp;"); ","")&amp;IF(AT249,"Implied broker % would move segment to "&amp;AS249&amp;"; ","")</f>
        <v>Lapsed on thin history - verify; </v>
      </c>
      <c r="AW249" s="10" t="b">
        <f aca="false">AND(G249="Low",J249="Tail",I249&gt;=Assumptions!$B$64,O249&gt;=Assumptions!$B$65,OR(N249="Growing",N249="Stable",AND(N249="H2 Active / No H1 GMV",W249&gt;=2)),OR(R249&gt;=Assumptions!$B$66,S249&gt;=Assumptions!$B$67))</f>
        <v>0</v>
      </c>
    </row>
    <row r="250" customFormat="false" ht="15" hidden="false" customHeight="false" outlineLevel="0" collapsed="false">
      <c r="A250" s="2" t="s">
        <v>792</v>
      </c>
      <c r="B250" s="2" t="s">
        <v>1574</v>
      </c>
      <c r="C250" s="2"/>
      <c r="D250" s="2" t="n">
        <v>6</v>
      </c>
      <c r="E250" s="2" t="n">
        <v>0</v>
      </c>
      <c r="F250" s="21" t="n">
        <f aca="false">INDEX('Scored Accounts'!$Q$2:$Q$301,MATCH($A250,'Scored Accounts'!$A$2:$A$301,0))</f>
        <v>0</v>
      </c>
      <c r="G250" s="2" t="str">
        <f aca="false">INDEX('Scored Accounts'!$R$2:$R$301,MATCH($A250,'Scored Accounts'!$A$2:$A$301,0))</f>
        <v>Low</v>
      </c>
      <c r="H250" s="2" t="str">
        <f aca="false">IF(OR(G250="High",G250="Medium"),"Broker-Reliant",IF(AND(G250="Low",B250="Account Managed"),"AM-Owned / Self-Serving",IF(AND(G250="Low",B250="Self Serve"),"Self-Serve","UNASSIGNED")))</f>
        <v>Self-Serve</v>
      </c>
      <c r="I250" s="9" t="n">
        <v>298</v>
      </c>
      <c r="J250" s="2" t="str">
        <f aca="false">IF(I250&gt;=Assumptions!$B$35,"Key",IF(I250&gt;=Assumptions!$B$34,"Core","Tail"))</f>
        <v>Tail</v>
      </c>
      <c r="K250" s="9" t="n">
        <f aca="false">INDEX('Commercial View'!$R$2:$R$301,MATCH($A250,'Commercial View'!$A$2:$A$301,0))</f>
        <v>298</v>
      </c>
      <c r="L250" s="9" t="n">
        <f aca="false">INDEX('Commercial View'!$S$2:$S$301,MATCH($A250,'Commercial View'!$A$2:$A$301,0))</f>
        <v>0</v>
      </c>
      <c r="M250" s="17" t="n">
        <f aca="false">INDEX('Commercial View'!$T$2:$T$301,MATCH($A250,'Commercial View'!$A$2:$A$301,0))</f>
        <v>-1</v>
      </c>
      <c r="N250" s="2" t="str">
        <f aca="false">INDEX('Commercial View'!$U$2:$U$301,MATCH($A250,'Commercial View'!$A$2:$A$301,0))</f>
        <v>Lapsed</v>
      </c>
      <c r="O250" s="2" t="n">
        <v>1</v>
      </c>
      <c r="P250" s="2" t="n">
        <v>0</v>
      </c>
      <c r="Q250" s="2" t="n">
        <v>1</v>
      </c>
      <c r="R250" s="2" t="n">
        <v>13</v>
      </c>
      <c r="S250" s="2" t="n">
        <v>1</v>
      </c>
      <c r="T250" s="2" t="str">
        <f aca="false">IF(H250="Broker-Reliant",IF(J250="Tail","5. Cost-to-Serve / Low-Touch",IF(OR(N250="Growing",N250="Stable"),"1. Migration Candidate",IF(N250="Declining","2. Protect / Retain First",IF(N250="Lapsed","3. Win-Back / Verify",IF(N250="H2 Active / No H1 GMV","4. Establish / Re-establish / Observe","UNASSIGNED"))))),IF(G250="Low",IF(J250="Tail","9. Long-Tail Automated Nurture",IF(OR(N250="Growing",N250="Stable"),"6. Growth Opportunity",IF(N250="H2 Active / No H1 GMV","7. Onboard / Re-engage / Learn",IF(OR(N250="Declining",N250="Lapsed"),"8. Retention / Reactivation","UNASSIGNED")))),"UNASSIGNED"))</f>
        <v>9. Long-Tail Automated Nurture</v>
      </c>
      <c r="U250" s="10" t="b">
        <f aca="false">AND(T250="1. Migration Candidate",J250="Core",O250&gt;=Assumptions!$B$39,Q250&gt;=Assumptions!$B$40,NOT(Z250))</f>
        <v>0</v>
      </c>
      <c r="V250" s="2" t="n">
        <f aca="false">(AND(H250="Broker-Reliant",J250&lt;&gt;"Tail",OR(N250="Growing",N250="Stable")))*1+(AND(H250="Broker-Reliant",J250&lt;&gt;"Tail",N250="Declining"))*1+(AND(H250="Broker-Reliant",J250&lt;&gt;"Tail",N250="Lapsed"))*1+(AND(H250="Broker-Reliant",J250&lt;&gt;"Tail",N250="H2 Active / No H1 GMV"))*1+(AND(H250="Broker-Reliant",J250="Tail"))*1+(AND(G250="Low",J250&lt;&gt;"Tail",OR(N250="Growing",N250="Stable")))*1+(AND(G250="Low",J250&lt;&gt;"Tail",N250="H2 Active / No H1 GMV"))*1+(AND(G250="Low",J250&lt;&gt;"Tail",OR(N250="Declining",N250="Lapsed")))*1+(AND(G250="Low",J250="Tail"))*1</f>
        <v>1</v>
      </c>
      <c r="W250" s="2" t="n">
        <f aca="false">INDEX('Commercial View'!$V$2:$V$301,MATCH($A250,'Commercial View'!$A$2:$A$301,0))</f>
        <v>1</v>
      </c>
      <c r="X250" s="10" t="b">
        <f aca="false">O250&lt;=Assumptions!$B$30</f>
        <v>1</v>
      </c>
      <c r="Y250" s="10" t="b">
        <f aca="false">W250&lt;=1</f>
        <v>1</v>
      </c>
      <c r="Z250" s="10" t="b">
        <f aca="false">C250="Duplicate"</f>
        <v>0</v>
      </c>
      <c r="AA250" s="10" t="b">
        <f aca="false">C250=""</f>
        <v>1</v>
      </c>
      <c r="AB250" s="2" t="n">
        <f aca="false">IF(P250+Q250&gt;0,ROUND(P250/(P250+Q250)*100,0),"")</f>
        <v>0</v>
      </c>
      <c r="AC250" s="2" t="n">
        <f aca="false">IF(P250+Q250&gt;0,ROUND(E250-P250/(P250+Q250)*100,0),"")</f>
        <v>0</v>
      </c>
      <c r="AD250" s="10" t="b">
        <f aca="false">IF(AC250="",FALSE(),ABS(AC250)&gt;Assumptions!$B$41)</f>
        <v>0</v>
      </c>
      <c r="AE250" s="2" t="str">
        <f aca="false">IF(X250,"Low confidence (&lt;=2 orders); ","")&amp;IF(Y250,"Single-month history; ","")&amp;IF(Z250,"CRITICAL: Duplicate status; ","")&amp;IF(AA250,"Missing status; ","")&amp;IF(AD250,"Broker % vs counts gap "&amp;TEXT(AC250,"+0;-0")&amp;"pts; ","")</f>
        <v>Low confidence (&lt;=2 orders); Single-month history; Missing status; </v>
      </c>
      <c r="AF250" s="2" t="str">
        <f aca="false">IF(AND(K250=0,L250&gt;0),IF(D250&lt;=Assumptions!$B$47,"New Customer","Returned Customer"),"Existing Customer")</f>
        <v>Existing Customer</v>
      </c>
      <c r="AG250" s="10" t="b">
        <f aca="false">AND(T250="1. Migration Candidate",J250="Key")</f>
        <v>0</v>
      </c>
      <c r="AH250" s="10" t="b">
        <f aca="false">IF(AND(K250&gt;0,L250&gt;0),OR(ABS(M250-Assumptions!$B$36)&lt;=Assumptions!$B$46,ABS(M250+Assumptions!$B$36)&lt;=Assumptions!$B$46),FALSE())</f>
        <v>0</v>
      </c>
      <c r="AI250" s="9" t="n">
        <f aca="false">INDEX('Commercial View'!$L$2:$L$301,MATCH($A250,'Commercial View'!$A$2:$A$301,0))+INDEX('Commercial View'!$M$2:$M$301,MATCH($A250,'Commercial View'!$A$2:$A$301,0))</f>
        <v>0</v>
      </c>
      <c r="AJ250" s="2" t="str">
        <f aca="false">IF(AND(K250=0,AI250=0),"No activity ex-Feb",IF(AI250=0,"Lapsed",IF(K250=0,"H2 Active / No H1 GMV",IF((AI250/2)/(K250/3)-1&gt;=Assumptions!$B$36,"Growing",IF((AI250/2)/(K250/3)-1&lt;-Assumptions!$B$36,"Declining","Stable")))))</f>
        <v>Lapsed</v>
      </c>
      <c r="AK250" s="10" t="b">
        <f aca="false">IF(OR(N250="Growing",N250="Stable"),"Healthy",N250)&lt;&gt;IF(OR(AJ250="Growing",AJ250="Stable"),"Healthy",AJ250)</f>
        <v>0</v>
      </c>
      <c r="AL250" s="2" t="str">
        <f aca="false">IF(N250="Lapsed",IF(OR(O250&lt;=Assumptions!$B$48,W250&lt;=Assumptions!$B$49),"One-Off / Insufficient History — Verify","Established Buyer Lapsed"),"N/A")</f>
        <v>One-Off / Insufficient History — Verify</v>
      </c>
      <c r="AM250" s="2" t="n">
        <f aca="false">INDEX('Scored Accounts'!$M$2:$M$301,MATCH($A250,'Scored Accounts'!$A$2:$A$301,0))</f>
        <v>0</v>
      </c>
      <c r="AN250" s="2" t="n">
        <f aca="false">IF((P250/(P250+Q250)*100)&lt;=Assumptions!$B$13,0,IF((P250/(P250+Q250)*100)&lt;Assumptions!$B$14,25,IF((P250/(P250+Q250)*100)&lt;Assumptions!$B$15,50,IF((P250/(P250+Q250)*100)&lt;Assumptions!$B$16,75,100))))</f>
        <v>0</v>
      </c>
      <c r="AO250" s="21" t="n">
        <f aca="false">IF((P250/(P250+Q250)*100)&lt;=Assumptions!$B$8,0,AN250*Assumptions!$B$4+INDEX('Scored Accounts'!$N$2:$N$301,MATCH($A250,'Scored Accounts'!$A$2:$A$301,0))*Assumptions!$B$5+INDEX('Scored Accounts'!$O$2:$O$301,MATCH($A250,'Scored Accounts'!$A$2:$A$301,0))*Assumptions!$B$6)</f>
        <v>0</v>
      </c>
      <c r="AP250" s="2" t="str">
        <f aca="false">IF(AO250&gt;=Assumptions!$B$9,"High",IF(AO250&gt;=Assumptions!$B$10,"Medium","Low"))</f>
        <v>Low</v>
      </c>
      <c r="AQ250" s="10" t="b">
        <f aca="false">OR((E250&lt;=Assumptions!$B$8)&lt;&gt;((P250/(P250+Q250)*100)&lt;=Assumptions!$B$8),AM250&lt;&gt;AN250,G250&lt;&gt;AP250)</f>
        <v>0</v>
      </c>
      <c r="AR250" s="2" t="str">
        <f aca="false">IF(AP250&lt;&gt;"Low","Broker-Reliant",IF(B250="Account Managed","AM-Owned / Self-Serving","Self-Serve"))</f>
        <v>Self-Serve</v>
      </c>
      <c r="AS250" s="2" t="str">
        <f aca="false">IF(AR250="Broker-Reliant",IF(J250="Tail","5. Cost-to-Serve / Low-Touch",IF(OR(N250="Growing",N250="Stable"),"1. Migration Candidate",IF(N250="Declining","2. Protect / Retain First",IF(N250="Lapsed","3. Win-Back / Verify",IF(N250="H2 Active / No H1 GMV","4. Establish / Re-establish / Observe","UNASSIGNED"))))),IF(AP250="Low",IF(J250="Tail","9. Long-Tail Automated Nurture",IF(OR(N250="Growing",N250="Stable"),"6. Growth Opportunity",IF(N250="H2 Active / No H1 GMV","7. Onboard / Re-engage / Learn",IF(OR(N250="Declining",N250="Lapsed"),"8. Retention / Reactivation","UNASSIGNED")))),"UNASSIGNED"))</f>
        <v>9. Long-Tail Automated Nurture</v>
      </c>
      <c r="AT250" s="10" t="b">
        <f aca="false">AS250&lt;&gt;T250</f>
        <v>0</v>
      </c>
      <c r="AU250" s="2" t="str">
        <f aca="false">IF(NOT(U250),"Not Eligible",IF(OR(AQ250,AH250,AK250,NOT(AND(W250&gt;=Assumptions!$B$83,O250&gt;=Assumptions!$B$84))),"Manual Review","Ready"))</f>
        <v>Not Eligible</v>
      </c>
      <c r="AV250" s="2" t="str">
        <f aca="false">IF(AG250,"Key account - human sign-off required; ","")&amp;IF(AH250,"Borderline momentum; ","")&amp;IF(AK250,"February-sensitive ("&amp;N250&amp;" -&gt; "&amp;AJ250&amp;"); ","")&amp;IF(AL250="One-Off / Insufficient History — Verify","Lapsed on thin history - verify; ","")&amp;IF(AQ250,"Material broker % inconsistency (implied tier "&amp;AP250&amp;"); ","")&amp;IF(AT250,"Implied broker % would move segment to "&amp;AS250&amp;"; ","")</f>
        <v>Lapsed on thin history - verify; </v>
      </c>
      <c r="AW250" s="10" t="b">
        <f aca="false">AND(G250="Low",J250="Tail",I250&gt;=Assumptions!$B$64,O250&gt;=Assumptions!$B$65,OR(N250="Growing",N250="Stable",AND(N250="H2 Active / No H1 GMV",W250&gt;=2)),OR(R250&gt;=Assumptions!$B$66,S250&gt;=Assumptions!$B$67))</f>
        <v>0</v>
      </c>
    </row>
    <row r="251" customFormat="false" ht="15" hidden="false" customHeight="false" outlineLevel="0" collapsed="false">
      <c r="A251" s="2" t="s">
        <v>796</v>
      </c>
      <c r="B251" s="2" t="s">
        <v>1574</v>
      </c>
      <c r="C251" s="2"/>
      <c r="D251" s="2" t="n">
        <v>4</v>
      </c>
      <c r="E251" s="2" t="n">
        <v>0</v>
      </c>
      <c r="F251" s="21" t="n">
        <f aca="false">INDEX('Scored Accounts'!$Q$2:$Q$301,MATCH($A251,'Scored Accounts'!$A$2:$A$301,0))</f>
        <v>0</v>
      </c>
      <c r="G251" s="2" t="str">
        <f aca="false">INDEX('Scored Accounts'!$R$2:$R$301,MATCH($A251,'Scored Accounts'!$A$2:$A$301,0))</f>
        <v>Low</v>
      </c>
      <c r="H251" s="2" t="str">
        <f aca="false">IF(OR(G251="High",G251="Medium"),"Broker-Reliant",IF(AND(G251="Low",B251="Account Managed"),"AM-Owned / Self-Serving",IF(AND(G251="Low",B251="Self Serve"),"Self-Serve","UNASSIGNED")))</f>
        <v>Self-Serve</v>
      </c>
      <c r="I251" s="9" t="n">
        <v>294</v>
      </c>
      <c r="J251" s="2" t="str">
        <f aca="false">IF(I251&gt;=Assumptions!$B$35,"Key",IF(I251&gt;=Assumptions!$B$34,"Core","Tail"))</f>
        <v>Tail</v>
      </c>
      <c r="K251" s="9" t="n">
        <f aca="false">INDEX('Commercial View'!$R$2:$R$301,MATCH($A251,'Commercial View'!$A$2:$A$301,0))</f>
        <v>294</v>
      </c>
      <c r="L251" s="9" t="n">
        <f aca="false">INDEX('Commercial View'!$S$2:$S$301,MATCH($A251,'Commercial View'!$A$2:$A$301,0))</f>
        <v>0</v>
      </c>
      <c r="M251" s="17" t="n">
        <f aca="false">INDEX('Commercial View'!$T$2:$T$301,MATCH($A251,'Commercial View'!$A$2:$A$301,0))</f>
        <v>-1</v>
      </c>
      <c r="N251" s="2" t="str">
        <f aca="false">INDEX('Commercial View'!$U$2:$U$301,MATCH($A251,'Commercial View'!$A$2:$A$301,0))</f>
        <v>Lapsed</v>
      </c>
      <c r="O251" s="2" t="n">
        <v>1</v>
      </c>
      <c r="P251" s="2" t="n">
        <v>0</v>
      </c>
      <c r="Q251" s="2" t="n">
        <v>1</v>
      </c>
      <c r="R251" s="2" t="n">
        <v>7</v>
      </c>
      <c r="S251" s="2" t="n">
        <v>9</v>
      </c>
      <c r="T251" s="2" t="str">
        <f aca="false">IF(H251="Broker-Reliant",IF(J251="Tail","5. Cost-to-Serve / Low-Touch",IF(OR(N251="Growing",N251="Stable"),"1. Migration Candidate",IF(N251="Declining","2. Protect / Retain First",IF(N251="Lapsed","3. Win-Back / Verify",IF(N251="H2 Active / No H1 GMV","4. Establish / Re-establish / Observe","UNASSIGNED"))))),IF(G251="Low",IF(J251="Tail","9. Long-Tail Automated Nurture",IF(OR(N251="Growing",N251="Stable"),"6. Growth Opportunity",IF(N251="H2 Active / No H1 GMV","7. Onboard / Re-engage / Learn",IF(OR(N251="Declining",N251="Lapsed"),"8. Retention / Reactivation","UNASSIGNED")))),"UNASSIGNED"))</f>
        <v>9. Long-Tail Automated Nurture</v>
      </c>
      <c r="U251" s="10" t="b">
        <f aca="false">AND(T251="1. Migration Candidate",J251="Core",O251&gt;=Assumptions!$B$39,Q251&gt;=Assumptions!$B$40,NOT(Z251))</f>
        <v>0</v>
      </c>
      <c r="V251" s="2" t="n">
        <f aca="false">(AND(H251="Broker-Reliant",J251&lt;&gt;"Tail",OR(N251="Growing",N251="Stable")))*1+(AND(H251="Broker-Reliant",J251&lt;&gt;"Tail",N251="Declining"))*1+(AND(H251="Broker-Reliant",J251&lt;&gt;"Tail",N251="Lapsed"))*1+(AND(H251="Broker-Reliant",J251&lt;&gt;"Tail",N251="H2 Active / No H1 GMV"))*1+(AND(H251="Broker-Reliant",J251="Tail"))*1+(AND(G251="Low",J251&lt;&gt;"Tail",OR(N251="Growing",N251="Stable")))*1+(AND(G251="Low",J251&lt;&gt;"Tail",N251="H2 Active / No H1 GMV"))*1+(AND(G251="Low",J251&lt;&gt;"Tail",OR(N251="Declining",N251="Lapsed")))*1+(AND(G251="Low",J251="Tail"))*1</f>
        <v>1</v>
      </c>
      <c r="W251" s="2" t="n">
        <f aca="false">INDEX('Commercial View'!$V$2:$V$301,MATCH($A251,'Commercial View'!$A$2:$A$301,0))</f>
        <v>1</v>
      </c>
      <c r="X251" s="10" t="b">
        <f aca="false">O251&lt;=Assumptions!$B$30</f>
        <v>1</v>
      </c>
      <c r="Y251" s="10" t="b">
        <f aca="false">W251&lt;=1</f>
        <v>1</v>
      </c>
      <c r="Z251" s="10" t="b">
        <f aca="false">C251="Duplicate"</f>
        <v>0</v>
      </c>
      <c r="AA251" s="10" t="b">
        <f aca="false">C251=""</f>
        <v>1</v>
      </c>
      <c r="AB251" s="2" t="n">
        <f aca="false">IF(P251+Q251&gt;0,ROUND(P251/(P251+Q251)*100,0),"")</f>
        <v>0</v>
      </c>
      <c r="AC251" s="2" t="n">
        <f aca="false">IF(P251+Q251&gt;0,ROUND(E251-P251/(P251+Q251)*100,0),"")</f>
        <v>0</v>
      </c>
      <c r="AD251" s="10" t="b">
        <f aca="false">IF(AC251="",FALSE(),ABS(AC251)&gt;Assumptions!$B$41)</f>
        <v>0</v>
      </c>
      <c r="AE251" s="2" t="str">
        <f aca="false">IF(X251,"Low confidence (&lt;=2 orders); ","")&amp;IF(Y251,"Single-month history; ","")&amp;IF(Z251,"CRITICAL: Duplicate status; ","")&amp;IF(AA251,"Missing status; ","")&amp;IF(AD251,"Broker % vs counts gap "&amp;TEXT(AC251,"+0;-0")&amp;"pts; ","")</f>
        <v>Low confidence (&lt;=2 orders); Single-month history; Missing status; </v>
      </c>
      <c r="AF251" s="2" t="str">
        <f aca="false">IF(AND(K251=0,L251&gt;0),IF(D251&lt;=Assumptions!$B$47,"New Customer","Returned Customer"),"Existing Customer")</f>
        <v>Existing Customer</v>
      </c>
      <c r="AG251" s="10" t="b">
        <f aca="false">AND(T251="1. Migration Candidate",J251="Key")</f>
        <v>0</v>
      </c>
      <c r="AH251" s="10" t="b">
        <f aca="false">IF(AND(K251&gt;0,L251&gt;0),OR(ABS(M251-Assumptions!$B$36)&lt;=Assumptions!$B$46,ABS(M251+Assumptions!$B$36)&lt;=Assumptions!$B$46),FALSE())</f>
        <v>0</v>
      </c>
      <c r="AI251" s="9" t="n">
        <f aca="false">INDEX('Commercial View'!$L$2:$L$301,MATCH($A251,'Commercial View'!$A$2:$A$301,0))+INDEX('Commercial View'!$M$2:$M$301,MATCH($A251,'Commercial View'!$A$2:$A$301,0))</f>
        <v>0</v>
      </c>
      <c r="AJ251" s="2" t="str">
        <f aca="false">IF(AND(K251=0,AI251=0),"No activity ex-Feb",IF(AI251=0,"Lapsed",IF(K251=0,"H2 Active / No H1 GMV",IF((AI251/2)/(K251/3)-1&gt;=Assumptions!$B$36,"Growing",IF((AI251/2)/(K251/3)-1&lt;-Assumptions!$B$36,"Declining","Stable")))))</f>
        <v>Lapsed</v>
      </c>
      <c r="AK251" s="10" t="b">
        <f aca="false">IF(OR(N251="Growing",N251="Stable"),"Healthy",N251)&lt;&gt;IF(OR(AJ251="Growing",AJ251="Stable"),"Healthy",AJ251)</f>
        <v>0</v>
      </c>
      <c r="AL251" s="2" t="str">
        <f aca="false">IF(N251="Lapsed",IF(OR(O251&lt;=Assumptions!$B$48,W251&lt;=Assumptions!$B$49),"One-Off / Insufficient History — Verify","Established Buyer Lapsed"),"N/A")</f>
        <v>One-Off / Insufficient History — Verify</v>
      </c>
      <c r="AM251" s="2" t="n">
        <f aca="false">INDEX('Scored Accounts'!$M$2:$M$301,MATCH($A251,'Scored Accounts'!$A$2:$A$301,0))</f>
        <v>0</v>
      </c>
      <c r="AN251" s="2" t="n">
        <f aca="false">IF((P251/(P251+Q251)*100)&lt;=Assumptions!$B$13,0,IF((P251/(P251+Q251)*100)&lt;Assumptions!$B$14,25,IF((P251/(P251+Q251)*100)&lt;Assumptions!$B$15,50,IF((P251/(P251+Q251)*100)&lt;Assumptions!$B$16,75,100))))</f>
        <v>0</v>
      </c>
      <c r="AO251" s="21" t="n">
        <f aca="false">IF((P251/(P251+Q251)*100)&lt;=Assumptions!$B$8,0,AN251*Assumptions!$B$4+INDEX('Scored Accounts'!$N$2:$N$301,MATCH($A251,'Scored Accounts'!$A$2:$A$301,0))*Assumptions!$B$5+INDEX('Scored Accounts'!$O$2:$O$301,MATCH($A251,'Scored Accounts'!$A$2:$A$301,0))*Assumptions!$B$6)</f>
        <v>0</v>
      </c>
      <c r="AP251" s="2" t="str">
        <f aca="false">IF(AO251&gt;=Assumptions!$B$9,"High",IF(AO251&gt;=Assumptions!$B$10,"Medium","Low"))</f>
        <v>Low</v>
      </c>
      <c r="AQ251" s="10" t="b">
        <f aca="false">OR((E251&lt;=Assumptions!$B$8)&lt;&gt;((P251/(P251+Q251)*100)&lt;=Assumptions!$B$8),AM251&lt;&gt;AN251,G251&lt;&gt;AP251)</f>
        <v>0</v>
      </c>
      <c r="AR251" s="2" t="str">
        <f aca="false">IF(AP251&lt;&gt;"Low","Broker-Reliant",IF(B251="Account Managed","AM-Owned / Self-Serving","Self-Serve"))</f>
        <v>Self-Serve</v>
      </c>
      <c r="AS251" s="2" t="str">
        <f aca="false">IF(AR251="Broker-Reliant",IF(J251="Tail","5. Cost-to-Serve / Low-Touch",IF(OR(N251="Growing",N251="Stable"),"1. Migration Candidate",IF(N251="Declining","2. Protect / Retain First",IF(N251="Lapsed","3. Win-Back / Verify",IF(N251="H2 Active / No H1 GMV","4. Establish / Re-establish / Observe","UNASSIGNED"))))),IF(AP251="Low",IF(J251="Tail","9. Long-Tail Automated Nurture",IF(OR(N251="Growing",N251="Stable"),"6. Growth Opportunity",IF(N251="H2 Active / No H1 GMV","7. Onboard / Re-engage / Learn",IF(OR(N251="Declining",N251="Lapsed"),"8. Retention / Reactivation","UNASSIGNED")))),"UNASSIGNED"))</f>
        <v>9. Long-Tail Automated Nurture</v>
      </c>
      <c r="AT251" s="10" t="b">
        <f aca="false">AS251&lt;&gt;T251</f>
        <v>0</v>
      </c>
      <c r="AU251" s="2" t="str">
        <f aca="false">IF(NOT(U251),"Not Eligible",IF(OR(AQ251,AH251,AK251,NOT(AND(W251&gt;=Assumptions!$B$83,O251&gt;=Assumptions!$B$84))),"Manual Review","Ready"))</f>
        <v>Not Eligible</v>
      </c>
      <c r="AV251" s="2" t="str">
        <f aca="false">IF(AG251,"Key account - human sign-off required; ","")&amp;IF(AH251,"Borderline momentum; ","")&amp;IF(AK251,"February-sensitive ("&amp;N251&amp;" -&gt; "&amp;AJ251&amp;"); ","")&amp;IF(AL251="One-Off / Insufficient History — Verify","Lapsed on thin history - verify; ","")&amp;IF(AQ251,"Material broker % inconsistency (implied tier "&amp;AP251&amp;"); ","")&amp;IF(AT251,"Implied broker % would move segment to "&amp;AS251&amp;"; ","")</f>
        <v>Lapsed on thin history - verify; </v>
      </c>
      <c r="AW251" s="10" t="b">
        <f aca="false">AND(G251="Low",J251="Tail",I251&gt;=Assumptions!$B$64,O251&gt;=Assumptions!$B$65,OR(N251="Growing",N251="Stable",AND(N251="H2 Active / No H1 GMV",W251&gt;=2)),OR(R251&gt;=Assumptions!$B$66,S251&gt;=Assumptions!$B$67))</f>
        <v>0</v>
      </c>
    </row>
    <row r="252" customFormat="false" ht="15" hidden="false" customHeight="false" outlineLevel="0" collapsed="false">
      <c r="A252" s="2" t="s">
        <v>806</v>
      </c>
      <c r="B252" s="2" t="s">
        <v>1574</v>
      </c>
      <c r="C252" s="2"/>
      <c r="D252" s="2" t="n">
        <v>4</v>
      </c>
      <c r="E252" s="2" t="n">
        <v>0</v>
      </c>
      <c r="F252" s="21" t="n">
        <f aca="false">INDEX('Scored Accounts'!$Q$2:$Q$301,MATCH($A252,'Scored Accounts'!$A$2:$A$301,0))</f>
        <v>0</v>
      </c>
      <c r="G252" s="2" t="str">
        <f aca="false">INDEX('Scored Accounts'!$R$2:$R$301,MATCH($A252,'Scored Accounts'!$A$2:$A$301,0))</f>
        <v>Low</v>
      </c>
      <c r="H252" s="2" t="str">
        <f aca="false">IF(OR(G252="High",G252="Medium"),"Broker-Reliant",IF(AND(G252="Low",B252="Account Managed"),"AM-Owned / Self-Serving",IF(AND(G252="Low",B252="Self Serve"),"Self-Serve","UNASSIGNED")))</f>
        <v>Self-Serve</v>
      </c>
      <c r="I252" s="9" t="n">
        <v>281</v>
      </c>
      <c r="J252" s="2" t="str">
        <f aca="false">IF(I252&gt;=Assumptions!$B$35,"Key",IF(I252&gt;=Assumptions!$B$34,"Core","Tail"))</f>
        <v>Tail</v>
      </c>
      <c r="K252" s="9" t="n">
        <f aca="false">INDEX('Commercial View'!$R$2:$R$301,MATCH($A252,'Commercial View'!$A$2:$A$301,0))</f>
        <v>281</v>
      </c>
      <c r="L252" s="9" t="n">
        <f aca="false">INDEX('Commercial View'!$S$2:$S$301,MATCH($A252,'Commercial View'!$A$2:$A$301,0))</f>
        <v>0</v>
      </c>
      <c r="M252" s="17" t="n">
        <f aca="false">INDEX('Commercial View'!$T$2:$T$301,MATCH($A252,'Commercial View'!$A$2:$A$301,0))</f>
        <v>-1</v>
      </c>
      <c r="N252" s="2" t="str">
        <f aca="false">INDEX('Commercial View'!$U$2:$U$301,MATCH($A252,'Commercial View'!$A$2:$A$301,0))</f>
        <v>Lapsed</v>
      </c>
      <c r="O252" s="2" t="n">
        <v>1</v>
      </c>
      <c r="P252" s="2" t="n">
        <v>0</v>
      </c>
      <c r="Q252" s="2" t="n">
        <v>1</v>
      </c>
      <c r="R252" s="2" t="n">
        <v>18</v>
      </c>
      <c r="S252" s="2" t="n">
        <v>2</v>
      </c>
      <c r="T252" s="2" t="str">
        <f aca="false">IF(H252="Broker-Reliant",IF(J252="Tail","5. Cost-to-Serve / Low-Touch",IF(OR(N252="Growing",N252="Stable"),"1. Migration Candidate",IF(N252="Declining","2. Protect / Retain First",IF(N252="Lapsed","3. Win-Back / Verify",IF(N252="H2 Active / No H1 GMV","4. Establish / Re-establish / Observe","UNASSIGNED"))))),IF(G252="Low",IF(J252="Tail","9. Long-Tail Automated Nurture",IF(OR(N252="Growing",N252="Stable"),"6. Growth Opportunity",IF(N252="H2 Active / No H1 GMV","7. Onboard / Re-engage / Learn",IF(OR(N252="Declining",N252="Lapsed"),"8. Retention / Reactivation","UNASSIGNED")))),"UNASSIGNED"))</f>
        <v>9. Long-Tail Automated Nurture</v>
      </c>
      <c r="U252" s="10" t="b">
        <f aca="false">AND(T252="1. Migration Candidate",J252="Core",O252&gt;=Assumptions!$B$39,Q252&gt;=Assumptions!$B$40,NOT(Z252))</f>
        <v>0</v>
      </c>
      <c r="V252" s="2" t="n">
        <f aca="false">(AND(H252="Broker-Reliant",J252&lt;&gt;"Tail",OR(N252="Growing",N252="Stable")))*1+(AND(H252="Broker-Reliant",J252&lt;&gt;"Tail",N252="Declining"))*1+(AND(H252="Broker-Reliant",J252&lt;&gt;"Tail",N252="Lapsed"))*1+(AND(H252="Broker-Reliant",J252&lt;&gt;"Tail",N252="H2 Active / No H1 GMV"))*1+(AND(H252="Broker-Reliant",J252="Tail"))*1+(AND(G252="Low",J252&lt;&gt;"Tail",OR(N252="Growing",N252="Stable")))*1+(AND(G252="Low",J252&lt;&gt;"Tail",N252="H2 Active / No H1 GMV"))*1+(AND(G252="Low",J252&lt;&gt;"Tail",OR(N252="Declining",N252="Lapsed")))*1+(AND(G252="Low",J252="Tail"))*1</f>
        <v>1</v>
      </c>
      <c r="W252" s="2" t="n">
        <f aca="false">INDEX('Commercial View'!$V$2:$V$301,MATCH($A252,'Commercial View'!$A$2:$A$301,0))</f>
        <v>1</v>
      </c>
      <c r="X252" s="10" t="b">
        <f aca="false">O252&lt;=Assumptions!$B$30</f>
        <v>1</v>
      </c>
      <c r="Y252" s="10" t="b">
        <f aca="false">W252&lt;=1</f>
        <v>1</v>
      </c>
      <c r="Z252" s="10" t="b">
        <f aca="false">C252="Duplicate"</f>
        <v>0</v>
      </c>
      <c r="AA252" s="10" t="b">
        <f aca="false">C252=""</f>
        <v>1</v>
      </c>
      <c r="AB252" s="2" t="n">
        <f aca="false">IF(P252+Q252&gt;0,ROUND(P252/(P252+Q252)*100,0),"")</f>
        <v>0</v>
      </c>
      <c r="AC252" s="2" t="n">
        <f aca="false">IF(P252+Q252&gt;0,ROUND(E252-P252/(P252+Q252)*100,0),"")</f>
        <v>0</v>
      </c>
      <c r="AD252" s="10" t="b">
        <f aca="false">IF(AC252="",FALSE(),ABS(AC252)&gt;Assumptions!$B$41)</f>
        <v>0</v>
      </c>
      <c r="AE252" s="2" t="str">
        <f aca="false">IF(X252,"Low confidence (&lt;=2 orders); ","")&amp;IF(Y252,"Single-month history; ","")&amp;IF(Z252,"CRITICAL: Duplicate status; ","")&amp;IF(AA252,"Missing status; ","")&amp;IF(AD252,"Broker % vs counts gap "&amp;TEXT(AC252,"+0;-0")&amp;"pts; ","")</f>
        <v>Low confidence (&lt;=2 orders); Single-month history; Missing status; </v>
      </c>
      <c r="AF252" s="2" t="str">
        <f aca="false">IF(AND(K252=0,L252&gt;0),IF(D252&lt;=Assumptions!$B$47,"New Customer","Returned Customer"),"Existing Customer")</f>
        <v>Existing Customer</v>
      </c>
      <c r="AG252" s="10" t="b">
        <f aca="false">AND(T252="1. Migration Candidate",J252="Key")</f>
        <v>0</v>
      </c>
      <c r="AH252" s="10" t="b">
        <f aca="false">IF(AND(K252&gt;0,L252&gt;0),OR(ABS(M252-Assumptions!$B$36)&lt;=Assumptions!$B$46,ABS(M252+Assumptions!$B$36)&lt;=Assumptions!$B$46),FALSE())</f>
        <v>0</v>
      </c>
      <c r="AI252" s="9" t="n">
        <f aca="false">INDEX('Commercial View'!$L$2:$L$301,MATCH($A252,'Commercial View'!$A$2:$A$301,0))+INDEX('Commercial View'!$M$2:$M$301,MATCH($A252,'Commercial View'!$A$2:$A$301,0))</f>
        <v>0</v>
      </c>
      <c r="AJ252" s="2" t="str">
        <f aca="false">IF(AND(K252=0,AI252=0),"No activity ex-Feb",IF(AI252=0,"Lapsed",IF(K252=0,"H2 Active / No H1 GMV",IF((AI252/2)/(K252/3)-1&gt;=Assumptions!$B$36,"Growing",IF((AI252/2)/(K252/3)-1&lt;-Assumptions!$B$36,"Declining","Stable")))))</f>
        <v>Lapsed</v>
      </c>
      <c r="AK252" s="10" t="b">
        <f aca="false">IF(OR(N252="Growing",N252="Stable"),"Healthy",N252)&lt;&gt;IF(OR(AJ252="Growing",AJ252="Stable"),"Healthy",AJ252)</f>
        <v>0</v>
      </c>
      <c r="AL252" s="2" t="str">
        <f aca="false">IF(N252="Lapsed",IF(OR(O252&lt;=Assumptions!$B$48,W252&lt;=Assumptions!$B$49),"One-Off / Insufficient History — Verify","Established Buyer Lapsed"),"N/A")</f>
        <v>One-Off / Insufficient History — Verify</v>
      </c>
      <c r="AM252" s="2" t="n">
        <f aca="false">INDEX('Scored Accounts'!$M$2:$M$301,MATCH($A252,'Scored Accounts'!$A$2:$A$301,0))</f>
        <v>0</v>
      </c>
      <c r="AN252" s="2" t="n">
        <f aca="false">IF((P252/(P252+Q252)*100)&lt;=Assumptions!$B$13,0,IF((P252/(P252+Q252)*100)&lt;Assumptions!$B$14,25,IF((P252/(P252+Q252)*100)&lt;Assumptions!$B$15,50,IF((P252/(P252+Q252)*100)&lt;Assumptions!$B$16,75,100))))</f>
        <v>0</v>
      </c>
      <c r="AO252" s="21" t="n">
        <f aca="false">IF((P252/(P252+Q252)*100)&lt;=Assumptions!$B$8,0,AN252*Assumptions!$B$4+INDEX('Scored Accounts'!$N$2:$N$301,MATCH($A252,'Scored Accounts'!$A$2:$A$301,0))*Assumptions!$B$5+INDEX('Scored Accounts'!$O$2:$O$301,MATCH($A252,'Scored Accounts'!$A$2:$A$301,0))*Assumptions!$B$6)</f>
        <v>0</v>
      </c>
      <c r="AP252" s="2" t="str">
        <f aca="false">IF(AO252&gt;=Assumptions!$B$9,"High",IF(AO252&gt;=Assumptions!$B$10,"Medium","Low"))</f>
        <v>Low</v>
      </c>
      <c r="AQ252" s="10" t="b">
        <f aca="false">OR((E252&lt;=Assumptions!$B$8)&lt;&gt;((P252/(P252+Q252)*100)&lt;=Assumptions!$B$8),AM252&lt;&gt;AN252,G252&lt;&gt;AP252)</f>
        <v>0</v>
      </c>
      <c r="AR252" s="2" t="str">
        <f aca="false">IF(AP252&lt;&gt;"Low","Broker-Reliant",IF(B252="Account Managed","AM-Owned / Self-Serving","Self-Serve"))</f>
        <v>Self-Serve</v>
      </c>
      <c r="AS252" s="2" t="str">
        <f aca="false">IF(AR252="Broker-Reliant",IF(J252="Tail","5. Cost-to-Serve / Low-Touch",IF(OR(N252="Growing",N252="Stable"),"1. Migration Candidate",IF(N252="Declining","2. Protect / Retain First",IF(N252="Lapsed","3. Win-Back / Verify",IF(N252="H2 Active / No H1 GMV","4. Establish / Re-establish / Observe","UNASSIGNED"))))),IF(AP252="Low",IF(J252="Tail","9. Long-Tail Automated Nurture",IF(OR(N252="Growing",N252="Stable"),"6. Growth Opportunity",IF(N252="H2 Active / No H1 GMV","7. Onboard / Re-engage / Learn",IF(OR(N252="Declining",N252="Lapsed"),"8. Retention / Reactivation","UNASSIGNED")))),"UNASSIGNED"))</f>
        <v>9. Long-Tail Automated Nurture</v>
      </c>
      <c r="AT252" s="10" t="b">
        <f aca="false">AS252&lt;&gt;T252</f>
        <v>0</v>
      </c>
      <c r="AU252" s="2" t="str">
        <f aca="false">IF(NOT(U252),"Not Eligible",IF(OR(AQ252,AH252,AK252,NOT(AND(W252&gt;=Assumptions!$B$83,O252&gt;=Assumptions!$B$84))),"Manual Review","Ready"))</f>
        <v>Not Eligible</v>
      </c>
      <c r="AV252" s="2" t="str">
        <f aca="false">IF(AG252,"Key account - human sign-off required; ","")&amp;IF(AH252,"Borderline momentum; ","")&amp;IF(AK252,"February-sensitive ("&amp;N252&amp;" -&gt; "&amp;AJ252&amp;"); ","")&amp;IF(AL252="One-Off / Insufficient History — Verify","Lapsed on thin history - verify; ","")&amp;IF(AQ252,"Material broker % inconsistency (implied tier "&amp;AP252&amp;"); ","")&amp;IF(AT252,"Implied broker % would move segment to "&amp;AS252&amp;"; ","")</f>
        <v>Lapsed on thin history - verify; </v>
      </c>
      <c r="AW252" s="10" t="b">
        <f aca="false">AND(G252="Low",J252="Tail",I252&gt;=Assumptions!$B$64,O252&gt;=Assumptions!$B$65,OR(N252="Growing",N252="Stable",AND(N252="H2 Active / No H1 GMV",W252&gt;=2)),OR(R252&gt;=Assumptions!$B$66,S252&gt;=Assumptions!$B$67))</f>
        <v>0</v>
      </c>
    </row>
    <row r="253" customFormat="false" ht="15" hidden="false" customHeight="false" outlineLevel="0" collapsed="false">
      <c r="A253" s="2" t="s">
        <v>808</v>
      </c>
      <c r="B253" s="2" t="s">
        <v>1574</v>
      </c>
      <c r="C253" s="2"/>
      <c r="D253" s="2" t="n">
        <v>1</v>
      </c>
      <c r="E253" s="2" t="n">
        <v>0</v>
      </c>
      <c r="F253" s="21" t="n">
        <f aca="false">INDEX('Scored Accounts'!$Q$2:$Q$301,MATCH($A253,'Scored Accounts'!$A$2:$A$301,0))</f>
        <v>0</v>
      </c>
      <c r="G253" s="2" t="str">
        <f aca="false">INDEX('Scored Accounts'!$R$2:$R$301,MATCH($A253,'Scored Accounts'!$A$2:$A$301,0))</f>
        <v>Low</v>
      </c>
      <c r="H253" s="2" t="str">
        <f aca="false">IF(OR(G253="High",G253="Medium"),"Broker-Reliant",IF(AND(G253="Low",B253="Account Managed"),"AM-Owned / Self-Serving",IF(AND(G253="Low",B253="Self Serve"),"Self-Serve","UNASSIGNED")))</f>
        <v>Self-Serve</v>
      </c>
      <c r="I253" s="9" t="n">
        <v>279</v>
      </c>
      <c r="J253" s="2" t="str">
        <f aca="false">IF(I253&gt;=Assumptions!$B$35,"Key",IF(I253&gt;=Assumptions!$B$34,"Core","Tail"))</f>
        <v>Tail</v>
      </c>
      <c r="K253" s="9" t="n">
        <f aca="false">INDEX('Commercial View'!$R$2:$R$301,MATCH($A253,'Commercial View'!$A$2:$A$301,0))</f>
        <v>0</v>
      </c>
      <c r="L253" s="9" t="n">
        <f aca="false">INDEX('Commercial View'!$S$2:$S$301,MATCH($A253,'Commercial View'!$A$2:$A$301,0))</f>
        <v>279</v>
      </c>
      <c r="M253" s="17" t="str">
        <f aca="false">INDEX('Commercial View'!$T$2:$T$301,MATCH($A253,'Commercial View'!$A$2:$A$301,0))</f>
        <v/>
      </c>
      <c r="N253" s="2" t="str">
        <f aca="false">INDEX('Commercial View'!$U$2:$U$301,MATCH($A253,'Commercial View'!$A$2:$A$301,0))</f>
        <v>H2 Active / No H1 GMV</v>
      </c>
      <c r="O253" s="2" t="n">
        <v>1</v>
      </c>
      <c r="P253" s="2" t="n">
        <v>0</v>
      </c>
      <c r="Q253" s="2" t="n">
        <v>1</v>
      </c>
      <c r="R253" s="2" t="n">
        <v>1</v>
      </c>
      <c r="S253" s="2" t="n">
        <v>2</v>
      </c>
      <c r="T253" s="2" t="str">
        <f aca="false">IF(H253="Broker-Reliant",IF(J253="Tail","5. Cost-to-Serve / Low-Touch",IF(OR(N253="Growing",N253="Stable"),"1. Migration Candidate",IF(N253="Declining","2. Protect / Retain First",IF(N253="Lapsed","3. Win-Back / Verify",IF(N253="H2 Active / No H1 GMV","4. Establish / Re-establish / Observe","UNASSIGNED"))))),IF(G253="Low",IF(J253="Tail","9. Long-Tail Automated Nurture",IF(OR(N253="Growing",N253="Stable"),"6. Growth Opportunity",IF(N253="H2 Active / No H1 GMV","7. Onboard / Re-engage / Learn",IF(OR(N253="Declining",N253="Lapsed"),"8. Retention / Reactivation","UNASSIGNED")))),"UNASSIGNED"))</f>
        <v>9. Long-Tail Automated Nurture</v>
      </c>
      <c r="U253" s="10" t="b">
        <f aca="false">AND(T253="1. Migration Candidate",J253="Core",O253&gt;=Assumptions!$B$39,Q253&gt;=Assumptions!$B$40,NOT(Z253))</f>
        <v>0</v>
      </c>
      <c r="V253" s="2" t="n">
        <f aca="false">(AND(H253="Broker-Reliant",J253&lt;&gt;"Tail",OR(N253="Growing",N253="Stable")))*1+(AND(H253="Broker-Reliant",J253&lt;&gt;"Tail",N253="Declining"))*1+(AND(H253="Broker-Reliant",J253&lt;&gt;"Tail",N253="Lapsed"))*1+(AND(H253="Broker-Reliant",J253&lt;&gt;"Tail",N253="H2 Active / No H1 GMV"))*1+(AND(H253="Broker-Reliant",J253="Tail"))*1+(AND(G253="Low",J253&lt;&gt;"Tail",OR(N253="Growing",N253="Stable")))*1+(AND(G253="Low",J253&lt;&gt;"Tail",N253="H2 Active / No H1 GMV"))*1+(AND(G253="Low",J253&lt;&gt;"Tail",OR(N253="Declining",N253="Lapsed")))*1+(AND(G253="Low",J253="Tail"))*1</f>
        <v>1</v>
      </c>
      <c r="W253" s="2" t="n">
        <f aca="false">INDEX('Commercial View'!$V$2:$V$301,MATCH($A253,'Commercial View'!$A$2:$A$301,0))</f>
        <v>1</v>
      </c>
      <c r="X253" s="10" t="b">
        <f aca="false">O253&lt;=Assumptions!$B$30</f>
        <v>1</v>
      </c>
      <c r="Y253" s="10" t="b">
        <f aca="false">W253&lt;=1</f>
        <v>1</v>
      </c>
      <c r="Z253" s="10" t="b">
        <f aca="false">C253="Duplicate"</f>
        <v>0</v>
      </c>
      <c r="AA253" s="10" t="b">
        <f aca="false">C253=""</f>
        <v>1</v>
      </c>
      <c r="AB253" s="2" t="n">
        <f aca="false">IF(P253+Q253&gt;0,ROUND(P253/(P253+Q253)*100,0),"")</f>
        <v>0</v>
      </c>
      <c r="AC253" s="2" t="n">
        <f aca="false">IF(P253+Q253&gt;0,ROUND(E253-P253/(P253+Q253)*100,0),"")</f>
        <v>0</v>
      </c>
      <c r="AD253" s="10" t="b">
        <f aca="false">IF(AC253="",FALSE(),ABS(AC253)&gt;Assumptions!$B$41)</f>
        <v>0</v>
      </c>
      <c r="AE253" s="2" t="str">
        <f aca="false">IF(X253,"Low confidence (&lt;=2 orders); ","")&amp;IF(Y253,"Single-month history; ","")&amp;IF(Z253,"CRITICAL: Duplicate status; ","")&amp;IF(AA253,"Missing status; ","")&amp;IF(AD253,"Broker % vs counts gap "&amp;TEXT(AC253,"+0;-0")&amp;"pts; ","")</f>
        <v>Low confidence (&lt;=2 orders); Single-month history; Missing status; </v>
      </c>
      <c r="AF253" s="2" t="str">
        <f aca="false">IF(AND(K253=0,L253&gt;0),IF(D253&lt;=Assumptions!$B$47,"New Customer","Returned Customer"),"Existing Customer")</f>
        <v>New Customer</v>
      </c>
      <c r="AG253" s="10" t="b">
        <f aca="false">AND(T253="1. Migration Candidate",J253="Key")</f>
        <v>0</v>
      </c>
      <c r="AH253" s="10" t="b">
        <f aca="false">IF(AND(K253&gt;0,L253&gt;0),OR(ABS(M253-Assumptions!$B$36)&lt;=Assumptions!$B$46,ABS(M253+Assumptions!$B$36)&lt;=Assumptions!$B$46),FALSE())</f>
        <v>0</v>
      </c>
      <c r="AI253" s="9" t="n">
        <f aca="false">INDEX('Commercial View'!$L$2:$L$301,MATCH($A253,'Commercial View'!$A$2:$A$301,0))+INDEX('Commercial View'!$M$2:$M$301,MATCH($A253,'Commercial View'!$A$2:$A$301,0))</f>
        <v>0</v>
      </c>
      <c r="AJ253" s="2" t="str">
        <f aca="false">IF(AND(K253=0,AI253=0),"No activity ex-Feb",IF(AI253=0,"Lapsed",IF(K253=0,"H2 Active / No H1 GMV",IF((AI253/2)/(K253/3)-1&gt;=Assumptions!$B$36,"Growing",IF((AI253/2)/(K253/3)-1&lt;-Assumptions!$B$36,"Declining","Stable")))))</f>
        <v>No activity ex-Feb</v>
      </c>
      <c r="AK253" s="10" t="b">
        <f aca="false">IF(OR(N253="Growing",N253="Stable"),"Healthy",N253)&lt;&gt;IF(OR(AJ253="Growing",AJ253="Stable"),"Healthy",AJ253)</f>
        <v>1</v>
      </c>
      <c r="AL253" s="2" t="str">
        <f aca="false">IF(N253="Lapsed",IF(OR(O253&lt;=Assumptions!$B$48,W253&lt;=Assumptions!$B$49),"One-Off / Insufficient History — Verify","Established Buyer Lapsed"),"N/A")</f>
        <v>N/A</v>
      </c>
      <c r="AM253" s="2" t="n">
        <f aca="false">INDEX('Scored Accounts'!$M$2:$M$301,MATCH($A253,'Scored Accounts'!$A$2:$A$301,0))</f>
        <v>0</v>
      </c>
      <c r="AN253" s="2" t="n">
        <f aca="false">IF((P253/(P253+Q253)*100)&lt;=Assumptions!$B$13,0,IF((P253/(P253+Q253)*100)&lt;Assumptions!$B$14,25,IF((P253/(P253+Q253)*100)&lt;Assumptions!$B$15,50,IF((P253/(P253+Q253)*100)&lt;Assumptions!$B$16,75,100))))</f>
        <v>0</v>
      </c>
      <c r="AO253" s="21" t="n">
        <f aca="false">IF((P253/(P253+Q253)*100)&lt;=Assumptions!$B$8,0,AN253*Assumptions!$B$4+INDEX('Scored Accounts'!$N$2:$N$301,MATCH($A253,'Scored Accounts'!$A$2:$A$301,0))*Assumptions!$B$5+INDEX('Scored Accounts'!$O$2:$O$301,MATCH($A253,'Scored Accounts'!$A$2:$A$301,0))*Assumptions!$B$6)</f>
        <v>0</v>
      </c>
      <c r="AP253" s="2" t="str">
        <f aca="false">IF(AO253&gt;=Assumptions!$B$9,"High",IF(AO253&gt;=Assumptions!$B$10,"Medium","Low"))</f>
        <v>Low</v>
      </c>
      <c r="AQ253" s="10" t="b">
        <f aca="false">OR((E253&lt;=Assumptions!$B$8)&lt;&gt;((P253/(P253+Q253)*100)&lt;=Assumptions!$B$8),AM253&lt;&gt;AN253,G253&lt;&gt;AP253)</f>
        <v>0</v>
      </c>
      <c r="AR253" s="2" t="str">
        <f aca="false">IF(AP253&lt;&gt;"Low","Broker-Reliant",IF(B253="Account Managed","AM-Owned / Self-Serving","Self-Serve"))</f>
        <v>Self-Serve</v>
      </c>
      <c r="AS253" s="2" t="str">
        <f aca="false">IF(AR253="Broker-Reliant",IF(J253="Tail","5. Cost-to-Serve / Low-Touch",IF(OR(N253="Growing",N253="Stable"),"1. Migration Candidate",IF(N253="Declining","2. Protect / Retain First",IF(N253="Lapsed","3. Win-Back / Verify",IF(N253="H2 Active / No H1 GMV","4. Establish / Re-establish / Observe","UNASSIGNED"))))),IF(AP253="Low",IF(J253="Tail","9. Long-Tail Automated Nurture",IF(OR(N253="Growing",N253="Stable"),"6. Growth Opportunity",IF(N253="H2 Active / No H1 GMV","7. Onboard / Re-engage / Learn",IF(OR(N253="Declining",N253="Lapsed"),"8. Retention / Reactivation","UNASSIGNED")))),"UNASSIGNED"))</f>
        <v>9. Long-Tail Automated Nurture</v>
      </c>
      <c r="AT253" s="10" t="b">
        <f aca="false">AS253&lt;&gt;T253</f>
        <v>0</v>
      </c>
      <c r="AU253" s="2" t="str">
        <f aca="false">IF(NOT(U253),"Not Eligible",IF(OR(AQ253,AH253,AK253,NOT(AND(W253&gt;=Assumptions!$B$83,O253&gt;=Assumptions!$B$84))),"Manual Review","Ready"))</f>
        <v>Not Eligible</v>
      </c>
      <c r="AV253" s="2" t="str">
        <f aca="false">IF(AG253,"Key account - human sign-off required; ","")&amp;IF(AH253,"Borderline momentum; ","")&amp;IF(AK253,"February-sensitive ("&amp;N253&amp;" -&gt; "&amp;AJ253&amp;"); ","")&amp;IF(AL253="One-Off / Insufficient History — Verify","Lapsed on thin history - verify; ","")&amp;IF(AQ253,"Material broker % inconsistency (implied tier "&amp;AP253&amp;"); ","")&amp;IF(AT253,"Implied broker % would move segment to "&amp;AS253&amp;"; ","")</f>
        <v>February-sensitive (H2 Active / No H1 GMV -&gt; No activity ex-Feb); </v>
      </c>
      <c r="AW253" s="10" t="b">
        <f aca="false">AND(G253="Low",J253="Tail",I253&gt;=Assumptions!$B$64,O253&gt;=Assumptions!$B$65,OR(N253="Growing",N253="Stable",AND(N253="H2 Active / No H1 GMV",W253&gt;=2)),OR(R253&gt;=Assumptions!$B$66,S253&gt;=Assumptions!$B$67))</f>
        <v>0</v>
      </c>
    </row>
    <row r="254" customFormat="false" ht="15" hidden="false" customHeight="false" outlineLevel="0" collapsed="false">
      <c r="A254" s="2" t="s">
        <v>810</v>
      </c>
      <c r="B254" s="2" t="s">
        <v>1574</v>
      </c>
      <c r="C254" s="2"/>
      <c r="D254" s="2" t="n">
        <v>2</v>
      </c>
      <c r="E254" s="2" t="n">
        <v>0</v>
      </c>
      <c r="F254" s="21" t="n">
        <f aca="false">INDEX('Scored Accounts'!$Q$2:$Q$301,MATCH($A254,'Scored Accounts'!$A$2:$A$301,0))</f>
        <v>0</v>
      </c>
      <c r="G254" s="2" t="str">
        <f aca="false">INDEX('Scored Accounts'!$R$2:$R$301,MATCH($A254,'Scored Accounts'!$A$2:$A$301,0))</f>
        <v>Low</v>
      </c>
      <c r="H254" s="2" t="str">
        <f aca="false">IF(OR(G254="High",G254="Medium"),"Broker-Reliant",IF(AND(G254="Low",B254="Account Managed"),"AM-Owned / Self-Serving",IF(AND(G254="Low",B254="Self Serve"),"Self-Serve","UNASSIGNED")))</f>
        <v>Self-Serve</v>
      </c>
      <c r="I254" s="9" t="n">
        <v>274</v>
      </c>
      <c r="J254" s="2" t="str">
        <f aca="false">IF(I254&gt;=Assumptions!$B$35,"Key",IF(I254&gt;=Assumptions!$B$34,"Core","Tail"))</f>
        <v>Tail</v>
      </c>
      <c r="K254" s="9" t="n">
        <f aca="false">INDEX('Commercial View'!$R$2:$R$301,MATCH($A254,'Commercial View'!$A$2:$A$301,0))</f>
        <v>0</v>
      </c>
      <c r="L254" s="9" t="n">
        <f aca="false">INDEX('Commercial View'!$S$2:$S$301,MATCH($A254,'Commercial View'!$A$2:$A$301,0))</f>
        <v>274</v>
      </c>
      <c r="M254" s="17" t="str">
        <f aca="false">INDEX('Commercial View'!$T$2:$T$301,MATCH($A254,'Commercial View'!$A$2:$A$301,0))</f>
        <v/>
      </c>
      <c r="N254" s="2" t="str">
        <f aca="false">INDEX('Commercial View'!$U$2:$U$301,MATCH($A254,'Commercial View'!$A$2:$A$301,0))</f>
        <v>H2 Active / No H1 GMV</v>
      </c>
      <c r="O254" s="2" t="n">
        <v>1</v>
      </c>
      <c r="P254" s="2" t="n">
        <v>0</v>
      </c>
      <c r="Q254" s="2" t="n">
        <v>1</v>
      </c>
      <c r="R254" s="2" t="n">
        <v>3</v>
      </c>
      <c r="S254" s="2" t="n">
        <v>1</v>
      </c>
      <c r="T254" s="2" t="str">
        <f aca="false">IF(H254="Broker-Reliant",IF(J254="Tail","5. Cost-to-Serve / Low-Touch",IF(OR(N254="Growing",N254="Stable"),"1. Migration Candidate",IF(N254="Declining","2. Protect / Retain First",IF(N254="Lapsed","3. Win-Back / Verify",IF(N254="H2 Active / No H1 GMV","4. Establish / Re-establish / Observe","UNASSIGNED"))))),IF(G254="Low",IF(J254="Tail","9. Long-Tail Automated Nurture",IF(OR(N254="Growing",N254="Stable"),"6. Growth Opportunity",IF(N254="H2 Active / No H1 GMV","7. Onboard / Re-engage / Learn",IF(OR(N254="Declining",N254="Lapsed"),"8. Retention / Reactivation","UNASSIGNED")))),"UNASSIGNED"))</f>
        <v>9. Long-Tail Automated Nurture</v>
      </c>
      <c r="U254" s="10" t="b">
        <f aca="false">AND(T254="1. Migration Candidate",J254="Core",O254&gt;=Assumptions!$B$39,Q254&gt;=Assumptions!$B$40,NOT(Z254))</f>
        <v>0</v>
      </c>
      <c r="V254" s="2" t="n">
        <f aca="false">(AND(H254="Broker-Reliant",J254&lt;&gt;"Tail",OR(N254="Growing",N254="Stable")))*1+(AND(H254="Broker-Reliant",J254&lt;&gt;"Tail",N254="Declining"))*1+(AND(H254="Broker-Reliant",J254&lt;&gt;"Tail",N254="Lapsed"))*1+(AND(H254="Broker-Reliant",J254&lt;&gt;"Tail",N254="H2 Active / No H1 GMV"))*1+(AND(H254="Broker-Reliant",J254="Tail"))*1+(AND(G254="Low",J254&lt;&gt;"Tail",OR(N254="Growing",N254="Stable")))*1+(AND(G254="Low",J254&lt;&gt;"Tail",N254="H2 Active / No H1 GMV"))*1+(AND(G254="Low",J254&lt;&gt;"Tail",OR(N254="Declining",N254="Lapsed")))*1+(AND(G254="Low",J254="Tail"))*1</f>
        <v>1</v>
      </c>
      <c r="W254" s="2" t="n">
        <f aca="false">INDEX('Commercial View'!$V$2:$V$301,MATCH($A254,'Commercial View'!$A$2:$A$301,0))</f>
        <v>1</v>
      </c>
      <c r="X254" s="10" t="b">
        <f aca="false">O254&lt;=Assumptions!$B$30</f>
        <v>1</v>
      </c>
      <c r="Y254" s="10" t="b">
        <f aca="false">W254&lt;=1</f>
        <v>1</v>
      </c>
      <c r="Z254" s="10" t="b">
        <f aca="false">C254="Duplicate"</f>
        <v>0</v>
      </c>
      <c r="AA254" s="10" t="b">
        <f aca="false">C254=""</f>
        <v>1</v>
      </c>
      <c r="AB254" s="2" t="n">
        <f aca="false">IF(P254+Q254&gt;0,ROUND(P254/(P254+Q254)*100,0),"")</f>
        <v>0</v>
      </c>
      <c r="AC254" s="2" t="n">
        <f aca="false">IF(P254+Q254&gt;0,ROUND(E254-P254/(P254+Q254)*100,0),"")</f>
        <v>0</v>
      </c>
      <c r="AD254" s="10" t="b">
        <f aca="false">IF(AC254="",FALSE(),ABS(AC254)&gt;Assumptions!$B$41)</f>
        <v>0</v>
      </c>
      <c r="AE254" s="2" t="str">
        <f aca="false">IF(X254,"Low confidence (&lt;=2 orders); ","")&amp;IF(Y254,"Single-month history; ","")&amp;IF(Z254,"CRITICAL: Duplicate status; ","")&amp;IF(AA254,"Missing status; ","")&amp;IF(AD254,"Broker % vs counts gap "&amp;TEXT(AC254,"+0;-0")&amp;"pts; ","")</f>
        <v>Low confidence (&lt;=2 orders); Single-month history; Missing status; </v>
      </c>
      <c r="AF254" s="2" t="str">
        <f aca="false">IF(AND(K254=0,L254&gt;0),IF(D254&lt;=Assumptions!$B$47,"New Customer","Returned Customer"),"Existing Customer")</f>
        <v>New Customer</v>
      </c>
      <c r="AG254" s="10" t="b">
        <f aca="false">AND(T254="1. Migration Candidate",J254="Key")</f>
        <v>0</v>
      </c>
      <c r="AH254" s="10" t="b">
        <f aca="false">IF(AND(K254&gt;0,L254&gt;0),OR(ABS(M254-Assumptions!$B$36)&lt;=Assumptions!$B$46,ABS(M254+Assumptions!$B$36)&lt;=Assumptions!$B$46),FALSE())</f>
        <v>0</v>
      </c>
      <c r="AI254" s="9" t="n">
        <f aca="false">INDEX('Commercial View'!$L$2:$L$301,MATCH($A254,'Commercial View'!$A$2:$A$301,0))+INDEX('Commercial View'!$M$2:$M$301,MATCH($A254,'Commercial View'!$A$2:$A$301,0))</f>
        <v>274</v>
      </c>
      <c r="AJ254" s="2" t="str">
        <f aca="false">IF(AND(K254=0,AI254=0),"No activity ex-Feb",IF(AI254=0,"Lapsed",IF(K254=0,"H2 Active / No H1 GMV",IF((AI254/2)/(K254/3)-1&gt;=Assumptions!$B$36,"Growing",IF((AI254/2)/(K254/3)-1&lt;-Assumptions!$B$36,"Declining","Stable")))))</f>
        <v>H2 Active / No H1 GMV</v>
      </c>
      <c r="AK254" s="10" t="b">
        <f aca="false">IF(OR(N254="Growing",N254="Stable"),"Healthy",N254)&lt;&gt;IF(OR(AJ254="Growing",AJ254="Stable"),"Healthy",AJ254)</f>
        <v>0</v>
      </c>
      <c r="AL254" s="2" t="str">
        <f aca="false">IF(N254="Lapsed",IF(OR(O254&lt;=Assumptions!$B$48,W254&lt;=Assumptions!$B$49),"One-Off / Insufficient History — Verify","Established Buyer Lapsed"),"N/A")</f>
        <v>N/A</v>
      </c>
      <c r="AM254" s="2" t="n">
        <f aca="false">INDEX('Scored Accounts'!$M$2:$M$301,MATCH($A254,'Scored Accounts'!$A$2:$A$301,0))</f>
        <v>0</v>
      </c>
      <c r="AN254" s="2" t="n">
        <f aca="false">IF((P254/(P254+Q254)*100)&lt;=Assumptions!$B$13,0,IF((P254/(P254+Q254)*100)&lt;Assumptions!$B$14,25,IF((P254/(P254+Q254)*100)&lt;Assumptions!$B$15,50,IF((P254/(P254+Q254)*100)&lt;Assumptions!$B$16,75,100))))</f>
        <v>0</v>
      </c>
      <c r="AO254" s="21" t="n">
        <f aca="false">IF((P254/(P254+Q254)*100)&lt;=Assumptions!$B$8,0,AN254*Assumptions!$B$4+INDEX('Scored Accounts'!$N$2:$N$301,MATCH($A254,'Scored Accounts'!$A$2:$A$301,0))*Assumptions!$B$5+INDEX('Scored Accounts'!$O$2:$O$301,MATCH($A254,'Scored Accounts'!$A$2:$A$301,0))*Assumptions!$B$6)</f>
        <v>0</v>
      </c>
      <c r="AP254" s="2" t="str">
        <f aca="false">IF(AO254&gt;=Assumptions!$B$9,"High",IF(AO254&gt;=Assumptions!$B$10,"Medium","Low"))</f>
        <v>Low</v>
      </c>
      <c r="AQ254" s="10" t="b">
        <f aca="false">OR((E254&lt;=Assumptions!$B$8)&lt;&gt;((P254/(P254+Q254)*100)&lt;=Assumptions!$B$8),AM254&lt;&gt;AN254,G254&lt;&gt;AP254)</f>
        <v>0</v>
      </c>
      <c r="AR254" s="2" t="str">
        <f aca="false">IF(AP254&lt;&gt;"Low","Broker-Reliant",IF(B254="Account Managed","AM-Owned / Self-Serving","Self-Serve"))</f>
        <v>Self-Serve</v>
      </c>
      <c r="AS254" s="2" t="str">
        <f aca="false">IF(AR254="Broker-Reliant",IF(J254="Tail","5. Cost-to-Serve / Low-Touch",IF(OR(N254="Growing",N254="Stable"),"1. Migration Candidate",IF(N254="Declining","2. Protect / Retain First",IF(N254="Lapsed","3. Win-Back / Verify",IF(N254="H2 Active / No H1 GMV","4. Establish / Re-establish / Observe","UNASSIGNED"))))),IF(AP254="Low",IF(J254="Tail","9. Long-Tail Automated Nurture",IF(OR(N254="Growing",N254="Stable"),"6. Growth Opportunity",IF(N254="H2 Active / No H1 GMV","7. Onboard / Re-engage / Learn",IF(OR(N254="Declining",N254="Lapsed"),"8. Retention / Reactivation","UNASSIGNED")))),"UNASSIGNED"))</f>
        <v>9. Long-Tail Automated Nurture</v>
      </c>
      <c r="AT254" s="10" t="b">
        <f aca="false">AS254&lt;&gt;T254</f>
        <v>0</v>
      </c>
      <c r="AU254" s="2" t="str">
        <f aca="false">IF(NOT(U254),"Not Eligible",IF(OR(AQ254,AH254,AK254,NOT(AND(W254&gt;=Assumptions!$B$83,O254&gt;=Assumptions!$B$84))),"Manual Review","Ready"))</f>
        <v>Not Eligible</v>
      </c>
      <c r="AV254" s="2" t="str">
        <f aca="false">IF(AG254,"Key account - human sign-off required; ","")&amp;IF(AH254,"Borderline momentum; ","")&amp;IF(AK254,"February-sensitive ("&amp;N254&amp;" -&gt; "&amp;AJ254&amp;"); ","")&amp;IF(AL254="One-Off / Insufficient History — Verify","Lapsed on thin history - verify; ","")&amp;IF(AQ254,"Material broker % inconsistency (implied tier "&amp;AP254&amp;"); ","")&amp;IF(AT254,"Implied broker % would move segment to "&amp;AS254&amp;"; ","")</f>
        <v/>
      </c>
      <c r="AW254" s="10" t="b">
        <f aca="false">AND(G254="Low",J254="Tail",I254&gt;=Assumptions!$B$64,O254&gt;=Assumptions!$B$65,OR(N254="Growing",N254="Stable",AND(N254="H2 Active / No H1 GMV",W254&gt;=2)),OR(R254&gt;=Assumptions!$B$66,S254&gt;=Assumptions!$B$67))</f>
        <v>0</v>
      </c>
    </row>
    <row r="255" customFormat="false" ht="15" hidden="false" customHeight="false" outlineLevel="0" collapsed="false">
      <c r="A255" s="2" t="s">
        <v>816</v>
      </c>
      <c r="B255" s="2" t="s">
        <v>1574</v>
      </c>
      <c r="C255" s="2"/>
      <c r="D255" s="2" t="n">
        <v>5</v>
      </c>
      <c r="E255" s="2" t="n">
        <v>0</v>
      </c>
      <c r="F255" s="21" t="n">
        <f aca="false">INDEX('Scored Accounts'!$Q$2:$Q$301,MATCH($A255,'Scored Accounts'!$A$2:$A$301,0))</f>
        <v>0</v>
      </c>
      <c r="G255" s="2" t="str">
        <f aca="false">INDEX('Scored Accounts'!$R$2:$R$301,MATCH($A255,'Scored Accounts'!$A$2:$A$301,0))</f>
        <v>Low</v>
      </c>
      <c r="H255" s="2" t="str">
        <f aca="false">IF(OR(G255="High",G255="Medium"),"Broker-Reliant",IF(AND(G255="Low",B255="Account Managed"),"AM-Owned / Self-Serving",IF(AND(G255="Low",B255="Self Serve"),"Self-Serve","UNASSIGNED")))</f>
        <v>Self-Serve</v>
      </c>
      <c r="I255" s="9" t="n">
        <v>270</v>
      </c>
      <c r="J255" s="2" t="str">
        <f aca="false">IF(I255&gt;=Assumptions!$B$35,"Key",IF(I255&gt;=Assumptions!$B$34,"Core","Tail"))</f>
        <v>Tail</v>
      </c>
      <c r="K255" s="9" t="n">
        <f aca="false">INDEX('Commercial View'!$R$2:$R$301,MATCH($A255,'Commercial View'!$A$2:$A$301,0))</f>
        <v>270</v>
      </c>
      <c r="L255" s="9" t="n">
        <f aca="false">INDEX('Commercial View'!$S$2:$S$301,MATCH($A255,'Commercial View'!$A$2:$A$301,0))</f>
        <v>0</v>
      </c>
      <c r="M255" s="17" t="n">
        <f aca="false">INDEX('Commercial View'!$T$2:$T$301,MATCH($A255,'Commercial View'!$A$2:$A$301,0))</f>
        <v>-1</v>
      </c>
      <c r="N255" s="2" t="str">
        <f aca="false">INDEX('Commercial View'!$U$2:$U$301,MATCH($A255,'Commercial View'!$A$2:$A$301,0))</f>
        <v>Lapsed</v>
      </c>
      <c r="O255" s="2" t="n">
        <v>1</v>
      </c>
      <c r="P255" s="2" t="n">
        <v>0</v>
      </c>
      <c r="Q255" s="2" t="n">
        <v>1</v>
      </c>
      <c r="R255" s="2" t="n">
        <v>8</v>
      </c>
      <c r="S255" s="2" t="n">
        <v>2</v>
      </c>
      <c r="T255" s="2" t="str">
        <f aca="false">IF(H255="Broker-Reliant",IF(J255="Tail","5. Cost-to-Serve / Low-Touch",IF(OR(N255="Growing",N255="Stable"),"1. Migration Candidate",IF(N255="Declining","2. Protect / Retain First",IF(N255="Lapsed","3. Win-Back / Verify",IF(N255="H2 Active / No H1 GMV","4. Establish / Re-establish / Observe","UNASSIGNED"))))),IF(G255="Low",IF(J255="Tail","9. Long-Tail Automated Nurture",IF(OR(N255="Growing",N255="Stable"),"6. Growth Opportunity",IF(N255="H2 Active / No H1 GMV","7. Onboard / Re-engage / Learn",IF(OR(N255="Declining",N255="Lapsed"),"8. Retention / Reactivation","UNASSIGNED")))),"UNASSIGNED"))</f>
        <v>9. Long-Tail Automated Nurture</v>
      </c>
      <c r="U255" s="10" t="b">
        <f aca="false">AND(T255="1. Migration Candidate",J255="Core",O255&gt;=Assumptions!$B$39,Q255&gt;=Assumptions!$B$40,NOT(Z255))</f>
        <v>0</v>
      </c>
      <c r="V255" s="2" t="n">
        <f aca="false">(AND(H255="Broker-Reliant",J255&lt;&gt;"Tail",OR(N255="Growing",N255="Stable")))*1+(AND(H255="Broker-Reliant",J255&lt;&gt;"Tail",N255="Declining"))*1+(AND(H255="Broker-Reliant",J255&lt;&gt;"Tail",N255="Lapsed"))*1+(AND(H255="Broker-Reliant",J255&lt;&gt;"Tail",N255="H2 Active / No H1 GMV"))*1+(AND(H255="Broker-Reliant",J255="Tail"))*1+(AND(G255="Low",J255&lt;&gt;"Tail",OR(N255="Growing",N255="Stable")))*1+(AND(G255="Low",J255&lt;&gt;"Tail",N255="H2 Active / No H1 GMV"))*1+(AND(G255="Low",J255&lt;&gt;"Tail",OR(N255="Declining",N255="Lapsed")))*1+(AND(G255="Low",J255="Tail"))*1</f>
        <v>1</v>
      </c>
      <c r="W255" s="2" t="n">
        <f aca="false">INDEX('Commercial View'!$V$2:$V$301,MATCH($A255,'Commercial View'!$A$2:$A$301,0))</f>
        <v>1</v>
      </c>
      <c r="X255" s="10" t="b">
        <f aca="false">O255&lt;=Assumptions!$B$30</f>
        <v>1</v>
      </c>
      <c r="Y255" s="10" t="b">
        <f aca="false">W255&lt;=1</f>
        <v>1</v>
      </c>
      <c r="Z255" s="10" t="b">
        <f aca="false">C255="Duplicate"</f>
        <v>0</v>
      </c>
      <c r="AA255" s="10" t="b">
        <f aca="false">C255=""</f>
        <v>1</v>
      </c>
      <c r="AB255" s="2" t="n">
        <f aca="false">IF(P255+Q255&gt;0,ROUND(P255/(P255+Q255)*100,0),"")</f>
        <v>0</v>
      </c>
      <c r="AC255" s="2" t="n">
        <f aca="false">IF(P255+Q255&gt;0,ROUND(E255-P255/(P255+Q255)*100,0),"")</f>
        <v>0</v>
      </c>
      <c r="AD255" s="10" t="b">
        <f aca="false">IF(AC255="",FALSE(),ABS(AC255)&gt;Assumptions!$B$41)</f>
        <v>0</v>
      </c>
      <c r="AE255" s="2" t="str">
        <f aca="false">IF(X255,"Low confidence (&lt;=2 orders); ","")&amp;IF(Y255,"Single-month history; ","")&amp;IF(Z255,"CRITICAL: Duplicate status; ","")&amp;IF(AA255,"Missing status; ","")&amp;IF(AD255,"Broker % vs counts gap "&amp;TEXT(AC255,"+0;-0")&amp;"pts; ","")</f>
        <v>Low confidence (&lt;=2 orders); Single-month history; Missing status; </v>
      </c>
      <c r="AF255" s="2" t="str">
        <f aca="false">IF(AND(K255=0,L255&gt;0),IF(D255&lt;=Assumptions!$B$47,"New Customer","Returned Customer"),"Existing Customer")</f>
        <v>Existing Customer</v>
      </c>
      <c r="AG255" s="10" t="b">
        <f aca="false">AND(T255="1. Migration Candidate",J255="Key")</f>
        <v>0</v>
      </c>
      <c r="AH255" s="10" t="b">
        <f aca="false">IF(AND(K255&gt;0,L255&gt;0),OR(ABS(M255-Assumptions!$B$36)&lt;=Assumptions!$B$46,ABS(M255+Assumptions!$B$36)&lt;=Assumptions!$B$46),FALSE())</f>
        <v>0</v>
      </c>
      <c r="AI255" s="9" t="n">
        <f aca="false">INDEX('Commercial View'!$L$2:$L$301,MATCH($A255,'Commercial View'!$A$2:$A$301,0))+INDEX('Commercial View'!$M$2:$M$301,MATCH($A255,'Commercial View'!$A$2:$A$301,0))</f>
        <v>0</v>
      </c>
      <c r="AJ255" s="2" t="str">
        <f aca="false">IF(AND(K255=0,AI255=0),"No activity ex-Feb",IF(AI255=0,"Lapsed",IF(K255=0,"H2 Active / No H1 GMV",IF((AI255/2)/(K255/3)-1&gt;=Assumptions!$B$36,"Growing",IF((AI255/2)/(K255/3)-1&lt;-Assumptions!$B$36,"Declining","Stable")))))</f>
        <v>Lapsed</v>
      </c>
      <c r="AK255" s="10" t="b">
        <f aca="false">IF(OR(N255="Growing",N255="Stable"),"Healthy",N255)&lt;&gt;IF(OR(AJ255="Growing",AJ255="Stable"),"Healthy",AJ255)</f>
        <v>0</v>
      </c>
      <c r="AL255" s="2" t="str">
        <f aca="false">IF(N255="Lapsed",IF(OR(O255&lt;=Assumptions!$B$48,W255&lt;=Assumptions!$B$49),"One-Off / Insufficient History — Verify","Established Buyer Lapsed"),"N/A")</f>
        <v>One-Off / Insufficient History — Verify</v>
      </c>
      <c r="AM255" s="2" t="n">
        <f aca="false">INDEX('Scored Accounts'!$M$2:$M$301,MATCH($A255,'Scored Accounts'!$A$2:$A$301,0))</f>
        <v>0</v>
      </c>
      <c r="AN255" s="2" t="n">
        <f aca="false">IF((P255/(P255+Q255)*100)&lt;=Assumptions!$B$13,0,IF((P255/(P255+Q255)*100)&lt;Assumptions!$B$14,25,IF((P255/(P255+Q255)*100)&lt;Assumptions!$B$15,50,IF((P255/(P255+Q255)*100)&lt;Assumptions!$B$16,75,100))))</f>
        <v>0</v>
      </c>
      <c r="AO255" s="21" t="n">
        <f aca="false">IF((P255/(P255+Q255)*100)&lt;=Assumptions!$B$8,0,AN255*Assumptions!$B$4+INDEX('Scored Accounts'!$N$2:$N$301,MATCH($A255,'Scored Accounts'!$A$2:$A$301,0))*Assumptions!$B$5+INDEX('Scored Accounts'!$O$2:$O$301,MATCH($A255,'Scored Accounts'!$A$2:$A$301,0))*Assumptions!$B$6)</f>
        <v>0</v>
      </c>
      <c r="AP255" s="2" t="str">
        <f aca="false">IF(AO255&gt;=Assumptions!$B$9,"High",IF(AO255&gt;=Assumptions!$B$10,"Medium","Low"))</f>
        <v>Low</v>
      </c>
      <c r="AQ255" s="10" t="b">
        <f aca="false">OR((E255&lt;=Assumptions!$B$8)&lt;&gt;((P255/(P255+Q255)*100)&lt;=Assumptions!$B$8),AM255&lt;&gt;AN255,G255&lt;&gt;AP255)</f>
        <v>0</v>
      </c>
      <c r="AR255" s="2" t="str">
        <f aca="false">IF(AP255&lt;&gt;"Low","Broker-Reliant",IF(B255="Account Managed","AM-Owned / Self-Serving","Self-Serve"))</f>
        <v>Self-Serve</v>
      </c>
      <c r="AS255" s="2" t="str">
        <f aca="false">IF(AR255="Broker-Reliant",IF(J255="Tail","5. Cost-to-Serve / Low-Touch",IF(OR(N255="Growing",N255="Stable"),"1. Migration Candidate",IF(N255="Declining","2. Protect / Retain First",IF(N255="Lapsed","3. Win-Back / Verify",IF(N255="H2 Active / No H1 GMV","4. Establish / Re-establish / Observe","UNASSIGNED"))))),IF(AP255="Low",IF(J255="Tail","9. Long-Tail Automated Nurture",IF(OR(N255="Growing",N255="Stable"),"6. Growth Opportunity",IF(N255="H2 Active / No H1 GMV","7. Onboard / Re-engage / Learn",IF(OR(N255="Declining",N255="Lapsed"),"8. Retention / Reactivation","UNASSIGNED")))),"UNASSIGNED"))</f>
        <v>9. Long-Tail Automated Nurture</v>
      </c>
      <c r="AT255" s="10" t="b">
        <f aca="false">AS255&lt;&gt;T255</f>
        <v>0</v>
      </c>
      <c r="AU255" s="2" t="str">
        <f aca="false">IF(NOT(U255),"Not Eligible",IF(OR(AQ255,AH255,AK255,NOT(AND(W255&gt;=Assumptions!$B$83,O255&gt;=Assumptions!$B$84))),"Manual Review","Ready"))</f>
        <v>Not Eligible</v>
      </c>
      <c r="AV255" s="2" t="str">
        <f aca="false">IF(AG255,"Key account - human sign-off required; ","")&amp;IF(AH255,"Borderline momentum; ","")&amp;IF(AK255,"February-sensitive ("&amp;N255&amp;" -&gt; "&amp;AJ255&amp;"); ","")&amp;IF(AL255="One-Off / Insufficient History — Verify","Lapsed on thin history - verify; ","")&amp;IF(AQ255,"Material broker % inconsistency (implied tier "&amp;AP255&amp;"); ","")&amp;IF(AT255,"Implied broker % would move segment to "&amp;AS255&amp;"; ","")</f>
        <v>Lapsed on thin history - verify; </v>
      </c>
      <c r="AW255" s="10" t="b">
        <f aca="false">AND(G255="Low",J255="Tail",I255&gt;=Assumptions!$B$64,O255&gt;=Assumptions!$B$65,OR(N255="Growing",N255="Stable",AND(N255="H2 Active / No H1 GMV",W255&gt;=2)),OR(R255&gt;=Assumptions!$B$66,S255&gt;=Assumptions!$B$67))</f>
        <v>0</v>
      </c>
    </row>
    <row r="256" customFormat="false" ht="15" hidden="false" customHeight="false" outlineLevel="0" collapsed="false">
      <c r="A256" s="2" t="s">
        <v>820</v>
      </c>
      <c r="B256" s="2" t="s">
        <v>1574</v>
      </c>
      <c r="C256" s="2"/>
      <c r="D256" s="2" t="n">
        <v>3</v>
      </c>
      <c r="E256" s="2" t="n">
        <v>0</v>
      </c>
      <c r="F256" s="21" t="n">
        <f aca="false">INDEX('Scored Accounts'!$Q$2:$Q$301,MATCH($A256,'Scored Accounts'!$A$2:$A$301,0))</f>
        <v>0</v>
      </c>
      <c r="G256" s="2" t="str">
        <f aca="false">INDEX('Scored Accounts'!$R$2:$R$301,MATCH($A256,'Scored Accounts'!$A$2:$A$301,0))</f>
        <v>Low</v>
      </c>
      <c r="H256" s="2" t="str">
        <f aca="false">IF(OR(G256="High",G256="Medium"),"Broker-Reliant",IF(AND(G256="Low",B256="Account Managed"),"AM-Owned / Self-Serving",IF(AND(G256="Low",B256="Self Serve"),"Self-Serve","UNASSIGNED")))</f>
        <v>Self-Serve</v>
      </c>
      <c r="I256" s="9" t="n">
        <v>269</v>
      </c>
      <c r="J256" s="2" t="str">
        <f aca="false">IF(I256&gt;=Assumptions!$B$35,"Key",IF(I256&gt;=Assumptions!$B$34,"Core","Tail"))</f>
        <v>Tail</v>
      </c>
      <c r="K256" s="9" t="n">
        <f aca="false">INDEX('Commercial View'!$R$2:$R$301,MATCH($A256,'Commercial View'!$A$2:$A$301,0))</f>
        <v>0</v>
      </c>
      <c r="L256" s="9" t="n">
        <f aca="false">INDEX('Commercial View'!$S$2:$S$301,MATCH($A256,'Commercial View'!$A$2:$A$301,0))</f>
        <v>269</v>
      </c>
      <c r="M256" s="17" t="str">
        <f aca="false">INDEX('Commercial View'!$T$2:$T$301,MATCH($A256,'Commercial View'!$A$2:$A$301,0))</f>
        <v/>
      </c>
      <c r="N256" s="2" t="str">
        <f aca="false">INDEX('Commercial View'!$U$2:$U$301,MATCH($A256,'Commercial View'!$A$2:$A$301,0))</f>
        <v>H2 Active / No H1 GMV</v>
      </c>
      <c r="O256" s="2" t="n">
        <v>1</v>
      </c>
      <c r="P256" s="2" t="n">
        <v>0</v>
      </c>
      <c r="Q256" s="2" t="n">
        <v>1</v>
      </c>
      <c r="R256" s="2" t="n">
        <v>6</v>
      </c>
      <c r="S256" s="2" t="n">
        <v>0</v>
      </c>
      <c r="T256" s="2" t="str">
        <f aca="false">IF(H256="Broker-Reliant",IF(J256="Tail","5. Cost-to-Serve / Low-Touch",IF(OR(N256="Growing",N256="Stable"),"1. Migration Candidate",IF(N256="Declining","2. Protect / Retain First",IF(N256="Lapsed","3. Win-Back / Verify",IF(N256="H2 Active / No H1 GMV","4. Establish / Re-establish / Observe","UNASSIGNED"))))),IF(G256="Low",IF(J256="Tail","9. Long-Tail Automated Nurture",IF(OR(N256="Growing",N256="Stable"),"6. Growth Opportunity",IF(N256="H2 Active / No H1 GMV","7. Onboard / Re-engage / Learn",IF(OR(N256="Declining",N256="Lapsed"),"8. Retention / Reactivation","UNASSIGNED")))),"UNASSIGNED"))</f>
        <v>9. Long-Tail Automated Nurture</v>
      </c>
      <c r="U256" s="10" t="b">
        <f aca="false">AND(T256="1. Migration Candidate",J256="Core",O256&gt;=Assumptions!$B$39,Q256&gt;=Assumptions!$B$40,NOT(Z256))</f>
        <v>0</v>
      </c>
      <c r="V256" s="2" t="n">
        <f aca="false">(AND(H256="Broker-Reliant",J256&lt;&gt;"Tail",OR(N256="Growing",N256="Stable")))*1+(AND(H256="Broker-Reliant",J256&lt;&gt;"Tail",N256="Declining"))*1+(AND(H256="Broker-Reliant",J256&lt;&gt;"Tail",N256="Lapsed"))*1+(AND(H256="Broker-Reliant",J256&lt;&gt;"Tail",N256="H2 Active / No H1 GMV"))*1+(AND(H256="Broker-Reliant",J256="Tail"))*1+(AND(G256="Low",J256&lt;&gt;"Tail",OR(N256="Growing",N256="Stable")))*1+(AND(G256="Low",J256&lt;&gt;"Tail",N256="H2 Active / No H1 GMV"))*1+(AND(G256="Low",J256&lt;&gt;"Tail",OR(N256="Declining",N256="Lapsed")))*1+(AND(G256="Low",J256="Tail"))*1</f>
        <v>1</v>
      </c>
      <c r="W256" s="2" t="n">
        <f aca="false">INDEX('Commercial View'!$V$2:$V$301,MATCH($A256,'Commercial View'!$A$2:$A$301,0))</f>
        <v>1</v>
      </c>
      <c r="X256" s="10" t="b">
        <f aca="false">O256&lt;=Assumptions!$B$30</f>
        <v>1</v>
      </c>
      <c r="Y256" s="10" t="b">
        <f aca="false">W256&lt;=1</f>
        <v>1</v>
      </c>
      <c r="Z256" s="10" t="b">
        <f aca="false">C256="Duplicate"</f>
        <v>0</v>
      </c>
      <c r="AA256" s="10" t="b">
        <f aca="false">C256=""</f>
        <v>1</v>
      </c>
      <c r="AB256" s="2" t="n">
        <f aca="false">IF(P256+Q256&gt;0,ROUND(P256/(P256+Q256)*100,0),"")</f>
        <v>0</v>
      </c>
      <c r="AC256" s="2" t="n">
        <f aca="false">IF(P256+Q256&gt;0,ROUND(E256-P256/(P256+Q256)*100,0),"")</f>
        <v>0</v>
      </c>
      <c r="AD256" s="10" t="b">
        <f aca="false">IF(AC256="",FALSE(),ABS(AC256)&gt;Assumptions!$B$41)</f>
        <v>0</v>
      </c>
      <c r="AE256" s="2" t="str">
        <f aca="false">IF(X256,"Low confidence (&lt;=2 orders); ","")&amp;IF(Y256,"Single-month history; ","")&amp;IF(Z256,"CRITICAL: Duplicate status; ","")&amp;IF(AA256,"Missing status; ","")&amp;IF(AD256,"Broker % vs counts gap "&amp;TEXT(AC256,"+0;-0")&amp;"pts; ","")</f>
        <v>Low confidence (&lt;=2 orders); Single-month history; Missing status; </v>
      </c>
      <c r="AF256" s="2" t="str">
        <f aca="false">IF(AND(K256=0,L256&gt;0),IF(D256&lt;=Assumptions!$B$47,"New Customer","Returned Customer"),"Existing Customer")</f>
        <v>New Customer</v>
      </c>
      <c r="AG256" s="10" t="b">
        <f aca="false">AND(T256="1. Migration Candidate",J256="Key")</f>
        <v>0</v>
      </c>
      <c r="AH256" s="10" t="b">
        <f aca="false">IF(AND(K256&gt;0,L256&gt;0),OR(ABS(M256-Assumptions!$B$36)&lt;=Assumptions!$B$46,ABS(M256+Assumptions!$B$36)&lt;=Assumptions!$B$46),FALSE())</f>
        <v>0</v>
      </c>
      <c r="AI256" s="9" t="n">
        <f aca="false">INDEX('Commercial View'!$L$2:$L$301,MATCH($A256,'Commercial View'!$A$2:$A$301,0))+INDEX('Commercial View'!$M$2:$M$301,MATCH($A256,'Commercial View'!$A$2:$A$301,0))</f>
        <v>269</v>
      </c>
      <c r="AJ256" s="2" t="str">
        <f aca="false">IF(AND(K256=0,AI256=0),"No activity ex-Feb",IF(AI256=0,"Lapsed",IF(K256=0,"H2 Active / No H1 GMV",IF((AI256/2)/(K256/3)-1&gt;=Assumptions!$B$36,"Growing",IF((AI256/2)/(K256/3)-1&lt;-Assumptions!$B$36,"Declining","Stable")))))</f>
        <v>H2 Active / No H1 GMV</v>
      </c>
      <c r="AK256" s="10" t="b">
        <f aca="false">IF(OR(N256="Growing",N256="Stable"),"Healthy",N256)&lt;&gt;IF(OR(AJ256="Growing",AJ256="Stable"),"Healthy",AJ256)</f>
        <v>0</v>
      </c>
      <c r="AL256" s="2" t="str">
        <f aca="false">IF(N256="Lapsed",IF(OR(O256&lt;=Assumptions!$B$48,W256&lt;=Assumptions!$B$49),"One-Off / Insufficient History — Verify","Established Buyer Lapsed"),"N/A")</f>
        <v>N/A</v>
      </c>
      <c r="AM256" s="2" t="n">
        <f aca="false">INDEX('Scored Accounts'!$M$2:$M$301,MATCH($A256,'Scored Accounts'!$A$2:$A$301,0))</f>
        <v>0</v>
      </c>
      <c r="AN256" s="2" t="n">
        <f aca="false">IF((P256/(P256+Q256)*100)&lt;=Assumptions!$B$13,0,IF((P256/(P256+Q256)*100)&lt;Assumptions!$B$14,25,IF((P256/(P256+Q256)*100)&lt;Assumptions!$B$15,50,IF((P256/(P256+Q256)*100)&lt;Assumptions!$B$16,75,100))))</f>
        <v>0</v>
      </c>
      <c r="AO256" s="21" t="n">
        <f aca="false">IF((P256/(P256+Q256)*100)&lt;=Assumptions!$B$8,0,AN256*Assumptions!$B$4+INDEX('Scored Accounts'!$N$2:$N$301,MATCH($A256,'Scored Accounts'!$A$2:$A$301,0))*Assumptions!$B$5+INDEX('Scored Accounts'!$O$2:$O$301,MATCH($A256,'Scored Accounts'!$A$2:$A$301,0))*Assumptions!$B$6)</f>
        <v>0</v>
      </c>
      <c r="AP256" s="2" t="str">
        <f aca="false">IF(AO256&gt;=Assumptions!$B$9,"High",IF(AO256&gt;=Assumptions!$B$10,"Medium","Low"))</f>
        <v>Low</v>
      </c>
      <c r="AQ256" s="10" t="b">
        <f aca="false">OR((E256&lt;=Assumptions!$B$8)&lt;&gt;((P256/(P256+Q256)*100)&lt;=Assumptions!$B$8),AM256&lt;&gt;AN256,G256&lt;&gt;AP256)</f>
        <v>0</v>
      </c>
      <c r="AR256" s="2" t="str">
        <f aca="false">IF(AP256&lt;&gt;"Low","Broker-Reliant",IF(B256="Account Managed","AM-Owned / Self-Serving","Self-Serve"))</f>
        <v>Self-Serve</v>
      </c>
      <c r="AS256" s="2" t="str">
        <f aca="false">IF(AR256="Broker-Reliant",IF(J256="Tail","5. Cost-to-Serve / Low-Touch",IF(OR(N256="Growing",N256="Stable"),"1. Migration Candidate",IF(N256="Declining","2. Protect / Retain First",IF(N256="Lapsed","3. Win-Back / Verify",IF(N256="H2 Active / No H1 GMV","4. Establish / Re-establish / Observe","UNASSIGNED"))))),IF(AP256="Low",IF(J256="Tail","9. Long-Tail Automated Nurture",IF(OR(N256="Growing",N256="Stable"),"6. Growth Opportunity",IF(N256="H2 Active / No H1 GMV","7. Onboard / Re-engage / Learn",IF(OR(N256="Declining",N256="Lapsed"),"8. Retention / Reactivation","UNASSIGNED")))),"UNASSIGNED"))</f>
        <v>9. Long-Tail Automated Nurture</v>
      </c>
      <c r="AT256" s="10" t="b">
        <f aca="false">AS256&lt;&gt;T256</f>
        <v>0</v>
      </c>
      <c r="AU256" s="2" t="str">
        <f aca="false">IF(NOT(U256),"Not Eligible",IF(OR(AQ256,AH256,AK256,NOT(AND(W256&gt;=Assumptions!$B$83,O256&gt;=Assumptions!$B$84))),"Manual Review","Ready"))</f>
        <v>Not Eligible</v>
      </c>
      <c r="AV256" s="2" t="str">
        <f aca="false">IF(AG256,"Key account - human sign-off required; ","")&amp;IF(AH256,"Borderline momentum; ","")&amp;IF(AK256,"February-sensitive ("&amp;N256&amp;" -&gt; "&amp;AJ256&amp;"); ","")&amp;IF(AL256="One-Off / Insufficient History — Verify","Lapsed on thin history - verify; ","")&amp;IF(AQ256,"Material broker % inconsistency (implied tier "&amp;AP256&amp;"); ","")&amp;IF(AT256,"Implied broker % would move segment to "&amp;AS256&amp;"; ","")</f>
        <v/>
      </c>
      <c r="AW256" s="10" t="b">
        <f aca="false">AND(G256="Low",J256="Tail",I256&gt;=Assumptions!$B$64,O256&gt;=Assumptions!$B$65,OR(N256="Growing",N256="Stable",AND(N256="H2 Active / No H1 GMV",W256&gt;=2)),OR(R256&gt;=Assumptions!$B$66,S256&gt;=Assumptions!$B$67))</f>
        <v>0</v>
      </c>
    </row>
    <row r="257" customFormat="false" ht="15" hidden="false" customHeight="false" outlineLevel="0" collapsed="false">
      <c r="A257" s="2" t="s">
        <v>564</v>
      </c>
      <c r="B257" s="2" t="s">
        <v>1574</v>
      </c>
      <c r="C257" s="2"/>
      <c r="D257" s="2" t="n">
        <v>3</v>
      </c>
      <c r="E257" s="2" t="n">
        <v>0</v>
      </c>
      <c r="F257" s="21" t="n">
        <f aca="false">INDEX('Scored Accounts'!$Q$2:$Q$301,MATCH($A257,'Scored Accounts'!$A$2:$A$301,0))</f>
        <v>0</v>
      </c>
      <c r="G257" s="2" t="str">
        <f aca="false">INDEX('Scored Accounts'!$R$2:$R$301,MATCH($A257,'Scored Accounts'!$A$2:$A$301,0))</f>
        <v>Low</v>
      </c>
      <c r="H257" s="2" t="str">
        <f aca="false">IF(OR(G257="High",G257="Medium"),"Broker-Reliant",IF(AND(G257="Low",B257="Account Managed"),"AM-Owned / Self-Serving",IF(AND(G257="Low",B257="Self Serve"),"Self-Serve","UNASSIGNED")))</f>
        <v>Self-Serve</v>
      </c>
      <c r="I257" s="9" t="n">
        <v>263</v>
      </c>
      <c r="J257" s="2" t="str">
        <f aca="false">IF(I257&gt;=Assumptions!$B$35,"Key",IF(I257&gt;=Assumptions!$B$34,"Core","Tail"))</f>
        <v>Tail</v>
      </c>
      <c r="K257" s="9" t="n">
        <f aca="false">INDEX('Commercial View'!$R$2:$R$301,MATCH($A257,'Commercial View'!$A$2:$A$301,0))</f>
        <v>0</v>
      </c>
      <c r="L257" s="9" t="n">
        <f aca="false">INDEX('Commercial View'!$S$2:$S$301,MATCH($A257,'Commercial View'!$A$2:$A$301,0))</f>
        <v>263</v>
      </c>
      <c r="M257" s="17" t="str">
        <f aca="false">INDEX('Commercial View'!$T$2:$T$301,MATCH($A257,'Commercial View'!$A$2:$A$301,0))</f>
        <v/>
      </c>
      <c r="N257" s="2" t="str">
        <f aca="false">INDEX('Commercial View'!$U$2:$U$301,MATCH($A257,'Commercial View'!$A$2:$A$301,0))</f>
        <v>H2 Active / No H1 GMV</v>
      </c>
      <c r="O257" s="2" t="n">
        <v>2</v>
      </c>
      <c r="P257" s="2" t="n">
        <v>0</v>
      </c>
      <c r="Q257" s="2" t="n">
        <v>2</v>
      </c>
      <c r="R257" s="2" t="n">
        <v>9</v>
      </c>
      <c r="S257" s="2" t="n">
        <v>2</v>
      </c>
      <c r="T257" s="2" t="str">
        <f aca="false">IF(H257="Broker-Reliant",IF(J257="Tail","5. Cost-to-Serve / Low-Touch",IF(OR(N257="Growing",N257="Stable"),"1. Migration Candidate",IF(N257="Declining","2. Protect / Retain First",IF(N257="Lapsed","3. Win-Back / Verify",IF(N257="H2 Active / No H1 GMV","4. Establish / Re-establish / Observe","UNASSIGNED"))))),IF(G257="Low",IF(J257="Tail","9. Long-Tail Automated Nurture",IF(OR(N257="Growing",N257="Stable"),"6. Growth Opportunity",IF(N257="H2 Active / No H1 GMV","7. Onboard / Re-engage / Learn",IF(OR(N257="Declining",N257="Lapsed"),"8. Retention / Reactivation","UNASSIGNED")))),"UNASSIGNED"))</f>
        <v>9. Long-Tail Automated Nurture</v>
      </c>
      <c r="U257" s="10" t="b">
        <f aca="false">AND(T257="1. Migration Candidate",J257="Core",O257&gt;=Assumptions!$B$39,Q257&gt;=Assumptions!$B$40,NOT(Z257))</f>
        <v>0</v>
      </c>
      <c r="V257" s="2" t="n">
        <f aca="false">(AND(H257="Broker-Reliant",J257&lt;&gt;"Tail",OR(N257="Growing",N257="Stable")))*1+(AND(H257="Broker-Reliant",J257&lt;&gt;"Tail",N257="Declining"))*1+(AND(H257="Broker-Reliant",J257&lt;&gt;"Tail",N257="Lapsed"))*1+(AND(H257="Broker-Reliant",J257&lt;&gt;"Tail",N257="H2 Active / No H1 GMV"))*1+(AND(H257="Broker-Reliant",J257="Tail"))*1+(AND(G257="Low",J257&lt;&gt;"Tail",OR(N257="Growing",N257="Stable")))*1+(AND(G257="Low",J257&lt;&gt;"Tail",N257="H2 Active / No H1 GMV"))*1+(AND(G257="Low",J257&lt;&gt;"Tail",OR(N257="Declining",N257="Lapsed")))*1+(AND(G257="Low",J257="Tail"))*1</f>
        <v>1</v>
      </c>
      <c r="W257" s="2" t="n">
        <f aca="false">INDEX('Commercial View'!$V$2:$V$301,MATCH($A257,'Commercial View'!$A$2:$A$301,0))</f>
        <v>2</v>
      </c>
      <c r="X257" s="10" t="b">
        <f aca="false">O257&lt;=Assumptions!$B$30</f>
        <v>1</v>
      </c>
      <c r="Y257" s="10" t="b">
        <f aca="false">W257&lt;=1</f>
        <v>0</v>
      </c>
      <c r="Z257" s="10" t="b">
        <f aca="false">C257="Duplicate"</f>
        <v>0</v>
      </c>
      <c r="AA257" s="10" t="b">
        <f aca="false">C257=""</f>
        <v>1</v>
      </c>
      <c r="AB257" s="2" t="n">
        <f aca="false">IF(P257+Q257&gt;0,ROUND(P257/(P257+Q257)*100,0),"")</f>
        <v>0</v>
      </c>
      <c r="AC257" s="2" t="n">
        <f aca="false">IF(P257+Q257&gt;0,ROUND(E257-P257/(P257+Q257)*100,0),"")</f>
        <v>0</v>
      </c>
      <c r="AD257" s="10" t="b">
        <f aca="false">IF(AC257="",FALSE(),ABS(AC257)&gt;Assumptions!$B$41)</f>
        <v>0</v>
      </c>
      <c r="AE257" s="2" t="str">
        <f aca="false">IF(X257,"Low confidence (&lt;=2 orders); ","")&amp;IF(Y257,"Single-month history; ","")&amp;IF(Z257,"CRITICAL: Duplicate status; ","")&amp;IF(AA257,"Missing status; ","")&amp;IF(AD257,"Broker % vs counts gap "&amp;TEXT(AC257,"+0;-0")&amp;"pts; ","")</f>
        <v>Low confidence (&lt;=2 orders); Missing status; </v>
      </c>
      <c r="AF257" s="2" t="str">
        <f aca="false">IF(AND(K257=0,L257&gt;0),IF(D257&lt;=Assumptions!$B$47,"New Customer","Returned Customer"),"Existing Customer")</f>
        <v>New Customer</v>
      </c>
      <c r="AG257" s="10" t="b">
        <f aca="false">AND(T257="1. Migration Candidate",J257="Key")</f>
        <v>0</v>
      </c>
      <c r="AH257" s="10" t="b">
        <f aca="false">IF(AND(K257&gt;0,L257&gt;0),OR(ABS(M257-Assumptions!$B$36)&lt;=Assumptions!$B$46,ABS(M257+Assumptions!$B$36)&lt;=Assumptions!$B$46),FALSE())</f>
        <v>0</v>
      </c>
      <c r="AI257" s="9" t="n">
        <f aca="false">INDEX('Commercial View'!$L$2:$L$301,MATCH($A257,'Commercial View'!$A$2:$A$301,0))+INDEX('Commercial View'!$M$2:$M$301,MATCH($A257,'Commercial View'!$A$2:$A$301,0))</f>
        <v>107</v>
      </c>
      <c r="AJ257" s="2" t="str">
        <f aca="false">IF(AND(K257=0,AI257=0),"No activity ex-Feb",IF(AI257=0,"Lapsed",IF(K257=0,"H2 Active / No H1 GMV",IF((AI257/2)/(K257/3)-1&gt;=Assumptions!$B$36,"Growing",IF((AI257/2)/(K257/3)-1&lt;-Assumptions!$B$36,"Declining","Stable")))))</f>
        <v>H2 Active / No H1 GMV</v>
      </c>
      <c r="AK257" s="10" t="b">
        <f aca="false">IF(OR(N257="Growing",N257="Stable"),"Healthy",N257)&lt;&gt;IF(OR(AJ257="Growing",AJ257="Stable"),"Healthy",AJ257)</f>
        <v>0</v>
      </c>
      <c r="AL257" s="2" t="str">
        <f aca="false">IF(N257="Lapsed",IF(OR(O257&lt;=Assumptions!$B$48,W257&lt;=Assumptions!$B$49),"One-Off / Insufficient History — Verify","Established Buyer Lapsed"),"N/A")</f>
        <v>N/A</v>
      </c>
      <c r="AM257" s="2" t="n">
        <f aca="false">INDEX('Scored Accounts'!$M$2:$M$301,MATCH($A257,'Scored Accounts'!$A$2:$A$301,0))</f>
        <v>0</v>
      </c>
      <c r="AN257" s="2" t="n">
        <f aca="false">IF((P257/(P257+Q257)*100)&lt;=Assumptions!$B$13,0,IF((P257/(P257+Q257)*100)&lt;Assumptions!$B$14,25,IF((P257/(P257+Q257)*100)&lt;Assumptions!$B$15,50,IF((P257/(P257+Q257)*100)&lt;Assumptions!$B$16,75,100))))</f>
        <v>0</v>
      </c>
      <c r="AO257" s="21" t="n">
        <f aca="false">IF((P257/(P257+Q257)*100)&lt;=Assumptions!$B$8,0,AN257*Assumptions!$B$4+INDEX('Scored Accounts'!$N$2:$N$301,MATCH($A257,'Scored Accounts'!$A$2:$A$301,0))*Assumptions!$B$5+INDEX('Scored Accounts'!$O$2:$O$301,MATCH($A257,'Scored Accounts'!$A$2:$A$301,0))*Assumptions!$B$6)</f>
        <v>0</v>
      </c>
      <c r="AP257" s="2" t="str">
        <f aca="false">IF(AO257&gt;=Assumptions!$B$9,"High",IF(AO257&gt;=Assumptions!$B$10,"Medium","Low"))</f>
        <v>Low</v>
      </c>
      <c r="AQ257" s="10" t="b">
        <f aca="false">OR((E257&lt;=Assumptions!$B$8)&lt;&gt;((P257/(P257+Q257)*100)&lt;=Assumptions!$B$8),AM257&lt;&gt;AN257,G257&lt;&gt;AP257)</f>
        <v>0</v>
      </c>
      <c r="AR257" s="2" t="str">
        <f aca="false">IF(AP257&lt;&gt;"Low","Broker-Reliant",IF(B257="Account Managed","AM-Owned / Self-Serving","Self-Serve"))</f>
        <v>Self-Serve</v>
      </c>
      <c r="AS257" s="2" t="str">
        <f aca="false">IF(AR257="Broker-Reliant",IF(J257="Tail","5. Cost-to-Serve / Low-Touch",IF(OR(N257="Growing",N257="Stable"),"1. Migration Candidate",IF(N257="Declining","2. Protect / Retain First",IF(N257="Lapsed","3. Win-Back / Verify",IF(N257="H2 Active / No H1 GMV","4. Establish / Re-establish / Observe","UNASSIGNED"))))),IF(AP257="Low",IF(J257="Tail","9. Long-Tail Automated Nurture",IF(OR(N257="Growing",N257="Stable"),"6. Growth Opportunity",IF(N257="H2 Active / No H1 GMV","7. Onboard / Re-engage / Learn",IF(OR(N257="Declining",N257="Lapsed"),"8. Retention / Reactivation","UNASSIGNED")))),"UNASSIGNED"))</f>
        <v>9. Long-Tail Automated Nurture</v>
      </c>
      <c r="AT257" s="10" t="b">
        <f aca="false">AS257&lt;&gt;T257</f>
        <v>0</v>
      </c>
      <c r="AU257" s="2" t="str">
        <f aca="false">IF(NOT(U257),"Not Eligible",IF(OR(AQ257,AH257,AK257,NOT(AND(W257&gt;=Assumptions!$B$83,O257&gt;=Assumptions!$B$84))),"Manual Review","Ready"))</f>
        <v>Not Eligible</v>
      </c>
      <c r="AV257" s="2" t="str">
        <f aca="false">IF(AG257,"Key account - human sign-off required; ","")&amp;IF(AH257,"Borderline momentum; ","")&amp;IF(AK257,"February-sensitive ("&amp;N257&amp;" -&gt; "&amp;AJ257&amp;"); ","")&amp;IF(AL257="One-Off / Insufficient History — Verify","Lapsed on thin history - verify; ","")&amp;IF(AQ257,"Material broker % inconsistency (implied tier "&amp;AP257&amp;"); ","")&amp;IF(AT257,"Implied broker % would move segment to "&amp;AS257&amp;"; ","")</f>
        <v/>
      </c>
      <c r="AW257" s="10" t="b">
        <f aca="false">AND(G257="Low",J257="Tail",I257&gt;=Assumptions!$B$64,O257&gt;=Assumptions!$B$65,OR(N257="Growing",N257="Stable",AND(N257="H2 Active / No H1 GMV",W257&gt;=2)),OR(R257&gt;=Assumptions!$B$66,S257&gt;=Assumptions!$B$67))</f>
        <v>0</v>
      </c>
    </row>
    <row r="258" customFormat="false" ht="15" hidden="false" customHeight="false" outlineLevel="0" collapsed="false">
      <c r="A258" s="2" t="s">
        <v>824</v>
      </c>
      <c r="B258" s="2" t="s">
        <v>1574</v>
      </c>
      <c r="C258" s="2"/>
      <c r="D258" s="2" t="n">
        <v>5</v>
      </c>
      <c r="E258" s="2" t="n">
        <v>0</v>
      </c>
      <c r="F258" s="21" t="n">
        <f aca="false">INDEX('Scored Accounts'!$Q$2:$Q$301,MATCH($A258,'Scored Accounts'!$A$2:$A$301,0))</f>
        <v>0</v>
      </c>
      <c r="G258" s="2" t="str">
        <f aca="false">INDEX('Scored Accounts'!$R$2:$R$301,MATCH($A258,'Scored Accounts'!$A$2:$A$301,0))</f>
        <v>Low</v>
      </c>
      <c r="H258" s="2" t="str">
        <f aca="false">IF(OR(G258="High",G258="Medium"),"Broker-Reliant",IF(AND(G258="Low",B258="Account Managed"),"AM-Owned / Self-Serving",IF(AND(G258="Low",B258="Self Serve"),"Self-Serve","UNASSIGNED")))</f>
        <v>Self-Serve</v>
      </c>
      <c r="I258" s="9" t="n">
        <v>260</v>
      </c>
      <c r="J258" s="2" t="str">
        <f aca="false">IF(I258&gt;=Assumptions!$B$35,"Key",IF(I258&gt;=Assumptions!$B$34,"Core","Tail"))</f>
        <v>Tail</v>
      </c>
      <c r="K258" s="9" t="n">
        <f aca="false">INDEX('Commercial View'!$R$2:$R$301,MATCH($A258,'Commercial View'!$A$2:$A$301,0))</f>
        <v>260</v>
      </c>
      <c r="L258" s="9" t="n">
        <f aca="false">INDEX('Commercial View'!$S$2:$S$301,MATCH($A258,'Commercial View'!$A$2:$A$301,0))</f>
        <v>0</v>
      </c>
      <c r="M258" s="17" t="n">
        <f aca="false">INDEX('Commercial View'!$T$2:$T$301,MATCH($A258,'Commercial View'!$A$2:$A$301,0))</f>
        <v>-1</v>
      </c>
      <c r="N258" s="2" t="str">
        <f aca="false">INDEX('Commercial View'!$U$2:$U$301,MATCH($A258,'Commercial View'!$A$2:$A$301,0))</f>
        <v>Lapsed</v>
      </c>
      <c r="O258" s="2" t="n">
        <v>1</v>
      </c>
      <c r="P258" s="2" t="n">
        <v>0</v>
      </c>
      <c r="Q258" s="2" t="n">
        <v>1</v>
      </c>
      <c r="R258" s="2" t="n">
        <v>20</v>
      </c>
      <c r="S258" s="2" t="n">
        <v>1</v>
      </c>
      <c r="T258" s="2" t="str">
        <f aca="false">IF(H258="Broker-Reliant",IF(J258="Tail","5. Cost-to-Serve / Low-Touch",IF(OR(N258="Growing",N258="Stable"),"1. Migration Candidate",IF(N258="Declining","2. Protect / Retain First",IF(N258="Lapsed","3. Win-Back / Verify",IF(N258="H2 Active / No H1 GMV","4. Establish / Re-establish / Observe","UNASSIGNED"))))),IF(G258="Low",IF(J258="Tail","9. Long-Tail Automated Nurture",IF(OR(N258="Growing",N258="Stable"),"6. Growth Opportunity",IF(N258="H2 Active / No H1 GMV","7. Onboard / Re-engage / Learn",IF(OR(N258="Declining",N258="Lapsed"),"8. Retention / Reactivation","UNASSIGNED")))),"UNASSIGNED"))</f>
        <v>9. Long-Tail Automated Nurture</v>
      </c>
      <c r="U258" s="10" t="b">
        <f aca="false">AND(T258="1. Migration Candidate",J258="Core",O258&gt;=Assumptions!$B$39,Q258&gt;=Assumptions!$B$40,NOT(Z258))</f>
        <v>0</v>
      </c>
      <c r="V258" s="2" t="n">
        <f aca="false">(AND(H258="Broker-Reliant",J258&lt;&gt;"Tail",OR(N258="Growing",N258="Stable")))*1+(AND(H258="Broker-Reliant",J258&lt;&gt;"Tail",N258="Declining"))*1+(AND(H258="Broker-Reliant",J258&lt;&gt;"Tail",N258="Lapsed"))*1+(AND(H258="Broker-Reliant",J258&lt;&gt;"Tail",N258="H2 Active / No H1 GMV"))*1+(AND(H258="Broker-Reliant",J258="Tail"))*1+(AND(G258="Low",J258&lt;&gt;"Tail",OR(N258="Growing",N258="Stable")))*1+(AND(G258="Low",J258&lt;&gt;"Tail",N258="H2 Active / No H1 GMV"))*1+(AND(G258="Low",J258&lt;&gt;"Tail",OR(N258="Declining",N258="Lapsed")))*1+(AND(G258="Low",J258="Tail"))*1</f>
        <v>1</v>
      </c>
      <c r="W258" s="2" t="n">
        <f aca="false">INDEX('Commercial View'!$V$2:$V$301,MATCH($A258,'Commercial View'!$A$2:$A$301,0))</f>
        <v>1</v>
      </c>
      <c r="X258" s="10" t="b">
        <f aca="false">O258&lt;=Assumptions!$B$30</f>
        <v>1</v>
      </c>
      <c r="Y258" s="10" t="b">
        <f aca="false">W258&lt;=1</f>
        <v>1</v>
      </c>
      <c r="Z258" s="10" t="b">
        <f aca="false">C258="Duplicate"</f>
        <v>0</v>
      </c>
      <c r="AA258" s="10" t="b">
        <f aca="false">C258=""</f>
        <v>1</v>
      </c>
      <c r="AB258" s="2" t="n">
        <f aca="false">IF(P258+Q258&gt;0,ROUND(P258/(P258+Q258)*100,0),"")</f>
        <v>0</v>
      </c>
      <c r="AC258" s="2" t="n">
        <f aca="false">IF(P258+Q258&gt;0,ROUND(E258-P258/(P258+Q258)*100,0),"")</f>
        <v>0</v>
      </c>
      <c r="AD258" s="10" t="b">
        <f aca="false">IF(AC258="",FALSE(),ABS(AC258)&gt;Assumptions!$B$41)</f>
        <v>0</v>
      </c>
      <c r="AE258" s="2" t="str">
        <f aca="false">IF(X258,"Low confidence (&lt;=2 orders); ","")&amp;IF(Y258,"Single-month history; ","")&amp;IF(Z258,"CRITICAL: Duplicate status; ","")&amp;IF(AA258,"Missing status; ","")&amp;IF(AD258,"Broker % vs counts gap "&amp;TEXT(AC258,"+0;-0")&amp;"pts; ","")</f>
        <v>Low confidence (&lt;=2 orders); Single-month history; Missing status; </v>
      </c>
      <c r="AF258" s="2" t="str">
        <f aca="false">IF(AND(K258=0,L258&gt;0),IF(D258&lt;=Assumptions!$B$47,"New Customer","Returned Customer"),"Existing Customer")</f>
        <v>Existing Customer</v>
      </c>
      <c r="AG258" s="10" t="b">
        <f aca="false">AND(T258="1. Migration Candidate",J258="Key")</f>
        <v>0</v>
      </c>
      <c r="AH258" s="10" t="b">
        <f aca="false">IF(AND(K258&gt;0,L258&gt;0),OR(ABS(M258-Assumptions!$B$36)&lt;=Assumptions!$B$46,ABS(M258+Assumptions!$B$36)&lt;=Assumptions!$B$46),FALSE())</f>
        <v>0</v>
      </c>
      <c r="AI258" s="9" t="n">
        <f aca="false">INDEX('Commercial View'!$L$2:$L$301,MATCH($A258,'Commercial View'!$A$2:$A$301,0))+INDEX('Commercial View'!$M$2:$M$301,MATCH($A258,'Commercial View'!$A$2:$A$301,0))</f>
        <v>0</v>
      </c>
      <c r="AJ258" s="2" t="str">
        <f aca="false">IF(AND(K258=0,AI258=0),"No activity ex-Feb",IF(AI258=0,"Lapsed",IF(K258=0,"H2 Active / No H1 GMV",IF((AI258/2)/(K258/3)-1&gt;=Assumptions!$B$36,"Growing",IF((AI258/2)/(K258/3)-1&lt;-Assumptions!$B$36,"Declining","Stable")))))</f>
        <v>Lapsed</v>
      </c>
      <c r="AK258" s="10" t="b">
        <f aca="false">IF(OR(N258="Growing",N258="Stable"),"Healthy",N258)&lt;&gt;IF(OR(AJ258="Growing",AJ258="Stable"),"Healthy",AJ258)</f>
        <v>0</v>
      </c>
      <c r="AL258" s="2" t="str">
        <f aca="false">IF(N258="Lapsed",IF(OR(O258&lt;=Assumptions!$B$48,W258&lt;=Assumptions!$B$49),"One-Off / Insufficient History — Verify","Established Buyer Lapsed"),"N/A")</f>
        <v>One-Off / Insufficient History — Verify</v>
      </c>
      <c r="AM258" s="2" t="n">
        <f aca="false">INDEX('Scored Accounts'!$M$2:$M$301,MATCH($A258,'Scored Accounts'!$A$2:$A$301,0))</f>
        <v>0</v>
      </c>
      <c r="AN258" s="2" t="n">
        <f aca="false">IF((P258/(P258+Q258)*100)&lt;=Assumptions!$B$13,0,IF((P258/(P258+Q258)*100)&lt;Assumptions!$B$14,25,IF((P258/(P258+Q258)*100)&lt;Assumptions!$B$15,50,IF((P258/(P258+Q258)*100)&lt;Assumptions!$B$16,75,100))))</f>
        <v>0</v>
      </c>
      <c r="AO258" s="21" t="n">
        <f aca="false">IF((P258/(P258+Q258)*100)&lt;=Assumptions!$B$8,0,AN258*Assumptions!$B$4+INDEX('Scored Accounts'!$N$2:$N$301,MATCH($A258,'Scored Accounts'!$A$2:$A$301,0))*Assumptions!$B$5+INDEX('Scored Accounts'!$O$2:$O$301,MATCH($A258,'Scored Accounts'!$A$2:$A$301,0))*Assumptions!$B$6)</f>
        <v>0</v>
      </c>
      <c r="AP258" s="2" t="str">
        <f aca="false">IF(AO258&gt;=Assumptions!$B$9,"High",IF(AO258&gt;=Assumptions!$B$10,"Medium","Low"))</f>
        <v>Low</v>
      </c>
      <c r="AQ258" s="10" t="b">
        <f aca="false">OR((E258&lt;=Assumptions!$B$8)&lt;&gt;((P258/(P258+Q258)*100)&lt;=Assumptions!$B$8),AM258&lt;&gt;AN258,G258&lt;&gt;AP258)</f>
        <v>0</v>
      </c>
      <c r="AR258" s="2" t="str">
        <f aca="false">IF(AP258&lt;&gt;"Low","Broker-Reliant",IF(B258="Account Managed","AM-Owned / Self-Serving","Self-Serve"))</f>
        <v>Self-Serve</v>
      </c>
      <c r="AS258" s="2" t="str">
        <f aca="false">IF(AR258="Broker-Reliant",IF(J258="Tail","5. Cost-to-Serve / Low-Touch",IF(OR(N258="Growing",N258="Stable"),"1. Migration Candidate",IF(N258="Declining","2. Protect / Retain First",IF(N258="Lapsed","3. Win-Back / Verify",IF(N258="H2 Active / No H1 GMV","4. Establish / Re-establish / Observe","UNASSIGNED"))))),IF(AP258="Low",IF(J258="Tail","9. Long-Tail Automated Nurture",IF(OR(N258="Growing",N258="Stable"),"6. Growth Opportunity",IF(N258="H2 Active / No H1 GMV","7. Onboard / Re-engage / Learn",IF(OR(N258="Declining",N258="Lapsed"),"8. Retention / Reactivation","UNASSIGNED")))),"UNASSIGNED"))</f>
        <v>9. Long-Tail Automated Nurture</v>
      </c>
      <c r="AT258" s="10" t="b">
        <f aca="false">AS258&lt;&gt;T258</f>
        <v>0</v>
      </c>
      <c r="AU258" s="2" t="str">
        <f aca="false">IF(NOT(U258),"Not Eligible",IF(OR(AQ258,AH258,AK258,NOT(AND(W258&gt;=Assumptions!$B$83,O258&gt;=Assumptions!$B$84))),"Manual Review","Ready"))</f>
        <v>Not Eligible</v>
      </c>
      <c r="AV258" s="2" t="str">
        <f aca="false">IF(AG258,"Key account - human sign-off required; ","")&amp;IF(AH258,"Borderline momentum; ","")&amp;IF(AK258,"February-sensitive ("&amp;N258&amp;" -&gt; "&amp;AJ258&amp;"); ","")&amp;IF(AL258="One-Off / Insufficient History — Verify","Lapsed on thin history - verify; ","")&amp;IF(AQ258,"Material broker % inconsistency (implied tier "&amp;AP258&amp;"); ","")&amp;IF(AT258,"Implied broker % would move segment to "&amp;AS258&amp;"; ","")</f>
        <v>Lapsed on thin history - verify; </v>
      </c>
      <c r="AW258" s="10" t="b">
        <f aca="false">AND(G258="Low",J258="Tail",I258&gt;=Assumptions!$B$64,O258&gt;=Assumptions!$B$65,OR(N258="Growing",N258="Stable",AND(N258="H2 Active / No H1 GMV",W258&gt;=2)),OR(R258&gt;=Assumptions!$B$66,S258&gt;=Assumptions!$B$67))</f>
        <v>0</v>
      </c>
    </row>
    <row r="259" customFormat="false" ht="15" hidden="false" customHeight="false" outlineLevel="0" collapsed="false">
      <c r="A259" s="2" t="s">
        <v>836</v>
      </c>
      <c r="B259" s="2" t="s">
        <v>1574</v>
      </c>
      <c r="C259" s="2"/>
      <c r="D259" s="2" t="n">
        <v>4</v>
      </c>
      <c r="E259" s="2" t="n">
        <v>0</v>
      </c>
      <c r="F259" s="21" t="n">
        <f aca="false">INDEX('Scored Accounts'!$Q$2:$Q$301,MATCH($A259,'Scored Accounts'!$A$2:$A$301,0))</f>
        <v>0</v>
      </c>
      <c r="G259" s="2" t="str">
        <f aca="false">INDEX('Scored Accounts'!$R$2:$R$301,MATCH($A259,'Scored Accounts'!$A$2:$A$301,0))</f>
        <v>Low</v>
      </c>
      <c r="H259" s="2" t="str">
        <f aca="false">IF(OR(G259="High",G259="Medium"),"Broker-Reliant",IF(AND(G259="Low",B259="Account Managed"),"AM-Owned / Self-Serving",IF(AND(G259="Low",B259="Self Serve"),"Self-Serve","UNASSIGNED")))</f>
        <v>Self-Serve</v>
      </c>
      <c r="I259" s="9" t="n">
        <v>246</v>
      </c>
      <c r="J259" s="2" t="str">
        <f aca="false">IF(I259&gt;=Assumptions!$B$35,"Key",IF(I259&gt;=Assumptions!$B$34,"Core","Tail"))</f>
        <v>Tail</v>
      </c>
      <c r="K259" s="9" t="n">
        <f aca="false">INDEX('Commercial View'!$R$2:$R$301,MATCH($A259,'Commercial View'!$A$2:$A$301,0))</f>
        <v>246</v>
      </c>
      <c r="L259" s="9" t="n">
        <f aca="false">INDEX('Commercial View'!$S$2:$S$301,MATCH($A259,'Commercial View'!$A$2:$A$301,0))</f>
        <v>0</v>
      </c>
      <c r="M259" s="17" t="n">
        <f aca="false">INDEX('Commercial View'!$T$2:$T$301,MATCH($A259,'Commercial View'!$A$2:$A$301,0))</f>
        <v>-1</v>
      </c>
      <c r="N259" s="2" t="str">
        <f aca="false">INDEX('Commercial View'!$U$2:$U$301,MATCH($A259,'Commercial View'!$A$2:$A$301,0))</f>
        <v>Lapsed</v>
      </c>
      <c r="O259" s="2" t="n">
        <v>1</v>
      </c>
      <c r="P259" s="2" t="n">
        <v>0</v>
      </c>
      <c r="Q259" s="2" t="n">
        <v>1</v>
      </c>
      <c r="R259" s="2" t="n">
        <v>20</v>
      </c>
      <c r="S259" s="2" t="n">
        <v>0</v>
      </c>
      <c r="T259" s="2" t="str">
        <f aca="false">IF(H259="Broker-Reliant",IF(J259="Tail","5. Cost-to-Serve / Low-Touch",IF(OR(N259="Growing",N259="Stable"),"1. Migration Candidate",IF(N259="Declining","2. Protect / Retain First",IF(N259="Lapsed","3. Win-Back / Verify",IF(N259="H2 Active / No H1 GMV","4. Establish / Re-establish / Observe","UNASSIGNED"))))),IF(G259="Low",IF(J259="Tail","9. Long-Tail Automated Nurture",IF(OR(N259="Growing",N259="Stable"),"6. Growth Opportunity",IF(N259="H2 Active / No H1 GMV","7. Onboard / Re-engage / Learn",IF(OR(N259="Declining",N259="Lapsed"),"8. Retention / Reactivation","UNASSIGNED")))),"UNASSIGNED"))</f>
        <v>9. Long-Tail Automated Nurture</v>
      </c>
      <c r="U259" s="10" t="b">
        <f aca="false">AND(T259="1. Migration Candidate",J259="Core",O259&gt;=Assumptions!$B$39,Q259&gt;=Assumptions!$B$40,NOT(Z259))</f>
        <v>0</v>
      </c>
      <c r="V259" s="2" t="n">
        <f aca="false">(AND(H259="Broker-Reliant",J259&lt;&gt;"Tail",OR(N259="Growing",N259="Stable")))*1+(AND(H259="Broker-Reliant",J259&lt;&gt;"Tail",N259="Declining"))*1+(AND(H259="Broker-Reliant",J259&lt;&gt;"Tail",N259="Lapsed"))*1+(AND(H259="Broker-Reliant",J259&lt;&gt;"Tail",N259="H2 Active / No H1 GMV"))*1+(AND(H259="Broker-Reliant",J259="Tail"))*1+(AND(G259="Low",J259&lt;&gt;"Tail",OR(N259="Growing",N259="Stable")))*1+(AND(G259="Low",J259&lt;&gt;"Tail",N259="H2 Active / No H1 GMV"))*1+(AND(G259="Low",J259&lt;&gt;"Tail",OR(N259="Declining",N259="Lapsed")))*1+(AND(G259="Low",J259="Tail"))*1</f>
        <v>1</v>
      </c>
      <c r="W259" s="2" t="n">
        <f aca="false">INDEX('Commercial View'!$V$2:$V$301,MATCH($A259,'Commercial View'!$A$2:$A$301,0))</f>
        <v>1</v>
      </c>
      <c r="X259" s="10" t="b">
        <f aca="false">O259&lt;=Assumptions!$B$30</f>
        <v>1</v>
      </c>
      <c r="Y259" s="10" t="b">
        <f aca="false">W259&lt;=1</f>
        <v>1</v>
      </c>
      <c r="Z259" s="10" t="b">
        <f aca="false">C259="Duplicate"</f>
        <v>0</v>
      </c>
      <c r="AA259" s="10" t="b">
        <f aca="false">C259=""</f>
        <v>1</v>
      </c>
      <c r="AB259" s="2" t="n">
        <f aca="false">IF(P259+Q259&gt;0,ROUND(P259/(P259+Q259)*100,0),"")</f>
        <v>0</v>
      </c>
      <c r="AC259" s="2" t="n">
        <f aca="false">IF(P259+Q259&gt;0,ROUND(E259-P259/(P259+Q259)*100,0),"")</f>
        <v>0</v>
      </c>
      <c r="AD259" s="10" t="b">
        <f aca="false">IF(AC259="",FALSE(),ABS(AC259)&gt;Assumptions!$B$41)</f>
        <v>0</v>
      </c>
      <c r="AE259" s="2" t="str">
        <f aca="false">IF(X259,"Low confidence (&lt;=2 orders); ","")&amp;IF(Y259,"Single-month history; ","")&amp;IF(Z259,"CRITICAL: Duplicate status; ","")&amp;IF(AA259,"Missing status; ","")&amp;IF(AD259,"Broker % vs counts gap "&amp;TEXT(AC259,"+0;-0")&amp;"pts; ","")</f>
        <v>Low confidence (&lt;=2 orders); Single-month history; Missing status; </v>
      </c>
      <c r="AF259" s="2" t="str">
        <f aca="false">IF(AND(K259=0,L259&gt;0),IF(D259&lt;=Assumptions!$B$47,"New Customer","Returned Customer"),"Existing Customer")</f>
        <v>Existing Customer</v>
      </c>
      <c r="AG259" s="10" t="b">
        <f aca="false">AND(T259="1. Migration Candidate",J259="Key")</f>
        <v>0</v>
      </c>
      <c r="AH259" s="10" t="b">
        <f aca="false">IF(AND(K259&gt;0,L259&gt;0),OR(ABS(M259-Assumptions!$B$36)&lt;=Assumptions!$B$46,ABS(M259+Assumptions!$B$36)&lt;=Assumptions!$B$46),FALSE())</f>
        <v>0</v>
      </c>
      <c r="AI259" s="9" t="n">
        <f aca="false">INDEX('Commercial View'!$L$2:$L$301,MATCH($A259,'Commercial View'!$A$2:$A$301,0))+INDEX('Commercial View'!$M$2:$M$301,MATCH($A259,'Commercial View'!$A$2:$A$301,0))</f>
        <v>0</v>
      </c>
      <c r="AJ259" s="2" t="str">
        <f aca="false">IF(AND(K259=0,AI259=0),"No activity ex-Feb",IF(AI259=0,"Lapsed",IF(K259=0,"H2 Active / No H1 GMV",IF((AI259/2)/(K259/3)-1&gt;=Assumptions!$B$36,"Growing",IF((AI259/2)/(K259/3)-1&lt;-Assumptions!$B$36,"Declining","Stable")))))</f>
        <v>Lapsed</v>
      </c>
      <c r="AK259" s="10" t="b">
        <f aca="false">IF(OR(N259="Growing",N259="Stable"),"Healthy",N259)&lt;&gt;IF(OR(AJ259="Growing",AJ259="Stable"),"Healthy",AJ259)</f>
        <v>0</v>
      </c>
      <c r="AL259" s="2" t="str">
        <f aca="false">IF(N259="Lapsed",IF(OR(O259&lt;=Assumptions!$B$48,W259&lt;=Assumptions!$B$49),"One-Off / Insufficient History — Verify","Established Buyer Lapsed"),"N/A")</f>
        <v>One-Off / Insufficient History — Verify</v>
      </c>
      <c r="AM259" s="2" t="n">
        <f aca="false">INDEX('Scored Accounts'!$M$2:$M$301,MATCH($A259,'Scored Accounts'!$A$2:$A$301,0))</f>
        <v>0</v>
      </c>
      <c r="AN259" s="2" t="n">
        <f aca="false">IF((P259/(P259+Q259)*100)&lt;=Assumptions!$B$13,0,IF((P259/(P259+Q259)*100)&lt;Assumptions!$B$14,25,IF((P259/(P259+Q259)*100)&lt;Assumptions!$B$15,50,IF((P259/(P259+Q259)*100)&lt;Assumptions!$B$16,75,100))))</f>
        <v>0</v>
      </c>
      <c r="AO259" s="21" t="n">
        <f aca="false">IF((P259/(P259+Q259)*100)&lt;=Assumptions!$B$8,0,AN259*Assumptions!$B$4+INDEX('Scored Accounts'!$N$2:$N$301,MATCH($A259,'Scored Accounts'!$A$2:$A$301,0))*Assumptions!$B$5+INDEX('Scored Accounts'!$O$2:$O$301,MATCH($A259,'Scored Accounts'!$A$2:$A$301,0))*Assumptions!$B$6)</f>
        <v>0</v>
      </c>
      <c r="AP259" s="2" t="str">
        <f aca="false">IF(AO259&gt;=Assumptions!$B$9,"High",IF(AO259&gt;=Assumptions!$B$10,"Medium","Low"))</f>
        <v>Low</v>
      </c>
      <c r="AQ259" s="10" t="b">
        <f aca="false">OR((E259&lt;=Assumptions!$B$8)&lt;&gt;((P259/(P259+Q259)*100)&lt;=Assumptions!$B$8),AM259&lt;&gt;AN259,G259&lt;&gt;AP259)</f>
        <v>0</v>
      </c>
      <c r="AR259" s="2" t="str">
        <f aca="false">IF(AP259&lt;&gt;"Low","Broker-Reliant",IF(B259="Account Managed","AM-Owned / Self-Serving","Self-Serve"))</f>
        <v>Self-Serve</v>
      </c>
      <c r="AS259" s="2" t="str">
        <f aca="false">IF(AR259="Broker-Reliant",IF(J259="Tail","5. Cost-to-Serve / Low-Touch",IF(OR(N259="Growing",N259="Stable"),"1. Migration Candidate",IF(N259="Declining","2. Protect / Retain First",IF(N259="Lapsed","3. Win-Back / Verify",IF(N259="H2 Active / No H1 GMV","4. Establish / Re-establish / Observe","UNASSIGNED"))))),IF(AP259="Low",IF(J259="Tail","9. Long-Tail Automated Nurture",IF(OR(N259="Growing",N259="Stable"),"6. Growth Opportunity",IF(N259="H2 Active / No H1 GMV","7. Onboard / Re-engage / Learn",IF(OR(N259="Declining",N259="Lapsed"),"8. Retention / Reactivation","UNASSIGNED")))),"UNASSIGNED"))</f>
        <v>9. Long-Tail Automated Nurture</v>
      </c>
      <c r="AT259" s="10" t="b">
        <f aca="false">AS259&lt;&gt;T259</f>
        <v>0</v>
      </c>
      <c r="AU259" s="2" t="str">
        <f aca="false">IF(NOT(U259),"Not Eligible",IF(OR(AQ259,AH259,AK259,NOT(AND(W259&gt;=Assumptions!$B$83,O259&gt;=Assumptions!$B$84))),"Manual Review","Ready"))</f>
        <v>Not Eligible</v>
      </c>
      <c r="AV259" s="2" t="str">
        <f aca="false">IF(AG259,"Key account - human sign-off required; ","")&amp;IF(AH259,"Borderline momentum; ","")&amp;IF(AK259,"February-sensitive ("&amp;N259&amp;" -&gt; "&amp;AJ259&amp;"); ","")&amp;IF(AL259="One-Off / Insufficient History — Verify","Lapsed on thin history - verify; ","")&amp;IF(AQ259,"Material broker % inconsistency (implied tier "&amp;AP259&amp;"); ","")&amp;IF(AT259,"Implied broker % would move segment to "&amp;AS259&amp;"; ","")</f>
        <v>Lapsed on thin history - verify; </v>
      </c>
      <c r="AW259" s="10" t="b">
        <f aca="false">AND(G259="Low",J259="Tail",I259&gt;=Assumptions!$B$64,O259&gt;=Assumptions!$B$65,OR(N259="Growing",N259="Stable",AND(N259="H2 Active / No H1 GMV",W259&gt;=2)),OR(R259&gt;=Assumptions!$B$66,S259&gt;=Assumptions!$B$67))</f>
        <v>0</v>
      </c>
    </row>
    <row r="260" customFormat="false" ht="15" hidden="false" customHeight="false" outlineLevel="0" collapsed="false">
      <c r="A260" s="2" t="s">
        <v>840</v>
      </c>
      <c r="B260" s="2" t="s">
        <v>1574</v>
      </c>
      <c r="C260" s="2"/>
      <c r="D260" s="2" t="n">
        <v>1</v>
      </c>
      <c r="E260" s="2" t="n">
        <v>0</v>
      </c>
      <c r="F260" s="21" t="n">
        <f aca="false">INDEX('Scored Accounts'!$Q$2:$Q$301,MATCH($A260,'Scored Accounts'!$A$2:$A$301,0))</f>
        <v>0</v>
      </c>
      <c r="G260" s="2" t="str">
        <f aca="false">INDEX('Scored Accounts'!$R$2:$R$301,MATCH($A260,'Scored Accounts'!$A$2:$A$301,0))</f>
        <v>Low</v>
      </c>
      <c r="H260" s="2" t="str">
        <f aca="false">IF(OR(G260="High",G260="Medium"),"Broker-Reliant",IF(AND(G260="Low",B260="Account Managed"),"AM-Owned / Self-Serving",IF(AND(G260="Low",B260="Self Serve"),"Self-Serve","UNASSIGNED")))</f>
        <v>Self-Serve</v>
      </c>
      <c r="I260" s="9" t="n">
        <v>242</v>
      </c>
      <c r="J260" s="2" t="str">
        <f aca="false">IF(I260&gt;=Assumptions!$B$35,"Key",IF(I260&gt;=Assumptions!$B$34,"Core","Tail"))</f>
        <v>Tail</v>
      </c>
      <c r="K260" s="9" t="n">
        <f aca="false">INDEX('Commercial View'!$R$2:$R$301,MATCH($A260,'Commercial View'!$A$2:$A$301,0))</f>
        <v>0</v>
      </c>
      <c r="L260" s="9" t="n">
        <f aca="false">INDEX('Commercial View'!$S$2:$S$301,MATCH($A260,'Commercial View'!$A$2:$A$301,0))</f>
        <v>242</v>
      </c>
      <c r="M260" s="17" t="str">
        <f aca="false">INDEX('Commercial View'!$T$2:$T$301,MATCH($A260,'Commercial View'!$A$2:$A$301,0))</f>
        <v/>
      </c>
      <c r="N260" s="2" t="str">
        <f aca="false">INDEX('Commercial View'!$U$2:$U$301,MATCH($A260,'Commercial View'!$A$2:$A$301,0))</f>
        <v>H2 Active / No H1 GMV</v>
      </c>
      <c r="O260" s="2" t="n">
        <v>1</v>
      </c>
      <c r="P260" s="2" t="n">
        <v>0</v>
      </c>
      <c r="Q260" s="2" t="n">
        <v>1</v>
      </c>
      <c r="R260" s="2" t="n">
        <v>3</v>
      </c>
      <c r="S260" s="2" t="n">
        <v>2</v>
      </c>
      <c r="T260" s="2" t="str">
        <f aca="false">IF(H260="Broker-Reliant",IF(J260="Tail","5. Cost-to-Serve / Low-Touch",IF(OR(N260="Growing",N260="Stable"),"1. Migration Candidate",IF(N260="Declining","2. Protect / Retain First",IF(N260="Lapsed","3. Win-Back / Verify",IF(N260="H2 Active / No H1 GMV","4. Establish / Re-establish / Observe","UNASSIGNED"))))),IF(G260="Low",IF(J260="Tail","9. Long-Tail Automated Nurture",IF(OR(N260="Growing",N260="Stable"),"6. Growth Opportunity",IF(N260="H2 Active / No H1 GMV","7. Onboard / Re-engage / Learn",IF(OR(N260="Declining",N260="Lapsed"),"8. Retention / Reactivation","UNASSIGNED")))),"UNASSIGNED"))</f>
        <v>9. Long-Tail Automated Nurture</v>
      </c>
      <c r="U260" s="10" t="b">
        <f aca="false">AND(T260="1. Migration Candidate",J260="Core",O260&gt;=Assumptions!$B$39,Q260&gt;=Assumptions!$B$40,NOT(Z260))</f>
        <v>0</v>
      </c>
      <c r="V260" s="2" t="n">
        <f aca="false">(AND(H260="Broker-Reliant",J260&lt;&gt;"Tail",OR(N260="Growing",N260="Stable")))*1+(AND(H260="Broker-Reliant",J260&lt;&gt;"Tail",N260="Declining"))*1+(AND(H260="Broker-Reliant",J260&lt;&gt;"Tail",N260="Lapsed"))*1+(AND(H260="Broker-Reliant",J260&lt;&gt;"Tail",N260="H2 Active / No H1 GMV"))*1+(AND(H260="Broker-Reliant",J260="Tail"))*1+(AND(G260="Low",J260&lt;&gt;"Tail",OR(N260="Growing",N260="Stable")))*1+(AND(G260="Low",J260&lt;&gt;"Tail",N260="H2 Active / No H1 GMV"))*1+(AND(G260="Low",J260&lt;&gt;"Tail",OR(N260="Declining",N260="Lapsed")))*1+(AND(G260="Low",J260="Tail"))*1</f>
        <v>1</v>
      </c>
      <c r="W260" s="2" t="n">
        <f aca="false">INDEX('Commercial View'!$V$2:$V$301,MATCH($A260,'Commercial View'!$A$2:$A$301,0))</f>
        <v>1</v>
      </c>
      <c r="X260" s="10" t="b">
        <f aca="false">O260&lt;=Assumptions!$B$30</f>
        <v>1</v>
      </c>
      <c r="Y260" s="10" t="b">
        <f aca="false">W260&lt;=1</f>
        <v>1</v>
      </c>
      <c r="Z260" s="10" t="b">
        <f aca="false">C260="Duplicate"</f>
        <v>0</v>
      </c>
      <c r="AA260" s="10" t="b">
        <f aca="false">C260=""</f>
        <v>1</v>
      </c>
      <c r="AB260" s="2" t="n">
        <f aca="false">IF(P260+Q260&gt;0,ROUND(P260/(P260+Q260)*100,0),"")</f>
        <v>0</v>
      </c>
      <c r="AC260" s="2" t="n">
        <f aca="false">IF(P260+Q260&gt;0,ROUND(E260-P260/(P260+Q260)*100,0),"")</f>
        <v>0</v>
      </c>
      <c r="AD260" s="10" t="b">
        <f aca="false">IF(AC260="",FALSE(),ABS(AC260)&gt;Assumptions!$B$41)</f>
        <v>0</v>
      </c>
      <c r="AE260" s="2" t="str">
        <f aca="false">IF(X260,"Low confidence (&lt;=2 orders); ","")&amp;IF(Y260,"Single-month history; ","")&amp;IF(Z260,"CRITICAL: Duplicate status; ","")&amp;IF(AA260,"Missing status; ","")&amp;IF(AD260,"Broker % vs counts gap "&amp;TEXT(AC260,"+0;-0")&amp;"pts; ","")</f>
        <v>Low confidence (&lt;=2 orders); Single-month history; Missing status; </v>
      </c>
      <c r="AF260" s="2" t="str">
        <f aca="false">IF(AND(K260=0,L260&gt;0),IF(D260&lt;=Assumptions!$B$47,"New Customer","Returned Customer"),"Existing Customer")</f>
        <v>New Customer</v>
      </c>
      <c r="AG260" s="10" t="b">
        <f aca="false">AND(T260="1. Migration Candidate",J260="Key")</f>
        <v>0</v>
      </c>
      <c r="AH260" s="10" t="b">
        <f aca="false">IF(AND(K260&gt;0,L260&gt;0),OR(ABS(M260-Assumptions!$B$36)&lt;=Assumptions!$B$46,ABS(M260+Assumptions!$B$36)&lt;=Assumptions!$B$46),FALSE())</f>
        <v>0</v>
      </c>
      <c r="AI260" s="9" t="n">
        <f aca="false">INDEX('Commercial View'!$L$2:$L$301,MATCH($A260,'Commercial View'!$A$2:$A$301,0))+INDEX('Commercial View'!$M$2:$M$301,MATCH($A260,'Commercial View'!$A$2:$A$301,0))</f>
        <v>0</v>
      </c>
      <c r="AJ260" s="2" t="str">
        <f aca="false">IF(AND(K260=0,AI260=0),"No activity ex-Feb",IF(AI260=0,"Lapsed",IF(K260=0,"H2 Active / No H1 GMV",IF((AI260/2)/(K260/3)-1&gt;=Assumptions!$B$36,"Growing",IF((AI260/2)/(K260/3)-1&lt;-Assumptions!$B$36,"Declining","Stable")))))</f>
        <v>No activity ex-Feb</v>
      </c>
      <c r="AK260" s="10" t="b">
        <f aca="false">IF(OR(N260="Growing",N260="Stable"),"Healthy",N260)&lt;&gt;IF(OR(AJ260="Growing",AJ260="Stable"),"Healthy",AJ260)</f>
        <v>1</v>
      </c>
      <c r="AL260" s="2" t="str">
        <f aca="false">IF(N260="Lapsed",IF(OR(O260&lt;=Assumptions!$B$48,W260&lt;=Assumptions!$B$49),"One-Off / Insufficient History — Verify","Established Buyer Lapsed"),"N/A")</f>
        <v>N/A</v>
      </c>
      <c r="AM260" s="2" t="n">
        <f aca="false">INDEX('Scored Accounts'!$M$2:$M$301,MATCH($A260,'Scored Accounts'!$A$2:$A$301,0))</f>
        <v>0</v>
      </c>
      <c r="AN260" s="2" t="n">
        <f aca="false">IF((P260/(P260+Q260)*100)&lt;=Assumptions!$B$13,0,IF((P260/(P260+Q260)*100)&lt;Assumptions!$B$14,25,IF((P260/(P260+Q260)*100)&lt;Assumptions!$B$15,50,IF((P260/(P260+Q260)*100)&lt;Assumptions!$B$16,75,100))))</f>
        <v>0</v>
      </c>
      <c r="AO260" s="21" t="n">
        <f aca="false">IF((P260/(P260+Q260)*100)&lt;=Assumptions!$B$8,0,AN260*Assumptions!$B$4+INDEX('Scored Accounts'!$N$2:$N$301,MATCH($A260,'Scored Accounts'!$A$2:$A$301,0))*Assumptions!$B$5+INDEX('Scored Accounts'!$O$2:$O$301,MATCH($A260,'Scored Accounts'!$A$2:$A$301,0))*Assumptions!$B$6)</f>
        <v>0</v>
      </c>
      <c r="AP260" s="2" t="str">
        <f aca="false">IF(AO260&gt;=Assumptions!$B$9,"High",IF(AO260&gt;=Assumptions!$B$10,"Medium","Low"))</f>
        <v>Low</v>
      </c>
      <c r="AQ260" s="10" t="b">
        <f aca="false">OR((E260&lt;=Assumptions!$B$8)&lt;&gt;((P260/(P260+Q260)*100)&lt;=Assumptions!$B$8),AM260&lt;&gt;AN260,G260&lt;&gt;AP260)</f>
        <v>0</v>
      </c>
      <c r="AR260" s="2" t="str">
        <f aca="false">IF(AP260&lt;&gt;"Low","Broker-Reliant",IF(B260="Account Managed","AM-Owned / Self-Serving","Self-Serve"))</f>
        <v>Self-Serve</v>
      </c>
      <c r="AS260" s="2" t="str">
        <f aca="false">IF(AR260="Broker-Reliant",IF(J260="Tail","5. Cost-to-Serve / Low-Touch",IF(OR(N260="Growing",N260="Stable"),"1. Migration Candidate",IF(N260="Declining","2. Protect / Retain First",IF(N260="Lapsed","3. Win-Back / Verify",IF(N260="H2 Active / No H1 GMV","4. Establish / Re-establish / Observe","UNASSIGNED"))))),IF(AP260="Low",IF(J260="Tail","9. Long-Tail Automated Nurture",IF(OR(N260="Growing",N260="Stable"),"6. Growth Opportunity",IF(N260="H2 Active / No H1 GMV","7. Onboard / Re-engage / Learn",IF(OR(N260="Declining",N260="Lapsed"),"8. Retention / Reactivation","UNASSIGNED")))),"UNASSIGNED"))</f>
        <v>9. Long-Tail Automated Nurture</v>
      </c>
      <c r="AT260" s="10" t="b">
        <f aca="false">AS260&lt;&gt;T260</f>
        <v>0</v>
      </c>
      <c r="AU260" s="2" t="str">
        <f aca="false">IF(NOT(U260),"Not Eligible",IF(OR(AQ260,AH260,AK260,NOT(AND(W260&gt;=Assumptions!$B$83,O260&gt;=Assumptions!$B$84))),"Manual Review","Ready"))</f>
        <v>Not Eligible</v>
      </c>
      <c r="AV260" s="2" t="str">
        <f aca="false">IF(AG260,"Key account - human sign-off required; ","")&amp;IF(AH260,"Borderline momentum; ","")&amp;IF(AK260,"February-sensitive ("&amp;N260&amp;" -&gt; "&amp;AJ260&amp;"); ","")&amp;IF(AL260="One-Off / Insufficient History — Verify","Lapsed on thin history - verify; ","")&amp;IF(AQ260,"Material broker % inconsistency (implied tier "&amp;AP260&amp;"); ","")&amp;IF(AT260,"Implied broker % would move segment to "&amp;AS260&amp;"; ","")</f>
        <v>February-sensitive (H2 Active / No H1 GMV -&gt; No activity ex-Feb); </v>
      </c>
      <c r="AW260" s="10" t="b">
        <f aca="false">AND(G260="Low",J260="Tail",I260&gt;=Assumptions!$B$64,O260&gt;=Assumptions!$B$65,OR(N260="Growing",N260="Stable",AND(N260="H2 Active / No H1 GMV",W260&gt;=2)),OR(R260&gt;=Assumptions!$B$66,S260&gt;=Assumptions!$B$67))</f>
        <v>0</v>
      </c>
    </row>
    <row r="261" customFormat="false" ht="15" hidden="false" customHeight="false" outlineLevel="0" collapsed="false">
      <c r="A261" s="2" t="s">
        <v>850</v>
      </c>
      <c r="B261" s="2" t="s">
        <v>1574</v>
      </c>
      <c r="C261" s="2"/>
      <c r="D261" s="2" t="n">
        <v>5</v>
      </c>
      <c r="E261" s="2" t="n">
        <v>0</v>
      </c>
      <c r="F261" s="21" t="n">
        <f aca="false">INDEX('Scored Accounts'!$Q$2:$Q$301,MATCH($A261,'Scored Accounts'!$A$2:$A$301,0))</f>
        <v>0</v>
      </c>
      <c r="G261" s="2" t="str">
        <f aca="false">INDEX('Scored Accounts'!$R$2:$R$301,MATCH($A261,'Scored Accounts'!$A$2:$A$301,0))</f>
        <v>Low</v>
      </c>
      <c r="H261" s="2" t="str">
        <f aca="false">IF(OR(G261="High",G261="Medium"),"Broker-Reliant",IF(AND(G261="Low",B261="Account Managed"),"AM-Owned / Self-Serving",IF(AND(G261="Low",B261="Self Serve"),"Self-Serve","UNASSIGNED")))</f>
        <v>Self-Serve</v>
      </c>
      <c r="I261" s="9" t="n">
        <v>216</v>
      </c>
      <c r="J261" s="2" t="str">
        <f aca="false">IF(I261&gt;=Assumptions!$B$35,"Key",IF(I261&gt;=Assumptions!$B$34,"Core","Tail"))</f>
        <v>Tail</v>
      </c>
      <c r="K261" s="9" t="n">
        <f aca="false">INDEX('Commercial View'!$R$2:$R$301,MATCH($A261,'Commercial View'!$A$2:$A$301,0))</f>
        <v>216</v>
      </c>
      <c r="L261" s="9" t="n">
        <f aca="false">INDEX('Commercial View'!$S$2:$S$301,MATCH($A261,'Commercial View'!$A$2:$A$301,0))</f>
        <v>0</v>
      </c>
      <c r="M261" s="17" t="n">
        <f aca="false">INDEX('Commercial View'!$T$2:$T$301,MATCH($A261,'Commercial View'!$A$2:$A$301,0))</f>
        <v>-1</v>
      </c>
      <c r="N261" s="2" t="str">
        <f aca="false">INDEX('Commercial View'!$U$2:$U$301,MATCH($A261,'Commercial View'!$A$2:$A$301,0))</f>
        <v>Lapsed</v>
      </c>
      <c r="O261" s="2" t="n">
        <v>1</v>
      </c>
      <c r="P261" s="2" t="n">
        <v>0</v>
      </c>
      <c r="Q261" s="2" t="n">
        <v>1</v>
      </c>
      <c r="R261" s="2" t="n">
        <v>6</v>
      </c>
      <c r="S261" s="2" t="n">
        <v>5</v>
      </c>
      <c r="T261" s="2" t="str">
        <f aca="false">IF(H261="Broker-Reliant",IF(J261="Tail","5. Cost-to-Serve / Low-Touch",IF(OR(N261="Growing",N261="Stable"),"1. Migration Candidate",IF(N261="Declining","2. Protect / Retain First",IF(N261="Lapsed","3. Win-Back / Verify",IF(N261="H2 Active / No H1 GMV","4. Establish / Re-establish / Observe","UNASSIGNED"))))),IF(G261="Low",IF(J261="Tail","9. Long-Tail Automated Nurture",IF(OR(N261="Growing",N261="Stable"),"6. Growth Opportunity",IF(N261="H2 Active / No H1 GMV","7. Onboard / Re-engage / Learn",IF(OR(N261="Declining",N261="Lapsed"),"8. Retention / Reactivation","UNASSIGNED")))),"UNASSIGNED"))</f>
        <v>9. Long-Tail Automated Nurture</v>
      </c>
      <c r="U261" s="10" t="b">
        <f aca="false">AND(T261="1. Migration Candidate",J261="Core",O261&gt;=Assumptions!$B$39,Q261&gt;=Assumptions!$B$40,NOT(Z261))</f>
        <v>0</v>
      </c>
      <c r="V261" s="2" t="n">
        <f aca="false">(AND(H261="Broker-Reliant",J261&lt;&gt;"Tail",OR(N261="Growing",N261="Stable")))*1+(AND(H261="Broker-Reliant",J261&lt;&gt;"Tail",N261="Declining"))*1+(AND(H261="Broker-Reliant",J261&lt;&gt;"Tail",N261="Lapsed"))*1+(AND(H261="Broker-Reliant",J261&lt;&gt;"Tail",N261="H2 Active / No H1 GMV"))*1+(AND(H261="Broker-Reliant",J261="Tail"))*1+(AND(G261="Low",J261&lt;&gt;"Tail",OR(N261="Growing",N261="Stable")))*1+(AND(G261="Low",J261&lt;&gt;"Tail",N261="H2 Active / No H1 GMV"))*1+(AND(G261="Low",J261&lt;&gt;"Tail",OR(N261="Declining",N261="Lapsed")))*1+(AND(G261="Low",J261="Tail"))*1</f>
        <v>1</v>
      </c>
      <c r="W261" s="2" t="n">
        <f aca="false">INDEX('Commercial View'!$V$2:$V$301,MATCH($A261,'Commercial View'!$A$2:$A$301,0))</f>
        <v>1</v>
      </c>
      <c r="X261" s="10" t="b">
        <f aca="false">O261&lt;=Assumptions!$B$30</f>
        <v>1</v>
      </c>
      <c r="Y261" s="10" t="b">
        <f aca="false">W261&lt;=1</f>
        <v>1</v>
      </c>
      <c r="Z261" s="10" t="b">
        <f aca="false">C261="Duplicate"</f>
        <v>0</v>
      </c>
      <c r="AA261" s="10" t="b">
        <f aca="false">C261=""</f>
        <v>1</v>
      </c>
      <c r="AB261" s="2" t="n">
        <f aca="false">IF(P261+Q261&gt;0,ROUND(P261/(P261+Q261)*100,0),"")</f>
        <v>0</v>
      </c>
      <c r="AC261" s="2" t="n">
        <f aca="false">IF(P261+Q261&gt;0,ROUND(E261-P261/(P261+Q261)*100,0),"")</f>
        <v>0</v>
      </c>
      <c r="AD261" s="10" t="b">
        <f aca="false">IF(AC261="",FALSE(),ABS(AC261)&gt;Assumptions!$B$41)</f>
        <v>0</v>
      </c>
      <c r="AE261" s="2" t="str">
        <f aca="false">IF(X261,"Low confidence (&lt;=2 orders); ","")&amp;IF(Y261,"Single-month history; ","")&amp;IF(Z261,"CRITICAL: Duplicate status; ","")&amp;IF(AA261,"Missing status; ","")&amp;IF(AD261,"Broker % vs counts gap "&amp;TEXT(AC261,"+0;-0")&amp;"pts; ","")</f>
        <v>Low confidence (&lt;=2 orders); Single-month history; Missing status; </v>
      </c>
      <c r="AF261" s="2" t="str">
        <f aca="false">IF(AND(K261=0,L261&gt;0),IF(D261&lt;=Assumptions!$B$47,"New Customer","Returned Customer"),"Existing Customer")</f>
        <v>Existing Customer</v>
      </c>
      <c r="AG261" s="10" t="b">
        <f aca="false">AND(T261="1. Migration Candidate",J261="Key")</f>
        <v>0</v>
      </c>
      <c r="AH261" s="10" t="b">
        <f aca="false">IF(AND(K261&gt;0,L261&gt;0),OR(ABS(M261-Assumptions!$B$36)&lt;=Assumptions!$B$46,ABS(M261+Assumptions!$B$36)&lt;=Assumptions!$B$46),FALSE())</f>
        <v>0</v>
      </c>
      <c r="AI261" s="9" t="n">
        <f aca="false">INDEX('Commercial View'!$L$2:$L$301,MATCH($A261,'Commercial View'!$A$2:$A$301,0))+INDEX('Commercial View'!$M$2:$M$301,MATCH($A261,'Commercial View'!$A$2:$A$301,0))</f>
        <v>0</v>
      </c>
      <c r="AJ261" s="2" t="str">
        <f aca="false">IF(AND(K261=0,AI261=0),"No activity ex-Feb",IF(AI261=0,"Lapsed",IF(K261=0,"H2 Active / No H1 GMV",IF((AI261/2)/(K261/3)-1&gt;=Assumptions!$B$36,"Growing",IF((AI261/2)/(K261/3)-1&lt;-Assumptions!$B$36,"Declining","Stable")))))</f>
        <v>Lapsed</v>
      </c>
      <c r="AK261" s="10" t="b">
        <f aca="false">IF(OR(N261="Growing",N261="Stable"),"Healthy",N261)&lt;&gt;IF(OR(AJ261="Growing",AJ261="Stable"),"Healthy",AJ261)</f>
        <v>0</v>
      </c>
      <c r="AL261" s="2" t="str">
        <f aca="false">IF(N261="Lapsed",IF(OR(O261&lt;=Assumptions!$B$48,W261&lt;=Assumptions!$B$49),"One-Off / Insufficient History — Verify","Established Buyer Lapsed"),"N/A")</f>
        <v>One-Off / Insufficient History — Verify</v>
      </c>
      <c r="AM261" s="2" t="n">
        <f aca="false">INDEX('Scored Accounts'!$M$2:$M$301,MATCH($A261,'Scored Accounts'!$A$2:$A$301,0))</f>
        <v>0</v>
      </c>
      <c r="AN261" s="2" t="n">
        <f aca="false">IF((P261/(P261+Q261)*100)&lt;=Assumptions!$B$13,0,IF((P261/(P261+Q261)*100)&lt;Assumptions!$B$14,25,IF((P261/(P261+Q261)*100)&lt;Assumptions!$B$15,50,IF((P261/(P261+Q261)*100)&lt;Assumptions!$B$16,75,100))))</f>
        <v>0</v>
      </c>
      <c r="AO261" s="21" t="n">
        <f aca="false">IF((P261/(P261+Q261)*100)&lt;=Assumptions!$B$8,0,AN261*Assumptions!$B$4+INDEX('Scored Accounts'!$N$2:$N$301,MATCH($A261,'Scored Accounts'!$A$2:$A$301,0))*Assumptions!$B$5+INDEX('Scored Accounts'!$O$2:$O$301,MATCH($A261,'Scored Accounts'!$A$2:$A$301,0))*Assumptions!$B$6)</f>
        <v>0</v>
      </c>
      <c r="AP261" s="2" t="str">
        <f aca="false">IF(AO261&gt;=Assumptions!$B$9,"High",IF(AO261&gt;=Assumptions!$B$10,"Medium","Low"))</f>
        <v>Low</v>
      </c>
      <c r="AQ261" s="10" t="b">
        <f aca="false">OR((E261&lt;=Assumptions!$B$8)&lt;&gt;((P261/(P261+Q261)*100)&lt;=Assumptions!$B$8),AM261&lt;&gt;AN261,G261&lt;&gt;AP261)</f>
        <v>0</v>
      </c>
      <c r="AR261" s="2" t="str">
        <f aca="false">IF(AP261&lt;&gt;"Low","Broker-Reliant",IF(B261="Account Managed","AM-Owned / Self-Serving","Self-Serve"))</f>
        <v>Self-Serve</v>
      </c>
      <c r="AS261" s="2" t="str">
        <f aca="false">IF(AR261="Broker-Reliant",IF(J261="Tail","5. Cost-to-Serve / Low-Touch",IF(OR(N261="Growing",N261="Stable"),"1. Migration Candidate",IF(N261="Declining","2. Protect / Retain First",IF(N261="Lapsed","3. Win-Back / Verify",IF(N261="H2 Active / No H1 GMV","4. Establish / Re-establish / Observe","UNASSIGNED"))))),IF(AP261="Low",IF(J261="Tail","9. Long-Tail Automated Nurture",IF(OR(N261="Growing",N261="Stable"),"6. Growth Opportunity",IF(N261="H2 Active / No H1 GMV","7. Onboard / Re-engage / Learn",IF(OR(N261="Declining",N261="Lapsed"),"8. Retention / Reactivation","UNASSIGNED")))),"UNASSIGNED"))</f>
        <v>9. Long-Tail Automated Nurture</v>
      </c>
      <c r="AT261" s="10" t="b">
        <f aca="false">AS261&lt;&gt;T261</f>
        <v>0</v>
      </c>
      <c r="AU261" s="2" t="str">
        <f aca="false">IF(NOT(U261),"Not Eligible",IF(OR(AQ261,AH261,AK261,NOT(AND(W261&gt;=Assumptions!$B$83,O261&gt;=Assumptions!$B$84))),"Manual Review","Ready"))</f>
        <v>Not Eligible</v>
      </c>
      <c r="AV261" s="2" t="str">
        <f aca="false">IF(AG261,"Key account - human sign-off required; ","")&amp;IF(AH261,"Borderline momentum; ","")&amp;IF(AK261,"February-sensitive ("&amp;N261&amp;" -&gt; "&amp;AJ261&amp;"); ","")&amp;IF(AL261="One-Off / Insufficient History — Verify","Lapsed on thin history - verify; ","")&amp;IF(AQ261,"Material broker % inconsistency (implied tier "&amp;AP261&amp;"); ","")&amp;IF(AT261,"Implied broker % would move segment to "&amp;AS261&amp;"; ","")</f>
        <v>Lapsed on thin history - verify; </v>
      </c>
      <c r="AW261" s="10" t="b">
        <f aca="false">AND(G261="Low",J261="Tail",I261&gt;=Assumptions!$B$64,O261&gt;=Assumptions!$B$65,OR(N261="Growing",N261="Stable",AND(N261="H2 Active / No H1 GMV",W261&gt;=2)),OR(R261&gt;=Assumptions!$B$66,S261&gt;=Assumptions!$B$67))</f>
        <v>0</v>
      </c>
    </row>
    <row r="262" customFormat="false" ht="15" hidden="false" customHeight="false" outlineLevel="0" collapsed="false">
      <c r="A262" s="2" t="s">
        <v>852</v>
      </c>
      <c r="B262" s="2" t="s">
        <v>1574</v>
      </c>
      <c r="C262" s="2"/>
      <c r="D262" s="2" t="n">
        <v>5</v>
      </c>
      <c r="E262" s="2" t="n">
        <v>0</v>
      </c>
      <c r="F262" s="21" t="n">
        <f aca="false">INDEX('Scored Accounts'!$Q$2:$Q$301,MATCH($A262,'Scored Accounts'!$A$2:$A$301,0))</f>
        <v>0</v>
      </c>
      <c r="G262" s="2" t="str">
        <f aca="false">INDEX('Scored Accounts'!$R$2:$R$301,MATCH($A262,'Scored Accounts'!$A$2:$A$301,0))</f>
        <v>Low</v>
      </c>
      <c r="H262" s="2" t="str">
        <f aca="false">IF(OR(G262="High",G262="Medium"),"Broker-Reliant",IF(AND(G262="Low",B262="Account Managed"),"AM-Owned / Self-Serving",IF(AND(G262="Low",B262="Self Serve"),"Self-Serve","UNASSIGNED")))</f>
        <v>Self-Serve</v>
      </c>
      <c r="I262" s="9" t="n">
        <v>216</v>
      </c>
      <c r="J262" s="2" t="str">
        <f aca="false">IF(I262&gt;=Assumptions!$B$35,"Key",IF(I262&gt;=Assumptions!$B$34,"Core","Tail"))</f>
        <v>Tail</v>
      </c>
      <c r="K262" s="9" t="n">
        <f aca="false">INDEX('Commercial View'!$R$2:$R$301,MATCH($A262,'Commercial View'!$A$2:$A$301,0))</f>
        <v>216</v>
      </c>
      <c r="L262" s="9" t="n">
        <f aca="false">INDEX('Commercial View'!$S$2:$S$301,MATCH($A262,'Commercial View'!$A$2:$A$301,0))</f>
        <v>0</v>
      </c>
      <c r="M262" s="17" t="n">
        <f aca="false">INDEX('Commercial View'!$T$2:$T$301,MATCH($A262,'Commercial View'!$A$2:$A$301,0))</f>
        <v>-1</v>
      </c>
      <c r="N262" s="2" t="str">
        <f aca="false">INDEX('Commercial View'!$U$2:$U$301,MATCH($A262,'Commercial View'!$A$2:$A$301,0))</f>
        <v>Lapsed</v>
      </c>
      <c r="O262" s="2" t="n">
        <v>1</v>
      </c>
      <c r="P262" s="2" t="n">
        <v>0</v>
      </c>
      <c r="Q262" s="2" t="n">
        <v>1</v>
      </c>
      <c r="R262" s="2" t="n">
        <v>4</v>
      </c>
      <c r="S262" s="2" t="n">
        <v>0</v>
      </c>
      <c r="T262" s="2" t="str">
        <f aca="false">IF(H262="Broker-Reliant",IF(J262="Tail","5. Cost-to-Serve / Low-Touch",IF(OR(N262="Growing",N262="Stable"),"1. Migration Candidate",IF(N262="Declining","2. Protect / Retain First",IF(N262="Lapsed","3. Win-Back / Verify",IF(N262="H2 Active / No H1 GMV","4. Establish / Re-establish / Observe","UNASSIGNED"))))),IF(G262="Low",IF(J262="Tail","9. Long-Tail Automated Nurture",IF(OR(N262="Growing",N262="Stable"),"6. Growth Opportunity",IF(N262="H2 Active / No H1 GMV","7. Onboard / Re-engage / Learn",IF(OR(N262="Declining",N262="Lapsed"),"8. Retention / Reactivation","UNASSIGNED")))),"UNASSIGNED"))</f>
        <v>9. Long-Tail Automated Nurture</v>
      </c>
      <c r="U262" s="10" t="b">
        <f aca="false">AND(T262="1. Migration Candidate",J262="Core",O262&gt;=Assumptions!$B$39,Q262&gt;=Assumptions!$B$40,NOT(Z262))</f>
        <v>0</v>
      </c>
      <c r="V262" s="2" t="n">
        <f aca="false">(AND(H262="Broker-Reliant",J262&lt;&gt;"Tail",OR(N262="Growing",N262="Stable")))*1+(AND(H262="Broker-Reliant",J262&lt;&gt;"Tail",N262="Declining"))*1+(AND(H262="Broker-Reliant",J262&lt;&gt;"Tail",N262="Lapsed"))*1+(AND(H262="Broker-Reliant",J262&lt;&gt;"Tail",N262="H2 Active / No H1 GMV"))*1+(AND(H262="Broker-Reliant",J262="Tail"))*1+(AND(G262="Low",J262&lt;&gt;"Tail",OR(N262="Growing",N262="Stable")))*1+(AND(G262="Low",J262&lt;&gt;"Tail",N262="H2 Active / No H1 GMV"))*1+(AND(G262="Low",J262&lt;&gt;"Tail",OR(N262="Declining",N262="Lapsed")))*1+(AND(G262="Low",J262="Tail"))*1</f>
        <v>1</v>
      </c>
      <c r="W262" s="2" t="n">
        <f aca="false">INDEX('Commercial View'!$V$2:$V$301,MATCH($A262,'Commercial View'!$A$2:$A$301,0))</f>
        <v>1</v>
      </c>
      <c r="X262" s="10" t="b">
        <f aca="false">O262&lt;=Assumptions!$B$30</f>
        <v>1</v>
      </c>
      <c r="Y262" s="10" t="b">
        <f aca="false">W262&lt;=1</f>
        <v>1</v>
      </c>
      <c r="Z262" s="10" t="b">
        <f aca="false">C262="Duplicate"</f>
        <v>0</v>
      </c>
      <c r="AA262" s="10" t="b">
        <f aca="false">C262=""</f>
        <v>1</v>
      </c>
      <c r="AB262" s="2" t="n">
        <f aca="false">IF(P262+Q262&gt;0,ROUND(P262/(P262+Q262)*100,0),"")</f>
        <v>0</v>
      </c>
      <c r="AC262" s="2" t="n">
        <f aca="false">IF(P262+Q262&gt;0,ROUND(E262-P262/(P262+Q262)*100,0),"")</f>
        <v>0</v>
      </c>
      <c r="AD262" s="10" t="b">
        <f aca="false">IF(AC262="",FALSE(),ABS(AC262)&gt;Assumptions!$B$41)</f>
        <v>0</v>
      </c>
      <c r="AE262" s="2" t="str">
        <f aca="false">IF(X262,"Low confidence (&lt;=2 orders); ","")&amp;IF(Y262,"Single-month history; ","")&amp;IF(Z262,"CRITICAL: Duplicate status; ","")&amp;IF(AA262,"Missing status; ","")&amp;IF(AD262,"Broker % vs counts gap "&amp;TEXT(AC262,"+0;-0")&amp;"pts; ","")</f>
        <v>Low confidence (&lt;=2 orders); Single-month history; Missing status; </v>
      </c>
      <c r="AF262" s="2" t="str">
        <f aca="false">IF(AND(K262=0,L262&gt;0),IF(D262&lt;=Assumptions!$B$47,"New Customer","Returned Customer"),"Existing Customer")</f>
        <v>Existing Customer</v>
      </c>
      <c r="AG262" s="10" t="b">
        <f aca="false">AND(T262="1. Migration Candidate",J262="Key")</f>
        <v>0</v>
      </c>
      <c r="AH262" s="10" t="b">
        <f aca="false">IF(AND(K262&gt;0,L262&gt;0),OR(ABS(M262-Assumptions!$B$36)&lt;=Assumptions!$B$46,ABS(M262+Assumptions!$B$36)&lt;=Assumptions!$B$46),FALSE())</f>
        <v>0</v>
      </c>
      <c r="AI262" s="9" t="n">
        <f aca="false">INDEX('Commercial View'!$L$2:$L$301,MATCH($A262,'Commercial View'!$A$2:$A$301,0))+INDEX('Commercial View'!$M$2:$M$301,MATCH($A262,'Commercial View'!$A$2:$A$301,0))</f>
        <v>0</v>
      </c>
      <c r="AJ262" s="2" t="str">
        <f aca="false">IF(AND(K262=0,AI262=0),"No activity ex-Feb",IF(AI262=0,"Lapsed",IF(K262=0,"H2 Active / No H1 GMV",IF((AI262/2)/(K262/3)-1&gt;=Assumptions!$B$36,"Growing",IF((AI262/2)/(K262/3)-1&lt;-Assumptions!$B$36,"Declining","Stable")))))</f>
        <v>Lapsed</v>
      </c>
      <c r="AK262" s="10" t="b">
        <f aca="false">IF(OR(N262="Growing",N262="Stable"),"Healthy",N262)&lt;&gt;IF(OR(AJ262="Growing",AJ262="Stable"),"Healthy",AJ262)</f>
        <v>0</v>
      </c>
      <c r="AL262" s="2" t="str">
        <f aca="false">IF(N262="Lapsed",IF(OR(O262&lt;=Assumptions!$B$48,W262&lt;=Assumptions!$B$49),"One-Off / Insufficient History — Verify","Established Buyer Lapsed"),"N/A")</f>
        <v>One-Off / Insufficient History — Verify</v>
      </c>
      <c r="AM262" s="2" t="n">
        <f aca="false">INDEX('Scored Accounts'!$M$2:$M$301,MATCH($A262,'Scored Accounts'!$A$2:$A$301,0))</f>
        <v>0</v>
      </c>
      <c r="AN262" s="2" t="n">
        <f aca="false">IF((P262/(P262+Q262)*100)&lt;=Assumptions!$B$13,0,IF((P262/(P262+Q262)*100)&lt;Assumptions!$B$14,25,IF((P262/(P262+Q262)*100)&lt;Assumptions!$B$15,50,IF((P262/(P262+Q262)*100)&lt;Assumptions!$B$16,75,100))))</f>
        <v>0</v>
      </c>
      <c r="AO262" s="21" t="n">
        <f aca="false">IF((P262/(P262+Q262)*100)&lt;=Assumptions!$B$8,0,AN262*Assumptions!$B$4+INDEX('Scored Accounts'!$N$2:$N$301,MATCH($A262,'Scored Accounts'!$A$2:$A$301,0))*Assumptions!$B$5+INDEX('Scored Accounts'!$O$2:$O$301,MATCH($A262,'Scored Accounts'!$A$2:$A$301,0))*Assumptions!$B$6)</f>
        <v>0</v>
      </c>
      <c r="AP262" s="2" t="str">
        <f aca="false">IF(AO262&gt;=Assumptions!$B$9,"High",IF(AO262&gt;=Assumptions!$B$10,"Medium","Low"))</f>
        <v>Low</v>
      </c>
      <c r="AQ262" s="10" t="b">
        <f aca="false">OR((E262&lt;=Assumptions!$B$8)&lt;&gt;((P262/(P262+Q262)*100)&lt;=Assumptions!$B$8),AM262&lt;&gt;AN262,G262&lt;&gt;AP262)</f>
        <v>0</v>
      </c>
      <c r="AR262" s="2" t="str">
        <f aca="false">IF(AP262&lt;&gt;"Low","Broker-Reliant",IF(B262="Account Managed","AM-Owned / Self-Serving","Self-Serve"))</f>
        <v>Self-Serve</v>
      </c>
      <c r="AS262" s="2" t="str">
        <f aca="false">IF(AR262="Broker-Reliant",IF(J262="Tail","5. Cost-to-Serve / Low-Touch",IF(OR(N262="Growing",N262="Stable"),"1. Migration Candidate",IF(N262="Declining","2. Protect / Retain First",IF(N262="Lapsed","3. Win-Back / Verify",IF(N262="H2 Active / No H1 GMV","4. Establish / Re-establish / Observe","UNASSIGNED"))))),IF(AP262="Low",IF(J262="Tail","9. Long-Tail Automated Nurture",IF(OR(N262="Growing",N262="Stable"),"6. Growth Opportunity",IF(N262="H2 Active / No H1 GMV","7. Onboard / Re-engage / Learn",IF(OR(N262="Declining",N262="Lapsed"),"8. Retention / Reactivation","UNASSIGNED")))),"UNASSIGNED"))</f>
        <v>9. Long-Tail Automated Nurture</v>
      </c>
      <c r="AT262" s="10" t="b">
        <f aca="false">AS262&lt;&gt;T262</f>
        <v>0</v>
      </c>
      <c r="AU262" s="2" t="str">
        <f aca="false">IF(NOT(U262),"Not Eligible",IF(OR(AQ262,AH262,AK262,NOT(AND(W262&gt;=Assumptions!$B$83,O262&gt;=Assumptions!$B$84))),"Manual Review","Ready"))</f>
        <v>Not Eligible</v>
      </c>
      <c r="AV262" s="2" t="str">
        <f aca="false">IF(AG262,"Key account - human sign-off required; ","")&amp;IF(AH262,"Borderline momentum; ","")&amp;IF(AK262,"February-sensitive ("&amp;N262&amp;" -&gt; "&amp;AJ262&amp;"); ","")&amp;IF(AL262="One-Off / Insufficient History — Verify","Lapsed on thin history - verify; ","")&amp;IF(AQ262,"Material broker % inconsistency (implied tier "&amp;AP262&amp;"); ","")&amp;IF(AT262,"Implied broker % would move segment to "&amp;AS262&amp;"; ","")</f>
        <v>Lapsed on thin history - verify; </v>
      </c>
      <c r="AW262" s="10" t="b">
        <f aca="false">AND(G262="Low",J262="Tail",I262&gt;=Assumptions!$B$64,O262&gt;=Assumptions!$B$65,OR(N262="Growing",N262="Stable",AND(N262="H2 Active / No H1 GMV",W262&gt;=2)),OR(R262&gt;=Assumptions!$B$66,S262&gt;=Assumptions!$B$67))</f>
        <v>0</v>
      </c>
    </row>
    <row r="263" customFormat="false" ht="15" hidden="false" customHeight="false" outlineLevel="0" collapsed="false">
      <c r="A263" s="2" t="s">
        <v>854</v>
      </c>
      <c r="B263" s="2" t="s">
        <v>1574</v>
      </c>
      <c r="C263" s="2"/>
      <c r="D263" s="2" t="n">
        <v>2</v>
      </c>
      <c r="E263" s="2" t="n">
        <v>0</v>
      </c>
      <c r="F263" s="21" t="n">
        <f aca="false">INDEX('Scored Accounts'!$Q$2:$Q$301,MATCH($A263,'Scored Accounts'!$A$2:$A$301,0))</f>
        <v>0</v>
      </c>
      <c r="G263" s="2" t="str">
        <f aca="false">INDEX('Scored Accounts'!$R$2:$R$301,MATCH($A263,'Scored Accounts'!$A$2:$A$301,0))</f>
        <v>Low</v>
      </c>
      <c r="H263" s="2" t="str">
        <f aca="false">IF(OR(G263="High",G263="Medium"),"Broker-Reliant",IF(AND(G263="Low",B263="Account Managed"),"AM-Owned / Self-Serving",IF(AND(G263="Low",B263="Self Serve"),"Self-Serve","UNASSIGNED")))</f>
        <v>Self-Serve</v>
      </c>
      <c r="I263" s="9" t="n">
        <v>212</v>
      </c>
      <c r="J263" s="2" t="str">
        <f aca="false">IF(I263&gt;=Assumptions!$B$35,"Key",IF(I263&gt;=Assumptions!$B$34,"Core","Tail"))</f>
        <v>Tail</v>
      </c>
      <c r="K263" s="9" t="n">
        <f aca="false">INDEX('Commercial View'!$R$2:$R$301,MATCH($A263,'Commercial View'!$A$2:$A$301,0))</f>
        <v>0</v>
      </c>
      <c r="L263" s="9" t="n">
        <f aca="false">INDEX('Commercial View'!$S$2:$S$301,MATCH($A263,'Commercial View'!$A$2:$A$301,0))</f>
        <v>212</v>
      </c>
      <c r="M263" s="17" t="str">
        <f aca="false">INDEX('Commercial View'!$T$2:$T$301,MATCH($A263,'Commercial View'!$A$2:$A$301,0))</f>
        <v/>
      </c>
      <c r="N263" s="2" t="str">
        <f aca="false">INDEX('Commercial View'!$U$2:$U$301,MATCH($A263,'Commercial View'!$A$2:$A$301,0))</f>
        <v>H2 Active / No H1 GMV</v>
      </c>
      <c r="O263" s="2" t="n">
        <v>1</v>
      </c>
      <c r="P263" s="2" t="n">
        <v>0</v>
      </c>
      <c r="Q263" s="2" t="n">
        <v>1</v>
      </c>
      <c r="R263" s="2" t="n">
        <v>15</v>
      </c>
      <c r="S263" s="2" t="n">
        <v>4</v>
      </c>
      <c r="T263" s="2" t="str">
        <f aca="false">IF(H263="Broker-Reliant",IF(J263="Tail","5. Cost-to-Serve / Low-Touch",IF(OR(N263="Growing",N263="Stable"),"1. Migration Candidate",IF(N263="Declining","2. Protect / Retain First",IF(N263="Lapsed","3. Win-Back / Verify",IF(N263="H2 Active / No H1 GMV","4. Establish / Re-establish / Observe","UNASSIGNED"))))),IF(G263="Low",IF(J263="Tail","9. Long-Tail Automated Nurture",IF(OR(N263="Growing",N263="Stable"),"6. Growth Opportunity",IF(N263="H2 Active / No H1 GMV","7. Onboard / Re-engage / Learn",IF(OR(N263="Declining",N263="Lapsed"),"8. Retention / Reactivation","UNASSIGNED")))),"UNASSIGNED"))</f>
        <v>9. Long-Tail Automated Nurture</v>
      </c>
      <c r="U263" s="10" t="b">
        <f aca="false">AND(T263="1. Migration Candidate",J263="Core",O263&gt;=Assumptions!$B$39,Q263&gt;=Assumptions!$B$40,NOT(Z263))</f>
        <v>0</v>
      </c>
      <c r="V263" s="2" t="n">
        <f aca="false">(AND(H263="Broker-Reliant",J263&lt;&gt;"Tail",OR(N263="Growing",N263="Stable")))*1+(AND(H263="Broker-Reliant",J263&lt;&gt;"Tail",N263="Declining"))*1+(AND(H263="Broker-Reliant",J263&lt;&gt;"Tail",N263="Lapsed"))*1+(AND(H263="Broker-Reliant",J263&lt;&gt;"Tail",N263="H2 Active / No H1 GMV"))*1+(AND(H263="Broker-Reliant",J263="Tail"))*1+(AND(G263="Low",J263&lt;&gt;"Tail",OR(N263="Growing",N263="Stable")))*1+(AND(G263="Low",J263&lt;&gt;"Tail",N263="H2 Active / No H1 GMV"))*1+(AND(G263="Low",J263&lt;&gt;"Tail",OR(N263="Declining",N263="Lapsed")))*1+(AND(G263="Low",J263="Tail"))*1</f>
        <v>1</v>
      </c>
      <c r="W263" s="2" t="n">
        <f aca="false">INDEX('Commercial View'!$V$2:$V$301,MATCH($A263,'Commercial View'!$A$2:$A$301,0))</f>
        <v>1</v>
      </c>
      <c r="X263" s="10" t="b">
        <f aca="false">O263&lt;=Assumptions!$B$30</f>
        <v>1</v>
      </c>
      <c r="Y263" s="10" t="b">
        <f aca="false">W263&lt;=1</f>
        <v>1</v>
      </c>
      <c r="Z263" s="10" t="b">
        <f aca="false">C263="Duplicate"</f>
        <v>0</v>
      </c>
      <c r="AA263" s="10" t="b">
        <f aca="false">C263=""</f>
        <v>1</v>
      </c>
      <c r="AB263" s="2" t="n">
        <f aca="false">IF(P263+Q263&gt;0,ROUND(P263/(P263+Q263)*100,0),"")</f>
        <v>0</v>
      </c>
      <c r="AC263" s="2" t="n">
        <f aca="false">IF(P263+Q263&gt;0,ROUND(E263-P263/(P263+Q263)*100,0),"")</f>
        <v>0</v>
      </c>
      <c r="AD263" s="10" t="b">
        <f aca="false">IF(AC263="",FALSE(),ABS(AC263)&gt;Assumptions!$B$41)</f>
        <v>0</v>
      </c>
      <c r="AE263" s="2" t="str">
        <f aca="false">IF(X263,"Low confidence (&lt;=2 orders); ","")&amp;IF(Y263,"Single-month history; ","")&amp;IF(Z263,"CRITICAL: Duplicate status; ","")&amp;IF(AA263,"Missing status; ","")&amp;IF(AD263,"Broker % vs counts gap "&amp;TEXT(AC263,"+0;-0")&amp;"pts; ","")</f>
        <v>Low confidence (&lt;=2 orders); Single-month history; Missing status; </v>
      </c>
      <c r="AF263" s="2" t="str">
        <f aca="false">IF(AND(K263=0,L263&gt;0),IF(D263&lt;=Assumptions!$B$47,"New Customer","Returned Customer"),"Existing Customer")</f>
        <v>New Customer</v>
      </c>
      <c r="AG263" s="10" t="b">
        <f aca="false">AND(T263="1. Migration Candidate",J263="Key")</f>
        <v>0</v>
      </c>
      <c r="AH263" s="10" t="b">
        <f aca="false">IF(AND(K263&gt;0,L263&gt;0),OR(ABS(M263-Assumptions!$B$36)&lt;=Assumptions!$B$46,ABS(M263+Assumptions!$B$36)&lt;=Assumptions!$B$46),FALSE())</f>
        <v>0</v>
      </c>
      <c r="AI263" s="9" t="n">
        <f aca="false">INDEX('Commercial View'!$L$2:$L$301,MATCH($A263,'Commercial View'!$A$2:$A$301,0))+INDEX('Commercial View'!$M$2:$M$301,MATCH($A263,'Commercial View'!$A$2:$A$301,0))</f>
        <v>212</v>
      </c>
      <c r="AJ263" s="2" t="str">
        <f aca="false">IF(AND(K263=0,AI263=0),"No activity ex-Feb",IF(AI263=0,"Lapsed",IF(K263=0,"H2 Active / No H1 GMV",IF((AI263/2)/(K263/3)-1&gt;=Assumptions!$B$36,"Growing",IF((AI263/2)/(K263/3)-1&lt;-Assumptions!$B$36,"Declining","Stable")))))</f>
        <v>H2 Active / No H1 GMV</v>
      </c>
      <c r="AK263" s="10" t="b">
        <f aca="false">IF(OR(N263="Growing",N263="Stable"),"Healthy",N263)&lt;&gt;IF(OR(AJ263="Growing",AJ263="Stable"),"Healthy",AJ263)</f>
        <v>0</v>
      </c>
      <c r="AL263" s="2" t="str">
        <f aca="false">IF(N263="Lapsed",IF(OR(O263&lt;=Assumptions!$B$48,W263&lt;=Assumptions!$B$49),"One-Off / Insufficient History — Verify","Established Buyer Lapsed"),"N/A")</f>
        <v>N/A</v>
      </c>
      <c r="AM263" s="2" t="n">
        <f aca="false">INDEX('Scored Accounts'!$M$2:$M$301,MATCH($A263,'Scored Accounts'!$A$2:$A$301,0))</f>
        <v>0</v>
      </c>
      <c r="AN263" s="2" t="n">
        <f aca="false">IF((P263/(P263+Q263)*100)&lt;=Assumptions!$B$13,0,IF((P263/(P263+Q263)*100)&lt;Assumptions!$B$14,25,IF((P263/(P263+Q263)*100)&lt;Assumptions!$B$15,50,IF((P263/(P263+Q263)*100)&lt;Assumptions!$B$16,75,100))))</f>
        <v>0</v>
      </c>
      <c r="AO263" s="21" t="n">
        <f aca="false">IF((P263/(P263+Q263)*100)&lt;=Assumptions!$B$8,0,AN263*Assumptions!$B$4+INDEX('Scored Accounts'!$N$2:$N$301,MATCH($A263,'Scored Accounts'!$A$2:$A$301,0))*Assumptions!$B$5+INDEX('Scored Accounts'!$O$2:$O$301,MATCH($A263,'Scored Accounts'!$A$2:$A$301,0))*Assumptions!$B$6)</f>
        <v>0</v>
      </c>
      <c r="AP263" s="2" t="str">
        <f aca="false">IF(AO263&gt;=Assumptions!$B$9,"High",IF(AO263&gt;=Assumptions!$B$10,"Medium","Low"))</f>
        <v>Low</v>
      </c>
      <c r="AQ263" s="10" t="b">
        <f aca="false">OR((E263&lt;=Assumptions!$B$8)&lt;&gt;((P263/(P263+Q263)*100)&lt;=Assumptions!$B$8),AM263&lt;&gt;AN263,G263&lt;&gt;AP263)</f>
        <v>0</v>
      </c>
      <c r="AR263" s="2" t="str">
        <f aca="false">IF(AP263&lt;&gt;"Low","Broker-Reliant",IF(B263="Account Managed","AM-Owned / Self-Serving","Self-Serve"))</f>
        <v>Self-Serve</v>
      </c>
      <c r="AS263" s="2" t="str">
        <f aca="false">IF(AR263="Broker-Reliant",IF(J263="Tail","5. Cost-to-Serve / Low-Touch",IF(OR(N263="Growing",N263="Stable"),"1. Migration Candidate",IF(N263="Declining","2. Protect / Retain First",IF(N263="Lapsed","3. Win-Back / Verify",IF(N263="H2 Active / No H1 GMV","4. Establish / Re-establish / Observe","UNASSIGNED"))))),IF(AP263="Low",IF(J263="Tail","9. Long-Tail Automated Nurture",IF(OR(N263="Growing",N263="Stable"),"6. Growth Opportunity",IF(N263="H2 Active / No H1 GMV","7. Onboard / Re-engage / Learn",IF(OR(N263="Declining",N263="Lapsed"),"8. Retention / Reactivation","UNASSIGNED")))),"UNASSIGNED"))</f>
        <v>9. Long-Tail Automated Nurture</v>
      </c>
      <c r="AT263" s="10" t="b">
        <f aca="false">AS263&lt;&gt;T263</f>
        <v>0</v>
      </c>
      <c r="AU263" s="2" t="str">
        <f aca="false">IF(NOT(U263),"Not Eligible",IF(OR(AQ263,AH263,AK263,NOT(AND(W263&gt;=Assumptions!$B$83,O263&gt;=Assumptions!$B$84))),"Manual Review","Ready"))</f>
        <v>Not Eligible</v>
      </c>
      <c r="AV263" s="2" t="str">
        <f aca="false">IF(AG263,"Key account - human sign-off required; ","")&amp;IF(AH263,"Borderline momentum; ","")&amp;IF(AK263,"February-sensitive ("&amp;N263&amp;" -&gt; "&amp;AJ263&amp;"); ","")&amp;IF(AL263="One-Off / Insufficient History — Verify","Lapsed on thin history - verify; ","")&amp;IF(AQ263,"Material broker % inconsistency (implied tier "&amp;AP263&amp;"); ","")&amp;IF(AT263,"Implied broker % would move segment to "&amp;AS263&amp;"; ","")</f>
        <v/>
      </c>
      <c r="AW263" s="10" t="b">
        <f aca="false">AND(G263="Low",J263="Tail",I263&gt;=Assumptions!$B$64,O263&gt;=Assumptions!$B$65,OR(N263="Growing",N263="Stable",AND(N263="H2 Active / No H1 GMV",W263&gt;=2)),OR(R263&gt;=Assumptions!$B$66,S263&gt;=Assumptions!$B$67))</f>
        <v>0</v>
      </c>
    </row>
    <row r="264" customFormat="false" ht="15" hidden="false" customHeight="false" outlineLevel="0" collapsed="false">
      <c r="A264" s="2" t="s">
        <v>856</v>
      </c>
      <c r="B264" s="2" t="s">
        <v>1574</v>
      </c>
      <c r="C264" s="2"/>
      <c r="D264" s="2" t="n">
        <v>1</v>
      </c>
      <c r="E264" s="2" t="n">
        <v>0</v>
      </c>
      <c r="F264" s="21" t="n">
        <f aca="false">INDEX('Scored Accounts'!$Q$2:$Q$301,MATCH($A264,'Scored Accounts'!$A$2:$A$301,0))</f>
        <v>0</v>
      </c>
      <c r="G264" s="2" t="str">
        <f aca="false">INDEX('Scored Accounts'!$R$2:$R$301,MATCH($A264,'Scored Accounts'!$A$2:$A$301,0))</f>
        <v>Low</v>
      </c>
      <c r="H264" s="2" t="str">
        <f aca="false">IF(OR(G264="High",G264="Medium"),"Broker-Reliant",IF(AND(G264="Low",B264="Account Managed"),"AM-Owned / Self-Serving",IF(AND(G264="Low",B264="Self Serve"),"Self-Serve","UNASSIGNED")))</f>
        <v>Self-Serve</v>
      </c>
      <c r="I264" s="9" t="n">
        <v>211</v>
      </c>
      <c r="J264" s="2" t="str">
        <f aca="false">IF(I264&gt;=Assumptions!$B$35,"Key",IF(I264&gt;=Assumptions!$B$34,"Core","Tail"))</f>
        <v>Tail</v>
      </c>
      <c r="K264" s="9" t="n">
        <f aca="false">INDEX('Commercial View'!$R$2:$R$301,MATCH($A264,'Commercial View'!$A$2:$A$301,0))</f>
        <v>0</v>
      </c>
      <c r="L264" s="9" t="n">
        <f aca="false">INDEX('Commercial View'!$S$2:$S$301,MATCH($A264,'Commercial View'!$A$2:$A$301,0))</f>
        <v>211</v>
      </c>
      <c r="M264" s="17" t="str">
        <f aca="false">INDEX('Commercial View'!$T$2:$T$301,MATCH($A264,'Commercial View'!$A$2:$A$301,0))</f>
        <v/>
      </c>
      <c r="N264" s="2" t="str">
        <f aca="false">INDEX('Commercial View'!$U$2:$U$301,MATCH($A264,'Commercial View'!$A$2:$A$301,0))</f>
        <v>H2 Active / No H1 GMV</v>
      </c>
      <c r="O264" s="2" t="n">
        <v>1</v>
      </c>
      <c r="P264" s="2" t="n">
        <v>0</v>
      </c>
      <c r="Q264" s="2" t="n">
        <v>1</v>
      </c>
      <c r="R264" s="2" t="n">
        <v>16</v>
      </c>
      <c r="S264" s="2" t="n">
        <v>6</v>
      </c>
      <c r="T264" s="2" t="str">
        <f aca="false">IF(H264="Broker-Reliant",IF(J264="Tail","5. Cost-to-Serve / Low-Touch",IF(OR(N264="Growing",N264="Stable"),"1. Migration Candidate",IF(N264="Declining","2. Protect / Retain First",IF(N264="Lapsed","3. Win-Back / Verify",IF(N264="H2 Active / No H1 GMV","4. Establish / Re-establish / Observe","UNASSIGNED"))))),IF(G264="Low",IF(J264="Tail","9. Long-Tail Automated Nurture",IF(OR(N264="Growing",N264="Stable"),"6. Growth Opportunity",IF(N264="H2 Active / No H1 GMV","7. Onboard / Re-engage / Learn",IF(OR(N264="Declining",N264="Lapsed"),"8. Retention / Reactivation","UNASSIGNED")))),"UNASSIGNED"))</f>
        <v>9. Long-Tail Automated Nurture</v>
      </c>
      <c r="U264" s="10" t="b">
        <f aca="false">AND(T264="1. Migration Candidate",J264="Core",O264&gt;=Assumptions!$B$39,Q264&gt;=Assumptions!$B$40,NOT(Z264))</f>
        <v>0</v>
      </c>
      <c r="V264" s="2" t="n">
        <f aca="false">(AND(H264="Broker-Reliant",J264&lt;&gt;"Tail",OR(N264="Growing",N264="Stable")))*1+(AND(H264="Broker-Reliant",J264&lt;&gt;"Tail",N264="Declining"))*1+(AND(H264="Broker-Reliant",J264&lt;&gt;"Tail",N264="Lapsed"))*1+(AND(H264="Broker-Reliant",J264&lt;&gt;"Tail",N264="H2 Active / No H1 GMV"))*1+(AND(H264="Broker-Reliant",J264="Tail"))*1+(AND(G264="Low",J264&lt;&gt;"Tail",OR(N264="Growing",N264="Stable")))*1+(AND(G264="Low",J264&lt;&gt;"Tail",N264="H2 Active / No H1 GMV"))*1+(AND(G264="Low",J264&lt;&gt;"Tail",OR(N264="Declining",N264="Lapsed")))*1+(AND(G264="Low",J264="Tail"))*1</f>
        <v>1</v>
      </c>
      <c r="W264" s="2" t="n">
        <f aca="false">INDEX('Commercial View'!$V$2:$V$301,MATCH($A264,'Commercial View'!$A$2:$A$301,0))</f>
        <v>1</v>
      </c>
      <c r="X264" s="10" t="b">
        <f aca="false">O264&lt;=Assumptions!$B$30</f>
        <v>1</v>
      </c>
      <c r="Y264" s="10" t="b">
        <f aca="false">W264&lt;=1</f>
        <v>1</v>
      </c>
      <c r="Z264" s="10" t="b">
        <f aca="false">C264="Duplicate"</f>
        <v>0</v>
      </c>
      <c r="AA264" s="10" t="b">
        <f aca="false">C264=""</f>
        <v>1</v>
      </c>
      <c r="AB264" s="2" t="n">
        <f aca="false">IF(P264+Q264&gt;0,ROUND(P264/(P264+Q264)*100,0),"")</f>
        <v>0</v>
      </c>
      <c r="AC264" s="2" t="n">
        <f aca="false">IF(P264+Q264&gt;0,ROUND(E264-P264/(P264+Q264)*100,0),"")</f>
        <v>0</v>
      </c>
      <c r="AD264" s="10" t="b">
        <f aca="false">IF(AC264="",FALSE(),ABS(AC264)&gt;Assumptions!$B$41)</f>
        <v>0</v>
      </c>
      <c r="AE264" s="2" t="str">
        <f aca="false">IF(X264,"Low confidence (&lt;=2 orders); ","")&amp;IF(Y264,"Single-month history; ","")&amp;IF(Z264,"CRITICAL: Duplicate status; ","")&amp;IF(AA264,"Missing status; ","")&amp;IF(AD264,"Broker % vs counts gap "&amp;TEXT(AC264,"+0;-0")&amp;"pts; ","")</f>
        <v>Low confidence (&lt;=2 orders); Single-month history; Missing status; </v>
      </c>
      <c r="AF264" s="2" t="str">
        <f aca="false">IF(AND(K264=0,L264&gt;0),IF(D264&lt;=Assumptions!$B$47,"New Customer","Returned Customer"),"Existing Customer")</f>
        <v>New Customer</v>
      </c>
      <c r="AG264" s="10" t="b">
        <f aca="false">AND(T264="1. Migration Candidate",J264="Key")</f>
        <v>0</v>
      </c>
      <c r="AH264" s="10" t="b">
        <f aca="false">IF(AND(K264&gt;0,L264&gt;0),OR(ABS(M264-Assumptions!$B$36)&lt;=Assumptions!$B$46,ABS(M264+Assumptions!$B$36)&lt;=Assumptions!$B$46),FALSE())</f>
        <v>0</v>
      </c>
      <c r="AI264" s="9" t="n">
        <f aca="false">INDEX('Commercial View'!$L$2:$L$301,MATCH($A264,'Commercial View'!$A$2:$A$301,0))+INDEX('Commercial View'!$M$2:$M$301,MATCH($A264,'Commercial View'!$A$2:$A$301,0))</f>
        <v>0</v>
      </c>
      <c r="AJ264" s="2" t="str">
        <f aca="false">IF(AND(K264=0,AI264=0),"No activity ex-Feb",IF(AI264=0,"Lapsed",IF(K264=0,"H2 Active / No H1 GMV",IF((AI264/2)/(K264/3)-1&gt;=Assumptions!$B$36,"Growing",IF((AI264/2)/(K264/3)-1&lt;-Assumptions!$B$36,"Declining","Stable")))))</f>
        <v>No activity ex-Feb</v>
      </c>
      <c r="AK264" s="10" t="b">
        <f aca="false">IF(OR(N264="Growing",N264="Stable"),"Healthy",N264)&lt;&gt;IF(OR(AJ264="Growing",AJ264="Stable"),"Healthy",AJ264)</f>
        <v>1</v>
      </c>
      <c r="AL264" s="2" t="str">
        <f aca="false">IF(N264="Lapsed",IF(OR(O264&lt;=Assumptions!$B$48,W264&lt;=Assumptions!$B$49),"One-Off / Insufficient History — Verify","Established Buyer Lapsed"),"N/A")</f>
        <v>N/A</v>
      </c>
      <c r="AM264" s="2" t="n">
        <f aca="false">INDEX('Scored Accounts'!$M$2:$M$301,MATCH($A264,'Scored Accounts'!$A$2:$A$301,0))</f>
        <v>0</v>
      </c>
      <c r="AN264" s="2" t="n">
        <f aca="false">IF((P264/(P264+Q264)*100)&lt;=Assumptions!$B$13,0,IF((P264/(P264+Q264)*100)&lt;Assumptions!$B$14,25,IF((P264/(P264+Q264)*100)&lt;Assumptions!$B$15,50,IF((P264/(P264+Q264)*100)&lt;Assumptions!$B$16,75,100))))</f>
        <v>0</v>
      </c>
      <c r="AO264" s="21" t="n">
        <f aca="false">IF((P264/(P264+Q264)*100)&lt;=Assumptions!$B$8,0,AN264*Assumptions!$B$4+INDEX('Scored Accounts'!$N$2:$N$301,MATCH($A264,'Scored Accounts'!$A$2:$A$301,0))*Assumptions!$B$5+INDEX('Scored Accounts'!$O$2:$O$301,MATCH($A264,'Scored Accounts'!$A$2:$A$301,0))*Assumptions!$B$6)</f>
        <v>0</v>
      </c>
      <c r="AP264" s="2" t="str">
        <f aca="false">IF(AO264&gt;=Assumptions!$B$9,"High",IF(AO264&gt;=Assumptions!$B$10,"Medium","Low"))</f>
        <v>Low</v>
      </c>
      <c r="AQ264" s="10" t="b">
        <f aca="false">OR((E264&lt;=Assumptions!$B$8)&lt;&gt;((P264/(P264+Q264)*100)&lt;=Assumptions!$B$8),AM264&lt;&gt;AN264,G264&lt;&gt;AP264)</f>
        <v>0</v>
      </c>
      <c r="AR264" s="2" t="str">
        <f aca="false">IF(AP264&lt;&gt;"Low","Broker-Reliant",IF(B264="Account Managed","AM-Owned / Self-Serving","Self-Serve"))</f>
        <v>Self-Serve</v>
      </c>
      <c r="AS264" s="2" t="str">
        <f aca="false">IF(AR264="Broker-Reliant",IF(J264="Tail","5. Cost-to-Serve / Low-Touch",IF(OR(N264="Growing",N264="Stable"),"1. Migration Candidate",IF(N264="Declining","2. Protect / Retain First",IF(N264="Lapsed","3. Win-Back / Verify",IF(N264="H2 Active / No H1 GMV","4. Establish / Re-establish / Observe","UNASSIGNED"))))),IF(AP264="Low",IF(J264="Tail","9. Long-Tail Automated Nurture",IF(OR(N264="Growing",N264="Stable"),"6. Growth Opportunity",IF(N264="H2 Active / No H1 GMV","7. Onboard / Re-engage / Learn",IF(OR(N264="Declining",N264="Lapsed"),"8. Retention / Reactivation","UNASSIGNED")))),"UNASSIGNED"))</f>
        <v>9. Long-Tail Automated Nurture</v>
      </c>
      <c r="AT264" s="10" t="b">
        <f aca="false">AS264&lt;&gt;T264</f>
        <v>0</v>
      </c>
      <c r="AU264" s="2" t="str">
        <f aca="false">IF(NOT(U264),"Not Eligible",IF(OR(AQ264,AH264,AK264,NOT(AND(W264&gt;=Assumptions!$B$83,O264&gt;=Assumptions!$B$84))),"Manual Review","Ready"))</f>
        <v>Not Eligible</v>
      </c>
      <c r="AV264" s="2" t="str">
        <f aca="false">IF(AG264,"Key account - human sign-off required; ","")&amp;IF(AH264,"Borderline momentum; ","")&amp;IF(AK264,"February-sensitive ("&amp;N264&amp;" -&gt; "&amp;AJ264&amp;"); ","")&amp;IF(AL264="One-Off / Insufficient History — Verify","Lapsed on thin history - verify; ","")&amp;IF(AQ264,"Material broker % inconsistency (implied tier "&amp;AP264&amp;"); ","")&amp;IF(AT264,"Implied broker % would move segment to "&amp;AS264&amp;"; ","")</f>
        <v>February-sensitive (H2 Active / No H1 GMV -&gt; No activity ex-Feb); </v>
      </c>
      <c r="AW264" s="10" t="b">
        <f aca="false">AND(G264="Low",J264="Tail",I264&gt;=Assumptions!$B$64,O264&gt;=Assumptions!$B$65,OR(N264="Growing",N264="Stable",AND(N264="H2 Active / No H1 GMV",W264&gt;=2)),OR(R264&gt;=Assumptions!$B$66,S264&gt;=Assumptions!$B$67))</f>
        <v>0</v>
      </c>
    </row>
    <row r="265" customFormat="false" ht="15" hidden="false" customHeight="false" outlineLevel="0" collapsed="false">
      <c r="A265" s="2" t="s">
        <v>860</v>
      </c>
      <c r="B265" s="2" t="s">
        <v>1574</v>
      </c>
      <c r="C265" s="2"/>
      <c r="D265" s="2" t="n">
        <v>2</v>
      </c>
      <c r="E265" s="2" t="n">
        <v>0</v>
      </c>
      <c r="F265" s="21" t="n">
        <f aca="false">INDEX('Scored Accounts'!$Q$2:$Q$301,MATCH($A265,'Scored Accounts'!$A$2:$A$301,0))</f>
        <v>0</v>
      </c>
      <c r="G265" s="2" t="str">
        <f aca="false">INDEX('Scored Accounts'!$R$2:$R$301,MATCH($A265,'Scored Accounts'!$A$2:$A$301,0))</f>
        <v>Low</v>
      </c>
      <c r="H265" s="2" t="str">
        <f aca="false">IF(OR(G265="High",G265="Medium"),"Broker-Reliant",IF(AND(G265="Low",B265="Account Managed"),"AM-Owned / Self-Serving",IF(AND(G265="Low",B265="Self Serve"),"Self-Serve","UNASSIGNED")))</f>
        <v>Self-Serve</v>
      </c>
      <c r="I265" s="9" t="n">
        <v>209</v>
      </c>
      <c r="J265" s="2" t="str">
        <f aca="false">IF(I265&gt;=Assumptions!$B$35,"Key",IF(I265&gt;=Assumptions!$B$34,"Core","Tail"))</f>
        <v>Tail</v>
      </c>
      <c r="K265" s="9" t="n">
        <f aca="false">INDEX('Commercial View'!$R$2:$R$301,MATCH($A265,'Commercial View'!$A$2:$A$301,0))</f>
        <v>0</v>
      </c>
      <c r="L265" s="9" t="n">
        <f aca="false">INDEX('Commercial View'!$S$2:$S$301,MATCH($A265,'Commercial View'!$A$2:$A$301,0))</f>
        <v>209</v>
      </c>
      <c r="M265" s="17" t="str">
        <f aca="false">INDEX('Commercial View'!$T$2:$T$301,MATCH($A265,'Commercial View'!$A$2:$A$301,0))</f>
        <v/>
      </c>
      <c r="N265" s="2" t="str">
        <f aca="false">INDEX('Commercial View'!$U$2:$U$301,MATCH($A265,'Commercial View'!$A$2:$A$301,0))</f>
        <v>H2 Active / No H1 GMV</v>
      </c>
      <c r="O265" s="2" t="n">
        <v>1</v>
      </c>
      <c r="P265" s="2" t="n">
        <v>0</v>
      </c>
      <c r="Q265" s="2" t="n">
        <v>1</v>
      </c>
      <c r="R265" s="2" t="n">
        <v>4</v>
      </c>
      <c r="S265" s="2" t="n">
        <v>0</v>
      </c>
      <c r="T265" s="2" t="str">
        <f aca="false">IF(H265="Broker-Reliant",IF(J265="Tail","5. Cost-to-Serve / Low-Touch",IF(OR(N265="Growing",N265="Stable"),"1. Migration Candidate",IF(N265="Declining","2. Protect / Retain First",IF(N265="Lapsed","3. Win-Back / Verify",IF(N265="H2 Active / No H1 GMV","4. Establish / Re-establish / Observe","UNASSIGNED"))))),IF(G265="Low",IF(J265="Tail","9. Long-Tail Automated Nurture",IF(OR(N265="Growing",N265="Stable"),"6. Growth Opportunity",IF(N265="H2 Active / No H1 GMV","7. Onboard / Re-engage / Learn",IF(OR(N265="Declining",N265="Lapsed"),"8. Retention / Reactivation","UNASSIGNED")))),"UNASSIGNED"))</f>
        <v>9. Long-Tail Automated Nurture</v>
      </c>
      <c r="U265" s="10" t="b">
        <f aca="false">AND(T265="1. Migration Candidate",J265="Core",O265&gt;=Assumptions!$B$39,Q265&gt;=Assumptions!$B$40,NOT(Z265))</f>
        <v>0</v>
      </c>
      <c r="V265" s="2" t="n">
        <f aca="false">(AND(H265="Broker-Reliant",J265&lt;&gt;"Tail",OR(N265="Growing",N265="Stable")))*1+(AND(H265="Broker-Reliant",J265&lt;&gt;"Tail",N265="Declining"))*1+(AND(H265="Broker-Reliant",J265&lt;&gt;"Tail",N265="Lapsed"))*1+(AND(H265="Broker-Reliant",J265&lt;&gt;"Tail",N265="H2 Active / No H1 GMV"))*1+(AND(H265="Broker-Reliant",J265="Tail"))*1+(AND(G265="Low",J265&lt;&gt;"Tail",OR(N265="Growing",N265="Stable")))*1+(AND(G265="Low",J265&lt;&gt;"Tail",N265="H2 Active / No H1 GMV"))*1+(AND(G265="Low",J265&lt;&gt;"Tail",OR(N265="Declining",N265="Lapsed")))*1+(AND(G265="Low",J265="Tail"))*1</f>
        <v>1</v>
      </c>
      <c r="W265" s="2" t="n">
        <f aca="false">INDEX('Commercial View'!$V$2:$V$301,MATCH($A265,'Commercial View'!$A$2:$A$301,0))</f>
        <v>1</v>
      </c>
      <c r="X265" s="10" t="b">
        <f aca="false">O265&lt;=Assumptions!$B$30</f>
        <v>1</v>
      </c>
      <c r="Y265" s="10" t="b">
        <f aca="false">W265&lt;=1</f>
        <v>1</v>
      </c>
      <c r="Z265" s="10" t="b">
        <f aca="false">C265="Duplicate"</f>
        <v>0</v>
      </c>
      <c r="AA265" s="10" t="b">
        <f aca="false">C265=""</f>
        <v>1</v>
      </c>
      <c r="AB265" s="2" t="n">
        <f aca="false">IF(P265+Q265&gt;0,ROUND(P265/(P265+Q265)*100,0),"")</f>
        <v>0</v>
      </c>
      <c r="AC265" s="2" t="n">
        <f aca="false">IF(P265+Q265&gt;0,ROUND(E265-P265/(P265+Q265)*100,0),"")</f>
        <v>0</v>
      </c>
      <c r="AD265" s="10" t="b">
        <f aca="false">IF(AC265="",FALSE(),ABS(AC265)&gt;Assumptions!$B$41)</f>
        <v>0</v>
      </c>
      <c r="AE265" s="2" t="str">
        <f aca="false">IF(X265,"Low confidence (&lt;=2 orders); ","")&amp;IF(Y265,"Single-month history; ","")&amp;IF(Z265,"CRITICAL: Duplicate status; ","")&amp;IF(AA265,"Missing status; ","")&amp;IF(AD265,"Broker % vs counts gap "&amp;TEXT(AC265,"+0;-0")&amp;"pts; ","")</f>
        <v>Low confidence (&lt;=2 orders); Single-month history; Missing status; </v>
      </c>
      <c r="AF265" s="2" t="str">
        <f aca="false">IF(AND(K265=0,L265&gt;0),IF(D265&lt;=Assumptions!$B$47,"New Customer","Returned Customer"),"Existing Customer")</f>
        <v>New Customer</v>
      </c>
      <c r="AG265" s="10" t="b">
        <f aca="false">AND(T265="1. Migration Candidate",J265="Key")</f>
        <v>0</v>
      </c>
      <c r="AH265" s="10" t="b">
        <f aca="false">IF(AND(K265&gt;0,L265&gt;0),OR(ABS(M265-Assumptions!$B$36)&lt;=Assumptions!$B$46,ABS(M265+Assumptions!$B$36)&lt;=Assumptions!$B$46),FALSE())</f>
        <v>0</v>
      </c>
      <c r="AI265" s="9" t="n">
        <f aca="false">INDEX('Commercial View'!$L$2:$L$301,MATCH($A265,'Commercial View'!$A$2:$A$301,0))+INDEX('Commercial View'!$M$2:$M$301,MATCH($A265,'Commercial View'!$A$2:$A$301,0))</f>
        <v>209</v>
      </c>
      <c r="AJ265" s="2" t="str">
        <f aca="false">IF(AND(K265=0,AI265=0),"No activity ex-Feb",IF(AI265=0,"Lapsed",IF(K265=0,"H2 Active / No H1 GMV",IF((AI265/2)/(K265/3)-1&gt;=Assumptions!$B$36,"Growing",IF((AI265/2)/(K265/3)-1&lt;-Assumptions!$B$36,"Declining","Stable")))))</f>
        <v>H2 Active / No H1 GMV</v>
      </c>
      <c r="AK265" s="10" t="b">
        <f aca="false">IF(OR(N265="Growing",N265="Stable"),"Healthy",N265)&lt;&gt;IF(OR(AJ265="Growing",AJ265="Stable"),"Healthy",AJ265)</f>
        <v>0</v>
      </c>
      <c r="AL265" s="2" t="str">
        <f aca="false">IF(N265="Lapsed",IF(OR(O265&lt;=Assumptions!$B$48,W265&lt;=Assumptions!$B$49),"One-Off / Insufficient History — Verify","Established Buyer Lapsed"),"N/A")</f>
        <v>N/A</v>
      </c>
      <c r="AM265" s="2" t="n">
        <f aca="false">INDEX('Scored Accounts'!$M$2:$M$301,MATCH($A265,'Scored Accounts'!$A$2:$A$301,0))</f>
        <v>0</v>
      </c>
      <c r="AN265" s="2" t="n">
        <f aca="false">IF((P265/(P265+Q265)*100)&lt;=Assumptions!$B$13,0,IF((P265/(P265+Q265)*100)&lt;Assumptions!$B$14,25,IF((P265/(P265+Q265)*100)&lt;Assumptions!$B$15,50,IF((P265/(P265+Q265)*100)&lt;Assumptions!$B$16,75,100))))</f>
        <v>0</v>
      </c>
      <c r="AO265" s="21" t="n">
        <f aca="false">IF((P265/(P265+Q265)*100)&lt;=Assumptions!$B$8,0,AN265*Assumptions!$B$4+INDEX('Scored Accounts'!$N$2:$N$301,MATCH($A265,'Scored Accounts'!$A$2:$A$301,0))*Assumptions!$B$5+INDEX('Scored Accounts'!$O$2:$O$301,MATCH($A265,'Scored Accounts'!$A$2:$A$301,0))*Assumptions!$B$6)</f>
        <v>0</v>
      </c>
      <c r="AP265" s="2" t="str">
        <f aca="false">IF(AO265&gt;=Assumptions!$B$9,"High",IF(AO265&gt;=Assumptions!$B$10,"Medium","Low"))</f>
        <v>Low</v>
      </c>
      <c r="AQ265" s="10" t="b">
        <f aca="false">OR((E265&lt;=Assumptions!$B$8)&lt;&gt;((P265/(P265+Q265)*100)&lt;=Assumptions!$B$8),AM265&lt;&gt;AN265,G265&lt;&gt;AP265)</f>
        <v>0</v>
      </c>
      <c r="AR265" s="2" t="str">
        <f aca="false">IF(AP265&lt;&gt;"Low","Broker-Reliant",IF(B265="Account Managed","AM-Owned / Self-Serving","Self-Serve"))</f>
        <v>Self-Serve</v>
      </c>
      <c r="AS265" s="2" t="str">
        <f aca="false">IF(AR265="Broker-Reliant",IF(J265="Tail","5. Cost-to-Serve / Low-Touch",IF(OR(N265="Growing",N265="Stable"),"1. Migration Candidate",IF(N265="Declining","2. Protect / Retain First",IF(N265="Lapsed","3. Win-Back / Verify",IF(N265="H2 Active / No H1 GMV","4. Establish / Re-establish / Observe","UNASSIGNED"))))),IF(AP265="Low",IF(J265="Tail","9. Long-Tail Automated Nurture",IF(OR(N265="Growing",N265="Stable"),"6. Growth Opportunity",IF(N265="H2 Active / No H1 GMV","7. Onboard / Re-engage / Learn",IF(OR(N265="Declining",N265="Lapsed"),"8. Retention / Reactivation","UNASSIGNED")))),"UNASSIGNED"))</f>
        <v>9. Long-Tail Automated Nurture</v>
      </c>
      <c r="AT265" s="10" t="b">
        <f aca="false">AS265&lt;&gt;T265</f>
        <v>0</v>
      </c>
      <c r="AU265" s="2" t="str">
        <f aca="false">IF(NOT(U265),"Not Eligible",IF(OR(AQ265,AH265,AK265,NOT(AND(W265&gt;=Assumptions!$B$83,O265&gt;=Assumptions!$B$84))),"Manual Review","Ready"))</f>
        <v>Not Eligible</v>
      </c>
      <c r="AV265" s="2" t="str">
        <f aca="false">IF(AG265,"Key account - human sign-off required; ","")&amp;IF(AH265,"Borderline momentum; ","")&amp;IF(AK265,"February-sensitive ("&amp;N265&amp;" -&gt; "&amp;AJ265&amp;"); ","")&amp;IF(AL265="One-Off / Insufficient History — Verify","Lapsed on thin history - verify; ","")&amp;IF(AQ265,"Material broker % inconsistency (implied tier "&amp;AP265&amp;"); ","")&amp;IF(AT265,"Implied broker % would move segment to "&amp;AS265&amp;"; ","")</f>
        <v/>
      </c>
      <c r="AW265" s="10" t="b">
        <f aca="false">AND(G265="Low",J265="Tail",I265&gt;=Assumptions!$B$64,O265&gt;=Assumptions!$B$65,OR(N265="Growing",N265="Stable",AND(N265="H2 Active / No H1 GMV",W265&gt;=2)),OR(R265&gt;=Assumptions!$B$66,S265&gt;=Assumptions!$B$67))</f>
        <v>0</v>
      </c>
    </row>
    <row r="266" customFormat="false" ht="15" hidden="false" customHeight="false" outlineLevel="0" collapsed="false">
      <c r="A266" s="2" t="s">
        <v>868</v>
      </c>
      <c r="B266" s="2" t="s">
        <v>1574</v>
      </c>
      <c r="C266" s="2"/>
      <c r="D266" s="2" t="n">
        <v>2</v>
      </c>
      <c r="E266" s="2" t="n">
        <v>0</v>
      </c>
      <c r="F266" s="21" t="n">
        <f aca="false">INDEX('Scored Accounts'!$Q$2:$Q$301,MATCH($A266,'Scored Accounts'!$A$2:$A$301,0))</f>
        <v>0</v>
      </c>
      <c r="G266" s="2" t="str">
        <f aca="false">INDEX('Scored Accounts'!$R$2:$R$301,MATCH($A266,'Scored Accounts'!$A$2:$A$301,0))</f>
        <v>Low</v>
      </c>
      <c r="H266" s="2" t="str">
        <f aca="false">IF(OR(G266="High",G266="Medium"),"Broker-Reliant",IF(AND(G266="Low",B266="Account Managed"),"AM-Owned / Self-Serving",IF(AND(G266="Low",B266="Self Serve"),"Self-Serve","UNASSIGNED")))</f>
        <v>Self-Serve</v>
      </c>
      <c r="I266" s="9" t="n">
        <v>196</v>
      </c>
      <c r="J266" s="2" t="str">
        <f aca="false">IF(I266&gt;=Assumptions!$B$35,"Key",IF(I266&gt;=Assumptions!$B$34,"Core","Tail"))</f>
        <v>Tail</v>
      </c>
      <c r="K266" s="9" t="n">
        <f aca="false">INDEX('Commercial View'!$R$2:$R$301,MATCH($A266,'Commercial View'!$A$2:$A$301,0))</f>
        <v>0</v>
      </c>
      <c r="L266" s="9" t="n">
        <f aca="false">INDEX('Commercial View'!$S$2:$S$301,MATCH($A266,'Commercial View'!$A$2:$A$301,0))</f>
        <v>196</v>
      </c>
      <c r="M266" s="17" t="str">
        <f aca="false">INDEX('Commercial View'!$T$2:$T$301,MATCH($A266,'Commercial View'!$A$2:$A$301,0))</f>
        <v/>
      </c>
      <c r="N266" s="2" t="str">
        <f aca="false">INDEX('Commercial View'!$U$2:$U$301,MATCH($A266,'Commercial View'!$A$2:$A$301,0))</f>
        <v>H2 Active / No H1 GMV</v>
      </c>
      <c r="O266" s="2" t="n">
        <v>1</v>
      </c>
      <c r="P266" s="2" t="n">
        <v>0</v>
      </c>
      <c r="Q266" s="2" t="n">
        <v>1</v>
      </c>
      <c r="R266" s="2" t="n">
        <v>8</v>
      </c>
      <c r="S266" s="2" t="n">
        <v>0</v>
      </c>
      <c r="T266" s="2" t="str">
        <f aca="false">IF(H266="Broker-Reliant",IF(J266="Tail","5. Cost-to-Serve / Low-Touch",IF(OR(N266="Growing",N266="Stable"),"1. Migration Candidate",IF(N266="Declining","2. Protect / Retain First",IF(N266="Lapsed","3. Win-Back / Verify",IF(N266="H2 Active / No H1 GMV","4. Establish / Re-establish / Observe","UNASSIGNED"))))),IF(G266="Low",IF(J266="Tail","9. Long-Tail Automated Nurture",IF(OR(N266="Growing",N266="Stable"),"6. Growth Opportunity",IF(N266="H2 Active / No H1 GMV","7. Onboard / Re-engage / Learn",IF(OR(N266="Declining",N266="Lapsed"),"8. Retention / Reactivation","UNASSIGNED")))),"UNASSIGNED"))</f>
        <v>9. Long-Tail Automated Nurture</v>
      </c>
      <c r="U266" s="10" t="b">
        <f aca="false">AND(T266="1. Migration Candidate",J266="Core",O266&gt;=Assumptions!$B$39,Q266&gt;=Assumptions!$B$40,NOT(Z266))</f>
        <v>0</v>
      </c>
      <c r="V266" s="2" t="n">
        <f aca="false">(AND(H266="Broker-Reliant",J266&lt;&gt;"Tail",OR(N266="Growing",N266="Stable")))*1+(AND(H266="Broker-Reliant",J266&lt;&gt;"Tail",N266="Declining"))*1+(AND(H266="Broker-Reliant",J266&lt;&gt;"Tail",N266="Lapsed"))*1+(AND(H266="Broker-Reliant",J266&lt;&gt;"Tail",N266="H2 Active / No H1 GMV"))*1+(AND(H266="Broker-Reliant",J266="Tail"))*1+(AND(G266="Low",J266&lt;&gt;"Tail",OR(N266="Growing",N266="Stable")))*1+(AND(G266="Low",J266&lt;&gt;"Tail",N266="H2 Active / No H1 GMV"))*1+(AND(G266="Low",J266&lt;&gt;"Tail",OR(N266="Declining",N266="Lapsed")))*1+(AND(G266="Low",J266="Tail"))*1</f>
        <v>1</v>
      </c>
      <c r="W266" s="2" t="n">
        <f aca="false">INDEX('Commercial View'!$V$2:$V$301,MATCH($A266,'Commercial View'!$A$2:$A$301,0))</f>
        <v>1</v>
      </c>
      <c r="X266" s="10" t="b">
        <f aca="false">O266&lt;=Assumptions!$B$30</f>
        <v>1</v>
      </c>
      <c r="Y266" s="10" t="b">
        <f aca="false">W266&lt;=1</f>
        <v>1</v>
      </c>
      <c r="Z266" s="10" t="b">
        <f aca="false">C266="Duplicate"</f>
        <v>0</v>
      </c>
      <c r="AA266" s="10" t="b">
        <f aca="false">C266=""</f>
        <v>1</v>
      </c>
      <c r="AB266" s="2" t="n">
        <f aca="false">IF(P266+Q266&gt;0,ROUND(P266/(P266+Q266)*100,0),"")</f>
        <v>0</v>
      </c>
      <c r="AC266" s="2" t="n">
        <f aca="false">IF(P266+Q266&gt;0,ROUND(E266-P266/(P266+Q266)*100,0),"")</f>
        <v>0</v>
      </c>
      <c r="AD266" s="10" t="b">
        <f aca="false">IF(AC266="",FALSE(),ABS(AC266)&gt;Assumptions!$B$41)</f>
        <v>0</v>
      </c>
      <c r="AE266" s="2" t="str">
        <f aca="false">IF(X266,"Low confidence (&lt;=2 orders); ","")&amp;IF(Y266,"Single-month history; ","")&amp;IF(Z266,"CRITICAL: Duplicate status; ","")&amp;IF(AA266,"Missing status; ","")&amp;IF(AD266,"Broker % vs counts gap "&amp;TEXT(AC266,"+0;-0")&amp;"pts; ","")</f>
        <v>Low confidence (&lt;=2 orders); Single-month history; Missing status; </v>
      </c>
      <c r="AF266" s="2" t="str">
        <f aca="false">IF(AND(K266=0,L266&gt;0),IF(D266&lt;=Assumptions!$B$47,"New Customer","Returned Customer"),"Existing Customer")</f>
        <v>New Customer</v>
      </c>
      <c r="AG266" s="10" t="b">
        <f aca="false">AND(T266="1. Migration Candidate",J266="Key")</f>
        <v>0</v>
      </c>
      <c r="AH266" s="10" t="b">
        <f aca="false">IF(AND(K266&gt;0,L266&gt;0),OR(ABS(M266-Assumptions!$B$36)&lt;=Assumptions!$B$46,ABS(M266+Assumptions!$B$36)&lt;=Assumptions!$B$46),FALSE())</f>
        <v>0</v>
      </c>
      <c r="AI266" s="9" t="n">
        <f aca="false">INDEX('Commercial View'!$L$2:$L$301,MATCH($A266,'Commercial View'!$A$2:$A$301,0))+INDEX('Commercial View'!$M$2:$M$301,MATCH($A266,'Commercial View'!$A$2:$A$301,0))</f>
        <v>196</v>
      </c>
      <c r="AJ266" s="2" t="str">
        <f aca="false">IF(AND(K266=0,AI266=0),"No activity ex-Feb",IF(AI266=0,"Lapsed",IF(K266=0,"H2 Active / No H1 GMV",IF((AI266/2)/(K266/3)-1&gt;=Assumptions!$B$36,"Growing",IF((AI266/2)/(K266/3)-1&lt;-Assumptions!$B$36,"Declining","Stable")))))</f>
        <v>H2 Active / No H1 GMV</v>
      </c>
      <c r="AK266" s="10" t="b">
        <f aca="false">IF(OR(N266="Growing",N266="Stable"),"Healthy",N266)&lt;&gt;IF(OR(AJ266="Growing",AJ266="Stable"),"Healthy",AJ266)</f>
        <v>0</v>
      </c>
      <c r="AL266" s="2" t="str">
        <f aca="false">IF(N266="Lapsed",IF(OR(O266&lt;=Assumptions!$B$48,W266&lt;=Assumptions!$B$49),"One-Off / Insufficient History — Verify","Established Buyer Lapsed"),"N/A")</f>
        <v>N/A</v>
      </c>
      <c r="AM266" s="2" t="n">
        <f aca="false">INDEX('Scored Accounts'!$M$2:$M$301,MATCH($A266,'Scored Accounts'!$A$2:$A$301,0))</f>
        <v>0</v>
      </c>
      <c r="AN266" s="2" t="n">
        <f aca="false">IF((P266/(P266+Q266)*100)&lt;=Assumptions!$B$13,0,IF((P266/(P266+Q266)*100)&lt;Assumptions!$B$14,25,IF((P266/(P266+Q266)*100)&lt;Assumptions!$B$15,50,IF((P266/(P266+Q266)*100)&lt;Assumptions!$B$16,75,100))))</f>
        <v>0</v>
      </c>
      <c r="AO266" s="21" t="n">
        <f aca="false">IF((P266/(P266+Q266)*100)&lt;=Assumptions!$B$8,0,AN266*Assumptions!$B$4+INDEX('Scored Accounts'!$N$2:$N$301,MATCH($A266,'Scored Accounts'!$A$2:$A$301,0))*Assumptions!$B$5+INDEX('Scored Accounts'!$O$2:$O$301,MATCH($A266,'Scored Accounts'!$A$2:$A$301,0))*Assumptions!$B$6)</f>
        <v>0</v>
      </c>
      <c r="AP266" s="2" t="str">
        <f aca="false">IF(AO266&gt;=Assumptions!$B$9,"High",IF(AO266&gt;=Assumptions!$B$10,"Medium","Low"))</f>
        <v>Low</v>
      </c>
      <c r="AQ266" s="10" t="b">
        <f aca="false">OR((E266&lt;=Assumptions!$B$8)&lt;&gt;((P266/(P266+Q266)*100)&lt;=Assumptions!$B$8),AM266&lt;&gt;AN266,G266&lt;&gt;AP266)</f>
        <v>0</v>
      </c>
      <c r="AR266" s="2" t="str">
        <f aca="false">IF(AP266&lt;&gt;"Low","Broker-Reliant",IF(B266="Account Managed","AM-Owned / Self-Serving","Self-Serve"))</f>
        <v>Self-Serve</v>
      </c>
      <c r="AS266" s="2" t="str">
        <f aca="false">IF(AR266="Broker-Reliant",IF(J266="Tail","5. Cost-to-Serve / Low-Touch",IF(OR(N266="Growing",N266="Stable"),"1. Migration Candidate",IF(N266="Declining","2. Protect / Retain First",IF(N266="Lapsed","3. Win-Back / Verify",IF(N266="H2 Active / No H1 GMV","4. Establish / Re-establish / Observe","UNASSIGNED"))))),IF(AP266="Low",IF(J266="Tail","9. Long-Tail Automated Nurture",IF(OR(N266="Growing",N266="Stable"),"6. Growth Opportunity",IF(N266="H2 Active / No H1 GMV","7. Onboard / Re-engage / Learn",IF(OR(N266="Declining",N266="Lapsed"),"8. Retention / Reactivation","UNASSIGNED")))),"UNASSIGNED"))</f>
        <v>9. Long-Tail Automated Nurture</v>
      </c>
      <c r="AT266" s="10" t="b">
        <f aca="false">AS266&lt;&gt;T266</f>
        <v>0</v>
      </c>
      <c r="AU266" s="2" t="str">
        <f aca="false">IF(NOT(U266),"Not Eligible",IF(OR(AQ266,AH266,AK266,NOT(AND(W266&gt;=Assumptions!$B$83,O266&gt;=Assumptions!$B$84))),"Manual Review","Ready"))</f>
        <v>Not Eligible</v>
      </c>
      <c r="AV266" s="2" t="str">
        <f aca="false">IF(AG266,"Key account - human sign-off required; ","")&amp;IF(AH266,"Borderline momentum; ","")&amp;IF(AK266,"February-sensitive ("&amp;N266&amp;" -&gt; "&amp;AJ266&amp;"); ","")&amp;IF(AL266="One-Off / Insufficient History — Verify","Lapsed on thin history - verify; ","")&amp;IF(AQ266,"Material broker % inconsistency (implied tier "&amp;AP266&amp;"); ","")&amp;IF(AT266,"Implied broker % would move segment to "&amp;AS266&amp;"; ","")</f>
        <v/>
      </c>
      <c r="AW266" s="10" t="b">
        <f aca="false">AND(G266="Low",J266="Tail",I266&gt;=Assumptions!$B$64,O266&gt;=Assumptions!$B$65,OR(N266="Growing",N266="Stable",AND(N266="H2 Active / No H1 GMV",W266&gt;=2)),OR(R266&gt;=Assumptions!$B$66,S266&gt;=Assumptions!$B$67))</f>
        <v>0</v>
      </c>
    </row>
    <row r="267" customFormat="false" ht="15" hidden="false" customHeight="false" outlineLevel="0" collapsed="false">
      <c r="A267" s="2" t="s">
        <v>872</v>
      </c>
      <c r="B267" s="2" t="s">
        <v>1574</v>
      </c>
      <c r="C267" s="2"/>
      <c r="D267" s="2" t="n">
        <v>6</v>
      </c>
      <c r="E267" s="2" t="n">
        <v>0</v>
      </c>
      <c r="F267" s="21" t="n">
        <f aca="false">INDEX('Scored Accounts'!$Q$2:$Q$301,MATCH($A267,'Scored Accounts'!$A$2:$A$301,0))</f>
        <v>0</v>
      </c>
      <c r="G267" s="2" t="str">
        <f aca="false">INDEX('Scored Accounts'!$R$2:$R$301,MATCH($A267,'Scored Accounts'!$A$2:$A$301,0))</f>
        <v>Low</v>
      </c>
      <c r="H267" s="2" t="str">
        <f aca="false">IF(OR(G267="High",G267="Medium"),"Broker-Reliant",IF(AND(G267="Low",B267="Account Managed"),"AM-Owned / Self-Serving",IF(AND(G267="Low",B267="Self Serve"),"Self-Serve","UNASSIGNED")))</f>
        <v>Self-Serve</v>
      </c>
      <c r="I267" s="9" t="n">
        <v>188</v>
      </c>
      <c r="J267" s="2" t="str">
        <f aca="false">IF(I267&gt;=Assumptions!$B$35,"Key",IF(I267&gt;=Assumptions!$B$34,"Core","Tail"))</f>
        <v>Tail</v>
      </c>
      <c r="K267" s="9" t="n">
        <f aca="false">INDEX('Commercial View'!$R$2:$R$301,MATCH($A267,'Commercial View'!$A$2:$A$301,0))</f>
        <v>188</v>
      </c>
      <c r="L267" s="9" t="n">
        <f aca="false">INDEX('Commercial View'!$S$2:$S$301,MATCH($A267,'Commercial View'!$A$2:$A$301,0))</f>
        <v>0</v>
      </c>
      <c r="M267" s="17" t="n">
        <f aca="false">INDEX('Commercial View'!$T$2:$T$301,MATCH($A267,'Commercial View'!$A$2:$A$301,0))</f>
        <v>-1</v>
      </c>
      <c r="N267" s="2" t="str">
        <f aca="false">INDEX('Commercial View'!$U$2:$U$301,MATCH($A267,'Commercial View'!$A$2:$A$301,0))</f>
        <v>Lapsed</v>
      </c>
      <c r="O267" s="2" t="n">
        <v>1</v>
      </c>
      <c r="P267" s="2" t="n">
        <v>0</v>
      </c>
      <c r="Q267" s="2" t="n">
        <v>1</v>
      </c>
      <c r="R267" s="2" t="n">
        <v>13</v>
      </c>
      <c r="S267" s="2" t="n">
        <v>2</v>
      </c>
      <c r="T267" s="2" t="str">
        <f aca="false">IF(H267="Broker-Reliant",IF(J267="Tail","5. Cost-to-Serve / Low-Touch",IF(OR(N267="Growing",N267="Stable"),"1. Migration Candidate",IF(N267="Declining","2. Protect / Retain First",IF(N267="Lapsed","3. Win-Back / Verify",IF(N267="H2 Active / No H1 GMV","4. Establish / Re-establish / Observe","UNASSIGNED"))))),IF(G267="Low",IF(J267="Tail","9. Long-Tail Automated Nurture",IF(OR(N267="Growing",N267="Stable"),"6. Growth Opportunity",IF(N267="H2 Active / No H1 GMV","7. Onboard / Re-engage / Learn",IF(OR(N267="Declining",N267="Lapsed"),"8. Retention / Reactivation","UNASSIGNED")))),"UNASSIGNED"))</f>
        <v>9. Long-Tail Automated Nurture</v>
      </c>
      <c r="U267" s="10" t="b">
        <f aca="false">AND(T267="1. Migration Candidate",J267="Core",O267&gt;=Assumptions!$B$39,Q267&gt;=Assumptions!$B$40,NOT(Z267))</f>
        <v>0</v>
      </c>
      <c r="V267" s="2" t="n">
        <f aca="false">(AND(H267="Broker-Reliant",J267&lt;&gt;"Tail",OR(N267="Growing",N267="Stable")))*1+(AND(H267="Broker-Reliant",J267&lt;&gt;"Tail",N267="Declining"))*1+(AND(H267="Broker-Reliant",J267&lt;&gt;"Tail",N267="Lapsed"))*1+(AND(H267="Broker-Reliant",J267&lt;&gt;"Tail",N267="H2 Active / No H1 GMV"))*1+(AND(H267="Broker-Reliant",J267="Tail"))*1+(AND(G267="Low",J267&lt;&gt;"Tail",OR(N267="Growing",N267="Stable")))*1+(AND(G267="Low",J267&lt;&gt;"Tail",N267="H2 Active / No H1 GMV"))*1+(AND(G267="Low",J267&lt;&gt;"Tail",OR(N267="Declining",N267="Lapsed")))*1+(AND(G267="Low",J267="Tail"))*1</f>
        <v>1</v>
      </c>
      <c r="W267" s="2" t="n">
        <f aca="false">INDEX('Commercial View'!$V$2:$V$301,MATCH($A267,'Commercial View'!$A$2:$A$301,0))</f>
        <v>1</v>
      </c>
      <c r="X267" s="10" t="b">
        <f aca="false">O267&lt;=Assumptions!$B$30</f>
        <v>1</v>
      </c>
      <c r="Y267" s="10" t="b">
        <f aca="false">W267&lt;=1</f>
        <v>1</v>
      </c>
      <c r="Z267" s="10" t="b">
        <f aca="false">C267="Duplicate"</f>
        <v>0</v>
      </c>
      <c r="AA267" s="10" t="b">
        <f aca="false">C267=""</f>
        <v>1</v>
      </c>
      <c r="AB267" s="2" t="n">
        <f aca="false">IF(P267+Q267&gt;0,ROUND(P267/(P267+Q267)*100,0),"")</f>
        <v>0</v>
      </c>
      <c r="AC267" s="2" t="n">
        <f aca="false">IF(P267+Q267&gt;0,ROUND(E267-P267/(P267+Q267)*100,0),"")</f>
        <v>0</v>
      </c>
      <c r="AD267" s="10" t="b">
        <f aca="false">IF(AC267="",FALSE(),ABS(AC267)&gt;Assumptions!$B$41)</f>
        <v>0</v>
      </c>
      <c r="AE267" s="2" t="str">
        <f aca="false">IF(X267,"Low confidence (&lt;=2 orders); ","")&amp;IF(Y267,"Single-month history; ","")&amp;IF(Z267,"CRITICAL: Duplicate status; ","")&amp;IF(AA267,"Missing status; ","")&amp;IF(AD267,"Broker % vs counts gap "&amp;TEXT(AC267,"+0;-0")&amp;"pts; ","")</f>
        <v>Low confidence (&lt;=2 orders); Single-month history; Missing status; </v>
      </c>
      <c r="AF267" s="2" t="str">
        <f aca="false">IF(AND(K267=0,L267&gt;0),IF(D267&lt;=Assumptions!$B$47,"New Customer","Returned Customer"),"Existing Customer")</f>
        <v>Existing Customer</v>
      </c>
      <c r="AG267" s="10" t="b">
        <f aca="false">AND(T267="1. Migration Candidate",J267="Key")</f>
        <v>0</v>
      </c>
      <c r="AH267" s="10" t="b">
        <f aca="false">IF(AND(K267&gt;0,L267&gt;0),OR(ABS(M267-Assumptions!$B$36)&lt;=Assumptions!$B$46,ABS(M267+Assumptions!$B$36)&lt;=Assumptions!$B$46),FALSE())</f>
        <v>0</v>
      </c>
      <c r="AI267" s="9" t="n">
        <f aca="false">INDEX('Commercial View'!$L$2:$L$301,MATCH($A267,'Commercial View'!$A$2:$A$301,0))+INDEX('Commercial View'!$M$2:$M$301,MATCH($A267,'Commercial View'!$A$2:$A$301,0))</f>
        <v>0</v>
      </c>
      <c r="AJ267" s="2" t="str">
        <f aca="false">IF(AND(K267=0,AI267=0),"No activity ex-Feb",IF(AI267=0,"Lapsed",IF(K267=0,"H2 Active / No H1 GMV",IF((AI267/2)/(K267/3)-1&gt;=Assumptions!$B$36,"Growing",IF((AI267/2)/(K267/3)-1&lt;-Assumptions!$B$36,"Declining","Stable")))))</f>
        <v>Lapsed</v>
      </c>
      <c r="AK267" s="10" t="b">
        <f aca="false">IF(OR(N267="Growing",N267="Stable"),"Healthy",N267)&lt;&gt;IF(OR(AJ267="Growing",AJ267="Stable"),"Healthy",AJ267)</f>
        <v>0</v>
      </c>
      <c r="AL267" s="2" t="str">
        <f aca="false">IF(N267="Lapsed",IF(OR(O267&lt;=Assumptions!$B$48,W267&lt;=Assumptions!$B$49),"One-Off / Insufficient History — Verify","Established Buyer Lapsed"),"N/A")</f>
        <v>One-Off / Insufficient History — Verify</v>
      </c>
      <c r="AM267" s="2" t="n">
        <f aca="false">INDEX('Scored Accounts'!$M$2:$M$301,MATCH($A267,'Scored Accounts'!$A$2:$A$301,0))</f>
        <v>0</v>
      </c>
      <c r="AN267" s="2" t="n">
        <f aca="false">IF((P267/(P267+Q267)*100)&lt;=Assumptions!$B$13,0,IF((P267/(P267+Q267)*100)&lt;Assumptions!$B$14,25,IF((P267/(P267+Q267)*100)&lt;Assumptions!$B$15,50,IF((P267/(P267+Q267)*100)&lt;Assumptions!$B$16,75,100))))</f>
        <v>0</v>
      </c>
      <c r="AO267" s="21" t="n">
        <f aca="false">IF((P267/(P267+Q267)*100)&lt;=Assumptions!$B$8,0,AN267*Assumptions!$B$4+INDEX('Scored Accounts'!$N$2:$N$301,MATCH($A267,'Scored Accounts'!$A$2:$A$301,0))*Assumptions!$B$5+INDEX('Scored Accounts'!$O$2:$O$301,MATCH($A267,'Scored Accounts'!$A$2:$A$301,0))*Assumptions!$B$6)</f>
        <v>0</v>
      </c>
      <c r="AP267" s="2" t="str">
        <f aca="false">IF(AO267&gt;=Assumptions!$B$9,"High",IF(AO267&gt;=Assumptions!$B$10,"Medium","Low"))</f>
        <v>Low</v>
      </c>
      <c r="AQ267" s="10" t="b">
        <f aca="false">OR((E267&lt;=Assumptions!$B$8)&lt;&gt;((P267/(P267+Q267)*100)&lt;=Assumptions!$B$8),AM267&lt;&gt;AN267,G267&lt;&gt;AP267)</f>
        <v>0</v>
      </c>
      <c r="AR267" s="2" t="str">
        <f aca="false">IF(AP267&lt;&gt;"Low","Broker-Reliant",IF(B267="Account Managed","AM-Owned / Self-Serving","Self-Serve"))</f>
        <v>Self-Serve</v>
      </c>
      <c r="AS267" s="2" t="str">
        <f aca="false">IF(AR267="Broker-Reliant",IF(J267="Tail","5. Cost-to-Serve / Low-Touch",IF(OR(N267="Growing",N267="Stable"),"1. Migration Candidate",IF(N267="Declining","2. Protect / Retain First",IF(N267="Lapsed","3. Win-Back / Verify",IF(N267="H2 Active / No H1 GMV","4. Establish / Re-establish / Observe","UNASSIGNED"))))),IF(AP267="Low",IF(J267="Tail","9. Long-Tail Automated Nurture",IF(OR(N267="Growing",N267="Stable"),"6. Growth Opportunity",IF(N267="H2 Active / No H1 GMV","7. Onboard / Re-engage / Learn",IF(OR(N267="Declining",N267="Lapsed"),"8. Retention / Reactivation","UNASSIGNED")))),"UNASSIGNED"))</f>
        <v>9. Long-Tail Automated Nurture</v>
      </c>
      <c r="AT267" s="10" t="b">
        <f aca="false">AS267&lt;&gt;T267</f>
        <v>0</v>
      </c>
      <c r="AU267" s="2" t="str">
        <f aca="false">IF(NOT(U267),"Not Eligible",IF(OR(AQ267,AH267,AK267,NOT(AND(W267&gt;=Assumptions!$B$83,O267&gt;=Assumptions!$B$84))),"Manual Review","Ready"))</f>
        <v>Not Eligible</v>
      </c>
      <c r="AV267" s="2" t="str">
        <f aca="false">IF(AG267,"Key account - human sign-off required; ","")&amp;IF(AH267,"Borderline momentum; ","")&amp;IF(AK267,"February-sensitive ("&amp;N267&amp;" -&gt; "&amp;AJ267&amp;"); ","")&amp;IF(AL267="One-Off / Insufficient History — Verify","Lapsed on thin history - verify; ","")&amp;IF(AQ267,"Material broker % inconsistency (implied tier "&amp;AP267&amp;"); ","")&amp;IF(AT267,"Implied broker % would move segment to "&amp;AS267&amp;"; ","")</f>
        <v>Lapsed on thin history - verify; </v>
      </c>
      <c r="AW267" s="10" t="b">
        <f aca="false">AND(G267="Low",J267="Tail",I267&gt;=Assumptions!$B$64,O267&gt;=Assumptions!$B$65,OR(N267="Growing",N267="Stable",AND(N267="H2 Active / No H1 GMV",W267&gt;=2)),OR(R267&gt;=Assumptions!$B$66,S267&gt;=Assumptions!$B$67))</f>
        <v>0</v>
      </c>
    </row>
    <row r="268" customFormat="false" ht="15" hidden="false" customHeight="false" outlineLevel="0" collapsed="false">
      <c r="A268" s="2" t="s">
        <v>876</v>
      </c>
      <c r="B268" s="2" t="s">
        <v>1574</v>
      </c>
      <c r="C268" s="2"/>
      <c r="D268" s="2" t="n">
        <v>4</v>
      </c>
      <c r="E268" s="2" t="n">
        <v>0</v>
      </c>
      <c r="F268" s="21" t="n">
        <f aca="false">INDEX('Scored Accounts'!$Q$2:$Q$301,MATCH($A268,'Scored Accounts'!$A$2:$A$301,0))</f>
        <v>0</v>
      </c>
      <c r="G268" s="2" t="str">
        <f aca="false">INDEX('Scored Accounts'!$R$2:$R$301,MATCH($A268,'Scored Accounts'!$A$2:$A$301,0))</f>
        <v>Low</v>
      </c>
      <c r="H268" s="2" t="str">
        <f aca="false">IF(OR(G268="High",G268="Medium"),"Broker-Reliant",IF(AND(G268="Low",B268="Account Managed"),"AM-Owned / Self-Serving",IF(AND(G268="Low",B268="Self Serve"),"Self-Serve","UNASSIGNED")))</f>
        <v>Self-Serve</v>
      </c>
      <c r="I268" s="9" t="n">
        <v>186</v>
      </c>
      <c r="J268" s="2" t="str">
        <f aca="false">IF(I268&gt;=Assumptions!$B$35,"Key",IF(I268&gt;=Assumptions!$B$34,"Core","Tail"))</f>
        <v>Tail</v>
      </c>
      <c r="K268" s="9" t="n">
        <f aca="false">INDEX('Commercial View'!$R$2:$R$301,MATCH($A268,'Commercial View'!$A$2:$A$301,0))</f>
        <v>186</v>
      </c>
      <c r="L268" s="9" t="n">
        <f aca="false">INDEX('Commercial View'!$S$2:$S$301,MATCH($A268,'Commercial View'!$A$2:$A$301,0))</f>
        <v>0</v>
      </c>
      <c r="M268" s="17" t="n">
        <f aca="false">INDEX('Commercial View'!$T$2:$T$301,MATCH($A268,'Commercial View'!$A$2:$A$301,0))</f>
        <v>-1</v>
      </c>
      <c r="N268" s="2" t="str">
        <f aca="false">INDEX('Commercial View'!$U$2:$U$301,MATCH($A268,'Commercial View'!$A$2:$A$301,0))</f>
        <v>Lapsed</v>
      </c>
      <c r="O268" s="2" t="n">
        <v>2</v>
      </c>
      <c r="P268" s="2" t="n">
        <v>0</v>
      </c>
      <c r="Q268" s="2" t="n">
        <v>2</v>
      </c>
      <c r="R268" s="2" t="n">
        <v>57</v>
      </c>
      <c r="S268" s="2" t="n">
        <v>9</v>
      </c>
      <c r="T268" s="2" t="str">
        <f aca="false">IF(H268="Broker-Reliant",IF(J268="Tail","5. Cost-to-Serve / Low-Touch",IF(OR(N268="Growing",N268="Stable"),"1. Migration Candidate",IF(N268="Declining","2. Protect / Retain First",IF(N268="Lapsed","3. Win-Back / Verify",IF(N268="H2 Active / No H1 GMV","4. Establish / Re-establish / Observe","UNASSIGNED"))))),IF(G268="Low",IF(J268="Tail","9. Long-Tail Automated Nurture",IF(OR(N268="Growing",N268="Stable"),"6. Growth Opportunity",IF(N268="H2 Active / No H1 GMV","7. Onboard / Re-engage / Learn",IF(OR(N268="Declining",N268="Lapsed"),"8. Retention / Reactivation","UNASSIGNED")))),"UNASSIGNED"))</f>
        <v>9. Long-Tail Automated Nurture</v>
      </c>
      <c r="U268" s="10" t="b">
        <f aca="false">AND(T268="1. Migration Candidate",J268="Core",O268&gt;=Assumptions!$B$39,Q268&gt;=Assumptions!$B$40,NOT(Z268))</f>
        <v>0</v>
      </c>
      <c r="V268" s="2" t="n">
        <f aca="false">(AND(H268="Broker-Reliant",J268&lt;&gt;"Tail",OR(N268="Growing",N268="Stable")))*1+(AND(H268="Broker-Reliant",J268&lt;&gt;"Tail",N268="Declining"))*1+(AND(H268="Broker-Reliant",J268&lt;&gt;"Tail",N268="Lapsed"))*1+(AND(H268="Broker-Reliant",J268&lt;&gt;"Tail",N268="H2 Active / No H1 GMV"))*1+(AND(H268="Broker-Reliant",J268="Tail"))*1+(AND(G268="Low",J268&lt;&gt;"Tail",OR(N268="Growing",N268="Stable")))*1+(AND(G268="Low",J268&lt;&gt;"Tail",N268="H2 Active / No H1 GMV"))*1+(AND(G268="Low",J268&lt;&gt;"Tail",OR(N268="Declining",N268="Lapsed")))*1+(AND(G268="Low",J268="Tail"))*1</f>
        <v>1</v>
      </c>
      <c r="W268" s="2" t="n">
        <f aca="false">INDEX('Commercial View'!$V$2:$V$301,MATCH($A268,'Commercial View'!$A$2:$A$301,0))</f>
        <v>1</v>
      </c>
      <c r="X268" s="10" t="b">
        <f aca="false">O268&lt;=Assumptions!$B$30</f>
        <v>1</v>
      </c>
      <c r="Y268" s="10" t="b">
        <f aca="false">W268&lt;=1</f>
        <v>1</v>
      </c>
      <c r="Z268" s="10" t="b">
        <f aca="false">C268="Duplicate"</f>
        <v>0</v>
      </c>
      <c r="AA268" s="10" t="b">
        <f aca="false">C268=""</f>
        <v>1</v>
      </c>
      <c r="AB268" s="2" t="n">
        <f aca="false">IF(P268+Q268&gt;0,ROUND(P268/(P268+Q268)*100,0),"")</f>
        <v>0</v>
      </c>
      <c r="AC268" s="2" t="n">
        <f aca="false">IF(P268+Q268&gt;0,ROUND(E268-P268/(P268+Q268)*100,0),"")</f>
        <v>0</v>
      </c>
      <c r="AD268" s="10" t="b">
        <f aca="false">IF(AC268="",FALSE(),ABS(AC268)&gt;Assumptions!$B$41)</f>
        <v>0</v>
      </c>
      <c r="AE268" s="2" t="str">
        <f aca="false">IF(X268,"Low confidence (&lt;=2 orders); ","")&amp;IF(Y268,"Single-month history; ","")&amp;IF(Z268,"CRITICAL: Duplicate status; ","")&amp;IF(AA268,"Missing status; ","")&amp;IF(AD268,"Broker % vs counts gap "&amp;TEXT(AC268,"+0;-0")&amp;"pts; ","")</f>
        <v>Low confidence (&lt;=2 orders); Single-month history; Missing status; </v>
      </c>
      <c r="AF268" s="2" t="str">
        <f aca="false">IF(AND(K268=0,L268&gt;0),IF(D268&lt;=Assumptions!$B$47,"New Customer","Returned Customer"),"Existing Customer")</f>
        <v>Existing Customer</v>
      </c>
      <c r="AG268" s="10" t="b">
        <f aca="false">AND(T268="1. Migration Candidate",J268="Key")</f>
        <v>0</v>
      </c>
      <c r="AH268" s="10" t="b">
        <f aca="false">IF(AND(K268&gt;0,L268&gt;0),OR(ABS(M268-Assumptions!$B$36)&lt;=Assumptions!$B$46,ABS(M268+Assumptions!$B$36)&lt;=Assumptions!$B$46),FALSE())</f>
        <v>0</v>
      </c>
      <c r="AI268" s="9" t="n">
        <f aca="false">INDEX('Commercial View'!$L$2:$L$301,MATCH($A268,'Commercial View'!$A$2:$A$301,0))+INDEX('Commercial View'!$M$2:$M$301,MATCH($A268,'Commercial View'!$A$2:$A$301,0))</f>
        <v>0</v>
      </c>
      <c r="AJ268" s="2" t="str">
        <f aca="false">IF(AND(K268=0,AI268=0),"No activity ex-Feb",IF(AI268=0,"Lapsed",IF(K268=0,"H2 Active / No H1 GMV",IF((AI268/2)/(K268/3)-1&gt;=Assumptions!$B$36,"Growing",IF((AI268/2)/(K268/3)-1&lt;-Assumptions!$B$36,"Declining","Stable")))))</f>
        <v>Lapsed</v>
      </c>
      <c r="AK268" s="10" t="b">
        <f aca="false">IF(OR(N268="Growing",N268="Stable"),"Healthy",N268)&lt;&gt;IF(OR(AJ268="Growing",AJ268="Stable"),"Healthy",AJ268)</f>
        <v>0</v>
      </c>
      <c r="AL268" s="2" t="str">
        <f aca="false">IF(N268="Lapsed",IF(OR(O268&lt;=Assumptions!$B$48,W268&lt;=Assumptions!$B$49),"One-Off / Insufficient History — Verify","Established Buyer Lapsed"),"N/A")</f>
        <v>One-Off / Insufficient History — Verify</v>
      </c>
      <c r="AM268" s="2" t="n">
        <f aca="false">INDEX('Scored Accounts'!$M$2:$M$301,MATCH($A268,'Scored Accounts'!$A$2:$A$301,0))</f>
        <v>0</v>
      </c>
      <c r="AN268" s="2" t="n">
        <f aca="false">IF((P268/(P268+Q268)*100)&lt;=Assumptions!$B$13,0,IF((P268/(P268+Q268)*100)&lt;Assumptions!$B$14,25,IF((P268/(P268+Q268)*100)&lt;Assumptions!$B$15,50,IF((P268/(P268+Q268)*100)&lt;Assumptions!$B$16,75,100))))</f>
        <v>0</v>
      </c>
      <c r="AO268" s="21" t="n">
        <f aca="false">IF((P268/(P268+Q268)*100)&lt;=Assumptions!$B$8,0,AN268*Assumptions!$B$4+INDEX('Scored Accounts'!$N$2:$N$301,MATCH($A268,'Scored Accounts'!$A$2:$A$301,0))*Assumptions!$B$5+INDEX('Scored Accounts'!$O$2:$O$301,MATCH($A268,'Scored Accounts'!$A$2:$A$301,0))*Assumptions!$B$6)</f>
        <v>0</v>
      </c>
      <c r="AP268" s="2" t="str">
        <f aca="false">IF(AO268&gt;=Assumptions!$B$9,"High",IF(AO268&gt;=Assumptions!$B$10,"Medium","Low"))</f>
        <v>Low</v>
      </c>
      <c r="AQ268" s="10" t="b">
        <f aca="false">OR((E268&lt;=Assumptions!$B$8)&lt;&gt;((P268/(P268+Q268)*100)&lt;=Assumptions!$B$8),AM268&lt;&gt;AN268,G268&lt;&gt;AP268)</f>
        <v>0</v>
      </c>
      <c r="AR268" s="2" t="str">
        <f aca="false">IF(AP268&lt;&gt;"Low","Broker-Reliant",IF(B268="Account Managed","AM-Owned / Self-Serving","Self-Serve"))</f>
        <v>Self-Serve</v>
      </c>
      <c r="AS268" s="2" t="str">
        <f aca="false">IF(AR268="Broker-Reliant",IF(J268="Tail","5. Cost-to-Serve / Low-Touch",IF(OR(N268="Growing",N268="Stable"),"1. Migration Candidate",IF(N268="Declining","2. Protect / Retain First",IF(N268="Lapsed","3. Win-Back / Verify",IF(N268="H2 Active / No H1 GMV","4. Establish / Re-establish / Observe","UNASSIGNED"))))),IF(AP268="Low",IF(J268="Tail","9. Long-Tail Automated Nurture",IF(OR(N268="Growing",N268="Stable"),"6. Growth Opportunity",IF(N268="H2 Active / No H1 GMV","7. Onboard / Re-engage / Learn",IF(OR(N268="Declining",N268="Lapsed"),"8. Retention / Reactivation","UNASSIGNED")))),"UNASSIGNED"))</f>
        <v>9. Long-Tail Automated Nurture</v>
      </c>
      <c r="AT268" s="10" t="b">
        <f aca="false">AS268&lt;&gt;T268</f>
        <v>0</v>
      </c>
      <c r="AU268" s="2" t="str">
        <f aca="false">IF(NOT(U268),"Not Eligible",IF(OR(AQ268,AH268,AK268,NOT(AND(W268&gt;=Assumptions!$B$83,O268&gt;=Assumptions!$B$84))),"Manual Review","Ready"))</f>
        <v>Not Eligible</v>
      </c>
      <c r="AV268" s="2" t="str">
        <f aca="false">IF(AG268,"Key account - human sign-off required; ","")&amp;IF(AH268,"Borderline momentum; ","")&amp;IF(AK268,"February-sensitive ("&amp;N268&amp;" -&gt; "&amp;AJ268&amp;"); ","")&amp;IF(AL268="One-Off / Insufficient History — Verify","Lapsed on thin history - verify; ","")&amp;IF(AQ268,"Material broker % inconsistency (implied tier "&amp;AP268&amp;"); ","")&amp;IF(AT268,"Implied broker % would move segment to "&amp;AS268&amp;"; ","")</f>
        <v>Lapsed on thin history - verify; </v>
      </c>
      <c r="AW268" s="10" t="b">
        <f aca="false">AND(G268="Low",J268="Tail",I268&gt;=Assumptions!$B$64,O268&gt;=Assumptions!$B$65,OR(N268="Growing",N268="Stable",AND(N268="H2 Active / No H1 GMV",W268&gt;=2)),OR(R268&gt;=Assumptions!$B$66,S268&gt;=Assumptions!$B$67))</f>
        <v>0</v>
      </c>
    </row>
    <row r="269" customFormat="false" ht="15" hidden="false" customHeight="false" outlineLevel="0" collapsed="false">
      <c r="A269" s="2" t="s">
        <v>880</v>
      </c>
      <c r="B269" s="2" t="s">
        <v>1574</v>
      </c>
      <c r="C269" s="2"/>
      <c r="D269" s="2" t="n">
        <v>2</v>
      </c>
      <c r="E269" s="2" t="n">
        <v>0</v>
      </c>
      <c r="F269" s="21" t="n">
        <f aca="false">INDEX('Scored Accounts'!$Q$2:$Q$301,MATCH($A269,'Scored Accounts'!$A$2:$A$301,0))</f>
        <v>0</v>
      </c>
      <c r="G269" s="2" t="str">
        <f aca="false">INDEX('Scored Accounts'!$R$2:$R$301,MATCH($A269,'Scored Accounts'!$A$2:$A$301,0))</f>
        <v>Low</v>
      </c>
      <c r="H269" s="2" t="str">
        <f aca="false">IF(OR(G269="High",G269="Medium"),"Broker-Reliant",IF(AND(G269="Low",B269="Account Managed"),"AM-Owned / Self-Serving",IF(AND(G269="Low",B269="Self Serve"),"Self-Serve","UNASSIGNED")))</f>
        <v>Self-Serve</v>
      </c>
      <c r="I269" s="9" t="n">
        <v>182</v>
      </c>
      <c r="J269" s="2" t="str">
        <f aca="false">IF(I269&gt;=Assumptions!$B$35,"Key",IF(I269&gt;=Assumptions!$B$34,"Core","Tail"))</f>
        <v>Tail</v>
      </c>
      <c r="K269" s="9" t="n">
        <f aca="false">INDEX('Commercial View'!$R$2:$R$301,MATCH($A269,'Commercial View'!$A$2:$A$301,0))</f>
        <v>0</v>
      </c>
      <c r="L269" s="9" t="n">
        <f aca="false">INDEX('Commercial View'!$S$2:$S$301,MATCH($A269,'Commercial View'!$A$2:$A$301,0))</f>
        <v>182</v>
      </c>
      <c r="M269" s="17" t="str">
        <f aca="false">INDEX('Commercial View'!$T$2:$T$301,MATCH($A269,'Commercial View'!$A$2:$A$301,0))</f>
        <v/>
      </c>
      <c r="N269" s="2" t="str">
        <f aca="false">INDEX('Commercial View'!$U$2:$U$301,MATCH($A269,'Commercial View'!$A$2:$A$301,0))</f>
        <v>H2 Active / No H1 GMV</v>
      </c>
      <c r="O269" s="2" t="n">
        <v>2</v>
      </c>
      <c r="P269" s="2" t="n">
        <v>0</v>
      </c>
      <c r="Q269" s="2" t="n">
        <v>2</v>
      </c>
      <c r="R269" s="2" t="n">
        <v>10</v>
      </c>
      <c r="S269" s="2" t="n">
        <v>6</v>
      </c>
      <c r="T269" s="2" t="str">
        <f aca="false">IF(H269="Broker-Reliant",IF(J269="Tail","5. Cost-to-Serve / Low-Touch",IF(OR(N269="Growing",N269="Stable"),"1. Migration Candidate",IF(N269="Declining","2. Protect / Retain First",IF(N269="Lapsed","3. Win-Back / Verify",IF(N269="H2 Active / No H1 GMV","4. Establish / Re-establish / Observe","UNASSIGNED"))))),IF(G269="Low",IF(J269="Tail","9. Long-Tail Automated Nurture",IF(OR(N269="Growing",N269="Stable"),"6. Growth Opportunity",IF(N269="H2 Active / No H1 GMV","7. Onboard / Re-engage / Learn",IF(OR(N269="Declining",N269="Lapsed"),"8. Retention / Reactivation","UNASSIGNED")))),"UNASSIGNED"))</f>
        <v>9. Long-Tail Automated Nurture</v>
      </c>
      <c r="U269" s="10" t="b">
        <f aca="false">AND(T269="1. Migration Candidate",J269="Core",O269&gt;=Assumptions!$B$39,Q269&gt;=Assumptions!$B$40,NOT(Z269))</f>
        <v>0</v>
      </c>
      <c r="V269" s="2" t="n">
        <f aca="false">(AND(H269="Broker-Reliant",J269&lt;&gt;"Tail",OR(N269="Growing",N269="Stable")))*1+(AND(H269="Broker-Reliant",J269&lt;&gt;"Tail",N269="Declining"))*1+(AND(H269="Broker-Reliant",J269&lt;&gt;"Tail",N269="Lapsed"))*1+(AND(H269="Broker-Reliant",J269&lt;&gt;"Tail",N269="H2 Active / No H1 GMV"))*1+(AND(H269="Broker-Reliant",J269="Tail"))*1+(AND(G269="Low",J269&lt;&gt;"Tail",OR(N269="Growing",N269="Stable")))*1+(AND(G269="Low",J269&lt;&gt;"Tail",N269="H2 Active / No H1 GMV"))*1+(AND(G269="Low",J269&lt;&gt;"Tail",OR(N269="Declining",N269="Lapsed")))*1+(AND(G269="Low",J269="Tail"))*1</f>
        <v>1</v>
      </c>
      <c r="W269" s="2" t="n">
        <f aca="false">INDEX('Commercial View'!$V$2:$V$301,MATCH($A269,'Commercial View'!$A$2:$A$301,0))</f>
        <v>1</v>
      </c>
      <c r="X269" s="10" t="b">
        <f aca="false">O269&lt;=Assumptions!$B$30</f>
        <v>1</v>
      </c>
      <c r="Y269" s="10" t="b">
        <f aca="false">W269&lt;=1</f>
        <v>1</v>
      </c>
      <c r="Z269" s="10" t="b">
        <f aca="false">C269="Duplicate"</f>
        <v>0</v>
      </c>
      <c r="AA269" s="10" t="b">
        <f aca="false">C269=""</f>
        <v>1</v>
      </c>
      <c r="AB269" s="2" t="n">
        <f aca="false">IF(P269+Q269&gt;0,ROUND(P269/(P269+Q269)*100,0),"")</f>
        <v>0</v>
      </c>
      <c r="AC269" s="2" t="n">
        <f aca="false">IF(P269+Q269&gt;0,ROUND(E269-P269/(P269+Q269)*100,0),"")</f>
        <v>0</v>
      </c>
      <c r="AD269" s="10" t="b">
        <f aca="false">IF(AC269="",FALSE(),ABS(AC269)&gt;Assumptions!$B$41)</f>
        <v>0</v>
      </c>
      <c r="AE269" s="2" t="str">
        <f aca="false">IF(X269,"Low confidence (&lt;=2 orders); ","")&amp;IF(Y269,"Single-month history; ","")&amp;IF(Z269,"CRITICAL: Duplicate status; ","")&amp;IF(AA269,"Missing status; ","")&amp;IF(AD269,"Broker % vs counts gap "&amp;TEXT(AC269,"+0;-0")&amp;"pts; ","")</f>
        <v>Low confidence (&lt;=2 orders); Single-month history; Missing status; </v>
      </c>
      <c r="AF269" s="2" t="str">
        <f aca="false">IF(AND(K269=0,L269&gt;0),IF(D269&lt;=Assumptions!$B$47,"New Customer","Returned Customer"),"Existing Customer")</f>
        <v>New Customer</v>
      </c>
      <c r="AG269" s="10" t="b">
        <f aca="false">AND(T269="1. Migration Candidate",J269="Key")</f>
        <v>0</v>
      </c>
      <c r="AH269" s="10" t="b">
        <f aca="false">IF(AND(K269&gt;0,L269&gt;0),OR(ABS(M269-Assumptions!$B$36)&lt;=Assumptions!$B$46,ABS(M269+Assumptions!$B$36)&lt;=Assumptions!$B$46),FALSE())</f>
        <v>0</v>
      </c>
      <c r="AI269" s="9" t="n">
        <f aca="false">INDEX('Commercial View'!$L$2:$L$301,MATCH($A269,'Commercial View'!$A$2:$A$301,0))+INDEX('Commercial View'!$M$2:$M$301,MATCH($A269,'Commercial View'!$A$2:$A$301,0))</f>
        <v>182</v>
      </c>
      <c r="AJ269" s="2" t="str">
        <f aca="false">IF(AND(K269=0,AI269=0),"No activity ex-Feb",IF(AI269=0,"Lapsed",IF(K269=0,"H2 Active / No H1 GMV",IF((AI269/2)/(K269/3)-1&gt;=Assumptions!$B$36,"Growing",IF((AI269/2)/(K269/3)-1&lt;-Assumptions!$B$36,"Declining","Stable")))))</f>
        <v>H2 Active / No H1 GMV</v>
      </c>
      <c r="AK269" s="10" t="b">
        <f aca="false">IF(OR(N269="Growing",N269="Stable"),"Healthy",N269)&lt;&gt;IF(OR(AJ269="Growing",AJ269="Stable"),"Healthy",AJ269)</f>
        <v>0</v>
      </c>
      <c r="AL269" s="2" t="str">
        <f aca="false">IF(N269="Lapsed",IF(OR(O269&lt;=Assumptions!$B$48,W269&lt;=Assumptions!$B$49),"One-Off / Insufficient History — Verify","Established Buyer Lapsed"),"N/A")</f>
        <v>N/A</v>
      </c>
      <c r="AM269" s="2" t="n">
        <f aca="false">INDEX('Scored Accounts'!$M$2:$M$301,MATCH($A269,'Scored Accounts'!$A$2:$A$301,0))</f>
        <v>0</v>
      </c>
      <c r="AN269" s="2" t="n">
        <f aca="false">IF((P269/(P269+Q269)*100)&lt;=Assumptions!$B$13,0,IF((P269/(P269+Q269)*100)&lt;Assumptions!$B$14,25,IF((P269/(P269+Q269)*100)&lt;Assumptions!$B$15,50,IF((P269/(P269+Q269)*100)&lt;Assumptions!$B$16,75,100))))</f>
        <v>0</v>
      </c>
      <c r="AO269" s="21" t="n">
        <f aca="false">IF((P269/(P269+Q269)*100)&lt;=Assumptions!$B$8,0,AN269*Assumptions!$B$4+INDEX('Scored Accounts'!$N$2:$N$301,MATCH($A269,'Scored Accounts'!$A$2:$A$301,0))*Assumptions!$B$5+INDEX('Scored Accounts'!$O$2:$O$301,MATCH($A269,'Scored Accounts'!$A$2:$A$301,0))*Assumptions!$B$6)</f>
        <v>0</v>
      </c>
      <c r="AP269" s="2" t="str">
        <f aca="false">IF(AO269&gt;=Assumptions!$B$9,"High",IF(AO269&gt;=Assumptions!$B$10,"Medium","Low"))</f>
        <v>Low</v>
      </c>
      <c r="AQ269" s="10" t="b">
        <f aca="false">OR((E269&lt;=Assumptions!$B$8)&lt;&gt;((P269/(P269+Q269)*100)&lt;=Assumptions!$B$8),AM269&lt;&gt;AN269,G269&lt;&gt;AP269)</f>
        <v>0</v>
      </c>
      <c r="AR269" s="2" t="str">
        <f aca="false">IF(AP269&lt;&gt;"Low","Broker-Reliant",IF(B269="Account Managed","AM-Owned / Self-Serving","Self-Serve"))</f>
        <v>Self-Serve</v>
      </c>
      <c r="AS269" s="2" t="str">
        <f aca="false">IF(AR269="Broker-Reliant",IF(J269="Tail","5. Cost-to-Serve / Low-Touch",IF(OR(N269="Growing",N269="Stable"),"1. Migration Candidate",IF(N269="Declining","2. Protect / Retain First",IF(N269="Lapsed","3. Win-Back / Verify",IF(N269="H2 Active / No H1 GMV","4. Establish / Re-establish / Observe","UNASSIGNED"))))),IF(AP269="Low",IF(J269="Tail","9. Long-Tail Automated Nurture",IF(OR(N269="Growing",N269="Stable"),"6. Growth Opportunity",IF(N269="H2 Active / No H1 GMV","7. Onboard / Re-engage / Learn",IF(OR(N269="Declining",N269="Lapsed"),"8. Retention / Reactivation","UNASSIGNED")))),"UNASSIGNED"))</f>
        <v>9. Long-Tail Automated Nurture</v>
      </c>
      <c r="AT269" s="10" t="b">
        <f aca="false">AS269&lt;&gt;T269</f>
        <v>0</v>
      </c>
      <c r="AU269" s="2" t="str">
        <f aca="false">IF(NOT(U269),"Not Eligible",IF(OR(AQ269,AH269,AK269,NOT(AND(W269&gt;=Assumptions!$B$83,O269&gt;=Assumptions!$B$84))),"Manual Review","Ready"))</f>
        <v>Not Eligible</v>
      </c>
      <c r="AV269" s="2" t="str">
        <f aca="false">IF(AG269,"Key account - human sign-off required; ","")&amp;IF(AH269,"Borderline momentum; ","")&amp;IF(AK269,"February-sensitive ("&amp;N269&amp;" -&gt; "&amp;AJ269&amp;"); ","")&amp;IF(AL269="One-Off / Insufficient History — Verify","Lapsed on thin history - verify; ","")&amp;IF(AQ269,"Material broker % inconsistency (implied tier "&amp;AP269&amp;"); ","")&amp;IF(AT269,"Implied broker % would move segment to "&amp;AS269&amp;"; ","")</f>
        <v/>
      </c>
      <c r="AW269" s="10" t="b">
        <f aca="false">AND(G269="Low",J269="Tail",I269&gt;=Assumptions!$B$64,O269&gt;=Assumptions!$B$65,OR(N269="Growing",N269="Stable",AND(N269="H2 Active / No H1 GMV",W269&gt;=2)),OR(R269&gt;=Assumptions!$B$66,S269&gt;=Assumptions!$B$67))</f>
        <v>0</v>
      </c>
    </row>
    <row r="270" customFormat="false" ht="15" hidden="false" customHeight="false" outlineLevel="0" collapsed="false">
      <c r="A270" s="2" t="s">
        <v>882</v>
      </c>
      <c r="B270" s="2" t="s">
        <v>1574</v>
      </c>
      <c r="C270" s="2"/>
      <c r="D270" s="2" t="n">
        <v>2</v>
      </c>
      <c r="E270" s="2" t="n">
        <v>0</v>
      </c>
      <c r="F270" s="21" t="n">
        <f aca="false">INDEX('Scored Accounts'!$Q$2:$Q$301,MATCH($A270,'Scored Accounts'!$A$2:$A$301,0))</f>
        <v>0</v>
      </c>
      <c r="G270" s="2" t="str">
        <f aca="false">INDEX('Scored Accounts'!$R$2:$R$301,MATCH($A270,'Scored Accounts'!$A$2:$A$301,0))</f>
        <v>Low</v>
      </c>
      <c r="H270" s="2" t="str">
        <f aca="false">IF(OR(G270="High",G270="Medium"),"Broker-Reliant",IF(AND(G270="Low",B270="Account Managed"),"AM-Owned / Self-Serving",IF(AND(G270="Low",B270="Self Serve"),"Self-Serve","UNASSIGNED")))</f>
        <v>Self-Serve</v>
      </c>
      <c r="I270" s="9" t="n">
        <v>181</v>
      </c>
      <c r="J270" s="2" t="str">
        <f aca="false">IF(I270&gt;=Assumptions!$B$35,"Key",IF(I270&gt;=Assumptions!$B$34,"Core","Tail"))</f>
        <v>Tail</v>
      </c>
      <c r="K270" s="9" t="n">
        <f aca="false">INDEX('Commercial View'!$R$2:$R$301,MATCH($A270,'Commercial View'!$A$2:$A$301,0))</f>
        <v>0</v>
      </c>
      <c r="L270" s="9" t="n">
        <f aca="false">INDEX('Commercial View'!$S$2:$S$301,MATCH($A270,'Commercial View'!$A$2:$A$301,0))</f>
        <v>181</v>
      </c>
      <c r="M270" s="17" t="str">
        <f aca="false">INDEX('Commercial View'!$T$2:$T$301,MATCH($A270,'Commercial View'!$A$2:$A$301,0))</f>
        <v/>
      </c>
      <c r="N270" s="2" t="str">
        <f aca="false">INDEX('Commercial View'!$U$2:$U$301,MATCH($A270,'Commercial View'!$A$2:$A$301,0))</f>
        <v>H2 Active / No H1 GMV</v>
      </c>
      <c r="O270" s="2" t="n">
        <v>1</v>
      </c>
      <c r="P270" s="2" t="n">
        <v>0</v>
      </c>
      <c r="Q270" s="2" t="n">
        <v>1</v>
      </c>
      <c r="R270" s="2" t="n">
        <v>4</v>
      </c>
      <c r="S270" s="2" t="n">
        <v>1</v>
      </c>
      <c r="T270" s="2" t="str">
        <f aca="false">IF(H270="Broker-Reliant",IF(J270="Tail","5. Cost-to-Serve / Low-Touch",IF(OR(N270="Growing",N270="Stable"),"1. Migration Candidate",IF(N270="Declining","2. Protect / Retain First",IF(N270="Lapsed","3. Win-Back / Verify",IF(N270="H2 Active / No H1 GMV","4. Establish / Re-establish / Observe","UNASSIGNED"))))),IF(G270="Low",IF(J270="Tail","9. Long-Tail Automated Nurture",IF(OR(N270="Growing",N270="Stable"),"6. Growth Opportunity",IF(N270="H2 Active / No H1 GMV","7. Onboard / Re-engage / Learn",IF(OR(N270="Declining",N270="Lapsed"),"8. Retention / Reactivation","UNASSIGNED")))),"UNASSIGNED"))</f>
        <v>9. Long-Tail Automated Nurture</v>
      </c>
      <c r="U270" s="10" t="b">
        <f aca="false">AND(T270="1. Migration Candidate",J270="Core",O270&gt;=Assumptions!$B$39,Q270&gt;=Assumptions!$B$40,NOT(Z270))</f>
        <v>0</v>
      </c>
      <c r="V270" s="2" t="n">
        <f aca="false">(AND(H270="Broker-Reliant",J270&lt;&gt;"Tail",OR(N270="Growing",N270="Stable")))*1+(AND(H270="Broker-Reliant",J270&lt;&gt;"Tail",N270="Declining"))*1+(AND(H270="Broker-Reliant",J270&lt;&gt;"Tail",N270="Lapsed"))*1+(AND(H270="Broker-Reliant",J270&lt;&gt;"Tail",N270="H2 Active / No H1 GMV"))*1+(AND(H270="Broker-Reliant",J270="Tail"))*1+(AND(G270="Low",J270&lt;&gt;"Tail",OR(N270="Growing",N270="Stable")))*1+(AND(G270="Low",J270&lt;&gt;"Tail",N270="H2 Active / No H1 GMV"))*1+(AND(G270="Low",J270&lt;&gt;"Tail",OR(N270="Declining",N270="Lapsed")))*1+(AND(G270="Low",J270="Tail"))*1</f>
        <v>1</v>
      </c>
      <c r="W270" s="2" t="n">
        <f aca="false">INDEX('Commercial View'!$V$2:$V$301,MATCH($A270,'Commercial View'!$A$2:$A$301,0))</f>
        <v>1</v>
      </c>
      <c r="X270" s="10" t="b">
        <f aca="false">O270&lt;=Assumptions!$B$30</f>
        <v>1</v>
      </c>
      <c r="Y270" s="10" t="b">
        <f aca="false">W270&lt;=1</f>
        <v>1</v>
      </c>
      <c r="Z270" s="10" t="b">
        <f aca="false">C270="Duplicate"</f>
        <v>0</v>
      </c>
      <c r="AA270" s="10" t="b">
        <f aca="false">C270=""</f>
        <v>1</v>
      </c>
      <c r="AB270" s="2" t="n">
        <f aca="false">IF(P270+Q270&gt;0,ROUND(P270/(P270+Q270)*100,0),"")</f>
        <v>0</v>
      </c>
      <c r="AC270" s="2" t="n">
        <f aca="false">IF(P270+Q270&gt;0,ROUND(E270-P270/(P270+Q270)*100,0),"")</f>
        <v>0</v>
      </c>
      <c r="AD270" s="10" t="b">
        <f aca="false">IF(AC270="",FALSE(),ABS(AC270)&gt;Assumptions!$B$41)</f>
        <v>0</v>
      </c>
      <c r="AE270" s="2" t="str">
        <f aca="false">IF(X270,"Low confidence (&lt;=2 orders); ","")&amp;IF(Y270,"Single-month history; ","")&amp;IF(Z270,"CRITICAL: Duplicate status; ","")&amp;IF(AA270,"Missing status; ","")&amp;IF(AD270,"Broker % vs counts gap "&amp;TEXT(AC270,"+0;-0")&amp;"pts; ","")</f>
        <v>Low confidence (&lt;=2 orders); Single-month history; Missing status; </v>
      </c>
      <c r="AF270" s="2" t="str">
        <f aca="false">IF(AND(K270=0,L270&gt;0),IF(D270&lt;=Assumptions!$B$47,"New Customer","Returned Customer"),"Existing Customer")</f>
        <v>New Customer</v>
      </c>
      <c r="AG270" s="10" t="b">
        <f aca="false">AND(T270="1. Migration Candidate",J270="Key")</f>
        <v>0</v>
      </c>
      <c r="AH270" s="10" t="b">
        <f aca="false">IF(AND(K270&gt;0,L270&gt;0),OR(ABS(M270-Assumptions!$B$36)&lt;=Assumptions!$B$46,ABS(M270+Assumptions!$B$36)&lt;=Assumptions!$B$46),FALSE())</f>
        <v>0</v>
      </c>
      <c r="AI270" s="9" t="n">
        <f aca="false">INDEX('Commercial View'!$L$2:$L$301,MATCH($A270,'Commercial View'!$A$2:$A$301,0))+INDEX('Commercial View'!$M$2:$M$301,MATCH($A270,'Commercial View'!$A$2:$A$301,0))</f>
        <v>181</v>
      </c>
      <c r="AJ270" s="2" t="str">
        <f aca="false">IF(AND(K270=0,AI270=0),"No activity ex-Feb",IF(AI270=0,"Lapsed",IF(K270=0,"H2 Active / No H1 GMV",IF((AI270/2)/(K270/3)-1&gt;=Assumptions!$B$36,"Growing",IF((AI270/2)/(K270/3)-1&lt;-Assumptions!$B$36,"Declining","Stable")))))</f>
        <v>H2 Active / No H1 GMV</v>
      </c>
      <c r="AK270" s="10" t="b">
        <f aca="false">IF(OR(N270="Growing",N270="Stable"),"Healthy",N270)&lt;&gt;IF(OR(AJ270="Growing",AJ270="Stable"),"Healthy",AJ270)</f>
        <v>0</v>
      </c>
      <c r="AL270" s="2" t="str">
        <f aca="false">IF(N270="Lapsed",IF(OR(O270&lt;=Assumptions!$B$48,W270&lt;=Assumptions!$B$49),"One-Off / Insufficient History — Verify","Established Buyer Lapsed"),"N/A")</f>
        <v>N/A</v>
      </c>
      <c r="AM270" s="2" t="n">
        <f aca="false">INDEX('Scored Accounts'!$M$2:$M$301,MATCH($A270,'Scored Accounts'!$A$2:$A$301,0))</f>
        <v>0</v>
      </c>
      <c r="AN270" s="2" t="n">
        <f aca="false">IF((P270/(P270+Q270)*100)&lt;=Assumptions!$B$13,0,IF((P270/(P270+Q270)*100)&lt;Assumptions!$B$14,25,IF((P270/(P270+Q270)*100)&lt;Assumptions!$B$15,50,IF((P270/(P270+Q270)*100)&lt;Assumptions!$B$16,75,100))))</f>
        <v>0</v>
      </c>
      <c r="AO270" s="21" t="n">
        <f aca="false">IF((P270/(P270+Q270)*100)&lt;=Assumptions!$B$8,0,AN270*Assumptions!$B$4+INDEX('Scored Accounts'!$N$2:$N$301,MATCH($A270,'Scored Accounts'!$A$2:$A$301,0))*Assumptions!$B$5+INDEX('Scored Accounts'!$O$2:$O$301,MATCH($A270,'Scored Accounts'!$A$2:$A$301,0))*Assumptions!$B$6)</f>
        <v>0</v>
      </c>
      <c r="AP270" s="2" t="str">
        <f aca="false">IF(AO270&gt;=Assumptions!$B$9,"High",IF(AO270&gt;=Assumptions!$B$10,"Medium","Low"))</f>
        <v>Low</v>
      </c>
      <c r="AQ270" s="10" t="b">
        <f aca="false">OR((E270&lt;=Assumptions!$B$8)&lt;&gt;((P270/(P270+Q270)*100)&lt;=Assumptions!$B$8),AM270&lt;&gt;AN270,G270&lt;&gt;AP270)</f>
        <v>0</v>
      </c>
      <c r="AR270" s="2" t="str">
        <f aca="false">IF(AP270&lt;&gt;"Low","Broker-Reliant",IF(B270="Account Managed","AM-Owned / Self-Serving","Self-Serve"))</f>
        <v>Self-Serve</v>
      </c>
      <c r="AS270" s="2" t="str">
        <f aca="false">IF(AR270="Broker-Reliant",IF(J270="Tail","5. Cost-to-Serve / Low-Touch",IF(OR(N270="Growing",N270="Stable"),"1. Migration Candidate",IF(N270="Declining","2. Protect / Retain First",IF(N270="Lapsed","3. Win-Back / Verify",IF(N270="H2 Active / No H1 GMV","4. Establish / Re-establish / Observe","UNASSIGNED"))))),IF(AP270="Low",IF(J270="Tail","9. Long-Tail Automated Nurture",IF(OR(N270="Growing",N270="Stable"),"6. Growth Opportunity",IF(N270="H2 Active / No H1 GMV","7. Onboard / Re-engage / Learn",IF(OR(N270="Declining",N270="Lapsed"),"8. Retention / Reactivation","UNASSIGNED")))),"UNASSIGNED"))</f>
        <v>9. Long-Tail Automated Nurture</v>
      </c>
      <c r="AT270" s="10" t="b">
        <f aca="false">AS270&lt;&gt;T270</f>
        <v>0</v>
      </c>
      <c r="AU270" s="2" t="str">
        <f aca="false">IF(NOT(U270),"Not Eligible",IF(OR(AQ270,AH270,AK270,NOT(AND(W270&gt;=Assumptions!$B$83,O270&gt;=Assumptions!$B$84))),"Manual Review","Ready"))</f>
        <v>Not Eligible</v>
      </c>
      <c r="AV270" s="2" t="str">
        <f aca="false">IF(AG270,"Key account - human sign-off required; ","")&amp;IF(AH270,"Borderline momentum; ","")&amp;IF(AK270,"February-sensitive ("&amp;N270&amp;" -&gt; "&amp;AJ270&amp;"); ","")&amp;IF(AL270="One-Off / Insufficient History — Verify","Lapsed on thin history - verify; ","")&amp;IF(AQ270,"Material broker % inconsistency (implied tier "&amp;AP270&amp;"); ","")&amp;IF(AT270,"Implied broker % would move segment to "&amp;AS270&amp;"; ","")</f>
        <v/>
      </c>
      <c r="AW270" s="10" t="b">
        <f aca="false">AND(G270="Low",J270="Tail",I270&gt;=Assumptions!$B$64,O270&gt;=Assumptions!$B$65,OR(N270="Growing",N270="Stable",AND(N270="H2 Active / No H1 GMV",W270&gt;=2)),OR(R270&gt;=Assumptions!$B$66,S270&gt;=Assumptions!$B$67))</f>
        <v>0</v>
      </c>
    </row>
    <row r="271" customFormat="false" ht="15" hidden="false" customHeight="false" outlineLevel="0" collapsed="false">
      <c r="A271" s="2" t="s">
        <v>884</v>
      </c>
      <c r="B271" s="2" t="s">
        <v>1574</v>
      </c>
      <c r="C271" s="2"/>
      <c r="D271" s="2" t="n">
        <v>4</v>
      </c>
      <c r="E271" s="2" t="n">
        <v>0</v>
      </c>
      <c r="F271" s="21" t="n">
        <f aca="false">INDEX('Scored Accounts'!$Q$2:$Q$301,MATCH($A271,'Scored Accounts'!$A$2:$A$301,0))</f>
        <v>0</v>
      </c>
      <c r="G271" s="2" t="str">
        <f aca="false">INDEX('Scored Accounts'!$R$2:$R$301,MATCH($A271,'Scored Accounts'!$A$2:$A$301,0))</f>
        <v>Low</v>
      </c>
      <c r="H271" s="2" t="str">
        <f aca="false">IF(OR(G271="High",G271="Medium"),"Broker-Reliant",IF(AND(G271="Low",B271="Account Managed"),"AM-Owned / Self-Serving",IF(AND(G271="Low",B271="Self Serve"),"Self-Serve","UNASSIGNED")))</f>
        <v>Self-Serve</v>
      </c>
      <c r="I271" s="9" t="n">
        <v>180</v>
      </c>
      <c r="J271" s="2" t="str">
        <f aca="false">IF(I271&gt;=Assumptions!$B$35,"Key",IF(I271&gt;=Assumptions!$B$34,"Core","Tail"))</f>
        <v>Tail</v>
      </c>
      <c r="K271" s="9" t="n">
        <f aca="false">INDEX('Commercial View'!$R$2:$R$301,MATCH($A271,'Commercial View'!$A$2:$A$301,0))</f>
        <v>180</v>
      </c>
      <c r="L271" s="9" t="n">
        <f aca="false">INDEX('Commercial View'!$S$2:$S$301,MATCH($A271,'Commercial View'!$A$2:$A$301,0))</f>
        <v>0</v>
      </c>
      <c r="M271" s="17" t="n">
        <f aca="false">INDEX('Commercial View'!$T$2:$T$301,MATCH($A271,'Commercial View'!$A$2:$A$301,0))</f>
        <v>-1</v>
      </c>
      <c r="N271" s="2" t="str">
        <f aca="false">INDEX('Commercial View'!$U$2:$U$301,MATCH($A271,'Commercial View'!$A$2:$A$301,0))</f>
        <v>Lapsed</v>
      </c>
      <c r="O271" s="2" t="n">
        <v>1</v>
      </c>
      <c r="P271" s="2" t="n">
        <v>0</v>
      </c>
      <c r="Q271" s="2" t="n">
        <v>1</v>
      </c>
      <c r="R271" s="2" t="n">
        <v>42</v>
      </c>
      <c r="S271" s="2" t="n">
        <v>0</v>
      </c>
      <c r="T271" s="2" t="str">
        <f aca="false">IF(H271="Broker-Reliant",IF(J271="Tail","5. Cost-to-Serve / Low-Touch",IF(OR(N271="Growing",N271="Stable"),"1. Migration Candidate",IF(N271="Declining","2. Protect / Retain First",IF(N271="Lapsed","3. Win-Back / Verify",IF(N271="H2 Active / No H1 GMV","4. Establish / Re-establish / Observe","UNASSIGNED"))))),IF(G271="Low",IF(J271="Tail","9. Long-Tail Automated Nurture",IF(OR(N271="Growing",N271="Stable"),"6. Growth Opportunity",IF(N271="H2 Active / No H1 GMV","7. Onboard / Re-engage / Learn",IF(OR(N271="Declining",N271="Lapsed"),"8. Retention / Reactivation","UNASSIGNED")))),"UNASSIGNED"))</f>
        <v>9. Long-Tail Automated Nurture</v>
      </c>
      <c r="U271" s="10" t="b">
        <f aca="false">AND(T271="1. Migration Candidate",J271="Core",O271&gt;=Assumptions!$B$39,Q271&gt;=Assumptions!$B$40,NOT(Z271))</f>
        <v>0</v>
      </c>
      <c r="V271" s="2" t="n">
        <f aca="false">(AND(H271="Broker-Reliant",J271&lt;&gt;"Tail",OR(N271="Growing",N271="Stable")))*1+(AND(H271="Broker-Reliant",J271&lt;&gt;"Tail",N271="Declining"))*1+(AND(H271="Broker-Reliant",J271&lt;&gt;"Tail",N271="Lapsed"))*1+(AND(H271="Broker-Reliant",J271&lt;&gt;"Tail",N271="H2 Active / No H1 GMV"))*1+(AND(H271="Broker-Reliant",J271="Tail"))*1+(AND(G271="Low",J271&lt;&gt;"Tail",OR(N271="Growing",N271="Stable")))*1+(AND(G271="Low",J271&lt;&gt;"Tail",N271="H2 Active / No H1 GMV"))*1+(AND(G271="Low",J271&lt;&gt;"Tail",OR(N271="Declining",N271="Lapsed")))*1+(AND(G271="Low",J271="Tail"))*1</f>
        <v>1</v>
      </c>
      <c r="W271" s="2" t="n">
        <f aca="false">INDEX('Commercial View'!$V$2:$V$301,MATCH($A271,'Commercial View'!$A$2:$A$301,0))</f>
        <v>1</v>
      </c>
      <c r="X271" s="10" t="b">
        <f aca="false">O271&lt;=Assumptions!$B$30</f>
        <v>1</v>
      </c>
      <c r="Y271" s="10" t="b">
        <f aca="false">W271&lt;=1</f>
        <v>1</v>
      </c>
      <c r="Z271" s="10" t="b">
        <f aca="false">C271="Duplicate"</f>
        <v>0</v>
      </c>
      <c r="AA271" s="10" t="b">
        <f aca="false">C271=""</f>
        <v>1</v>
      </c>
      <c r="AB271" s="2" t="n">
        <f aca="false">IF(P271+Q271&gt;0,ROUND(P271/(P271+Q271)*100,0),"")</f>
        <v>0</v>
      </c>
      <c r="AC271" s="2" t="n">
        <f aca="false">IF(P271+Q271&gt;0,ROUND(E271-P271/(P271+Q271)*100,0),"")</f>
        <v>0</v>
      </c>
      <c r="AD271" s="10" t="b">
        <f aca="false">IF(AC271="",FALSE(),ABS(AC271)&gt;Assumptions!$B$41)</f>
        <v>0</v>
      </c>
      <c r="AE271" s="2" t="str">
        <f aca="false">IF(X271,"Low confidence (&lt;=2 orders); ","")&amp;IF(Y271,"Single-month history; ","")&amp;IF(Z271,"CRITICAL: Duplicate status; ","")&amp;IF(AA271,"Missing status; ","")&amp;IF(AD271,"Broker % vs counts gap "&amp;TEXT(AC271,"+0;-0")&amp;"pts; ","")</f>
        <v>Low confidence (&lt;=2 orders); Single-month history; Missing status; </v>
      </c>
      <c r="AF271" s="2" t="str">
        <f aca="false">IF(AND(K271=0,L271&gt;0),IF(D271&lt;=Assumptions!$B$47,"New Customer","Returned Customer"),"Existing Customer")</f>
        <v>Existing Customer</v>
      </c>
      <c r="AG271" s="10" t="b">
        <f aca="false">AND(T271="1. Migration Candidate",J271="Key")</f>
        <v>0</v>
      </c>
      <c r="AH271" s="10" t="b">
        <f aca="false">IF(AND(K271&gt;0,L271&gt;0),OR(ABS(M271-Assumptions!$B$36)&lt;=Assumptions!$B$46,ABS(M271+Assumptions!$B$36)&lt;=Assumptions!$B$46),FALSE())</f>
        <v>0</v>
      </c>
      <c r="AI271" s="9" t="n">
        <f aca="false">INDEX('Commercial View'!$L$2:$L$301,MATCH($A271,'Commercial View'!$A$2:$A$301,0))+INDEX('Commercial View'!$M$2:$M$301,MATCH($A271,'Commercial View'!$A$2:$A$301,0))</f>
        <v>0</v>
      </c>
      <c r="AJ271" s="2" t="str">
        <f aca="false">IF(AND(K271=0,AI271=0),"No activity ex-Feb",IF(AI271=0,"Lapsed",IF(K271=0,"H2 Active / No H1 GMV",IF((AI271/2)/(K271/3)-1&gt;=Assumptions!$B$36,"Growing",IF((AI271/2)/(K271/3)-1&lt;-Assumptions!$B$36,"Declining","Stable")))))</f>
        <v>Lapsed</v>
      </c>
      <c r="AK271" s="10" t="b">
        <f aca="false">IF(OR(N271="Growing",N271="Stable"),"Healthy",N271)&lt;&gt;IF(OR(AJ271="Growing",AJ271="Stable"),"Healthy",AJ271)</f>
        <v>0</v>
      </c>
      <c r="AL271" s="2" t="str">
        <f aca="false">IF(N271="Lapsed",IF(OR(O271&lt;=Assumptions!$B$48,W271&lt;=Assumptions!$B$49),"One-Off / Insufficient History — Verify","Established Buyer Lapsed"),"N/A")</f>
        <v>One-Off / Insufficient History — Verify</v>
      </c>
      <c r="AM271" s="2" t="n">
        <f aca="false">INDEX('Scored Accounts'!$M$2:$M$301,MATCH($A271,'Scored Accounts'!$A$2:$A$301,0))</f>
        <v>0</v>
      </c>
      <c r="AN271" s="2" t="n">
        <f aca="false">IF((P271/(P271+Q271)*100)&lt;=Assumptions!$B$13,0,IF((P271/(P271+Q271)*100)&lt;Assumptions!$B$14,25,IF((P271/(P271+Q271)*100)&lt;Assumptions!$B$15,50,IF((P271/(P271+Q271)*100)&lt;Assumptions!$B$16,75,100))))</f>
        <v>0</v>
      </c>
      <c r="AO271" s="21" t="n">
        <f aca="false">IF((P271/(P271+Q271)*100)&lt;=Assumptions!$B$8,0,AN271*Assumptions!$B$4+INDEX('Scored Accounts'!$N$2:$N$301,MATCH($A271,'Scored Accounts'!$A$2:$A$301,0))*Assumptions!$B$5+INDEX('Scored Accounts'!$O$2:$O$301,MATCH($A271,'Scored Accounts'!$A$2:$A$301,0))*Assumptions!$B$6)</f>
        <v>0</v>
      </c>
      <c r="AP271" s="2" t="str">
        <f aca="false">IF(AO271&gt;=Assumptions!$B$9,"High",IF(AO271&gt;=Assumptions!$B$10,"Medium","Low"))</f>
        <v>Low</v>
      </c>
      <c r="AQ271" s="10" t="b">
        <f aca="false">OR((E271&lt;=Assumptions!$B$8)&lt;&gt;((P271/(P271+Q271)*100)&lt;=Assumptions!$B$8),AM271&lt;&gt;AN271,G271&lt;&gt;AP271)</f>
        <v>0</v>
      </c>
      <c r="AR271" s="2" t="str">
        <f aca="false">IF(AP271&lt;&gt;"Low","Broker-Reliant",IF(B271="Account Managed","AM-Owned / Self-Serving","Self-Serve"))</f>
        <v>Self-Serve</v>
      </c>
      <c r="AS271" s="2" t="str">
        <f aca="false">IF(AR271="Broker-Reliant",IF(J271="Tail","5. Cost-to-Serve / Low-Touch",IF(OR(N271="Growing",N271="Stable"),"1. Migration Candidate",IF(N271="Declining","2. Protect / Retain First",IF(N271="Lapsed","3. Win-Back / Verify",IF(N271="H2 Active / No H1 GMV","4. Establish / Re-establish / Observe","UNASSIGNED"))))),IF(AP271="Low",IF(J271="Tail","9. Long-Tail Automated Nurture",IF(OR(N271="Growing",N271="Stable"),"6. Growth Opportunity",IF(N271="H2 Active / No H1 GMV","7. Onboard / Re-engage / Learn",IF(OR(N271="Declining",N271="Lapsed"),"8. Retention / Reactivation","UNASSIGNED")))),"UNASSIGNED"))</f>
        <v>9. Long-Tail Automated Nurture</v>
      </c>
      <c r="AT271" s="10" t="b">
        <f aca="false">AS271&lt;&gt;T271</f>
        <v>0</v>
      </c>
      <c r="AU271" s="2" t="str">
        <f aca="false">IF(NOT(U271),"Not Eligible",IF(OR(AQ271,AH271,AK271,NOT(AND(W271&gt;=Assumptions!$B$83,O271&gt;=Assumptions!$B$84))),"Manual Review","Ready"))</f>
        <v>Not Eligible</v>
      </c>
      <c r="AV271" s="2" t="str">
        <f aca="false">IF(AG271,"Key account - human sign-off required; ","")&amp;IF(AH271,"Borderline momentum; ","")&amp;IF(AK271,"February-sensitive ("&amp;N271&amp;" -&gt; "&amp;AJ271&amp;"); ","")&amp;IF(AL271="One-Off / Insufficient History — Verify","Lapsed on thin history - verify; ","")&amp;IF(AQ271,"Material broker % inconsistency (implied tier "&amp;AP271&amp;"); ","")&amp;IF(AT271,"Implied broker % would move segment to "&amp;AS271&amp;"; ","")</f>
        <v>Lapsed on thin history - verify; </v>
      </c>
      <c r="AW271" s="10" t="b">
        <f aca="false">AND(G271="Low",J271="Tail",I271&gt;=Assumptions!$B$64,O271&gt;=Assumptions!$B$65,OR(N271="Growing",N271="Stable",AND(N271="H2 Active / No H1 GMV",W271&gt;=2)),OR(R271&gt;=Assumptions!$B$66,S271&gt;=Assumptions!$B$67))</f>
        <v>0</v>
      </c>
    </row>
    <row r="272" customFormat="false" ht="15" hidden="false" customHeight="false" outlineLevel="0" collapsed="false">
      <c r="A272" s="2" t="s">
        <v>888</v>
      </c>
      <c r="B272" s="2" t="s">
        <v>1574</v>
      </c>
      <c r="C272" s="2"/>
      <c r="D272" s="2" t="n">
        <v>6</v>
      </c>
      <c r="E272" s="2" t="n">
        <v>0</v>
      </c>
      <c r="F272" s="21" t="n">
        <f aca="false">INDEX('Scored Accounts'!$Q$2:$Q$301,MATCH($A272,'Scored Accounts'!$A$2:$A$301,0))</f>
        <v>0</v>
      </c>
      <c r="G272" s="2" t="str">
        <f aca="false">INDEX('Scored Accounts'!$R$2:$R$301,MATCH($A272,'Scored Accounts'!$A$2:$A$301,0))</f>
        <v>Low</v>
      </c>
      <c r="H272" s="2" t="str">
        <f aca="false">IF(OR(G272="High",G272="Medium"),"Broker-Reliant",IF(AND(G272="Low",B272="Account Managed"),"AM-Owned / Self-Serving",IF(AND(G272="Low",B272="Self Serve"),"Self-Serve","UNASSIGNED")))</f>
        <v>Self-Serve</v>
      </c>
      <c r="I272" s="9" t="n">
        <v>173</v>
      </c>
      <c r="J272" s="2" t="str">
        <f aca="false">IF(I272&gt;=Assumptions!$B$35,"Key",IF(I272&gt;=Assumptions!$B$34,"Core","Tail"))</f>
        <v>Tail</v>
      </c>
      <c r="K272" s="9" t="n">
        <f aca="false">INDEX('Commercial View'!$R$2:$R$301,MATCH($A272,'Commercial View'!$A$2:$A$301,0))</f>
        <v>173</v>
      </c>
      <c r="L272" s="9" t="n">
        <f aca="false">INDEX('Commercial View'!$S$2:$S$301,MATCH($A272,'Commercial View'!$A$2:$A$301,0))</f>
        <v>0</v>
      </c>
      <c r="M272" s="17" t="n">
        <f aca="false">INDEX('Commercial View'!$T$2:$T$301,MATCH($A272,'Commercial View'!$A$2:$A$301,0))</f>
        <v>-1</v>
      </c>
      <c r="N272" s="2" t="str">
        <f aca="false">INDEX('Commercial View'!$U$2:$U$301,MATCH($A272,'Commercial View'!$A$2:$A$301,0))</f>
        <v>Lapsed</v>
      </c>
      <c r="O272" s="2" t="n">
        <v>1</v>
      </c>
      <c r="P272" s="2" t="n">
        <v>0</v>
      </c>
      <c r="Q272" s="2" t="n">
        <v>1</v>
      </c>
      <c r="R272" s="2" t="n">
        <v>10</v>
      </c>
      <c r="S272" s="2" t="n">
        <v>2</v>
      </c>
      <c r="T272" s="2" t="str">
        <f aca="false">IF(H272="Broker-Reliant",IF(J272="Tail","5. Cost-to-Serve / Low-Touch",IF(OR(N272="Growing",N272="Stable"),"1. Migration Candidate",IF(N272="Declining","2. Protect / Retain First",IF(N272="Lapsed","3. Win-Back / Verify",IF(N272="H2 Active / No H1 GMV","4. Establish / Re-establish / Observe","UNASSIGNED"))))),IF(G272="Low",IF(J272="Tail","9. Long-Tail Automated Nurture",IF(OR(N272="Growing",N272="Stable"),"6. Growth Opportunity",IF(N272="H2 Active / No H1 GMV","7. Onboard / Re-engage / Learn",IF(OR(N272="Declining",N272="Lapsed"),"8. Retention / Reactivation","UNASSIGNED")))),"UNASSIGNED"))</f>
        <v>9. Long-Tail Automated Nurture</v>
      </c>
      <c r="U272" s="10" t="b">
        <f aca="false">AND(T272="1. Migration Candidate",J272="Core",O272&gt;=Assumptions!$B$39,Q272&gt;=Assumptions!$B$40,NOT(Z272))</f>
        <v>0</v>
      </c>
      <c r="V272" s="2" t="n">
        <f aca="false">(AND(H272="Broker-Reliant",J272&lt;&gt;"Tail",OR(N272="Growing",N272="Stable")))*1+(AND(H272="Broker-Reliant",J272&lt;&gt;"Tail",N272="Declining"))*1+(AND(H272="Broker-Reliant",J272&lt;&gt;"Tail",N272="Lapsed"))*1+(AND(H272="Broker-Reliant",J272&lt;&gt;"Tail",N272="H2 Active / No H1 GMV"))*1+(AND(H272="Broker-Reliant",J272="Tail"))*1+(AND(G272="Low",J272&lt;&gt;"Tail",OR(N272="Growing",N272="Stable")))*1+(AND(G272="Low",J272&lt;&gt;"Tail",N272="H2 Active / No H1 GMV"))*1+(AND(G272="Low",J272&lt;&gt;"Tail",OR(N272="Declining",N272="Lapsed")))*1+(AND(G272="Low",J272="Tail"))*1</f>
        <v>1</v>
      </c>
      <c r="W272" s="2" t="n">
        <f aca="false">INDEX('Commercial View'!$V$2:$V$301,MATCH($A272,'Commercial View'!$A$2:$A$301,0))</f>
        <v>1</v>
      </c>
      <c r="X272" s="10" t="b">
        <f aca="false">O272&lt;=Assumptions!$B$30</f>
        <v>1</v>
      </c>
      <c r="Y272" s="10" t="b">
        <f aca="false">W272&lt;=1</f>
        <v>1</v>
      </c>
      <c r="Z272" s="10" t="b">
        <f aca="false">C272="Duplicate"</f>
        <v>0</v>
      </c>
      <c r="AA272" s="10" t="b">
        <f aca="false">C272=""</f>
        <v>1</v>
      </c>
      <c r="AB272" s="2" t="n">
        <f aca="false">IF(P272+Q272&gt;0,ROUND(P272/(P272+Q272)*100,0),"")</f>
        <v>0</v>
      </c>
      <c r="AC272" s="2" t="n">
        <f aca="false">IF(P272+Q272&gt;0,ROUND(E272-P272/(P272+Q272)*100,0),"")</f>
        <v>0</v>
      </c>
      <c r="AD272" s="10" t="b">
        <f aca="false">IF(AC272="",FALSE(),ABS(AC272)&gt;Assumptions!$B$41)</f>
        <v>0</v>
      </c>
      <c r="AE272" s="2" t="str">
        <f aca="false">IF(X272,"Low confidence (&lt;=2 orders); ","")&amp;IF(Y272,"Single-month history; ","")&amp;IF(Z272,"CRITICAL: Duplicate status; ","")&amp;IF(AA272,"Missing status; ","")&amp;IF(AD272,"Broker % vs counts gap "&amp;TEXT(AC272,"+0;-0")&amp;"pts; ","")</f>
        <v>Low confidence (&lt;=2 orders); Single-month history; Missing status; </v>
      </c>
      <c r="AF272" s="2" t="str">
        <f aca="false">IF(AND(K272=0,L272&gt;0),IF(D272&lt;=Assumptions!$B$47,"New Customer","Returned Customer"),"Existing Customer")</f>
        <v>Existing Customer</v>
      </c>
      <c r="AG272" s="10" t="b">
        <f aca="false">AND(T272="1. Migration Candidate",J272="Key")</f>
        <v>0</v>
      </c>
      <c r="AH272" s="10" t="b">
        <f aca="false">IF(AND(K272&gt;0,L272&gt;0),OR(ABS(M272-Assumptions!$B$36)&lt;=Assumptions!$B$46,ABS(M272+Assumptions!$B$36)&lt;=Assumptions!$B$46),FALSE())</f>
        <v>0</v>
      </c>
      <c r="AI272" s="9" t="n">
        <f aca="false">INDEX('Commercial View'!$L$2:$L$301,MATCH($A272,'Commercial View'!$A$2:$A$301,0))+INDEX('Commercial View'!$M$2:$M$301,MATCH($A272,'Commercial View'!$A$2:$A$301,0))</f>
        <v>0</v>
      </c>
      <c r="AJ272" s="2" t="str">
        <f aca="false">IF(AND(K272=0,AI272=0),"No activity ex-Feb",IF(AI272=0,"Lapsed",IF(K272=0,"H2 Active / No H1 GMV",IF((AI272/2)/(K272/3)-1&gt;=Assumptions!$B$36,"Growing",IF((AI272/2)/(K272/3)-1&lt;-Assumptions!$B$36,"Declining","Stable")))))</f>
        <v>Lapsed</v>
      </c>
      <c r="AK272" s="10" t="b">
        <f aca="false">IF(OR(N272="Growing",N272="Stable"),"Healthy",N272)&lt;&gt;IF(OR(AJ272="Growing",AJ272="Stable"),"Healthy",AJ272)</f>
        <v>0</v>
      </c>
      <c r="AL272" s="2" t="str">
        <f aca="false">IF(N272="Lapsed",IF(OR(O272&lt;=Assumptions!$B$48,W272&lt;=Assumptions!$B$49),"One-Off / Insufficient History — Verify","Established Buyer Lapsed"),"N/A")</f>
        <v>One-Off / Insufficient History — Verify</v>
      </c>
      <c r="AM272" s="2" t="n">
        <f aca="false">INDEX('Scored Accounts'!$M$2:$M$301,MATCH($A272,'Scored Accounts'!$A$2:$A$301,0))</f>
        <v>0</v>
      </c>
      <c r="AN272" s="2" t="n">
        <f aca="false">IF((P272/(P272+Q272)*100)&lt;=Assumptions!$B$13,0,IF((P272/(P272+Q272)*100)&lt;Assumptions!$B$14,25,IF((P272/(P272+Q272)*100)&lt;Assumptions!$B$15,50,IF((P272/(P272+Q272)*100)&lt;Assumptions!$B$16,75,100))))</f>
        <v>0</v>
      </c>
      <c r="AO272" s="21" t="n">
        <f aca="false">IF((P272/(P272+Q272)*100)&lt;=Assumptions!$B$8,0,AN272*Assumptions!$B$4+INDEX('Scored Accounts'!$N$2:$N$301,MATCH($A272,'Scored Accounts'!$A$2:$A$301,0))*Assumptions!$B$5+INDEX('Scored Accounts'!$O$2:$O$301,MATCH($A272,'Scored Accounts'!$A$2:$A$301,0))*Assumptions!$B$6)</f>
        <v>0</v>
      </c>
      <c r="AP272" s="2" t="str">
        <f aca="false">IF(AO272&gt;=Assumptions!$B$9,"High",IF(AO272&gt;=Assumptions!$B$10,"Medium","Low"))</f>
        <v>Low</v>
      </c>
      <c r="AQ272" s="10" t="b">
        <f aca="false">OR((E272&lt;=Assumptions!$B$8)&lt;&gt;((P272/(P272+Q272)*100)&lt;=Assumptions!$B$8),AM272&lt;&gt;AN272,G272&lt;&gt;AP272)</f>
        <v>0</v>
      </c>
      <c r="AR272" s="2" t="str">
        <f aca="false">IF(AP272&lt;&gt;"Low","Broker-Reliant",IF(B272="Account Managed","AM-Owned / Self-Serving","Self-Serve"))</f>
        <v>Self-Serve</v>
      </c>
      <c r="AS272" s="2" t="str">
        <f aca="false">IF(AR272="Broker-Reliant",IF(J272="Tail","5. Cost-to-Serve / Low-Touch",IF(OR(N272="Growing",N272="Stable"),"1. Migration Candidate",IF(N272="Declining","2. Protect / Retain First",IF(N272="Lapsed","3. Win-Back / Verify",IF(N272="H2 Active / No H1 GMV","4. Establish / Re-establish / Observe","UNASSIGNED"))))),IF(AP272="Low",IF(J272="Tail","9. Long-Tail Automated Nurture",IF(OR(N272="Growing",N272="Stable"),"6. Growth Opportunity",IF(N272="H2 Active / No H1 GMV","7. Onboard / Re-engage / Learn",IF(OR(N272="Declining",N272="Lapsed"),"8. Retention / Reactivation","UNASSIGNED")))),"UNASSIGNED"))</f>
        <v>9. Long-Tail Automated Nurture</v>
      </c>
      <c r="AT272" s="10" t="b">
        <f aca="false">AS272&lt;&gt;T272</f>
        <v>0</v>
      </c>
      <c r="AU272" s="2" t="str">
        <f aca="false">IF(NOT(U272),"Not Eligible",IF(OR(AQ272,AH272,AK272,NOT(AND(W272&gt;=Assumptions!$B$83,O272&gt;=Assumptions!$B$84))),"Manual Review","Ready"))</f>
        <v>Not Eligible</v>
      </c>
      <c r="AV272" s="2" t="str">
        <f aca="false">IF(AG272,"Key account - human sign-off required; ","")&amp;IF(AH272,"Borderline momentum; ","")&amp;IF(AK272,"February-sensitive ("&amp;N272&amp;" -&gt; "&amp;AJ272&amp;"); ","")&amp;IF(AL272="One-Off / Insufficient History — Verify","Lapsed on thin history - verify; ","")&amp;IF(AQ272,"Material broker % inconsistency (implied tier "&amp;AP272&amp;"); ","")&amp;IF(AT272,"Implied broker % would move segment to "&amp;AS272&amp;"; ","")</f>
        <v>Lapsed on thin history - verify; </v>
      </c>
      <c r="AW272" s="10" t="b">
        <f aca="false">AND(G272="Low",J272="Tail",I272&gt;=Assumptions!$B$64,O272&gt;=Assumptions!$B$65,OR(N272="Growing",N272="Stable",AND(N272="H2 Active / No H1 GMV",W272&gt;=2)),OR(R272&gt;=Assumptions!$B$66,S272&gt;=Assumptions!$B$67))</f>
        <v>0</v>
      </c>
    </row>
    <row r="273" customFormat="false" ht="15" hidden="false" customHeight="false" outlineLevel="0" collapsed="false">
      <c r="A273" s="2" t="s">
        <v>892</v>
      </c>
      <c r="B273" s="2" t="s">
        <v>1574</v>
      </c>
      <c r="C273" s="2"/>
      <c r="D273" s="2" t="n">
        <v>3</v>
      </c>
      <c r="E273" s="2" t="n">
        <v>0</v>
      </c>
      <c r="F273" s="21" t="n">
        <f aca="false">INDEX('Scored Accounts'!$Q$2:$Q$301,MATCH($A273,'Scored Accounts'!$A$2:$A$301,0))</f>
        <v>0</v>
      </c>
      <c r="G273" s="2" t="str">
        <f aca="false">INDEX('Scored Accounts'!$R$2:$R$301,MATCH($A273,'Scored Accounts'!$A$2:$A$301,0))</f>
        <v>Low</v>
      </c>
      <c r="H273" s="2" t="str">
        <f aca="false">IF(OR(G273="High",G273="Medium"),"Broker-Reliant",IF(AND(G273="Low",B273="Account Managed"),"AM-Owned / Self-Serving",IF(AND(G273="Low",B273="Self Serve"),"Self-Serve","UNASSIGNED")))</f>
        <v>Self-Serve</v>
      </c>
      <c r="I273" s="9" t="n">
        <v>170</v>
      </c>
      <c r="J273" s="2" t="str">
        <f aca="false">IF(I273&gt;=Assumptions!$B$35,"Key",IF(I273&gt;=Assumptions!$B$34,"Core","Tail"))</f>
        <v>Tail</v>
      </c>
      <c r="K273" s="9" t="n">
        <f aca="false">INDEX('Commercial View'!$R$2:$R$301,MATCH($A273,'Commercial View'!$A$2:$A$301,0))</f>
        <v>0</v>
      </c>
      <c r="L273" s="9" t="n">
        <f aca="false">INDEX('Commercial View'!$S$2:$S$301,MATCH($A273,'Commercial View'!$A$2:$A$301,0))</f>
        <v>170</v>
      </c>
      <c r="M273" s="17" t="str">
        <f aca="false">INDEX('Commercial View'!$T$2:$T$301,MATCH($A273,'Commercial View'!$A$2:$A$301,0))</f>
        <v/>
      </c>
      <c r="N273" s="2" t="str">
        <f aca="false">INDEX('Commercial View'!$U$2:$U$301,MATCH($A273,'Commercial View'!$A$2:$A$301,0))</f>
        <v>H2 Active / No H1 GMV</v>
      </c>
      <c r="O273" s="2" t="n">
        <v>1</v>
      </c>
      <c r="P273" s="2" t="n">
        <v>0</v>
      </c>
      <c r="Q273" s="2" t="n">
        <v>1</v>
      </c>
      <c r="R273" s="2" t="n">
        <v>8</v>
      </c>
      <c r="S273" s="2" t="n">
        <v>0</v>
      </c>
      <c r="T273" s="2" t="str">
        <f aca="false">IF(H273="Broker-Reliant",IF(J273="Tail","5. Cost-to-Serve / Low-Touch",IF(OR(N273="Growing",N273="Stable"),"1. Migration Candidate",IF(N273="Declining","2. Protect / Retain First",IF(N273="Lapsed","3. Win-Back / Verify",IF(N273="H2 Active / No H1 GMV","4. Establish / Re-establish / Observe","UNASSIGNED"))))),IF(G273="Low",IF(J273="Tail","9. Long-Tail Automated Nurture",IF(OR(N273="Growing",N273="Stable"),"6. Growth Opportunity",IF(N273="H2 Active / No H1 GMV","7. Onboard / Re-engage / Learn",IF(OR(N273="Declining",N273="Lapsed"),"8. Retention / Reactivation","UNASSIGNED")))),"UNASSIGNED"))</f>
        <v>9. Long-Tail Automated Nurture</v>
      </c>
      <c r="U273" s="10" t="b">
        <f aca="false">AND(T273="1. Migration Candidate",J273="Core",O273&gt;=Assumptions!$B$39,Q273&gt;=Assumptions!$B$40,NOT(Z273))</f>
        <v>0</v>
      </c>
      <c r="V273" s="2" t="n">
        <f aca="false">(AND(H273="Broker-Reliant",J273&lt;&gt;"Tail",OR(N273="Growing",N273="Stable")))*1+(AND(H273="Broker-Reliant",J273&lt;&gt;"Tail",N273="Declining"))*1+(AND(H273="Broker-Reliant",J273&lt;&gt;"Tail",N273="Lapsed"))*1+(AND(H273="Broker-Reliant",J273&lt;&gt;"Tail",N273="H2 Active / No H1 GMV"))*1+(AND(H273="Broker-Reliant",J273="Tail"))*1+(AND(G273="Low",J273&lt;&gt;"Tail",OR(N273="Growing",N273="Stable")))*1+(AND(G273="Low",J273&lt;&gt;"Tail",N273="H2 Active / No H1 GMV"))*1+(AND(G273="Low",J273&lt;&gt;"Tail",OR(N273="Declining",N273="Lapsed")))*1+(AND(G273="Low",J273="Tail"))*1</f>
        <v>1</v>
      </c>
      <c r="W273" s="2" t="n">
        <f aca="false">INDEX('Commercial View'!$V$2:$V$301,MATCH($A273,'Commercial View'!$A$2:$A$301,0))</f>
        <v>1</v>
      </c>
      <c r="X273" s="10" t="b">
        <f aca="false">O273&lt;=Assumptions!$B$30</f>
        <v>1</v>
      </c>
      <c r="Y273" s="10" t="b">
        <f aca="false">W273&lt;=1</f>
        <v>1</v>
      </c>
      <c r="Z273" s="10" t="b">
        <f aca="false">C273="Duplicate"</f>
        <v>0</v>
      </c>
      <c r="AA273" s="10" t="b">
        <f aca="false">C273=""</f>
        <v>1</v>
      </c>
      <c r="AB273" s="2" t="n">
        <f aca="false">IF(P273+Q273&gt;0,ROUND(P273/(P273+Q273)*100,0),"")</f>
        <v>0</v>
      </c>
      <c r="AC273" s="2" t="n">
        <f aca="false">IF(P273+Q273&gt;0,ROUND(E273-P273/(P273+Q273)*100,0),"")</f>
        <v>0</v>
      </c>
      <c r="AD273" s="10" t="b">
        <f aca="false">IF(AC273="",FALSE(),ABS(AC273)&gt;Assumptions!$B$41)</f>
        <v>0</v>
      </c>
      <c r="AE273" s="2" t="str">
        <f aca="false">IF(X273,"Low confidence (&lt;=2 orders); ","")&amp;IF(Y273,"Single-month history; ","")&amp;IF(Z273,"CRITICAL: Duplicate status; ","")&amp;IF(AA273,"Missing status; ","")&amp;IF(AD273,"Broker % vs counts gap "&amp;TEXT(AC273,"+0;-0")&amp;"pts; ","")</f>
        <v>Low confidence (&lt;=2 orders); Single-month history; Missing status; </v>
      </c>
      <c r="AF273" s="2" t="str">
        <f aca="false">IF(AND(K273=0,L273&gt;0),IF(D273&lt;=Assumptions!$B$47,"New Customer","Returned Customer"),"Existing Customer")</f>
        <v>New Customer</v>
      </c>
      <c r="AG273" s="10" t="b">
        <f aca="false">AND(T273="1. Migration Candidate",J273="Key")</f>
        <v>0</v>
      </c>
      <c r="AH273" s="10" t="b">
        <f aca="false">IF(AND(K273&gt;0,L273&gt;0),OR(ABS(M273-Assumptions!$B$36)&lt;=Assumptions!$B$46,ABS(M273+Assumptions!$B$36)&lt;=Assumptions!$B$46),FALSE())</f>
        <v>0</v>
      </c>
      <c r="AI273" s="9" t="n">
        <f aca="false">INDEX('Commercial View'!$L$2:$L$301,MATCH($A273,'Commercial View'!$A$2:$A$301,0))+INDEX('Commercial View'!$M$2:$M$301,MATCH($A273,'Commercial View'!$A$2:$A$301,0))</f>
        <v>170</v>
      </c>
      <c r="AJ273" s="2" t="str">
        <f aca="false">IF(AND(K273=0,AI273=0),"No activity ex-Feb",IF(AI273=0,"Lapsed",IF(K273=0,"H2 Active / No H1 GMV",IF((AI273/2)/(K273/3)-1&gt;=Assumptions!$B$36,"Growing",IF((AI273/2)/(K273/3)-1&lt;-Assumptions!$B$36,"Declining","Stable")))))</f>
        <v>H2 Active / No H1 GMV</v>
      </c>
      <c r="AK273" s="10" t="b">
        <f aca="false">IF(OR(N273="Growing",N273="Stable"),"Healthy",N273)&lt;&gt;IF(OR(AJ273="Growing",AJ273="Stable"),"Healthy",AJ273)</f>
        <v>0</v>
      </c>
      <c r="AL273" s="2" t="str">
        <f aca="false">IF(N273="Lapsed",IF(OR(O273&lt;=Assumptions!$B$48,W273&lt;=Assumptions!$B$49),"One-Off / Insufficient History — Verify","Established Buyer Lapsed"),"N/A")</f>
        <v>N/A</v>
      </c>
      <c r="AM273" s="2" t="n">
        <f aca="false">INDEX('Scored Accounts'!$M$2:$M$301,MATCH($A273,'Scored Accounts'!$A$2:$A$301,0))</f>
        <v>0</v>
      </c>
      <c r="AN273" s="2" t="n">
        <f aca="false">IF((P273/(P273+Q273)*100)&lt;=Assumptions!$B$13,0,IF((P273/(P273+Q273)*100)&lt;Assumptions!$B$14,25,IF((P273/(P273+Q273)*100)&lt;Assumptions!$B$15,50,IF((P273/(P273+Q273)*100)&lt;Assumptions!$B$16,75,100))))</f>
        <v>0</v>
      </c>
      <c r="AO273" s="21" t="n">
        <f aca="false">IF((P273/(P273+Q273)*100)&lt;=Assumptions!$B$8,0,AN273*Assumptions!$B$4+INDEX('Scored Accounts'!$N$2:$N$301,MATCH($A273,'Scored Accounts'!$A$2:$A$301,0))*Assumptions!$B$5+INDEX('Scored Accounts'!$O$2:$O$301,MATCH($A273,'Scored Accounts'!$A$2:$A$301,0))*Assumptions!$B$6)</f>
        <v>0</v>
      </c>
      <c r="AP273" s="2" t="str">
        <f aca="false">IF(AO273&gt;=Assumptions!$B$9,"High",IF(AO273&gt;=Assumptions!$B$10,"Medium","Low"))</f>
        <v>Low</v>
      </c>
      <c r="AQ273" s="10" t="b">
        <f aca="false">OR((E273&lt;=Assumptions!$B$8)&lt;&gt;((P273/(P273+Q273)*100)&lt;=Assumptions!$B$8),AM273&lt;&gt;AN273,G273&lt;&gt;AP273)</f>
        <v>0</v>
      </c>
      <c r="AR273" s="2" t="str">
        <f aca="false">IF(AP273&lt;&gt;"Low","Broker-Reliant",IF(B273="Account Managed","AM-Owned / Self-Serving","Self-Serve"))</f>
        <v>Self-Serve</v>
      </c>
      <c r="AS273" s="2" t="str">
        <f aca="false">IF(AR273="Broker-Reliant",IF(J273="Tail","5. Cost-to-Serve / Low-Touch",IF(OR(N273="Growing",N273="Stable"),"1. Migration Candidate",IF(N273="Declining","2. Protect / Retain First",IF(N273="Lapsed","3. Win-Back / Verify",IF(N273="H2 Active / No H1 GMV","4. Establish / Re-establish / Observe","UNASSIGNED"))))),IF(AP273="Low",IF(J273="Tail","9. Long-Tail Automated Nurture",IF(OR(N273="Growing",N273="Stable"),"6. Growth Opportunity",IF(N273="H2 Active / No H1 GMV","7. Onboard / Re-engage / Learn",IF(OR(N273="Declining",N273="Lapsed"),"8. Retention / Reactivation","UNASSIGNED")))),"UNASSIGNED"))</f>
        <v>9. Long-Tail Automated Nurture</v>
      </c>
      <c r="AT273" s="10" t="b">
        <f aca="false">AS273&lt;&gt;T273</f>
        <v>0</v>
      </c>
      <c r="AU273" s="2" t="str">
        <f aca="false">IF(NOT(U273),"Not Eligible",IF(OR(AQ273,AH273,AK273,NOT(AND(W273&gt;=Assumptions!$B$83,O273&gt;=Assumptions!$B$84))),"Manual Review","Ready"))</f>
        <v>Not Eligible</v>
      </c>
      <c r="AV273" s="2" t="str">
        <f aca="false">IF(AG273,"Key account - human sign-off required; ","")&amp;IF(AH273,"Borderline momentum; ","")&amp;IF(AK273,"February-sensitive ("&amp;N273&amp;" -&gt; "&amp;AJ273&amp;"); ","")&amp;IF(AL273="One-Off / Insufficient History — Verify","Lapsed on thin history - verify; ","")&amp;IF(AQ273,"Material broker % inconsistency (implied tier "&amp;AP273&amp;"); ","")&amp;IF(AT273,"Implied broker % would move segment to "&amp;AS273&amp;"; ","")</f>
        <v/>
      </c>
      <c r="AW273" s="10" t="b">
        <f aca="false">AND(G273="Low",J273="Tail",I273&gt;=Assumptions!$B$64,O273&gt;=Assumptions!$B$65,OR(N273="Growing",N273="Stable",AND(N273="H2 Active / No H1 GMV",W273&gt;=2)),OR(R273&gt;=Assumptions!$B$66,S273&gt;=Assumptions!$B$67))</f>
        <v>0</v>
      </c>
    </row>
    <row r="274" customFormat="false" ht="15" hidden="false" customHeight="false" outlineLevel="0" collapsed="false">
      <c r="A274" s="2" t="s">
        <v>900</v>
      </c>
      <c r="B274" s="2" t="s">
        <v>1574</v>
      </c>
      <c r="C274" s="2"/>
      <c r="D274" s="2" t="n">
        <v>2</v>
      </c>
      <c r="E274" s="2" t="n">
        <v>0</v>
      </c>
      <c r="F274" s="21" t="n">
        <f aca="false">INDEX('Scored Accounts'!$Q$2:$Q$301,MATCH($A274,'Scored Accounts'!$A$2:$A$301,0))</f>
        <v>0</v>
      </c>
      <c r="G274" s="2" t="str">
        <f aca="false">INDEX('Scored Accounts'!$R$2:$R$301,MATCH($A274,'Scored Accounts'!$A$2:$A$301,0))</f>
        <v>Low</v>
      </c>
      <c r="H274" s="2" t="str">
        <f aca="false">IF(OR(G274="High",G274="Medium"),"Broker-Reliant",IF(AND(G274="Low",B274="Account Managed"),"AM-Owned / Self-Serving",IF(AND(G274="Low",B274="Self Serve"),"Self-Serve","UNASSIGNED")))</f>
        <v>Self-Serve</v>
      </c>
      <c r="I274" s="9" t="n">
        <v>154</v>
      </c>
      <c r="J274" s="2" t="str">
        <f aca="false">IF(I274&gt;=Assumptions!$B$35,"Key",IF(I274&gt;=Assumptions!$B$34,"Core","Tail"))</f>
        <v>Tail</v>
      </c>
      <c r="K274" s="9" t="n">
        <f aca="false">INDEX('Commercial View'!$R$2:$R$301,MATCH($A274,'Commercial View'!$A$2:$A$301,0))</f>
        <v>0</v>
      </c>
      <c r="L274" s="9" t="n">
        <f aca="false">INDEX('Commercial View'!$S$2:$S$301,MATCH($A274,'Commercial View'!$A$2:$A$301,0))</f>
        <v>154</v>
      </c>
      <c r="M274" s="17" t="str">
        <f aca="false">INDEX('Commercial View'!$T$2:$T$301,MATCH($A274,'Commercial View'!$A$2:$A$301,0))</f>
        <v/>
      </c>
      <c r="N274" s="2" t="str">
        <f aca="false">INDEX('Commercial View'!$U$2:$U$301,MATCH($A274,'Commercial View'!$A$2:$A$301,0))</f>
        <v>H2 Active / No H1 GMV</v>
      </c>
      <c r="O274" s="2" t="n">
        <v>1</v>
      </c>
      <c r="P274" s="2" t="n">
        <v>0</v>
      </c>
      <c r="Q274" s="2" t="n">
        <v>1</v>
      </c>
      <c r="R274" s="2" t="n">
        <v>16</v>
      </c>
      <c r="S274" s="2" t="n">
        <v>0</v>
      </c>
      <c r="T274" s="2" t="str">
        <f aca="false">IF(H274="Broker-Reliant",IF(J274="Tail","5. Cost-to-Serve / Low-Touch",IF(OR(N274="Growing",N274="Stable"),"1. Migration Candidate",IF(N274="Declining","2. Protect / Retain First",IF(N274="Lapsed","3. Win-Back / Verify",IF(N274="H2 Active / No H1 GMV","4. Establish / Re-establish / Observe","UNASSIGNED"))))),IF(G274="Low",IF(J274="Tail","9. Long-Tail Automated Nurture",IF(OR(N274="Growing",N274="Stable"),"6. Growth Opportunity",IF(N274="H2 Active / No H1 GMV","7. Onboard / Re-engage / Learn",IF(OR(N274="Declining",N274="Lapsed"),"8. Retention / Reactivation","UNASSIGNED")))),"UNASSIGNED"))</f>
        <v>9. Long-Tail Automated Nurture</v>
      </c>
      <c r="U274" s="10" t="b">
        <f aca="false">AND(T274="1. Migration Candidate",J274="Core",O274&gt;=Assumptions!$B$39,Q274&gt;=Assumptions!$B$40,NOT(Z274))</f>
        <v>0</v>
      </c>
      <c r="V274" s="2" t="n">
        <f aca="false">(AND(H274="Broker-Reliant",J274&lt;&gt;"Tail",OR(N274="Growing",N274="Stable")))*1+(AND(H274="Broker-Reliant",J274&lt;&gt;"Tail",N274="Declining"))*1+(AND(H274="Broker-Reliant",J274&lt;&gt;"Tail",N274="Lapsed"))*1+(AND(H274="Broker-Reliant",J274&lt;&gt;"Tail",N274="H2 Active / No H1 GMV"))*1+(AND(H274="Broker-Reliant",J274="Tail"))*1+(AND(G274="Low",J274&lt;&gt;"Tail",OR(N274="Growing",N274="Stable")))*1+(AND(G274="Low",J274&lt;&gt;"Tail",N274="H2 Active / No H1 GMV"))*1+(AND(G274="Low",J274&lt;&gt;"Tail",OR(N274="Declining",N274="Lapsed")))*1+(AND(G274="Low",J274="Tail"))*1</f>
        <v>1</v>
      </c>
      <c r="W274" s="2" t="n">
        <f aca="false">INDEX('Commercial View'!$V$2:$V$301,MATCH($A274,'Commercial View'!$A$2:$A$301,0))</f>
        <v>1</v>
      </c>
      <c r="X274" s="10" t="b">
        <f aca="false">O274&lt;=Assumptions!$B$30</f>
        <v>1</v>
      </c>
      <c r="Y274" s="10" t="b">
        <f aca="false">W274&lt;=1</f>
        <v>1</v>
      </c>
      <c r="Z274" s="10" t="b">
        <f aca="false">C274="Duplicate"</f>
        <v>0</v>
      </c>
      <c r="AA274" s="10" t="b">
        <f aca="false">C274=""</f>
        <v>1</v>
      </c>
      <c r="AB274" s="2" t="n">
        <f aca="false">IF(P274+Q274&gt;0,ROUND(P274/(P274+Q274)*100,0),"")</f>
        <v>0</v>
      </c>
      <c r="AC274" s="2" t="n">
        <f aca="false">IF(P274+Q274&gt;0,ROUND(E274-P274/(P274+Q274)*100,0),"")</f>
        <v>0</v>
      </c>
      <c r="AD274" s="10" t="b">
        <f aca="false">IF(AC274="",FALSE(),ABS(AC274)&gt;Assumptions!$B$41)</f>
        <v>0</v>
      </c>
      <c r="AE274" s="2" t="str">
        <f aca="false">IF(X274,"Low confidence (&lt;=2 orders); ","")&amp;IF(Y274,"Single-month history; ","")&amp;IF(Z274,"CRITICAL: Duplicate status; ","")&amp;IF(AA274,"Missing status; ","")&amp;IF(AD274,"Broker % vs counts gap "&amp;TEXT(AC274,"+0;-0")&amp;"pts; ","")</f>
        <v>Low confidence (&lt;=2 orders); Single-month history; Missing status; </v>
      </c>
      <c r="AF274" s="2" t="str">
        <f aca="false">IF(AND(K274=0,L274&gt;0),IF(D274&lt;=Assumptions!$B$47,"New Customer","Returned Customer"),"Existing Customer")</f>
        <v>New Customer</v>
      </c>
      <c r="AG274" s="10" t="b">
        <f aca="false">AND(T274="1. Migration Candidate",J274="Key")</f>
        <v>0</v>
      </c>
      <c r="AH274" s="10" t="b">
        <f aca="false">IF(AND(K274&gt;0,L274&gt;0),OR(ABS(M274-Assumptions!$B$36)&lt;=Assumptions!$B$46,ABS(M274+Assumptions!$B$36)&lt;=Assumptions!$B$46),FALSE())</f>
        <v>0</v>
      </c>
      <c r="AI274" s="9" t="n">
        <f aca="false">INDEX('Commercial View'!$L$2:$L$301,MATCH($A274,'Commercial View'!$A$2:$A$301,0))+INDEX('Commercial View'!$M$2:$M$301,MATCH($A274,'Commercial View'!$A$2:$A$301,0))</f>
        <v>154</v>
      </c>
      <c r="AJ274" s="2" t="str">
        <f aca="false">IF(AND(K274=0,AI274=0),"No activity ex-Feb",IF(AI274=0,"Lapsed",IF(K274=0,"H2 Active / No H1 GMV",IF((AI274/2)/(K274/3)-1&gt;=Assumptions!$B$36,"Growing",IF((AI274/2)/(K274/3)-1&lt;-Assumptions!$B$36,"Declining","Stable")))))</f>
        <v>H2 Active / No H1 GMV</v>
      </c>
      <c r="AK274" s="10" t="b">
        <f aca="false">IF(OR(N274="Growing",N274="Stable"),"Healthy",N274)&lt;&gt;IF(OR(AJ274="Growing",AJ274="Stable"),"Healthy",AJ274)</f>
        <v>0</v>
      </c>
      <c r="AL274" s="2" t="str">
        <f aca="false">IF(N274="Lapsed",IF(OR(O274&lt;=Assumptions!$B$48,W274&lt;=Assumptions!$B$49),"One-Off / Insufficient History — Verify","Established Buyer Lapsed"),"N/A")</f>
        <v>N/A</v>
      </c>
      <c r="AM274" s="2" t="n">
        <f aca="false">INDEX('Scored Accounts'!$M$2:$M$301,MATCH($A274,'Scored Accounts'!$A$2:$A$301,0))</f>
        <v>0</v>
      </c>
      <c r="AN274" s="2" t="n">
        <f aca="false">IF((P274/(P274+Q274)*100)&lt;=Assumptions!$B$13,0,IF((P274/(P274+Q274)*100)&lt;Assumptions!$B$14,25,IF((P274/(P274+Q274)*100)&lt;Assumptions!$B$15,50,IF((P274/(P274+Q274)*100)&lt;Assumptions!$B$16,75,100))))</f>
        <v>0</v>
      </c>
      <c r="AO274" s="21" t="n">
        <f aca="false">IF((P274/(P274+Q274)*100)&lt;=Assumptions!$B$8,0,AN274*Assumptions!$B$4+INDEX('Scored Accounts'!$N$2:$N$301,MATCH($A274,'Scored Accounts'!$A$2:$A$301,0))*Assumptions!$B$5+INDEX('Scored Accounts'!$O$2:$O$301,MATCH($A274,'Scored Accounts'!$A$2:$A$301,0))*Assumptions!$B$6)</f>
        <v>0</v>
      </c>
      <c r="AP274" s="2" t="str">
        <f aca="false">IF(AO274&gt;=Assumptions!$B$9,"High",IF(AO274&gt;=Assumptions!$B$10,"Medium","Low"))</f>
        <v>Low</v>
      </c>
      <c r="AQ274" s="10" t="b">
        <f aca="false">OR((E274&lt;=Assumptions!$B$8)&lt;&gt;((P274/(P274+Q274)*100)&lt;=Assumptions!$B$8),AM274&lt;&gt;AN274,G274&lt;&gt;AP274)</f>
        <v>0</v>
      </c>
      <c r="AR274" s="2" t="str">
        <f aca="false">IF(AP274&lt;&gt;"Low","Broker-Reliant",IF(B274="Account Managed","AM-Owned / Self-Serving","Self-Serve"))</f>
        <v>Self-Serve</v>
      </c>
      <c r="AS274" s="2" t="str">
        <f aca="false">IF(AR274="Broker-Reliant",IF(J274="Tail","5. Cost-to-Serve / Low-Touch",IF(OR(N274="Growing",N274="Stable"),"1. Migration Candidate",IF(N274="Declining","2. Protect / Retain First",IF(N274="Lapsed","3. Win-Back / Verify",IF(N274="H2 Active / No H1 GMV","4. Establish / Re-establish / Observe","UNASSIGNED"))))),IF(AP274="Low",IF(J274="Tail","9. Long-Tail Automated Nurture",IF(OR(N274="Growing",N274="Stable"),"6. Growth Opportunity",IF(N274="H2 Active / No H1 GMV","7. Onboard / Re-engage / Learn",IF(OR(N274="Declining",N274="Lapsed"),"8. Retention / Reactivation","UNASSIGNED")))),"UNASSIGNED"))</f>
        <v>9. Long-Tail Automated Nurture</v>
      </c>
      <c r="AT274" s="10" t="b">
        <f aca="false">AS274&lt;&gt;T274</f>
        <v>0</v>
      </c>
      <c r="AU274" s="2" t="str">
        <f aca="false">IF(NOT(U274),"Not Eligible",IF(OR(AQ274,AH274,AK274,NOT(AND(W274&gt;=Assumptions!$B$83,O274&gt;=Assumptions!$B$84))),"Manual Review","Ready"))</f>
        <v>Not Eligible</v>
      </c>
      <c r="AV274" s="2" t="str">
        <f aca="false">IF(AG274,"Key account - human sign-off required; ","")&amp;IF(AH274,"Borderline momentum; ","")&amp;IF(AK274,"February-sensitive ("&amp;N274&amp;" -&gt; "&amp;AJ274&amp;"); ","")&amp;IF(AL274="One-Off / Insufficient History — Verify","Lapsed on thin history - verify; ","")&amp;IF(AQ274,"Material broker % inconsistency (implied tier "&amp;AP274&amp;"); ","")&amp;IF(AT274,"Implied broker % would move segment to "&amp;AS274&amp;"; ","")</f>
        <v/>
      </c>
      <c r="AW274" s="10" t="b">
        <f aca="false">AND(G274="Low",J274="Tail",I274&gt;=Assumptions!$B$64,O274&gt;=Assumptions!$B$65,OR(N274="Growing",N274="Stable",AND(N274="H2 Active / No H1 GMV",W274&gt;=2)),OR(R274&gt;=Assumptions!$B$66,S274&gt;=Assumptions!$B$67))</f>
        <v>0</v>
      </c>
    </row>
    <row r="275" customFormat="false" ht="15" hidden="false" customHeight="false" outlineLevel="0" collapsed="false">
      <c r="A275" s="2" t="s">
        <v>908</v>
      </c>
      <c r="B275" s="2" t="s">
        <v>1574</v>
      </c>
      <c r="C275" s="2"/>
      <c r="D275" s="2" t="n">
        <v>2</v>
      </c>
      <c r="E275" s="2" t="n">
        <v>0</v>
      </c>
      <c r="F275" s="21" t="n">
        <f aca="false">INDEX('Scored Accounts'!$Q$2:$Q$301,MATCH($A275,'Scored Accounts'!$A$2:$A$301,0))</f>
        <v>0</v>
      </c>
      <c r="G275" s="2" t="str">
        <f aca="false">INDEX('Scored Accounts'!$R$2:$R$301,MATCH($A275,'Scored Accounts'!$A$2:$A$301,0))</f>
        <v>Low</v>
      </c>
      <c r="H275" s="2" t="str">
        <f aca="false">IF(OR(G275="High",G275="Medium"),"Broker-Reliant",IF(AND(G275="Low",B275="Account Managed"),"AM-Owned / Self-Serving",IF(AND(G275="Low",B275="Self Serve"),"Self-Serve","UNASSIGNED")))</f>
        <v>Self-Serve</v>
      </c>
      <c r="I275" s="9" t="n">
        <v>147</v>
      </c>
      <c r="J275" s="2" t="str">
        <f aca="false">IF(I275&gt;=Assumptions!$B$35,"Key",IF(I275&gt;=Assumptions!$B$34,"Core","Tail"))</f>
        <v>Tail</v>
      </c>
      <c r="K275" s="9" t="n">
        <f aca="false">INDEX('Commercial View'!$R$2:$R$301,MATCH($A275,'Commercial View'!$A$2:$A$301,0))</f>
        <v>0</v>
      </c>
      <c r="L275" s="9" t="n">
        <f aca="false">INDEX('Commercial View'!$S$2:$S$301,MATCH($A275,'Commercial View'!$A$2:$A$301,0))</f>
        <v>147</v>
      </c>
      <c r="M275" s="17" t="str">
        <f aca="false">INDEX('Commercial View'!$T$2:$T$301,MATCH($A275,'Commercial View'!$A$2:$A$301,0))</f>
        <v/>
      </c>
      <c r="N275" s="2" t="str">
        <f aca="false">INDEX('Commercial View'!$U$2:$U$301,MATCH($A275,'Commercial View'!$A$2:$A$301,0))</f>
        <v>H2 Active / No H1 GMV</v>
      </c>
      <c r="O275" s="2" t="n">
        <v>1</v>
      </c>
      <c r="P275" s="2" t="n">
        <v>0</v>
      </c>
      <c r="Q275" s="2" t="n">
        <v>1</v>
      </c>
      <c r="R275" s="2" t="n">
        <v>4</v>
      </c>
      <c r="S275" s="2" t="n">
        <v>0</v>
      </c>
      <c r="T275" s="2" t="str">
        <f aca="false">IF(H275="Broker-Reliant",IF(J275="Tail","5. Cost-to-Serve / Low-Touch",IF(OR(N275="Growing",N275="Stable"),"1. Migration Candidate",IF(N275="Declining","2. Protect / Retain First",IF(N275="Lapsed","3. Win-Back / Verify",IF(N275="H2 Active / No H1 GMV","4. Establish / Re-establish / Observe","UNASSIGNED"))))),IF(G275="Low",IF(J275="Tail","9. Long-Tail Automated Nurture",IF(OR(N275="Growing",N275="Stable"),"6. Growth Opportunity",IF(N275="H2 Active / No H1 GMV","7. Onboard / Re-engage / Learn",IF(OR(N275="Declining",N275="Lapsed"),"8. Retention / Reactivation","UNASSIGNED")))),"UNASSIGNED"))</f>
        <v>9. Long-Tail Automated Nurture</v>
      </c>
      <c r="U275" s="10" t="b">
        <f aca="false">AND(T275="1. Migration Candidate",J275="Core",O275&gt;=Assumptions!$B$39,Q275&gt;=Assumptions!$B$40,NOT(Z275))</f>
        <v>0</v>
      </c>
      <c r="V275" s="2" t="n">
        <f aca="false">(AND(H275="Broker-Reliant",J275&lt;&gt;"Tail",OR(N275="Growing",N275="Stable")))*1+(AND(H275="Broker-Reliant",J275&lt;&gt;"Tail",N275="Declining"))*1+(AND(H275="Broker-Reliant",J275&lt;&gt;"Tail",N275="Lapsed"))*1+(AND(H275="Broker-Reliant",J275&lt;&gt;"Tail",N275="H2 Active / No H1 GMV"))*1+(AND(H275="Broker-Reliant",J275="Tail"))*1+(AND(G275="Low",J275&lt;&gt;"Tail",OR(N275="Growing",N275="Stable")))*1+(AND(G275="Low",J275&lt;&gt;"Tail",N275="H2 Active / No H1 GMV"))*1+(AND(G275="Low",J275&lt;&gt;"Tail",OR(N275="Declining",N275="Lapsed")))*1+(AND(G275="Low",J275="Tail"))*1</f>
        <v>1</v>
      </c>
      <c r="W275" s="2" t="n">
        <f aca="false">INDEX('Commercial View'!$V$2:$V$301,MATCH($A275,'Commercial View'!$A$2:$A$301,0))</f>
        <v>1</v>
      </c>
      <c r="X275" s="10" t="b">
        <f aca="false">O275&lt;=Assumptions!$B$30</f>
        <v>1</v>
      </c>
      <c r="Y275" s="10" t="b">
        <f aca="false">W275&lt;=1</f>
        <v>1</v>
      </c>
      <c r="Z275" s="10" t="b">
        <f aca="false">C275="Duplicate"</f>
        <v>0</v>
      </c>
      <c r="AA275" s="10" t="b">
        <f aca="false">C275=""</f>
        <v>1</v>
      </c>
      <c r="AB275" s="2" t="n">
        <f aca="false">IF(P275+Q275&gt;0,ROUND(P275/(P275+Q275)*100,0),"")</f>
        <v>0</v>
      </c>
      <c r="AC275" s="2" t="n">
        <f aca="false">IF(P275+Q275&gt;0,ROUND(E275-P275/(P275+Q275)*100,0),"")</f>
        <v>0</v>
      </c>
      <c r="AD275" s="10" t="b">
        <f aca="false">IF(AC275="",FALSE(),ABS(AC275)&gt;Assumptions!$B$41)</f>
        <v>0</v>
      </c>
      <c r="AE275" s="2" t="str">
        <f aca="false">IF(X275,"Low confidence (&lt;=2 orders); ","")&amp;IF(Y275,"Single-month history; ","")&amp;IF(Z275,"CRITICAL: Duplicate status; ","")&amp;IF(AA275,"Missing status; ","")&amp;IF(AD275,"Broker % vs counts gap "&amp;TEXT(AC275,"+0;-0")&amp;"pts; ","")</f>
        <v>Low confidence (&lt;=2 orders); Single-month history; Missing status; </v>
      </c>
      <c r="AF275" s="2" t="str">
        <f aca="false">IF(AND(K275=0,L275&gt;0),IF(D275&lt;=Assumptions!$B$47,"New Customer","Returned Customer"),"Existing Customer")</f>
        <v>New Customer</v>
      </c>
      <c r="AG275" s="10" t="b">
        <f aca="false">AND(T275="1. Migration Candidate",J275="Key")</f>
        <v>0</v>
      </c>
      <c r="AH275" s="10" t="b">
        <f aca="false">IF(AND(K275&gt;0,L275&gt;0),OR(ABS(M275-Assumptions!$B$36)&lt;=Assumptions!$B$46,ABS(M275+Assumptions!$B$36)&lt;=Assumptions!$B$46),FALSE())</f>
        <v>0</v>
      </c>
      <c r="AI275" s="9" t="n">
        <f aca="false">INDEX('Commercial View'!$L$2:$L$301,MATCH($A275,'Commercial View'!$A$2:$A$301,0))+INDEX('Commercial View'!$M$2:$M$301,MATCH($A275,'Commercial View'!$A$2:$A$301,0))</f>
        <v>147</v>
      </c>
      <c r="AJ275" s="2" t="str">
        <f aca="false">IF(AND(K275=0,AI275=0),"No activity ex-Feb",IF(AI275=0,"Lapsed",IF(K275=0,"H2 Active / No H1 GMV",IF((AI275/2)/(K275/3)-1&gt;=Assumptions!$B$36,"Growing",IF((AI275/2)/(K275/3)-1&lt;-Assumptions!$B$36,"Declining","Stable")))))</f>
        <v>H2 Active / No H1 GMV</v>
      </c>
      <c r="AK275" s="10" t="b">
        <f aca="false">IF(OR(N275="Growing",N275="Stable"),"Healthy",N275)&lt;&gt;IF(OR(AJ275="Growing",AJ275="Stable"),"Healthy",AJ275)</f>
        <v>0</v>
      </c>
      <c r="AL275" s="2" t="str">
        <f aca="false">IF(N275="Lapsed",IF(OR(O275&lt;=Assumptions!$B$48,W275&lt;=Assumptions!$B$49),"One-Off / Insufficient History — Verify","Established Buyer Lapsed"),"N/A")</f>
        <v>N/A</v>
      </c>
      <c r="AM275" s="2" t="n">
        <f aca="false">INDEX('Scored Accounts'!$M$2:$M$301,MATCH($A275,'Scored Accounts'!$A$2:$A$301,0))</f>
        <v>0</v>
      </c>
      <c r="AN275" s="2" t="n">
        <f aca="false">IF((P275/(P275+Q275)*100)&lt;=Assumptions!$B$13,0,IF((P275/(P275+Q275)*100)&lt;Assumptions!$B$14,25,IF((P275/(P275+Q275)*100)&lt;Assumptions!$B$15,50,IF((P275/(P275+Q275)*100)&lt;Assumptions!$B$16,75,100))))</f>
        <v>0</v>
      </c>
      <c r="AO275" s="21" t="n">
        <f aca="false">IF((P275/(P275+Q275)*100)&lt;=Assumptions!$B$8,0,AN275*Assumptions!$B$4+INDEX('Scored Accounts'!$N$2:$N$301,MATCH($A275,'Scored Accounts'!$A$2:$A$301,0))*Assumptions!$B$5+INDEX('Scored Accounts'!$O$2:$O$301,MATCH($A275,'Scored Accounts'!$A$2:$A$301,0))*Assumptions!$B$6)</f>
        <v>0</v>
      </c>
      <c r="AP275" s="2" t="str">
        <f aca="false">IF(AO275&gt;=Assumptions!$B$9,"High",IF(AO275&gt;=Assumptions!$B$10,"Medium","Low"))</f>
        <v>Low</v>
      </c>
      <c r="AQ275" s="10" t="b">
        <f aca="false">OR((E275&lt;=Assumptions!$B$8)&lt;&gt;((P275/(P275+Q275)*100)&lt;=Assumptions!$B$8),AM275&lt;&gt;AN275,G275&lt;&gt;AP275)</f>
        <v>0</v>
      </c>
      <c r="AR275" s="2" t="str">
        <f aca="false">IF(AP275&lt;&gt;"Low","Broker-Reliant",IF(B275="Account Managed","AM-Owned / Self-Serving","Self-Serve"))</f>
        <v>Self-Serve</v>
      </c>
      <c r="AS275" s="2" t="str">
        <f aca="false">IF(AR275="Broker-Reliant",IF(J275="Tail","5. Cost-to-Serve / Low-Touch",IF(OR(N275="Growing",N275="Stable"),"1. Migration Candidate",IF(N275="Declining","2. Protect / Retain First",IF(N275="Lapsed","3. Win-Back / Verify",IF(N275="H2 Active / No H1 GMV","4. Establish / Re-establish / Observe","UNASSIGNED"))))),IF(AP275="Low",IF(J275="Tail","9. Long-Tail Automated Nurture",IF(OR(N275="Growing",N275="Stable"),"6. Growth Opportunity",IF(N275="H2 Active / No H1 GMV","7. Onboard / Re-engage / Learn",IF(OR(N275="Declining",N275="Lapsed"),"8. Retention / Reactivation","UNASSIGNED")))),"UNASSIGNED"))</f>
        <v>9. Long-Tail Automated Nurture</v>
      </c>
      <c r="AT275" s="10" t="b">
        <f aca="false">AS275&lt;&gt;T275</f>
        <v>0</v>
      </c>
      <c r="AU275" s="2" t="str">
        <f aca="false">IF(NOT(U275),"Not Eligible",IF(OR(AQ275,AH275,AK275,NOT(AND(W275&gt;=Assumptions!$B$83,O275&gt;=Assumptions!$B$84))),"Manual Review","Ready"))</f>
        <v>Not Eligible</v>
      </c>
      <c r="AV275" s="2" t="str">
        <f aca="false">IF(AG275,"Key account - human sign-off required; ","")&amp;IF(AH275,"Borderline momentum; ","")&amp;IF(AK275,"February-sensitive ("&amp;N275&amp;" -&gt; "&amp;AJ275&amp;"); ","")&amp;IF(AL275="One-Off / Insufficient History — Verify","Lapsed on thin history - verify; ","")&amp;IF(AQ275,"Material broker % inconsistency (implied tier "&amp;AP275&amp;"); ","")&amp;IF(AT275,"Implied broker % would move segment to "&amp;AS275&amp;"; ","")</f>
        <v/>
      </c>
      <c r="AW275" s="10" t="b">
        <f aca="false">AND(G275="Low",J275="Tail",I275&gt;=Assumptions!$B$64,O275&gt;=Assumptions!$B$65,OR(N275="Growing",N275="Stable",AND(N275="H2 Active / No H1 GMV",W275&gt;=2)),OR(R275&gt;=Assumptions!$B$66,S275&gt;=Assumptions!$B$67))</f>
        <v>0</v>
      </c>
    </row>
    <row r="276" customFormat="false" ht="15" hidden="false" customHeight="false" outlineLevel="0" collapsed="false">
      <c r="A276" s="2" t="s">
        <v>914</v>
      </c>
      <c r="B276" s="2" t="s">
        <v>1574</v>
      </c>
      <c r="C276" s="2"/>
      <c r="D276" s="2" t="n">
        <v>1</v>
      </c>
      <c r="E276" s="2" t="n">
        <v>0</v>
      </c>
      <c r="F276" s="21" t="n">
        <f aca="false">INDEX('Scored Accounts'!$Q$2:$Q$301,MATCH($A276,'Scored Accounts'!$A$2:$A$301,0))</f>
        <v>0</v>
      </c>
      <c r="G276" s="2" t="str">
        <f aca="false">INDEX('Scored Accounts'!$R$2:$R$301,MATCH($A276,'Scored Accounts'!$A$2:$A$301,0))</f>
        <v>Low</v>
      </c>
      <c r="H276" s="2" t="str">
        <f aca="false">IF(OR(G276="High",G276="Medium"),"Broker-Reliant",IF(AND(G276="Low",B276="Account Managed"),"AM-Owned / Self-Serving",IF(AND(G276="Low",B276="Self Serve"),"Self-Serve","UNASSIGNED")))</f>
        <v>Self-Serve</v>
      </c>
      <c r="I276" s="9" t="n">
        <v>143</v>
      </c>
      <c r="J276" s="2" t="str">
        <f aca="false">IF(I276&gt;=Assumptions!$B$35,"Key",IF(I276&gt;=Assumptions!$B$34,"Core","Tail"))</f>
        <v>Tail</v>
      </c>
      <c r="K276" s="9" t="n">
        <f aca="false">INDEX('Commercial View'!$R$2:$R$301,MATCH($A276,'Commercial View'!$A$2:$A$301,0))</f>
        <v>0</v>
      </c>
      <c r="L276" s="9" t="n">
        <f aca="false">INDEX('Commercial View'!$S$2:$S$301,MATCH($A276,'Commercial View'!$A$2:$A$301,0))</f>
        <v>143</v>
      </c>
      <c r="M276" s="17" t="str">
        <f aca="false">INDEX('Commercial View'!$T$2:$T$301,MATCH($A276,'Commercial View'!$A$2:$A$301,0))</f>
        <v/>
      </c>
      <c r="N276" s="2" t="str">
        <f aca="false">INDEX('Commercial View'!$U$2:$U$301,MATCH($A276,'Commercial View'!$A$2:$A$301,0))</f>
        <v>H2 Active / No H1 GMV</v>
      </c>
      <c r="O276" s="2" t="n">
        <v>1</v>
      </c>
      <c r="P276" s="2" t="n">
        <v>0</v>
      </c>
      <c r="Q276" s="2" t="n">
        <v>1</v>
      </c>
      <c r="R276" s="2" t="n">
        <v>4</v>
      </c>
      <c r="S276" s="2" t="n">
        <v>0</v>
      </c>
      <c r="T276" s="2" t="str">
        <f aca="false">IF(H276="Broker-Reliant",IF(J276="Tail","5. Cost-to-Serve / Low-Touch",IF(OR(N276="Growing",N276="Stable"),"1. Migration Candidate",IF(N276="Declining","2. Protect / Retain First",IF(N276="Lapsed","3. Win-Back / Verify",IF(N276="H2 Active / No H1 GMV","4. Establish / Re-establish / Observe","UNASSIGNED"))))),IF(G276="Low",IF(J276="Tail","9. Long-Tail Automated Nurture",IF(OR(N276="Growing",N276="Stable"),"6. Growth Opportunity",IF(N276="H2 Active / No H1 GMV","7. Onboard / Re-engage / Learn",IF(OR(N276="Declining",N276="Lapsed"),"8. Retention / Reactivation","UNASSIGNED")))),"UNASSIGNED"))</f>
        <v>9. Long-Tail Automated Nurture</v>
      </c>
      <c r="U276" s="10" t="b">
        <f aca="false">AND(T276="1. Migration Candidate",J276="Core",O276&gt;=Assumptions!$B$39,Q276&gt;=Assumptions!$B$40,NOT(Z276))</f>
        <v>0</v>
      </c>
      <c r="V276" s="2" t="n">
        <f aca="false">(AND(H276="Broker-Reliant",J276&lt;&gt;"Tail",OR(N276="Growing",N276="Stable")))*1+(AND(H276="Broker-Reliant",J276&lt;&gt;"Tail",N276="Declining"))*1+(AND(H276="Broker-Reliant",J276&lt;&gt;"Tail",N276="Lapsed"))*1+(AND(H276="Broker-Reliant",J276&lt;&gt;"Tail",N276="H2 Active / No H1 GMV"))*1+(AND(H276="Broker-Reliant",J276="Tail"))*1+(AND(G276="Low",J276&lt;&gt;"Tail",OR(N276="Growing",N276="Stable")))*1+(AND(G276="Low",J276&lt;&gt;"Tail",N276="H2 Active / No H1 GMV"))*1+(AND(G276="Low",J276&lt;&gt;"Tail",OR(N276="Declining",N276="Lapsed")))*1+(AND(G276="Low",J276="Tail"))*1</f>
        <v>1</v>
      </c>
      <c r="W276" s="2" t="n">
        <f aca="false">INDEX('Commercial View'!$V$2:$V$301,MATCH($A276,'Commercial View'!$A$2:$A$301,0))</f>
        <v>1</v>
      </c>
      <c r="X276" s="10" t="b">
        <f aca="false">O276&lt;=Assumptions!$B$30</f>
        <v>1</v>
      </c>
      <c r="Y276" s="10" t="b">
        <f aca="false">W276&lt;=1</f>
        <v>1</v>
      </c>
      <c r="Z276" s="10" t="b">
        <f aca="false">C276="Duplicate"</f>
        <v>0</v>
      </c>
      <c r="AA276" s="10" t="b">
        <f aca="false">C276=""</f>
        <v>1</v>
      </c>
      <c r="AB276" s="2" t="n">
        <f aca="false">IF(P276+Q276&gt;0,ROUND(P276/(P276+Q276)*100,0),"")</f>
        <v>0</v>
      </c>
      <c r="AC276" s="2" t="n">
        <f aca="false">IF(P276+Q276&gt;0,ROUND(E276-P276/(P276+Q276)*100,0),"")</f>
        <v>0</v>
      </c>
      <c r="AD276" s="10" t="b">
        <f aca="false">IF(AC276="",FALSE(),ABS(AC276)&gt;Assumptions!$B$41)</f>
        <v>0</v>
      </c>
      <c r="AE276" s="2" t="str">
        <f aca="false">IF(X276,"Low confidence (&lt;=2 orders); ","")&amp;IF(Y276,"Single-month history; ","")&amp;IF(Z276,"CRITICAL: Duplicate status; ","")&amp;IF(AA276,"Missing status; ","")&amp;IF(AD276,"Broker % vs counts gap "&amp;TEXT(AC276,"+0;-0")&amp;"pts; ","")</f>
        <v>Low confidence (&lt;=2 orders); Single-month history; Missing status; </v>
      </c>
      <c r="AF276" s="2" t="str">
        <f aca="false">IF(AND(K276=0,L276&gt;0),IF(D276&lt;=Assumptions!$B$47,"New Customer","Returned Customer"),"Existing Customer")</f>
        <v>New Customer</v>
      </c>
      <c r="AG276" s="10" t="b">
        <f aca="false">AND(T276="1. Migration Candidate",J276="Key")</f>
        <v>0</v>
      </c>
      <c r="AH276" s="10" t="b">
        <f aca="false">IF(AND(K276&gt;0,L276&gt;0),OR(ABS(M276-Assumptions!$B$36)&lt;=Assumptions!$B$46,ABS(M276+Assumptions!$B$36)&lt;=Assumptions!$B$46),FALSE())</f>
        <v>0</v>
      </c>
      <c r="AI276" s="9" t="n">
        <f aca="false">INDEX('Commercial View'!$L$2:$L$301,MATCH($A276,'Commercial View'!$A$2:$A$301,0))+INDEX('Commercial View'!$M$2:$M$301,MATCH($A276,'Commercial View'!$A$2:$A$301,0))</f>
        <v>0</v>
      </c>
      <c r="AJ276" s="2" t="str">
        <f aca="false">IF(AND(K276=0,AI276=0),"No activity ex-Feb",IF(AI276=0,"Lapsed",IF(K276=0,"H2 Active / No H1 GMV",IF((AI276/2)/(K276/3)-1&gt;=Assumptions!$B$36,"Growing",IF((AI276/2)/(K276/3)-1&lt;-Assumptions!$B$36,"Declining","Stable")))))</f>
        <v>No activity ex-Feb</v>
      </c>
      <c r="AK276" s="10" t="b">
        <f aca="false">IF(OR(N276="Growing",N276="Stable"),"Healthy",N276)&lt;&gt;IF(OR(AJ276="Growing",AJ276="Stable"),"Healthy",AJ276)</f>
        <v>1</v>
      </c>
      <c r="AL276" s="2" t="str">
        <f aca="false">IF(N276="Lapsed",IF(OR(O276&lt;=Assumptions!$B$48,W276&lt;=Assumptions!$B$49),"One-Off / Insufficient History — Verify","Established Buyer Lapsed"),"N/A")</f>
        <v>N/A</v>
      </c>
      <c r="AM276" s="2" t="n">
        <f aca="false">INDEX('Scored Accounts'!$M$2:$M$301,MATCH($A276,'Scored Accounts'!$A$2:$A$301,0))</f>
        <v>0</v>
      </c>
      <c r="AN276" s="2" t="n">
        <f aca="false">IF((P276/(P276+Q276)*100)&lt;=Assumptions!$B$13,0,IF((P276/(P276+Q276)*100)&lt;Assumptions!$B$14,25,IF((P276/(P276+Q276)*100)&lt;Assumptions!$B$15,50,IF((P276/(P276+Q276)*100)&lt;Assumptions!$B$16,75,100))))</f>
        <v>0</v>
      </c>
      <c r="AO276" s="21" t="n">
        <f aca="false">IF((P276/(P276+Q276)*100)&lt;=Assumptions!$B$8,0,AN276*Assumptions!$B$4+INDEX('Scored Accounts'!$N$2:$N$301,MATCH($A276,'Scored Accounts'!$A$2:$A$301,0))*Assumptions!$B$5+INDEX('Scored Accounts'!$O$2:$O$301,MATCH($A276,'Scored Accounts'!$A$2:$A$301,0))*Assumptions!$B$6)</f>
        <v>0</v>
      </c>
      <c r="AP276" s="2" t="str">
        <f aca="false">IF(AO276&gt;=Assumptions!$B$9,"High",IF(AO276&gt;=Assumptions!$B$10,"Medium","Low"))</f>
        <v>Low</v>
      </c>
      <c r="AQ276" s="10" t="b">
        <f aca="false">OR((E276&lt;=Assumptions!$B$8)&lt;&gt;((P276/(P276+Q276)*100)&lt;=Assumptions!$B$8),AM276&lt;&gt;AN276,G276&lt;&gt;AP276)</f>
        <v>0</v>
      </c>
      <c r="AR276" s="2" t="str">
        <f aca="false">IF(AP276&lt;&gt;"Low","Broker-Reliant",IF(B276="Account Managed","AM-Owned / Self-Serving","Self-Serve"))</f>
        <v>Self-Serve</v>
      </c>
      <c r="AS276" s="2" t="str">
        <f aca="false">IF(AR276="Broker-Reliant",IF(J276="Tail","5. Cost-to-Serve / Low-Touch",IF(OR(N276="Growing",N276="Stable"),"1. Migration Candidate",IF(N276="Declining","2. Protect / Retain First",IF(N276="Lapsed","3. Win-Back / Verify",IF(N276="H2 Active / No H1 GMV","4. Establish / Re-establish / Observe","UNASSIGNED"))))),IF(AP276="Low",IF(J276="Tail","9. Long-Tail Automated Nurture",IF(OR(N276="Growing",N276="Stable"),"6. Growth Opportunity",IF(N276="H2 Active / No H1 GMV","7. Onboard / Re-engage / Learn",IF(OR(N276="Declining",N276="Lapsed"),"8. Retention / Reactivation","UNASSIGNED")))),"UNASSIGNED"))</f>
        <v>9. Long-Tail Automated Nurture</v>
      </c>
      <c r="AT276" s="10" t="b">
        <f aca="false">AS276&lt;&gt;T276</f>
        <v>0</v>
      </c>
      <c r="AU276" s="2" t="str">
        <f aca="false">IF(NOT(U276),"Not Eligible",IF(OR(AQ276,AH276,AK276,NOT(AND(W276&gt;=Assumptions!$B$83,O276&gt;=Assumptions!$B$84))),"Manual Review","Ready"))</f>
        <v>Not Eligible</v>
      </c>
      <c r="AV276" s="2" t="str">
        <f aca="false">IF(AG276,"Key account - human sign-off required; ","")&amp;IF(AH276,"Borderline momentum; ","")&amp;IF(AK276,"February-sensitive ("&amp;N276&amp;" -&gt; "&amp;AJ276&amp;"); ","")&amp;IF(AL276="One-Off / Insufficient History — Verify","Lapsed on thin history - verify; ","")&amp;IF(AQ276,"Material broker % inconsistency (implied tier "&amp;AP276&amp;"); ","")&amp;IF(AT276,"Implied broker % would move segment to "&amp;AS276&amp;"; ","")</f>
        <v>February-sensitive (H2 Active / No H1 GMV -&gt; No activity ex-Feb); </v>
      </c>
      <c r="AW276" s="10" t="b">
        <f aca="false">AND(G276="Low",J276="Tail",I276&gt;=Assumptions!$B$64,O276&gt;=Assumptions!$B$65,OR(N276="Growing",N276="Stable",AND(N276="H2 Active / No H1 GMV",W276&gt;=2)),OR(R276&gt;=Assumptions!$B$66,S276&gt;=Assumptions!$B$67))</f>
        <v>0</v>
      </c>
    </row>
    <row r="277" customFormat="false" ht="15" hidden="false" customHeight="false" outlineLevel="0" collapsed="false">
      <c r="A277" s="2" t="s">
        <v>916</v>
      </c>
      <c r="B277" s="2" t="s">
        <v>1574</v>
      </c>
      <c r="C277" s="2"/>
      <c r="D277" s="2" t="n">
        <v>2</v>
      </c>
      <c r="E277" s="2" t="n">
        <v>0</v>
      </c>
      <c r="F277" s="21" t="n">
        <f aca="false">INDEX('Scored Accounts'!$Q$2:$Q$301,MATCH($A277,'Scored Accounts'!$A$2:$A$301,0))</f>
        <v>0</v>
      </c>
      <c r="G277" s="2" t="str">
        <f aca="false">INDEX('Scored Accounts'!$R$2:$R$301,MATCH($A277,'Scored Accounts'!$A$2:$A$301,0))</f>
        <v>Low</v>
      </c>
      <c r="H277" s="2" t="str">
        <f aca="false">IF(OR(G277="High",G277="Medium"),"Broker-Reliant",IF(AND(G277="Low",B277="Account Managed"),"AM-Owned / Self-Serving",IF(AND(G277="Low",B277="Self Serve"),"Self-Serve","UNASSIGNED")))</f>
        <v>Self-Serve</v>
      </c>
      <c r="I277" s="9" t="n">
        <v>142</v>
      </c>
      <c r="J277" s="2" t="str">
        <f aca="false">IF(I277&gt;=Assumptions!$B$35,"Key",IF(I277&gt;=Assumptions!$B$34,"Core","Tail"))</f>
        <v>Tail</v>
      </c>
      <c r="K277" s="9" t="n">
        <f aca="false">INDEX('Commercial View'!$R$2:$R$301,MATCH($A277,'Commercial View'!$A$2:$A$301,0))</f>
        <v>0</v>
      </c>
      <c r="L277" s="9" t="n">
        <f aca="false">INDEX('Commercial View'!$S$2:$S$301,MATCH($A277,'Commercial View'!$A$2:$A$301,0))</f>
        <v>142</v>
      </c>
      <c r="M277" s="17" t="str">
        <f aca="false">INDEX('Commercial View'!$T$2:$T$301,MATCH($A277,'Commercial View'!$A$2:$A$301,0))</f>
        <v/>
      </c>
      <c r="N277" s="2" t="str">
        <f aca="false">INDEX('Commercial View'!$U$2:$U$301,MATCH($A277,'Commercial View'!$A$2:$A$301,0))</f>
        <v>H2 Active / No H1 GMV</v>
      </c>
      <c r="O277" s="2" t="n">
        <v>1</v>
      </c>
      <c r="P277" s="2" t="n">
        <v>0</v>
      </c>
      <c r="Q277" s="2" t="n">
        <v>1</v>
      </c>
      <c r="R277" s="2" t="n">
        <v>5</v>
      </c>
      <c r="S277" s="2" t="n">
        <v>0</v>
      </c>
      <c r="T277" s="2" t="str">
        <f aca="false">IF(H277="Broker-Reliant",IF(J277="Tail","5. Cost-to-Serve / Low-Touch",IF(OR(N277="Growing",N277="Stable"),"1. Migration Candidate",IF(N277="Declining","2. Protect / Retain First",IF(N277="Lapsed","3. Win-Back / Verify",IF(N277="H2 Active / No H1 GMV","4. Establish / Re-establish / Observe","UNASSIGNED"))))),IF(G277="Low",IF(J277="Tail","9. Long-Tail Automated Nurture",IF(OR(N277="Growing",N277="Stable"),"6. Growth Opportunity",IF(N277="H2 Active / No H1 GMV","7. Onboard / Re-engage / Learn",IF(OR(N277="Declining",N277="Lapsed"),"8. Retention / Reactivation","UNASSIGNED")))),"UNASSIGNED"))</f>
        <v>9. Long-Tail Automated Nurture</v>
      </c>
      <c r="U277" s="10" t="b">
        <f aca="false">AND(T277="1. Migration Candidate",J277="Core",O277&gt;=Assumptions!$B$39,Q277&gt;=Assumptions!$B$40,NOT(Z277))</f>
        <v>0</v>
      </c>
      <c r="V277" s="2" t="n">
        <f aca="false">(AND(H277="Broker-Reliant",J277&lt;&gt;"Tail",OR(N277="Growing",N277="Stable")))*1+(AND(H277="Broker-Reliant",J277&lt;&gt;"Tail",N277="Declining"))*1+(AND(H277="Broker-Reliant",J277&lt;&gt;"Tail",N277="Lapsed"))*1+(AND(H277="Broker-Reliant",J277&lt;&gt;"Tail",N277="H2 Active / No H1 GMV"))*1+(AND(H277="Broker-Reliant",J277="Tail"))*1+(AND(G277="Low",J277&lt;&gt;"Tail",OR(N277="Growing",N277="Stable")))*1+(AND(G277="Low",J277&lt;&gt;"Tail",N277="H2 Active / No H1 GMV"))*1+(AND(G277="Low",J277&lt;&gt;"Tail",OR(N277="Declining",N277="Lapsed")))*1+(AND(G277="Low",J277="Tail"))*1</f>
        <v>1</v>
      </c>
      <c r="W277" s="2" t="n">
        <f aca="false">INDEX('Commercial View'!$V$2:$V$301,MATCH($A277,'Commercial View'!$A$2:$A$301,0))</f>
        <v>1</v>
      </c>
      <c r="X277" s="10" t="b">
        <f aca="false">O277&lt;=Assumptions!$B$30</f>
        <v>1</v>
      </c>
      <c r="Y277" s="10" t="b">
        <f aca="false">W277&lt;=1</f>
        <v>1</v>
      </c>
      <c r="Z277" s="10" t="b">
        <f aca="false">C277="Duplicate"</f>
        <v>0</v>
      </c>
      <c r="AA277" s="10" t="b">
        <f aca="false">C277=""</f>
        <v>1</v>
      </c>
      <c r="AB277" s="2" t="n">
        <f aca="false">IF(P277+Q277&gt;0,ROUND(P277/(P277+Q277)*100,0),"")</f>
        <v>0</v>
      </c>
      <c r="AC277" s="2" t="n">
        <f aca="false">IF(P277+Q277&gt;0,ROUND(E277-P277/(P277+Q277)*100,0),"")</f>
        <v>0</v>
      </c>
      <c r="AD277" s="10" t="b">
        <f aca="false">IF(AC277="",FALSE(),ABS(AC277)&gt;Assumptions!$B$41)</f>
        <v>0</v>
      </c>
      <c r="AE277" s="2" t="str">
        <f aca="false">IF(X277,"Low confidence (&lt;=2 orders); ","")&amp;IF(Y277,"Single-month history; ","")&amp;IF(Z277,"CRITICAL: Duplicate status; ","")&amp;IF(AA277,"Missing status; ","")&amp;IF(AD277,"Broker % vs counts gap "&amp;TEXT(AC277,"+0;-0")&amp;"pts; ","")</f>
        <v>Low confidence (&lt;=2 orders); Single-month history; Missing status; </v>
      </c>
      <c r="AF277" s="2" t="str">
        <f aca="false">IF(AND(K277=0,L277&gt;0),IF(D277&lt;=Assumptions!$B$47,"New Customer","Returned Customer"),"Existing Customer")</f>
        <v>New Customer</v>
      </c>
      <c r="AG277" s="10" t="b">
        <f aca="false">AND(T277="1. Migration Candidate",J277="Key")</f>
        <v>0</v>
      </c>
      <c r="AH277" s="10" t="b">
        <f aca="false">IF(AND(K277&gt;0,L277&gt;0),OR(ABS(M277-Assumptions!$B$36)&lt;=Assumptions!$B$46,ABS(M277+Assumptions!$B$36)&lt;=Assumptions!$B$46),FALSE())</f>
        <v>0</v>
      </c>
      <c r="AI277" s="9" t="n">
        <f aca="false">INDEX('Commercial View'!$L$2:$L$301,MATCH($A277,'Commercial View'!$A$2:$A$301,0))+INDEX('Commercial View'!$M$2:$M$301,MATCH($A277,'Commercial View'!$A$2:$A$301,0))</f>
        <v>142</v>
      </c>
      <c r="AJ277" s="2" t="str">
        <f aca="false">IF(AND(K277=0,AI277=0),"No activity ex-Feb",IF(AI277=0,"Lapsed",IF(K277=0,"H2 Active / No H1 GMV",IF((AI277/2)/(K277/3)-1&gt;=Assumptions!$B$36,"Growing",IF((AI277/2)/(K277/3)-1&lt;-Assumptions!$B$36,"Declining","Stable")))))</f>
        <v>H2 Active / No H1 GMV</v>
      </c>
      <c r="AK277" s="10" t="b">
        <f aca="false">IF(OR(N277="Growing",N277="Stable"),"Healthy",N277)&lt;&gt;IF(OR(AJ277="Growing",AJ277="Stable"),"Healthy",AJ277)</f>
        <v>0</v>
      </c>
      <c r="AL277" s="2" t="str">
        <f aca="false">IF(N277="Lapsed",IF(OR(O277&lt;=Assumptions!$B$48,W277&lt;=Assumptions!$B$49),"One-Off / Insufficient History — Verify","Established Buyer Lapsed"),"N/A")</f>
        <v>N/A</v>
      </c>
      <c r="AM277" s="2" t="n">
        <f aca="false">INDEX('Scored Accounts'!$M$2:$M$301,MATCH($A277,'Scored Accounts'!$A$2:$A$301,0))</f>
        <v>0</v>
      </c>
      <c r="AN277" s="2" t="n">
        <f aca="false">IF((P277/(P277+Q277)*100)&lt;=Assumptions!$B$13,0,IF((P277/(P277+Q277)*100)&lt;Assumptions!$B$14,25,IF((P277/(P277+Q277)*100)&lt;Assumptions!$B$15,50,IF((P277/(P277+Q277)*100)&lt;Assumptions!$B$16,75,100))))</f>
        <v>0</v>
      </c>
      <c r="AO277" s="21" t="n">
        <f aca="false">IF((P277/(P277+Q277)*100)&lt;=Assumptions!$B$8,0,AN277*Assumptions!$B$4+INDEX('Scored Accounts'!$N$2:$N$301,MATCH($A277,'Scored Accounts'!$A$2:$A$301,0))*Assumptions!$B$5+INDEX('Scored Accounts'!$O$2:$O$301,MATCH($A277,'Scored Accounts'!$A$2:$A$301,0))*Assumptions!$B$6)</f>
        <v>0</v>
      </c>
      <c r="AP277" s="2" t="str">
        <f aca="false">IF(AO277&gt;=Assumptions!$B$9,"High",IF(AO277&gt;=Assumptions!$B$10,"Medium","Low"))</f>
        <v>Low</v>
      </c>
      <c r="AQ277" s="10" t="b">
        <f aca="false">OR((E277&lt;=Assumptions!$B$8)&lt;&gt;((P277/(P277+Q277)*100)&lt;=Assumptions!$B$8),AM277&lt;&gt;AN277,G277&lt;&gt;AP277)</f>
        <v>0</v>
      </c>
      <c r="AR277" s="2" t="str">
        <f aca="false">IF(AP277&lt;&gt;"Low","Broker-Reliant",IF(B277="Account Managed","AM-Owned / Self-Serving","Self-Serve"))</f>
        <v>Self-Serve</v>
      </c>
      <c r="AS277" s="2" t="str">
        <f aca="false">IF(AR277="Broker-Reliant",IF(J277="Tail","5. Cost-to-Serve / Low-Touch",IF(OR(N277="Growing",N277="Stable"),"1. Migration Candidate",IF(N277="Declining","2. Protect / Retain First",IF(N277="Lapsed","3. Win-Back / Verify",IF(N277="H2 Active / No H1 GMV","4. Establish / Re-establish / Observe","UNASSIGNED"))))),IF(AP277="Low",IF(J277="Tail","9. Long-Tail Automated Nurture",IF(OR(N277="Growing",N277="Stable"),"6. Growth Opportunity",IF(N277="H2 Active / No H1 GMV","7. Onboard / Re-engage / Learn",IF(OR(N277="Declining",N277="Lapsed"),"8. Retention / Reactivation","UNASSIGNED")))),"UNASSIGNED"))</f>
        <v>9. Long-Tail Automated Nurture</v>
      </c>
      <c r="AT277" s="10" t="b">
        <f aca="false">AS277&lt;&gt;T277</f>
        <v>0</v>
      </c>
      <c r="AU277" s="2" t="str">
        <f aca="false">IF(NOT(U277),"Not Eligible",IF(OR(AQ277,AH277,AK277,NOT(AND(W277&gt;=Assumptions!$B$83,O277&gt;=Assumptions!$B$84))),"Manual Review","Ready"))</f>
        <v>Not Eligible</v>
      </c>
      <c r="AV277" s="2" t="str">
        <f aca="false">IF(AG277,"Key account - human sign-off required; ","")&amp;IF(AH277,"Borderline momentum; ","")&amp;IF(AK277,"February-sensitive ("&amp;N277&amp;" -&gt; "&amp;AJ277&amp;"); ","")&amp;IF(AL277="One-Off / Insufficient History — Verify","Lapsed on thin history - verify; ","")&amp;IF(AQ277,"Material broker % inconsistency (implied tier "&amp;AP277&amp;"); ","")&amp;IF(AT277,"Implied broker % would move segment to "&amp;AS277&amp;"; ","")</f>
        <v/>
      </c>
      <c r="AW277" s="10" t="b">
        <f aca="false">AND(G277="Low",J277="Tail",I277&gt;=Assumptions!$B$64,O277&gt;=Assumptions!$B$65,OR(N277="Growing",N277="Stable",AND(N277="H2 Active / No H1 GMV",W277&gt;=2)),OR(R277&gt;=Assumptions!$B$66,S277&gt;=Assumptions!$B$67))</f>
        <v>0</v>
      </c>
    </row>
    <row r="278" customFormat="false" ht="15" hidden="false" customHeight="false" outlineLevel="0" collapsed="false">
      <c r="A278" s="2" t="s">
        <v>918</v>
      </c>
      <c r="B278" s="2" t="s">
        <v>1574</v>
      </c>
      <c r="C278" s="2"/>
      <c r="D278" s="2" t="n">
        <v>1</v>
      </c>
      <c r="E278" s="2" t="n">
        <v>0</v>
      </c>
      <c r="F278" s="21" t="n">
        <f aca="false">INDEX('Scored Accounts'!$Q$2:$Q$301,MATCH($A278,'Scored Accounts'!$A$2:$A$301,0))</f>
        <v>0</v>
      </c>
      <c r="G278" s="2" t="str">
        <f aca="false">INDEX('Scored Accounts'!$R$2:$R$301,MATCH($A278,'Scored Accounts'!$A$2:$A$301,0))</f>
        <v>Low</v>
      </c>
      <c r="H278" s="2" t="str">
        <f aca="false">IF(OR(G278="High",G278="Medium"),"Broker-Reliant",IF(AND(G278="Low",B278="Account Managed"),"AM-Owned / Self-Serving",IF(AND(G278="Low",B278="Self Serve"),"Self-Serve","UNASSIGNED")))</f>
        <v>Self-Serve</v>
      </c>
      <c r="I278" s="9" t="n">
        <v>140</v>
      </c>
      <c r="J278" s="2" t="str">
        <f aca="false">IF(I278&gt;=Assumptions!$B$35,"Key",IF(I278&gt;=Assumptions!$B$34,"Core","Tail"))</f>
        <v>Tail</v>
      </c>
      <c r="K278" s="9" t="n">
        <f aca="false">INDEX('Commercial View'!$R$2:$R$301,MATCH($A278,'Commercial View'!$A$2:$A$301,0))</f>
        <v>0</v>
      </c>
      <c r="L278" s="9" t="n">
        <f aca="false">INDEX('Commercial View'!$S$2:$S$301,MATCH($A278,'Commercial View'!$A$2:$A$301,0))</f>
        <v>140</v>
      </c>
      <c r="M278" s="17" t="str">
        <f aca="false">INDEX('Commercial View'!$T$2:$T$301,MATCH($A278,'Commercial View'!$A$2:$A$301,0))</f>
        <v/>
      </c>
      <c r="N278" s="2" t="str">
        <f aca="false">INDEX('Commercial View'!$U$2:$U$301,MATCH($A278,'Commercial View'!$A$2:$A$301,0))</f>
        <v>H2 Active / No H1 GMV</v>
      </c>
      <c r="O278" s="2" t="n">
        <v>1</v>
      </c>
      <c r="P278" s="2" t="n">
        <v>0</v>
      </c>
      <c r="Q278" s="2" t="n">
        <v>1</v>
      </c>
      <c r="R278" s="2" t="n">
        <v>3</v>
      </c>
      <c r="S278" s="2" t="n">
        <v>4</v>
      </c>
      <c r="T278" s="2" t="str">
        <f aca="false">IF(H278="Broker-Reliant",IF(J278="Tail","5. Cost-to-Serve / Low-Touch",IF(OR(N278="Growing",N278="Stable"),"1. Migration Candidate",IF(N278="Declining","2. Protect / Retain First",IF(N278="Lapsed","3. Win-Back / Verify",IF(N278="H2 Active / No H1 GMV","4. Establish / Re-establish / Observe","UNASSIGNED"))))),IF(G278="Low",IF(J278="Tail","9. Long-Tail Automated Nurture",IF(OR(N278="Growing",N278="Stable"),"6. Growth Opportunity",IF(N278="H2 Active / No H1 GMV","7. Onboard / Re-engage / Learn",IF(OR(N278="Declining",N278="Lapsed"),"8. Retention / Reactivation","UNASSIGNED")))),"UNASSIGNED"))</f>
        <v>9. Long-Tail Automated Nurture</v>
      </c>
      <c r="U278" s="10" t="b">
        <f aca="false">AND(T278="1. Migration Candidate",J278="Core",O278&gt;=Assumptions!$B$39,Q278&gt;=Assumptions!$B$40,NOT(Z278))</f>
        <v>0</v>
      </c>
      <c r="V278" s="2" t="n">
        <f aca="false">(AND(H278="Broker-Reliant",J278&lt;&gt;"Tail",OR(N278="Growing",N278="Stable")))*1+(AND(H278="Broker-Reliant",J278&lt;&gt;"Tail",N278="Declining"))*1+(AND(H278="Broker-Reliant",J278&lt;&gt;"Tail",N278="Lapsed"))*1+(AND(H278="Broker-Reliant",J278&lt;&gt;"Tail",N278="H2 Active / No H1 GMV"))*1+(AND(H278="Broker-Reliant",J278="Tail"))*1+(AND(G278="Low",J278&lt;&gt;"Tail",OR(N278="Growing",N278="Stable")))*1+(AND(G278="Low",J278&lt;&gt;"Tail",N278="H2 Active / No H1 GMV"))*1+(AND(G278="Low",J278&lt;&gt;"Tail",OR(N278="Declining",N278="Lapsed")))*1+(AND(G278="Low",J278="Tail"))*1</f>
        <v>1</v>
      </c>
      <c r="W278" s="2" t="n">
        <f aca="false">INDEX('Commercial View'!$V$2:$V$301,MATCH($A278,'Commercial View'!$A$2:$A$301,0))</f>
        <v>1</v>
      </c>
      <c r="X278" s="10" t="b">
        <f aca="false">O278&lt;=Assumptions!$B$30</f>
        <v>1</v>
      </c>
      <c r="Y278" s="10" t="b">
        <f aca="false">W278&lt;=1</f>
        <v>1</v>
      </c>
      <c r="Z278" s="10" t="b">
        <f aca="false">C278="Duplicate"</f>
        <v>0</v>
      </c>
      <c r="AA278" s="10" t="b">
        <f aca="false">C278=""</f>
        <v>1</v>
      </c>
      <c r="AB278" s="2" t="n">
        <f aca="false">IF(P278+Q278&gt;0,ROUND(P278/(P278+Q278)*100,0),"")</f>
        <v>0</v>
      </c>
      <c r="AC278" s="2" t="n">
        <f aca="false">IF(P278+Q278&gt;0,ROUND(E278-P278/(P278+Q278)*100,0),"")</f>
        <v>0</v>
      </c>
      <c r="AD278" s="10" t="b">
        <f aca="false">IF(AC278="",FALSE(),ABS(AC278)&gt;Assumptions!$B$41)</f>
        <v>0</v>
      </c>
      <c r="AE278" s="2" t="str">
        <f aca="false">IF(X278,"Low confidence (&lt;=2 orders); ","")&amp;IF(Y278,"Single-month history; ","")&amp;IF(Z278,"CRITICAL: Duplicate status; ","")&amp;IF(AA278,"Missing status; ","")&amp;IF(AD278,"Broker % vs counts gap "&amp;TEXT(AC278,"+0;-0")&amp;"pts; ","")</f>
        <v>Low confidence (&lt;=2 orders); Single-month history; Missing status; </v>
      </c>
      <c r="AF278" s="2" t="str">
        <f aca="false">IF(AND(K278=0,L278&gt;0),IF(D278&lt;=Assumptions!$B$47,"New Customer","Returned Customer"),"Existing Customer")</f>
        <v>New Customer</v>
      </c>
      <c r="AG278" s="10" t="b">
        <f aca="false">AND(T278="1. Migration Candidate",J278="Key")</f>
        <v>0</v>
      </c>
      <c r="AH278" s="10" t="b">
        <f aca="false">IF(AND(K278&gt;0,L278&gt;0),OR(ABS(M278-Assumptions!$B$36)&lt;=Assumptions!$B$46,ABS(M278+Assumptions!$B$36)&lt;=Assumptions!$B$46),FALSE())</f>
        <v>0</v>
      </c>
      <c r="AI278" s="9" t="n">
        <f aca="false">INDEX('Commercial View'!$L$2:$L$301,MATCH($A278,'Commercial View'!$A$2:$A$301,0))+INDEX('Commercial View'!$M$2:$M$301,MATCH($A278,'Commercial View'!$A$2:$A$301,0))</f>
        <v>0</v>
      </c>
      <c r="AJ278" s="2" t="str">
        <f aca="false">IF(AND(K278=0,AI278=0),"No activity ex-Feb",IF(AI278=0,"Lapsed",IF(K278=0,"H2 Active / No H1 GMV",IF((AI278/2)/(K278/3)-1&gt;=Assumptions!$B$36,"Growing",IF((AI278/2)/(K278/3)-1&lt;-Assumptions!$B$36,"Declining","Stable")))))</f>
        <v>No activity ex-Feb</v>
      </c>
      <c r="AK278" s="10" t="b">
        <f aca="false">IF(OR(N278="Growing",N278="Stable"),"Healthy",N278)&lt;&gt;IF(OR(AJ278="Growing",AJ278="Stable"),"Healthy",AJ278)</f>
        <v>1</v>
      </c>
      <c r="AL278" s="2" t="str">
        <f aca="false">IF(N278="Lapsed",IF(OR(O278&lt;=Assumptions!$B$48,W278&lt;=Assumptions!$B$49),"One-Off / Insufficient History — Verify","Established Buyer Lapsed"),"N/A")</f>
        <v>N/A</v>
      </c>
      <c r="AM278" s="2" t="n">
        <f aca="false">INDEX('Scored Accounts'!$M$2:$M$301,MATCH($A278,'Scored Accounts'!$A$2:$A$301,0))</f>
        <v>0</v>
      </c>
      <c r="AN278" s="2" t="n">
        <f aca="false">IF((P278/(P278+Q278)*100)&lt;=Assumptions!$B$13,0,IF((P278/(P278+Q278)*100)&lt;Assumptions!$B$14,25,IF((P278/(P278+Q278)*100)&lt;Assumptions!$B$15,50,IF((P278/(P278+Q278)*100)&lt;Assumptions!$B$16,75,100))))</f>
        <v>0</v>
      </c>
      <c r="AO278" s="21" t="n">
        <f aca="false">IF((P278/(P278+Q278)*100)&lt;=Assumptions!$B$8,0,AN278*Assumptions!$B$4+INDEX('Scored Accounts'!$N$2:$N$301,MATCH($A278,'Scored Accounts'!$A$2:$A$301,0))*Assumptions!$B$5+INDEX('Scored Accounts'!$O$2:$O$301,MATCH($A278,'Scored Accounts'!$A$2:$A$301,0))*Assumptions!$B$6)</f>
        <v>0</v>
      </c>
      <c r="AP278" s="2" t="str">
        <f aca="false">IF(AO278&gt;=Assumptions!$B$9,"High",IF(AO278&gt;=Assumptions!$B$10,"Medium","Low"))</f>
        <v>Low</v>
      </c>
      <c r="AQ278" s="10" t="b">
        <f aca="false">OR((E278&lt;=Assumptions!$B$8)&lt;&gt;((P278/(P278+Q278)*100)&lt;=Assumptions!$B$8),AM278&lt;&gt;AN278,G278&lt;&gt;AP278)</f>
        <v>0</v>
      </c>
      <c r="AR278" s="2" t="str">
        <f aca="false">IF(AP278&lt;&gt;"Low","Broker-Reliant",IF(B278="Account Managed","AM-Owned / Self-Serving","Self-Serve"))</f>
        <v>Self-Serve</v>
      </c>
      <c r="AS278" s="2" t="str">
        <f aca="false">IF(AR278="Broker-Reliant",IF(J278="Tail","5. Cost-to-Serve / Low-Touch",IF(OR(N278="Growing",N278="Stable"),"1. Migration Candidate",IF(N278="Declining","2. Protect / Retain First",IF(N278="Lapsed","3. Win-Back / Verify",IF(N278="H2 Active / No H1 GMV","4. Establish / Re-establish / Observe","UNASSIGNED"))))),IF(AP278="Low",IF(J278="Tail","9. Long-Tail Automated Nurture",IF(OR(N278="Growing",N278="Stable"),"6. Growth Opportunity",IF(N278="H2 Active / No H1 GMV","7. Onboard / Re-engage / Learn",IF(OR(N278="Declining",N278="Lapsed"),"8. Retention / Reactivation","UNASSIGNED")))),"UNASSIGNED"))</f>
        <v>9. Long-Tail Automated Nurture</v>
      </c>
      <c r="AT278" s="10" t="b">
        <f aca="false">AS278&lt;&gt;T278</f>
        <v>0</v>
      </c>
      <c r="AU278" s="2" t="str">
        <f aca="false">IF(NOT(U278),"Not Eligible",IF(OR(AQ278,AH278,AK278,NOT(AND(W278&gt;=Assumptions!$B$83,O278&gt;=Assumptions!$B$84))),"Manual Review","Ready"))</f>
        <v>Not Eligible</v>
      </c>
      <c r="AV278" s="2" t="str">
        <f aca="false">IF(AG278,"Key account - human sign-off required; ","")&amp;IF(AH278,"Borderline momentum; ","")&amp;IF(AK278,"February-sensitive ("&amp;N278&amp;" -&gt; "&amp;AJ278&amp;"); ","")&amp;IF(AL278="One-Off / Insufficient History — Verify","Lapsed on thin history - verify; ","")&amp;IF(AQ278,"Material broker % inconsistency (implied tier "&amp;AP278&amp;"); ","")&amp;IF(AT278,"Implied broker % would move segment to "&amp;AS278&amp;"; ","")</f>
        <v>February-sensitive (H2 Active / No H1 GMV -&gt; No activity ex-Feb); </v>
      </c>
      <c r="AW278" s="10" t="b">
        <f aca="false">AND(G278="Low",J278="Tail",I278&gt;=Assumptions!$B$64,O278&gt;=Assumptions!$B$65,OR(N278="Growing",N278="Stable",AND(N278="H2 Active / No H1 GMV",W278&gt;=2)),OR(R278&gt;=Assumptions!$B$66,S278&gt;=Assumptions!$B$67))</f>
        <v>0</v>
      </c>
    </row>
    <row r="279" customFormat="false" ht="15" hidden="false" customHeight="false" outlineLevel="0" collapsed="false">
      <c r="A279" s="2" t="s">
        <v>920</v>
      </c>
      <c r="B279" s="2" t="s">
        <v>1574</v>
      </c>
      <c r="C279" s="2"/>
      <c r="D279" s="2" t="n">
        <v>4</v>
      </c>
      <c r="E279" s="2" t="n">
        <v>0</v>
      </c>
      <c r="F279" s="21" t="n">
        <f aca="false">INDEX('Scored Accounts'!$Q$2:$Q$301,MATCH($A279,'Scored Accounts'!$A$2:$A$301,0))</f>
        <v>0</v>
      </c>
      <c r="G279" s="2" t="str">
        <f aca="false">INDEX('Scored Accounts'!$R$2:$R$301,MATCH($A279,'Scored Accounts'!$A$2:$A$301,0))</f>
        <v>Low</v>
      </c>
      <c r="H279" s="2" t="str">
        <f aca="false">IF(OR(G279="High",G279="Medium"),"Broker-Reliant",IF(AND(G279="Low",B279="Account Managed"),"AM-Owned / Self-Serving",IF(AND(G279="Low",B279="Self Serve"),"Self-Serve","UNASSIGNED")))</f>
        <v>Self-Serve</v>
      </c>
      <c r="I279" s="9" t="n">
        <v>138</v>
      </c>
      <c r="J279" s="2" t="str">
        <f aca="false">IF(I279&gt;=Assumptions!$B$35,"Key",IF(I279&gt;=Assumptions!$B$34,"Core","Tail"))</f>
        <v>Tail</v>
      </c>
      <c r="K279" s="9" t="n">
        <f aca="false">INDEX('Commercial View'!$R$2:$R$301,MATCH($A279,'Commercial View'!$A$2:$A$301,0))</f>
        <v>138</v>
      </c>
      <c r="L279" s="9" t="n">
        <f aca="false">INDEX('Commercial View'!$S$2:$S$301,MATCH($A279,'Commercial View'!$A$2:$A$301,0))</f>
        <v>0</v>
      </c>
      <c r="M279" s="17" t="n">
        <f aca="false">INDEX('Commercial View'!$T$2:$T$301,MATCH($A279,'Commercial View'!$A$2:$A$301,0))</f>
        <v>-1</v>
      </c>
      <c r="N279" s="2" t="str">
        <f aca="false">INDEX('Commercial View'!$U$2:$U$301,MATCH($A279,'Commercial View'!$A$2:$A$301,0))</f>
        <v>Lapsed</v>
      </c>
      <c r="O279" s="2" t="n">
        <v>2</v>
      </c>
      <c r="P279" s="2" t="n">
        <v>0</v>
      </c>
      <c r="Q279" s="2" t="n">
        <v>2</v>
      </c>
      <c r="R279" s="2" t="n">
        <v>8</v>
      </c>
      <c r="S279" s="2" t="n">
        <v>0</v>
      </c>
      <c r="T279" s="2" t="str">
        <f aca="false">IF(H279="Broker-Reliant",IF(J279="Tail","5. Cost-to-Serve / Low-Touch",IF(OR(N279="Growing",N279="Stable"),"1. Migration Candidate",IF(N279="Declining","2. Protect / Retain First",IF(N279="Lapsed","3. Win-Back / Verify",IF(N279="H2 Active / No H1 GMV","4. Establish / Re-establish / Observe","UNASSIGNED"))))),IF(G279="Low",IF(J279="Tail","9. Long-Tail Automated Nurture",IF(OR(N279="Growing",N279="Stable"),"6. Growth Opportunity",IF(N279="H2 Active / No H1 GMV","7. Onboard / Re-engage / Learn",IF(OR(N279="Declining",N279="Lapsed"),"8. Retention / Reactivation","UNASSIGNED")))),"UNASSIGNED"))</f>
        <v>9. Long-Tail Automated Nurture</v>
      </c>
      <c r="U279" s="10" t="b">
        <f aca="false">AND(T279="1. Migration Candidate",J279="Core",O279&gt;=Assumptions!$B$39,Q279&gt;=Assumptions!$B$40,NOT(Z279))</f>
        <v>0</v>
      </c>
      <c r="V279" s="2" t="n">
        <f aca="false">(AND(H279="Broker-Reliant",J279&lt;&gt;"Tail",OR(N279="Growing",N279="Stable")))*1+(AND(H279="Broker-Reliant",J279&lt;&gt;"Tail",N279="Declining"))*1+(AND(H279="Broker-Reliant",J279&lt;&gt;"Tail",N279="Lapsed"))*1+(AND(H279="Broker-Reliant",J279&lt;&gt;"Tail",N279="H2 Active / No H1 GMV"))*1+(AND(H279="Broker-Reliant",J279="Tail"))*1+(AND(G279="Low",J279&lt;&gt;"Tail",OR(N279="Growing",N279="Stable")))*1+(AND(G279="Low",J279&lt;&gt;"Tail",N279="H2 Active / No H1 GMV"))*1+(AND(G279="Low",J279&lt;&gt;"Tail",OR(N279="Declining",N279="Lapsed")))*1+(AND(G279="Low",J279="Tail"))*1</f>
        <v>1</v>
      </c>
      <c r="W279" s="2" t="n">
        <f aca="false">INDEX('Commercial View'!$V$2:$V$301,MATCH($A279,'Commercial View'!$A$2:$A$301,0))</f>
        <v>1</v>
      </c>
      <c r="X279" s="10" t="b">
        <f aca="false">O279&lt;=Assumptions!$B$30</f>
        <v>1</v>
      </c>
      <c r="Y279" s="10" t="b">
        <f aca="false">W279&lt;=1</f>
        <v>1</v>
      </c>
      <c r="Z279" s="10" t="b">
        <f aca="false">C279="Duplicate"</f>
        <v>0</v>
      </c>
      <c r="AA279" s="10" t="b">
        <f aca="false">C279=""</f>
        <v>1</v>
      </c>
      <c r="AB279" s="2" t="n">
        <f aca="false">IF(P279+Q279&gt;0,ROUND(P279/(P279+Q279)*100,0),"")</f>
        <v>0</v>
      </c>
      <c r="AC279" s="2" t="n">
        <f aca="false">IF(P279+Q279&gt;0,ROUND(E279-P279/(P279+Q279)*100,0),"")</f>
        <v>0</v>
      </c>
      <c r="AD279" s="10" t="b">
        <f aca="false">IF(AC279="",FALSE(),ABS(AC279)&gt;Assumptions!$B$41)</f>
        <v>0</v>
      </c>
      <c r="AE279" s="2" t="str">
        <f aca="false">IF(X279,"Low confidence (&lt;=2 orders); ","")&amp;IF(Y279,"Single-month history; ","")&amp;IF(Z279,"CRITICAL: Duplicate status; ","")&amp;IF(AA279,"Missing status; ","")&amp;IF(AD279,"Broker % vs counts gap "&amp;TEXT(AC279,"+0;-0")&amp;"pts; ","")</f>
        <v>Low confidence (&lt;=2 orders); Single-month history; Missing status; </v>
      </c>
      <c r="AF279" s="2" t="str">
        <f aca="false">IF(AND(K279=0,L279&gt;0),IF(D279&lt;=Assumptions!$B$47,"New Customer","Returned Customer"),"Existing Customer")</f>
        <v>Existing Customer</v>
      </c>
      <c r="AG279" s="10" t="b">
        <f aca="false">AND(T279="1. Migration Candidate",J279="Key")</f>
        <v>0</v>
      </c>
      <c r="AH279" s="10" t="b">
        <f aca="false">IF(AND(K279&gt;0,L279&gt;0),OR(ABS(M279-Assumptions!$B$36)&lt;=Assumptions!$B$46,ABS(M279+Assumptions!$B$36)&lt;=Assumptions!$B$46),FALSE())</f>
        <v>0</v>
      </c>
      <c r="AI279" s="9" t="n">
        <f aca="false">INDEX('Commercial View'!$L$2:$L$301,MATCH($A279,'Commercial View'!$A$2:$A$301,0))+INDEX('Commercial View'!$M$2:$M$301,MATCH($A279,'Commercial View'!$A$2:$A$301,0))</f>
        <v>0</v>
      </c>
      <c r="AJ279" s="2" t="str">
        <f aca="false">IF(AND(K279=0,AI279=0),"No activity ex-Feb",IF(AI279=0,"Lapsed",IF(K279=0,"H2 Active / No H1 GMV",IF((AI279/2)/(K279/3)-1&gt;=Assumptions!$B$36,"Growing",IF((AI279/2)/(K279/3)-1&lt;-Assumptions!$B$36,"Declining","Stable")))))</f>
        <v>Lapsed</v>
      </c>
      <c r="AK279" s="10" t="b">
        <f aca="false">IF(OR(N279="Growing",N279="Stable"),"Healthy",N279)&lt;&gt;IF(OR(AJ279="Growing",AJ279="Stable"),"Healthy",AJ279)</f>
        <v>0</v>
      </c>
      <c r="AL279" s="2" t="str">
        <f aca="false">IF(N279="Lapsed",IF(OR(O279&lt;=Assumptions!$B$48,W279&lt;=Assumptions!$B$49),"One-Off / Insufficient History — Verify","Established Buyer Lapsed"),"N/A")</f>
        <v>One-Off / Insufficient History — Verify</v>
      </c>
      <c r="AM279" s="2" t="n">
        <f aca="false">INDEX('Scored Accounts'!$M$2:$M$301,MATCH($A279,'Scored Accounts'!$A$2:$A$301,0))</f>
        <v>0</v>
      </c>
      <c r="AN279" s="2" t="n">
        <f aca="false">IF((P279/(P279+Q279)*100)&lt;=Assumptions!$B$13,0,IF((P279/(P279+Q279)*100)&lt;Assumptions!$B$14,25,IF((P279/(P279+Q279)*100)&lt;Assumptions!$B$15,50,IF((P279/(P279+Q279)*100)&lt;Assumptions!$B$16,75,100))))</f>
        <v>0</v>
      </c>
      <c r="AO279" s="21" t="n">
        <f aca="false">IF((P279/(P279+Q279)*100)&lt;=Assumptions!$B$8,0,AN279*Assumptions!$B$4+INDEX('Scored Accounts'!$N$2:$N$301,MATCH($A279,'Scored Accounts'!$A$2:$A$301,0))*Assumptions!$B$5+INDEX('Scored Accounts'!$O$2:$O$301,MATCH($A279,'Scored Accounts'!$A$2:$A$301,0))*Assumptions!$B$6)</f>
        <v>0</v>
      </c>
      <c r="AP279" s="2" t="str">
        <f aca="false">IF(AO279&gt;=Assumptions!$B$9,"High",IF(AO279&gt;=Assumptions!$B$10,"Medium","Low"))</f>
        <v>Low</v>
      </c>
      <c r="AQ279" s="10" t="b">
        <f aca="false">OR((E279&lt;=Assumptions!$B$8)&lt;&gt;((P279/(P279+Q279)*100)&lt;=Assumptions!$B$8),AM279&lt;&gt;AN279,G279&lt;&gt;AP279)</f>
        <v>0</v>
      </c>
      <c r="AR279" s="2" t="str">
        <f aca="false">IF(AP279&lt;&gt;"Low","Broker-Reliant",IF(B279="Account Managed","AM-Owned / Self-Serving","Self-Serve"))</f>
        <v>Self-Serve</v>
      </c>
      <c r="AS279" s="2" t="str">
        <f aca="false">IF(AR279="Broker-Reliant",IF(J279="Tail","5. Cost-to-Serve / Low-Touch",IF(OR(N279="Growing",N279="Stable"),"1. Migration Candidate",IF(N279="Declining","2. Protect / Retain First",IF(N279="Lapsed","3. Win-Back / Verify",IF(N279="H2 Active / No H1 GMV","4. Establish / Re-establish / Observe","UNASSIGNED"))))),IF(AP279="Low",IF(J279="Tail","9. Long-Tail Automated Nurture",IF(OR(N279="Growing",N279="Stable"),"6. Growth Opportunity",IF(N279="H2 Active / No H1 GMV","7. Onboard / Re-engage / Learn",IF(OR(N279="Declining",N279="Lapsed"),"8. Retention / Reactivation","UNASSIGNED")))),"UNASSIGNED"))</f>
        <v>9. Long-Tail Automated Nurture</v>
      </c>
      <c r="AT279" s="10" t="b">
        <f aca="false">AS279&lt;&gt;T279</f>
        <v>0</v>
      </c>
      <c r="AU279" s="2" t="str">
        <f aca="false">IF(NOT(U279),"Not Eligible",IF(OR(AQ279,AH279,AK279,NOT(AND(W279&gt;=Assumptions!$B$83,O279&gt;=Assumptions!$B$84))),"Manual Review","Ready"))</f>
        <v>Not Eligible</v>
      </c>
      <c r="AV279" s="2" t="str">
        <f aca="false">IF(AG279,"Key account - human sign-off required; ","")&amp;IF(AH279,"Borderline momentum; ","")&amp;IF(AK279,"February-sensitive ("&amp;N279&amp;" -&gt; "&amp;AJ279&amp;"); ","")&amp;IF(AL279="One-Off / Insufficient History — Verify","Lapsed on thin history - verify; ","")&amp;IF(AQ279,"Material broker % inconsistency (implied tier "&amp;AP279&amp;"); ","")&amp;IF(AT279,"Implied broker % would move segment to "&amp;AS279&amp;"; ","")</f>
        <v>Lapsed on thin history - verify; </v>
      </c>
      <c r="AW279" s="10" t="b">
        <f aca="false">AND(G279="Low",J279="Tail",I279&gt;=Assumptions!$B$64,O279&gt;=Assumptions!$B$65,OR(N279="Growing",N279="Stable",AND(N279="H2 Active / No H1 GMV",W279&gt;=2)),OR(R279&gt;=Assumptions!$B$66,S279&gt;=Assumptions!$B$67))</f>
        <v>0</v>
      </c>
    </row>
    <row r="280" customFormat="false" ht="15" hidden="false" customHeight="false" outlineLevel="0" collapsed="false">
      <c r="A280" s="2" t="s">
        <v>924</v>
      </c>
      <c r="B280" s="2" t="s">
        <v>1574</v>
      </c>
      <c r="C280" s="2"/>
      <c r="D280" s="2" t="n">
        <v>3</v>
      </c>
      <c r="E280" s="2" t="n">
        <v>0</v>
      </c>
      <c r="F280" s="21" t="n">
        <f aca="false">INDEX('Scored Accounts'!$Q$2:$Q$301,MATCH($A280,'Scored Accounts'!$A$2:$A$301,0))</f>
        <v>0</v>
      </c>
      <c r="G280" s="2" t="str">
        <f aca="false">INDEX('Scored Accounts'!$R$2:$R$301,MATCH($A280,'Scored Accounts'!$A$2:$A$301,0))</f>
        <v>Low</v>
      </c>
      <c r="H280" s="2" t="str">
        <f aca="false">IF(OR(G280="High",G280="Medium"),"Broker-Reliant",IF(AND(G280="Low",B280="Account Managed"),"AM-Owned / Self-Serving",IF(AND(G280="Low",B280="Self Serve"),"Self-Serve","UNASSIGNED")))</f>
        <v>Self-Serve</v>
      </c>
      <c r="I280" s="9" t="n">
        <v>131</v>
      </c>
      <c r="J280" s="2" t="str">
        <f aca="false">IF(I280&gt;=Assumptions!$B$35,"Key",IF(I280&gt;=Assumptions!$B$34,"Core","Tail"))</f>
        <v>Tail</v>
      </c>
      <c r="K280" s="9" t="n">
        <f aca="false">INDEX('Commercial View'!$R$2:$R$301,MATCH($A280,'Commercial View'!$A$2:$A$301,0))</f>
        <v>0</v>
      </c>
      <c r="L280" s="9" t="n">
        <f aca="false">INDEX('Commercial View'!$S$2:$S$301,MATCH($A280,'Commercial View'!$A$2:$A$301,0))</f>
        <v>131</v>
      </c>
      <c r="M280" s="17" t="str">
        <f aca="false">INDEX('Commercial View'!$T$2:$T$301,MATCH($A280,'Commercial View'!$A$2:$A$301,0))</f>
        <v/>
      </c>
      <c r="N280" s="2" t="str">
        <f aca="false">INDEX('Commercial View'!$U$2:$U$301,MATCH($A280,'Commercial View'!$A$2:$A$301,0))</f>
        <v>H2 Active / No H1 GMV</v>
      </c>
      <c r="O280" s="2" t="n">
        <v>1</v>
      </c>
      <c r="P280" s="2" t="n">
        <v>0</v>
      </c>
      <c r="Q280" s="2" t="n">
        <v>1</v>
      </c>
      <c r="R280" s="2" t="n">
        <v>6</v>
      </c>
      <c r="S280" s="2" t="n">
        <v>3</v>
      </c>
      <c r="T280" s="2" t="str">
        <f aca="false">IF(H280="Broker-Reliant",IF(J280="Tail","5. Cost-to-Serve / Low-Touch",IF(OR(N280="Growing",N280="Stable"),"1. Migration Candidate",IF(N280="Declining","2. Protect / Retain First",IF(N280="Lapsed","3. Win-Back / Verify",IF(N280="H2 Active / No H1 GMV","4. Establish / Re-establish / Observe","UNASSIGNED"))))),IF(G280="Low",IF(J280="Tail","9. Long-Tail Automated Nurture",IF(OR(N280="Growing",N280="Stable"),"6. Growth Opportunity",IF(N280="H2 Active / No H1 GMV","7. Onboard / Re-engage / Learn",IF(OR(N280="Declining",N280="Lapsed"),"8. Retention / Reactivation","UNASSIGNED")))),"UNASSIGNED"))</f>
        <v>9. Long-Tail Automated Nurture</v>
      </c>
      <c r="U280" s="10" t="b">
        <f aca="false">AND(T280="1. Migration Candidate",J280="Core",O280&gt;=Assumptions!$B$39,Q280&gt;=Assumptions!$B$40,NOT(Z280))</f>
        <v>0</v>
      </c>
      <c r="V280" s="2" t="n">
        <f aca="false">(AND(H280="Broker-Reliant",J280&lt;&gt;"Tail",OR(N280="Growing",N280="Stable")))*1+(AND(H280="Broker-Reliant",J280&lt;&gt;"Tail",N280="Declining"))*1+(AND(H280="Broker-Reliant",J280&lt;&gt;"Tail",N280="Lapsed"))*1+(AND(H280="Broker-Reliant",J280&lt;&gt;"Tail",N280="H2 Active / No H1 GMV"))*1+(AND(H280="Broker-Reliant",J280="Tail"))*1+(AND(G280="Low",J280&lt;&gt;"Tail",OR(N280="Growing",N280="Stable")))*1+(AND(G280="Low",J280&lt;&gt;"Tail",N280="H2 Active / No H1 GMV"))*1+(AND(G280="Low",J280&lt;&gt;"Tail",OR(N280="Declining",N280="Lapsed")))*1+(AND(G280="Low",J280="Tail"))*1</f>
        <v>1</v>
      </c>
      <c r="W280" s="2" t="n">
        <f aca="false">INDEX('Commercial View'!$V$2:$V$301,MATCH($A280,'Commercial View'!$A$2:$A$301,0))</f>
        <v>1</v>
      </c>
      <c r="X280" s="10" t="b">
        <f aca="false">O280&lt;=Assumptions!$B$30</f>
        <v>1</v>
      </c>
      <c r="Y280" s="10" t="b">
        <f aca="false">W280&lt;=1</f>
        <v>1</v>
      </c>
      <c r="Z280" s="10" t="b">
        <f aca="false">C280="Duplicate"</f>
        <v>0</v>
      </c>
      <c r="AA280" s="10" t="b">
        <f aca="false">C280=""</f>
        <v>1</v>
      </c>
      <c r="AB280" s="2" t="n">
        <f aca="false">IF(P280+Q280&gt;0,ROUND(P280/(P280+Q280)*100,0),"")</f>
        <v>0</v>
      </c>
      <c r="AC280" s="2" t="n">
        <f aca="false">IF(P280+Q280&gt;0,ROUND(E280-P280/(P280+Q280)*100,0),"")</f>
        <v>0</v>
      </c>
      <c r="AD280" s="10" t="b">
        <f aca="false">IF(AC280="",FALSE(),ABS(AC280)&gt;Assumptions!$B$41)</f>
        <v>0</v>
      </c>
      <c r="AE280" s="2" t="str">
        <f aca="false">IF(X280,"Low confidence (&lt;=2 orders); ","")&amp;IF(Y280,"Single-month history; ","")&amp;IF(Z280,"CRITICAL: Duplicate status; ","")&amp;IF(AA280,"Missing status; ","")&amp;IF(AD280,"Broker % vs counts gap "&amp;TEXT(AC280,"+0;-0")&amp;"pts; ","")</f>
        <v>Low confidence (&lt;=2 orders); Single-month history; Missing status; </v>
      </c>
      <c r="AF280" s="2" t="str">
        <f aca="false">IF(AND(K280=0,L280&gt;0),IF(D280&lt;=Assumptions!$B$47,"New Customer","Returned Customer"),"Existing Customer")</f>
        <v>New Customer</v>
      </c>
      <c r="AG280" s="10" t="b">
        <f aca="false">AND(T280="1. Migration Candidate",J280="Key")</f>
        <v>0</v>
      </c>
      <c r="AH280" s="10" t="b">
        <f aca="false">IF(AND(K280&gt;0,L280&gt;0),OR(ABS(M280-Assumptions!$B$36)&lt;=Assumptions!$B$46,ABS(M280+Assumptions!$B$36)&lt;=Assumptions!$B$46),FALSE())</f>
        <v>0</v>
      </c>
      <c r="AI280" s="9" t="n">
        <f aca="false">INDEX('Commercial View'!$L$2:$L$301,MATCH($A280,'Commercial View'!$A$2:$A$301,0))+INDEX('Commercial View'!$M$2:$M$301,MATCH($A280,'Commercial View'!$A$2:$A$301,0))</f>
        <v>131</v>
      </c>
      <c r="AJ280" s="2" t="str">
        <f aca="false">IF(AND(K280=0,AI280=0),"No activity ex-Feb",IF(AI280=0,"Lapsed",IF(K280=0,"H2 Active / No H1 GMV",IF((AI280/2)/(K280/3)-1&gt;=Assumptions!$B$36,"Growing",IF((AI280/2)/(K280/3)-1&lt;-Assumptions!$B$36,"Declining","Stable")))))</f>
        <v>H2 Active / No H1 GMV</v>
      </c>
      <c r="AK280" s="10" t="b">
        <f aca="false">IF(OR(N280="Growing",N280="Stable"),"Healthy",N280)&lt;&gt;IF(OR(AJ280="Growing",AJ280="Stable"),"Healthy",AJ280)</f>
        <v>0</v>
      </c>
      <c r="AL280" s="2" t="str">
        <f aca="false">IF(N280="Lapsed",IF(OR(O280&lt;=Assumptions!$B$48,W280&lt;=Assumptions!$B$49),"One-Off / Insufficient History — Verify","Established Buyer Lapsed"),"N/A")</f>
        <v>N/A</v>
      </c>
      <c r="AM280" s="2" t="n">
        <f aca="false">INDEX('Scored Accounts'!$M$2:$M$301,MATCH($A280,'Scored Accounts'!$A$2:$A$301,0))</f>
        <v>0</v>
      </c>
      <c r="AN280" s="2" t="n">
        <f aca="false">IF((P280/(P280+Q280)*100)&lt;=Assumptions!$B$13,0,IF((P280/(P280+Q280)*100)&lt;Assumptions!$B$14,25,IF((P280/(P280+Q280)*100)&lt;Assumptions!$B$15,50,IF((P280/(P280+Q280)*100)&lt;Assumptions!$B$16,75,100))))</f>
        <v>0</v>
      </c>
      <c r="AO280" s="21" t="n">
        <f aca="false">IF((P280/(P280+Q280)*100)&lt;=Assumptions!$B$8,0,AN280*Assumptions!$B$4+INDEX('Scored Accounts'!$N$2:$N$301,MATCH($A280,'Scored Accounts'!$A$2:$A$301,0))*Assumptions!$B$5+INDEX('Scored Accounts'!$O$2:$O$301,MATCH($A280,'Scored Accounts'!$A$2:$A$301,0))*Assumptions!$B$6)</f>
        <v>0</v>
      </c>
      <c r="AP280" s="2" t="str">
        <f aca="false">IF(AO280&gt;=Assumptions!$B$9,"High",IF(AO280&gt;=Assumptions!$B$10,"Medium","Low"))</f>
        <v>Low</v>
      </c>
      <c r="AQ280" s="10" t="b">
        <f aca="false">OR((E280&lt;=Assumptions!$B$8)&lt;&gt;((P280/(P280+Q280)*100)&lt;=Assumptions!$B$8),AM280&lt;&gt;AN280,G280&lt;&gt;AP280)</f>
        <v>0</v>
      </c>
      <c r="AR280" s="2" t="str">
        <f aca="false">IF(AP280&lt;&gt;"Low","Broker-Reliant",IF(B280="Account Managed","AM-Owned / Self-Serving","Self-Serve"))</f>
        <v>Self-Serve</v>
      </c>
      <c r="AS280" s="2" t="str">
        <f aca="false">IF(AR280="Broker-Reliant",IF(J280="Tail","5. Cost-to-Serve / Low-Touch",IF(OR(N280="Growing",N280="Stable"),"1. Migration Candidate",IF(N280="Declining","2. Protect / Retain First",IF(N280="Lapsed","3. Win-Back / Verify",IF(N280="H2 Active / No H1 GMV","4. Establish / Re-establish / Observe","UNASSIGNED"))))),IF(AP280="Low",IF(J280="Tail","9. Long-Tail Automated Nurture",IF(OR(N280="Growing",N280="Stable"),"6. Growth Opportunity",IF(N280="H2 Active / No H1 GMV","7. Onboard / Re-engage / Learn",IF(OR(N280="Declining",N280="Lapsed"),"8. Retention / Reactivation","UNASSIGNED")))),"UNASSIGNED"))</f>
        <v>9. Long-Tail Automated Nurture</v>
      </c>
      <c r="AT280" s="10" t="b">
        <f aca="false">AS280&lt;&gt;T280</f>
        <v>0</v>
      </c>
      <c r="AU280" s="2" t="str">
        <f aca="false">IF(NOT(U280),"Not Eligible",IF(OR(AQ280,AH280,AK280,NOT(AND(W280&gt;=Assumptions!$B$83,O280&gt;=Assumptions!$B$84))),"Manual Review","Ready"))</f>
        <v>Not Eligible</v>
      </c>
      <c r="AV280" s="2" t="str">
        <f aca="false">IF(AG280,"Key account - human sign-off required; ","")&amp;IF(AH280,"Borderline momentum; ","")&amp;IF(AK280,"February-sensitive ("&amp;N280&amp;" -&gt; "&amp;AJ280&amp;"); ","")&amp;IF(AL280="One-Off / Insufficient History — Verify","Lapsed on thin history - verify; ","")&amp;IF(AQ280,"Material broker % inconsistency (implied tier "&amp;AP280&amp;"); ","")&amp;IF(AT280,"Implied broker % would move segment to "&amp;AS280&amp;"; ","")</f>
        <v/>
      </c>
      <c r="AW280" s="10" t="b">
        <f aca="false">AND(G280="Low",J280="Tail",I280&gt;=Assumptions!$B$64,O280&gt;=Assumptions!$B$65,OR(N280="Growing",N280="Stable",AND(N280="H2 Active / No H1 GMV",W280&gt;=2)),OR(R280&gt;=Assumptions!$B$66,S280&gt;=Assumptions!$B$67))</f>
        <v>0</v>
      </c>
    </row>
    <row r="281" customFormat="false" ht="15" hidden="false" customHeight="false" outlineLevel="0" collapsed="false">
      <c r="A281" s="2" t="s">
        <v>928</v>
      </c>
      <c r="B281" s="2" t="s">
        <v>1574</v>
      </c>
      <c r="C281" s="2"/>
      <c r="D281" s="2" t="n">
        <v>2</v>
      </c>
      <c r="E281" s="2" t="n">
        <v>0</v>
      </c>
      <c r="F281" s="21" t="n">
        <f aca="false">INDEX('Scored Accounts'!$Q$2:$Q$301,MATCH($A281,'Scored Accounts'!$A$2:$A$301,0))</f>
        <v>0</v>
      </c>
      <c r="G281" s="2" t="str">
        <f aca="false">INDEX('Scored Accounts'!$R$2:$R$301,MATCH($A281,'Scored Accounts'!$A$2:$A$301,0))</f>
        <v>Low</v>
      </c>
      <c r="H281" s="2" t="str">
        <f aca="false">IF(OR(G281="High",G281="Medium"),"Broker-Reliant",IF(AND(G281="Low",B281="Account Managed"),"AM-Owned / Self-Serving",IF(AND(G281="Low",B281="Self Serve"),"Self-Serve","UNASSIGNED")))</f>
        <v>Self-Serve</v>
      </c>
      <c r="I281" s="9" t="n">
        <v>123</v>
      </c>
      <c r="J281" s="2" t="str">
        <f aca="false">IF(I281&gt;=Assumptions!$B$35,"Key",IF(I281&gt;=Assumptions!$B$34,"Core","Tail"))</f>
        <v>Tail</v>
      </c>
      <c r="K281" s="9" t="n">
        <f aca="false">INDEX('Commercial View'!$R$2:$R$301,MATCH($A281,'Commercial View'!$A$2:$A$301,0))</f>
        <v>0</v>
      </c>
      <c r="L281" s="9" t="n">
        <f aca="false">INDEX('Commercial View'!$S$2:$S$301,MATCH($A281,'Commercial View'!$A$2:$A$301,0))</f>
        <v>123</v>
      </c>
      <c r="M281" s="17" t="str">
        <f aca="false">INDEX('Commercial View'!$T$2:$T$301,MATCH($A281,'Commercial View'!$A$2:$A$301,0))</f>
        <v/>
      </c>
      <c r="N281" s="2" t="str">
        <f aca="false">INDEX('Commercial View'!$U$2:$U$301,MATCH($A281,'Commercial View'!$A$2:$A$301,0))</f>
        <v>H2 Active / No H1 GMV</v>
      </c>
      <c r="O281" s="2" t="n">
        <v>1</v>
      </c>
      <c r="P281" s="2" t="n">
        <v>0</v>
      </c>
      <c r="Q281" s="2" t="n">
        <v>1</v>
      </c>
      <c r="R281" s="2" t="n">
        <v>6</v>
      </c>
      <c r="S281" s="2" t="n">
        <v>0</v>
      </c>
      <c r="T281" s="2" t="str">
        <f aca="false">IF(H281="Broker-Reliant",IF(J281="Tail","5. Cost-to-Serve / Low-Touch",IF(OR(N281="Growing",N281="Stable"),"1. Migration Candidate",IF(N281="Declining","2. Protect / Retain First",IF(N281="Lapsed","3. Win-Back / Verify",IF(N281="H2 Active / No H1 GMV","4. Establish / Re-establish / Observe","UNASSIGNED"))))),IF(G281="Low",IF(J281="Tail","9. Long-Tail Automated Nurture",IF(OR(N281="Growing",N281="Stable"),"6. Growth Opportunity",IF(N281="H2 Active / No H1 GMV","7. Onboard / Re-engage / Learn",IF(OR(N281="Declining",N281="Lapsed"),"8. Retention / Reactivation","UNASSIGNED")))),"UNASSIGNED"))</f>
        <v>9. Long-Tail Automated Nurture</v>
      </c>
      <c r="U281" s="10" t="b">
        <f aca="false">AND(T281="1. Migration Candidate",J281="Core",O281&gt;=Assumptions!$B$39,Q281&gt;=Assumptions!$B$40,NOT(Z281))</f>
        <v>0</v>
      </c>
      <c r="V281" s="2" t="n">
        <f aca="false">(AND(H281="Broker-Reliant",J281&lt;&gt;"Tail",OR(N281="Growing",N281="Stable")))*1+(AND(H281="Broker-Reliant",J281&lt;&gt;"Tail",N281="Declining"))*1+(AND(H281="Broker-Reliant",J281&lt;&gt;"Tail",N281="Lapsed"))*1+(AND(H281="Broker-Reliant",J281&lt;&gt;"Tail",N281="H2 Active / No H1 GMV"))*1+(AND(H281="Broker-Reliant",J281="Tail"))*1+(AND(G281="Low",J281&lt;&gt;"Tail",OR(N281="Growing",N281="Stable")))*1+(AND(G281="Low",J281&lt;&gt;"Tail",N281="H2 Active / No H1 GMV"))*1+(AND(G281="Low",J281&lt;&gt;"Tail",OR(N281="Declining",N281="Lapsed")))*1+(AND(G281="Low",J281="Tail"))*1</f>
        <v>1</v>
      </c>
      <c r="W281" s="2" t="n">
        <f aca="false">INDEX('Commercial View'!$V$2:$V$301,MATCH($A281,'Commercial View'!$A$2:$A$301,0))</f>
        <v>1</v>
      </c>
      <c r="X281" s="10" t="b">
        <f aca="false">O281&lt;=Assumptions!$B$30</f>
        <v>1</v>
      </c>
      <c r="Y281" s="10" t="b">
        <f aca="false">W281&lt;=1</f>
        <v>1</v>
      </c>
      <c r="Z281" s="10" t="b">
        <f aca="false">C281="Duplicate"</f>
        <v>0</v>
      </c>
      <c r="AA281" s="10" t="b">
        <f aca="false">C281=""</f>
        <v>1</v>
      </c>
      <c r="AB281" s="2" t="n">
        <f aca="false">IF(P281+Q281&gt;0,ROUND(P281/(P281+Q281)*100,0),"")</f>
        <v>0</v>
      </c>
      <c r="AC281" s="2" t="n">
        <f aca="false">IF(P281+Q281&gt;0,ROUND(E281-P281/(P281+Q281)*100,0),"")</f>
        <v>0</v>
      </c>
      <c r="AD281" s="10" t="b">
        <f aca="false">IF(AC281="",FALSE(),ABS(AC281)&gt;Assumptions!$B$41)</f>
        <v>0</v>
      </c>
      <c r="AE281" s="2" t="str">
        <f aca="false">IF(X281,"Low confidence (&lt;=2 orders); ","")&amp;IF(Y281,"Single-month history; ","")&amp;IF(Z281,"CRITICAL: Duplicate status; ","")&amp;IF(AA281,"Missing status; ","")&amp;IF(AD281,"Broker % vs counts gap "&amp;TEXT(AC281,"+0;-0")&amp;"pts; ","")</f>
        <v>Low confidence (&lt;=2 orders); Single-month history; Missing status; </v>
      </c>
      <c r="AF281" s="2" t="str">
        <f aca="false">IF(AND(K281=0,L281&gt;0),IF(D281&lt;=Assumptions!$B$47,"New Customer","Returned Customer"),"Existing Customer")</f>
        <v>New Customer</v>
      </c>
      <c r="AG281" s="10" t="b">
        <f aca="false">AND(T281="1. Migration Candidate",J281="Key")</f>
        <v>0</v>
      </c>
      <c r="AH281" s="10" t="b">
        <f aca="false">IF(AND(K281&gt;0,L281&gt;0),OR(ABS(M281-Assumptions!$B$36)&lt;=Assumptions!$B$46,ABS(M281+Assumptions!$B$36)&lt;=Assumptions!$B$46),FALSE())</f>
        <v>0</v>
      </c>
      <c r="AI281" s="9" t="n">
        <f aca="false">INDEX('Commercial View'!$L$2:$L$301,MATCH($A281,'Commercial View'!$A$2:$A$301,0))+INDEX('Commercial View'!$M$2:$M$301,MATCH($A281,'Commercial View'!$A$2:$A$301,0))</f>
        <v>123</v>
      </c>
      <c r="AJ281" s="2" t="str">
        <f aca="false">IF(AND(K281=0,AI281=0),"No activity ex-Feb",IF(AI281=0,"Lapsed",IF(K281=0,"H2 Active / No H1 GMV",IF((AI281/2)/(K281/3)-1&gt;=Assumptions!$B$36,"Growing",IF((AI281/2)/(K281/3)-1&lt;-Assumptions!$B$36,"Declining","Stable")))))</f>
        <v>H2 Active / No H1 GMV</v>
      </c>
      <c r="AK281" s="10" t="b">
        <f aca="false">IF(OR(N281="Growing",N281="Stable"),"Healthy",N281)&lt;&gt;IF(OR(AJ281="Growing",AJ281="Stable"),"Healthy",AJ281)</f>
        <v>0</v>
      </c>
      <c r="AL281" s="2" t="str">
        <f aca="false">IF(N281="Lapsed",IF(OR(O281&lt;=Assumptions!$B$48,W281&lt;=Assumptions!$B$49),"One-Off / Insufficient History — Verify","Established Buyer Lapsed"),"N/A")</f>
        <v>N/A</v>
      </c>
      <c r="AM281" s="2" t="n">
        <f aca="false">INDEX('Scored Accounts'!$M$2:$M$301,MATCH($A281,'Scored Accounts'!$A$2:$A$301,0))</f>
        <v>0</v>
      </c>
      <c r="AN281" s="2" t="n">
        <f aca="false">IF((P281/(P281+Q281)*100)&lt;=Assumptions!$B$13,0,IF((P281/(P281+Q281)*100)&lt;Assumptions!$B$14,25,IF((P281/(P281+Q281)*100)&lt;Assumptions!$B$15,50,IF((P281/(P281+Q281)*100)&lt;Assumptions!$B$16,75,100))))</f>
        <v>0</v>
      </c>
      <c r="AO281" s="21" t="n">
        <f aca="false">IF((P281/(P281+Q281)*100)&lt;=Assumptions!$B$8,0,AN281*Assumptions!$B$4+INDEX('Scored Accounts'!$N$2:$N$301,MATCH($A281,'Scored Accounts'!$A$2:$A$301,0))*Assumptions!$B$5+INDEX('Scored Accounts'!$O$2:$O$301,MATCH($A281,'Scored Accounts'!$A$2:$A$301,0))*Assumptions!$B$6)</f>
        <v>0</v>
      </c>
      <c r="AP281" s="2" t="str">
        <f aca="false">IF(AO281&gt;=Assumptions!$B$9,"High",IF(AO281&gt;=Assumptions!$B$10,"Medium","Low"))</f>
        <v>Low</v>
      </c>
      <c r="AQ281" s="10" t="b">
        <f aca="false">OR((E281&lt;=Assumptions!$B$8)&lt;&gt;((P281/(P281+Q281)*100)&lt;=Assumptions!$B$8),AM281&lt;&gt;AN281,G281&lt;&gt;AP281)</f>
        <v>0</v>
      </c>
      <c r="AR281" s="2" t="str">
        <f aca="false">IF(AP281&lt;&gt;"Low","Broker-Reliant",IF(B281="Account Managed","AM-Owned / Self-Serving","Self-Serve"))</f>
        <v>Self-Serve</v>
      </c>
      <c r="AS281" s="2" t="str">
        <f aca="false">IF(AR281="Broker-Reliant",IF(J281="Tail","5. Cost-to-Serve / Low-Touch",IF(OR(N281="Growing",N281="Stable"),"1. Migration Candidate",IF(N281="Declining","2. Protect / Retain First",IF(N281="Lapsed","3. Win-Back / Verify",IF(N281="H2 Active / No H1 GMV","4. Establish / Re-establish / Observe","UNASSIGNED"))))),IF(AP281="Low",IF(J281="Tail","9. Long-Tail Automated Nurture",IF(OR(N281="Growing",N281="Stable"),"6. Growth Opportunity",IF(N281="H2 Active / No H1 GMV","7. Onboard / Re-engage / Learn",IF(OR(N281="Declining",N281="Lapsed"),"8. Retention / Reactivation","UNASSIGNED")))),"UNASSIGNED"))</f>
        <v>9. Long-Tail Automated Nurture</v>
      </c>
      <c r="AT281" s="10" t="b">
        <f aca="false">AS281&lt;&gt;T281</f>
        <v>0</v>
      </c>
      <c r="AU281" s="2" t="str">
        <f aca="false">IF(NOT(U281),"Not Eligible",IF(OR(AQ281,AH281,AK281,NOT(AND(W281&gt;=Assumptions!$B$83,O281&gt;=Assumptions!$B$84))),"Manual Review","Ready"))</f>
        <v>Not Eligible</v>
      </c>
      <c r="AV281" s="2" t="str">
        <f aca="false">IF(AG281,"Key account - human sign-off required; ","")&amp;IF(AH281,"Borderline momentum; ","")&amp;IF(AK281,"February-sensitive ("&amp;N281&amp;" -&gt; "&amp;AJ281&amp;"); ","")&amp;IF(AL281="One-Off / Insufficient History — Verify","Lapsed on thin history - verify; ","")&amp;IF(AQ281,"Material broker % inconsistency (implied tier "&amp;AP281&amp;"); ","")&amp;IF(AT281,"Implied broker % would move segment to "&amp;AS281&amp;"; ","")</f>
        <v/>
      </c>
      <c r="AW281" s="10" t="b">
        <f aca="false">AND(G281="Low",J281="Tail",I281&gt;=Assumptions!$B$64,O281&gt;=Assumptions!$B$65,OR(N281="Growing",N281="Stable",AND(N281="H2 Active / No H1 GMV",W281&gt;=2)),OR(R281&gt;=Assumptions!$B$66,S281&gt;=Assumptions!$B$67))</f>
        <v>0</v>
      </c>
    </row>
    <row r="282" customFormat="false" ht="15" hidden="false" customHeight="false" outlineLevel="0" collapsed="false">
      <c r="A282" s="2" t="s">
        <v>932</v>
      </c>
      <c r="B282" s="2" t="s">
        <v>1574</v>
      </c>
      <c r="C282" s="2"/>
      <c r="D282" s="2" t="n">
        <v>4</v>
      </c>
      <c r="E282" s="2" t="n">
        <v>0</v>
      </c>
      <c r="F282" s="21" t="n">
        <f aca="false">INDEX('Scored Accounts'!$Q$2:$Q$301,MATCH($A282,'Scored Accounts'!$A$2:$A$301,0))</f>
        <v>0</v>
      </c>
      <c r="G282" s="2" t="str">
        <f aca="false">INDEX('Scored Accounts'!$R$2:$R$301,MATCH($A282,'Scored Accounts'!$A$2:$A$301,0))</f>
        <v>Low</v>
      </c>
      <c r="H282" s="2" t="str">
        <f aca="false">IF(OR(G282="High",G282="Medium"),"Broker-Reliant",IF(AND(G282="Low",B282="Account Managed"),"AM-Owned / Self-Serving",IF(AND(G282="Low",B282="Self Serve"),"Self-Serve","UNASSIGNED")))</f>
        <v>Self-Serve</v>
      </c>
      <c r="I282" s="9" t="n">
        <v>119</v>
      </c>
      <c r="J282" s="2" t="str">
        <f aca="false">IF(I282&gt;=Assumptions!$B$35,"Key",IF(I282&gt;=Assumptions!$B$34,"Core","Tail"))</f>
        <v>Tail</v>
      </c>
      <c r="K282" s="9" t="n">
        <f aca="false">INDEX('Commercial View'!$R$2:$R$301,MATCH($A282,'Commercial View'!$A$2:$A$301,0))</f>
        <v>119</v>
      </c>
      <c r="L282" s="9" t="n">
        <f aca="false">INDEX('Commercial View'!$S$2:$S$301,MATCH($A282,'Commercial View'!$A$2:$A$301,0))</f>
        <v>0</v>
      </c>
      <c r="M282" s="17" t="n">
        <f aca="false">INDEX('Commercial View'!$T$2:$T$301,MATCH($A282,'Commercial View'!$A$2:$A$301,0))</f>
        <v>-1</v>
      </c>
      <c r="N282" s="2" t="str">
        <f aca="false">INDEX('Commercial View'!$U$2:$U$301,MATCH($A282,'Commercial View'!$A$2:$A$301,0))</f>
        <v>Lapsed</v>
      </c>
      <c r="O282" s="2" t="n">
        <v>1</v>
      </c>
      <c r="P282" s="2" t="n">
        <v>0</v>
      </c>
      <c r="Q282" s="2" t="n">
        <v>1</v>
      </c>
      <c r="R282" s="2" t="n">
        <v>36</v>
      </c>
      <c r="S282" s="2" t="n">
        <v>10</v>
      </c>
      <c r="T282" s="2" t="str">
        <f aca="false">IF(H282="Broker-Reliant",IF(J282="Tail","5. Cost-to-Serve / Low-Touch",IF(OR(N282="Growing",N282="Stable"),"1. Migration Candidate",IF(N282="Declining","2. Protect / Retain First",IF(N282="Lapsed","3. Win-Back / Verify",IF(N282="H2 Active / No H1 GMV","4. Establish / Re-establish / Observe","UNASSIGNED"))))),IF(G282="Low",IF(J282="Tail","9. Long-Tail Automated Nurture",IF(OR(N282="Growing",N282="Stable"),"6. Growth Opportunity",IF(N282="H2 Active / No H1 GMV","7. Onboard / Re-engage / Learn",IF(OR(N282="Declining",N282="Lapsed"),"8. Retention / Reactivation","UNASSIGNED")))),"UNASSIGNED"))</f>
        <v>9. Long-Tail Automated Nurture</v>
      </c>
      <c r="U282" s="10" t="b">
        <f aca="false">AND(T282="1. Migration Candidate",J282="Core",O282&gt;=Assumptions!$B$39,Q282&gt;=Assumptions!$B$40,NOT(Z282))</f>
        <v>0</v>
      </c>
      <c r="V282" s="2" t="n">
        <f aca="false">(AND(H282="Broker-Reliant",J282&lt;&gt;"Tail",OR(N282="Growing",N282="Stable")))*1+(AND(H282="Broker-Reliant",J282&lt;&gt;"Tail",N282="Declining"))*1+(AND(H282="Broker-Reliant",J282&lt;&gt;"Tail",N282="Lapsed"))*1+(AND(H282="Broker-Reliant",J282&lt;&gt;"Tail",N282="H2 Active / No H1 GMV"))*1+(AND(H282="Broker-Reliant",J282="Tail"))*1+(AND(G282="Low",J282&lt;&gt;"Tail",OR(N282="Growing",N282="Stable")))*1+(AND(G282="Low",J282&lt;&gt;"Tail",N282="H2 Active / No H1 GMV"))*1+(AND(G282="Low",J282&lt;&gt;"Tail",OR(N282="Declining",N282="Lapsed")))*1+(AND(G282="Low",J282="Tail"))*1</f>
        <v>1</v>
      </c>
      <c r="W282" s="2" t="n">
        <f aca="false">INDEX('Commercial View'!$V$2:$V$301,MATCH($A282,'Commercial View'!$A$2:$A$301,0))</f>
        <v>1</v>
      </c>
      <c r="X282" s="10" t="b">
        <f aca="false">O282&lt;=Assumptions!$B$30</f>
        <v>1</v>
      </c>
      <c r="Y282" s="10" t="b">
        <f aca="false">W282&lt;=1</f>
        <v>1</v>
      </c>
      <c r="Z282" s="10" t="b">
        <f aca="false">C282="Duplicate"</f>
        <v>0</v>
      </c>
      <c r="AA282" s="10" t="b">
        <f aca="false">C282=""</f>
        <v>1</v>
      </c>
      <c r="AB282" s="2" t="n">
        <f aca="false">IF(P282+Q282&gt;0,ROUND(P282/(P282+Q282)*100,0),"")</f>
        <v>0</v>
      </c>
      <c r="AC282" s="2" t="n">
        <f aca="false">IF(P282+Q282&gt;0,ROUND(E282-P282/(P282+Q282)*100,0),"")</f>
        <v>0</v>
      </c>
      <c r="AD282" s="10" t="b">
        <f aca="false">IF(AC282="",FALSE(),ABS(AC282)&gt;Assumptions!$B$41)</f>
        <v>0</v>
      </c>
      <c r="AE282" s="2" t="str">
        <f aca="false">IF(X282,"Low confidence (&lt;=2 orders); ","")&amp;IF(Y282,"Single-month history; ","")&amp;IF(Z282,"CRITICAL: Duplicate status; ","")&amp;IF(AA282,"Missing status; ","")&amp;IF(AD282,"Broker % vs counts gap "&amp;TEXT(AC282,"+0;-0")&amp;"pts; ","")</f>
        <v>Low confidence (&lt;=2 orders); Single-month history; Missing status; </v>
      </c>
      <c r="AF282" s="2" t="str">
        <f aca="false">IF(AND(K282=0,L282&gt;0),IF(D282&lt;=Assumptions!$B$47,"New Customer","Returned Customer"),"Existing Customer")</f>
        <v>Existing Customer</v>
      </c>
      <c r="AG282" s="10" t="b">
        <f aca="false">AND(T282="1. Migration Candidate",J282="Key")</f>
        <v>0</v>
      </c>
      <c r="AH282" s="10" t="b">
        <f aca="false">IF(AND(K282&gt;0,L282&gt;0),OR(ABS(M282-Assumptions!$B$36)&lt;=Assumptions!$B$46,ABS(M282+Assumptions!$B$36)&lt;=Assumptions!$B$46),FALSE())</f>
        <v>0</v>
      </c>
      <c r="AI282" s="9" t="n">
        <f aca="false">INDEX('Commercial View'!$L$2:$L$301,MATCH($A282,'Commercial View'!$A$2:$A$301,0))+INDEX('Commercial View'!$M$2:$M$301,MATCH($A282,'Commercial View'!$A$2:$A$301,0))</f>
        <v>0</v>
      </c>
      <c r="AJ282" s="2" t="str">
        <f aca="false">IF(AND(K282=0,AI282=0),"No activity ex-Feb",IF(AI282=0,"Lapsed",IF(K282=0,"H2 Active / No H1 GMV",IF((AI282/2)/(K282/3)-1&gt;=Assumptions!$B$36,"Growing",IF((AI282/2)/(K282/3)-1&lt;-Assumptions!$B$36,"Declining","Stable")))))</f>
        <v>Lapsed</v>
      </c>
      <c r="AK282" s="10" t="b">
        <f aca="false">IF(OR(N282="Growing",N282="Stable"),"Healthy",N282)&lt;&gt;IF(OR(AJ282="Growing",AJ282="Stable"),"Healthy",AJ282)</f>
        <v>0</v>
      </c>
      <c r="AL282" s="2" t="str">
        <f aca="false">IF(N282="Lapsed",IF(OR(O282&lt;=Assumptions!$B$48,W282&lt;=Assumptions!$B$49),"One-Off / Insufficient History — Verify","Established Buyer Lapsed"),"N/A")</f>
        <v>One-Off / Insufficient History — Verify</v>
      </c>
      <c r="AM282" s="2" t="n">
        <f aca="false">INDEX('Scored Accounts'!$M$2:$M$301,MATCH($A282,'Scored Accounts'!$A$2:$A$301,0))</f>
        <v>0</v>
      </c>
      <c r="AN282" s="2" t="n">
        <f aca="false">IF((P282/(P282+Q282)*100)&lt;=Assumptions!$B$13,0,IF((P282/(P282+Q282)*100)&lt;Assumptions!$B$14,25,IF((P282/(P282+Q282)*100)&lt;Assumptions!$B$15,50,IF((P282/(P282+Q282)*100)&lt;Assumptions!$B$16,75,100))))</f>
        <v>0</v>
      </c>
      <c r="AO282" s="21" t="n">
        <f aca="false">IF((P282/(P282+Q282)*100)&lt;=Assumptions!$B$8,0,AN282*Assumptions!$B$4+INDEX('Scored Accounts'!$N$2:$N$301,MATCH($A282,'Scored Accounts'!$A$2:$A$301,0))*Assumptions!$B$5+INDEX('Scored Accounts'!$O$2:$O$301,MATCH($A282,'Scored Accounts'!$A$2:$A$301,0))*Assumptions!$B$6)</f>
        <v>0</v>
      </c>
      <c r="AP282" s="2" t="str">
        <f aca="false">IF(AO282&gt;=Assumptions!$B$9,"High",IF(AO282&gt;=Assumptions!$B$10,"Medium","Low"))</f>
        <v>Low</v>
      </c>
      <c r="AQ282" s="10" t="b">
        <f aca="false">OR((E282&lt;=Assumptions!$B$8)&lt;&gt;((P282/(P282+Q282)*100)&lt;=Assumptions!$B$8),AM282&lt;&gt;AN282,G282&lt;&gt;AP282)</f>
        <v>0</v>
      </c>
      <c r="AR282" s="2" t="str">
        <f aca="false">IF(AP282&lt;&gt;"Low","Broker-Reliant",IF(B282="Account Managed","AM-Owned / Self-Serving","Self-Serve"))</f>
        <v>Self-Serve</v>
      </c>
      <c r="AS282" s="2" t="str">
        <f aca="false">IF(AR282="Broker-Reliant",IF(J282="Tail","5. Cost-to-Serve / Low-Touch",IF(OR(N282="Growing",N282="Stable"),"1. Migration Candidate",IF(N282="Declining","2. Protect / Retain First",IF(N282="Lapsed","3. Win-Back / Verify",IF(N282="H2 Active / No H1 GMV","4. Establish / Re-establish / Observe","UNASSIGNED"))))),IF(AP282="Low",IF(J282="Tail","9. Long-Tail Automated Nurture",IF(OR(N282="Growing",N282="Stable"),"6. Growth Opportunity",IF(N282="H2 Active / No H1 GMV","7. Onboard / Re-engage / Learn",IF(OR(N282="Declining",N282="Lapsed"),"8. Retention / Reactivation","UNASSIGNED")))),"UNASSIGNED"))</f>
        <v>9. Long-Tail Automated Nurture</v>
      </c>
      <c r="AT282" s="10" t="b">
        <f aca="false">AS282&lt;&gt;T282</f>
        <v>0</v>
      </c>
      <c r="AU282" s="2" t="str">
        <f aca="false">IF(NOT(U282),"Not Eligible",IF(OR(AQ282,AH282,AK282,NOT(AND(W282&gt;=Assumptions!$B$83,O282&gt;=Assumptions!$B$84))),"Manual Review","Ready"))</f>
        <v>Not Eligible</v>
      </c>
      <c r="AV282" s="2" t="str">
        <f aca="false">IF(AG282,"Key account - human sign-off required; ","")&amp;IF(AH282,"Borderline momentum; ","")&amp;IF(AK282,"February-sensitive ("&amp;N282&amp;" -&gt; "&amp;AJ282&amp;"); ","")&amp;IF(AL282="One-Off / Insufficient History — Verify","Lapsed on thin history - verify; ","")&amp;IF(AQ282,"Material broker % inconsistency (implied tier "&amp;AP282&amp;"); ","")&amp;IF(AT282,"Implied broker % would move segment to "&amp;AS282&amp;"; ","")</f>
        <v>Lapsed on thin history - verify; </v>
      </c>
      <c r="AW282" s="10" t="b">
        <f aca="false">AND(G282="Low",J282="Tail",I282&gt;=Assumptions!$B$64,O282&gt;=Assumptions!$B$65,OR(N282="Growing",N282="Stable",AND(N282="H2 Active / No H1 GMV",W282&gt;=2)),OR(R282&gt;=Assumptions!$B$66,S282&gt;=Assumptions!$B$67))</f>
        <v>0</v>
      </c>
    </row>
    <row r="283" customFormat="false" ht="15" hidden="false" customHeight="false" outlineLevel="0" collapsed="false">
      <c r="A283" s="2" t="s">
        <v>934</v>
      </c>
      <c r="B283" s="2" t="s">
        <v>1574</v>
      </c>
      <c r="C283" s="2"/>
      <c r="D283" s="2" t="n">
        <v>2</v>
      </c>
      <c r="E283" s="2" t="n">
        <v>0</v>
      </c>
      <c r="F283" s="21" t="n">
        <f aca="false">INDEX('Scored Accounts'!$Q$2:$Q$301,MATCH($A283,'Scored Accounts'!$A$2:$A$301,0))</f>
        <v>0</v>
      </c>
      <c r="G283" s="2" t="str">
        <f aca="false">INDEX('Scored Accounts'!$R$2:$R$301,MATCH($A283,'Scored Accounts'!$A$2:$A$301,0))</f>
        <v>Low</v>
      </c>
      <c r="H283" s="2" t="str">
        <f aca="false">IF(OR(G283="High",G283="Medium"),"Broker-Reliant",IF(AND(G283="Low",B283="Account Managed"),"AM-Owned / Self-Serving",IF(AND(G283="Low",B283="Self Serve"),"Self-Serve","UNASSIGNED")))</f>
        <v>Self-Serve</v>
      </c>
      <c r="I283" s="9" t="n">
        <v>118</v>
      </c>
      <c r="J283" s="2" t="str">
        <f aca="false">IF(I283&gt;=Assumptions!$B$35,"Key",IF(I283&gt;=Assumptions!$B$34,"Core","Tail"))</f>
        <v>Tail</v>
      </c>
      <c r="K283" s="9" t="n">
        <f aca="false">INDEX('Commercial View'!$R$2:$R$301,MATCH($A283,'Commercial View'!$A$2:$A$301,0))</f>
        <v>0</v>
      </c>
      <c r="L283" s="9" t="n">
        <f aca="false">INDEX('Commercial View'!$S$2:$S$301,MATCH($A283,'Commercial View'!$A$2:$A$301,0))</f>
        <v>118</v>
      </c>
      <c r="M283" s="17" t="str">
        <f aca="false">INDEX('Commercial View'!$T$2:$T$301,MATCH($A283,'Commercial View'!$A$2:$A$301,0))</f>
        <v/>
      </c>
      <c r="N283" s="2" t="str">
        <f aca="false">INDEX('Commercial View'!$U$2:$U$301,MATCH($A283,'Commercial View'!$A$2:$A$301,0))</f>
        <v>H2 Active / No H1 GMV</v>
      </c>
      <c r="O283" s="2" t="n">
        <v>1</v>
      </c>
      <c r="P283" s="2" t="n">
        <v>0</v>
      </c>
      <c r="Q283" s="2" t="n">
        <v>1</v>
      </c>
      <c r="R283" s="2" t="n">
        <v>3</v>
      </c>
      <c r="S283" s="2" t="n">
        <v>0</v>
      </c>
      <c r="T283" s="2" t="str">
        <f aca="false">IF(H283="Broker-Reliant",IF(J283="Tail","5. Cost-to-Serve / Low-Touch",IF(OR(N283="Growing",N283="Stable"),"1. Migration Candidate",IF(N283="Declining","2. Protect / Retain First",IF(N283="Lapsed","3. Win-Back / Verify",IF(N283="H2 Active / No H1 GMV","4. Establish / Re-establish / Observe","UNASSIGNED"))))),IF(G283="Low",IF(J283="Tail","9. Long-Tail Automated Nurture",IF(OR(N283="Growing",N283="Stable"),"6. Growth Opportunity",IF(N283="H2 Active / No H1 GMV","7. Onboard / Re-engage / Learn",IF(OR(N283="Declining",N283="Lapsed"),"8. Retention / Reactivation","UNASSIGNED")))),"UNASSIGNED"))</f>
        <v>9. Long-Tail Automated Nurture</v>
      </c>
      <c r="U283" s="10" t="b">
        <f aca="false">AND(T283="1. Migration Candidate",J283="Core",O283&gt;=Assumptions!$B$39,Q283&gt;=Assumptions!$B$40,NOT(Z283))</f>
        <v>0</v>
      </c>
      <c r="V283" s="2" t="n">
        <f aca="false">(AND(H283="Broker-Reliant",J283&lt;&gt;"Tail",OR(N283="Growing",N283="Stable")))*1+(AND(H283="Broker-Reliant",J283&lt;&gt;"Tail",N283="Declining"))*1+(AND(H283="Broker-Reliant",J283&lt;&gt;"Tail",N283="Lapsed"))*1+(AND(H283="Broker-Reliant",J283&lt;&gt;"Tail",N283="H2 Active / No H1 GMV"))*1+(AND(H283="Broker-Reliant",J283="Tail"))*1+(AND(G283="Low",J283&lt;&gt;"Tail",OR(N283="Growing",N283="Stable")))*1+(AND(G283="Low",J283&lt;&gt;"Tail",N283="H2 Active / No H1 GMV"))*1+(AND(G283="Low",J283&lt;&gt;"Tail",OR(N283="Declining",N283="Lapsed")))*1+(AND(G283="Low",J283="Tail"))*1</f>
        <v>1</v>
      </c>
      <c r="W283" s="2" t="n">
        <f aca="false">INDEX('Commercial View'!$V$2:$V$301,MATCH($A283,'Commercial View'!$A$2:$A$301,0))</f>
        <v>1</v>
      </c>
      <c r="X283" s="10" t="b">
        <f aca="false">O283&lt;=Assumptions!$B$30</f>
        <v>1</v>
      </c>
      <c r="Y283" s="10" t="b">
        <f aca="false">W283&lt;=1</f>
        <v>1</v>
      </c>
      <c r="Z283" s="10" t="b">
        <f aca="false">C283="Duplicate"</f>
        <v>0</v>
      </c>
      <c r="AA283" s="10" t="b">
        <f aca="false">C283=""</f>
        <v>1</v>
      </c>
      <c r="AB283" s="2" t="n">
        <f aca="false">IF(P283+Q283&gt;0,ROUND(P283/(P283+Q283)*100,0),"")</f>
        <v>0</v>
      </c>
      <c r="AC283" s="2" t="n">
        <f aca="false">IF(P283+Q283&gt;0,ROUND(E283-P283/(P283+Q283)*100,0),"")</f>
        <v>0</v>
      </c>
      <c r="AD283" s="10" t="b">
        <f aca="false">IF(AC283="",FALSE(),ABS(AC283)&gt;Assumptions!$B$41)</f>
        <v>0</v>
      </c>
      <c r="AE283" s="2" t="str">
        <f aca="false">IF(X283,"Low confidence (&lt;=2 orders); ","")&amp;IF(Y283,"Single-month history; ","")&amp;IF(Z283,"CRITICAL: Duplicate status; ","")&amp;IF(AA283,"Missing status; ","")&amp;IF(AD283,"Broker % vs counts gap "&amp;TEXT(AC283,"+0;-0")&amp;"pts; ","")</f>
        <v>Low confidence (&lt;=2 orders); Single-month history; Missing status; </v>
      </c>
      <c r="AF283" s="2" t="str">
        <f aca="false">IF(AND(K283=0,L283&gt;0),IF(D283&lt;=Assumptions!$B$47,"New Customer","Returned Customer"),"Existing Customer")</f>
        <v>New Customer</v>
      </c>
      <c r="AG283" s="10" t="b">
        <f aca="false">AND(T283="1. Migration Candidate",J283="Key")</f>
        <v>0</v>
      </c>
      <c r="AH283" s="10" t="b">
        <f aca="false">IF(AND(K283&gt;0,L283&gt;0),OR(ABS(M283-Assumptions!$B$36)&lt;=Assumptions!$B$46,ABS(M283+Assumptions!$B$36)&lt;=Assumptions!$B$46),FALSE())</f>
        <v>0</v>
      </c>
      <c r="AI283" s="9" t="n">
        <f aca="false">INDEX('Commercial View'!$L$2:$L$301,MATCH($A283,'Commercial View'!$A$2:$A$301,0))+INDEX('Commercial View'!$M$2:$M$301,MATCH($A283,'Commercial View'!$A$2:$A$301,0))</f>
        <v>118</v>
      </c>
      <c r="AJ283" s="2" t="str">
        <f aca="false">IF(AND(K283=0,AI283=0),"No activity ex-Feb",IF(AI283=0,"Lapsed",IF(K283=0,"H2 Active / No H1 GMV",IF((AI283/2)/(K283/3)-1&gt;=Assumptions!$B$36,"Growing",IF((AI283/2)/(K283/3)-1&lt;-Assumptions!$B$36,"Declining","Stable")))))</f>
        <v>H2 Active / No H1 GMV</v>
      </c>
      <c r="AK283" s="10" t="b">
        <f aca="false">IF(OR(N283="Growing",N283="Stable"),"Healthy",N283)&lt;&gt;IF(OR(AJ283="Growing",AJ283="Stable"),"Healthy",AJ283)</f>
        <v>0</v>
      </c>
      <c r="AL283" s="2" t="str">
        <f aca="false">IF(N283="Lapsed",IF(OR(O283&lt;=Assumptions!$B$48,W283&lt;=Assumptions!$B$49),"One-Off / Insufficient History — Verify","Established Buyer Lapsed"),"N/A")</f>
        <v>N/A</v>
      </c>
      <c r="AM283" s="2" t="n">
        <f aca="false">INDEX('Scored Accounts'!$M$2:$M$301,MATCH($A283,'Scored Accounts'!$A$2:$A$301,0))</f>
        <v>0</v>
      </c>
      <c r="AN283" s="2" t="n">
        <f aca="false">IF((P283/(P283+Q283)*100)&lt;=Assumptions!$B$13,0,IF((P283/(P283+Q283)*100)&lt;Assumptions!$B$14,25,IF((P283/(P283+Q283)*100)&lt;Assumptions!$B$15,50,IF((P283/(P283+Q283)*100)&lt;Assumptions!$B$16,75,100))))</f>
        <v>0</v>
      </c>
      <c r="AO283" s="21" t="n">
        <f aca="false">IF((P283/(P283+Q283)*100)&lt;=Assumptions!$B$8,0,AN283*Assumptions!$B$4+INDEX('Scored Accounts'!$N$2:$N$301,MATCH($A283,'Scored Accounts'!$A$2:$A$301,0))*Assumptions!$B$5+INDEX('Scored Accounts'!$O$2:$O$301,MATCH($A283,'Scored Accounts'!$A$2:$A$301,0))*Assumptions!$B$6)</f>
        <v>0</v>
      </c>
      <c r="AP283" s="2" t="str">
        <f aca="false">IF(AO283&gt;=Assumptions!$B$9,"High",IF(AO283&gt;=Assumptions!$B$10,"Medium","Low"))</f>
        <v>Low</v>
      </c>
      <c r="AQ283" s="10" t="b">
        <f aca="false">OR((E283&lt;=Assumptions!$B$8)&lt;&gt;((P283/(P283+Q283)*100)&lt;=Assumptions!$B$8),AM283&lt;&gt;AN283,G283&lt;&gt;AP283)</f>
        <v>0</v>
      </c>
      <c r="AR283" s="2" t="str">
        <f aca="false">IF(AP283&lt;&gt;"Low","Broker-Reliant",IF(B283="Account Managed","AM-Owned / Self-Serving","Self-Serve"))</f>
        <v>Self-Serve</v>
      </c>
      <c r="AS283" s="2" t="str">
        <f aca="false">IF(AR283="Broker-Reliant",IF(J283="Tail","5. Cost-to-Serve / Low-Touch",IF(OR(N283="Growing",N283="Stable"),"1. Migration Candidate",IF(N283="Declining","2. Protect / Retain First",IF(N283="Lapsed","3. Win-Back / Verify",IF(N283="H2 Active / No H1 GMV","4. Establish / Re-establish / Observe","UNASSIGNED"))))),IF(AP283="Low",IF(J283="Tail","9. Long-Tail Automated Nurture",IF(OR(N283="Growing",N283="Stable"),"6. Growth Opportunity",IF(N283="H2 Active / No H1 GMV","7. Onboard / Re-engage / Learn",IF(OR(N283="Declining",N283="Lapsed"),"8. Retention / Reactivation","UNASSIGNED")))),"UNASSIGNED"))</f>
        <v>9. Long-Tail Automated Nurture</v>
      </c>
      <c r="AT283" s="10" t="b">
        <f aca="false">AS283&lt;&gt;T283</f>
        <v>0</v>
      </c>
      <c r="AU283" s="2" t="str">
        <f aca="false">IF(NOT(U283),"Not Eligible",IF(OR(AQ283,AH283,AK283,NOT(AND(W283&gt;=Assumptions!$B$83,O283&gt;=Assumptions!$B$84))),"Manual Review","Ready"))</f>
        <v>Not Eligible</v>
      </c>
      <c r="AV283" s="2" t="str">
        <f aca="false">IF(AG283,"Key account - human sign-off required; ","")&amp;IF(AH283,"Borderline momentum; ","")&amp;IF(AK283,"February-sensitive ("&amp;N283&amp;" -&gt; "&amp;AJ283&amp;"); ","")&amp;IF(AL283="One-Off / Insufficient History — Verify","Lapsed on thin history - verify; ","")&amp;IF(AQ283,"Material broker % inconsistency (implied tier "&amp;AP283&amp;"); ","")&amp;IF(AT283,"Implied broker % would move segment to "&amp;AS283&amp;"; ","")</f>
        <v/>
      </c>
      <c r="AW283" s="10" t="b">
        <f aca="false">AND(G283="Low",J283="Tail",I283&gt;=Assumptions!$B$64,O283&gt;=Assumptions!$B$65,OR(N283="Growing",N283="Stable",AND(N283="H2 Active / No H1 GMV",W283&gt;=2)),OR(R283&gt;=Assumptions!$B$66,S283&gt;=Assumptions!$B$67))</f>
        <v>0</v>
      </c>
    </row>
    <row r="284" customFormat="false" ht="15" hidden="false" customHeight="false" outlineLevel="0" collapsed="false">
      <c r="A284" s="2" t="s">
        <v>944</v>
      </c>
      <c r="B284" s="2" t="s">
        <v>1574</v>
      </c>
      <c r="C284" s="2"/>
      <c r="D284" s="2" t="n">
        <v>5</v>
      </c>
      <c r="E284" s="2" t="n">
        <v>0</v>
      </c>
      <c r="F284" s="21" t="n">
        <f aca="false">INDEX('Scored Accounts'!$Q$2:$Q$301,MATCH($A284,'Scored Accounts'!$A$2:$A$301,0))</f>
        <v>0</v>
      </c>
      <c r="G284" s="2" t="str">
        <f aca="false">INDEX('Scored Accounts'!$R$2:$R$301,MATCH($A284,'Scored Accounts'!$A$2:$A$301,0))</f>
        <v>Low</v>
      </c>
      <c r="H284" s="2" t="str">
        <f aca="false">IF(OR(G284="High",G284="Medium"),"Broker-Reliant",IF(AND(G284="Low",B284="Account Managed"),"AM-Owned / Self-Serving",IF(AND(G284="Low",B284="Self Serve"),"Self-Serve","UNASSIGNED")))</f>
        <v>Self-Serve</v>
      </c>
      <c r="I284" s="9" t="n">
        <v>112</v>
      </c>
      <c r="J284" s="2" t="str">
        <f aca="false">IF(I284&gt;=Assumptions!$B$35,"Key",IF(I284&gt;=Assumptions!$B$34,"Core","Tail"))</f>
        <v>Tail</v>
      </c>
      <c r="K284" s="9" t="n">
        <f aca="false">INDEX('Commercial View'!$R$2:$R$301,MATCH($A284,'Commercial View'!$A$2:$A$301,0))</f>
        <v>112</v>
      </c>
      <c r="L284" s="9" t="n">
        <f aca="false">INDEX('Commercial View'!$S$2:$S$301,MATCH($A284,'Commercial View'!$A$2:$A$301,0))</f>
        <v>0</v>
      </c>
      <c r="M284" s="17" t="n">
        <f aca="false">INDEX('Commercial View'!$T$2:$T$301,MATCH($A284,'Commercial View'!$A$2:$A$301,0))</f>
        <v>-1</v>
      </c>
      <c r="N284" s="2" t="str">
        <f aca="false">INDEX('Commercial View'!$U$2:$U$301,MATCH($A284,'Commercial View'!$A$2:$A$301,0))</f>
        <v>Lapsed</v>
      </c>
      <c r="O284" s="2" t="n">
        <v>2</v>
      </c>
      <c r="P284" s="2" t="n">
        <v>0</v>
      </c>
      <c r="Q284" s="2" t="n">
        <v>2</v>
      </c>
      <c r="R284" s="2" t="n">
        <v>19</v>
      </c>
      <c r="S284" s="2" t="n">
        <v>1</v>
      </c>
      <c r="T284" s="2" t="str">
        <f aca="false">IF(H284="Broker-Reliant",IF(J284="Tail","5. Cost-to-Serve / Low-Touch",IF(OR(N284="Growing",N284="Stable"),"1. Migration Candidate",IF(N284="Declining","2. Protect / Retain First",IF(N284="Lapsed","3. Win-Back / Verify",IF(N284="H2 Active / No H1 GMV","4. Establish / Re-establish / Observe","UNASSIGNED"))))),IF(G284="Low",IF(J284="Tail","9. Long-Tail Automated Nurture",IF(OR(N284="Growing",N284="Stable"),"6. Growth Opportunity",IF(N284="H2 Active / No H1 GMV","7. Onboard / Re-engage / Learn",IF(OR(N284="Declining",N284="Lapsed"),"8. Retention / Reactivation","UNASSIGNED")))),"UNASSIGNED"))</f>
        <v>9. Long-Tail Automated Nurture</v>
      </c>
      <c r="U284" s="10" t="b">
        <f aca="false">AND(T284="1. Migration Candidate",J284="Core",O284&gt;=Assumptions!$B$39,Q284&gt;=Assumptions!$B$40,NOT(Z284))</f>
        <v>0</v>
      </c>
      <c r="V284" s="2" t="n">
        <f aca="false">(AND(H284="Broker-Reliant",J284&lt;&gt;"Tail",OR(N284="Growing",N284="Stable")))*1+(AND(H284="Broker-Reliant",J284&lt;&gt;"Tail",N284="Declining"))*1+(AND(H284="Broker-Reliant",J284&lt;&gt;"Tail",N284="Lapsed"))*1+(AND(H284="Broker-Reliant",J284&lt;&gt;"Tail",N284="H2 Active / No H1 GMV"))*1+(AND(H284="Broker-Reliant",J284="Tail"))*1+(AND(G284="Low",J284&lt;&gt;"Tail",OR(N284="Growing",N284="Stable")))*1+(AND(G284="Low",J284&lt;&gt;"Tail",N284="H2 Active / No H1 GMV"))*1+(AND(G284="Low",J284&lt;&gt;"Tail",OR(N284="Declining",N284="Lapsed")))*1+(AND(G284="Low",J284="Tail"))*1</f>
        <v>1</v>
      </c>
      <c r="W284" s="2" t="n">
        <f aca="false">INDEX('Commercial View'!$V$2:$V$301,MATCH($A284,'Commercial View'!$A$2:$A$301,0))</f>
        <v>2</v>
      </c>
      <c r="X284" s="10" t="b">
        <f aca="false">O284&lt;=Assumptions!$B$30</f>
        <v>1</v>
      </c>
      <c r="Y284" s="10" t="b">
        <f aca="false">W284&lt;=1</f>
        <v>0</v>
      </c>
      <c r="Z284" s="10" t="b">
        <f aca="false">C284="Duplicate"</f>
        <v>0</v>
      </c>
      <c r="AA284" s="10" t="b">
        <f aca="false">C284=""</f>
        <v>1</v>
      </c>
      <c r="AB284" s="2" t="n">
        <f aca="false">IF(P284+Q284&gt;0,ROUND(P284/(P284+Q284)*100,0),"")</f>
        <v>0</v>
      </c>
      <c r="AC284" s="2" t="n">
        <f aca="false">IF(P284+Q284&gt;0,ROUND(E284-P284/(P284+Q284)*100,0),"")</f>
        <v>0</v>
      </c>
      <c r="AD284" s="10" t="b">
        <f aca="false">IF(AC284="",FALSE(),ABS(AC284)&gt;Assumptions!$B$41)</f>
        <v>0</v>
      </c>
      <c r="AE284" s="2" t="str">
        <f aca="false">IF(X284,"Low confidence (&lt;=2 orders); ","")&amp;IF(Y284,"Single-month history; ","")&amp;IF(Z284,"CRITICAL: Duplicate status; ","")&amp;IF(AA284,"Missing status; ","")&amp;IF(AD284,"Broker % vs counts gap "&amp;TEXT(AC284,"+0;-0")&amp;"pts; ","")</f>
        <v>Low confidence (&lt;=2 orders); Missing status; </v>
      </c>
      <c r="AF284" s="2" t="str">
        <f aca="false">IF(AND(K284=0,L284&gt;0),IF(D284&lt;=Assumptions!$B$47,"New Customer","Returned Customer"),"Existing Customer")</f>
        <v>Existing Customer</v>
      </c>
      <c r="AG284" s="10" t="b">
        <f aca="false">AND(T284="1. Migration Candidate",J284="Key")</f>
        <v>0</v>
      </c>
      <c r="AH284" s="10" t="b">
        <f aca="false">IF(AND(K284&gt;0,L284&gt;0),OR(ABS(M284-Assumptions!$B$36)&lt;=Assumptions!$B$46,ABS(M284+Assumptions!$B$36)&lt;=Assumptions!$B$46),FALSE())</f>
        <v>0</v>
      </c>
      <c r="AI284" s="9" t="n">
        <f aca="false">INDEX('Commercial View'!$L$2:$L$301,MATCH($A284,'Commercial View'!$A$2:$A$301,0))+INDEX('Commercial View'!$M$2:$M$301,MATCH($A284,'Commercial View'!$A$2:$A$301,0))</f>
        <v>0</v>
      </c>
      <c r="AJ284" s="2" t="str">
        <f aca="false">IF(AND(K284=0,AI284=0),"No activity ex-Feb",IF(AI284=0,"Lapsed",IF(K284=0,"H2 Active / No H1 GMV",IF((AI284/2)/(K284/3)-1&gt;=Assumptions!$B$36,"Growing",IF((AI284/2)/(K284/3)-1&lt;-Assumptions!$B$36,"Declining","Stable")))))</f>
        <v>Lapsed</v>
      </c>
      <c r="AK284" s="10" t="b">
        <f aca="false">IF(OR(N284="Growing",N284="Stable"),"Healthy",N284)&lt;&gt;IF(OR(AJ284="Growing",AJ284="Stable"),"Healthy",AJ284)</f>
        <v>0</v>
      </c>
      <c r="AL284" s="2" t="str">
        <f aca="false">IF(N284="Lapsed",IF(OR(O284&lt;=Assumptions!$B$48,W284&lt;=Assumptions!$B$49),"One-Off / Insufficient History — Verify","Established Buyer Lapsed"),"N/A")</f>
        <v>One-Off / Insufficient History — Verify</v>
      </c>
      <c r="AM284" s="2" t="n">
        <f aca="false">INDEX('Scored Accounts'!$M$2:$M$301,MATCH($A284,'Scored Accounts'!$A$2:$A$301,0))</f>
        <v>0</v>
      </c>
      <c r="AN284" s="2" t="n">
        <f aca="false">IF((P284/(P284+Q284)*100)&lt;=Assumptions!$B$13,0,IF((P284/(P284+Q284)*100)&lt;Assumptions!$B$14,25,IF((P284/(P284+Q284)*100)&lt;Assumptions!$B$15,50,IF((P284/(P284+Q284)*100)&lt;Assumptions!$B$16,75,100))))</f>
        <v>0</v>
      </c>
      <c r="AO284" s="21" t="n">
        <f aca="false">IF((P284/(P284+Q284)*100)&lt;=Assumptions!$B$8,0,AN284*Assumptions!$B$4+INDEX('Scored Accounts'!$N$2:$N$301,MATCH($A284,'Scored Accounts'!$A$2:$A$301,0))*Assumptions!$B$5+INDEX('Scored Accounts'!$O$2:$O$301,MATCH($A284,'Scored Accounts'!$A$2:$A$301,0))*Assumptions!$B$6)</f>
        <v>0</v>
      </c>
      <c r="AP284" s="2" t="str">
        <f aca="false">IF(AO284&gt;=Assumptions!$B$9,"High",IF(AO284&gt;=Assumptions!$B$10,"Medium","Low"))</f>
        <v>Low</v>
      </c>
      <c r="AQ284" s="10" t="b">
        <f aca="false">OR((E284&lt;=Assumptions!$B$8)&lt;&gt;((P284/(P284+Q284)*100)&lt;=Assumptions!$B$8),AM284&lt;&gt;AN284,G284&lt;&gt;AP284)</f>
        <v>0</v>
      </c>
      <c r="AR284" s="2" t="str">
        <f aca="false">IF(AP284&lt;&gt;"Low","Broker-Reliant",IF(B284="Account Managed","AM-Owned / Self-Serving","Self-Serve"))</f>
        <v>Self-Serve</v>
      </c>
      <c r="AS284" s="2" t="str">
        <f aca="false">IF(AR284="Broker-Reliant",IF(J284="Tail","5. Cost-to-Serve / Low-Touch",IF(OR(N284="Growing",N284="Stable"),"1. Migration Candidate",IF(N284="Declining","2. Protect / Retain First",IF(N284="Lapsed","3. Win-Back / Verify",IF(N284="H2 Active / No H1 GMV","4. Establish / Re-establish / Observe","UNASSIGNED"))))),IF(AP284="Low",IF(J284="Tail","9. Long-Tail Automated Nurture",IF(OR(N284="Growing",N284="Stable"),"6. Growth Opportunity",IF(N284="H2 Active / No H1 GMV","7. Onboard / Re-engage / Learn",IF(OR(N284="Declining",N284="Lapsed"),"8. Retention / Reactivation","UNASSIGNED")))),"UNASSIGNED"))</f>
        <v>9. Long-Tail Automated Nurture</v>
      </c>
      <c r="AT284" s="10" t="b">
        <f aca="false">AS284&lt;&gt;T284</f>
        <v>0</v>
      </c>
      <c r="AU284" s="2" t="str">
        <f aca="false">IF(NOT(U284),"Not Eligible",IF(OR(AQ284,AH284,AK284,NOT(AND(W284&gt;=Assumptions!$B$83,O284&gt;=Assumptions!$B$84))),"Manual Review","Ready"))</f>
        <v>Not Eligible</v>
      </c>
      <c r="AV284" s="2" t="str">
        <f aca="false">IF(AG284,"Key account - human sign-off required; ","")&amp;IF(AH284,"Borderline momentum; ","")&amp;IF(AK284,"February-sensitive ("&amp;N284&amp;" -&gt; "&amp;AJ284&amp;"); ","")&amp;IF(AL284="One-Off / Insufficient History — Verify","Lapsed on thin history - verify; ","")&amp;IF(AQ284,"Material broker % inconsistency (implied tier "&amp;AP284&amp;"); ","")&amp;IF(AT284,"Implied broker % would move segment to "&amp;AS284&amp;"; ","")</f>
        <v>Lapsed on thin history - verify; </v>
      </c>
      <c r="AW284" s="10" t="b">
        <f aca="false">AND(G284="Low",J284="Tail",I284&gt;=Assumptions!$B$64,O284&gt;=Assumptions!$B$65,OR(N284="Growing",N284="Stable",AND(N284="H2 Active / No H1 GMV",W284&gt;=2)),OR(R284&gt;=Assumptions!$B$66,S284&gt;=Assumptions!$B$67))</f>
        <v>0</v>
      </c>
    </row>
    <row r="285" customFormat="false" ht="15" hidden="false" customHeight="false" outlineLevel="0" collapsed="false">
      <c r="A285" s="2" t="s">
        <v>954</v>
      </c>
      <c r="B285" s="2" t="s">
        <v>1574</v>
      </c>
      <c r="C285" s="2"/>
      <c r="D285" s="2" t="n">
        <v>1</v>
      </c>
      <c r="E285" s="2" t="n">
        <v>0</v>
      </c>
      <c r="F285" s="21" t="n">
        <f aca="false">INDEX('Scored Accounts'!$Q$2:$Q$301,MATCH($A285,'Scored Accounts'!$A$2:$A$301,0))</f>
        <v>0</v>
      </c>
      <c r="G285" s="2" t="str">
        <f aca="false">INDEX('Scored Accounts'!$R$2:$R$301,MATCH($A285,'Scored Accounts'!$A$2:$A$301,0))</f>
        <v>Low</v>
      </c>
      <c r="H285" s="2" t="str">
        <f aca="false">IF(OR(G285="High",G285="Medium"),"Broker-Reliant",IF(AND(G285="Low",B285="Account Managed"),"AM-Owned / Self-Serving",IF(AND(G285="Low",B285="Self Serve"),"Self-Serve","UNASSIGNED")))</f>
        <v>Self-Serve</v>
      </c>
      <c r="I285" s="9" t="n">
        <v>104</v>
      </c>
      <c r="J285" s="2" t="str">
        <f aca="false">IF(I285&gt;=Assumptions!$B$35,"Key",IF(I285&gt;=Assumptions!$B$34,"Core","Tail"))</f>
        <v>Tail</v>
      </c>
      <c r="K285" s="9" t="n">
        <f aca="false">INDEX('Commercial View'!$R$2:$R$301,MATCH($A285,'Commercial View'!$A$2:$A$301,0))</f>
        <v>0</v>
      </c>
      <c r="L285" s="9" t="n">
        <f aca="false">INDEX('Commercial View'!$S$2:$S$301,MATCH($A285,'Commercial View'!$A$2:$A$301,0))</f>
        <v>104</v>
      </c>
      <c r="M285" s="17" t="str">
        <f aca="false">INDEX('Commercial View'!$T$2:$T$301,MATCH($A285,'Commercial View'!$A$2:$A$301,0))</f>
        <v/>
      </c>
      <c r="N285" s="2" t="str">
        <f aca="false">INDEX('Commercial View'!$U$2:$U$301,MATCH($A285,'Commercial View'!$A$2:$A$301,0))</f>
        <v>H2 Active / No H1 GMV</v>
      </c>
      <c r="O285" s="2" t="n">
        <v>1</v>
      </c>
      <c r="P285" s="2" t="n">
        <v>0</v>
      </c>
      <c r="Q285" s="2" t="n">
        <v>1</v>
      </c>
      <c r="R285" s="2" t="n">
        <v>1</v>
      </c>
      <c r="S285" s="2" t="n">
        <v>0</v>
      </c>
      <c r="T285" s="2" t="str">
        <f aca="false">IF(H285="Broker-Reliant",IF(J285="Tail","5. Cost-to-Serve / Low-Touch",IF(OR(N285="Growing",N285="Stable"),"1. Migration Candidate",IF(N285="Declining","2. Protect / Retain First",IF(N285="Lapsed","3. Win-Back / Verify",IF(N285="H2 Active / No H1 GMV","4. Establish / Re-establish / Observe","UNASSIGNED"))))),IF(G285="Low",IF(J285="Tail","9. Long-Tail Automated Nurture",IF(OR(N285="Growing",N285="Stable"),"6. Growth Opportunity",IF(N285="H2 Active / No H1 GMV","7. Onboard / Re-engage / Learn",IF(OR(N285="Declining",N285="Lapsed"),"8. Retention / Reactivation","UNASSIGNED")))),"UNASSIGNED"))</f>
        <v>9. Long-Tail Automated Nurture</v>
      </c>
      <c r="U285" s="10" t="b">
        <f aca="false">AND(T285="1. Migration Candidate",J285="Core",O285&gt;=Assumptions!$B$39,Q285&gt;=Assumptions!$B$40,NOT(Z285))</f>
        <v>0</v>
      </c>
      <c r="V285" s="2" t="n">
        <f aca="false">(AND(H285="Broker-Reliant",J285&lt;&gt;"Tail",OR(N285="Growing",N285="Stable")))*1+(AND(H285="Broker-Reliant",J285&lt;&gt;"Tail",N285="Declining"))*1+(AND(H285="Broker-Reliant",J285&lt;&gt;"Tail",N285="Lapsed"))*1+(AND(H285="Broker-Reliant",J285&lt;&gt;"Tail",N285="H2 Active / No H1 GMV"))*1+(AND(H285="Broker-Reliant",J285="Tail"))*1+(AND(G285="Low",J285&lt;&gt;"Tail",OR(N285="Growing",N285="Stable")))*1+(AND(G285="Low",J285&lt;&gt;"Tail",N285="H2 Active / No H1 GMV"))*1+(AND(G285="Low",J285&lt;&gt;"Tail",OR(N285="Declining",N285="Lapsed")))*1+(AND(G285="Low",J285="Tail"))*1</f>
        <v>1</v>
      </c>
      <c r="W285" s="2" t="n">
        <f aca="false">INDEX('Commercial View'!$V$2:$V$301,MATCH($A285,'Commercial View'!$A$2:$A$301,0))</f>
        <v>1</v>
      </c>
      <c r="X285" s="10" t="b">
        <f aca="false">O285&lt;=Assumptions!$B$30</f>
        <v>1</v>
      </c>
      <c r="Y285" s="10" t="b">
        <f aca="false">W285&lt;=1</f>
        <v>1</v>
      </c>
      <c r="Z285" s="10" t="b">
        <f aca="false">C285="Duplicate"</f>
        <v>0</v>
      </c>
      <c r="AA285" s="10" t="b">
        <f aca="false">C285=""</f>
        <v>1</v>
      </c>
      <c r="AB285" s="2" t="n">
        <f aca="false">IF(P285+Q285&gt;0,ROUND(P285/(P285+Q285)*100,0),"")</f>
        <v>0</v>
      </c>
      <c r="AC285" s="2" t="n">
        <f aca="false">IF(P285+Q285&gt;0,ROUND(E285-P285/(P285+Q285)*100,0),"")</f>
        <v>0</v>
      </c>
      <c r="AD285" s="10" t="b">
        <f aca="false">IF(AC285="",FALSE(),ABS(AC285)&gt;Assumptions!$B$41)</f>
        <v>0</v>
      </c>
      <c r="AE285" s="2" t="str">
        <f aca="false">IF(X285,"Low confidence (&lt;=2 orders); ","")&amp;IF(Y285,"Single-month history; ","")&amp;IF(Z285,"CRITICAL: Duplicate status; ","")&amp;IF(AA285,"Missing status; ","")&amp;IF(AD285,"Broker % vs counts gap "&amp;TEXT(AC285,"+0;-0")&amp;"pts; ","")</f>
        <v>Low confidence (&lt;=2 orders); Single-month history; Missing status; </v>
      </c>
      <c r="AF285" s="2" t="str">
        <f aca="false">IF(AND(K285=0,L285&gt;0),IF(D285&lt;=Assumptions!$B$47,"New Customer","Returned Customer"),"Existing Customer")</f>
        <v>New Customer</v>
      </c>
      <c r="AG285" s="10" t="b">
        <f aca="false">AND(T285="1. Migration Candidate",J285="Key")</f>
        <v>0</v>
      </c>
      <c r="AH285" s="10" t="b">
        <f aca="false">IF(AND(K285&gt;0,L285&gt;0),OR(ABS(M285-Assumptions!$B$36)&lt;=Assumptions!$B$46,ABS(M285+Assumptions!$B$36)&lt;=Assumptions!$B$46),FALSE())</f>
        <v>0</v>
      </c>
      <c r="AI285" s="9" t="n">
        <f aca="false">INDEX('Commercial View'!$L$2:$L$301,MATCH($A285,'Commercial View'!$A$2:$A$301,0))+INDEX('Commercial View'!$M$2:$M$301,MATCH($A285,'Commercial View'!$A$2:$A$301,0))</f>
        <v>0</v>
      </c>
      <c r="AJ285" s="2" t="str">
        <f aca="false">IF(AND(K285=0,AI285=0),"No activity ex-Feb",IF(AI285=0,"Lapsed",IF(K285=0,"H2 Active / No H1 GMV",IF((AI285/2)/(K285/3)-1&gt;=Assumptions!$B$36,"Growing",IF((AI285/2)/(K285/3)-1&lt;-Assumptions!$B$36,"Declining","Stable")))))</f>
        <v>No activity ex-Feb</v>
      </c>
      <c r="AK285" s="10" t="b">
        <f aca="false">IF(OR(N285="Growing",N285="Stable"),"Healthy",N285)&lt;&gt;IF(OR(AJ285="Growing",AJ285="Stable"),"Healthy",AJ285)</f>
        <v>1</v>
      </c>
      <c r="AL285" s="2" t="str">
        <f aca="false">IF(N285="Lapsed",IF(OR(O285&lt;=Assumptions!$B$48,W285&lt;=Assumptions!$B$49),"One-Off / Insufficient History — Verify","Established Buyer Lapsed"),"N/A")</f>
        <v>N/A</v>
      </c>
      <c r="AM285" s="2" t="n">
        <f aca="false">INDEX('Scored Accounts'!$M$2:$M$301,MATCH($A285,'Scored Accounts'!$A$2:$A$301,0))</f>
        <v>0</v>
      </c>
      <c r="AN285" s="2" t="n">
        <f aca="false">IF((P285/(P285+Q285)*100)&lt;=Assumptions!$B$13,0,IF((P285/(P285+Q285)*100)&lt;Assumptions!$B$14,25,IF((P285/(P285+Q285)*100)&lt;Assumptions!$B$15,50,IF((P285/(P285+Q285)*100)&lt;Assumptions!$B$16,75,100))))</f>
        <v>0</v>
      </c>
      <c r="AO285" s="21" t="n">
        <f aca="false">IF((P285/(P285+Q285)*100)&lt;=Assumptions!$B$8,0,AN285*Assumptions!$B$4+INDEX('Scored Accounts'!$N$2:$N$301,MATCH($A285,'Scored Accounts'!$A$2:$A$301,0))*Assumptions!$B$5+INDEX('Scored Accounts'!$O$2:$O$301,MATCH($A285,'Scored Accounts'!$A$2:$A$301,0))*Assumptions!$B$6)</f>
        <v>0</v>
      </c>
      <c r="AP285" s="2" t="str">
        <f aca="false">IF(AO285&gt;=Assumptions!$B$9,"High",IF(AO285&gt;=Assumptions!$B$10,"Medium","Low"))</f>
        <v>Low</v>
      </c>
      <c r="AQ285" s="10" t="b">
        <f aca="false">OR((E285&lt;=Assumptions!$B$8)&lt;&gt;((P285/(P285+Q285)*100)&lt;=Assumptions!$B$8),AM285&lt;&gt;AN285,G285&lt;&gt;AP285)</f>
        <v>0</v>
      </c>
      <c r="AR285" s="2" t="str">
        <f aca="false">IF(AP285&lt;&gt;"Low","Broker-Reliant",IF(B285="Account Managed","AM-Owned / Self-Serving","Self-Serve"))</f>
        <v>Self-Serve</v>
      </c>
      <c r="AS285" s="2" t="str">
        <f aca="false">IF(AR285="Broker-Reliant",IF(J285="Tail","5. Cost-to-Serve / Low-Touch",IF(OR(N285="Growing",N285="Stable"),"1. Migration Candidate",IF(N285="Declining","2. Protect / Retain First",IF(N285="Lapsed","3. Win-Back / Verify",IF(N285="H2 Active / No H1 GMV","4. Establish / Re-establish / Observe","UNASSIGNED"))))),IF(AP285="Low",IF(J285="Tail","9. Long-Tail Automated Nurture",IF(OR(N285="Growing",N285="Stable"),"6. Growth Opportunity",IF(N285="H2 Active / No H1 GMV","7. Onboard / Re-engage / Learn",IF(OR(N285="Declining",N285="Lapsed"),"8. Retention / Reactivation","UNASSIGNED")))),"UNASSIGNED"))</f>
        <v>9. Long-Tail Automated Nurture</v>
      </c>
      <c r="AT285" s="10" t="b">
        <f aca="false">AS285&lt;&gt;T285</f>
        <v>0</v>
      </c>
      <c r="AU285" s="2" t="str">
        <f aca="false">IF(NOT(U285),"Not Eligible",IF(OR(AQ285,AH285,AK285,NOT(AND(W285&gt;=Assumptions!$B$83,O285&gt;=Assumptions!$B$84))),"Manual Review","Ready"))</f>
        <v>Not Eligible</v>
      </c>
      <c r="AV285" s="2" t="str">
        <f aca="false">IF(AG285,"Key account - human sign-off required; ","")&amp;IF(AH285,"Borderline momentum; ","")&amp;IF(AK285,"February-sensitive ("&amp;N285&amp;" -&gt; "&amp;AJ285&amp;"); ","")&amp;IF(AL285="One-Off / Insufficient History — Verify","Lapsed on thin history - verify; ","")&amp;IF(AQ285,"Material broker % inconsistency (implied tier "&amp;AP285&amp;"); ","")&amp;IF(AT285,"Implied broker % would move segment to "&amp;AS285&amp;"; ","")</f>
        <v>February-sensitive (H2 Active / No H1 GMV -&gt; No activity ex-Feb); </v>
      </c>
      <c r="AW285" s="10" t="b">
        <f aca="false">AND(G285="Low",J285="Tail",I285&gt;=Assumptions!$B$64,O285&gt;=Assumptions!$B$65,OR(N285="Growing",N285="Stable",AND(N285="H2 Active / No H1 GMV",W285&gt;=2)),OR(R285&gt;=Assumptions!$B$66,S285&gt;=Assumptions!$B$67))</f>
        <v>0</v>
      </c>
    </row>
    <row r="286" customFormat="false" ht="15" hidden="false" customHeight="false" outlineLevel="0" collapsed="false">
      <c r="A286" s="2" t="s">
        <v>960</v>
      </c>
      <c r="B286" s="2" t="s">
        <v>1574</v>
      </c>
      <c r="C286" s="2"/>
      <c r="D286" s="2" t="n">
        <v>1</v>
      </c>
      <c r="E286" s="2" t="n">
        <v>0</v>
      </c>
      <c r="F286" s="21" t="n">
        <f aca="false">INDEX('Scored Accounts'!$Q$2:$Q$301,MATCH($A286,'Scored Accounts'!$A$2:$A$301,0))</f>
        <v>0</v>
      </c>
      <c r="G286" s="2" t="str">
        <f aca="false">INDEX('Scored Accounts'!$R$2:$R$301,MATCH($A286,'Scored Accounts'!$A$2:$A$301,0))</f>
        <v>Low</v>
      </c>
      <c r="H286" s="2" t="str">
        <f aca="false">IF(OR(G286="High",G286="Medium"),"Broker-Reliant",IF(AND(G286="Low",B286="Account Managed"),"AM-Owned / Self-Serving",IF(AND(G286="Low",B286="Self Serve"),"Self-Serve","UNASSIGNED")))</f>
        <v>Self-Serve</v>
      </c>
      <c r="I286" s="9" t="n">
        <v>98</v>
      </c>
      <c r="J286" s="2" t="str">
        <f aca="false">IF(I286&gt;=Assumptions!$B$35,"Key",IF(I286&gt;=Assumptions!$B$34,"Core","Tail"))</f>
        <v>Tail</v>
      </c>
      <c r="K286" s="9" t="n">
        <f aca="false">INDEX('Commercial View'!$R$2:$R$301,MATCH($A286,'Commercial View'!$A$2:$A$301,0))</f>
        <v>0</v>
      </c>
      <c r="L286" s="9" t="n">
        <f aca="false">INDEX('Commercial View'!$S$2:$S$301,MATCH($A286,'Commercial View'!$A$2:$A$301,0))</f>
        <v>98</v>
      </c>
      <c r="M286" s="17" t="str">
        <f aca="false">INDEX('Commercial View'!$T$2:$T$301,MATCH($A286,'Commercial View'!$A$2:$A$301,0))</f>
        <v/>
      </c>
      <c r="N286" s="2" t="str">
        <f aca="false">INDEX('Commercial View'!$U$2:$U$301,MATCH($A286,'Commercial View'!$A$2:$A$301,0))</f>
        <v>H2 Active / No H1 GMV</v>
      </c>
      <c r="O286" s="2" t="n">
        <v>1</v>
      </c>
      <c r="P286" s="2" t="n">
        <v>0</v>
      </c>
      <c r="Q286" s="2" t="n">
        <v>1</v>
      </c>
      <c r="R286" s="2" t="n">
        <v>0</v>
      </c>
      <c r="S286" s="2" t="n">
        <v>0</v>
      </c>
      <c r="T286" s="2" t="str">
        <f aca="false">IF(H286="Broker-Reliant",IF(J286="Tail","5. Cost-to-Serve / Low-Touch",IF(OR(N286="Growing",N286="Stable"),"1. Migration Candidate",IF(N286="Declining","2. Protect / Retain First",IF(N286="Lapsed","3. Win-Back / Verify",IF(N286="H2 Active / No H1 GMV","4. Establish / Re-establish / Observe","UNASSIGNED"))))),IF(G286="Low",IF(J286="Tail","9. Long-Tail Automated Nurture",IF(OR(N286="Growing",N286="Stable"),"6. Growth Opportunity",IF(N286="H2 Active / No H1 GMV","7. Onboard / Re-engage / Learn",IF(OR(N286="Declining",N286="Lapsed"),"8. Retention / Reactivation","UNASSIGNED")))),"UNASSIGNED"))</f>
        <v>9. Long-Tail Automated Nurture</v>
      </c>
      <c r="U286" s="10" t="b">
        <f aca="false">AND(T286="1. Migration Candidate",J286="Core",O286&gt;=Assumptions!$B$39,Q286&gt;=Assumptions!$B$40,NOT(Z286))</f>
        <v>0</v>
      </c>
      <c r="V286" s="2" t="n">
        <f aca="false">(AND(H286="Broker-Reliant",J286&lt;&gt;"Tail",OR(N286="Growing",N286="Stable")))*1+(AND(H286="Broker-Reliant",J286&lt;&gt;"Tail",N286="Declining"))*1+(AND(H286="Broker-Reliant",J286&lt;&gt;"Tail",N286="Lapsed"))*1+(AND(H286="Broker-Reliant",J286&lt;&gt;"Tail",N286="H2 Active / No H1 GMV"))*1+(AND(H286="Broker-Reliant",J286="Tail"))*1+(AND(G286="Low",J286&lt;&gt;"Tail",OR(N286="Growing",N286="Stable")))*1+(AND(G286="Low",J286&lt;&gt;"Tail",N286="H2 Active / No H1 GMV"))*1+(AND(G286="Low",J286&lt;&gt;"Tail",OR(N286="Declining",N286="Lapsed")))*1+(AND(G286="Low",J286="Tail"))*1</f>
        <v>1</v>
      </c>
      <c r="W286" s="2" t="n">
        <f aca="false">INDEX('Commercial View'!$V$2:$V$301,MATCH($A286,'Commercial View'!$A$2:$A$301,0))</f>
        <v>1</v>
      </c>
      <c r="X286" s="10" t="b">
        <f aca="false">O286&lt;=Assumptions!$B$30</f>
        <v>1</v>
      </c>
      <c r="Y286" s="10" t="b">
        <f aca="false">W286&lt;=1</f>
        <v>1</v>
      </c>
      <c r="Z286" s="10" t="b">
        <f aca="false">C286="Duplicate"</f>
        <v>0</v>
      </c>
      <c r="AA286" s="10" t="b">
        <f aca="false">C286=""</f>
        <v>1</v>
      </c>
      <c r="AB286" s="2" t="n">
        <f aca="false">IF(P286+Q286&gt;0,ROUND(P286/(P286+Q286)*100,0),"")</f>
        <v>0</v>
      </c>
      <c r="AC286" s="2" t="n">
        <f aca="false">IF(P286+Q286&gt;0,ROUND(E286-P286/(P286+Q286)*100,0),"")</f>
        <v>0</v>
      </c>
      <c r="AD286" s="10" t="b">
        <f aca="false">IF(AC286="",FALSE(),ABS(AC286)&gt;Assumptions!$B$41)</f>
        <v>0</v>
      </c>
      <c r="AE286" s="2" t="str">
        <f aca="false">IF(X286,"Low confidence (&lt;=2 orders); ","")&amp;IF(Y286,"Single-month history; ","")&amp;IF(Z286,"CRITICAL: Duplicate status; ","")&amp;IF(AA286,"Missing status; ","")&amp;IF(AD286,"Broker % vs counts gap "&amp;TEXT(AC286,"+0;-0")&amp;"pts; ","")</f>
        <v>Low confidence (&lt;=2 orders); Single-month history; Missing status; </v>
      </c>
      <c r="AF286" s="2" t="str">
        <f aca="false">IF(AND(K286=0,L286&gt;0),IF(D286&lt;=Assumptions!$B$47,"New Customer","Returned Customer"),"Existing Customer")</f>
        <v>New Customer</v>
      </c>
      <c r="AG286" s="10" t="b">
        <f aca="false">AND(T286="1. Migration Candidate",J286="Key")</f>
        <v>0</v>
      </c>
      <c r="AH286" s="10" t="b">
        <f aca="false">IF(AND(K286&gt;0,L286&gt;0),OR(ABS(M286-Assumptions!$B$36)&lt;=Assumptions!$B$46,ABS(M286+Assumptions!$B$36)&lt;=Assumptions!$B$46),FALSE())</f>
        <v>0</v>
      </c>
      <c r="AI286" s="9" t="n">
        <f aca="false">INDEX('Commercial View'!$L$2:$L$301,MATCH($A286,'Commercial View'!$A$2:$A$301,0))+INDEX('Commercial View'!$M$2:$M$301,MATCH($A286,'Commercial View'!$A$2:$A$301,0))</f>
        <v>0</v>
      </c>
      <c r="AJ286" s="2" t="str">
        <f aca="false">IF(AND(K286=0,AI286=0),"No activity ex-Feb",IF(AI286=0,"Lapsed",IF(K286=0,"H2 Active / No H1 GMV",IF((AI286/2)/(K286/3)-1&gt;=Assumptions!$B$36,"Growing",IF((AI286/2)/(K286/3)-1&lt;-Assumptions!$B$36,"Declining","Stable")))))</f>
        <v>No activity ex-Feb</v>
      </c>
      <c r="AK286" s="10" t="b">
        <f aca="false">IF(OR(N286="Growing",N286="Stable"),"Healthy",N286)&lt;&gt;IF(OR(AJ286="Growing",AJ286="Stable"),"Healthy",AJ286)</f>
        <v>1</v>
      </c>
      <c r="AL286" s="2" t="str">
        <f aca="false">IF(N286="Lapsed",IF(OR(O286&lt;=Assumptions!$B$48,W286&lt;=Assumptions!$B$49),"One-Off / Insufficient History — Verify","Established Buyer Lapsed"),"N/A")</f>
        <v>N/A</v>
      </c>
      <c r="AM286" s="2" t="n">
        <f aca="false">INDEX('Scored Accounts'!$M$2:$M$301,MATCH($A286,'Scored Accounts'!$A$2:$A$301,0))</f>
        <v>0</v>
      </c>
      <c r="AN286" s="2" t="n">
        <f aca="false">IF((P286/(P286+Q286)*100)&lt;=Assumptions!$B$13,0,IF((P286/(P286+Q286)*100)&lt;Assumptions!$B$14,25,IF((P286/(P286+Q286)*100)&lt;Assumptions!$B$15,50,IF((P286/(P286+Q286)*100)&lt;Assumptions!$B$16,75,100))))</f>
        <v>0</v>
      </c>
      <c r="AO286" s="21" t="n">
        <f aca="false">IF((P286/(P286+Q286)*100)&lt;=Assumptions!$B$8,0,AN286*Assumptions!$B$4+INDEX('Scored Accounts'!$N$2:$N$301,MATCH($A286,'Scored Accounts'!$A$2:$A$301,0))*Assumptions!$B$5+INDEX('Scored Accounts'!$O$2:$O$301,MATCH($A286,'Scored Accounts'!$A$2:$A$301,0))*Assumptions!$B$6)</f>
        <v>0</v>
      </c>
      <c r="AP286" s="2" t="str">
        <f aca="false">IF(AO286&gt;=Assumptions!$B$9,"High",IF(AO286&gt;=Assumptions!$B$10,"Medium","Low"))</f>
        <v>Low</v>
      </c>
      <c r="AQ286" s="10" t="b">
        <f aca="false">OR((E286&lt;=Assumptions!$B$8)&lt;&gt;((P286/(P286+Q286)*100)&lt;=Assumptions!$B$8),AM286&lt;&gt;AN286,G286&lt;&gt;AP286)</f>
        <v>0</v>
      </c>
      <c r="AR286" s="2" t="str">
        <f aca="false">IF(AP286&lt;&gt;"Low","Broker-Reliant",IF(B286="Account Managed","AM-Owned / Self-Serving","Self-Serve"))</f>
        <v>Self-Serve</v>
      </c>
      <c r="AS286" s="2" t="str">
        <f aca="false">IF(AR286="Broker-Reliant",IF(J286="Tail","5. Cost-to-Serve / Low-Touch",IF(OR(N286="Growing",N286="Stable"),"1. Migration Candidate",IF(N286="Declining","2. Protect / Retain First",IF(N286="Lapsed","3. Win-Back / Verify",IF(N286="H2 Active / No H1 GMV","4. Establish / Re-establish / Observe","UNASSIGNED"))))),IF(AP286="Low",IF(J286="Tail","9. Long-Tail Automated Nurture",IF(OR(N286="Growing",N286="Stable"),"6. Growth Opportunity",IF(N286="H2 Active / No H1 GMV","7. Onboard / Re-engage / Learn",IF(OR(N286="Declining",N286="Lapsed"),"8. Retention / Reactivation","UNASSIGNED")))),"UNASSIGNED"))</f>
        <v>9. Long-Tail Automated Nurture</v>
      </c>
      <c r="AT286" s="10" t="b">
        <f aca="false">AS286&lt;&gt;T286</f>
        <v>0</v>
      </c>
      <c r="AU286" s="2" t="str">
        <f aca="false">IF(NOT(U286),"Not Eligible",IF(OR(AQ286,AH286,AK286,NOT(AND(W286&gt;=Assumptions!$B$83,O286&gt;=Assumptions!$B$84))),"Manual Review","Ready"))</f>
        <v>Not Eligible</v>
      </c>
      <c r="AV286" s="2" t="str">
        <f aca="false">IF(AG286,"Key account - human sign-off required; ","")&amp;IF(AH286,"Borderline momentum; ","")&amp;IF(AK286,"February-sensitive ("&amp;N286&amp;" -&gt; "&amp;AJ286&amp;"); ","")&amp;IF(AL286="One-Off / Insufficient History — Verify","Lapsed on thin history - verify; ","")&amp;IF(AQ286,"Material broker % inconsistency (implied tier "&amp;AP286&amp;"); ","")&amp;IF(AT286,"Implied broker % would move segment to "&amp;AS286&amp;"; ","")</f>
        <v>February-sensitive (H2 Active / No H1 GMV -&gt; No activity ex-Feb); </v>
      </c>
      <c r="AW286" s="10" t="b">
        <f aca="false">AND(G286="Low",J286="Tail",I286&gt;=Assumptions!$B$64,O286&gt;=Assumptions!$B$65,OR(N286="Growing",N286="Stable",AND(N286="H2 Active / No H1 GMV",W286&gt;=2)),OR(R286&gt;=Assumptions!$B$66,S286&gt;=Assumptions!$B$67))</f>
        <v>0</v>
      </c>
    </row>
    <row r="287" customFormat="false" ht="15" hidden="false" customHeight="false" outlineLevel="0" collapsed="false">
      <c r="A287" s="2" t="s">
        <v>968</v>
      </c>
      <c r="B287" s="2" t="s">
        <v>1574</v>
      </c>
      <c r="C287" s="2"/>
      <c r="D287" s="2" t="n">
        <v>5</v>
      </c>
      <c r="E287" s="2" t="n">
        <v>0</v>
      </c>
      <c r="F287" s="21" t="n">
        <f aca="false">INDEX('Scored Accounts'!$Q$2:$Q$301,MATCH($A287,'Scored Accounts'!$A$2:$A$301,0))</f>
        <v>0</v>
      </c>
      <c r="G287" s="2" t="str">
        <f aca="false">INDEX('Scored Accounts'!$R$2:$R$301,MATCH($A287,'Scored Accounts'!$A$2:$A$301,0))</f>
        <v>Low</v>
      </c>
      <c r="H287" s="2" t="str">
        <f aca="false">IF(OR(G287="High",G287="Medium"),"Broker-Reliant",IF(AND(G287="Low",B287="Account Managed"),"AM-Owned / Self-Serving",IF(AND(G287="Low",B287="Self Serve"),"Self-Serve","UNASSIGNED")))</f>
        <v>Self-Serve</v>
      </c>
      <c r="I287" s="9" t="n">
        <v>96</v>
      </c>
      <c r="J287" s="2" t="str">
        <f aca="false">IF(I287&gt;=Assumptions!$B$35,"Key",IF(I287&gt;=Assumptions!$B$34,"Core","Tail"))</f>
        <v>Tail</v>
      </c>
      <c r="K287" s="9" t="n">
        <f aca="false">INDEX('Commercial View'!$R$2:$R$301,MATCH($A287,'Commercial View'!$A$2:$A$301,0))</f>
        <v>96</v>
      </c>
      <c r="L287" s="9" t="n">
        <f aca="false">INDEX('Commercial View'!$S$2:$S$301,MATCH($A287,'Commercial View'!$A$2:$A$301,0))</f>
        <v>0</v>
      </c>
      <c r="M287" s="17" t="n">
        <f aca="false">INDEX('Commercial View'!$T$2:$T$301,MATCH($A287,'Commercial View'!$A$2:$A$301,0))</f>
        <v>-1</v>
      </c>
      <c r="N287" s="2" t="str">
        <f aca="false">INDEX('Commercial View'!$U$2:$U$301,MATCH($A287,'Commercial View'!$A$2:$A$301,0))</f>
        <v>Lapsed</v>
      </c>
      <c r="O287" s="2" t="n">
        <v>1</v>
      </c>
      <c r="P287" s="2" t="n">
        <v>0</v>
      </c>
      <c r="Q287" s="2" t="n">
        <v>1</v>
      </c>
      <c r="R287" s="2" t="n">
        <v>15</v>
      </c>
      <c r="S287" s="2" t="n">
        <v>35</v>
      </c>
      <c r="T287" s="2" t="str">
        <f aca="false">IF(H287="Broker-Reliant",IF(J287="Tail","5. Cost-to-Serve / Low-Touch",IF(OR(N287="Growing",N287="Stable"),"1. Migration Candidate",IF(N287="Declining","2. Protect / Retain First",IF(N287="Lapsed","3. Win-Back / Verify",IF(N287="H2 Active / No H1 GMV","4. Establish / Re-establish / Observe","UNASSIGNED"))))),IF(G287="Low",IF(J287="Tail","9. Long-Tail Automated Nurture",IF(OR(N287="Growing",N287="Stable"),"6. Growth Opportunity",IF(N287="H2 Active / No H1 GMV","7. Onboard / Re-engage / Learn",IF(OR(N287="Declining",N287="Lapsed"),"8. Retention / Reactivation","UNASSIGNED")))),"UNASSIGNED"))</f>
        <v>9. Long-Tail Automated Nurture</v>
      </c>
      <c r="U287" s="10" t="b">
        <f aca="false">AND(T287="1. Migration Candidate",J287="Core",O287&gt;=Assumptions!$B$39,Q287&gt;=Assumptions!$B$40,NOT(Z287))</f>
        <v>0</v>
      </c>
      <c r="V287" s="2" t="n">
        <f aca="false">(AND(H287="Broker-Reliant",J287&lt;&gt;"Tail",OR(N287="Growing",N287="Stable")))*1+(AND(H287="Broker-Reliant",J287&lt;&gt;"Tail",N287="Declining"))*1+(AND(H287="Broker-Reliant",J287&lt;&gt;"Tail",N287="Lapsed"))*1+(AND(H287="Broker-Reliant",J287&lt;&gt;"Tail",N287="H2 Active / No H1 GMV"))*1+(AND(H287="Broker-Reliant",J287="Tail"))*1+(AND(G287="Low",J287&lt;&gt;"Tail",OR(N287="Growing",N287="Stable")))*1+(AND(G287="Low",J287&lt;&gt;"Tail",N287="H2 Active / No H1 GMV"))*1+(AND(G287="Low",J287&lt;&gt;"Tail",OR(N287="Declining",N287="Lapsed")))*1+(AND(G287="Low",J287="Tail"))*1</f>
        <v>1</v>
      </c>
      <c r="W287" s="2" t="n">
        <f aca="false">INDEX('Commercial View'!$V$2:$V$301,MATCH($A287,'Commercial View'!$A$2:$A$301,0))</f>
        <v>1</v>
      </c>
      <c r="X287" s="10" t="b">
        <f aca="false">O287&lt;=Assumptions!$B$30</f>
        <v>1</v>
      </c>
      <c r="Y287" s="10" t="b">
        <f aca="false">W287&lt;=1</f>
        <v>1</v>
      </c>
      <c r="Z287" s="10" t="b">
        <f aca="false">C287="Duplicate"</f>
        <v>0</v>
      </c>
      <c r="AA287" s="10" t="b">
        <f aca="false">C287=""</f>
        <v>1</v>
      </c>
      <c r="AB287" s="2" t="n">
        <f aca="false">IF(P287+Q287&gt;0,ROUND(P287/(P287+Q287)*100,0),"")</f>
        <v>0</v>
      </c>
      <c r="AC287" s="2" t="n">
        <f aca="false">IF(P287+Q287&gt;0,ROUND(E287-P287/(P287+Q287)*100,0),"")</f>
        <v>0</v>
      </c>
      <c r="AD287" s="10" t="b">
        <f aca="false">IF(AC287="",FALSE(),ABS(AC287)&gt;Assumptions!$B$41)</f>
        <v>0</v>
      </c>
      <c r="AE287" s="2" t="str">
        <f aca="false">IF(X287,"Low confidence (&lt;=2 orders); ","")&amp;IF(Y287,"Single-month history; ","")&amp;IF(Z287,"CRITICAL: Duplicate status; ","")&amp;IF(AA287,"Missing status; ","")&amp;IF(AD287,"Broker % vs counts gap "&amp;TEXT(AC287,"+0;-0")&amp;"pts; ","")</f>
        <v>Low confidence (&lt;=2 orders); Single-month history; Missing status; </v>
      </c>
      <c r="AF287" s="2" t="str">
        <f aca="false">IF(AND(K287=0,L287&gt;0),IF(D287&lt;=Assumptions!$B$47,"New Customer","Returned Customer"),"Existing Customer")</f>
        <v>Existing Customer</v>
      </c>
      <c r="AG287" s="10" t="b">
        <f aca="false">AND(T287="1. Migration Candidate",J287="Key")</f>
        <v>0</v>
      </c>
      <c r="AH287" s="10" t="b">
        <f aca="false">IF(AND(K287&gt;0,L287&gt;0),OR(ABS(M287-Assumptions!$B$36)&lt;=Assumptions!$B$46,ABS(M287+Assumptions!$B$36)&lt;=Assumptions!$B$46),FALSE())</f>
        <v>0</v>
      </c>
      <c r="AI287" s="9" t="n">
        <f aca="false">INDEX('Commercial View'!$L$2:$L$301,MATCH($A287,'Commercial View'!$A$2:$A$301,0))+INDEX('Commercial View'!$M$2:$M$301,MATCH($A287,'Commercial View'!$A$2:$A$301,0))</f>
        <v>0</v>
      </c>
      <c r="AJ287" s="2" t="str">
        <f aca="false">IF(AND(K287=0,AI287=0),"No activity ex-Feb",IF(AI287=0,"Lapsed",IF(K287=0,"H2 Active / No H1 GMV",IF((AI287/2)/(K287/3)-1&gt;=Assumptions!$B$36,"Growing",IF((AI287/2)/(K287/3)-1&lt;-Assumptions!$B$36,"Declining","Stable")))))</f>
        <v>Lapsed</v>
      </c>
      <c r="AK287" s="10" t="b">
        <f aca="false">IF(OR(N287="Growing",N287="Stable"),"Healthy",N287)&lt;&gt;IF(OR(AJ287="Growing",AJ287="Stable"),"Healthy",AJ287)</f>
        <v>0</v>
      </c>
      <c r="AL287" s="2" t="str">
        <f aca="false">IF(N287="Lapsed",IF(OR(O287&lt;=Assumptions!$B$48,W287&lt;=Assumptions!$B$49),"One-Off / Insufficient History — Verify","Established Buyer Lapsed"),"N/A")</f>
        <v>One-Off / Insufficient History — Verify</v>
      </c>
      <c r="AM287" s="2" t="n">
        <f aca="false">INDEX('Scored Accounts'!$M$2:$M$301,MATCH($A287,'Scored Accounts'!$A$2:$A$301,0))</f>
        <v>0</v>
      </c>
      <c r="AN287" s="2" t="n">
        <f aca="false">IF((P287/(P287+Q287)*100)&lt;=Assumptions!$B$13,0,IF((P287/(P287+Q287)*100)&lt;Assumptions!$B$14,25,IF((P287/(P287+Q287)*100)&lt;Assumptions!$B$15,50,IF((P287/(P287+Q287)*100)&lt;Assumptions!$B$16,75,100))))</f>
        <v>0</v>
      </c>
      <c r="AO287" s="21" t="n">
        <f aca="false">IF((P287/(P287+Q287)*100)&lt;=Assumptions!$B$8,0,AN287*Assumptions!$B$4+INDEX('Scored Accounts'!$N$2:$N$301,MATCH($A287,'Scored Accounts'!$A$2:$A$301,0))*Assumptions!$B$5+INDEX('Scored Accounts'!$O$2:$O$301,MATCH($A287,'Scored Accounts'!$A$2:$A$301,0))*Assumptions!$B$6)</f>
        <v>0</v>
      </c>
      <c r="AP287" s="2" t="str">
        <f aca="false">IF(AO287&gt;=Assumptions!$B$9,"High",IF(AO287&gt;=Assumptions!$B$10,"Medium","Low"))</f>
        <v>Low</v>
      </c>
      <c r="AQ287" s="10" t="b">
        <f aca="false">OR((E287&lt;=Assumptions!$B$8)&lt;&gt;((P287/(P287+Q287)*100)&lt;=Assumptions!$B$8),AM287&lt;&gt;AN287,G287&lt;&gt;AP287)</f>
        <v>0</v>
      </c>
      <c r="AR287" s="2" t="str">
        <f aca="false">IF(AP287&lt;&gt;"Low","Broker-Reliant",IF(B287="Account Managed","AM-Owned / Self-Serving","Self-Serve"))</f>
        <v>Self-Serve</v>
      </c>
      <c r="AS287" s="2" t="str">
        <f aca="false">IF(AR287="Broker-Reliant",IF(J287="Tail","5. Cost-to-Serve / Low-Touch",IF(OR(N287="Growing",N287="Stable"),"1. Migration Candidate",IF(N287="Declining","2. Protect / Retain First",IF(N287="Lapsed","3. Win-Back / Verify",IF(N287="H2 Active / No H1 GMV","4. Establish / Re-establish / Observe","UNASSIGNED"))))),IF(AP287="Low",IF(J287="Tail","9. Long-Tail Automated Nurture",IF(OR(N287="Growing",N287="Stable"),"6. Growth Opportunity",IF(N287="H2 Active / No H1 GMV","7. Onboard / Re-engage / Learn",IF(OR(N287="Declining",N287="Lapsed"),"8. Retention / Reactivation","UNASSIGNED")))),"UNASSIGNED"))</f>
        <v>9. Long-Tail Automated Nurture</v>
      </c>
      <c r="AT287" s="10" t="b">
        <f aca="false">AS287&lt;&gt;T287</f>
        <v>0</v>
      </c>
      <c r="AU287" s="2" t="str">
        <f aca="false">IF(NOT(U287),"Not Eligible",IF(OR(AQ287,AH287,AK287,NOT(AND(W287&gt;=Assumptions!$B$83,O287&gt;=Assumptions!$B$84))),"Manual Review","Ready"))</f>
        <v>Not Eligible</v>
      </c>
      <c r="AV287" s="2" t="str">
        <f aca="false">IF(AG287,"Key account - human sign-off required; ","")&amp;IF(AH287,"Borderline momentum; ","")&amp;IF(AK287,"February-sensitive ("&amp;N287&amp;" -&gt; "&amp;AJ287&amp;"); ","")&amp;IF(AL287="One-Off / Insufficient History — Verify","Lapsed on thin history - verify; ","")&amp;IF(AQ287,"Material broker % inconsistency (implied tier "&amp;AP287&amp;"); ","")&amp;IF(AT287,"Implied broker % would move segment to "&amp;AS287&amp;"; ","")</f>
        <v>Lapsed on thin history - verify; </v>
      </c>
      <c r="AW287" s="10" t="b">
        <f aca="false">AND(G287="Low",J287="Tail",I287&gt;=Assumptions!$B$64,O287&gt;=Assumptions!$B$65,OR(N287="Growing",N287="Stable",AND(N287="H2 Active / No H1 GMV",W287&gt;=2)),OR(R287&gt;=Assumptions!$B$66,S287&gt;=Assumptions!$B$67))</f>
        <v>0</v>
      </c>
    </row>
    <row r="288" customFormat="false" ht="15" hidden="false" customHeight="false" outlineLevel="0" collapsed="false">
      <c r="A288" s="2" t="s">
        <v>972</v>
      </c>
      <c r="B288" s="2" t="s">
        <v>1574</v>
      </c>
      <c r="C288" s="2"/>
      <c r="D288" s="2" t="n">
        <v>3</v>
      </c>
      <c r="E288" s="2" t="n">
        <v>0</v>
      </c>
      <c r="F288" s="21" t="n">
        <f aca="false">INDEX('Scored Accounts'!$Q$2:$Q$301,MATCH($A288,'Scored Accounts'!$A$2:$A$301,0))</f>
        <v>0</v>
      </c>
      <c r="G288" s="2" t="str">
        <f aca="false">INDEX('Scored Accounts'!$R$2:$R$301,MATCH($A288,'Scored Accounts'!$A$2:$A$301,0))</f>
        <v>Low</v>
      </c>
      <c r="H288" s="2" t="str">
        <f aca="false">IF(OR(G288="High",G288="Medium"),"Broker-Reliant",IF(AND(G288="Low",B288="Account Managed"),"AM-Owned / Self-Serving",IF(AND(G288="Low",B288="Self Serve"),"Self-Serve","UNASSIGNED")))</f>
        <v>Self-Serve</v>
      </c>
      <c r="I288" s="9" t="n">
        <v>94</v>
      </c>
      <c r="J288" s="2" t="str">
        <f aca="false">IF(I288&gt;=Assumptions!$B$35,"Key",IF(I288&gt;=Assumptions!$B$34,"Core","Tail"))</f>
        <v>Tail</v>
      </c>
      <c r="K288" s="9" t="n">
        <f aca="false">INDEX('Commercial View'!$R$2:$R$301,MATCH($A288,'Commercial View'!$A$2:$A$301,0))</f>
        <v>0</v>
      </c>
      <c r="L288" s="9" t="n">
        <f aca="false">INDEX('Commercial View'!$S$2:$S$301,MATCH($A288,'Commercial View'!$A$2:$A$301,0))</f>
        <v>94</v>
      </c>
      <c r="M288" s="17" t="str">
        <f aca="false">INDEX('Commercial View'!$T$2:$T$301,MATCH($A288,'Commercial View'!$A$2:$A$301,0))</f>
        <v/>
      </c>
      <c r="N288" s="2" t="str">
        <f aca="false">INDEX('Commercial View'!$U$2:$U$301,MATCH($A288,'Commercial View'!$A$2:$A$301,0))</f>
        <v>H2 Active / No H1 GMV</v>
      </c>
      <c r="O288" s="2" t="n">
        <v>1</v>
      </c>
      <c r="P288" s="2" t="n">
        <v>0</v>
      </c>
      <c r="Q288" s="2" t="n">
        <v>1</v>
      </c>
      <c r="R288" s="2" t="n">
        <v>15</v>
      </c>
      <c r="S288" s="2" t="n">
        <v>0</v>
      </c>
      <c r="T288" s="2" t="str">
        <f aca="false">IF(H288="Broker-Reliant",IF(J288="Tail","5. Cost-to-Serve / Low-Touch",IF(OR(N288="Growing",N288="Stable"),"1. Migration Candidate",IF(N288="Declining","2. Protect / Retain First",IF(N288="Lapsed","3. Win-Back / Verify",IF(N288="H2 Active / No H1 GMV","4. Establish / Re-establish / Observe","UNASSIGNED"))))),IF(G288="Low",IF(J288="Tail","9. Long-Tail Automated Nurture",IF(OR(N288="Growing",N288="Stable"),"6. Growth Opportunity",IF(N288="H2 Active / No H1 GMV","7. Onboard / Re-engage / Learn",IF(OR(N288="Declining",N288="Lapsed"),"8. Retention / Reactivation","UNASSIGNED")))),"UNASSIGNED"))</f>
        <v>9. Long-Tail Automated Nurture</v>
      </c>
      <c r="U288" s="10" t="b">
        <f aca="false">AND(T288="1. Migration Candidate",J288="Core",O288&gt;=Assumptions!$B$39,Q288&gt;=Assumptions!$B$40,NOT(Z288))</f>
        <v>0</v>
      </c>
      <c r="V288" s="2" t="n">
        <f aca="false">(AND(H288="Broker-Reliant",J288&lt;&gt;"Tail",OR(N288="Growing",N288="Stable")))*1+(AND(H288="Broker-Reliant",J288&lt;&gt;"Tail",N288="Declining"))*1+(AND(H288="Broker-Reliant",J288&lt;&gt;"Tail",N288="Lapsed"))*1+(AND(H288="Broker-Reliant",J288&lt;&gt;"Tail",N288="H2 Active / No H1 GMV"))*1+(AND(H288="Broker-Reliant",J288="Tail"))*1+(AND(G288="Low",J288&lt;&gt;"Tail",OR(N288="Growing",N288="Stable")))*1+(AND(G288="Low",J288&lt;&gt;"Tail",N288="H2 Active / No H1 GMV"))*1+(AND(G288="Low",J288&lt;&gt;"Tail",OR(N288="Declining",N288="Lapsed")))*1+(AND(G288="Low",J288="Tail"))*1</f>
        <v>1</v>
      </c>
      <c r="W288" s="2" t="n">
        <f aca="false">INDEX('Commercial View'!$V$2:$V$301,MATCH($A288,'Commercial View'!$A$2:$A$301,0))</f>
        <v>1</v>
      </c>
      <c r="X288" s="10" t="b">
        <f aca="false">O288&lt;=Assumptions!$B$30</f>
        <v>1</v>
      </c>
      <c r="Y288" s="10" t="b">
        <f aca="false">W288&lt;=1</f>
        <v>1</v>
      </c>
      <c r="Z288" s="10" t="b">
        <f aca="false">C288="Duplicate"</f>
        <v>0</v>
      </c>
      <c r="AA288" s="10" t="b">
        <f aca="false">C288=""</f>
        <v>1</v>
      </c>
      <c r="AB288" s="2" t="n">
        <f aca="false">IF(P288+Q288&gt;0,ROUND(P288/(P288+Q288)*100,0),"")</f>
        <v>0</v>
      </c>
      <c r="AC288" s="2" t="n">
        <f aca="false">IF(P288+Q288&gt;0,ROUND(E288-P288/(P288+Q288)*100,0),"")</f>
        <v>0</v>
      </c>
      <c r="AD288" s="10" t="b">
        <f aca="false">IF(AC288="",FALSE(),ABS(AC288)&gt;Assumptions!$B$41)</f>
        <v>0</v>
      </c>
      <c r="AE288" s="2" t="str">
        <f aca="false">IF(X288,"Low confidence (&lt;=2 orders); ","")&amp;IF(Y288,"Single-month history; ","")&amp;IF(Z288,"CRITICAL: Duplicate status; ","")&amp;IF(AA288,"Missing status; ","")&amp;IF(AD288,"Broker % vs counts gap "&amp;TEXT(AC288,"+0;-0")&amp;"pts; ","")</f>
        <v>Low confidence (&lt;=2 orders); Single-month history; Missing status; </v>
      </c>
      <c r="AF288" s="2" t="str">
        <f aca="false">IF(AND(K288=0,L288&gt;0),IF(D288&lt;=Assumptions!$B$47,"New Customer","Returned Customer"),"Existing Customer")</f>
        <v>New Customer</v>
      </c>
      <c r="AG288" s="10" t="b">
        <f aca="false">AND(T288="1. Migration Candidate",J288="Key")</f>
        <v>0</v>
      </c>
      <c r="AH288" s="10" t="b">
        <f aca="false">IF(AND(K288&gt;0,L288&gt;0),OR(ABS(M288-Assumptions!$B$36)&lt;=Assumptions!$B$46,ABS(M288+Assumptions!$B$36)&lt;=Assumptions!$B$46),FALSE())</f>
        <v>0</v>
      </c>
      <c r="AI288" s="9" t="n">
        <f aca="false">INDEX('Commercial View'!$L$2:$L$301,MATCH($A288,'Commercial View'!$A$2:$A$301,0))+INDEX('Commercial View'!$M$2:$M$301,MATCH($A288,'Commercial View'!$A$2:$A$301,0))</f>
        <v>94</v>
      </c>
      <c r="AJ288" s="2" t="str">
        <f aca="false">IF(AND(K288=0,AI288=0),"No activity ex-Feb",IF(AI288=0,"Lapsed",IF(K288=0,"H2 Active / No H1 GMV",IF((AI288/2)/(K288/3)-1&gt;=Assumptions!$B$36,"Growing",IF((AI288/2)/(K288/3)-1&lt;-Assumptions!$B$36,"Declining","Stable")))))</f>
        <v>H2 Active / No H1 GMV</v>
      </c>
      <c r="AK288" s="10" t="b">
        <f aca="false">IF(OR(N288="Growing",N288="Stable"),"Healthy",N288)&lt;&gt;IF(OR(AJ288="Growing",AJ288="Stable"),"Healthy",AJ288)</f>
        <v>0</v>
      </c>
      <c r="AL288" s="2" t="str">
        <f aca="false">IF(N288="Lapsed",IF(OR(O288&lt;=Assumptions!$B$48,W288&lt;=Assumptions!$B$49),"One-Off / Insufficient History — Verify","Established Buyer Lapsed"),"N/A")</f>
        <v>N/A</v>
      </c>
      <c r="AM288" s="2" t="n">
        <f aca="false">INDEX('Scored Accounts'!$M$2:$M$301,MATCH($A288,'Scored Accounts'!$A$2:$A$301,0))</f>
        <v>0</v>
      </c>
      <c r="AN288" s="2" t="n">
        <f aca="false">IF((P288/(P288+Q288)*100)&lt;=Assumptions!$B$13,0,IF((P288/(P288+Q288)*100)&lt;Assumptions!$B$14,25,IF((P288/(P288+Q288)*100)&lt;Assumptions!$B$15,50,IF((P288/(P288+Q288)*100)&lt;Assumptions!$B$16,75,100))))</f>
        <v>0</v>
      </c>
      <c r="AO288" s="21" t="n">
        <f aca="false">IF((P288/(P288+Q288)*100)&lt;=Assumptions!$B$8,0,AN288*Assumptions!$B$4+INDEX('Scored Accounts'!$N$2:$N$301,MATCH($A288,'Scored Accounts'!$A$2:$A$301,0))*Assumptions!$B$5+INDEX('Scored Accounts'!$O$2:$O$301,MATCH($A288,'Scored Accounts'!$A$2:$A$301,0))*Assumptions!$B$6)</f>
        <v>0</v>
      </c>
      <c r="AP288" s="2" t="str">
        <f aca="false">IF(AO288&gt;=Assumptions!$B$9,"High",IF(AO288&gt;=Assumptions!$B$10,"Medium","Low"))</f>
        <v>Low</v>
      </c>
      <c r="AQ288" s="10" t="b">
        <f aca="false">OR((E288&lt;=Assumptions!$B$8)&lt;&gt;((P288/(P288+Q288)*100)&lt;=Assumptions!$B$8),AM288&lt;&gt;AN288,G288&lt;&gt;AP288)</f>
        <v>0</v>
      </c>
      <c r="AR288" s="2" t="str">
        <f aca="false">IF(AP288&lt;&gt;"Low","Broker-Reliant",IF(B288="Account Managed","AM-Owned / Self-Serving","Self-Serve"))</f>
        <v>Self-Serve</v>
      </c>
      <c r="AS288" s="2" t="str">
        <f aca="false">IF(AR288="Broker-Reliant",IF(J288="Tail","5. Cost-to-Serve / Low-Touch",IF(OR(N288="Growing",N288="Stable"),"1. Migration Candidate",IF(N288="Declining","2. Protect / Retain First",IF(N288="Lapsed","3. Win-Back / Verify",IF(N288="H2 Active / No H1 GMV","4. Establish / Re-establish / Observe","UNASSIGNED"))))),IF(AP288="Low",IF(J288="Tail","9. Long-Tail Automated Nurture",IF(OR(N288="Growing",N288="Stable"),"6. Growth Opportunity",IF(N288="H2 Active / No H1 GMV","7. Onboard / Re-engage / Learn",IF(OR(N288="Declining",N288="Lapsed"),"8. Retention / Reactivation","UNASSIGNED")))),"UNASSIGNED"))</f>
        <v>9. Long-Tail Automated Nurture</v>
      </c>
      <c r="AT288" s="10" t="b">
        <f aca="false">AS288&lt;&gt;T288</f>
        <v>0</v>
      </c>
      <c r="AU288" s="2" t="str">
        <f aca="false">IF(NOT(U288),"Not Eligible",IF(OR(AQ288,AH288,AK288,NOT(AND(W288&gt;=Assumptions!$B$83,O288&gt;=Assumptions!$B$84))),"Manual Review","Ready"))</f>
        <v>Not Eligible</v>
      </c>
      <c r="AV288" s="2" t="str">
        <f aca="false">IF(AG288,"Key account - human sign-off required; ","")&amp;IF(AH288,"Borderline momentum; ","")&amp;IF(AK288,"February-sensitive ("&amp;N288&amp;" -&gt; "&amp;AJ288&amp;"); ","")&amp;IF(AL288="One-Off / Insufficient History — Verify","Lapsed on thin history - verify; ","")&amp;IF(AQ288,"Material broker % inconsistency (implied tier "&amp;AP288&amp;"); ","")&amp;IF(AT288,"Implied broker % would move segment to "&amp;AS288&amp;"; ","")</f>
        <v/>
      </c>
      <c r="AW288" s="10" t="b">
        <f aca="false">AND(G288="Low",J288="Tail",I288&gt;=Assumptions!$B$64,O288&gt;=Assumptions!$B$65,OR(N288="Growing",N288="Stable",AND(N288="H2 Active / No H1 GMV",W288&gt;=2)),OR(R288&gt;=Assumptions!$B$66,S288&gt;=Assumptions!$B$67))</f>
        <v>0</v>
      </c>
    </row>
    <row r="289" customFormat="false" ht="15" hidden="false" customHeight="false" outlineLevel="0" collapsed="false">
      <c r="A289" s="2" t="s">
        <v>976</v>
      </c>
      <c r="B289" s="2" t="s">
        <v>1574</v>
      </c>
      <c r="C289" s="2"/>
      <c r="D289" s="2" t="n">
        <v>5</v>
      </c>
      <c r="E289" s="2" t="n">
        <v>0</v>
      </c>
      <c r="F289" s="21" t="n">
        <f aca="false">INDEX('Scored Accounts'!$Q$2:$Q$301,MATCH($A289,'Scored Accounts'!$A$2:$A$301,0))</f>
        <v>0</v>
      </c>
      <c r="G289" s="2" t="str">
        <f aca="false">INDEX('Scored Accounts'!$R$2:$R$301,MATCH($A289,'Scored Accounts'!$A$2:$A$301,0))</f>
        <v>Low</v>
      </c>
      <c r="H289" s="2" t="str">
        <f aca="false">IF(OR(G289="High",G289="Medium"),"Broker-Reliant",IF(AND(G289="Low",B289="Account Managed"),"AM-Owned / Self-Serving",IF(AND(G289="Low",B289="Self Serve"),"Self-Serve","UNASSIGNED")))</f>
        <v>Self-Serve</v>
      </c>
      <c r="I289" s="9" t="n">
        <v>88</v>
      </c>
      <c r="J289" s="2" t="str">
        <f aca="false">IF(I289&gt;=Assumptions!$B$35,"Key",IF(I289&gt;=Assumptions!$B$34,"Core","Tail"))</f>
        <v>Tail</v>
      </c>
      <c r="K289" s="9" t="n">
        <f aca="false">INDEX('Commercial View'!$R$2:$R$301,MATCH($A289,'Commercial View'!$A$2:$A$301,0))</f>
        <v>88</v>
      </c>
      <c r="L289" s="9" t="n">
        <f aca="false">INDEX('Commercial View'!$S$2:$S$301,MATCH($A289,'Commercial View'!$A$2:$A$301,0))</f>
        <v>0</v>
      </c>
      <c r="M289" s="17" t="n">
        <f aca="false">INDEX('Commercial View'!$T$2:$T$301,MATCH($A289,'Commercial View'!$A$2:$A$301,0))</f>
        <v>-1</v>
      </c>
      <c r="N289" s="2" t="str">
        <f aca="false">INDEX('Commercial View'!$U$2:$U$301,MATCH($A289,'Commercial View'!$A$2:$A$301,0))</f>
        <v>Lapsed</v>
      </c>
      <c r="O289" s="2" t="n">
        <v>1</v>
      </c>
      <c r="P289" s="2" t="n">
        <v>0</v>
      </c>
      <c r="Q289" s="2" t="n">
        <v>1</v>
      </c>
      <c r="R289" s="2" t="n">
        <v>23</v>
      </c>
      <c r="S289" s="2" t="n">
        <v>0</v>
      </c>
      <c r="T289" s="2" t="str">
        <f aca="false">IF(H289="Broker-Reliant",IF(J289="Tail","5. Cost-to-Serve / Low-Touch",IF(OR(N289="Growing",N289="Stable"),"1. Migration Candidate",IF(N289="Declining","2. Protect / Retain First",IF(N289="Lapsed","3. Win-Back / Verify",IF(N289="H2 Active / No H1 GMV","4. Establish / Re-establish / Observe","UNASSIGNED"))))),IF(G289="Low",IF(J289="Tail","9. Long-Tail Automated Nurture",IF(OR(N289="Growing",N289="Stable"),"6. Growth Opportunity",IF(N289="H2 Active / No H1 GMV","7. Onboard / Re-engage / Learn",IF(OR(N289="Declining",N289="Lapsed"),"8. Retention / Reactivation","UNASSIGNED")))),"UNASSIGNED"))</f>
        <v>9. Long-Tail Automated Nurture</v>
      </c>
      <c r="U289" s="10" t="b">
        <f aca="false">AND(T289="1. Migration Candidate",J289="Core",O289&gt;=Assumptions!$B$39,Q289&gt;=Assumptions!$B$40,NOT(Z289))</f>
        <v>0</v>
      </c>
      <c r="V289" s="2" t="n">
        <f aca="false">(AND(H289="Broker-Reliant",J289&lt;&gt;"Tail",OR(N289="Growing",N289="Stable")))*1+(AND(H289="Broker-Reliant",J289&lt;&gt;"Tail",N289="Declining"))*1+(AND(H289="Broker-Reliant",J289&lt;&gt;"Tail",N289="Lapsed"))*1+(AND(H289="Broker-Reliant",J289&lt;&gt;"Tail",N289="H2 Active / No H1 GMV"))*1+(AND(H289="Broker-Reliant",J289="Tail"))*1+(AND(G289="Low",J289&lt;&gt;"Tail",OR(N289="Growing",N289="Stable")))*1+(AND(G289="Low",J289&lt;&gt;"Tail",N289="H2 Active / No H1 GMV"))*1+(AND(G289="Low",J289&lt;&gt;"Tail",OR(N289="Declining",N289="Lapsed")))*1+(AND(G289="Low",J289="Tail"))*1</f>
        <v>1</v>
      </c>
      <c r="W289" s="2" t="n">
        <f aca="false">INDEX('Commercial View'!$V$2:$V$301,MATCH($A289,'Commercial View'!$A$2:$A$301,0))</f>
        <v>1</v>
      </c>
      <c r="X289" s="10" t="b">
        <f aca="false">O289&lt;=Assumptions!$B$30</f>
        <v>1</v>
      </c>
      <c r="Y289" s="10" t="b">
        <f aca="false">W289&lt;=1</f>
        <v>1</v>
      </c>
      <c r="Z289" s="10" t="b">
        <f aca="false">C289="Duplicate"</f>
        <v>0</v>
      </c>
      <c r="AA289" s="10" t="b">
        <f aca="false">C289=""</f>
        <v>1</v>
      </c>
      <c r="AB289" s="2" t="n">
        <f aca="false">IF(P289+Q289&gt;0,ROUND(P289/(P289+Q289)*100,0),"")</f>
        <v>0</v>
      </c>
      <c r="AC289" s="2" t="n">
        <f aca="false">IF(P289+Q289&gt;0,ROUND(E289-P289/(P289+Q289)*100,0),"")</f>
        <v>0</v>
      </c>
      <c r="AD289" s="10" t="b">
        <f aca="false">IF(AC289="",FALSE(),ABS(AC289)&gt;Assumptions!$B$41)</f>
        <v>0</v>
      </c>
      <c r="AE289" s="2" t="str">
        <f aca="false">IF(X289,"Low confidence (&lt;=2 orders); ","")&amp;IF(Y289,"Single-month history; ","")&amp;IF(Z289,"CRITICAL: Duplicate status; ","")&amp;IF(AA289,"Missing status; ","")&amp;IF(AD289,"Broker % vs counts gap "&amp;TEXT(AC289,"+0;-0")&amp;"pts; ","")</f>
        <v>Low confidence (&lt;=2 orders); Single-month history; Missing status; </v>
      </c>
      <c r="AF289" s="2" t="str">
        <f aca="false">IF(AND(K289=0,L289&gt;0),IF(D289&lt;=Assumptions!$B$47,"New Customer","Returned Customer"),"Existing Customer")</f>
        <v>Existing Customer</v>
      </c>
      <c r="AG289" s="10" t="b">
        <f aca="false">AND(T289="1. Migration Candidate",J289="Key")</f>
        <v>0</v>
      </c>
      <c r="AH289" s="10" t="b">
        <f aca="false">IF(AND(K289&gt;0,L289&gt;0),OR(ABS(M289-Assumptions!$B$36)&lt;=Assumptions!$B$46,ABS(M289+Assumptions!$B$36)&lt;=Assumptions!$B$46),FALSE())</f>
        <v>0</v>
      </c>
      <c r="AI289" s="9" t="n">
        <f aca="false">INDEX('Commercial View'!$L$2:$L$301,MATCH($A289,'Commercial View'!$A$2:$A$301,0))+INDEX('Commercial View'!$M$2:$M$301,MATCH($A289,'Commercial View'!$A$2:$A$301,0))</f>
        <v>0</v>
      </c>
      <c r="AJ289" s="2" t="str">
        <f aca="false">IF(AND(K289=0,AI289=0),"No activity ex-Feb",IF(AI289=0,"Lapsed",IF(K289=0,"H2 Active / No H1 GMV",IF((AI289/2)/(K289/3)-1&gt;=Assumptions!$B$36,"Growing",IF((AI289/2)/(K289/3)-1&lt;-Assumptions!$B$36,"Declining","Stable")))))</f>
        <v>Lapsed</v>
      </c>
      <c r="AK289" s="10" t="b">
        <f aca="false">IF(OR(N289="Growing",N289="Stable"),"Healthy",N289)&lt;&gt;IF(OR(AJ289="Growing",AJ289="Stable"),"Healthy",AJ289)</f>
        <v>0</v>
      </c>
      <c r="AL289" s="2" t="str">
        <f aca="false">IF(N289="Lapsed",IF(OR(O289&lt;=Assumptions!$B$48,W289&lt;=Assumptions!$B$49),"One-Off / Insufficient History — Verify","Established Buyer Lapsed"),"N/A")</f>
        <v>One-Off / Insufficient History — Verify</v>
      </c>
      <c r="AM289" s="2" t="n">
        <f aca="false">INDEX('Scored Accounts'!$M$2:$M$301,MATCH($A289,'Scored Accounts'!$A$2:$A$301,0))</f>
        <v>0</v>
      </c>
      <c r="AN289" s="2" t="n">
        <f aca="false">IF((P289/(P289+Q289)*100)&lt;=Assumptions!$B$13,0,IF((P289/(P289+Q289)*100)&lt;Assumptions!$B$14,25,IF((P289/(P289+Q289)*100)&lt;Assumptions!$B$15,50,IF((P289/(P289+Q289)*100)&lt;Assumptions!$B$16,75,100))))</f>
        <v>0</v>
      </c>
      <c r="AO289" s="21" t="n">
        <f aca="false">IF((P289/(P289+Q289)*100)&lt;=Assumptions!$B$8,0,AN289*Assumptions!$B$4+INDEX('Scored Accounts'!$N$2:$N$301,MATCH($A289,'Scored Accounts'!$A$2:$A$301,0))*Assumptions!$B$5+INDEX('Scored Accounts'!$O$2:$O$301,MATCH($A289,'Scored Accounts'!$A$2:$A$301,0))*Assumptions!$B$6)</f>
        <v>0</v>
      </c>
      <c r="AP289" s="2" t="str">
        <f aca="false">IF(AO289&gt;=Assumptions!$B$9,"High",IF(AO289&gt;=Assumptions!$B$10,"Medium","Low"))</f>
        <v>Low</v>
      </c>
      <c r="AQ289" s="10" t="b">
        <f aca="false">OR((E289&lt;=Assumptions!$B$8)&lt;&gt;((P289/(P289+Q289)*100)&lt;=Assumptions!$B$8),AM289&lt;&gt;AN289,G289&lt;&gt;AP289)</f>
        <v>0</v>
      </c>
      <c r="AR289" s="2" t="str">
        <f aca="false">IF(AP289&lt;&gt;"Low","Broker-Reliant",IF(B289="Account Managed","AM-Owned / Self-Serving","Self-Serve"))</f>
        <v>Self-Serve</v>
      </c>
      <c r="AS289" s="2" t="str">
        <f aca="false">IF(AR289="Broker-Reliant",IF(J289="Tail","5. Cost-to-Serve / Low-Touch",IF(OR(N289="Growing",N289="Stable"),"1. Migration Candidate",IF(N289="Declining","2. Protect / Retain First",IF(N289="Lapsed","3. Win-Back / Verify",IF(N289="H2 Active / No H1 GMV","4. Establish / Re-establish / Observe","UNASSIGNED"))))),IF(AP289="Low",IF(J289="Tail","9. Long-Tail Automated Nurture",IF(OR(N289="Growing",N289="Stable"),"6. Growth Opportunity",IF(N289="H2 Active / No H1 GMV","7. Onboard / Re-engage / Learn",IF(OR(N289="Declining",N289="Lapsed"),"8. Retention / Reactivation","UNASSIGNED")))),"UNASSIGNED"))</f>
        <v>9. Long-Tail Automated Nurture</v>
      </c>
      <c r="AT289" s="10" t="b">
        <f aca="false">AS289&lt;&gt;T289</f>
        <v>0</v>
      </c>
      <c r="AU289" s="2" t="str">
        <f aca="false">IF(NOT(U289),"Not Eligible",IF(OR(AQ289,AH289,AK289,NOT(AND(W289&gt;=Assumptions!$B$83,O289&gt;=Assumptions!$B$84))),"Manual Review","Ready"))</f>
        <v>Not Eligible</v>
      </c>
      <c r="AV289" s="2" t="str">
        <f aca="false">IF(AG289,"Key account - human sign-off required; ","")&amp;IF(AH289,"Borderline momentum; ","")&amp;IF(AK289,"February-sensitive ("&amp;N289&amp;" -&gt; "&amp;AJ289&amp;"); ","")&amp;IF(AL289="One-Off / Insufficient History — Verify","Lapsed on thin history - verify; ","")&amp;IF(AQ289,"Material broker % inconsistency (implied tier "&amp;AP289&amp;"); ","")&amp;IF(AT289,"Implied broker % would move segment to "&amp;AS289&amp;"; ","")</f>
        <v>Lapsed on thin history - verify; </v>
      </c>
      <c r="AW289" s="10" t="b">
        <f aca="false">AND(G289="Low",J289="Tail",I289&gt;=Assumptions!$B$64,O289&gt;=Assumptions!$B$65,OR(N289="Growing",N289="Stable",AND(N289="H2 Active / No H1 GMV",W289&gt;=2)),OR(R289&gt;=Assumptions!$B$66,S289&gt;=Assumptions!$B$67))</f>
        <v>0</v>
      </c>
    </row>
    <row r="290" customFormat="false" ht="15" hidden="false" customHeight="false" outlineLevel="0" collapsed="false">
      <c r="A290" s="2" t="s">
        <v>978</v>
      </c>
      <c r="B290" s="2" t="s">
        <v>1574</v>
      </c>
      <c r="C290" s="2"/>
      <c r="D290" s="2" t="n">
        <v>1</v>
      </c>
      <c r="E290" s="2" t="n">
        <v>0</v>
      </c>
      <c r="F290" s="21" t="n">
        <f aca="false">INDEX('Scored Accounts'!$Q$2:$Q$301,MATCH($A290,'Scored Accounts'!$A$2:$A$301,0))</f>
        <v>0</v>
      </c>
      <c r="G290" s="2" t="str">
        <f aca="false">INDEX('Scored Accounts'!$R$2:$R$301,MATCH($A290,'Scored Accounts'!$A$2:$A$301,0))</f>
        <v>Low</v>
      </c>
      <c r="H290" s="2" t="str">
        <f aca="false">IF(OR(G290="High",G290="Medium"),"Broker-Reliant",IF(AND(G290="Low",B290="Account Managed"),"AM-Owned / Self-Serving",IF(AND(G290="Low",B290="Self Serve"),"Self-Serve","UNASSIGNED")))</f>
        <v>Self-Serve</v>
      </c>
      <c r="I290" s="9" t="n">
        <v>87</v>
      </c>
      <c r="J290" s="2" t="str">
        <f aca="false">IF(I290&gt;=Assumptions!$B$35,"Key",IF(I290&gt;=Assumptions!$B$34,"Core","Tail"))</f>
        <v>Tail</v>
      </c>
      <c r="K290" s="9" t="n">
        <f aca="false">INDEX('Commercial View'!$R$2:$R$301,MATCH($A290,'Commercial View'!$A$2:$A$301,0))</f>
        <v>0</v>
      </c>
      <c r="L290" s="9" t="n">
        <f aca="false">INDEX('Commercial View'!$S$2:$S$301,MATCH($A290,'Commercial View'!$A$2:$A$301,0))</f>
        <v>87</v>
      </c>
      <c r="M290" s="17" t="str">
        <f aca="false">INDEX('Commercial View'!$T$2:$T$301,MATCH($A290,'Commercial View'!$A$2:$A$301,0))</f>
        <v/>
      </c>
      <c r="N290" s="2" t="str">
        <f aca="false">INDEX('Commercial View'!$U$2:$U$301,MATCH($A290,'Commercial View'!$A$2:$A$301,0))</f>
        <v>H2 Active / No H1 GMV</v>
      </c>
      <c r="O290" s="2" t="n">
        <v>1</v>
      </c>
      <c r="P290" s="2" t="n">
        <v>0</v>
      </c>
      <c r="Q290" s="2" t="n">
        <v>1</v>
      </c>
      <c r="R290" s="2" t="n">
        <v>1</v>
      </c>
      <c r="S290" s="2" t="n">
        <v>0</v>
      </c>
      <c r="T290" s="2" t="str">
        <f aca="false">IF(H290="Broker-Reliant",IF(J290="Tail","5. Cost-to-Serve / Low-Touch",IF(OR(N290="Growing",N290="Stable"),"1. Migration Candidate",IF(N290="Declining","2. Protect / Retain First",IF(N290="Lapsed","3. Win-Back / Verify",IF(N290="H2 Active / No H1 GMV","4. Establish / Re-establish / Observe","UNASSIGNED"))))),IF(G290="Low",IF(J290="Tail","9. Long-Tail Automated Nurture",IF(OR(N290="Growing",N290="Stable"),"6. Growth Opportunity",IF(N290="H2 Active / No H1 GMV","7. Onboard / Re-engage / Learn",IF(OR(N290="Declining",N290="Lapsed"),"8. Retention / Reactivation","UNASSIGNED")))),"UNASSIGNED"))</f>
        <v>9. Long-Tail Automated Nurture</v>
      </c>
      <c r="U290" s="10" t="b">
        <f aca="false">AND(T290="1. Migration Candidate",J290="Core",O290&gt;=Assumptions!$B$39,Q290&gt;=Assumptions!$B$40,NOT(Z290))</f>
        <v>0</v>
      </c>
      <c r="V290" s="2" t="n">
        <f aca="false">(AND(H290="Broker-Reliant",J290&lt;&gt;"Tail",OR(N290="Growing",N290="Stable")))*1+(AND(H290="Broker-Reliant",J290&lt;&gt;"Tail",N290="Declining"))*1+(AND(H290="Broker-Reliant",J290&lt;&gt;"Tail",N290="Lapsed"))*1+(AND(H290="Broker-Reliant",J290&lt;&gt;"Tail",N290="H2 Active / No H1 GMV"))*1+(AND(H290="Broker-Reliant",J290="Tail"))*1+(AND(G290="Low",J290&lt;&gt;"Tail",OR(N290="Growing",N290="Stable")))*1+(AND(G290="Low",J290&lt;&gt;"Tail",N290="H2 Active / No H1 GMV"))*1+(AND(G290="Low",J290&lt;&gt;"Tail",OR(N290="Declining",N290="Lapsed")))*1+(AND(G290="Low",J290="Tail"))*1</f>
        <v>1</v>
      </c>
      <c r="W290" s="2" t="n">
        <f aca="false">INDEX('Commercial View'!$V$2:$V$301,MATCH($A290,'Commercial View'!$A$2:$A$301,0))</f>
        <v>1</v>
      </c>
      <c r="X290" s="10" t="b">
        <f aca="false">O290&lt;=Assumptions!$B$30</f>
        <v>1</v>
      </c>
      <c r="Y290" s="10" t="b">
        <f aca="false">W290&lt;=1</f>
        <v>1</v>
      </c>
      <c r="Z290" s="10" t="b">
        <f aca="false">C290="Duplicate"</f>
        <v>0</v>
      </c>
      <c r="AA290" s="10" t="b">
        <f aca="false">C290=""</f>
        <v>1</v>
      </c>
      <c r="AB290" s="2" t="n">
        <f aca="false">IF(P290+Q290&gt;0,ROUND(P290/(P290+Q290)*100,0),"")</f>
        <v>0</v>
      </c>
      <c r="AC290" s="2" t="n">
        <f aca="false">IF(P290+Q290&gt;0,ROUND(E290-P290/(P290+Q290)*100,0),"")</f>
        <v>0</v>
      </c>
      <c r="AD290" s="10" t="b">
        <f aca="false">IF(AC290="",FALSE(),ABS(AC290)&gt;Assumptions!$B$41)</f>
        <v>0</v>
      </c>
      <c r="AE290" s="2" t="str">
        <f aca="false">IF(X290,"Low confidence (&lt;=2 orders); ","")&amp;IF(Y290,"Single-month history; ","")&amp;IF(Z290,"CRITICAL: Duplicate status; ","")&amp;IF(AA290,"Missing status; ","")&amp;IF(AD290,"Broker % vs counts gap "&amp;TEXT(AC290,"+0;-0")&amp;"pts; ","")</f>
        <v>Low confidence (&lt;=2 orders); Single-month history; Missing status; </v>
      </c>
      <c r="AF290" s="2" t="str">
        <f aca="false">IF(AND(K290=0,L290&gt;0),IF(D290&lt;=Assumptions!$B$47,"New Customer","Returned Customer"),"Existing Customer")</f>
        <v>New Customer</v>
      </c>
      <c r="AG290" s="10" t="b">
        <f aca="false">AND(T290="1. Migration Candidate",J290="Key")</f>
        <v>0</v>
      </c>
      <c r="AH290" s="10" t="b">
        <f aca="false">IF(AND(K290&gt;0,L290&gt;0),OR(ABS(M290-Assumptions!$B$36)&lt;=Assumptions!$B$46,ABS(M290+Assumptions!$B$36)&lt;=Assumptions!$B$46),FALSE())</f>
        <v>0</v>
      </c>
      <c r="AI290" s="9" t="n">
        <f aca="false">INDEX('Commercial View'!$L$2:$L$301,MATCH($A290,'Commercial View'!$A$2:$A$301,0))+INDEX('Commercial View'!$M$2:$M$301,MATCH($A290,'Commercial View'!$A$2:$A$301,0))</f>
        <v>0</v>
      </c>
      <c r="AJ290" s="2" t="str">
        <f aca="false">IF(AND(K290=0,AI290=0),"No activity ex-Feb",IF(AI290=0,"Lapsed",IF(K290=0,"H2 Active / No H1 GMV",IF((AI290/2)/(K290/3)-1&gt;=Assumptions!$B$36,"Growing",IF((AI290/2)/(K290/3)-1&lt;-Assumptions!$B$36,"Declining","Stable")))))</f>
        <v>No activity ex-Feb</v>
      </c>
      <c r="AK290" s="10" t="b">
        <f aca="false">IF(OR(N290="Growing",N290="Stable"),"Healthy",N290)&lt;&gt;IF(OR(AJ290="Growing",AJ290="Stable"),"Healthy",AJ290)</f>
        <v>1</v>
      </c>
      <c r="AL290" s="2" t="str">
        <f aca="false">IF(N290="Lapsed",IF(OR(O290&lt;=Assumptions!$B$48,W290&lt;=Assumptions!$B$49),"One-Off / Insufficient History — Verify","Established Buyer Lapsed"),"N/A")</f>
        <v>N/A</v>
      </c>
      <c r="AM290" s="2" t="n">
        <f aca="false">INDEX('Scored Accounts'!$M$2:$M$301,MATCH($A290,'Scored Accounts'!$A$2:$A$301,0))</f>
        <v>0</v>
      </c>
      <c r="AN290" s="2" t="n">
        <f aca="false">IF((P290/(P290+Q290)*100)&lt;=Assumptions!$B$13,0,IF((P290/(P290+Q290)*100)&lt;Assumptions!$B$14,25,IF((P290/(P290+Q290)*100)&lt;Assumptions!$B$15,50,IF((P290/(P290+Q290)*100)&lt;Assumptions!$B$16,75,100))))</f>
        <v>0</v>
      </c>
      <c r="AO290" s="21" t="n">
        <f aca="false">IF((P290/(P290+Q290)*100)&lt;=Assumptions!$B$8,0,AN290*Assumptions!$B$4+INDEX('Scored Accounts'!$N$2:$N$301,MATCH($A290,'Scored Accounts'!$A$2:$A$301,0))*Assumptions!$B$5+INDEX('Scored Accounts'!$O$2:$O$301,MATCH($A290,'Scored Accounts'!$A$2:$A$301,0))*Assumptions!$B$6)</f>
        <v>0</v>
      </c>
      <c r="AP290" s="2" t="str">
        <f aca="false">IF(AO290&gt;=Assumptions!$B$9,"High",IF(AO290&gt;=Assumptions!$B$10,"Medium","Low"))</f>
        <v>Low</v>
      </c>
      <c r="AQ290" s="10" t="b">
        <f aca="false">OR((E290&lt;=Assumptions!$B$8)&lt;&gt;((P290/(P290+Q290)*100)&lt;=Assumptions!$B$8),AM290&lt;&gt;AN290,G290&lt;&gt;AP290)</f>
        <v>0</v>
      </c>
      <c r="AR290" s="2" t="str">
        <f aca="false">IF(AP290&lt;&gt;"Low","Broker-Reliant",IF(B290="Account Managed","AM-Owned / Self-Serving","Self-Serve"))</f>
        <v>Self-Serve</v>
      </c>
      <c r="AS290" s="2" t="str">
        <f aca="false">IF(AR290="Broker-Reliant",IF(J290="Tail","5. Cost-to-Serve / Low-Touch",IF(OR(N290="Growing",N290="Stable"),"1. Migration Candidate",IF(N290="Declining","2. Protect / Retain First",IF(N290="Lapsed","3. Win-Back / Verify",IF(N290="H2 Active / No H1 GMV","4. Establish / Re-establish / Observe","UNASSIGNED"))))),IF(AP290="Low",IF(J290="Tail","9. Long-Tail Automated Nurture",IF(OR(N290="Growing",N290="Stable"),"6. Growth Opportunity",IF(N290="H2 Active / No H1 GMV","7. Onboard / Re-engage / Learn",IF(OR(N290="Declining",N290="Lapsed"),"8. Retention / Reactivation","UNASSIGNED")))),"UNASSIGNED"))</f>
        <v>9. Long-Tail Automated Nurture</v>
      </c>
      <c r="AT290" s="10" t="b">
        <f aca="false">AS290&lt;&gt;T290</f>
        <v>0</v>
      </c>
      <c r="AU290" s="2" t="str">
        <f aca="false">IF(NOT(U290),"Not Eligible",IF(OR(AQ290,AH290,AK290,NOT(AND(W290&gt;=Assumptions!$B$83,O290&gt;=Assumptions!$B$84))),"Manual Review","Ready"))</f>
        <v>Not Eligible</v>
      </c>
      <c r="AV290" s="2" t="str">
        <f aca="false">IF(AG290,"Key account - human sign-off required; ","")&amp;IF(AH290,"Borderline momentum; ","")&amp;IF(AK290,"February-sensitive ("&amp;N290&amp;" -&gt; "&amp;AJ290&amp;"); ","")&amp;IF(AL290="One-Off / Insufficient History — Verify","Lapsed on thin history - verify; ","")&amp;IF(AQ290,"Material broker % inconsistency (implied tier "&amp;AP290&amp;"); ","")&amp;IF(AT290,"Implied broker % would move segment to "&amp;AS290&amp;"; ","")</f>
        <v>February-sensitive (H2 Active / No H1 GMV -&gt; No activity ex-Feb); </v>
      </c>
      <c r="AW290" s="10" t="b">
        <f aca="false">AND(G290="Low",J290="Tail",I290&gt;=Assumptions!$B$64,O290&gt;=Assumptions!$B$65,OR(N290="Growing",N290="Stable",AND(N290="H2 Active / No H1 GMV",W290&gt;=2)),OR(R290&gt;=Assumptions!$B$66,S290&gt;=Assumptions!$B$67))</f>
        <v>0</v>
      </c>
    </row>
    <row r="291" customFormat="false" ht="15" hidden="false" customHeight="false" outlineLevel="0" collapsed="false">
      <c r="A291" s="2" t="s">
        <v>980</v>
      </c>
      <c r="B291" s="2" t="s">
        <v>1574</v>
      </c>
      <c r="C291" s="2"/>
      <c r="D291" s="2" t="n">
        <v>2</v>
      </c>
      <c r="E291" s="2" t="n">
        <v>0</v>
      </c>
      <c r="F291" s="21" t="n">
        <f aca="false">INDEX('Scored Accounts'!$Q$2:$Q$301,MATCH($A291,'Scored Accounts'!$A$2:$A$301,0))</f>
        <v>0</v>
      </c>
      <c r="G291" s="2" t="str">
        <f aca="false">INDEX('Scored Accounts'!$R$2:$R$301,MATCH($A291,'Scored Accounts'!$A$2:$A$301,0))</f>
        <v>Low</v>
      </c>
      <c r="H291" s="2" t="str">
        <f aca="false">IF(OR(G291="High",G291="Medium"),"Broker-Reliant",IF(AND(G291="Low",B291="Account Managed"),"AM-Owned / Self-Serving",IF(AND(G291="Low",B291="Self Serve"),"Self-Serve","UNASSIGNED")))</f>
        <v>Self-Serve</v>
      </c>
      <c r="I291" s="9" t="n">
        <v>86</v>
      </c>
      <c r="J291" s="2" t="str">
        <f aca="false">IF(I291&gt;=Assumptions!$B$35,"Key",IF(I291&gt;=Assumptions!$B$34,"Core","Tail"))</f>
        <v>Tail</v>
      </c>
      <c r="K291" s="9" t="n">
        <f aca="false">INDEX('Commercial View'!$R$2:$R$301,MATCH($A291,'Commercial View'!$A$2:$A$301,0))</f>
        <v>0</v>
      </c>
      <c r="L291" s="9" t="n">
        <f aca="false">INDEX('Commercial View'!$S$2:$S$301,MATCH($A291,'Commercial View'!$A$2:$A$301,0))</f>
        <v>86</v>
      </c>
      <c r="M291" s="17" t="str">
        <f aca="false">INDEX('Commercial View'!$T$2:$T$301,MATCH($A291,'Commercial View'!$A$2:$A$301,0))</f>
        <v/>
      </c>
      <c r="N291" s="2" t="str">
        <f aca="false">INDEX('Commercial View'!$U$2:$U$301,MATCH($A291,'Commercial View'!$A$2:$A$301,0))</f>
        <v>H2 Active / No H1 GMV</v>
      </c>
      <c r="O291" s="2" t="n">
        <v>1</v>
      </c>
      <c r="P291" s="2" t="n">
        <v>0</v>
      </c>
      <c r="Q291" s="2" t="n">
        <v>1</v>
      </c>
      <c r="R291" s="2" t="n">
        <v>3</v>
      </c>
      <c r="S291" s="2" t="n">
        <v>0</v>
      </c>
      <c r="T291" s="2" t="str">
        <f aca="false">IF(H291="Broker-Reliant",IF(J291="Tail","5. Cost-to-Serve / Low-Touch",IF(OR(N291="Growing",N291="Stable"),"1. Migration Candidate",IF(N291="Declining","2. Protect / Retain First",IF(N291="Lapsed","3. Win-Back / Verify",IF(N291="H2 Active / No H1 GMV","4. Establish / Re-establish / Observe","UNASSIGNED"))))),IF(G291="Low",IF(J291="Tail","9. Long-Tail Automated Nurture",IF(OR(N291="Growing",N291="Stable"),"6. Growth Opportunity",IF(N291="H2 Active / No H1 GMV","7. Onboard / Re-engage / Learn",IF(OR(N291="Declining",N291="Lapsed"),"8. Retention / Reactivation","UNASSIGNED")))),"UNASSIGNED"))</f>
        <v>9. Long-Tail Automated Nurture</v>
      </c>
      <c r="U291" s="10" t="b">
        <f aca="false">AND(T291="1. Migration Candidate",J291="Core",O291&gt;=Assumptions!$B$39,Q291&gt;=Assumptions!$B$40,NOT(Z291))</f>
        <v>0</v>
      </c>
      <c r="V291" s="2" t="n">
        <f aca="false">(AND(H291="Broker-Reliant",J291&lt;&gt;"Tail",OR(N291="Growing",N291="Stable")))*1+(AND(H291="Broker-Reliant",J291&lt;&gt;"Tail",N291="Declining"))*1+(AND(H291="Broker-Reliant",J291&lt;&gt;"Tail",N291="Lapsed"))*1+(AND(H291="Broker-Reliant",J291&lt;&gt;"Tail",N291="H2 Active / No H1 GMV"))*1+(AND(H291="Broker-Reliant",J291="Tail"))*1+(AND(G291="Low",J291&lt;&gt;"Tail",OR(N291="Growing",N291="Stable")))*1+(AND(G291="Low",J291&lt;&gt;"Tail",N291="H2 Active / No H1 GMV"))*1+(AND(G291="Low",J291&lt;&gt;"Tail",OR(N291="Declining",N291="Lapsed")))*1+(AND(G291="Low",J291="Tail"))*1</f>
        <v>1</v>
      </c>
      <c r="W291" s="2" t="n">
        <f aca="false">INDEX('Commercial View'!$V$2:$V$301,MATCH($A291,'Commercial View'!$A$2:$A$301,0))</f>
        <v>1</v>
      </c>
      <c r="X291" s="10" t="b">
        <f aca="false">O291&lt;=Assumptions!$B$30</f>
        <v>1</v>
      </c>
      <c r="Y291" s="10" t="b">
        <f aca="false">W291&lt;=1</f>
        <v>1</v>
      </c>
      <c r="Z291" s="10" t="b">
        <f aca="false">C291="Duplicate"</f>
        <v>0</v>
      </c>
      <c r="AA291" s="10" t="b">
        <f aca="false">C291=""</f>
        <v>1</v>
      </c>
      <c r="AB291" s="2" t="n">
        <f aca="false">IF(P291+Q291&gt;0,ROUND(P291/(P291+Q291)*100,0),"")</f>
        <v>0</v>
      </c>
      <c r="AC291" s="2" t="n">
        <f aca="false">IF(P291+Q291&gt;0,ROUND(E291-P291/(P291+Q291)*100,0),"")</f>
        <v>0</v>
      </c>
      <c r="AD291" s="10" t="b">
        <f aca="false">IF(AC291="",FALSE(),ABS(AC291)&gt;Assumptions!$B$41)</f>
        <v>0</v>
      </c>
      <c r="AE291" s="2" t="str">
        <f aca="false">IF(X291,"Low confidence (&lt;=2 orders); ","")&amp;IF(Y291,"Single-month history; ","")&amp;IF(Z291,"CRITICAL: Duplicate status; ","")&amp;IF(AA291,"Missing status; ","")&amp;IF(AD291,"Broker % vs counts gap "&amp;TEXT(AC291,"+0;-0")&amp;"pts; ","")</f>
        <v>Low confidence (&lt;=2 orders); Single-month history; Missing status; </v>
      </c>
      <c r="AF291" s="2" t="str">
        <f aca="false">IF(AND(K291=0,L291&gt;0),IF(D291&lt;=Assumptions!$B$47,"New Customer","Returned Customer"),"Existing Customer")</f>
        <v>New Customer</v>
      </c>
      <c r="AG291" s="10" t="b">
        <f aca="false">AND(T291="1. Migration Candidate",J291="Key")</f>
        <v>0</v>
      </c>
      <c r="AH291" s="10" t="b">
        <f aca="false">IF(AND(K291&gt;0,L291&gt;0),OR(ABS(M291-Assumptions!$B$36)&lt;=Assumptions!$B$46,ABS(M291+Assumptions!$B$36)&lt;=Assumptions!$B$46),FALSE())</f>
        <v>0</v>
      </c>
      <c r="AI291" s="9" t="n">
        <f aca="false">INDEX('Commercial View'!$L$2:$L$301,MATCH($A291,'Commercial View'!$A$2:$A$301,0))+INDEX('Commercial View'!$M$2:$M$301,MATCH($A291,'Commercial View'!$A$2:$A$301,0))</f>
        <v>86</v>
      </c>
      <c r="AJ291" s="2" t="str">
        <f aca="false">IF(AND(K291=0,AI291=0),"No activity ex-Feb",IF(AI291=0,"Lapsed",IF(K291=0,"H2 Active / No H1 GMV",IF((AI291/2)/(K291/3)-1&gt;=Assumptions!$B$36,"Growing",IF((AI291/2)/(K291/3)-1&lt;-Assumptions!$B$36,"Declining","Stable")))))</f>
        <v>H2 Active / No H1 GMV</v>
      </c>
      <c r="AK291" s="10" t="b">
        <f aca="false">IF(OR(N291="Growing",N291="Stable"),"Healthy",N291)&lt;&gt;IF(OR(AJ291="Growing",AJ291="Stable"),"Healthy",AJ291)</f>
        <v>0</v>
      </c>
      <c r="AL291" s="2" t="str">
        <f aca="false">IF(N291="Lapsed",IF(OR(O291&lt;=Assumptions!$B$48,W291&lt;=Assumptions!$B$49),"One-Off / Insufficient History — Verify","Established Buyer Lapsed"),"N/A")</f>
        <v>N/A</v>
      </c>
      <c r="AM291" s="2" t="n">
        <f aca="false">INDEX('Scored Accounts'!$M$2:$M$301,MATCH($A291,'Scored Accounts'!$A$2:$A$301,0))</f>
        <v>0</v>
      </c>
      <c r="AN291" s="2" t="n">
        <f aca="false">IF((P291/(P291+Q291)*100)&lt;=Assumptions!$B$13,0,IF((P291/(P291+Q291)*100)&lt;Assumptions!$B$14,25,IF((P291/(P291+Q291)*100)&lt;Assumptions!$B$15,50,IF((P291/(P291+Q291)*100)&lt;Assumptions!$B$16,75,100))))</f>
        <v>0</v>
      </c>
      <c r="AO291" s="21" t="n">
        <f aca="false">IF((P291/(P291+Q291)*100)&lt;=Assumptions!$B$8,0,AN291*Assumptions!$B$4+INDEX('Scored Accounts'!$N$2:$N$301,MATCH($A291,'Scored Accounts'!$A$2:$A$301,0))*Assumptions!$B$5+INDEX('Scored Accounts'!$O$2:$O$301,MATCH($A291,'Scored Accounts'!$A$2:$A$301,0))*Assumptions!$B$6)</f>
        <v>0</v>
      </c>
      <c r="AP291" s="2" t="str">
        <f aca="false">IF(AO291&gt;=Assumptions!$B$9,"High",IF(AO291&gt;=Assumptions!$B$10,"Medium","Low"))</f>
        <v>Low</v>
      </c>
      <c r="AQ291" s="10" t="b">
        <f aca="false">OR((E291&lt;=Assumptions!$B$8)&lt;&gt;((P291/(P291+Q291)*100)&lt;=Assumptions!$B$8),AM291&lt;&gt;AN291,G291&lt;&gt;AP291)</f>
        <v>0</v>
      </c>
      <c r="AR291" s="2" t="str">
        <f aca="false">IF(AP291&lt;&gt;"Low","Broker-Reliant",IF(B291="Account Managed","AM-Owned / Self-Serving","Self-Serve"))</f>
        <v>Self-Serve</v>
      </c>
      <c r="AS291" s="2" t="str">
        <f aca="false">IF(AR291="Broker-Reliant",IF(J291="Tail","5. Cost-to-Serve / Low-Touch",IF(OR(N291="Growing",N291="Stable"),"1. Migration Candidate",IF(N291="Declining","2. Protect / Retain First",IF(N291="Lapsed","3. Win-Back / Verify",IF(N291="H2 Active / No H1 GMV","4. Establish / Re-establish / Observe","UNASSIGNED"))))),IF(AP291="Low",IF(J291="Tail","9. Long-Tail Automated Nurture",IF(OR(N291="Growing",N291="Stable"),"6. Growth Opportunity",IF(N291="H2 Active / No H1 GMV","7. Onboard / Re-engage / Learn",IF(OR(N291="Declining",N291="Lapsed"),"8. Retention / Reactivation","UNASSIGNED")))),"UNASSIGNED"))</f>
        <v>9. Long-Tail Automated Nurture</v>
      </c>
      <c r="AT291" s="10" t="b">
        <f aca="false">AS291&lt;&gt;T291</f>
        <v>0</v>
      </c>
      <c r="AU291" s="2" t="str">
        <f aca="false">IF(NOT(U291),"Not Eligible",IF(OR(AQ291,AH291,AK291,NOT(AND(W291&gt;=Assumptions!$B$83,O291&gt;=Assumptions!$B$84))),"Manual Review","Ready"))</f>
        <v>Not Eligible</v>
      </c>
      <c r="AV291" s="2" t="str">
        <f aca="false">IF(AG291,"Key account - human sign-off required; ","")&amp;IF(AH291,"Borderline momentum; ","")&amp;IF(AK291,"February-sensitive ("&amp;N291&amp;" -&gt; "&amp;AJ291&amp;"); ","")&amp;IF(AL291="One-Off / Insufficient History — Verify","Lapsed on thin history - verify; ","")&amp;IF(AQ291,"Material broker % inconsistency (implied tier "&amp;AP291&amp;"); ","")&amp;IF(AT291,"Implied broker % would move segment to "&amp;AS291&amp;"; ","")</f>
        <v/>
      </c>
      <c r="AW291" s="10" t="b">
        <f aca="false">AND(G291="Low",J291="Tail",I291&gt;=Assumptions!$B$64,O291&gt;=Assumptions!$B$65,OR(N291="Growing",N291="Stable",AND(N291="H2 Active / No H1 GMV",W291&gt;=2)),OR(R291&gt;=Assumptions!$B$66,S291&gt;=Assumptions!$B$67))</f>
        <v>0</v>
      </c>
    </row>
    <row r="292" customFormat="false" ht="15" hidden="false" customHeight="false" outlineLevel="0" collapsed="false">
      <c r="A292" s="2" t="s">
        <v>990</v>
      </c>
      <c r="B292" s="2" t="s">
        <v>1574</v>
      </c>
      <c r="C292" s="2"/>
      <c r="D292" s="2" t="n">
        <v>2</v>
      </c>
      <c r="E292" s="2" t="n">
        <v>0</v>
      </c>
      <c r="F292" s="21" t="n">
        <f aca="false">INDEX('Scored Accounts'!$Q$2:$Q$301,MATCH($A292,'Scored Accounts'!$A$2:$A$301,0))</f>
        <v>0</v>
      </c>
      <c r="G292" s="2" t="str">
        <f aca="false">INDEX('Scored Accounts'!$R$2:$R$301,MATCH($A292,'Scored Accounts'!$A$2:$A$301,0))</f>
        <v>Low</v>
      </c>
      <c r="H292" s="2" t="str">
        <f aca="false">IF(OR(G292="High",G292="Medium"),"Broker-Reliant",IF(AND(G292="Low",B292="Account Managed"),"AM-Owned / Self-Serving",IF(AND(G292="Low",B292="Self Serve"),"Self-Serve","UNASSIGNED")))</f>
        <v>Self-Serve</v>
      </c>
      <c r="I292" s="9" t="n">
        <v>84</v>
      </c>
      <c r="J292" s="2" t="str">
        <f aca="false">IF(I292&gt;=Assumptions!$B$35,"Key",IF(I292&gt;=Assumptions!$B$34,"Core","Tail"))</f>
        <v>Tail</v>
      </c>
      <c r="K292" s="9" t="n">
        <f aca="false">INDEX('Commercial View'!$R$2:$R$301,MATCH($A292,'Commercial View'!$A$2:$A$301,0))</f>
        <v>0</v>
      </c>
      <c r="L292" s="9" t="n">
        <f aca="false">INDEX('Commercial View'!$S$2:$S$301,MATCH($A292,'Commercial View'!$A$2:$A$301,0))</f>
        <v>84</v>
      </c>
      <c r="M292" s="17" t="str">
        <f aca="false">INDEX('Commercial View'!$T$2:$T$301,MATCH($A292,'Commercial View'!$A$2:$A$301,0))</f>
        <v/>
      </c>
      <c r="N292" s="2" t="str">
        <f aca="false">INDEX('Commercial View'!$U$2:$U$301,MATCH($A292,'Commercial View'!$A$2:$A$301,0))</f>
        <v>H2 Active / No H1 GMV</v>
      </c>
      <c r="O292" s="2" t="n">
        <v>1</v>
      </c>
      <c r="P292" s="2" t="n">
        <v>0</v>
      </c>
      <c r="Q292" s="2" t="n">
        <v>1</v>
      </c>
      <c r="R292" s="2" t="n">
        <v>3</v>
      </c>
      <c r="S292" s="2" t="n">
        <v>0</v>
      </c>
      <c r="T292" s="2" t="str">
        <f aca="false">IF(H292="Broker-Reliant",IF(J292="Tail","5. Cost-to-Serve / Low-Touch",IF(OR(N292="Growing",N292="Stable"),"1. Migration Candidate",IF(N292="Declining","2. Protect / Retain First",IF(N292="Lapsed","3. Win-Back / Verify",IF(N292="H2 Active / No H1 GMV","4. Establish / Re-establish / Observe","UNASSIGNED"))))),IF(G292="Low",IF(J292="Tail","9. Long-Tail Automated Nurture",IF(OR(N292="Growing",N292="Stable"),"6. Growth Opportunity",IF(N292="H2 Active / No H1 GMV","7. Onboard / Re-engage / Learn",IF(OR(N292="Declining",N292="Lapsed"),"8. Retention / Reactivation","UNASSIGNED")))),"UNASSIGNED"))</f>
        <v>9. Long-Tail Automated Nurture</v>
      </c>
      <c r="U292" s="10" t="b">
        <f aca="false">AND(T292="1. Migration Candidate",J292="Core",O292&gt;=Assumptions!$B$39,Q292&gt;=Assumptions!$B$40,NOT(Z292))</f>
        <v>0</v>
      </c>
      <c r="V292" s="2" t="n">
        <f aca="false">(AND(H292="Broker-Reliant",J292&lt;&gt;"Tail",OR(N292="Growing",N292="Stable")))*1+(AND(H292="Broker-Reliant",J292&lt;&gt;"Tail",N292="Declining"))*1+(AND(H292="Broker-Reliant",J292&lt;&gt;"Tail",N292="Lapsed"))*1+(AND(H292="Broker-Reliant",J292&lt;&gt;"Tail",N292="H2 Active / No H1 GMV"))*1+(AND(H292="Broker-Reliant",J292="Tail"))*1+(AND(G292="Low",J292&lt;&gt;"Tail",OR(N292="Growing",N292="Stable")))*1+(AND(G292="Low",J292&lt;&gt;"Tail",N292="H2 Active / No H1 GMV"))*1+(AND(G292="Low",J292&lt;&gt;"Tail",OR(N292="Declining",N292="Lapsed")))*1+(AND(G292="Low",J292="Tail"))*1</f>
        <v>1</v>
      </c>
      <c r="W292" s="2" t="n">
        <f aca="false">INDEX('Commercial View'!$V$2:$V$301,MATCH($A292,'Commercial View'!$A$2:$A$301,0))</f>
        <v>1</v>
      </c>
      <c r="X292" s="10" t="b">
        <f aca="false">O292&lt;=Assumptions!$B$30</f>
        <v>1</v>
      </c>
      <c r="Y292" s="10" t="b">
        <f aca="false">W292&lt;=1</f>
        <v>1</v>
      </c>
      <c r="Z292" s="10" t="b">
        <f aca="false">C292="Duplicate"</f>
        <v>0</v>
      </c>
      <c r="AA292" s="10" t="b">
        <f aca="false">C292=""</f>
        <v>1</v>
      </c>
      <c r="AB292" s="2" t="n">
        <f aca="false">IF(P292+Q292&gt;0,ROUND(P292/(P292+Q292)*100,0),"")</f>
        <v>0</v>
      </c>
      <c r="AC292" s="2" t="n">
        <f aca="false">IF(P292+Q292&gt;0,ROUND(E292-P292/(P292+Q292)*100,0),"")</f>
        <v>0</v>
      </c>
      <c r="AD292" s="10" t="b">
        <f aca="false">IF(AC292="",FALSE(),ABS(AC292)&gt;Assumptions!$B$41)</f>
        <v>0</v>
      </c>
      <c r="AE292" s="2" t="str">
        <f aca="false">IF(X292,"Low confidence (&lt;=2 orders); ","")&amp;IF(Y292,"Single-month history; ","")&amp;IF(Z292,"CRITICAL: Duplicate status; ","")&amp;IF(AA292,"Missing status; ","")&amp;IF(AD292,"Broker % vs counts gap "&amp;TEXT(AC292,"+0;-0")&amp;"pts; ","")</f>
        <v>Low confidence (&lt;=2 orders); Single-month history; Missing status; </v>
      </c>
      <c r="AF292" s="2" t="str">
        <f aca="false">IF(AND(K292=0,L292&gt;0),IF(D292&lt;=Assumptions!$B$47,"New Customer","Returned Customer"),"Existing Customer")</f>
        <v>New Customer</v>
      </c>
      <c r="AG292" s="10" t="b">
        <f aca="false">AND(T292="1. Migration Candidate",J292="Key")</f>
        <v>0</v>
      </c>
      <c r="AH292" s="10" t="b">
        <f aca="false">IF(AND(K292&gt;0,L292&gt;0),OR(ABS(M292-Assumptions!$B$36)&lt;=Assumptions!$B$46,ABS(M292+Assumptions!$B$36)&lt;=Assumptions!$B$46),FALSE())</f>
        <v>0</v>
      </c>
      <c r="AI292" s="9" t="n">
        <f aca="false">INDEX('Commercial View'!$L$2:$L$301,MATCH($A292,'Commercial View'!$A$2:$A$301,0))+INDEX('Commercial View'!$M$2:$M$301,MATCH($A292,'Commercial View'!$A$2:$A$301,0))</f>
        <v>84</v>
      </c>
      <c r="AJ292" s="2" t="str">
        <f aca="false">IF(AND(K292=0,AI292=0),"No activity ex-Feb",IF(AI292=0,"Lapsed",IF(K292=0,"H2 Active / No H1 GMV",IF((AI292/2)/(K292/3)-1&gt;=Assumptions!$B$36,"Growing",IF((AI292/2)/(K292/3)-1&lt;-Assumptions!$B$36,"Declining","Stable")))))</f>
        <v>H2 Active / No H1 GMV</v>
      </c>
      <c r="AK292" s="10" t="b">
        <f aca="false">IF(OR(N292="Growing",N292="Stable"),"Healthy",N292)&lt;&gt;IF(OR(AJ292="Growing",AJ292="Stable"),"Healthy",AJ292)</f>
        <v>0</v>
      </c>
      <c r="AL292" s="2" t="str">
        <f aca="false">IF(N292="Lapsed",IF(OR(O292&lt;=Assumptions!$B$48,W292&lt;=Assumptions!$B$49),"One-Off / Insufficient History — Verify","Established Buyer Lapsed"),"N/A")</f>
        <v>N/A</v>
      </c>
      <c r="AM292" s="2" t="n">
        <f aca="false">INDEX('Scored Accounts'!$M$2:$M$301,MATCH($A292,'Scored Accounts'!$A$2:$A$301,0))</f>
        <v>0</v>
      </c>
      <c r="AN292" s="2" t="n">
        <f aca="false">IF((P292/(P292+Q292)*100)&lt;=Assumptions!$B$13,0,IF((P292/(P292+Q292)*100)&lt;Assumptions!$B$14,25,IF((P292/(P292+Q292)*100)&lt;Assumptions!$B$15,50,IF((P292/(P292+Q292)*100)&lt;Assumptions!$B$16,75,100))))</f>
        <v>0</v>
      </c>
      <c r="AO292" s="21" t="n">
        <f aca="false">IF((P292/(P292+Q292)*100)&lt;=Assumptions!$B$8,0,AN292*Assumptions!$B$4+INDEX('Scored Accounts'!$N$2:$N$301,MATCH($A292,'Scored Accounts'!$A$2:$A$301,0))*Assumptions!$B$5+INDEX('Scored Accounts'!$O$2:$O$301,MATCH($A292,'Scored Accounts'!$A$2:$A$301,0))*Assumptions!$B$6)</f>
        <v>0</v>
      </c>
      <c r="AP292" s="2" t="str">
        <f aca="false">IF(AO292&gt;=Assumptions!$B$9,"High",IF(AO292&gt;=Assumptions!$B$10,"Medium","Low"))</f>
        <v>Low</v>
      </c>
      <c r="AQ292" s="10" t="b">
        <f aca="false">OR((E292&lt;=Assumptions!$B$8)&lt;&gt;((P292/(P292+Q292)*100)&lt;=Assumptions!$B$8),AM292&lt;&gt;AN292,G292&lt;&gt;AP292)</f>
        <v>0</v>
      </c>
      <c r="AR292" s="2" t="str">
        <f aca="false">IF(AP292&lt;&gt;"Low","Broker-Reliant",IF(B292="Account Managed","AM-Owned / Self-Serving","Self-Serve"))</f>
        <v>Self-Serve</v>
      </c>
      <c r="AS292" s="2" t="str">
        <f aca="false">IF(AR292="Broker-Reliant",IF(J292="Tail","5. Cost-to-Serve / Low-Touch",IF(OR(N292="Growing",N292="Stable"),"1. Migration Candidate",IF(N292="Declining","2. Protect / Retain First",IF(N292="Lapsed","3. Win-Back / Verify",IF(N292="H2 Active / No H1 GMV","4. Establish / Re-establish / Observe","UNASSIGNED"))))),IF(AP292="Low",IF(J292="Tail","9. Long-Tail Automated Nurture",IF(OR(N292="Growing",N292="Stable"),"6. Growth Opportunity",IF(N292="H2 Active / No H1 GMV","7. Onboard / Re-engage / Learn",IF(OR(N292="Declining",N292="Lapsed"),"8. Retention / Reactivation","UNASSIGNED")))),"UNASSIGNED"))</f>
        <v>9. Long-Tail Automated Nurture</v>
      </c>
      <c r="AT292" s="10" t="b">
        <f aca="false">AS292&lt;&gt;T292</f>
        <v>0</v>
      </c>
      <c r="AU292" s="2" t="str">
        <f aca="false">IF(NOT(U292),"Not Eligible",IF(OR(AQ292,AH292,AK292,NOT(AND(W292&gt;=Assumptions!$B$83,O292&gt;=Assumptions!$B$84))),"Manual Review","Ready"))</f>
        <v>Not Eligible</v>
      </c>
      <c r="AV292" s="2" t="str">
        <f aca="false">IF(AG292,"Key account - human sign-off required; ","")&amp;IF(AH292,"Borderline momentum; ","")&amp;IF(AK292,"February-sensitive ("&amp;N292&amp;" -&gt; "&amp;AJ292&amp;"); ","")&amp;IF(AL292="One-Off / Insufficient History — Verify","Lapsed on thin history - verify; ","")&amp;IF(AQ292,"Material broker % inconsistency (implied tier "&amp;AP292&amp;"); ","")&amp;IF(AT292,"Implied broker % would move segment to "&amp;AS292&amp;"; ","")</f>
        <v/>
      </c>
      <c r="AW292" s="10" t="b">
        <f aca="false">AND(G292="Low",J292="Tail",I292&gt;=Assumptions!$B$64,O292&gt;=Assumptions!$B$65,OR(N292="Growing",N292="Stable",AND(N292="H2 Active / No H1 GMV",W292&gt;=2)),OR(R292&gt;=Assumptions!$B$66,S292&gt;=Assumptions!$B$67))</f>
        <v>0</v>
      </c>
    </row>
    <row r="293" customFormat="false" ht="15" hidden="false" customHeight="false" outlineLevel="0" collapsed="false">
      <c r="A293" s="2" t="s">
        <v>992</v>
      </c>
      <c r="B293" s="2" t="s">
        <v>1574</v>
      </c>
      <c r="C293" s="2"/>
      <c r="D293" s="2" t="n">
        <v>6</v>
      </c>
      <c r="E293" s="2" t="n">
        <v>0</v>
      </c>
      <c r="F293" s="21" t="n">
        <f aca="false">INDEX('Scored Accounts'!$Q$2:$Q$301,MATCH($A293,'Scored Accounts'!$A$2:$A$301,0))</f>
        <v>0</v>
      </c>
      <c r="G293" s="2" t="str">
        <f aca="false">INDEX('Scored Accounts'!$R$2:$R$301,MATCH($A293,'Scored Accounts'!$A$2:$A$301,0))</f>
        <v>Low</v>
      </c>
      <c r="H293" s="2" t="str">
        <f aca="false">IF(OR(G293="High",G293="Medium"),"Broker-Reliant",IF(AND(G293="Low",B293="Account Managed"),"AM-Owned / Self-Serving",IF(AND(G293="Low",B293="Self Serve"),"Self-Serve","UNASSIGNED")))</f>
        <v>Self-Serve</v>
      </c>
      <c r="I293" s="9" t="n">
        <v>84</v>
      </c>
      <c r="J293" s="2" t="str">
        <f aca="false">IF(I293&gt;=Assumptions!$B$35,"Key",IF(I293&gt;=Assumptions!$B$34,"Core","Tail"))</f>
        <v>Tail</v>
      </c>
      <c r="K293" s="9" t="n">
        <f aca="false">INDEX('Commercial View'!$R$2:$R$301,MATCH($A293,'Commercial View'!$A$2:$A$301,0))</f>
        <v>84</v>
      </c>
      <c r="L293" s="9" t="n">
        <f aca="false">INDEX('Commercial View'!$S$2:$S$301,MATCH($A293,'Commercial View'!$A$2:$A$301,0))</f>
        <v>0</v>
      </c>
      <c r="M293" s="17" t="n">
        <f aca="false">INDEX('Commercial View'!$T$2:$T$301,MATCH($A293,'Commercial View'!$A$2:$A$301,0))</f>
        <v>-1</v>
      </c>
      <c r="N293" s="2" t="str">
        <f aca="false">INDEX('Commercial View'!$U$2:$U$301,MATCH($A293,'Commercial View'!$A$2:$A$301,0))</f>
        <v>Lapsed</v>
      </c>
      <c r="O293" s="2" t="n">
        <v>1</v>
      </c>
      <c r="P293" s="2" t="n">
        <v>0</v>
      </c>
      <c r="Q293" s="2" t="n">
        <v>1</v>
      </c>
      <c r="R293" s="2" t="n">
        <v>4</v>
      </c>
      <c r="S293" s="2" t="n">
        <v>6</v>
      </c>
      <c r="T293" s="2" t="str">
        <f aca="false">IF(H293="Broker-Reliant",IF(J293="Tail","5. Cost-to-Serve / Low-Touch",IF(OR(N293="Growing",N293="Stable"),"1. Migration Candidate",IF(N293="Declining","2. Protect / Retain First",IF(N293="Lapsed","3. Win-Back / Verify",IF(N293="H2 Active / No H1 GMV","4. Establish / Re-establish / Observe","UNASSIGNED"))))),IF(G293="Low",IF(J293="Tail","9. Long-Tail Automated Nurture",IF(OR(N293="Growing",N293="Stable"),"6. Growth Opportunity",IF(N293="H2 Active / No H1 GMV","7. Onboard / Re-engage / Learn",IF(OR(N293="Declining",N293="Lapsed"),"8. Retention / Reactivation","UNASSIGNED")))),"UNASSIGNED"))</f>
        <v>9. Long-Tail Automated Nurture</v>
      </c>
      <c r="U293" s="10" t="b">
        <f aca="false">AND(T293="1. Migration Candidate",J293="Core",O293&gt;=Assumptions!$B$39,Q293&gt;=Assumptions!$B$40,NOT(Z293))</f>
        <v>0</v>
      </c>
      <c r="V293" s="2" t="n">
        <f aca="false">(AND(H293="Broker-Reliant",J293&lt;&gt;"Tail",OR(N293="Growing",N293="Stable")))*1+(AND(H293="Broker-Reliant",J293&lt;&gt;"Tail",N293="Declining"))*1+(AND(H293="Broker-Reliant",J293&lt;&gt;"Tail",N293="Lapsed"))*1+(AND(H293="Broker-Reliant",J293&lt;&gt;"Tail",N293="H2 Active / No H1 GMV"))*1+(AND(H293="Broker-Reliant",J293="Tail"))*1+(AND(G293="Low",J293&lt;&gt;"Tail",OR(N293="Growing",N293="Stable")))*1+(AND(G293="Low",J293&lt;&gt;"Tail",N293="H2 Active / No H1 GMV"))*1+(AND(G293="Low",J293&lt;&gt;"Tail",OR(N293="Declining",N293="Lapsed")))*1+(AND(G293="Low",J293="Tail"))*1</f>
        <v>1</v>
      </c>
      <c r="W293" s="2" t="n">
        <f aca="false">INDEX('Commercial View'!$V$2:$V$301,MATCH($A293,'Commercial View'!$A$2:$A$301,0))</f>
        <v>1</v>
      </c>
      <c r="X293" s="10" t="b">
        <f aca="false">O293&lt;=Assumptions!$B$30</f>
        <v>1</v>
      </c>
      <c r="Y293" s="10" t="b">
        <f aca="false">W293&lt;=1</f>
        <v>1</v>
      </c>
      <c r="Z293" s="10" t="b">
        <f aca="false">C293="Duplicate"</f>
        <v>0</v>
      </c>
      <c r="AA293" s="10" t="b">
        <f aca="false">C293=""</f>
        <v>1</v>
      </c>
      <c r="AB293" s="2" t="n">
        <f aca="false">IF(P293+Q293&gt;0,ROUND(P293/(P293+Q293)*100,0),"")</f>
        <v>0</v>
      </c>
      <c r="AC293" s="2" t="n">
        <f aca="false">IF(P293+Q293&gt;0,ROUND(E293-P293/(P293+Q293)*100,0),"")</f>
        <v>0</v>
      </c>
      <c r="AD293" s="10" t="b">
        <f aca="false">IF(AC293="",FALSE(),ABS(AC293)&gt;Assumptions!$B$41)</f>
        <v>0</v>
      </c>
      <c r="AE293" s="2" t="str">
        <f aca="false">IF(X293,"Low confidence (&lt;=2 orders); ","")&amp;IF(Y293,"Single-month history; ","")&amp;IF(Z293,"CRITICAL: Duplicate status; ","")&amp;IF(AA293,"Missing status; ","")&amp;IF(AD293,"Broker % vs counts gap "&amp;TEXT(AC293,"+0;-0")&amp;"pts; ","")</f>
        <v>Low confidence (&lt;=2 orders); Single-month history; Missing status; </v>
      </c>
      <c r="AF293" s="2" t="str">
        <f aca="false">IF(AND(K293=0,L293&gt;0),IF(D293&lt;=Assumptions!$B$47,"New Customer","Returned Customer"),"Existing Customer")</f>
        <v>Existing Customer</v>
      </c>
      <c r="AG293" s="10" t="b">
        <f aca="false">AND(T293="1. Migration Candidate",J293="Key")</f>
        <v>0</v>
      </c>
      <c r="AH293" s="10" t="b">
        <f aca="false">IF(AND(K293&gt;0,L293&gt;0),OR(ABS(M293-Assumptions!$B$36)&lt;=Assumptions!$B$46,ABS(M293+Assumptions!$B$36)&lt;=Assumptions!$B$46),FALSE())</f>
        <v>0</v>
      </c>
      <c r="AI293" s="9" t="n">
        <f aca="false">INDEX('Commercial View'!$L$2:$L$301,MATCH($A293,'Commercial View'!$A$2:$A$301,0))+INDEX('Commercial View'!$M$2:$M$301,MATCH($A293,'Commercial View'!$A$2:$A$301,0))</f>
        <v>0</v>
      </c>
      <c r="AJ293" s="2" t="str">
        <f aca="false">IF(AND(K293=0,AI293=0),"No activity ex-Feb",IF(AI293=0,"Lapsed",IF(K293=0,"H2 Active / No H1 GMV",IF((AI293/2)/(K293/3)-1&gt;=Assumptions!$B$36,"Growing",IF((AI293/2)/(K293/3)-1&lt;-Assumptions!$B$36,"Declining","Stable")))))</f>
        <v>Lapsed</v>
      </c>
      <c r="AK293" s="10" t="b">
        <f aca="false">IF(OR(N293="Growing",N293="Stable"),"Healthy",N293)&lt;&gt;IF(OR(AJ293="Growing",AJ293="Stable"),"Healthy",AJ293)</f>
        <v>0</v>
      </c>
      <c r="AL293" s="2" t="str">
        <f aca="false">IF(N293="Lapsed",IF(OR(O293&lt;=Assumptions!$B$48,W293&lt;=Assumptions!$B$49),"One-Off / Insufficient History — Verify","Established Buyer Lapsed"),"N/A")</f>
        <v>One-Off / Insufficient History — Verify</v>
      </c>
      <c r="AM293" s="2" t="n">
        <f aca="false">INDEX('Scored Accounts'!$M$2:$M$301,MATCH($A293,'Scored Accounts'!$A$2:$A$301,0))</f>
        <v>0</v>
      </c>
      <c r="AN293" s="2" t="n">
        <f aca="false">IF((P293/(P293+Q293)*100)&lt;=Assumptions!$B$13,0,IF((P293/(P293+Q293)*100)&lt;Assumptions!$B$14,25,IF((P293/(P293+Q293)*100)&lt;Assumptions!$B$15,50,IF((P293/(P293+Q293)*100)&lt;Assumptions!$B$16,75,100))))</f>
        <v>0</v>
      </c>
      <c r="AO293" s="21" t="n">
        <f aca="false">IF((P293/(P293+Q293)*100)&lt;=Assumptions!$B$8,0,AN293*Assumptions!$B$4+INDEX('Scored Accounts'!$N$2:$N$301,MATCH($A293,'Scored Accounts'!$A$2:$A$301,0))*Assumptions!$B$5+INDEX('Scored Accounts'!$O$2:$O$301,MATCH($A293,'Scored Accounts'!$A$2:$A$301,0))*Assumptions!$B$6)</f>
        <v>0</v>
      </c>
      <c r="AP293" s="2" t="str">
        <f aca="false">IF(AO293&gt;=Assumptions!$B$9,"High",IF(AO293&gt;=Assumptions!$B$10,"Medium","Low"))</f>
        <v>Low</v>
      </c>
      <c r="AQ293" s="10" t="b">
        <f aca="false">OR((E293&lt;=Assumptions!$B$8)&lt;&gt;((P293/(P293+Q293)*100)&lt;=Assumptions!$B$8),AM293&lt;&gt;AN293,G293&lt;&gt;AP293)</f>
        <v>0</v>
      </c>
      <c r="AR293" s="2" t="str">
        <f aca="false">IF(AP293&lt;&gt;"Low","Broker-Reliant",IF(B293="Account Managed","AM-Owned / Self-Serving","Self-Serve"))</f>
        <v>Self-Serve</v>
      </c>
      <c r="AS293" s="2" t="str">
        <f aca="false">IF(AR293="Broker-Reliant",IF(J293="Tail","5. Cost-to-Serve / Low-Touch",IF(OR(N293="Growing",N293="Stable"),"1. Migration Candidate",IF(N293="Declining","2. Protect / Retain First",IF(N293="Lapsed","3. Win-Back / Verify",IF(N293="H2 Active / No H1 GMV","4. Establish / Re-establish / Observe","UNASSIGNED"))))),IF(AP293="Low",IF(J293="Tail","9. Long-Tail Automated Nurture",IF(OR(N293="Growing",N293="Stable"),"6. Growth Opportunity",IF(N293="H2 Active / No H1 GMV","7. Onboard / Re-engage / Learn",IF(OR(N293="Declining",N293="Lapsed"),"8. Retention / Reactivation","UNASSIGNED")))),"UNASSIGNED"))</f>
        <v>9. Long-Tail Automated Nurture</v>
      </c>
      <c r="AT293" s="10" t="b">
        <f aca="false">AS293&lt;&gt;T293</f>
        <v>0</v>
      </c>
      <c r="AU293" s="2" t="str">
        <f aca="false">IF(NOT(U293),"Not Eligible",IF(OR(AQ293,AH293,AK293,NOT(AND(W293&gt;=Assumptions!$B$83,O293&gt;=Assumptions!$B$84))),"Manual Review","Ready"))</f>
        <v>Not Eligible</v>
      </c>
      <c r="AV293" s="2" t="str">
        <f aca="false">IF(AG293,"Key account - human sign-off required; ","")&amp;IF(AH293,"Borderline momentum; ","")&amp;IF(AK293,"February-sensitive ("&amp;N293&amp;" -&gt; "&amp;AJ293&amp;"); ","")&amp;IF(AL293="One-Off / Insufficient History — Verify","Lapsed on thin history - verify; ","")&amp;IF(AQ293,"Material broker % inconsistency (implied tier "&amp;AP293&amp;"); ","")&amp;IF(AT293,"Implied broker % would move segment to "&amp;AS293&amp;"; ","")</f>
        <v>Lapsed on thin history - verify; </v>
      </c>
      <c r="AW293" s="10" t="b">
        <f aca="false">AND(G293="Low",J293="Tail",I293&gt;=Assumptions!$B$64,O293&gt;=Assumptions!$B$65,OR(N293="Growing",N293="Stable",AND(N293="H2 Active / No H1 GMV",W293&gt;=2)),OR(R293&gt;=Assumptions!$B$66,S293&gt;=Assumptions!$B$67))</f>
        <v>0</v>
      </c>
    </row>
    <row r="294" customFormat="false" ht="15" hidden="false" customHeight="false" outlineLevel="0" collapsed="false">
      <c r="A294" s="2" t="s">
        <v>994</v>
      </c>
      <c r="B294" s="2" t="s">
        <v>1574</v>
      </c>
      <c r="C294" s="2"/>
      <c r="D294" s="2" t="n">
        <v>1</v>
      </c>
      <c r="E294" s="2" t="n">
        <v>0</v>
      </c>
      <c r="F294" s="21" t="n">
        <f aca="false">INDEX('Scored Accounts'!$Q$2:$Q$301,MATCH($A294,'Scored Accounts'!$A$2:$A$301,0))</f>
        <v>0</v>
      </c>
      <c r="G294" s="2" t="str">
        <f aca="false">INDEX('Scored Accounts'!$R$2:$R$301,MATCH($A294,'Scored Accounts'!$A$2:$A$301,0))</f>
        <v>Low</v>
      </c>
      <c r="H294" s="2" t="str">
        <f aca="false">IF(OR(G294="High",G294="Medium"),"Broker-Reliant",IF(AND(G294="Low",B294="Account Managed"),"AM-Owned / Self-Serving",IF(AND(G294="Low",B294="Self Serve"),"Self-Serve","UNASSIGNED")))</f>
        <v>Self-Serve</v>
      </c>
      <c r="I294" s="9" t="n">
        <v>82</v>
      </c>
      <c r="J294" s="2" t="str">
        <f aca="false">IF(I294&gt;=Assumptions!$B$35,"Key",IF(I294&gt;=Assumptions!$B$34,"Core","Tail"))</f>
        <v>Tail</v>
      </c>
      <c r="K294" s="9" t="n">
        <f aca="false">INDEX('Commercial View'!$R$2:$R$301,MATCH($A294,'Commercial View'!$A$2:$A$301,0))</f>
        <v>0</v>
      </c>
      <c r="L294" s="9" t="n">
        <f aca="false">INDEX('Commercial View'!$S$2:$S$301,MATCH($A294,'Commercial View'!$A$2:$A$301,0))</f>
        <v>82</v>
      </c>
      <c r="M294" s="17" t="str">
        <f aca="false">INDEX('Commercial View'!$T$2:$T$301,MATCH($A294,'Commercial View'!$A$2:$A$301,0))</f>
        <v/>
      </c>
      <c r="N294" s="2" t="str">
        <f aca="false">INDEX('Commercial View'!$U$2:$U$301,MATCH($A294,'Commercial View'!$A$2:$A$301,0))</f>
        <v>H2 Active / No H1 GMV</v>
      </c>
      <c r="O294" s="2" t="n">
        <v>1</v>
      </c>
      <c r="P294" s="2" t="n">
        <v>0</v>
      </c>
      <c r="Q294" s="2" t="n">
        <v>1</v>
      </c>
      <c r="R294" s="2" t="n">
        <v>14</v>
      </c>
      <c r="S294" s="2" t="n">
        <v>0</v>
      </c>
      <c r="T294" s="2" t="str">
        <f aca="false">IF(H294="Broker-Reliant",IF(J294="Tail","5. Cost-to-Serve / Low-Touch",IF(OR(N294="Growing",N294="Stable"),"1. Migration Candidate",IF(N294="Declining","2. Protect / Retain First",IF(N294="Lapsed","3. Win-Back / Verify",IF(N294="H2 Active / No H1 GMV","4. Establish / Re-establish / Observe","UNASSIGNED"))))),IF(G294="Low",IF(J294="Tail","9. Long-Tail Automated Nurture",IF(OR(N294="Growing",N294="Stable"),"6. Growth Opportunity",IF(N294="H2 Active / No H1 GMV","7. Onboard / Re-engage / Learn",IF(OR(N294="Declining",N294="Lapsed"),"8. Retention / Reactivation","UNASSIGNED")))),"UNASSIGNED"))</f>
        <v>9. Long-Tail Automated Nurture</v>
      </c>
      <c r="U294" s="10" t="b">
        <f aca="false">AND(T294="1. Migration Candidate",J294="Core",O294&gt;=Assumptions!$B$39,Q294&gt;=Assumptions!$B$40,NOT(Z294))</f>
        <v>0</v>
      </c>
      <c r="V294" s="2" t="n">
        <f aca="false">(AND(H294="Broker-Reliant",J294&lt;&gt;"Tail",OR(N294="Growing",N294="Stable")))*1+(AND(H294="Broker-Reliant",J294&lt;&gt;"Tail",N294="Declining"))*1+(AND(H294="Broker-Reliant",J294&lt;&gt;"Tail",N294="Lapsed"))*1+(AND(H294="Broker-Reliant",J294&lt;&gt;"Tail",N294="H2 Active / No H1 GMV"))*1+(AND(H294="Broker-Reliant",J294="Tail"))*1+(AND(G294="Low",J294&lt;&gt;"Tail",OR(N294="Growing",N294="Stable")))*1+(AND(G294="Low",J294&lt;&gt;"Tail",N294="H2 Active / No H1 GMV"))*1+(AND(G294="Low",J294&lt;&gt;"Tail",OR(N294="Declining",N294="Lapsed")))*1+(AND(G294="Low",J294="Tail"))*1</f>
        <v>1</v>
      </c>
      <c r="W294" s="2" t="n">
        <f aca="false">INDEX('Commercial View'!$V$2:$V$301,MATCH($A294,'Commercial View'!$A$2:$A$301,0))</f>
        <v>1</v>
      </c>
      <c r="X294" s="10" t="b">
        <f aca="false">O294&lt;=Assumptions!$B$30</f>
        <v>1</v>
      </c>
      <c r="Y294" s="10" t="b">
        <f aca="false">W294&lt;=1</f>
        <v>1</v>
      </c>
      <c r="Z294" s="10" t="b">
        <f aca="false">C294="Duplicate"</f>
        <v>0</v>
      </c>
      <c r="AA294" s="10" t="b">
        <f aca="false">C294=""</f>
        <v>1</v>
      </c>
      <c r="AB294" s="2" t="n">
        <f aca="false">IF(P294+Q294&gt;0,ROUND(P294/(P294+Q294)*100,0),"")</f>
        <v>0</v>
      </c>
      <c r="AC294" s="2" t="n">
        <f aca="false">IF(P294+Q294&gt;0,ROUND(E294-P294/(P294+Q294)*100,0),"")</f>
        <v>0</v>
      </c>
      <c r="AD294" s="10" t="b">
        <f aca="false">IF(AC294="",FALSE(),ABS(AC294)&gt;Assumptions!$B$41)</f>
        <v>0</v>
      </c>
      <c r="AE294" s="2" t="str">
        <f aca="false">IF(X294,"Low confidence (&lt;=2 orders); ","")&amp;IF(Y294,"Single-month history; ","")&amp;IF(Z294,"CRITICAL: Duplicate status; ","")&amp;IF(AA294,"Missing status; ","")&amp;IF(AD294,"Broker % vs counts gap "&amp;TEXT(AC294,"+0;-0")&amp;"pts; ","")</f>
        <v>Low confidence (&lt;=2 orders); Single-month history; Missing status; </v>
      </c>
      <c r="AF294" s="2" t="str">
        <f aca="false">IF(AND(K294=0,L294&gt;0),IF(D294&lt;=Assumptions!$B$47,"New Customer","Returned Customer"),"Existing Customer")</f>
        <v>New Customer</v>
      </c>
      <c r="AG294" s="10" t="b">
        <f aca="false">AND(T294="1. Migration Candidate",J294="Key")</f>
        <v>0</v>
      </c>
      <c r="AH294" s="10" t="b">
        <f aca="false">IF(AND(K294&gt;0,L294&gt;0),OR(ABS(M294-Assumptions!$B$36)&lt;=Assumptions!$B$46,ABS(M294+Assumptions!$B$36)&lt;=Assumptions!$B$46),FALSE())</f>
        <v>0</v>
      </c>
      <c r="AI294" s="9" t="n">
        <f aca="false">INDEX('Commercial View'!$L$2:$L$301,MATCH($A294,'Commercial View'!$A$2:$A$301,0))+INDEX('Commercial View'!$M$2:$M$301,MATCH($A294,'Commercial View'!$A$2:$A$301,0))</f>
        <v>0</v>
      </c>
      <c r="AJ294" s="2" t="str">
        <f aca="false">IF(AND(K294=0,AI294=0),"No activity ex-Feb",IF(AI294=0,"Lapsed",IF(K294=0,"H2 Active / No H1 GMV",IF((AI294/2)/(K294/3)-1&gt;=Assumptions!$B$36,"Growing",IF((AI294/2)/(K294/3)-1&lt;-Assumptions!$B$36,"Declining","Stable")))))</f>
        <v>No activity ex-Feb</v>
      </c>
      <c r="AK294" s="10" t="b">
        <f aca="false">IF(OR(N294="Growing",N294="Stable"),"Healthy",N294)&lt;&gt;IF(OR(AJ294="Growing",AJ294="Stable"),"Healthy",AJ294)</f>
        <v>1</v>
      </c>
      <c r="AL294" s="2" t="str">
        <f aca="false">IF(N294="Lapsed",IF(OR(O294&lt;=Assumptions!$B$48,W294&lt;=Assumptions!$B$49),"One-Off / Insufficient History — Verify","Established Buyer Lapsed"),"N/A")</f>
        <v>N/A</v>
      </c>
      <c r="AM294" s="2" t="n">
        <f aca="false">INDEX('Scored Accounts'!$M$2:$M$301,MATCH($A294,'Scored Accounts'!$A$2:$A$301,0))</f>
        <v>0</v>
      </c>
      <c r="AN294" s="2" t="n">
        <f aca="false">IF((P294/(P294+Q294)*100)&lt;=Assumptions!$B$13,0,IF((P294/(P294+Q294)*100)&lt;Assumptions!$B$14,25,IF((P294/(P294+Q294)*100)&lt;Assumptions!$B$15,50,IF((P294/(P294+Q294)*100)&lt;Assumptions!$B$16,75,100))))</f>
        <v>0</v>
      </c>
      <c r="AO294" s="21" t="n">
        <f aca="false">IF((P294/(P294+Q294)*100)&lt;=Assumptions!$B$8,0,AN294*Assumptions!$B$4+INDEX('Scored Accounts'!$N$2:$N$301,MATCH($A294,'Scored Accounts'!$A$2:$A$301,0))*Assumptions!$B$5+INDEX('Scored Accounts'!$O$2:$O$301,MATCH($A294,'Scored Accounts'!$A$2:$A$301,0))*Assumptions!$B$6)</f>
        <v>0</v>
      </c>
      <c r="AP294" s="2" t="str">
        <f aca="false">IF(AO294&gt;=Assumptions!$B$9,"High",IF(AO294&gt;=Assumptions!$B$10,"Medium","Low"))</f>
        <v>Low</v>
      </c>
      <c r="AQ294" s="10" t="b">
        <f aca="false">OR((E294&lt;=Assumptions!$B$8)&lt;&gt;((P294/(P294+Q294)*100)&lt;=Assumptions!$B$8),AM294&lt;&gt;AN294,G294&lt;&gt;AP294)</f>
        <v>0</v>
      </c>
      <c r="AR294" s="2" t="str">
        <f aca="false">IF(AP294&lt;&gt;"Low","Broker-Reliant",IF(B294="Account Managed","AM-Owned / Self-Serving","Self-Serve"))</f>
        <v>Self-Serve</v>
      </c>
      <c r="AS294" s="2" t="str">
        <f aca="false">IF(AR294="Broker-Reliant",IF(J294="Tail","5. Cost-to-Serve / Low-Touch",IF(OR(N294="Growing",N294="Stable"),"1. Migration Candidate",IF(N294="Declining","2. Protect / Retain First",IF(N294="Lapsed","3. Win-Back / Verify",IF(N294="H2 Active / No H1 GMV","4. Establish / Re-establish / Observe","UNASSIGNED"))))),IF(AP294="Low",IF(J294="Tail","9. Long-Tail Automated Nurture",IF(OR(N294="Growing",N294="Stable"),"6. Growth Opportunity",IF(N294="H2 Active / No H1 GMV","7. Onboard / Re-engage / Learn",IF(OR(N294="Declining",N294="Lapsed"),"8. Retention / Reactivation","UNASSIGNED")))),"UNASSIGNED"))</f>
        <v>9. Long-Tail Automated Nurture</v>
      </c>
      <c r="AT294" s="10" t="b">
        <f aca="false">AS294&lt;&gt;T294</f>
        <v>0</v>
      </c>
      <c r="AU294" s="2" t="str">
        <f aca="false">IF(NOT(U294),"Not Eligible",IF(OR(AQ294,AH294,AK294,NOT(AND(W294&gt;=Assumptions!$B$83,O294&gt;=Assumptions!$B$84))),"Manual Review","Ready"))</f>
        <v>Not Eligible</v>
      </c>
      <c r="AV294" s="2" t="str">
        <f aca="false">IF(AG294,"Key account - human sign-off required; ","")&amp;IF(AH294,"Borderline momentum; ","")&amp;IF(AK294,"February-sensitive ("&amp;N294&amp;" -&gt; "&amp;AJ294&amp;"); ","")&amp;IF(AL294="One-Off / Insufficient History — Verify","Lapsed on thin history - verify; ","")&amp;IF(AQ294,"Material broker % inconsistency (implied tier "&amp;AP294&amp;"); ","")&amp;IF(AT294,"Implied broker % would move segment to "&amp;AS294&amp;"; ","")</f>
        <v>February-sensitive (H2 Active / No H1 GMV -&gt; No activity ex-Feb); </v>
      </c>
      <c r="AW294" s="10" t="b">
        <f aca="false">AND(G294="Low",J294="Tail",I294&gt;=Assumptions!$B$64,O294&gt;=Assumptions!$B$65,OR(N294="Growing",N294="Stable",AND(N294="H2 Active / No H1 GMV",W294&gt;=2)),OR(R294&gt;=Assumptions!$B$66,S294&gt;=Assumptions!$B$67))</f>
        <v>0</v>
      </c>
    </row>
    <row r="295" customFormat="false" ht="15" hidden="false" customHeight="false" outlineLevel="0" collapsed="false">
      <c r="A295" s="2" t="s">
        <v>998</v>
      </c>
      <c r="B295" s="2" t="s">
        <v>1574</v>
      </c>
      <c r="C295" s="2"/>
      <c r="D295" s="2" t="n">
        <v>4</v>
      </c>
      <c r="E295" s="2" t="n">
        <v>0</v>
      </c>
      <c r="F295" s="21" t="n">
        <f aca="false">INDEX('Scored Accounts'!$Q$2:$Q$301,MATCH($A295,'Scored Accounts'!$A$2:$A$301,0))</f>
        <v>0</v>
      </c>
      <c r="G295" s="2" t="str">
        <f aca="false">INDEX('Scored Accounts'!$R$2:$R$301,MATCH($A295,'Scored Accounts'!$A$2:$A$301,0))</f>
        <v>Low</v>
      </c>
      <c r="H295" s="2" t="str">
        <f aca="false">IF(OR(G295="High",G295="Medium"),"Broker-Reliant",IF(AND(G295="Low",B295="Account Managed"),"AM-Owned / Self-Serving",IF(AND(G295="Low",B295="Self Serve"),"Self-Serve","UNASSIGNED")))</f>
        <v>Self-Serve</v>
      </c>
      <c r="I295" s="9" t="n">
        <v>78</v>
      </c>
      <c r="J295" s="2" t="str">
        <f aca="false">IF(I295&gt;=Assumptions!$B$35,"Key",IF(I295&gt;=Assumptions!$B$34,"Core","Tail"))</f>
        <v>Tail</v>
      </c>
      <c r="K295" s="9" t="n">
        <f aca="false">INDEX('Commercial View'!$R$2:$R$301,MATCH($A295,'Commercial View'!$A$2:$A$301,0))</f>
        <v>78</v>
      </c>
      <c r="L295" s="9" t="n">
        <f aca="false">INDEX('Commercial View'!$S$2:$S$301,MATCH($A295,'Commercial View'!$A$2:$A$301,0))</f>
        <v>0</v>
      </c>
      <c r="M295" s="17" t="n">
        <f aca="false">INDEX('Commercial View'!$T$2:$T$301,MATCH($A295,'Commercial View'!$A$2:$A$301,0))</f>
        <v>-1</v>
      </c>
      <c r="N295" s="2" t="str">
        <f aca="false">INDEX('Commercial View'!$U$2:$U$301,MATCH($A295,'Commercial View'!$A$2:$A$301,0))</f>
        <v>Lapsed</v>
      </c>
      <c r="O295" s="2" t="n">
        <v>1</v>
      </c>
      <c r="P295" s="2" t="n">
        <v>0</v>
      </c>
      <c r="Q295" s="2" t="n">
        <v>1</v>
      </c>
      <c r="R295" s="2" t="n">
        <v>2</v>
      </c>
      <c r="S295" s="2" t="n">
        <v>0</v>
      </c>
      <c r="T295" s="2" t="str">
        <f aca="false">IF(H295="Broker-Reliant",IF(J295="Tail","5. Cost-to-Serve / Low-Touch",IF(OR(N295="Growing",N295="Stable"),"1. Migration Candidate",IF(N295="Declining","2. Protect / Retain First",IF(N295="Lapsed","3. Win-Back / Verify",IF(N295="H2 Active / No H1 GMV","4. Establish / Re-establish / Observe","UNASSIGNED"))))),IF(G295="Low",IF(J295="Tail","9. Long-Tail Automated Nurture",IF(OR(N295="Growing",N295="Stable"),"6. Growth Opportunity",IF(N295="H2 Active / No H1 GMV","7. Onboard / Re-engage / Learn",IF(OR(N295="Declining",N295="Lapsed"),"8. Retention / Reactivation","UNASSIGNED")))),"UNASSIGNED"))</f>
        <v>9. Long-Tail Automated Nurture</v>
      </c>
      <c r="U295" s="10" t="b">
        <f aca="false">AND(T295="1. Migration Candidate",J295="Core",O295&gt;=Assumptions!$B$39,Q295&gt;=Assumptions!$B$40,NOT(Z295))</f>
        <v>0</v>
      </c>
      <c r="V295" s="2" t="n">
        <f aca="false">(AND(H295="Broker-Reliant",J295&lt;&gt;"Tail",OR(N295="Growing",N295="Stable")))*1+(AND(H295="Broker-Reliant",J295&lt;&gt;"Tail",N295="Declining"))*1+(AND(H295="Broker-Reliant",J295&lt;&gt;"Tail",N295="Lapsed"))*1+(AND(H295="Broker-Reliant",J295&lt;&gt;"Tail",N295="H2 Active / No H1 GMV"))*1+(AND(H295="Broker-Reliant",J295="Tail"))*1+(AND(G295="Low",J295&lt;&gt;"Tail",OR(N295="Growing",N295="Stable")))*1+(AND(G295="Low",J295&lt;&gt;"Tail",N295="H2 Active / No H1 GMV"))*1+(AND(G295="Low",J295&lt;&gt;"Tail",OR(N295="Declining",N295="Lapsed")))*1+(AND(G295="Low",J295="Tail"))*1</f>
        <v>1</v>
      </c>
      <c r="W295" s="2" t="n">
        <f aca="false">INDEX('Commercial View'!$V$2:$V$301,MATCH($A295,'Commercial View'!$A$2:$A$301,0))</f>
        <v>1</v>
      </c>
      <c r="X295" s="10" t="b">
        <f aca="false">O295&lt;=Assumptions!$B$30</f>
        <v>1</v>
      </c>
      <c r="Y295" s="10" t="b">
        <f aca="false">W295&lt;=1</f>
        <v>1</v>
      </c>
      <c r="Z295" s="10" t="b">
        <f aca="false">C295="Duplicate"</f>
        <v>0</v>
      </c>
      <c r="AA295" s="10" t="b">
        <f aca="false">C295=""</f>
        <v>1</v>
      </c>
      <c r="AB295" s="2" t="n">
        <f aca="false">IF(P295+Q295&gt;0,ROUND(P295/(P295+Q295)*100,0),"")</f>
        <v>0</v>
      </c>
      <c r="AC295" s="2" t="n">
        <f aca="false">IF(P295+Q295&gt;0,ROUND(E295-P295/(P295+Q295)*100,0),"")</f>
        <v>0</v>
      </c>
      <c r="AD295" s="10" t="b">
        <f aca="false">IF(AC295="",FALSE(),ABS(AC295)&gt;Assumptions!$B$41)</f>
        <v>0</v>
      </c>
      <c r="AE295" s="2" t="str">
        <f aca="false">IF(X295,"Low confidence (&lt;=2 orders); ","")&amp;IF(Y295,"Single-month history; ","")&amp;IF(Z295,"CRITICAL: Duplicate status; ","")&amp;IF(AA295,"Missing status; ","")&amp;IF(AD295,"Broker % vs counts gap "&amp;TEXT(AC295,"+0;-0")&amp;"pts; ","")</f>
        <v>Low confidence (&lt;=2 orders); Single-month history; Missing status; </v>
      </c>
      <c r="AF295" s="2" t="str">
        <f aca="false">IF(AND(K295=0,L295&gt;0),IF(D295&lt;=Assumptions!$B$47,"New Customer","Returned Customer"),"Existing Customer")</f>
        <v>Existing Customer</v>
      </c>
      <c r="AG295" s="10" t="b">
        <f aca="false">AND(T295="1. Migration Candidate",J295="Key")</f>
        <v>0</v>
      </c>
      <c r="AH295" s="10" t="b">
        <f aca="false">IF(AND(K295&gt;0,L295&gt;0),OR(ABS(M295-Assumptions!$B$36)&lt;=Assumptions!$B$46,ABS(M295+Assumptions!$B$36)&lt;=Assumptions!$B$46),FALSE())</f>
        <v>0</v>
      </c>
      <c r="AI295" s="9" t="n">
        <f aca="false">INDEX('Commercial View'!$L$2:$L$301,MATCH($A295,'Commercial View'!$A$2:$A$301,0))+INDEX('Commercial View'!$M$2:$M$301,MATCH($A295,'Commercial View'!$A$2:$A$301,0))</f>
        <v>0</v>
      </c>
      <c r="AJ295" s="2" t="str">
        <f aca="false">IF(AND(K295=0,AI295=0),"No activity ex-Feb",IF(AI295=0,"Lapsed",IF(K295=0,"H2 Active / No H1 GMV",IF((AI295/2)/(K295/3)-1&gt;=Assumptions!$B$36,"Growing",IF((AI295/2)/(K295/3)-1&lt;-Assumptions!$B$36,"Declining","Stable")))))</f>
        <v>Lapsed</v>
      </c>
      <c r="AK295" s="10" t="b">
        <f aca="false">IF(OR(N295="Growing",N295="Stable"),"Healthy",N295)&lt;&gt;IF(OR(AJ295="Growing",AJ295="Stable"),"Healthy",AJ295)</f>
        <v>0</v>
      </c>
      <c r="AL295" s="2" t="str">
        <f aca="false">IF(N295="Lapsed",IF(OR(O295&lt;=Assumptions!$B$48,W295&lt;=Assumptions!$B$49),"One-Off / Insufficient History — Verify","Established Buyer Lapsed"),"N/A")</f>
        <v>One-Off / Insufficient History — Verify</v>
      </c>
      <c r="AM295" s="2" t="n">
        <f aca="false">INDEX('Scored Accounts'!$M$2:$M$301,MATCH($A295,'Scored Accounts'!$A$2:$A$301,0))</f>
        <v>0</v>
      </c>
      <c r="AN295" s="2" t="n">
        <f aca="false">IF((P295/(P295+Q295)*100)&lt;=Assumptions!$B$13,0,IF((P295/(P295+Q295)*100)&lt;Assumptions!$B$14,25,IF((P295/(P295+Q295)*100)&lt;Assumptions!$B$15,50,IF((P295/(P295+Q295)*100)&lt;Assumptions!$B$16,75,100))))</f>
        <v>0</v>
      </c>
      <c r="AO295" s="21" t="n">
        <f aca="false">IF((P295/(P295+Q295)*100)&lt;=Assumptions!$B$8,0,AN295*Assumptions!$B$4+INDEX('Scored Accounts'!$N$2:$N$301,MATCH($A295,'Scored Accounts'!$A$2:$A$301,0))*Assumptions!$B$5+INDEX('Scored Accounts'!$O$2:$O$301,MATCH($A295,'Scored Accounts'!$A$2:$A$301,0))*Assumptions!$B$6)</f>
        <v>0</v>
      </c>
      <c r="AP295" s="2" t="str">
        <f aca="false">IF(AO295&gt;=Assumptions!$B$9,"High",IF(AO295&gt;=Assumptions!$B$10,"Medium","Low"))</f>
        <v>Low</v>
      </c>
      <c r="AQ295" s="10" t="b">
        <f aca="false">OR((E295&lt;=Assumptions!$B$8)&lt;&gt;((P295/(P295+Q295)*100)&lt;=Assumptions!$B$8),AM295&lt;&gt;AN295,G295&lt;&gt;AP295)</f>
        <v>0</v>
      </c>
      <c r="AR295" s="2" t="str">
        <f aca="false">IF(AP295&lt;&gt;"Low","Broker-Reliant",IF(B295="Account Managed","AM-Owned / Self-Serving","Self-Serve"))</f>
        <v>Self-Serve</v>
      </c>
      <c r="AS295" s="2" t="str">
        <f aca="false">IF(AR295="Broker-Reliant",IF(J295="Tail","5. Cost-to-Serve / Low-Touch",IF(OR(N295="Growing",N295="Stable"),"1. Migration Candidate",IF(N295="Declining","2. Protect / Retain First",IF(N295="Lapsed","3. Win-Back / Verify",IF(N295="H2 Active / No H1 GMV","4. Establish / Re-establish / Observe","UNASSIGNED"))))),IF(AP295="Low",IF(J295="Tail","9. Long-Tail Automated Nurture",IF(OR(N295="Growing",N295="Stable"),"6. Growth Opportunity",IF(N295="H2 Active / No H1 GMV","7. Onboard / Re-engage / Learn",IF(OR(N295="Declining",N295="Lapsed"),"8. Retention / Reactivation","UNASSIGNED")))),"UNASSIGNED"))</f>
        <v>9. Long-Tail Automated Nurture</v>
      </c>
      <c r="AT295" s="10" t="b">
        <f aca="false">AS295&lt;&gt;T295</f>
        <v>0</v>
      </c>
      <c r="AU295" s="2" t="str">
        <f aca="false">IF(NOT(U295),"Not Eligible",IF(OR(AQ295,AH295,AK295,NOT(AND(W295&gt;=Assumptions!$B$83,O295&gt;=Assumptions!$B$84))),"Manual Review","Ready"))</f>
        <v>Not Eligible</v>
      </c>
      <c r="AV295" s="2" t="str">
        <f aca="false">IF(AG295,"Key account - human sign-off required; ","")&amp;IF(AH295,"Borderline momentum; ","")&amp;IF(AK295,"February-sensitive ("&amp;N295&amp;" -&gt; "&amp;AJ295&amp;"); ","")&amp;IF(AL295="One-Off / Insufficient History — Verify","Lapsed on thin history - verify; ","")&amp;IF(AQ295,"Material broker % inconsistency (implied tier "&amp;AP295&amp;"); ","")&amp;IF(AT295,"Implied broker % would move segment to "&amp;AS295&amp;"; ","")</f>
        <v>Lapsed on thin history - verify; </v>
      </c>
      <c r="AW295" s="10" t="b">
        <f aca="false">AND(G295="Low",J295="Tail",I295&gt;=Assumptions!$B$64,O295&gt;=Assumptions!$B$65,OR(N295="Growing",N295="Stable",AND(N295="H2 Active / No H1 GMV",W295&gt;=2)),OR(R295&gt;=Assumptions!$B$66,S295&gt;=Assumptions!$B$67))</f>
        <v>0</v>
      </c>
    </row>
    <row r="296" customFormat="false" ht="15" hidden="false" customHeight="false" outlineLevel="0" collapsed="false">
      <c r="A296" s="2" t="s">
        <v>1002</v>
      </c>
      <c r="B296" s="2" t="s">
        <v>1574</v>
      </c>
      <c r="C296" s="2"/>
      <c r="D296" s="2" t="n">
        <v>6</v>
      </c>
      <c r="E296" s="2" t="n">
        <v>0</v>
      </c>
      <c r="F296" s="21" t="n">
        <f aca="false">INDEX('Scored Accounts'!$Q$2:$Q$301,MATCH($A296,'Scored Accounts'!$A$2:$A$301,0))</f>
        <v>0</v>
      </c>
      <c r="G296" s="2" t="str">
        <f aca="false">INDEX('Scored Accounts'!$R$2:$R$301,MATCH($A296,'Scored Accounts'!$A$2:$A$301,0))</f>
        <v>Low</v>
      </c>
      <c r="H296" s="2" t="str">
        <f aca="false">IF(OR(G296="High",G296="Medium"),"Broker-Reliant",IF(AND(G296="Low",B296="Account Managed"),"AM-Owned / Self-Serving",IF(AND(G296="Low",B296="Self Serve"),"Self-Serve","UNASSIGNED")))</f>
        <v>Self-Serve</v>
      </c>
      <c r="I296" s="9" t="n">
        <v>75</v>
      </c>
      <c r="J296" s="2" t="str">
        <f aca="false">IF(I296&gt;=Assumptions!$B$35,"Key",IF(I296&gt;=Assumptions!$B$34,"Core","Tail"))</f>
        <v>Tail</v>
      </c>
      <c r="K296" s="9" t="n">
        <f aca="false">INDEX('Commercial View'!$R$2:$R$301,MATCH($A296,'Commercial View'!$A$2:$A$301,0))</f>
        <v>75</v>
      </c>
      <c r="L296" s="9" t="n">
        <f aca="false">INDEX('Commercial View'!$S$2:$S$301,MATCH($A296,'Commercial View'!$A$2:$A$301,0))</f>
        <v>0</v>
      </c>
      <c r="M296" s="17" t="n">
        <f aca="false">INDEX('Commercial View'!$T$2:$T$301,MATCH($A296,'Commercial View'!$A$2:$A$301,0))</f>
        <v>-1</v>
      </c>
      <c r="N296" s="2" t="str">
        <f aca="false">INDEX('Commercial View'!$U$2:$U$301,MATCH($A296,'Commercial View'!$A$2:$A$301,0))</f>
        <v>Lapsed</v>
      </c>
      <c r="O296" s="2" t="n">
        <v>1</v>
      </c>
      <c r="P296" s="2" t="n">
        <v>0</v>
      </c>
      <c r="Q296" s="2" t="n">
        <v>1</v>
      </c>
      <c r="R296" s="2" t="n">
        <v>10</v>
      </c>
      <c r="S296" s="2" t="n">
        <v>0</v>
      </c>
      <c r="T296" s="2" t="str">
        <f aca="false">IF(H296="Broker-Reliant",IF(J296="Tail","5. Cost-to-Serve / Low-Touch",IF(OR(N296="Growing",N296="Stable"),"1. Migration Candidate",IF(N296="Declining","2. Protect / Retain First",IF(N296="Lapsed","3. Win-Back / Verify",IF(N296="H2 Active / No H1 GMV","4. Establish / Re-establish / Observe","UNASSIGNED"))))),IF(G296="Low",IF(J296="Tail","9. Long-Tail Automated Nurture",IF(OR(N296="Growing",N296="Stable"),"6. Growth Opportunity",IF(N296="H2 Active / No H1 GMV","7. Onboard / Re-engage / Learn",IF(OR(N296="Declining",N296="Lapsed"),"8. Retention / Reactivation","UNASSIGNED")))),"UNASSIGNED"))</f>
        <v>9. Long-Tail Automated Nurture</v>
      </c>
      <c r="U296" s="10" t="b">
        <f aca="false">AND(T296="1. Migration Candidate",J296="Core",O296&gt;=Assumptions!$B$39,Q296&gt;=Assumptions!$B$40,NOT(Z296))</f>
        <v>0</v>
      </c>
      <c r="V296" s="2" t="n">
        <f aca="false">(AND(H296="Broker-Reliant",J296&lt;&gt;"Tail",OR(N296="Growing",N296="Stable")))*1+(AND(H296="Broker-Reliant",J296&lt;&gt;"Tail",N296="Declining"))*1+(AND(H296="Broker-Reliant",J296&lt;&gt;"Tail",N296="Lapsed"))*1+(AND(H296="Broker-Reliant",J296&lt;&gt;"Tail",N296="H2 Active / No H1 GMV"))*1+(AND(H296="Broker-Reliant",J296="Tail"))*1+(AND(G296="Low",J296&lt;&gt;"Tail",OR(N296="Growing",N296="Stable")))*1+(AND(G296="Low",J296&lt;&gt;"Tail",N296="H2 Active / No H1 GMV"))*1+(AND(G296="Low",J296&lt;&gt;"Tail",OR(N296="Declining",N296="Lapsed")))*1+(AND(G296="Low",J296="Tail"))*1</f>
        <v>1</v>
      </c>
      <c r="W296" s="2" t="n">
        <f aca="false">INDEX('Commercial View'!$V$2:$V$301,MATCH($A296,'Commercial View'!$A$2:$A$301,0))</f>
        <v>1</v>
      </c>
      <c r="X296" s="10" t="b">
        <f aca="false">O296&lt;=Assumptions!$B$30</f>
        <v>1</v>
      </c>
      <c r="Y296" s="10" t="b">
        <f aca="false">W296&lt;=1</f>
        <v>1</v>
      </c>
      <c r="Z296" s="10" t="b">
        <f aca="false">C296="Duplicate"</f>
        <v>0</v>
      </c>
      <c r="AA296" s="10" t="b">
        <f aca="false">C296=""</f>
        <v>1</v>
      </c>
      <c r="AB296" s="2" t="n">
        <f aca="false">IF(P296+Q296&gt;0,ROUND(P296/(P296+Q296)*100,0),"")</f>
        <v>0</v>
      </c>
      <c r="AC296" s="2" t="n">
        <f aca="false">IF(P296+Q296&gt;0,ROUND(E296-P296/(P296+Q296)*100,0),"")</f>
        <v>0</v>
      </c>
      <c r="AD296" s="10" t="b">
        <f aca="false">IF(AC296="",FALSE(),ABS(AC296)&gt;Assumptions!$B$41)</f>
        <v>0</v>
      </c>
      <c r="AE296" s="2" t="str">
        <f aca="false">IF(X296,"Low confidence (&lt;=2 orders); ","")&amp;IF(Y296,"Single-month history; ","")&amp;IF(Z296,"CRITICAL: Duplicate status; ","")&amp;IF(AA296,"Missing status; ","")&amp;IF(AD296,"Broker % vs counts gap "&amp;TEXT(AC296,"+0;-0")&amp;"pts; ","")</f>
        <v>Low confidence (&lt;=2 orders); Single-month history; Missing status; </v>
      </c>
      <c r="AF296" s="2" t="str">
        <f aca="false">IF(AND(K296=0,L296&gt;0),IF(D296&lt;=Assumptions!$B$47,"New Customer","Returned Customer"),"Existing Customer")</f>
        <v>Existing Customer</v>
      </c>
      <c r="AG296" s="10" t="b">
        <f aca="false">AND(T296="1. Migration Candidate",J296="Key")</f>
        <v>0</v>
      </c>
      <c r="AH296" s="10" t="b">
        <f aca="false">IF(AND(K296&gt;0,L296&gt;0),OR(ABS(M296-Assumptions!$B$36)&lt;=Assumptions!$B$46,ABS(M296+Assumptions!$B$36)&lt;=Assumptions!$B$46),FALSE())</f>
        <v>0</v>
      </c>
      <c r="AI296" s="9" t="n">
        <f aca="false">INDEX('Commercial View'!$L$2:$L$301,MATCH($A296,'Commercial View'!$A$2:$A$301,0))+INDEX('Commercial View'!$M$2:$M$301,MATCH($A296,'Commercial View'!$A$2:$A$301,0))</f>
        <v>0</v>
      </c>
      <c r="AJ296" s="2" t="str">
        <f aca="false">IF(AND(K296=0,AI296=0),"No activity ex-Feb",IF(AI296=0,"Lapsed",IF(K296=0,"H2 Active / No H1 GMV",IF((AI296/2)/(K296/3)-1&gt;=Assumptions!$B$36,"Growing",IF((AI296/2)/(K296/3)-1&lt;-Assumptions!$B$36,"Declining","Stable")))))</f>
        <v>Lapsed</v>
      </c>
      <c r="AK296" s="10" t="b">
        <f aca="false">IF(OR(N296="Growing",N296="Stable"),"Healthy",N296)&lt;&gt;IF(OR(AJ296="Growing",AJ296="Stable"),"Healthy",AJ296)</f>
        <v>0</v>
      </c>
      <c r="AL296" s="2" t="str">
        <f aca="false">IF(N296="Lapsed",IF(OR(O296&lt;=Assumptions!$B$48,W296&lt;=Assumptions!$B$49),"One-Off / Insufficient History — Verify","Established Buyer Lapsed"),"N/A")</f>
        <v>One-Off / Insufficient History — Verify</v>
      </c>
      <c r="AM296" s="2" t="n">
        <f aca="false">INDEX('Scored Accounts'!$M$2:$M$301,MATCH($A296,'Scored Accounts'!$A$2:$A$301,0))</f>
        <v>0</v>
      </c>
      <c r="AN296" s="2" t="n">
        <f aca="false">IF((P296/(P296+Q296)*100)&lt;=Assumptions!$B$13,0,IF((P296/(P296+Q296)*100)&lt;Assumptions!$B$14,25,IF((P296/(P296+Q296)*100)&lt;Assumptions!$B$15,50,IF((P296/(P296+Q296)*100)&lt;Assumptions!$B$16,75,100))))</f>
        <v>0</v>
      </c>
      <c r="AO296" s="21" t="n">
        <f aca="false">IF((P296/(P296+Q296)*100)&lt;=Assumptions!$B$8,0,AN296*Assumptions!$B$4+INDEX('Scored Accounts'!$N$2:$N$301,MATCH($A296,'Scored Accounts'!$A$2:$A$301,0))*Assumptions!$B$5+INDEX('Scored Accounts'!$O$2:$O$301,MATCH($A296,'Scored Accounts'!$A$2:$A$301,0))*Assumptions!$B$6)</f>
        <v>0</v>
      </c>
      <c r="AP296" s="2" t="str">
        <f aca="false">IF(AO296&gt;=Assumptions!$B$9,"High",IF(AO296&gt;=Assumptions!$B$10,"Medium","Low"))</f>
        <v>Low</v>
      </c>
      <c r="AQ296" s="10" t="b">
        <f aca="false">OR((E296&lt;=Assumptions!$B$8)&lt;&gt;((P296/(P296+Q296)*100)&lt;=Assumptions!$B$8),AM296&lt;&gt;AN296,G296&lt;&gt;AP296)</f>
        <v>0</v>
      </c>
      <c r="AR296" s="2" t="str">
        <f aca="false">IF(AP296&lt;&gt;"Low","Broker-Reliant",IF(B296="Account Managed","AM-Owned / Self-Serving","Self-Serve"))</f>
        <v>Self-Serve</v>
      </c>
      <c r="AS296" s="2" t="str">
        <f aca="false">IF(AR296="Broker-Reliant",IF(J296="Tail","5. Cost-to-Serve / Low-Touch",IF(OR(N296="Growing",N296="Stable"),"1. Migration Candidate",IF(N296="Declining","2. Protect / Retain First",IF(N296="Lapsed","3. Win-Back / Verify",IF(N296="H2 Active / No H1 GMV","4. Establish / Re-establish / Observe","UNASSIGNED"))))),IF(AP296="Low",IF(J296="Tail","9. Long-Tail Automated Nurture",IF(OR(N296="Growing",N296="Stable"),"6. Growth Opportunity",IF(N296="H2 Active / No H1 GMV","7. Onboard / Re-engage / Learn",IF(OR(N296="Declining",N296="Lapsed"),"8. Retention / Reactivation","UNASSIGNED")))),"UNASSIGNED"))</f>
        <v>9. Long-Tail Automated Nurture</v>
      </c>
      <c r="AT296" s="10" t="b">
        <f aca="false">AS296&lt;&gt;T296</f>
        <v>0</v>
      </c>
      <c r="AU296" s="2" t="str">
        <f aca="false">IF(NOT(U296),"Not Eligible",IF(OR(AQ296,AH296,AK296,NOT(AND(W296&gt;=Assumptions!$B$83,O296&gt;=Assumptions!$B$84))),"Manual Review","Ready"))</f>
        <v>Not Eligible</v>
      </c>
      <c r="AV296" s="2" t="str">
        <f aca="false">IF(AG296,"Key account - human sign-off required; ","")&amp;IF(AH296,"Borderline momentum; ","")&amp;IF(AK296,"February-sensitive ("&amp;N296&amp;" -&gt; "&amp;AJ296&amp;"); ","")&amp;IF(AL296="One-Off / Insufficient History — Verify","Lapsed on thin history - verify; ","")&amp;IF(AQ296,"Material broker % inconsistency (implied tier "&amp;AP296&amp;"); ","")&amp;IF(AT296,"Implied broker % would move segment to "&amp;AS296&amp;"; ","")</f>
        <v>Lapsed on thin history - verify; </v>
      </c>
      <c r="AW296" s="10" t="b">
        <f aca="false">AND(G296="Low",J296="Tail",I296&gt;=Assumptions!$B$64,O296&gt;=Assumptions!$B$65,OR(N296="Growing",N296="Stable",AND(N296="H2 Active / No H1 GMV",W296&gt;=2)),OR(R296&gt;=Assumptions!$B$66,S296&gt;=Assumptions!$B$67))</f>
        <v>0</v>
      </c>
    </row>
    <row r="297" customFormat="false" ht="15" hidden="false" customHeight="false" outlineLevel="0" collapsed="false">
      <c r="A297" s="2" t="s">
        <v>1004</v>
      </c>
      <c r="B297" s="2" t="s">
        <v>1574</v>
      </c>
      <c r="C297" s="2"/>
      <c r="D297" s="2" t="n">
        <v>1</v>
      </c>
      <c r="E297" s="2" t="n">
        <v>0</v>
      </c>
      <c r="F297" s="21" t="n">
        <f aca="false">INDEX('Scored Accounts'!$Q$2:$Q$301,MATCH($A297,'Scored Accounts'!$A$2:$A$301,0))</f>
        <v>0</v>
      </c>
      <c r="G297" s="2" t="str">
        <f aca="false">INDEX('Scored Accounts'!$R$2:$R$301,MATCH($A297,'Scored Accounts'!$A$2:$A$301,0))</f>
        <v>Low</v>
      </c>
      <c r="H297" s="2" t="str">
        <f aca="false">IF(OR(G297="High",G297="Medium"),"Broker-Reliant",IF(AND(G297="Low",B297="Account Managed"),"AM-Owned / Self-Serving",IF(AND(G297="Low",B297="Self Serve"),"Self-Serve","UNASSIGNED")))</f>
        <v>Self-Serve</v>
      </c>
      <c r="I297" s="9" t="n">
        <v>67</v>
      </c>
      <c r="J297" s="2" t="str">
        <f aca="false">IF(I297&gt;=Assumptions!$B$35,"Key",IF(I297&gt;=Assumptions!$B$34,"Core","Tail"))</f>
        <v>Tail</v>
      </c>
      <c r="K297" s="9" t="n">
        <f aca="false">INDEX('Commercial View'!$R$2:$R$301,MATCH($A297,'Commercial View'!$A$2:$A$301,0))</f>
        <v>0</v>
      </c>
      <c r="L297" s="9" t="n">
        <f aca="false">INDEX('Commercial View'!$S$2:$S$301,MATCH($A297,'Commercial View'!$A$2:$A$301,0))</f>
        <v>67</v>
      </c>
      <c r="M297" s="17" t="str">
        <f aca="false">INDEX('Commercial View'!$T$2:$T$301,MATCH($A297,'Commercial View'!$A$2:$A$301,0))</f>
        <v/>
      </c>
      <c r="N297" s="2" t="str">
        <f aca="false">INDEX('Commercial View'!$U$2:$U$301,MATCH($A297,'Commercial View'!$A$2:$A$301,0))</f>
        <v>H2 Active / No H1 GMV</v>
      </c>
      <c r="O297" s="2" t="n">
        <v>1</v>
      </c>
      <c r="P297" s="2" t="n">
        <v>0</v>
      </c>
      <c r="Q297" s="2" t="n">
        <v>1</v>
      </c>
      <c r="R297" s="2" t="n">
        <v>1</v>
      </c>
      <c r="S297" s="2" t="n">
        <v>0</v>
      </c>
      <c r="T297" s="2" t="str">
        <f aca="false">IF(H297="Broker-Reliant",IF(J297="Tail","5. Cost-to-Serve / Low-Touch",IF(OR(N297="Growing",N297="Stable"),"1. Migration Candidate",IF(N297="Declining","2. Protect / Retain First",IF(N297="Lapsed","3. Win-Back / Verify",IF(N297="H2 Active / No H1 GMV","4. Establish / Re-establish / Observe","UNASSIGNED"))))),IF(G297="Low",IF(J297="Tail","9. Long-Tail Automated Nurture",IF(OR(N297="Growing",N297="Stable"),"6. Growth Opportunity",IF(N297="H2 Active / No H1 GMV","7. Onboard / Re-engage / Learn",IF(OR(N297="Declining",N297="Lapsed"),"8. Retention / Reactivation","UNASSIGNED")))),"UNASSIGNED"))</f>
        <v>9. Long-Tail Automated Nurture</v>
      </c>
      <c r="U297" s="10" t="b">
        <f aca="false">AND(T297="1. Migration Candidate",J297="Core",O297&gt;=Assumptions!$B$39,Q297&gt;=Assumptions!$B$40,NOT(Z297))</f>
        <v>0</v>
      </c>
      <c r="V297" s="2" t="n">
        <f aca="false">(AND(H297="Broker-Reliant",J297&lt;&gt;"Tail",OR(N297="Growing",N297="Stable")))*1+(AND(H297="Broker-Reliant",J297&lt;&gt;"Tail",N297="Declining"))*1+(AND(H297="Broker-Reliant",J297&lt;&gt;"Tail",N297="Lapsed"))*1+(AND(H297="Broker-Reliant",J297&lt;&gt;"Tail",N297="H2 Active / No H1 GMV"))*1+(AND(H297="Broker-Reliant",J297="Tail"))*1+(AND(G297="Low",J297&lt;&gt;"Tail",OR(N297="Growing",N297="Stable")))*1+(AND(G297="Low",J297&lt;&gt;"Tail",N297="H2 Active / No H1 GMV"))*1+(AND(G297="Low",J297&lt;&gt;"Tail",OR(N297="Declining",N297="Lapsed")))*1+(AND(G297="Low",J297="Tail"))*1</f>
        <v>1</v>
      </c>
      <c r="W297" s="2" t="n">
        <f aca="false">INDEX('Commercial View'!$V$2:$V$301,MATCH($A297,'Commercial View'!$A$2:$A$301,0))</f>
        <v>1</v>
      </c>
      <c r="X297" s="10" t="b">
        <f aca="false">O297&lt;=Assumptions!$B$30</f>
        <v>1</v>
      </c>
      <c r="Y297" s="10" t="b">
        <f aca="false">W297&lt;=1</f>
        <v>1</v>
      </c>
      <c r="Z297" s="10" t="b">
        <f aca="false">C297="Duplicate"</f>
        <v>0</v>
      </c>
      <c r="AA297" s="10" t="b">
        <f aca="false">C297=""</f>
        <v>1</v>
      </c>
      <c r="AB297" s="2" t="n">
        <f aca="false">IF(P297+Q297&gt;0,ROUND(P297/(P297+Q297)*100,0),"")</f>
        <v>0</v>
      </c>
      <c r="AC297" s="2" t="n">
        <f aca="false">IF(P297+Q297&gt;0,ROUND(E297-P297/(P297+Q297)*100,0),"")</f>
        <v>0</v>
      </c>
      <c r="AD297" s="10" t="b">
        <f aca="false">IF(AC297="",FALSE(),ABS(AC297)&gt;Assumptions!$B$41)</f>
        <v>0</v>
      </c>
      <c r="AE297" s="2" t="str">
        <f aca="false">IF(X297,"Low confidence (&lt;=2 orders); ","")&amp;IF(Y297,"Single-month history; ","")&amp;IF(Z297,"CRITICAL: Duplicate status; ","")&amp;IF(AA297,"Missing status; ","")&amp;IF(AD297,"Broker % vs counts gap "&amp;TEXT(AC297,"+0;-0")&amp;"pts; ","")</f>
        <v>Low confidence (&lt;=2 orders); Single-month history; Missing status; </v>
      </c>
      <c r="AF297" s="2" t="str">
        <f aca="false">IF(AND(K297=0,L297&gt;0),IF(D297&lt;=Assumptions!$B$47,"New Customer","Returned Customer"),"Existing Customer")</f>
        <v>New Customer</v>
      </c>
      <c r="AG297" s="10" t="b">
        <f aca="false">AND(T297="1. Migration Candidate",J297="Key")</f>
        <v>0</v>
      </c>
      <c r="AH297" s="10" t="b">
        <f aca="false">IF(AND(K297&gt;0,L297&gt;0),OR(ABS(M297-Assumptions!$B$36)&lt;=Assumptions!$B$46,ABS(M297+Assumptions!$B$36)&lt;=Assumptions!$B$46),FALSE())</f>
        <v>0</v>
      </c>
      <c r="AI297" s="9" t="n">
        <f aca="false">INDEX('Commercial View'!$L$2:$L$301,MATCH($A297,'Commercial View'!$A$2:$A$301,0))+INDEX('Commercial View'!$M$2:$M$301,MATCH($A297,'Commercial View'!$A$2:$A$301,0))</f>
        <v>0</v>
      </c>
      <c r="AJ297" s="2" t="str">
        <f aca="false">IF(AND(K297=0,AI297=0),"No activity ex-Feb",IF(AI297=0,"Lapsed",IF(K297=0,"H2 Active / No H1 GMV",IF((AI297/2)/(K297/3)-1&gt;=Assumptions!$B$36,"Growing",IF((AI297/2)/(K297/3)-1&lt;-Assumptions!$B$36,"Declining","Stable")))))</f>
        <v>No activity ex-Feb</v>
      </c>
      <c r="AK297" s="10" t="b">
        <f aca="false">IF(OR(N297="Growing",N297="Stable"),"Healthy",N297)&lt;&gt;IF(OR(AJ297="Growing",AJ297="Stable"),"Healthy",AJ297)</f>
        <v>1</v>
      </c>
      <c r="AL297" s="2" t="str">
        <f aca="false">IF(N297="Lapsed",IF(OR(O297&lt;=Assumptions!$B$48,W297&lt;=Assumptions!$B$49),"One-Off / Insufficient History — Verify","Established Buyer Lapsed"),"N/A")</f>
        <v>N/A</v>
      </c>
      <c r="AM297" s="2" t="n">
        <f aca="false">INDEX('Scored Accounts'!$M$2:$M$301,MATCH($A297,'Scored Accounts'!$A$2:$A$301,0))</f>
        <v>0</v>
      </c>
      <c r="AN297" s="2" t="n">
        <f aca="false">IF((P297/(P297+Q297)*100)&lt;=Assumptions!$B$13,0,IF((P297/(P297+Q297)*100)&lt;Assumptions!$B$14,25,IF((P297/(P297+Q297)*100)&lt;Assumptions!$B$15,50,IF((P297/(P297+Q297)*100)&lt;Assumptions!$B$16,75,100))))</f>
        <v>0</v>
      </c>
      <c r="AO297" s="21" t="n">
        <f aca="false">IF((P297/(P297+Q297)*100)&lt;=Assumptions!$B$8,0,AN297*Assumptions!$B$4+INDEX('Scored Accounts'!$N$2:$N$301,MATCH($A297,'Scored Accounts'!$A$2:$A$301,0))*Assumptions!$B$5+INDEX('Scored Accounts'!$O$2:$O$301,MATCH($A297,'Scored Accounts'!$A$2:$A$301,0))*Assumptions!$B$6)</f>
        <v>0</v>
      </c>
      <c r="AP297" s="2" t="str">
        <f aca="false">IF(AO297&gt;=Assumptions!$B$9,"High",IF(AO297&gt;=Assumptions!$B$10,"Medium","Low"))</f>
        <v>Low</v>
      </c>
      <c r="AQ297" s="10" t="b">
        <f aca="false">OR((E297&lt;=Assumptions!$B$8)&lt;&gt;((P297/(P297+Q297)*100)&lt;=Assumptions!$B$8),AM297&lt;&gt;AN297,G297&lt;&gt;AP297)</f>
        <v>0</v>
      </c>
      <c r="AR297" s="2" t="str">
        <f aca="false">IF(AP297&lt;&gt;"Low","Broker-Reliant",IF(B297="Account Managed","AM-Owned / Self-Serving","Self-Serve"))</f>
        <v>Self-Serve</v>
      </c>
      <c r="AS297" s="2" t="str">
        <f aca="false">IF(AR297="Broker-Reliant",IF(J297="Tail","5. Cost-to-Serve / Low-Touch",IF(OR(N297="Growing",N297="Stable"),"1. Migration Candidate",IF(N297="Declining","2. Protect / Retain First",IF(N297="Lapsed","3. Win-Back / Verify",IF(N297="H2 Active / No H1 GMV","4. Establish / Re-establish / Observe","UNASSIGNED"))))),IF(AP297="Low",IF(J297="Tail","9. Long-Tail Automated Nurture",IF(OR(N297="Growing",N297="Stable"),"6. Growth Opportunity",IF(N297="H2 Active / No H1 GMV","7. Onboard / Re-engage / Learn",IF(OR(N297="Declining",N297="Lapsed"),"8. Retention / Reactivation","UNASSIGNED")))),"UNASSIGNED"))</f>
        <v>9. Long-Tail Automated Nurture</v>
      </c>
      <c r="AT297" s="10" t="b">
        <f aca="false">AS297&lt;&gt;T297</f>
        <v>0</v>
      </c>
      <c r="AU297" s="2" t="str">
        <f aca="false">IF(NOT(U297),"Not Eligible",IF(OR(AQ297,AH297,AK297,NOT(AND(W297&gt;=Assumptions!$B$83,O297&gt;=Assumptions!$B$84))),"Manual Review","Ready"))</f>
        <v>Not Eligible</v>
      </c>
      <c r="AV297" s="2" t="str">
        <f aca="false">IF(AG297,"Key account - human sign-off required; ","")&amp;IF(AH297,"Borderline momentum; ","")&amp;IF(AK297,"February-sensitive ("&amp;N297&amp;" -&gt; "&amp;AJ297&amp;"); ","")&amp;IF(AL297="One-Off / Insufficient History — Verify","Lapsed on thin history - verify; ","")&amp;IF(AQ297,"Material broker % inconsistency (implied tier "&amp;AP297&amp;"); ","")&amp;IF(AT297,"Implied broker % would move segment to "&amp;AS297&amp;"; ","")</f>
        <v>February-sensitive (H2 Active / No H1 GMV -&gt; No activity ex-Feb); </v>
      </c>
      <c r="AW297" s="10" t="b">
        <f aca="false">AND(G297="Low",J297="Tail",I297&gt;=Assumptions!$B$64,O297&gt;=Assumptions!$B$65,OR(N297="Growing",N297="Stable",AND(N297="H2 Active / No H1 GMV",W297&gt;=2)),OR(R297&gt;=Assumptions!$B$66,S297&gt;=Assumptions!$B$67))</f>
        <v>0</v>
      </c>
    </row>
    <row r="298" customFormat="false" ht="15" hidden="false" customHeight="false" outlineLevel="0" collapsed="false">
      <c r="A298" s="2" t="s">
        <v>1006</v>
      </c>
      <c r="B298" s="2" t="s">
        <v>1574</v>
      </c>
      <c r="C298" s="2"/>
      <c r="D298" s="2" t="n">
        <v>6</v>
      </c>
      <c r="E298" s="2" t="n">
        <v>0</v>
      </c>
      <c r="F298" s="21" t="n">
        <f aca="false">INDEX('Scored Accounts'!$Q$2:$Q$301,MATCH($A298,'Scored Accounts'!$A$2:$A$301,0))</f>
        <v>0</v>
      </c>
      <c r="G298" s="2" t="str">
        <f aca="false">INDEX('Scored Accounts'!$R$2:$R$301,MATCH($A298,'Scored Accounts'!$A$2:$A$301,0))</f>
        <v>Low</v>
      </c>
      <c r="H298" s="2" t="str">
        <f aca="false">IF(OR(G298="High",G298="Medium"),"Broker-Reliant",IF(AND(G298="Low",B298="Account Managed"),"AM-Owned / Self-Serving",IF(AND(G298="Low",B298="Self Serve"),"Self-Serve","UNASSIGNED")))</f>
        <v>Self-Serve</v>
      </c>
      <c r="I298" s="9" t="n">
        <v>61</v>
      </c>
      <c r="J298" s="2" t="str">
        <f aca="false">IF(I298&gt;=Assumptions!$B$35,"Key",IF(I298&gt;=Assumptions!$B$34,"Core","Tail"))</f>
        <v>Tail</v>
      </c>
      <c r="K298" s="9" t="n">
        <f aca="false">INDEX('Commercial View'!$R$2:$R$301,MATCH($A298,'Commercial View'!$A$2:$A$301,0))</f>
        <v>61</v>
      </c>
      <c r="L298" s="9" t="n">
        <f aca="false">INDEX('Commercial View'!$S$2:$S$301,MATCH($A298,'Commercial View'!$A$2:$A$301,0))</f>
        <v>0</v>
      </c>
      <c r="M298" s="17" t="n">
        <f aca="false">INDEX('Commercial View'!$T$2:$T$301,MATCH($A298,'Commercial View'!$A$2:$A$301,0))</f>
        <v>-1</v>
      </c>
      <c r="N298" s="2" t="str">
        <f aca="false">INDEX('Commercial View'!$U$2:$U$301,MATCH($A298,'Commercial View'!$A$2:$A$301,0))</f>
        <v>Lapsed</v>
      </c>
      <c r="O298" s="2" t="n">
        <v>1</v>
      </c>
      <c r="P298" s="2" t="n">
        <v>0</v>
      </c>
      <c r="Q298" s="2" t="n">
        <v>1</v>
      </c>
      <c r="R298" s="2" t="n">
        <v>7</v>
      </c>
      <c r="S298" s="2" t="n">
        <v>1</v>
      </c>
      <c r="T298" s="2" t="str">
        <f aca="false">IF(H298="Broker-Reliant",IF(J298="Tail","5. Cost-to-Serve / Low-Touch",IF(OR(N298="Growing",N298="Stable"),"1. Migration Candidate",IF(N298="Declining","2. Protect / Retain First",IF(N298="Lapsed","3. Win-Back / Verify",IF(N298="H2 Active / No H1 GMV","4. Establish / Re-establish / Observe","UNASSIGNED"))))),IF(G298="Low",IF(J298="Tail","9. Long-Tail Automated Nurture",IF(OR(N298="Growing",N298="Stable"),"6. Growth Opportunity",IF(N298="H2 Active / No H1 GMV","7. Onboard / Re-engage / Learn",IF(OR(N298="Declining",N298="Lapsed"),"8. Retention / Reactivation","UNASSIGNED")))),"UNASSIGNED"))</f>
        <v>9. Long-Tail Automated Nurture</v>
      </c>
      <c r="U298" s="10" t="b">
        <f aca="false">AND(T298="1. Migration Candidate",J298="Core",O298&gt;=Assumptions!$B$39,Q298&gt;=Assumptions!$B$40,NOT(Z298))</f>
        <v>0</v>
      </c>
      <c r="V298" s="2" t="n">
        <f aca="false">(AND(H298="Broker-Reliant",J298&lt;&gt;"Tail",OR(N298="Growing",N298="Stable")))*1+(AND(H298="Broker-Reliant",J298&lt;&gt;"Tail",N298="Declining"))*1+(AND(H298="Broker-Reliant",J298&lt;&gt;"Tail",N298="Lapsed"))*1+(AND(H298="Broker-Reliant",J298&lt;&gt;"Tail",N298="H2 Active / No H1 GMV"))*1+(AND(H298="Broker-Reliant",J298="Tail"))*1+(AND(G298="Low",J298&lt;&gt;"Tail",OR(N298="Growing",N298="Stable")))*1+(AND(G298="Low",J298&lt;&gt;"Tail",N298="H2 Active / No H1 GMV"))*1+(AND(G298="Low",J298&lt;&gt;"Tail",OR(N298="Declining",N298="Lapsed")))*1+(AND(G298="Low",J298="Tail"))*1</f>
        <v>1</v>
      </c>
      <c r="W298" s="2" t="n">
        <f aca="false">INDEX('Commercial View'!$V$2:$V$301,MATCH($A298,'Commercial View'!$A$2:$A$301,0))</f>
        <v>1</v>
      </c>
      <c r="X298" s="10" t="b">
        <f aca="false">O298&lt;=Assumptions!$B$30</f>
        <v>1</v>
      </c>
      <c r="Y298" s="10" t="b">
        <f aca="false">W298&lt;=1</f>
        <v>1</v>
      </c>
      <c r="Z298" s="10" t="b">
        <f aca="false">C298="Duplicate"</f>
        <v>0</v>
      </c>
      <c r="AA298" s="10" t="b">
        <f aca="false">C298=""</f>
        <v>1</v>
      </c>
      <c r="AB298" s="2" t="n">
        <f aca="false">IF(P298+Q298&gt;0,ROUND(P298/(P298+Q298)*100,0),"")</f>
        <v>0</v>
      </c>
      <c r="AC298" s="2" t="n">
        <f aca="false">IF(P298+Q298&gt;0,ROUND(E298-P298/(P298+Q298)*100,0),"")</f>
        <v>0</v>
      </c>
      <c r="AD298" s="10" t="b">
        <f aca="false">IF(AC298="",FALSE(),ABS(AC298)&gt;Assumptions!$B$41)</f>
        <v>0</v>
      </c>
      <c r="AE298" s="2" t="str">
        <f aca="false">IF(X298,"Low confidence (&lt;=2 orders); ","")&amp;IF(Y298,"Single-month history; ","")&amp;IF(Z298,"CRITICAL: Duplicate status; ","")&amp;IF(AA298,"Missing status; ","")&amp;IF(AD298,"Broker % vs counts gap "&amp;TEXT(AC298,"+0;-0")&amp;"pts; ","")</f>
        <v>Low confidence (&lt;=2 orders); Single-month history; Missing status; </v>
      </c>
      <c r="AF298" s="2" t="str">
        <f aca="false">IF(AND(K298=0,L298&gt;0),IF(D298&lt;=Assumptions!$B$47,"New Customer","Returned Customer"),"Existing Customer")</f>
        <v>Existing Customer</v>
      </c>
      <c r="AG298" s="10" t="b">
        <f aca="false">AND(T298="1. Migration Candidate",J298="Key")</f>
        <v>0</v>
      </c>
      <c r="AH298" s="10" t="b">
        <f aca="false">IF(AND(K298&gt;0,L298&gt;0),OR(ABS(M298-Assumptions!$B$36)&lt;=Assumptions!$B$46,ABS(M298+Assumptions!$B$36)&lt;=Assumptions!$B$46),FALSE())</f>
        <v>0</v>
      </c>
      <c r="AI298" s="9" t="n">
        <f aca="false">INDEX('Commercial View'!$L$2:$L$301,MATCH($A298,'Commercial View'!$A$2:$A$301,0))+INDEX('Commercial View'!$M$2:$M$301,MATCH($A298,'Commercial View'!$A$2:$A$301,0))</f>
        <v>0</v>
      </c>
      <c r="AJ298" s="2" t="str">
        <f aca="false">IF(AND(K298=0,AI298=0),"No activity ex-Feb",IF(AI298=0,"Lapsed",IF(K298=0,"H2 Active / No H1 GMV",IF((AI298/2)/(K298/3)-1&gt;=Assumptions!$B$36,"Growing",IF((AI298/2)/(K298/3)-1&lt;-Assumptions!$B$36,"Declining","Stable")))))</f>
        <v>Lapsed</v>
      </c>
      <c r="AK298" s="10" t="b">
        <f aca="false">IF(OR(N298="Growing",N298="Stable"),"Healthy",N298)&lt;&gt;IF(OR(AJ298="Growing",AJ298="Stable"),"Healthy",AJ298)</f>
        <v>0</v>
      </c>
      <c r="AL298" s="2" t="str">
        <f aca="false">IF(N298="Lapsed",IF(OR(O298&lt;=Assumptions!$B$48,W298&lt;=Assumptions!$B$49),"One-Off / Insufficient History — Verify","Established Buyer Lapsed"),"N/A")</f>
        <v>One-Off / Insufficient History — Verify</v>
      </c>
      <c r="AM298" s="2" t="n">
        <f aca="false">INDEX('Scored Accounts'!$M$2:$M$301,MATCH($A298,'Scored Accounts'!$A$2:$A$301,0))</f>
        <v>0</v>
      </c>
      <c r="AN298" s="2" t="n">
        <f aca="false">IF((P298/(P298+Q298)*100)&lt;=Assumptions!$B$13,0,IF((P298/(P298+Q298)*100)&lt;Assumptions!$B$14,25,IF((P298/(P298+Q298)*100)&lt;Assumptions!$B$15,50,IF((P298/(P298+Q298)*100)&lt;Assumptions!$B$16,75,100))))</f>
        <v>0</v>
      </c>
      <c r="AO298" s="21" t="n">
        <f aca="false">IF((P298/(P298+Q298)*100)&lt;=Assumptions!$B$8,0,AN298*Assumptions!$B$4+INDEX('Scored Accounts'!$N$2:$N$301,MATCH($A298,'Scored Accounts'!$A$2:$A$301,0))*Assumptions!$B$5+INDEX('Scored Accounts'!$O$2:$O$301,MATCH($A298,'Scored Accounts'!$A$2:$A$301,0))*Assumptions!$B$6)</f>
        <v>0</v>
      </c>
      <c r="AP298" s="2" t="str">
        <f aca="false">IF(AO298&gt;=Assumptions!$B$9,"High",IF(AO298&gt;=Assumptions!$B$10,"Medium","Low"))</f>
        <v>Low</v>
      </c>
      <c r="AQ298" s="10" t="b">
        <f aca="false">OR((E298&lt;=Assumptions!$B$8)&lt;&gt;((P298/(P298+Q298)*100)&lt;=Assumptions!$B$8),AM298&lt;&gt;AN298,G298&lt;&gt;AP298)</f>
        <v>0</v>
      </c>
      <c r="AR298" s="2" t="str">
        <f aca="false">IF(AP298&lt;&gt;"Low","Broker-Reliant",IF(B298="Account Managed","AM-Owned / Self-Serving","Self-Serve"))</f>
        <v>Self-Serve</v>
      </c>
      <c r="AS298" s="2" t="str">
        <f aca="false">IF(AR298="Broker-Reliant",IF(J298="Tail","5. Cost-to-Serve / Low-Touch",IF(OR(N298="Growing",N298="Stable"),"1. Migration Candidate",IF(N298="Declining","2. Protect / Retain First",IF(N298="Lapsed","3. Win-Back / Verify",IF(N298="H2 Active / No H1 GMV","4. Establish / Re-establish / Observe","UNASSIGNED"))))),IF(AP298="Low",IF(J298="Tail","9. Long-Tail Automated Nurture",IF(OR(N298="Growing",N298="Stable"),"6. Growth Opportunity",IF(N298="H2 Active / No H1 GMV","7. Onboard / Re-engage / Learn",IF(OR(N298="Declining",N298="Lapsed"),"8. Retention / Reactivation","UNASSIGNED")))),"UNASSIGNED"))</f>
        <v>9. Long-Tail Automated Nurture</v>
      </c>
      <c r="AT298" s="10" t="b">
        <f aca="false">AS298&lt;&gt;T298</f>
        <v>0</v>
      </c>
      <c r="AU298" s="2" t="str">
        <f aca="false">IF(NOT(U298),"Not Eligible",IF(OR(AQ298,AH298,AK298,NOT(AND(W298&gt;=Assumptions!$B$83,O298&gt;=Assumptions!$B$84))),"Manual Review","Ready"))</f>
        <v>Not Eligible</v>
      </c>
      <c r="AV298" s="2" t="str">
        <f aca="false">IF(AG298,"Key account - human sign-off required; ","")&amp;IF(AH298,"Borderline momentum; ","")&amp;IF(AK298,"February-sensitive ("&amp;N298&amp;" -&gt; "&amp;AJ298&amp;"); ","")&amp;IF(AL298="One-Off / Insufficient History — Verify","Lapsed on thin history - verify; ","")&amp;IF(AQ298,"Material broker % inconsistency (implied tier "&amp;AP298&amp;"); ","")&amp;IF(AT298,"Implied broker % would move segment to "&amp;AS298&amp;"; ","")</f>
        <v>Lapsed on thin history - verify; </v>
      </c>
      <c r="AW298" s="10" t="b">
        <f aca="false">AND(G298="Low",J298="Tail",I298&gt;=Assumptions!$B$64,O298&gt;=Assumptions!$B$65,OR(N298="Growing",N298="Stable",AND(N298="H2 Active / No H1 GMV",W298&gt;=2)),OR(R298&gt;=Assumptions!$B$66,S298&gt;=Assumptions!$B$67))</f>
        <v>0</v>
      </c>
    </row>
    <row r="299" customFormat="false" ht="15" hidden="false" customHeight="false" outlineLevel="0" collapsed="false">
      <c r="A299" s="2" t="s">
        <v>1008</v>
      </c>
      <c r="B299" s="2" t="s">
        <v>1574</v>
      </c>
      <c r="C299" s="2"/>
      <c r="D299" s="2" t="n">
        <v>1</v>
      </c>
      <c r="E299" s="2" t="n">
        <v>0</v>
      </c>
      <c r="F299" s="21" t="n">
        <f aca="false">INDEX('Scored Accounts'!$Q$2:$Q$301,MATCH($A299,'Scored Accounts'!$A$2:$A$301,0))</f>
        <v>0</v>
      </c>
      <c r="G299" s="2" t="str">
        <f aca="false">INDEX('Scored Accounts'!$R$2:$R$301,MATCH($A299,'Scored Accounts'!$A$2:$A$301,0))</f>
        <v>Low</v>
      </c>
      <c r="H299" s="2" t="str">
        <f aca="false">IF(OR(G299="High",G299="Medium"),"Broker-Reliant",IF(AND(G299="Low",B299="Account Managed"),"AM-Owned / Self-Serving",IF(AND(G299="Low",B299="Self Serve"),"Self-Serve","UNASSIGNED")))</f>
        <v>Self-Serve</v>
      </c>
      <c r="I299" s="9" t="n">
        <v>61</v>
      </c>
      <c r="J299" s="2" t="str">
        <f aca="false">IF(I299&gt;=Assumptions!$B$35,"Key",IF(I299&gt;=Assumptions!$B$34,"Core","Tail"))</f>
        <v>Tail</v>
      </c>
      <c r="K299" s="9" t="n">
        <f aca="false">INDEX('Commercial View'!$R$2:$R$301,MATCH($A299,'Commercial View'!$A$2:$A$301,0))</f>
        <v>0</v>
      </c>
      <c r="L299" s="9" t="n">
        <f aca="false">INDEX('Commercial View'!$S$2:$S$301,MATCH($A299,'Commercial View'!$A$2:$A$301,0))</f>
        <v>61</v>
      </c>
      <c r="M299" s="17" t="str">
        <f aca="false">INDEX('Commercial View'!$T$2:$T$301,MATCH($A299,'Commercial View'!$A$2:$A$301,0))</f>
        <v/>
      </c>
      <c r="N299" s="2" t="str">
        <f aca="false">INDEX('Commercial View'!$U$2:$U$301,MATCH($A299,'Commercial View'!$A$2:$A$301,0))</f>
        <v>H2 Active / No H1 GMV</v>
      </c>
      <c r="O299" s="2" t="n">
        <v>1</v>
      </c>
      <c r="P299" s="2" t="n">
        <v>0</v>
      </c>
      <c r="Q299" s="2" t="n">
        <v>1</v>
      </c>
      <c r="R299" s="2" t="n">
        <v>1</v>
      </c>
      <c r="S299" s="2" t="n">
        <v>0</v>
      </c>
      <c r="T299" s="2" t="str">
        <f aca="false">IF(H299="Broker-Reliant",IF(J299="Tail","5. Cost-to-Serve / Low-Touch",IF(OR(N299="Growing",N299="Stable"),"1. Migration Candidate",IF(N299="Declining","2. Protect / Retain First",IF(N299="Lapsed","3. Win-Back / Verify",IF(N299="H2 Active / No H1 GMV","4. Establish / Re-establish / Observe","UNASSIGNED"))))),IF(G299="Low",IF(J299="Tail","9. Long-Tail Automated Nurture",IF(OR(N299="Growing",N299="Stable"),"6. Growth Opportunity",IF(N299="H2 Active / No H1 GMV","7. Onboard / Re-engage / Learn",IF(OR(N299="Declining",N299="Lapsed"),"8. Retention / Reactivation","UNASSIGNED")))),"UNASSIGNED"))</f>
        <v>9. Long-Tail Automated Nurture</v>
      </c>
      <c r="U299" s="10" t="b">
        <f aca="false">AND(T299="1. Migration Candidate",J299="Core",O299&gt;=Assumptions!$B$39,Q299&gt;=Assumptions!$B$40,NOT(Z299))</f>
        <v>0</v>
      </c>
      <c r="V299" s="2" t="n">
        <f aca="false">(AND(H299="Broker-Reliant",J299&lt;&gt;"Tail",OR(N299="Growing",N299="Stable")))*1+(AND(H299="Broker-Reliant",J299&lt;&gt;"Tail",N299="Declining"))*1+(AND(H299="Broker-Reliant",J299&lt;&gt;"Tail",N299="Lapsed"))*1+(AND(H299="Broker-Reliant",J299&lt;&gt;"Tail",N299="H2 Active / No H1 GMV"))*1+(AND(H299="Broker-Reliant",J299="Tail"))*1+(AND(G299="Low",J299&lt;&gt;"Tail",OR(N299="Growing",N299="Stable")))*1+(AND(G299="Low",J299&lt;&gt;"Tail",N299="H2 Active / No H1 GMV"))*1+(AND(G299="Low",J299&lt;&gt;"Tail",OR(N299="Declining",N299="Lapsed")))*1+(AND(G299="Low",J299="Tail"))*1</f>
        <v>1</v>
      </c>
      <c r="W299" s="2" t="n">
        <f aca="false">INDEX('Commercial View'!$V$2:$V$301,MATCH($A299,'Commercial View'!$A$2:$A$301,0))</f>
        <v>1</v>
      </c>
      <c r="X299" s="10" t="b">
        <f aca="false">O299&lt;=Assumptions!$B$30</f>
        <v>1</v>
      </c>
      <c r="Y299" s="10" t="b">
        <f aca="false">W299&lt;=1</f>
        <v>1</v>
      </c>
      <c r="Z299" s="10" t="b">
        <f aca="false">C299="Duplicate"</f>
        <v>0</v>
      </c>
      <c r="AA299" s="10" t="b">
        <f aca="false">C299=""</f>
        <v>1</v>
      </c>
      <c r="AB299" s="2" t="n">
        <f aca="false">IF(P299+Q299&gt;0,ROUND(P299/(P299+Q299)*100,0),"")</f>
        <v>0</v>
      </c>
      <c r="AC299" s="2" t="n">
        <f aca="false">IF(P299+Q299&gt;0,ROUND(E299-P299/(P299+Q299)*100,0),"")</f>
        <v>0</v>
      </c>
      <c r="AD299" s="10" t="b">
        <f aca="false">IF(AC299="",FALSE(),ABS(AC299)&gt;Assumptions!$B$41)</f>
        <v>0</v>
      </c>
      <c r="AE299" s="2" t="str">
        <f aca="false">IF(X299,"Low confidence (&lt;=2 orders); ","")&amp;IF(Y299,"Single-month history; ","")&amp;IF(Z299,"CRITICAL: Duplicate status; ","")&amp;IF(AA299,"Missing status; ","")&amp;IF(AD299,"Broker % vs counts gap "&amp;TEXT(AC299,"+0;-0")&amp;"pts; ","")</f>
        <v>Low confidence (&lt;=2 orders); Single-month history; Missing status; </v>
      </c>
      <c r="AF299" s="2" t="str">
        <f aca="false">IF(AND(K299=0,L299&gt;0),IF(D299&lt;=Assumptions!$B$47,"New Customer","Returned Customer"),"Existing Customer")</f>
        <v>New Customer</v>
      </c>
      <c r="AG299" s="10" t="b">
        <f aca="false">AND(T299="1. Migration Candidate",J299="Key")</f>
        <v>0</v>
      </c>
      <c r="AH299" s="10" t="b">
        <f aca="false">IF(AND(K299&gt;0,L299&gt;0),OR(ABS(M299-Assumptions!$B$36)&lt;=Assumptions!$B$46,ABS(M299+Assumptions!$B$36)&lt;=Assumptions!$B$46),FALSE())</f>
        <v>0</v>
      </c>
      <c r="AI299" s="9" t="n">
        <f aca="false">INDEX('Commercial View'!$L$2:$L$301,MATCH($A299,'Commercial View'!$A$2:$A$301,0))+INDEX('Commercial View'!$M$2:$M$301,MATCH($A299,'Commercial View'!$A$2:$A$301,0))</f>
        <v>0</v>
      </c>
      <c r="AJ299" s="2" t="str">
        <f aca="false">IF(AND(K299=0,AI299=0),"No activity ex-Feb",IF(AI299=0,"Lapsed",IF(K299=0,"H2 Active / No H1 GMV",IF((AI299/2)/(K299/3)-1&gt;=Assumptions!$B$36,"Growing",IF((AI299/2)/(K299/3)-1&lt;-Assumptions!$B$36,"Declining","Stable")))))</f>
        <v>No activity ex-Feb</v>
      </c>
      <c r="AK299" s="10" t="b">
        <f aca="false">IF(OR(N299="Growing",N299="Stable"),"Healthy",N299)&lt;&gt;IF(OR(AJ299="Growing",AJ299="Stable"),"Healthy",AJ299)</f>
        <v>1</v>
      </c>
      <c r="AL299" s="2" t="str">
        <f aca="false">IF(N299="Lapsed",IF(OR(O299&lt;=Assumptions!$B$48,W299&lt;=Assumptions!$B$49),"One-Off / Insufficient History — Verify","Established Buyer Lapsed"),"N/A")</f>
        <v>N/A</v>
      </c>
      <c r="AM299" s="2" t="n">
        <f aca="false">INDEX('Scored Accounts'!$M$2:$M$301,MATCH($A299,'Scored Accounts'!$A$2:$A$301,0))</f>
        <v>0</v>
      </c>
      <c r="AN299" s="2" t="n">
        <f aca="false">IF((P299/(P299+Q299)*100)&lt;=Assumptions!$B$13,0,IF((P299/(P299+Q299)*100)&lt;Assumptions!$B$14,25,IF((P299/(P299+Q299)*100)&lt;Assumptions!$B$15,50,IF((P299/(P299+Q299)*100)&lt;Assumptions!$B$16,75,100))))</f>
        <v>0</v>
      </c>
      <c r="AO299" s="21" t="n">
        <f aca="false">IF((P299/(P299+Q299)*100)&lt;=Assumptions!$B$8,0,AN299*Assumptions!$B$4+INDEX('Scored Accounts'!$N$2:$N$301,MATCH($A299,'Scored Accounts'!$A$2:$A$301,0))*Assumptions!$B$5+INDEX('Scored Accounts'!$O$2:$O$301,MATCH($A299,'Scored Accounts'!$A$2:$A$301,0))*Assumptions!$B$6)</f>
        <v>0</v>
      </c>
      <c r="AP299" s="2" t="str">
        <f aca="false">IF(AO299&gt;=Assumptions!$B$9,"High",IF(AO299&gt;=Assumptions!$B$10,"Medium","Low"))</f>
        <v>Low</v>
      </c>
      <c r="AQ299" s="10" t="b">
        <f aca="false">OR((E299&lt;=Assumptions!$B$8)&lt;&gt;((P299/(P299+Q299)*100)&lt;=Assumptions!$B$8),AM299&lt;&gt;AN299,G299&lt;&gt;AP299)</f>
        <v>0</v>
      </c>
      <c r="AR299" s="2" t="str">
        <f aca="false">IF(AP299&lt;&gt;"Low","Broker-Reliant",IF(B299="Account Managed","AM-Owned / Self-Serving","Self-Serve"))</f>
        <v>Self-Serve</v>
      </c>
      <c r="AS299" s="2" t="str">
        <f aca="false">IF(AR299="Broker-Reliant",IF(J299="Tail","5. Cost-to-Serve / Low-Touch",IF(OR(N299="Growing",N299="Stable"),"1. Migration Candidate",IF(N299="Declining","2. Protect / Retain First",IF(N299="Lapsed","3. Win-Back / Verify",IF(N299="H2 Active / No H1 GMV","4. Establish / Re-establish / Observe","UNASSIGNED"))))),IF(AP299="Low",IF(J299="Tail","9. Long-Tail Automated Nurture",IF(OR(N299="Growing",N299="Stable"),"6. Growth Opportunity",IF(N299="H2 Active / No H1 GMV","7. Onboard / Re-engage / Learn",IF(OR(N299="Declining",N299="Lapsed"),"8. Retention / Reactivation","UNASSIGNED")))),"UNASSIGNED"))</f>
        <v>9. Long-Tail Automated Nurture</v>
      </c>
      <c r="AT299" s="10" t="b">
        <f aca="false">AS299&lt;&gt;T299</f>
        <v>0</v>
      </c>
      <c r="AU299" s="2" t="str">
        <f aca="false">IF(NOT(U299),"Not Eligible",IF(OR(AQ299,AH299,AK299,NOT(AND(W299&gt;=Assumptions!$B$83,O299&gt;=Assumptions!$B$84))),"Manual Review","Ready"))</f>
        <v>Not Eligible</v>
      </c>
      <c r="AV299" s="2" t="str">
        <f aca="false">IF(AG299,"Key account - human sign-off required; ","")&amp;IF(AH299,"Borderline momentum; ","")&amp;IF(AK299,"February-sensitive ("&amp;N299&amp;" -&gt; "&amp;AJ299&amp;"); ","")&amp;IF(AL299="One-Off / Insufficient History — Verify","Lapsed on thin history - verify; ","")&amp;IF(AQ299,"Material broker % inconsistency (implied tier "&amp;AP299&amp;"); ","")&amp;IF(AT299,"Implied broker % would move segment to "&amp;AS299&amp;"; ","")</f>
        <v>February-sensitive (H2 Active / No H1 GMV -&gt; No activity ex-Feb); </v>
      </c>
      <c r="AW299" s="10" t="b">
        <f aca="false">AND(G299="Low",J299="Tail",I299&gt;=Assumptions!$B$64,O299&gt;=Assumptions!$B$65,OR(N299="Growing",N299="Stable",AND(N299="H2 Active / No H1 GMV",W299&gt;=2)),OR(R299&gt;=Assumptions!$B$66,S299&gt;=Assumptions!$B$67))</f>
        <v>0</v>
      </c>
    </row>
    <row r="300" customFormat="false" ht="15" hidden="false" customHeight="false" outlineLevel="0" collapsed="false">
      <c r="A300" s="2" t="s">
        <v>1010</v>
      </c>
      <c r="B300" s="2" t="s">
        <v>1574</v>
      </c>
      <c r="C300" s="2"/>
      <c r="D300" s="2" t="n">
        <v>4</v>
      </c>
      <c r="E300" s="2" t="n">
        <v>0</v>
      </c>
      <c r="F300" s="21" t="n">
        <f aca="false">INDEX('Scored Accounts'!$Q$2:$Q$301,MATCH($A300,'Scored Accounts'!$A$2:$A$301,0))</f>
        <v>0</v>
      </c>
      <c r="G300" s="2" t="str">
        <f aca="false">INDEX('Scored Accounts'!$R$2:$R$301,MATCH($A300,'Scored Accounts'!$A$2:$A$301,0))</f>
        <v>Low</v>
      </c>
      <c r="H300" s="2" t="str">
        <f aca="false">IF(OR(G300="High",G300="Medium"),"Broker-Reliant",IF(AND(G300="Low",B300="Account Managed"),"AM-Owned / Self-Serving",IF(AND(G300="Low",B300="Self Serve"),"Self-Serve","UNASSIGNED")))</f>
        <v>Self-Serve</v>
      </c>
      <c r="I300" s="9" t="n">
        <v>58</v>
      </c>
      <c r="J300" s="2" t="str">
        <f aca="false">IF(I300&gt;=Assumptions!$B$35,"Key",IF(I300&gt;=Assumptions!$B$34,"Core","Tail"))</f>
        <v>Tail</v>
      </c>
      <c r="K300" s="9" t="n">
        <f aca="false">INDEX('Commercial View'!$R$2:$R$301,MATCH($A300,'Commercial View'!$A$2:$A$301,0))</f>
        <v>58</v>
      </c>
      <c r="L300" s="9" t="n">
        <f aca="false">INDEX('Commercial View'!$S$2:$S$301,MATCH($A300,'Commercial View'!$A$2:$A$301,0))</f>
        <v>0</v>
      </c>
      <c r="M300" s="17" t="n">
        <f aca="false">INDEX('Commercial View'!$T$2:$T$301,MATCH($A300,'Commercial View'!$A$2:$A$301,0))</f>
        <v>-1</v>
      </c>
      <c r="N300" s="2" t="str">
        <f aca="false">INDEX('Commercial View'!$U$2:$U$301,MATCH($A300,'Commercial View'!$A$2:$A$301,0))</f>
        <v>Lapsed</v>
      </c>
      <c r="O300" s="2" t="n">
        <v>1</v>
      </c>
      <c r="P300" s="2" t="n">
        <v>0</v>
      </c>
      <c r="Q300" s="2" t="n">
        <v>1</v>
      </c>
      <c r="R300" s="2" t="n">
        <v>4</v>
      </c>
      <c r="S300" s="2" t="n">
        <v>0</v>
      </c>
      <c r="T300" s="2" t="str">
        <f aca="false">IF(H300="Broker-Reliant",IF(J300="Tail","5. Cost-to-Serve / Low-Touch",IF(OR(N300="Growing",N300="Stable"),"1. Migration Candidate",IF(N300="Declining","2. Protect / Retain First",IF(N300="Lapsed","3. Win-Back / Verify",IF(N300="H2 Active / No H1 GMV","4. Establish / Re-establish / Observe","UNASSIGNED"))))),IF(G300="Low",IF(J300="Tail","9. Long-Tail Automated Nurture",IF(OR(N300="Growing",N300="Stable"),"6. Growth Opportunity",IF(N300="H2 Active / No H1 GMV","7. Onboard / Re-engage / Learn",IF(OR(N300="Declining",N300="Lapsed"),"8. Retention / Reactivation","UNASSIGNED")))),"UNASSIGNED"))</f>
        <v>9. Long-Tail Automated Nurture</v>
      </c>
      <c r="U300" s="10" t="b">
        <f aca="false">AND(T300="1. Migration Candidate",J300="Core",O300&gt;=Assumptions!$B$39,Q300&gt;=Assumptions!$B$40,NOT(Z300))</f>
        <v>0</v>
      </c>
      <c r="V300" s="2" t="n">
        <f aca="false">(AND(H300="Broker-Reliant",J300&lt;&gt;"Tail",OR(N300="Growing",N300="Stable")))*1+(AND(H300="Broker-Reliant",J300&lt;&gt;"Tail",N300="Declining"))*1+(AND(H300="Broker-Reliant",J300&lt;&gt;"Tail",N300="Lapsed"))*1+(AND(H300="Broker-Reliant",J300&lt;&gt;"Tail",N300="H2 Active / No H1 GMV"))*1+(AND(H300="Broker-Reliant",J300="Tail"))*1+(AND(G300="Low",J300&lt;&gt;"Tail",OR(N300="Growing",N300="Stable")))*1+(AND(G300="Low",J300&lt;&gt;"Tail",N300="H2 Active / No H1 GMV"))*1+(AND(G300="Low",J300&lt;&gt;"Tail",OR(N300="Declining",N300="Lapsed")))*1+(AND(G300="Low",J300="Tail"))*1</f>
        <v>1</v>
      </c>
      <c r="W300" s="2" t="n">
        <f aca="false">INDEX('Commercial View'!$V$2:$V$301,MATCH($A300,'Commercial View'!$A$2:$A$301,0))</f>
        <v>1</v>
      </c>
      <c r="X300" s="10" t="b">
        <f aca="false">O300&lt;=Assumptions!$B$30</f>
        <v>1</v>
      </c>
      <c r="Y300" s="10" t="b">
        <f aca="false">W300&lt;=1</f>
        <v>1</v>
      </c>
      <c r="Z300" s="10" t="b">
        <f aca="false">C300="Duplicate"</f>
        <v>0</v>
      </c>
      <c r="AA300" s="10" t="b">
        <f aca="false">C300=""</f>
        <v>1</v>
      </c>
      <c r="AB300" s="2" t="n">
        <f aca="false">IF(P300+Q300&gt;0,ROUND(P300/(P300+Q300)*100,0),"")</f>
        <v>0</v>
      </c>
      <c r="AC300" s="2" t="n">
        <f aca="false">IF(P300+Q300&gt;0,ROUND(E300-P300/(P300+Q300)*100,0),"")</f>
        <v>0</v>
      </c>
      <c r="AD300" s="10" t="b">
        <f aca="false">IF(AC300="",FALSE(),ABS(AC300)&gt;Assumptions!$B$41)</f>
        <v>0</v>
      </c>
      <c r="AE300" s="2" t="str">
        <f aca="false">IF(X300,"Low confidence (&lt;=2 orders); ","")&amp;IF(Y300,"Single-month history; ","")&amp;IF(Z300,"CRITICAL: Duplicate status; ","")&amp;IF(AA300,"Missing status; ","")&amp;IF(AD300,"Broker % vs counts gap "&amp;TEXT(AC300,"+0;-0")&amp;"pts; ","")</f>
        <v>Low confidence (&lt;=2 orders); Single-month history; Missing status; </v>
      </c>
      <c r="AF300" s="2" t="str">
        <f aca="false">IF(AND(K300=0,L300&gt;0),IF(D300&lt;=Assumptions!$B$47,"New Customer","Returned Customer"),"Existing Customer")</f>
        <v>Existing Customer</v>
      </c>
      <c r="AG300" s="10" t="b">
        <f aca="false">AND(T300="1. Migration Candidate",J300="Key")</f>
        <v>0</v>
      </c>
      <c r="AH300" s="10" t="b">
        <f aca="false">IF(AND(K300&gt;0,L300&gt;0),OR(ABS(M300-Assumptions!$B$36)&lt;=Assumptions!$B$46,ABS(M300+Assumptions!$B$36)&lt;=Assumptions!$B$46),FALSE())</f>
        <v>0</v>
      </c>
      <c r="AI300" s="9" t="n">
        <f aca="false">INDEX('Commercial View'!$L$2:$L$301,MATCH($A300,'Commercial View'!$A$2:$A$301,0))+INDEX('Commercial View'!$M$2:$M$301,MATCH($A300,'Commercial View'!$A$2:$A$301,0))</f>
        <v>0</v>
      </c>
      <c r="AJ300" s="2" t="str">
        <f aca="false">IF(AND(K300=0,AI300=0),"No activity ex-Feb",IF(AI300=0,"Lapsed",IF(K300=0,"H2 Active / No H1 GMV",IF((AI300/2)/(K300/3)-1&gt;=Assumptions!$B$36,"Growing",IF((AI300/2)/(K300/3)-1&lt;-Assumptions!$B$36,"Declining","Stable")))))</f>
        <v>Lapsed</v>
      </c>
      <c r="AK300" s="10" t="b">
        <f aca="false">IF(OR(N300="Growing",N300="Stable"),"Healthy",N300)&lt;&gt;IF(OR(AJ300="Growing",AJ300="Stable"),"Healthy",AJ300)</f>
        <v>0</v>
      </c>
      <c r="AL300" s="2" t="str">
        <f aca="false">IF(N300="Lapsed",IF(OR(O300&lt;=Assumptions!$B$48,W300&lt;=Assumptions!$B$49),"One-Off / Insufficient History — Verify","Established Buyer Lapsed"),"N/A")</f>
        <v>One-Off / Insufficient History — Verify</v>
      </c>
      <c r="AM300" s="2" t="n">
        <f aca="false">INDEX('Scored Accounts'!$M$2:$M$301,MATCH($A300,'Scored Accounts'!$A$2:$A$301,0))</f>
        <v>0</v>
      </c>
      <c r="AN300" s="2" t="n">
        <f aca="false">IF((P300/(P300+Q300)*100)&lt;=Assumptions!$B$13,0,IF((P300/(P300+Q300)*100)&lt;Assumptions!$B$14,25,IF((P300/(P300+Q300)*100)&lt;Assumptions!$B$15,50,IF((P300/(P300+Q300)*100)&lt;Assumptions!$B$16,75,100))))</f>
        <v>0</v>
      </c>
      <c r="AO300" s="21" t="n">
        <f aca="false">IF((P300/(P300+Q300)*100)&lt;=Assumptions!$B$8,0,AN300*Assumptions!$B$4+INDEX('Scored Accounts'!$N$2:$N$301,MATCH($A300,'Scored Accounts'!$A$2:$A$301,0))*Assumptions!$B$5+INDEX('Scored Accounts'!$O$2:$O$301,MATCH($A300,'Scored Accounts'!$A$2:$A$301,0))*Assumptions!$B$6)</f>
        <v>0</v>
      </c>
      <c r="AP300" s="2" t="str">
        <f aca="false">IF(AO300&gt;=Assumptions!$B$9,"High",IF(AO300&gt;=Assumptions!$B$10,"Medium","Low"))</f>
        <v>Low</v>
      </c>
      <c r="AQ300" s="10" t="b">
        <f aca="false">OR((E300&lt;=Assumptions!$B$8)&lt;&gt;((P300/(P300+Q300)*100)&lt;=Assumptions!$B$8),AM300&lt;&gt;AN300,G300&lt;&gt;AP300)</f>
        <v>0</v>
      </c>
      <c r="AR300" s="2" t="str">
        <f aca="false">IF(AP300&lt;&gt;"Low","Broker-Reliant",IF(B300="Account Managed","AM-Owned / Self-Serving","Self-Serve"))</f>
        <v>Self-Serve</v>
      </c>
      <c r="AS300" s="2" t="str">
        <f aca="false">IF(AR300="Broker-Reliant",IF(J300="Tail","5. Cost-to-Serve / Low-Touch",IF(OR(N300="Growing",N300="Stable"),"1. Migration Candidate",IF(N300="Declining","2. Protect / Retain First",IF(N300="Lapsed","3. Win-Back / Verify",IF(N300="H2 Active / No H1 GMV","4. Establish / Re-establish / Observe","UNASSIGNED"))))),IF(AP300="Low",IF(J300="Tail","9. Long-Tail Automated Nurture",IF(OR(N300="Growing",N300="Stable"),"6. Growth Opportunity",IF(N300="H2 Active / No H1 GMV","7. Onboard / Re-engage / Learn",IF(OR(N300="Declining",N300="Lapsed"),"8. Retention / Reactivation","UNASSIGNED")))),"UNASSIGNED"))</f>
        <v>9. Long-Tail Automated Nurture</v>
      </c>
      <c r="AT300" s="10" t="b">
        <f aca="false">AS300&lt;&gt;T300</f>
        <v>0</v>
      </c>
      <c r="AU300" s="2" t="str">
        <f aca="false">IF(NOT(U300),"Not Eligible",IF(OR(AQ300,AH300,AK300,NOT(AND(W300&gt;=Assumptions!$B$83,O300&gt;=Assumptions!$B$84))),"Manual Review","Ready"))</f>
        <v>Not Eligible</v>
      </c>
      <c r="AV300" s="2" t="str">
        <f aca="false">IF(AG300,"Key account - human sign-off required; ","")&amp;IF(AH300,"Borderline momentum; ","")&amp;IF(AK300,"February-sensitive ("&amp;N300&amp;" -&gt; "&amp;AJ300&amp;"); ","")&amp;IF(AL300="One-Off / Insufficient History — Verify","Lapsed on thin history - verify; ","")&amp;IF(AQ300,"Material broker % inconsistency (implied tier "&amp;AP300&amp;"); ","")&amp;IF(AT300,"Implied broker % would move segment to "&amp;AS300&amp;"; ","")</f>
        <v>Lapsed on thin history - verify; </v>
      </c>
      <c r="AW300" s="10" t="b">
        <f aca="false">AND(G300="Low",J300="Tail",I300&gt;=Assumptions!$B$64,O300&gt;=Assumptions!$B$65,OR(N300="Growing",N300="Stable",AND(N300="H2 Active / No H1 GMV",W300&gt;=2)),OR(R300&gt;=Assumptions!$B$66,S300&gt;=Assumptions!$B$67))</f>
        <v>0</v>
      </c>
    </row>
    <row r="301" customFormat="false" ht="15" hidden="false" customHeight="false" outlineLevel="0" collapsed="false">
      <c r="A301" s="2" t="s">
        <v>1016</v>
      </c>
      <c r="B301" s="2" t="s">
        <v>1574</v>
      </c>
      <c r="C301" s="2"/>
      <c r="D301" s="2" t="n">
        <v>1</v>
      </c>
      <c r="E301" s="2" t="n">
        <v>0</v>
      </c>
      <c r="F301" s="21" t="n">
        <f aca="false">INDEX('Scored Accounts'!$Q$2:$Q$301,MATCH($A301,'Scored Accounts'!$A$2:$A$301,0))</f>
        <v>0</v>
      </c>
      <c r="G301" s="2" t="str">
        <f aca="false">INDEX('Scored Accounts'!$R$2:$R$301,MATCH($A301,'Scored Accounts'!$A$2:$A$301,0))</f>
        <v>Low</v>
      </c>
      <c r="H301" s="2" t="str">
        <f aca="false">IF(OR(G301="High",G301="Medium"),"Broker-Reliant",IF(AND(G301="Low",B301="Account Managed"),"AM-Owned / Self-Serving",IF(AND(G301="Low",B301="Self Serve"),"Self-Serve","UNASSIGNED")))</f>
        <v>Self-Serve</v>
      </c>
      <c r="I301" s="9" t="n">
        <v>34</v>
      </c>
      <c r="J301" s="2" t="str">
        <f aca="false">IF(I301&gt;=Assumptions!$B$35,"Key",IF(I301&gt;=Assumptions!$B$34,"Core","Tail"))</f>
        <v>Tail</v>
      </c>
      <c r="K301" s="9" t="n">
        <f aca="false">INDEX('Commercial View'!$R$2:$R$301,MATCH($A301,'Commercial View'!$A$2:$A$301,0))</f>
        <v>0</v>
      </c>
      <c r="L301" s="9" t="n">
        <f aca="false">INDEX('Commercial View'!$S$2:$S$301,MATCH($A301,'Commercial View'!$A$2:$A$301,0))</f>
        <v>34</v>
      </c>
      <c r="M301" s="17" t="str">
        <f aca="false">INDEX('Commercial View'!$T$2:$T$301,MATCH($A301,'Commercial View'!$A$2:$A$301,0))</f>
        <v/>
      </c>
      <c r="N301" s="2" t="str">
        <f aca="false">INDEX('Commercial View'!$U$2:$U$301,MATCH($A301,'Commercial View'!$A$2:$A$301,0))</f>
        <v>H2 Active / No H1 GMV</v>
      </c>
      <c r="O301" s="2" t="n">
        <v>1</v>
      </c>
      <c r="P301" s="2" t="n">
        <v>0</v>
      </c>
      <c r="Q301" s="2" t="n">
        <v>1</v>
      </c>
      <c r="R301" s="2" t="n">
        <v>3</v>
      </c>
      <c r="S301" s="2" t="n">
        <v>2</v>
      </c>
      <c r="T301" s="2" t="str">
        <f aca="false">IF(H301="Broker-Reliant",IF(J301="Tail","5. Cost-to-Serve / Low-Touch",IF(OR(N301="Growing",N301="Stable"),"1. Migration Candidate",IF(N301="Declining","2. Protect / Retain First",IF(N301="Lapsed","3. Win-Back / Verify",IF(N301="H2 Active / No H1 GMV","4. Establish / Re-establish / Observe","UNASSIGNED"))))),IF(G301="Low",IF(J301="Tail","9. Long-Tail Automated Nurture",IF(OR(N301="Growing",N301="Stable"),"6. Growth Opportunity",IF(N301="H2 Active / No H1 GMV","7. Onboard / Re-engage / Learn",IF(OR(N301="Declining",N301="Lapsed"),"8. Retention / Reactivation","UNASSIGNED")))),"UNASSIGNED"))</f>
        <v>9. Long-Tail Automated Nurture</v>
      </c>
      <c r="U301" s="10" t="b">
        <f aca="false">AND(T301="1. Migration Candidate",J301="Core",O301&gt;=Assumptions!$B$39,Q301&gt;=Assumptions!$B$40,NOT(Z301))</f>
        <v>0</v>
      </c>
      <c r="V301" s="2" t="n">
        <f aca="false">(AND(H301="Broker-Reliant",J301&lt;&gt;"Tail",OR(N301="Growing",N301="Stable")))*1+(AND(H301="Broker-Reliant",J301&lt;&gt;"Tail",N301="Declining"))*1+(AND(H301="Broker-Reliant",J301&lt;&gt;"Tail",N301="Lapsed"))*1+(AND(H301="Broker-Reliant",J301&lt;&gt;"Tail",N301="H2 Active / No H1 GMV"))*1+(AND(H301="Broker-Reliant",J301="Tail"))*1+(AND(G301="Low",J301&lt;&gt;"Tail",OR(N301="Growing",N301="Stable")))*1+(AND(G301="Low",J301&lt;&gt;"Tail",N301="H2 Active / No H1 GMV"))*1+(AND(G301="Low",J301&lt;&gt;"Tail",OR(N301="Declining",N301="Lapsed")))*1+(AND(G301="Low",J301="Tail"))*1</f>
        <v>1</v>
      </c>
      <c r="W301" s="2" t="n">
        <f aca="false">INDEX('Commercial View'!$V$2:$V$301,MATCH($A301,'Commercial View'!$A$2:$A$301,0))</f>
        <v>1</v>
      </c>
      <c r="X301" s="10" t="b">
        <f aca="false">O301&lt;=Assumptions!$B$30</f>
        <v>1</v>
      </c>
      <c r="Y301" s="10" t="b">
        <f aca="false">W301&lt;=1</f>
        <v>1</v>
      </c>
      <c r="Z301" s="10" t="b">
        <f aca="false">C301="Duplicate"</f>
        <v>0</v>
      </c>
      <c r="AA301" s="10" t="b">
        <f aca="false">C301=""</f>
        <v>1</v>
      </c>
      <c r="AB301" s="2" t="n">
        <f aca="false">IF(P301+Q301&gt;0,ROUND(P301/(P301+Q301)*100,0),"")</f>
        <v>0</v>
      </c>
      <c r="AC301" s="2" t="n">
        <f aca="false">IF(P301+Q301&gt;0,ROUND(E301-P301/(P301+Q301)*100,0),"")</f>
        <v>0</v>
      </c>
      <c r="AD301" s="10" t="b">
        <f aca="false">IF(AC301="",FALSE(),ABS(AC301)&gt;Assumptions!$B$41)</f>
        <v>0</v>
      </c>
      <c r="AE301" s="2" t="str">
        <f aca="false">IF(X301,"Low confidence (&lt;=2 orders); ","")&amp;IF(Y301,"Single-month history; ","")&amp;IF(Z301,"CRITICAL: Duplicate status; ","")&amp;IF(AA301,"Missing status; ","")&amp;IF(AD301,"Broker % vs counts gap "&amp;TEXT(AC301,"+0;-0")&amp;"pts; ","")</f>
        <v>Low confidence (&lt;=2 orders); Single-month history; Missing status; </v>
      </c>
      <c r="AF301" s="2" t="str">
        <f aca="false">IF(AND(K301=0,L301&gt;0),IF(D301&lt;=Assumptions!$B$47,"New Customer","Returned Customer"),"Existing Customer")</f>
        <v>New Customer</v>
      </c>
      <c r="AG301" s="10" t="b">
        <f aca="false">AND(T301="1. Migration Candidate",J301="Key")</f>
        <v>0</v>
      </c>
      <c r="AH301" s="10" t="b">
        <f aca="false">IF(AND(K301&gt;0,L301&gt;0),OR(ABS(M301-Assumptions!$B$36)&lt;=Assumptions!$B$46,ABS(M301+Assumptions!$B$36)&lt;=Assumptions!$B$46),FALSE())</f>
        <v>0</v>
      </c>
      <c r="AI301" s="9" t="n">
        <f aca="false">INDEX('Commercial View'!$L$2:$L$301,MATCH($A301,'Commercial View'!$A$2:$A$301,0))+INDEX('Commercial View'!$M$2:$M$301,MATCH($A301,'Commercial View'!$A$2:$A$301,0))</f>
        <v>0</v>
      </c>
      <c r="AJ301" s="2" t="str">
        <f aca="false">IF(AND(K301=0,AI301=0),"No activity ex-Feb",IF(AI301=0,"Lapsed",IF(K301=0,"H2 Active / No H1 GMV",IF((AI301/2)/(K301/3)-1&gt;=Assumptions!$B$36,"Growing",IF((AI301/2)/(K301/3)-1&lt;-Assumptions!$B$36,"Declining","Stable")))))</f>
        <v>No activity ex-Feb</v>
      </c>
      <c r="AK301" s="10" t="b">
        <f aca="false">IF(OR(N301="Growing",N301="Stable"),"Healthy",N301)&lt;&gt;IF(OR(AJ301="Growing",AJ301="Stable"),"Healthy",AJ301)</f>
        <v>1</v>
      </c>
      <c r="AL301" s="2" t="str">
        <f aca="false">IF(N301="Lapsed",IF(OR(O301&lt;=Assumptions!$B$48,W301&lt;=Assumptions!$B$49),"One-Off / Insufficient History — Verify","Established Buyer Lapsed"),"N/A")</f>
        <v>N/A</v>
      </c>
      <c r="AM301" s="2" t="n">
        <f aca="false">INDEX('Scored Accounts'!$M$2:$M$301,MATCH($A301,'Scored Accounts'!$A$2:$A$301,0))</f>
        <v>0</v>
      </c>
      <c r="AN301" s="2" t="n">
        <f aca="false">IF((P301/(P301+Q301)*100)&lt;=Assumptions!$B$13,0,IF((P301/(P301+Q301)*100)&lt;Assumptions!$B$14,25,IF((P301/(P301+Q301)*100)&lt;Assumptions!$B$15,50,IF((P301/(P301+Q301)*100)&lt;Assumptions!$B$16,75,100))))</f>
        <v>0</v>
      </c>
      <c r="AO301" s="21" t="n">
        <f aca="false">IF((P301/(P301+Q301)*100)&lt;=Assumptions!$B$8,0,AN301*Assumptions!$B$4+INDEX('Scored Accounts'!$N$2:$N$301,MATCH($A301,'Scored Accounts'!$A$2:$A$301,0))*Assumptions!$B$5+INDEX('Scored Accounts'!$O$2:$O$301,MATCH($A301,'Scored Accounts'!$A$2:$A$301,0))*Assumptions!$B$6)</f>
        <v>0</v>
      </c>
      <c r="AP301" s="2" t="str">
        <f aca="false">IF(AO301&gt;=Assumptions!$B$9,"High",IF(AO301&gt;=Assumptions!$B$10,"Medium","Low"))</f>
        <v>Low</v>
      </c>
      <c r="AQ301" s="10" t="b">
        <f aca="false">OR((E301&lt;=Assumptions!$B$8)&lt;&gt;((P301/(P301+Q301)*100)&lt;=Assumptions!$B$8),AM301&lt;&gt;AN301,G301&lt;&gt;AP301)</f>
        <v>0</v>
      </c>
      <c r="AR301" s="2" t="str">
        <f aca="false">IF(AP301&lt;&gt;"Low","Broker-Reliant",IF(B301="Account Managed","AM-Owned / Self-Serving","Self-Serve"))</f>
        <v>Self-Serve</v>
      </c>
      <c r="AS301" s="2" t="str">
        <f aca="false">IF(AR301="Broker-Reliant",IF(J301="Tail","5. Cost-to-Serve / Low-Touch",IF(OR(N301="Growing",N301="Stable"),"1. Migration Candidate",IF(N301="Declining","2. Protect / Retain First",IF(N301="Lapsed","3. Win-Back / Verify",IF(N301="H2 Active / No H1 GMV","4. Establish / Re-establish / Observe","UNASSIGNED"))))),IF(AP301="Low",IF(J301="Tail","9. Long-Tail Automated Nurture",IF(OR(N301="Growing",N301="Stable"),"6. Growth Opportunity",IF(N301="H2 Active / No H1 GMV","7. Onboard / Re-engage / Learn",IF(OR(N301="Declining",N301="Lapsed"),"8. Retention / Reactivation","UNASSIGNED")))),"UNASSIGNED"))</f>
        <v>9. Long-Tail Automated Nurture</v>
      </c>
      <c r="AT301" s="10" t="b">
        <f aca="false">AS301&lt;&gt;T301</f>
        <v>0</v>
      </c>
      <c r="AU301" s="2" t="str">
        <f aca="false">IF(NOT(U301),"Not Eligible",IF(OR(AQ301,AH301,AK301,NOT(AND(W301&gt;=Assumptions!$B$83,O301&gt;=Assumptions!$B$84))),"Manual Review","Ready"))</f>
        <v>Not Eligible</v>
      </c>
      <c r="AV301" s="2" t="str">
        <f aca="false">IF(AG301,"Key account - human sign-off required; ","")&amp;IF(AH301,"Borderline momentum; ","")&amp;IF(AK301,"February-sensitive ("&amp;N301&amp;" -&gt; "&amp;AJ301&amp;"); ","")&amp;IF(AL301="One-Off / Insufficient History — Verify","Lapsed on thin history - verify; ","")&amp;IF(AQ301,"Material broker % inconsistency (implied tier "&amp;AP301&amp;"); ","")&amp;IF(AT301,"Implied broker % would move segment to "&amp;AS301&amp;"; ","")</f>
        <v>February-sensitive (H2 Active / No H1 GMV -&gt; No activity ex-Feb); </v>
      </c>
      <c r="AW301" s="10" t="b">
        <f aca="false">AND(G301="Low",J301="Tail",I301&gt;=Assumptions!$B$64,O301&gt;=Assumptions!$B$65,OR(N301="Growing",N301="Stable",AND(N301="H2 Active / No H1 GMV",W301&gt;=2)),OR(R301&gt;=Assumptions!$B$66,S301&gt;=Assumptions!$B$67))</f>
        <v>0</v>
      </c>
    </row>
  </sheetData>
  <autoFilter ref="A1:AW3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3" min="1" style="0" width="12"/>
    <col collapsed="false" customWidth="true" hidden="false" outlineLevel="0" max="4" min="4" style="0" width="30"/>
    <col collapsed="false" customWidth="true" hidden="false" outlineLevel="0" max="5" min="5" style="0" width="34"/>
    <col collapsed="false" customWidth="true" hidden="false" outlineLevel="0" max="21" min="6" style="0" width="12"/>
    <col collapsed="false" customWidth="true" hidden="false" outlineLevel="0" max="22" min="22" style="0" width="40"/>
  </cols>
  <sheetData>
    <row r="1" customFormat="false" ht="15" hidden="false" customHeight="false" outlineLevel="0" collapsed="false">
      <c r="A1" s="1" t="s">
        <v>1575</v>
      </c>
      <c r="B1" s="7"/>
      <c r="C1" s="7"/>
      <c r="D1" s="7"/>
      <c r="E1" s="7"/>
      <c r="F1" s="7"/>
      <c r="G1" s="7"/>
      <c r="H1" s="7"/>
      <c r="I1" s="7"/>
      <c r="J1" s="7"/>
      <c r="K1" s="7"/>
      <c r="L1" s="7"/>
      <c r="M1" s="7"/>
      <c r="N1" s="7"/>
      <c r="O1" s="7"/>
      <c r="P1" s="7"/>
      <c r="Q1" s="7"/>
      <c r="R1" s="7"/>
      <c r="S1" s="7"/>
      <c r="T1" s="7"/>
      <c r="U1" s="7"/>
      <c r="V1" s="7"/>
    </row>
    <row r="2" customFormat="false" ht="15" hidden="false" customHeight="false" outlineLevel="0" collapsed="false">
      <c r="A2" s="2" t="s">
        <v>1576</v>
      </c>
      <c r="B2" s="2"/>
      <c r="C2" s="2"/>
      <c r="D2" s="2"/>
      <c r="E2" s="2"/>
      <c r="F2" s="2"/>
      <c r="G2" s="2"/>
      <c r="H2" s="2"/>
      <c r="I2" s="2"/>
      <c r="J2" s="2"/>
      <c r="K2" s="2"/>
      <c r="L2" s="2"/>
      <c r="M2" s="2"/>
      <c r="N2" s="2"/>
      <c r="O2" s="2"/>
      <c r="P2" s="2"/>
      <c r="Q2" s="2"/>
      <c r="R2" s="2"/>
      <c r="S2" s="2"/>
      <c r="T2" s="2"/>
      <c r="U2" s="2"/>
      <c r="V2" s="2"/>
    </row>
    <row r="3" customFormat="false" ht="15" hidden="false" customHeight="false" outlineLevel="0" collapsed="false">
      <c r="A3" s="2" t="s">
        <v>1577</v>
      </c>
      <c r="B3" s="2"/>
      <c r="C3" s="2"/>
      <c r="D3" s="2"/>
      <c r="E3" s="2"/>
      <c r="F3" s="2"/>
      <c r="G3" s="2"/>
      <c r="H3" s="2"/>
      <c r="I3" s="2"/>
      <c r="J3" s="2"/>
      <c r="K3" s="2"/>
      <c r="L3" s="2"/>
      <c r="M3" s="2"/>
      <c r="N3" s="2"/>
      <c r="O3" s="2"/>
      <c r="P3" s="2"/>
      <c r="Q3" s="2"/>
      <c r="R3" s="2"/>
      <c r="S3" s="2"/>
      <c r="T3" s="2"/>
      <c r="U3" s="2"/>
      <c r="V3" s="2"/>
    </row>
    <row r="4" customFormat="false" ht="15" hidden="false" customHeight="false" outlineLevel="0" collapsed="false">
      <c r="A4" s="2"/>
      <c r="B4" s="2"/>
      <c r="C4" s="2"/>
      <c r="D4" s="2"/>
      <c r="E4" s="2"/>
      <c r="F4" s="2"/>
      <c r="G4" s="2"/>
      <c r="H4" s="2"/>
      <c r="I4" s="2"/>
      <c r="J4" s="2"/>
      <c r="K4" s="2"/>
      <c r="L4" s="2"/>
      <c r="M4" s="2"/>
      <c r="N4" s="2"/>
      <c r="O4" s="2"/>
      <c r="P4" s="2"/>
      <c r="Q4" s="2"/>
      <c r="R4" s="2"/>
      <c r="S4" s="2"/>
      <c r="T4" s="2"/>
      <c r="U4" s="2"/>
      <c r="V4" s="2"/>
    </row>
    <row r="5" customFormat="false" ht="45" hidden="false" customHeight="true" outlineLevel="0" collapsed="false">
      <c r="A5" s="14" t="s">
        <v>75</v>
      </c>
      <c r="B5" s="14" t="s">
        <v>1578</v>
      </c>
      <c r="C5" s="14" t="s">
        <v>1579</v>
      </c>
      <c r="D5" s="14" t="s">
        <v>1580</v>
      </c>
      <c r="E5" s="14" t="s">
        <v>1581</v>
      </c>
      <c r="F5" s="14" t="s">
        <v>1582</v>
      </c>
      <c r="G5" s="14" t="s">
        <v>1546</v>
      </c>
      <c r="H5" s="14" t="s">
        <v>1355</v>
      </c>
      <c r="I5" s="14" t="s">
        <v>1504</v>
      </c>
      <c r="J5" s="14" t="s">
        <v>1357</v>
      </c>
      <c r="K5" s="14" t="s">
        <v>1550</v>
      </c>
      <c r="L5" s="14" t="s">
        <v>1358</v>
      </c>
      <c r="M5" s="14" t="s">
        <v>1583</v>
      </c>
      <c r="N5" s="14" t="s">
        <v>1356</v>
      </c>
      <c r="O5" s="14" t="s">
        <v>1549</v>
      </c>
      <c r="P5" s="14" t="s">
        <v>1531</v>
      </c>
      <c r="Q5" s="14" t="s">
        <v>1532</v>
      </c>
      <c r="R5" s="14" t="s">
        <v>1584</v>
      </c>
      <c r="S5" s="14" t="s">
        <v>1535</v>
      </c>
      <c r="T5" s="14" t="s">
        <v>1585</v>
      </c>
      <c r="U5" s="14" t="s">
        <v>1586</v>
      </c>
      <c r="V5" s="14" t="s">
        <v>1587</v>
      </c>
    </row>
    <row r="6" customFormat="false" ht="15" hidden="false" customHeight="false" outlineLevel="0" collapsed="false">
      <c r="A6" s="2" t="s">
        <v>380</v>
      </c>
      <c r="B6" s="2" t="str">
        <f aca="false">INDEX(Segmentation!$AU$2:$AU$301,MATCH($A6,Segmentation!$A$2:$A$301,0))</f>
        <v>Ready</v>
      </c>
      <c r="C6" s="10" t="b">
        <f aca="false">INDEX(Segmentation!$U$2:$U$301,MATCH($A6,Segmentation!$A$2:$A$301,0))</f>
        <v>1</v>
      </c>
      <c r="D6" s="2" t="str">
        <f aca="false">IF(C6,"",IF(F6="Key","Key account (human sign-off route); ","")&amp;IF(J6&lt;Assumptions!$B$39,"orders &lt; min; ","")&amp;IF(L6&lt;Assumptions!$B$40,"self-serve orders &lt; min; ","")&amp;IF(ISNUMBER(SEARCH("Duplicate",V6)),"Duplicate status; ",""))</f>
        <v/>
      </c>
      <c r="E6" s="2" t="str">
        <f aca="false">IF(B6="Manual Review",IF(S6,"material broker % inconsistency; ","")&amp;IF(P6,"borderline momentum; ","")&amp;IF(Q6,"February-sensitive; ","")&amp;IF(NOT(AND(INDEX(Segmentation!$W$2:$W$301,MATCH($A6,Segmentation!$A$2:$A$301,0))&gt;=Assumptions!$B$83,J6&gt;=Assumptions!$B$84)),"lumpy buyer cadence; ",""),"")</f>
        <v/>
      </c>
      <c r="F6" s="2" t="str">
        <f aca="false">INDEX(Segmentation!$J$2:$J$301,MATCH($A6,Segmentation!$A$2:$A$301,0))</f>
        <v>Core</v>
      </c>
      <c r="G6" s="21" t="n">
        <f aca="false">INDEX(Segmentation!$F$2:$F$301,MATCH($A6,Segmentation!$A$2:$A$301,0))</f>
        <v>70</v>
      </c>
      <c r="H6" s="2" t="str">
        <f aca="false">INDEX(Segmentation!$G$2:$G$301,MATCH($A6,Segmentation!$A$2:$A$301,0))</f>
        <v>High</v>
      </c>
      <c r="I6" s="9" t="n">
        <f aca="false">INDEX(Segmentation!$I$2:$I$301,MATCH($A6,Segmentation!$A$2:$A$301,0))</f>
        <v>7716</v>
      </c>
      <c r="J6" s="2" t="n">
        <f aca="false">INDEX(Segmentation!$O$2:$O$301,MATCH($A6,Segmentation!$A$2:$A$301,0))</f>
        <v>7</v>
      </c>
      <c r="K6" s="2" t="n">
        <f aca="false">INDEX(Segmentation!$P$2:$P$301,MATCH($A6,Segmentation!$A$2:$A$301,0))</f>
        <v>4</v>
      </c>
      <c r="L6" s="2" t="n">
        <f aca="false">INDEX(Segmentation!$Q$2:$Q$301,MATCH($A6,Segmentation!$A$2:$A$301,0))</f>
        <v>3</v>
      </c>
      <c r="M6" s="17" t="n">
        <f aca="false">L6/J6</f>
        <v>0.428571428571429</v>
      </c>
      <c r="N6" s="2" t="str">
        <f aca="false">INDEX(Segmentation!$N$2:$N$301,MATCH($A6,Segmentation!$A$2:$A$301,0))</f>
        <v>Growing</v>
      </c>
      <c r="O6" s="17" t="n">
        <f aca="false">INDEX(Segmentation!$M$2:$M$301,MATCH($A6,Segmentation!$A$2:$A$301,0))</f>
        <v>3.33540802213001</v>
      </c>
      <c r="P6" s="10" t="b">
        <f aca="false">INDEX(Segmentation!$AH$2:$AH$301,MATCH($A6,Segmentation!$A$2:$A$301,0))</f>
        <v>0</v>
      </c>
      <c r="Q6" s="10" t="b">
        <f aca="false">INDEX(Segmentation!$AK$2:$AK$301,MATCH($A6,Segmentation!$A$2:$A$301,0))</f>
        <v>0</v>
      </c>
      <c r="R6" s="2" t="str">
        <f aca="false">INDEX(Segmentation!$AJ$2:$AJ$301,MATCH($A6,Segmentation!$A$2:$A$301,0))</f>
        <v>Growing</v>
      </c>
      <c r="S6" s="10" t="b">
        <f aca="false">INDEX(Segmentation!$AQ$2:$AQ$301,MATCH($A6,Segmentation!$A$2:$A$301,0))</f>
        <v>0</v>
      </c>
      <c r="T6" s="2" t="n">
        <f aca="false">INDEX(Segmentation!$AB$2:$AB$301,MATCH($A6,Segmentation!$A$2:$A$301,0))</f>
        <v>57</v>
      </c>
      <c r="U6" s="10" t="b">
        <f aca="false">INDEX(Segmentation!$AG$2:$AG$301,MATCH($A6,Segmentation!$A$2:$A$301,0))</f>
        <v>0</v>
      </c>
      <c r="V6" s="2" t="str">
        <f aca="false">INDEX(Segmentation!$AE$2:$AE$301,MATCH($A6,Segmentation!$A$2:$A$301,0))</f>
        <v/>
      </c>
    </row>
    <row r="7" customFormat="false" ht="15" hidden="false" customHeight="false" outlineLevel="0" collapsed="false">
      <c r="A7" s="2" t="s">
        <v>408</v>
      </c>
      <c r="B7" s="2" t="str">
        <f aca="false">INDEX(Segmentation!$AU$2:$AU$301,MATCH($A7,Segmentation!$A$2:$A$301,0))</f>
        <v>Ready</v>
      </c>
      <c r="C7" s="10" t="b">
        <f aca="false">INDEX(Segmentation!$U$2:$U$301,MATCH($A7,Segmentation!$A$2:$A$301,0))</f>
        <v>1</v>
      </c>
      <c r="D7" s="2" t="str">
        <f aca="false">IF(C7,"",IF(F7="Key","Key account (human sign-off route); ","")&amp;IF(J7&lt;Assumptions!$B$39,"orders &lt; min; ","")&amp;IF(L7&lt;Assumptions!$B$40,"self-serve orders &lt; min; ","")&amp;IF(ISNUMBER(SEARCH("Duplicate",V7)),"Duplicate status; ",""))</f>
        <v/>
      </c>
      <c r="E7" s="2" t="str">
        <f aca="false">IF(B7="Manual Review",IF(S7,"material broker % inconsistency; ","")&amp;IF(P7,"borderline momentum; ","")&amp;IF(Q7,"February-sensitive; ","")&amp;IF(NOT(AND(INDEX(Segmentation!$W$2:$W$301,MATCH($A7,Segmentation!$A$2:$A$301,0))&gt;=Assumptions!$B$83,J7&gt;=Assumptions!$B$84)),"lumpy buyer cadence; ",""),"")</f>
        <v/>
      </c>
      <c r="F7" s="2" t="str">
        <f aca="false">INDEX(Segmentation!$J$2:$J$301,MATCH($A7,Segmentation!$A$2:$A$301,0))</f>
        <v>Core</v>
      </c>
      <c r="G7" s="21" t="n">
        <f aca="false">INDEX(Segmentation!$F$2:$F$301,MATCH($A7,Segmentation!$A$2:$A$301,0))</f>
        <v>82.5</v>
      </c>
      <c r="H7" s="2" t="str">
        <f aca="false">INDEX(Segmentation!$G$2:$G$301,MATCH($A7,Segmentation!$A$2:$A$301,0))</f>
        <v>High</v>
      </c>
      <c r="I7" s="9" t="n">
        <f aca="false">INDEX(Segmentation!$I$2:$I$301,MATCH($A7,Segmentation!$A$2:$A$301,0))</f>
        <v>4678</v>
      </c>
      <c r="J7" s="2" t="n">
        <f aca="false">INDEX(Segmentation!$O$2:$O$301,MATCH($A7,Segmentation!$A$2:$A$301,0))</f>
        <v>25</v>
      </c>
      <c r="K7" s="2" t="n">
        <f aca="false">INDEX(Segmentation!$P$2:$P$301,MATCH($A7,Segmentation!$A$2:$A$301,0))</f>
        <v>18</v>
      </c>
      <c r="L7" s="2" t="n">
        <f aca="false">INDEX(Segmentation!$Q$2:$Q$301,MATCH($A7,Segmentation!$A$2:$A$301,0))</f>
        <v>7</v>
      </c>
      <c r="M7" s="17" t="n">
        <f aca="false">L7/J7</f>
        <v>0.28</v>
      </c>
      <c r="N7" s="2" t="str">
        <f aca="false">INDEX(Segmentation!$N$2:$N$301,MATCH($A7,Segmentation!$A$2:$A$301,0))</f>
        <v>Stable</v>
      </c>
      <c r="O7" s="17" t="n">
        <f aca="false">INDEX(Segmentation!$M$2:$M$301,MATCH($A7,Segmentation!$A$2:$A$301,0))</f>
        <v>0.0517543859649123</v>
      </c>
      <c r="P7" s="10" t="b">
        <f aca="false">INDEX(Segmentation!$AH$2:$AH$301,MATCH($A7,Segmentation!$A$2:$A$301,0))</f>
        <v>0</v>
      </c>
      <c r="Q7" s="10" t="b">
        <f aca="false">INDEX(Segmentation!$AK$2:$AK$301,MATCH($A7,Segmentation!$A$2:$A$301,0))</f>
        <v>0</v>
      </c>
      <c r="R7" s="2" t="str">
        <f aca="false">INDEX(Segmentation!$AJ$2:$AJ$301,MATCH($A7,Segmentation!$A$2:$A$301,0))</f>
        <v>Growing</v>
      </c>
      <c r="S7" s="10" t="b">
        <f aca="false">INDEX(Segmentation!$AQ$2:$AQ$301,MATCH($A7,Segmentation!$A$2:$A$301,0))</f>
        <v>0</v>
      </c>
      <c r="T7" s="2" t="n">
        <f aca="false">INDEX(Segmentation!$AB$2:$AB$301,MATCH($A7,Segmentation!$A$2:$A$301,0))</f>
        <v>72</v>
      </c>
      <c r="U7" s="10" t="b">
        <f aca="false">INDEX(Segmentation!$AG$2:$AG$301,MATCH($A7,Segmentation!$A$2:$A$301,0))</f>
        <v>0</v>
      </c>
      <c r="V7" s="2" t="str">
        <f aca="false">INDEX(Segmentation!$AE$2:$AE$301,MATCH($A7,Segmentation!$A$2:$A$301,0))</f>
        <v/>
      </c>
    </row>
    <row r="8" customFormat="false" ht="15" hidden="false" customHeight="false" outlineLevel="0" collapsed="false">
      <c r="A8" s="2" t="s">
        <v>412</v>
      </c>
      <c r="B8" s="2" t="str">
        <f aca="false">INDEX(Segmentation!$AU$2:$AU$301,MATCH($A8,Segmentation!$A$2:$A$301,0))</f>
        <v>Ready</v>
      </c>
      <c r="C8" s="10" t="b">
        <f aca="false">INDEX(Segmentation!$U$2:$U$301,MATCH($A8,Segmentation!$A$2:$A$301,0))</f>
        <v>1</v>
      </c>
      <c r="D8" s="2" t="str">
        <f aca="false">IF(C8,"",IF(F8="Key","Key account (human sign-off route); ","")&amp;IF(J8&lt;Assumptions!$B$39,"orders &lt; min; ","")&amp;IF(L8&lt;Assumptions!$B$40,"self-serve orders &lt; min; ","")&amp;IF(ISNUMBER(SEARCH("Duplicate",V8)),"Duplicate status; ",""))</f>
        <v/>
      </c>
      <c r="E8" s="2" t="str">
        <f aca="false">IF(B8="Manual Review",IF(S8,"material broker % inconsistency; ","")&amp;IF(P8,"borderline momentum; ","")&amp;IF(Q8,"February-sensitive; ","")&amp;IF(NOT(AND(INDEX(Segmentation!$W$2:$W$301,MATCH($A8,Segmentation!$A$2:$A$301,0))&gt;=Assumptions!$B$83,J8&gt;=Assumptions!$B$84)),"lumpy buyer cadence; ",""),"")</f>
        <v/>
      </c>
      <c r="F8" s="2" t="str">
        <f aca="false">INDEX(Segmentation!$J$2:$J$301,MATCH($A8,Segmentation!$A$2:$A$301,0))</f>
        <v>Core</v>
      </c>
      <c r="G8" s="21" t="n">
        <f aca="false">INDEX(Segmentation!$F$2:$F$301,MATCH($A8,Segmentation!$A$2:$A$301,0))</f>
        <v>87.5</v>
      </c>
      <c r="H8" s="2" t="str">
        <f aca="false">INDEX(Segmentation!$G$2:$G$301,MATCH($A8,Segmentation!$A$2:$A$301,0))</f>
        <v>High</v>
      </c>
      <c r="I8" s="9" t="n">
        <f aca="false">INDEX(Segmentation!$I$2:$I$301,MATCH($A8,Segmentation!$A$2:$A$301,0))</f>
        <v>4415</v>
      </c>
      <c r="J8" s="2" t="n">
        <f aca="false">INDEX(Segmentation!$O$2:$O$301,MATCH($A8,Segmentation!$A$2:$A$301,0))</f>
        <v>5</v>
      </c>
      <c r="K8" s="2" t="n">
        <f aca="false">INDEX(Segmentation!$P$2:$P$301,MATCH($A8,Segmentation!$A$2:$A$301,0))</f>
        <v>3</v>
      </c>
      <c r="L8" s="2" t="n">
        <f aca="false">INDEX(Segmentation!$Q$2:$Q$301,MATCH($A8,Segmentation!$A$2:$A$301,0))</f>
        <v>2</v>
      </c>
      <c r="M8" s="17" t="n">
        <f aca="false">L8/J8</f>
        <v>0.4</v>
      </c>
      <c r="N8" s="2" t="str">
        <f aca="false">INDEX(Segmentation!$N$2:$N$301,MATCH($A8,Segmentation!$A$2:$A$301,0))</f>
        <v>Growing</v>
      </c>
      <c r="O8" s="17" t="n">
        <f aca="false">INDEX(Segmentation!$M$2:$M$301,MATCH($A8,Segmentation!$A$2:$A$301,0))</f>
        <v>2.89467849223947</v>
      </c>
      <c r="P8" s="10" t="b">
        <f aca="false">INDEX(Segmentation!$AH$2:$AH$301,MATCH($A8,Segmentation!$A$2:$A$301,0))</f>
        <v>0</v>
      </c>
      <c r="Q8" s="10" t="b">
        <f aca="false">INDEX(Segmentation!$AK$2:$AK$301,MATCH($A8,Segmentation!$A$2:$A$301,0))</f>
        <v>0</v>
      </c>
      <c r="R8" s="2" t="str">
        <f aca="false">INDEX(Segmentation!$AJ$2:$AJ$301,MATCH($A8,Segmentation!$A$2:$A$301,0))</f>
        <v>Growing</v>
      </c>
      <c r="S8" s="10" t="b">
        <f aca="false">INDEX(Segmentation!$AQ$2:$AQ$301,MATCH($A8,Segmentation!$A$2:$A$301,0))</f>
        <v>0</v>
      </c>
      <c r="T8" s="2" t="n">
        <f aca="false">INDEX(Segmentation!$AB$2:$AB$301,MATCH($A8,Segmentation!$A$2:$A$301,0))</f>
        <v>60</v>
      </c>
      <c r="U8" s="10" t="b">
        <f aca="false">INDEX(Segmentation!$AG$2:$AG$301,MATCH($A8,Segmentation!$A$2:$A$301,0))</f>
        <v>0</v>
      </c>
      <c r="V8" s="2" t="str">
        <f aca="false">INDEX(Segmentation!$AE$2:$AE$301,MATCH($A8,Segmentation!$A$2:$A$301,0))</f>
        <v/>
      </c>
    </row>
    <row r="9" customFormat="false" ht="15" hidden="false" customHeight="false" outlineLevel="0" collapsed="false">
      <c r="A9" s="2" t="s">
        <v>416</v>
      </c>
      <c r="B9" s="2" t="str">
        <f aca="false">INDEX(Segmentation!$AU$2:$AU$301,MATCH($A9,Segmentation!$A$2:$A$301,0))</f>
        <v>Ready</v>
      </c>
      <c r="C9" s="10" t="b">
        <f aca="false">INDEX(Segmentation!$U$2:$U$301,MATCH($A9,Segmentation!$A$2:$A$301,0))</f>
        <v>1</v>
      </c>
      <c r="D9" s="2" t="str">
        <f aca="false">IF(C9,"",IF(F9="Key","Key account (human sign-off route); ","")&amp;IF(J9&lt;Assumptions!$B$39,"orders &lt; min; ","")&amp;IF(L9&lt;Assumptions!$B$40,"self-serve orders &lt; min; ","")&amp;IF(ISNUMBER(SEARCH("Duplicate",V9)),"Duplicate status; ",""))</f>
        <v/>
      </c>
      <c r="E9" s="2" t="str">
        <f aca="false">IF(B9="Manual Review",IF(S9,"material broker % inconsistency; ","")&amp;IF(P9,"borderline momentum; ","")&amp;IF(Q9,"February-sensitive; ","")&amp;IF(NOT(AND(INDEX(Segmentation!$W$2:$W$301,MATCH($A9,Segmentation!$A$2:$A$301,0))&gt;=Assumptions!$B$83,J9&gt;=Assumptions!$B$84)),"lumpy buyer cadence; ",""),"")</f>
        <v/>
      </c>
      <c r="F9" s="2" t="str">
        <f aca="false">INDEX(Segmentation!$J$2:$J$301,MATCH($A9,Segmentation!$A$2:$A$301,0))</f>
        <v>Core</v>
      </c>
      <c r="G9" s="21" t="n">
        <f aca="false">INDEX(Segmentation!$F$2:$F$301,MATCH($A9,Segmentation!$A$2:$A$301,0))</f>
        <v>75</v>
      </c>
      <c r="H9" s="2" t="str">
        <f aca="false">INDEX(Segmentation!$G$2:$G$301,MATCH($A9,Segmentation!$A$2:$A$301,0))</f>
        <v>High</v>
      </c>
      <c r="I9" s="9" t="n">
        <f aca="false">INDEX(Segmentation!$I$2:$I$301,MATCH($A9,Segmentation!$A$2:$A$301,0))</f>
        <v>4372</v>
      </c>
      <c r="J9" s="2" t="n">
        <f aca="false">INDEX(Segmentation!$O$2:$O$301,MATCH($A9,Segmentation!$A$2:$A$301,0))</f>
        <v>8</v>
      </c>
      <c r="K9" s="2" t="n">
        <f aca="false">INDEX(Segmentation!$P$2:$P$301,MATCH($A9,Segmentation!$A$2:$A$301,0))</f>
        <v>6</v>
      </c>
      <c r="L9" s="2" t="n">
        <f aca="false">INDEX(Segmentation!$Q$2:$Q$301,MATCH($A9,Segmentation!$A$2:$A$301,0))</f>
        <v>2</v>
      </c>
      <c r="M9" s="17" t="n">
        <f aca="false">L9/J9</f>
        <v>0.25</v>
      </c>
      <c r="N9" s="2" t="str">
        <f aca="false">INDEX(Segmentation!$N$2:$N$301,MATCH($A9,Segmentation!$A$2:$A$301,0))</f>
        <v>Growing</v>
      </c>
      <c r="O9" s="17" t="n">
        <f aca="false">INDEX(Segmentation!$M$2:$M$301,MATCH($A9,Segmentation!$A$2:$A$301,0))</f>
        <v>1.66164154103853</v>
      </c>
      <c r="P9" s="10" t="b">
        <f aca="false">INDEX(Segmentation!$AH$2:$AH$301,MATCH($A9,Segmentation!$A$2:$A$301,0))</f>
        <v>0</v>
      </c>
      <c r="Q9" s="10" t="b">
        <f aca="false">INDEX(Segmentation!$AK$2:$AK$301,MATCH($A9,Segmentation!$A$2:$A$301,0))</f>
        <v>0</v>
      </c>
      <c r="R9" s="2" t="str">
        <f aca="false">INDEX(Segmentation!$AJ$2:$AJ$301,MATCH($A9,Segmentation!$A$2:$A$301,0))</f>
        <v>Growing</v>
      </c>
      <c r="S9" s="10" t="b">
        <f aca="false">INDEX(Segmentation!$AQ$2:$AQ$301,MATCH($A9,Segmentation!$A$2:$A$301,0))</f>
        <v>0</v>
      </c>
      <c r="T9" s="2" t="n">
        <f aca="false">INDEX(Segmentation!$AB$2:$AB$301,MATCH($A9,Segmentation!$A$2:$A$301,0))</f>
        <v>75</v>
      </c>
      <c r="U9" s="10" t="b">
        <f aca="false">INDEX(Segmentation!$AG$2:$AG$301,MATCH($A9,Segmentation!$A$2:$A$301,0))</f>
        <v>0</v>
      </c>
      <c r="V9" s="2" t="str">
        <f aca="false">INDEX(Segmentation!$AE$2:$AE$301,MATCH($A9,Segmentation!$A$2:$A$301,0))</f>
        <v/>
      </c>
    </row>
    <row r="10" customFormat="false" ht="15" hidden="false" customHeight="false" outlineLevel="0" collapsed="false">
      <c r="A10" s="2" t="s">
        <v>422</v>
      </c>
      <c r="B10" s="2" t="str">
        <f aca="false">INDEX(Segmentation!$AU$2:$AU$301,MATCH($A10,Segmentation!$A$2:$A$301,0))</f>
        <v>Manual Review</v>
      </c>
      <c r="C10" s="10" t="b">
        <f aca="false">INDEX(Segmentation!$U$2:$U$301,MATCH($A10,Segmentation!$A$2:$A$301,0))</f>
        <v>1</v>
      </c>
      <c r="D10" s="2" t="str">
        <f aca="false">IF(C10,"",IF(F10="Key","Key account (human sign-off route); ","")&amp;IF(J10&lt;Assumptions!$B$39,"orders &lt; min; ","")&amp;IF(L10&lt;Assumptions!$B$40,"self-serve orders &lt; min; ","")&amp;IF(ISNUMBER(SEARCH("Duplicate",V10)),"Duplicate status; ",""))</f>
        <v/>
      </c>
      <c r="E10" s="2" t="str">
        <f aca="false">IF(B10="Manual Review",IF(S10,"material broker % inconsistency; ","")&amp;IF(P10,"borderline momentum; ","")&amp;IF(Q10,"February-sensitive; ","")&amp;IF(NOT(AND(INDEX(Segmentation!$W$2:$W$301,MATCH($A10,Segmentation!$A$2:$A$301,0))&gt;=Assumptions!$B$83,J10&gt;=Assumptions!$B$84)),"lumpy buyer cadence; ",""),"")</f>
        <v>lumpy buyer cadence; </v>
      </c>
      <c r="F10" s="2" t="str">
        <f aca="false">INDEX(Segmentation!$J$2:$J$301,MATCH($A10,Segmentation!$A$2:$A$301,0))</f>
        <v>Core</v>
      </c>
      <c r="G10" s="21" t="n">
        <f aca="false">INDEX(Segmentation!$F$2:$F$301,MATCH($A10,Segmentation!$A$2:$A$301,0))</f>
        <v>75</v>
      </c>
      <c r="H10" s="2" t="str">
        <f aca="false">INDEX(Segmentation!$G$2:$G$301,MATCH($A10,Segmentation!$A$2:$A$301,0))</f>
        <v>High</v>
      </c>
      <c r="I10" s="9" t="n">
        <f aca="false">INDEX(Segmentation!$I$2:$I$301,MATCH($A10,Segmentation!$A$2:$A$301,0))</f>
        <v>3879</v>
      </c>
      <c r="J10" s="2" t="n">
        <f aca="false">INDEX(Segmentation!$O$2:$O$301,MATCH($A10,Segmentation!$A$2:$A$301,0))</f>
        <v>37</v>
      </c>
      <c r="K10" s="2" t="n">
        <f aca="false">INDEX(Segmentation!$P$2:$P$301,MATCH($A10,Segmentation!$A$2:$A$301,0))</f>
        <v>28</v>
      </c>
      <c r="L10" s="2" t="n">
        <f aca="false">INDEX(Segmentation!$Q$2:$Q$301,MATCH($A10,Segmentation!$A$2:$A$301,0))</f>
        <v>9</v>
      </c>
      <c r="M10" s="17" t="n">
        <f aca="false">L10/J10</f>
        <v>0.243243243243243</v>
      </c>
      <c r="N10" s="2" t="str">
        <f aca="false">INDEX(Segmentation!$N$2:$N$301,MATCH($A10,Segmentation!$A$2:$A$301,0))</f>
        <v>Growing</v>
      </c>
      <c r="O10" s="17" t="n">
        <f aca="false">INDEX(Segmentation!$M$2:$M$301,MATCH($A10,Segmentation!$A$2:$A$301,0))</f>
        <v>8.51219512195122</v>
      </c>
      <c r="P10" s="10" t="b">
        <f aca="false">INDEX(Segmentation!$AH$2:$AH$301,MATCH($A10,Segmentation!$A$2:$A$301,0))</f>
        <v>0</v>
      </c>
      <c r="Q10" s="10" t="b">
        <f aca="false">INDEX(Segmentation!$AK$2:$AK$301,MATCH($A10,Segmentation!$A$2:$A$301,0))</f>
        <v>0</v>
      </c>
      <c r="R10" s="2" t="str">
        <f aca="false">INDEX(Segmentation!$AJ$2:$AJ$301,MATCH($A10,Segmentation!$A$2:$A$301,0))</f>
        <v>Growing</v>
      </c>
      <c r="S10" s="10" t="b">
        <f aca="false">INDEX(Segmentation!$AQ$2:$AQ$301,MATCH($A10,Segmentation!$A$2:$A$301,0))</f>
        <v>0</v>
      </c>
      <c r="T10" s="2" t="n">
        <f aca="false">INDEX(Segmentation!$AB$2:$AB$301,MATCH($A10,Segmentation!$A$2:$A$301,0))</f>
        <v>76</v>
      </c>
      <c r="U10" s="10" t="b">
        <f aca="false">INDEX(Segmentation!$AG$2:$AG$301,MATCH($A10,Segmentation!$A$2:$A$301,0))</f>
        <v>0</v>
      </c>
      <c r="V10" s="2" t="str">
        <f aca="false">INDEX(Segmentation!$AE$2:$AE$301,MATCH($A10,Segmentation!$A$2:$A$301,0))</f>
        <v/>
      </c>
    </row>
    <row r="11" customFormat="false" ht="15" hidden="false" customHeight="false" outlineLevel="0" collapsed="false">
      <c r="A11" s="2" t="s">
        <v>389</v>
      </c>
      <c r="B11" s="2" t="str">
        <f aca="false">INDEX(Segmentation!$AU$2:$AU$301,MATCH($A11,Segmentation!$A$2:$A$301,0))</f>
        <v>Manual Review</v>
      </c>
      <c r="C11" s="10" t="b">
        <f aca="false">INDEX(Segmentation!$U$2:$U$301,MATCH($A11,Segmentation!$A$2:$A$301,0))</f>
        <v>1</v>
      </c>
      <c r="D11" s="2" t="str">
        <f aca="false">IF(C11,"",IF(F11="Key","Key account (human sign-off route); ","")&amp;IF(J11&lt;Assumptions!$B$39,"orders &lt; min; ","")&amp;IF(L11&lt;Assumptions!$B$40,"self-serve orders &lt; min; ","")&amp;IF(ISNUMBER(SEARCH("Duplicate",V11)),"Duplicate status; ",""))</f>
        <v/>
      </c>
      <c r="E11" s="2" t="str">
        <f aca="false">IF(B11="Manual Review",IF(S11,"material broker % inconsistency; ","")&amp;IF(P11,"borderline momentum; ","")&amp;IF(Q11,"February-sensitive; ","")&amp;IF(NOT(AND(INDEX(Segmentation!$W$2:$W$301,MATCH($A11,Segmentation!$A$2:$A$301,0))&gt;=Assumptions!$B$83,J11&gt;=Assumptions!$B$84)),"lumpy buyer cadence; ",""),"")</f>
        <v>material broker % inconsistency; lumpy buyer cadence; </v>
      </c>
      <c r="F11" s="2" t="str">
        <f aca="false">INDEX(Segmentation!$J$2:$J$301,MATCH($A11,Segmentation!$A$2:$A$301,0))</f>
        <v>Core</v>
      </c>
      <c r="G11" s="21" t="n">
        <f aca="false">INDEX(Segmentation!$F$2:$F$301,MATCH($A11,Segmentation!$A$2:$A$301,0))</f>
        <v>67.5</v>
      </c>
      <c r="H11" s="2" t="str">
        <f aca="false">INDEX(Segmentation!$G$2:$G$301,MATCH($A11,Segmentation!$A$2:$A$301,0))</f>
        <v>Medium</v>
      </c>
      <c r="I11" s="9" t="n">
        <f aca="false">INDEX(Segmentation!$I$2:$I$301,MATCH($A11,Segmentation!$A$2:$A$301,0))</f>
        <v>6452</v>
      </c>
      <c r="J11" s="2" t="n">
        <f aca="false">INDEX(Segmentation!$O$2:$O$301,MATCH($A11,Segmentation!$A$2:$A$301,0))</f>
        <v>3</v>
      </c>
      <c r="K11" s="2" t="n">
        <f aca="false">INDEX(Segmentation!$P$2:$P$301,MATCH($A11,Segmentation!$A$2:$A$301,0))</f>
        <v>1</v>
      </c>
      <c r="L11" s="2" t="n">
        <f aca="false">INDEX(Segmentation!$Q$2:$Q$301,MATCH($A11,Segmentation!$A$2:$A$301,0))</f>
        <v>2</v>
      </c>
      <c r="M11" s="17" t="n">
        <f aca="false">L11/J11</f>
        <v>0.666666666666667</v>
      </c>
      <c r="N11" s="2" t="str">
        <f aca="false">INDEX(Segmentation!$N$2:$N$301,MATCH($A11,Segmentation!$A$2:$A$301,0))</f>
        <v>Stable</v>
      </c>
      <c r="O11" s="17" t="n">
        <f aca="false">INDEX(Segmentation!$M$2:$M$301,MATCH($A11,Segmentation!$A$2:$A$301,0))</f>
        <v>-0.142774899251583</v>
      </c>
      <c r="P11" s="10" t="b">
        <f aca="false">INDEX(Segmentation!$AH$2:$AH$301,MATCH($A11,Segmentation!$A$2:$A$301,0))</f>
        <v>0</v>
      </c>
      <c r="Q11" s="10" t="b">
        <f aca="false">INDEX(Segmentation!$AK$2:$AK$301,MATCH($A11,Segmentation!$A$2:$A$301,0))</f>
        <v>0</v>
      </c>
      <c r="R11" s="2" t="str">
        <f aca="false">INDEX(Segmentation!$AJ$2:$AJ$301,MATCH($A11,Segmentation!$A$2:$A$301,0))</f>
        <v>Growing</v>
      </c>
      <c r="S11" s="10" t="b">
        <f aca="false">INDEX(Segmentation!$AQ$2:$AQ$301,MATCH($A11,Segmentation!$A$2:$A$301,0))</f>
        <v>1</v>
      </c>
      <c r="T11" s="2" t="n">
        <f aca="false">INDEX(Segmentation!$AB$2:$AB$301,MATCH($A11,Segmentation!$A$2:$A$301,0))</f>
        <v>33</v>
      </c>
      <c r="U11" s="10" t="b">
        <f aca="false">INDEX(Segmentation!$AG$2:$AG$301,MATCH($A11,Segmentation!$A$2:$A$301,0))</f>
        <v>0</v>
      </c>
      <c r="V11" s="2" t="str">
        <f aca="false">INDEX(Segmentation!$AE$2:$AE$301,MATCH($A11,Segmentation!$A$2:$A$301,0))</f>
        <v>Broker % vs counts gap +15pts; </v>
      </c>
    </row>
    <row r="12" customFormat="false" ht="15" hidden="false" customHeight="false" outlineLevel="0" collapsed="false">
      <c r="A12" s="2" t="s">
        <v>399</v>
      </c>
      <c r="B12" s="2" t="str">
        <f aca="false">INDEX(Segmentation!$AU$2:$AU$301,MATCH($A12,Segmentation!$A$2:$A$301,0))</f>
        <v>Manual Review</v>
      </c>
      <c r="C12" s="10" t="b">
        <f aca="false">INDEX(Segmentation!$U$2:$U$301,MATCH($A12,Segmentation!$A$2:$A$301,0))</f>
        <v>1</v>
      </c>
      <c r="D12" s="2" t="str">
        <f aca="false">IF(C12,"",IF(F12="Key","Key account (human sign-off route); ","")&amp;IF(J12&lt;Assumptions!$B$39,"orders &lt; min; ","")&amp;IF(L12&lt;Assumptions!$B$40,"self-serve orders &lt; min; ","")&amp;IF(ISNUMBER(SEARCH("Duplicate",V12)),"Duplicate status; ",""))</f>
        <v/>
      </c>
      <c r="E12" s="2" t="str">
        <f aca="false">IF(B12="Manual Review",IF(S12,"material broker % inconsistency; ","")&amp;IF(P12,"borderline momentum; ","")&amp;IF(Q12,"February-sensitive; ","")&amp;IF(NOT(AND(INDEX(Segmentation!$W$2:$W$301,MATCH($A12,Segmentation!$A$2:$A$301,0))&gt;=Assumptions!$B$83,J12&gt;=Assumptions!$B$84)),"lumpy buyer cadence; ",""),"")</f>
        <v>borderline momentum; </v>
      </c>
      <c r="F12" s="2" t="str">
        <f aca="false">INDEX(Segmentation!$J$2:$J$301,MATCH($A12,Segmentation!$A$2:$A$301,0))</f>
        <v>Core</v>
      </c>
      <c r="G12" s="21" t="n">
        <f aca="false">INDEX(Segmentation!$F$2:$F$301,MATCH($A12,Segmentation!$A$2:$A$301,0))</f>
        <v>70</v>
      </c>
      <c r="H12" s="2" t="str">
        <f aca="false">INDEX(Segmentation!$G$2:$G$301,MATCH($A12,Segmentation!$A$2:$A$301,0))</f>
        <v>High</v>
      </c>
      <c r="I12" s="9" t="n">
        <f aca="false">INDEX(Segmentation!$I$2:$I$301,MATCH($A12,Segmentation!$A$2:$A$301,0))</f>
        <v>5214</v>
      </c>
      <c r="J12" s="2" t="n">
        <f aca="false">INDEX(Segmentation!$O$2:$O$301,MATCH($A12,Segmentation!$A$2:$A$301,0))</f>
        <v>14</v>
      </c>
      <c r="K12" s="2" t="n">
        <f aca="false">INDEX(Segmentation!$P$2:$P$301,MATCH($A12,Segmentation!$A$2:$A$301,0))</f>
        <v>9</v>
      </c>
      <c r="L12" s="2" t="n">
        <f aca="false">INDEX(Segmentation!$Q$2:$Q$301,MATCH($A12,Segmentation!$A$2:$A$301,0))</f>
        <v>5</v>
      </c>
      <c r="M12" s="17" t="n">
        <f aca="false">L12/J12</f>
        <v>0.357142857142857</v>
      </c>
      <c r="N12" s="2" t="str">
        <f aca="false">INDEX(Segmentation!$N$2:$N$301,MATCH($A12,Segmentation!$A$2:$A$301,0))</f>
        <v>Stable</v>
      </c>
      <c r="O12" s="17" t="n">
        <f aca="false">INDEX(Segmentation!$M$2:$M$301,MATCH($A12,Segmentation!$A$2:$A$301,0))</f>
        <v>-0.191814082552896</v>
      </c>
      <c r="P12" s="10" t="b">
        <f aca="false">INDEX(Segmentation!$AH$2:$AH$301,MATCH($A12,Segmentation!$A$2:$A$301,0))</f>
        <v>1</v>
      </c>
      <c r="Q12" s="10" t="b">
        <f aca="false">INDEX(Segmentation!$AK$2:$AK$301,MATCH($A12,Segmentation!$A$2:$A$301,0))</f>
        <v>0</v>
      </c>
      <c r="R12" s="2" t="str">
        <f aca="false">INDEX(Segmentation!$AJ$2:$AJ$301,MATCH($A12,Segmentation!$A$2:$A$301,0))</f>
        <v>Stable</v>
      </c>
      <c r="S12" s="10" t="b">
        <f aca="false">INDEX(Segmentation!$AQ$2:$AQ$301,MATCH($A12,Segmentation!$A$2:$A$301,0))</f>
        <v>0</v>
      </c>
      <c r="T12" s="2" t="n">
        <f aca="false">INDEX(Segmentation!$AB$2:$AB$301,MATCH($A12,Segmentation!$A$2:$A$301,0))</f>
        <v>64</v>
      </c>
      <c r="U12" s="10" t="b">
        <f aca="false">INDEX(Segmentation!$AG$2:$AG$301,MATCH($A12,Segmentation!$A$2:$A$301,0))</f>
        <v>0</v>
      </c>
      <c r="V12" s="2" t="str">
        <f aca="false">INDEX(Segmentation!$AE$2:$AE$301,MATCH($A12,Segmentation!$A$2:$A$301,0))</f>
        <v/>
      </c>
    </row>
    <row r="13" customFormat="false" ht="15" hidden="false" customHeight="false" outlineLevel="0" collapsed="false">
      <c r="A13" s="2" t="s">
        <v>419</v>
      </c>
      <c r="B13" s="2" t="str">
        <f aca="false">INDEX(Segmentation!$AU$2:$AU$301,MATCH($A13,Segmentation!$A$2:$A$301,0))</f>
        <v>Manual Review</v>
      </c>
      <c r="C13" s="10" t="b">
        <f aca="false">INDEX(Segmentation!$U$2:$U$301,MATCH($A13,Segmentation!$A$2:$A$301,0))</f>
        <v>1</v>
      </c>
      <c r="D13" s="2" t="str">
        <f aca="false">IF(C13,"",IF(F13="Key","Key account (human sign-off route); ","")&amp;IF(J13&lt;Assumptions!$B$39,"orders &lt; min; ","")&amp;IF(L13&lt;Assumptions!$B$40,"self-serve orders &lt; min; ","")&amp;IF(ISNUMBER(SEARCH("Duplicate",V13)),"Duplicate status; ",""))</f>
        <v/>
      </c>
      <c r="E13" s="2" t="str">
        <f aca="false">IF(B13="Manual Review",IF(S13,"material broker % inconsistency; ","")&amp;IF(P13,"borderline momentum; ","")&amp;IF(Q13,"February-sensitive; ","")&amp;IF(NOT(AND(INDEX(Segmentation!$W$2:$W$301,MATCH($A13,Segmentation!$A$2:$A$301,0))&gt;=Assumptions!$B$83,J13&gt;=Assumptions!$B$84)),"lumpy buyer cadence; ",""),"")</f>
        <v>borderline momentum; </v>
      </c>
      <c r="F13" s="2" t="str">
        <f aca="false">INDEX(Segmentation!$J$2:$J$301,MATCH($A13,Segmentation!$A$2:$A$301,0))</f>
        <v>Core</v>
      </c>
      <c r="G13" s="21" t="n">
        <f aca="false">INDEX(Segmentation!$F$2:$F$301,MATCH($A13,Segmentation!$A$2:$A$301,0))</f>
        <v>65</v>
      </c>
      <c r="H13" s="2" t="str">
        <f aca="false">INDEX(Segmentation!$G$2:$G$301,MATCH($A13,Segmentation!$A$2:$A$301,0))</f>
        <v>Medium</v>
      </c>
      <c r="I13" s="9" t="n">
        <f aca="false">INDEX(Segmentation!$I$2:$I$301,MATCH($A13,Segmentation!$A$2:$A$301,0))</f>
        <v>3925</v>
      </c>
      <c r="J13" s="2" t="n">
        <f aca="false">INDEX(Segmentation!$O$2:$O$301,MATCH($A13,Segmentation!$A$2:$A$301,0))</f>
        <v>8</v>
      </c>
      <c r="K13" s="2" t="n">
        <f aca="false">INDEX(Segmentation!$P$2:$P$301,MATCH($A13,Segmentation!$A$2:$A$301,0))</f>
        <v>4</v>
      </c>
      <c r="L13" s="2" t="n">
        <f aca="false">INDEX(Segmentation!$Q$2:$Q$301,MATCH($A13,Segmentation!$A$2:$A$301,0))</f>
        <v>4</v>
      </c>
      <c r="M13" s="17" t="n">
        <f aca="false">L13/J13</f>
        <v>0.5</v>
      </c>
      <c r="N13" s="2" t="str">
        <f aca="false">INDEX(Segmentation!$N$2:$N$301,MATCH($A13,Segmentation!$A$2:$A$301,0))</f>
        <v>Stable</v>
      </c>
      <c r="O13" s="17" t="n">
        <f aca="false">INDEX(Segmentation!$M$2:$M$301,MATCH($A13,Segmentation!$A$2:$A$301,0))</f>
        <v>-0.153809971777987</v>
      </c>
      <c r="P13" s="10" t="b">
        <f aca="false">INDEX(Segmentation!$AH$2:$AH$301,MATCH($A13,Segmentation!$A$2:$A$301,0))</f>
        <v>1</v>
      </c>
      <c r="Q13" s="10" t="b">
        <f aca="false">INDEX(Segmentation!$AK$2:$AK$301,MATCH($A13,Segmentation!$A$2:$A$301,0))</f>
        <v>0</v>
      </c>
      <c r="R13" s="2" t="str">
        <f aca="false">INDEX(Segmentation!$AJ$2:$AJ$301,MATCH($A13,Segmentation!$A$2:$A$301,0))</f>
        <v>Stable</v>
      </c>
      <c r="S13" s="10" t="b">
        <f aca="false">INDEX(Segmentation!$AQ$2:$AQ$301,MATCH($A13,Segmentation!$A$2:$A$301,0))</f>
        <v>0</v>
      </c>
      <c r="T13" s="2" t="n">
        <f aca="false">INDEX(Segmentation!$AB$2:$AB$301,MATCH($A13,Segmentation!$A$2:$A$301,0))</f>
        <v>50</v>
      </c>
      <c r="U13" s="10" t="b">
        <f aca="false">INDEX(Segmentation!$AG$2:$AG$301,MATCH($A13,Segmentation!$A$2:$A$301,0))</f>
        <v>0</v>
      </c>
      <c r="V13" s="2" t="str">
        <f aca="false">INDEX(Segmentation!$AE$2:$AE$301,MATCH($A13,Segmentation!$A$2:$A$301,0))</f>
        <v/>
      </c>
    </row>
    <row r="14" customFormat="false" ht="15" hidden="false" customHeight="false" outlineLevel="0" collapsed="false">
      <c r="A14" s="2" t="s">
        <v>442</v>
      </c>
      <c r="B14" s="2" t="str">
        <f aca="false">INDEX(Segmentation!$AU$2:$AU$301,MATCH($A14,Segmentation!$A$2:$A$301,0))</f>
        <v>Manual Review</v>
      </c>
      <c r="C14" s="10" t="b">
        <f aca="false">INDEX(Segmentation!$U$2:$U$301,MATCH($A14,Segmentation!$A$2:$A$301,0))</f>
        <v>1</v>
      </c>
      <c r="D14" s="2" t="str">
        <f aca="false">IF(C14,"",IF(F14="Key","Key account (human sign-off route); ","")&amp;IF(J14&lt;Assumptions!$B$39,"orders &lt; min; ","")&amp;IF(L14&lt;Assumptions!$B$40,"self-serve orders &lt; min; ","")&amp;IF(ISNUMBER(SEARCH("Duplicate",V14)),"Duplicate status; ",""))</f>
        <v/>
      </c>
      <c r="E14" s="2" t="str">
        <f aca="false">IF(B14="Manual Review",IF(S14,"material broker % inconsistency; ","")&amp;IF(P14,"borderline momentum; ","")&amp;IF(Q14,"February-sensitive; ","")&amp;IF(NOT(AND(INDEX(Segmentation!$W$2:$W$301,MATCH($A14,Segmentation!$A$2:$A$301,0))&gt;=Assumptions!$B$83,J14&gt;=Assumptions!$B$84)),"lumpy buyer cadence; ",""),"")</f>
        <v>material broker % inconsistency; borderline momentum; </v>
      </c>
      <c r="F14" s="2" t="str">
        <f aca="false">INDEX(Segmentation!$J$2:$J$301,MATCH($A14,Segmentation!$A$2:$A$301,0))</f>
        <v>Core</v>
      </c>
      <c r="G14" s="21" t="n">
        <f aca="false">INDEX(Segmentation!$F$2:$F$301,MATCH($A14,Segmentation!$A$2:$A$301,0))</f>
        <v>62.5</v>
      </c>
      <c r="H14" s="2" t="str">
        <f aca="false">INDEX(Segmentation!$G$2:$G$301,MATCH($A14,Segmentation!$A$2:$A$301,0))</f>
        <v>Medium</v>
      </c>
      <c r="I14" s="9" t="n">
        <f aca="false">INDEX(Segmentation!$I$2:$I$301,MATCH($A14,Segmentation!$A$2:$A$301,0))</f>
        <v>2380</v>
      </c>
      <c r="J14" s="2" t="n">
        <f aca="false">INDEX(Segmentation!$O$2:$O$301,MATCH($A14,Segmentation!$A$2:$A$301,0))</f>
        <v>5</v>
      </c>
      <c r="K14" s="2" t="n">
        <f aca="false">INDEX(Segmentation!$P$2:$P$301,MATCH($A14,Segmentation!$A$2:$A$301,0))</f>
        <v>3</v>
      </c>
      <c r="L14" s="2" t="n">
        <f aca="false">INDEX(Segmentation!$Q$2:$Q$301,MATCH($A14,Segmentation!$A$2:$A$301,0))</f>
        <v>2</v>
      </c>
      <c r="M14" s="17" t="n">
        <f aca="false">L14/J14</f>
        <v>0.4</v>
      </c>
      <c r="N14" s="2" t="str">
        <f aca="false">INDEX(Segmentation!$N$2:$N$301,MATCH($A14,Segmentation!$A$2:$A$301,0))</f>
        <v>Stable</v>
      </c>
      <c r="O14" s="17" t="n">
        <f aca="false">INDEX(Segmentation!$M$2:$M$301,MATCH($A14,Segmentation!$A$2:$A$301,0))</f>
        <v>0.185491276400367</v>
      </c>
      <c r="P14" s="10" t="b">
        <f aca="false">INDEX(Segmentation!$AH$2:$AH$301,MATCH($A14,Segmentation!$A$2:$A$301,0))</f>
        <v>1</v>
      </c>
      <c r="Q14" s="10" t="b">
        <f aca="false">INDEX(Segmentation!$AK$2:$AK$301,MATCH($A14,Segmentation!$A$2:$A$301,0))</f>
        <v>0</v>
      </c>
      <c r="R14" s="2" t="str">
        <f aca="false">INDEX(Segmentation!$AJ$2:$AJ$301,MATCH($A14,Segmentation!$A$2:$A$301,0))</f>
        <v>Growing</v>
      </c>
      <c r="S14" s="10" t="b">
        <f aca="false">INDEX(Segmentation!$AQ$2:$AQ$301,MATCH($A14,Segmentation!$A$2:$A$301,0))</f>
        <v>1</v>
      </c>
      <c r="T14" s="2" t="n">
        <f aca="false">INDEX(Segmentation!$AB$2:$AB$301,MATCH($A14,Segmentation!$A$2:$A$301,0))</f>
        <v>60</v>
      </c>
      <c r="U14" s="10" t="b">
        <f aca="false">INDEX(Segmentation!$AG$2:$AG$301,MATCH($A14,Segmentation!$A$2:$A$301,0))</f>
        <v>0</v>
      </c>
      <c r="V14" s="2" t="str">
        <f aca="false">INDEX(Segmentation!$AE$2:$AE$301,MATCH($A14,Segmentation!$A$2:$A$301,0))</f>
        <v/>
      </c>
    </row>
    <row r="15" customFormat="false" ht="15" hidden="false" customHeight="false" outlineLevel="0" collapsed="false">
      <c r="A15" s="2" t="s">
        <v>446</v>
      </c>
      <c r="B15" s="2" t="str">
        <f aca="false">INDEX(Segmentation!$AU$2:$AU$301,MATCH($A15,Segmentation!$A$2:$A$301,0))</f>
        <v>Manual Review</v>
      </c>
      <c r="C15" s="10" t="b">
        <f aca="false">INDEX(Segmentation!$U$2:$U$301,MATCH($A15,Segmentation!$A$2:$A$301,0))</f>
        <v>1</v>
      </c>
      <c r="D15" s="2" t="str">
        <f aca="false">IF(C15,"",IF(F15="Key","Key account (human sign-off route); ","")&amp;IF(J15&lt;Assumptions!$B$39,"orders &lt; min; ","")&amp;IF(L15&lt;Assumptions!$B$40,"self-serve orders &lt; min; ","")&amp;IF(ISNUMBER(SEARCH("Duplicate",V15)),"Duplicate status; ",""))</f>
        <v/>
      </c>
      <c r="E15" s="2" t="str">
        <f aca="false">IF(B15="Manual Review",IF(S15,"material broker % inconsistency; ","")&amp;IF(P15,"borderline momentum; ","")&amp;IF(Q15,"February-sensitive; ","")&amp;IF(NOT(AND(INDEX(Segmentation!$W$2:$W$301,MATCH($A15,Segmentation!$A$2:$A$301,0))&gt;=Assumptions!$B$83,J15&gt;=Assumptions!$B$84)),"lumpy buyer cadence; ",""),"")</f>
        <v>February-sensitive; lumpy buyer cadence; </v>
      </c>
      <c r="F15" s="2" t="str">
        <f aca="false">INDEX(Segmentation!$J$2:$J$301,MATCH($A15,Segmentation!$A$2:$A$301,0))</f>
        <v>Core</v>
      </c>
      <c r="G15" s="21" t="n">
        <f aca="false">INDEX(Segmentation!$F$2:$F$301,MATCH($A15,Segmentation!$A$2:$A$301,0))</f>
        <v>67.5</v>
      </c>
      <c r="H15" s="2" t="str">
        <f aca="false">INDEX(Segmentation!$G$2:$G$301,MATCH($A15,Segmentation!$A$2:$A$301,0))</f>
        <v>Medium</v>
      </c>
      <c r="I15" s="9" t="n">
        <f aca="false">INDEX(Segmentation!$I$2:$I$301,MATCH($A15,Segmentation!$A$2:$A$301,0))</f>
        <v>2277</v>
      </c>
      <c r="J15" s="2" t="n">
        <f aca="false">INDEX(Segmentation!$O$2:$O$301,MATCH($A15,Segmentation!$A$2:$A$301,0))</f>
        <v>8</v>
      </c>
      <c r="K15" s="2" t="n">
        <f aca="false">INDEX(Segmentation!$P$2:$P$301,MATCH($A15,Segmentation!$A$2:$A$301,0))</f>
        <v>4</v>
      </c>
      <c r="L15" s="2" t="n">
        <f aca="false">INDEX(Segmentation!$Q$2:$Q$301,MATCH($A15,Segmentation!$A$2:$A$301,0))</f>
        <v>4</v>
      </c>
      <c r="M15" s="17" t="n">
        <f aca="false">L15/J15</f>
        <v>0.5</v>
      </c>
      <c r="N15" s="2" t="str">
        <f aca="false">INDEX(Segmentation!$N$2:$N$301,MATCH($A15,Segmentation!$A$2:$A$301,0))</f>
        <v>Growing</v>
      </c>
      <c r="O15" s="17" t="n">
        <f aca="false">INDEX(Segmentation!$M$2:$M$301,MATCH($A15,Segmentation!$A$2:$A$301,0))</f>
        <v>0.318737270875764</v>
      </c>
      <c r="P15" s="10" t="b">
        <f aca="false">INDEX(Segmentation!$AH$2:$AH$301,MATCH($A15,Segmentation!$A$2:$A$301,0))</f>
        <v>0</v>
      </c>
      <c r="Q15" s="10" t="b">
        <f aca="false">INDEX(Segmentation!$AK$2:$AK$301,MATCH($A15,Segmentation!$A$2:$A$301,0))</f>
        <v>1</v>
      </c>
      <c r="R15" s="2" t="str">
        <f aca="false">INDEX(Segmentation!$AJ$2:$AJ$301,MATCH($A15,Segmentation!$A$2:$A$301,0))</f>
        <v>Lapsed</v>
      </c>
      <c r="S15" s="10" t="b">
        <f aca="false">INDEX(Segmentation!$AQ$2:$AQ$301,MATCH($A15,Segmentation!$A$2:$A$301,0))</f>
        <v>0</v>
      </c>
      <c r="T15" s="2" t="n">
        <f aca="false">INDEX(Segmentation!$AB$2:$AB$301,MATCH($A15,Segmentation!$A$2:$A$301,0))</f>
        <v>50</v>
      </c>
      <c r="U15" s="10" t="b">
        <f aca="false">INDEX(Segmentation!$AG$2:$AG$301,MATCH($A15,Segmentation!$A$2:$A$301,0))</f>
        <v>0</v>
      </c>
      <c r="V15" s="2" t="str">
        <f aca="false">INDEX(Segmentation!$AE$2:$AE$301,MATCH($A15,Segmentation!$A$2:$A$301,0))</f>
        <v/>
      </c>
    </row>
    <row r="16" customFormat="false" ht="15" hidden="false" customHeight="false" outlineLevel="0" collapsed="false">
      <c r="A16" s="2" t="s">
        <v>308</v>
      </c>
      <c r="B16" s="2" t="str">
        <f aca="false">INDEX(Segmentation!$AU$2:$AU$301,MATCH($A16,Segmentation!$A$2:$A$301,0))</f>
        <v>Not Eligible</v>
      </c>
      <c r="C16" s="10" t="b">
        <f aca="false">INDEX(Segmentation!$U$2:$U$301,MATCH($A16,Segmentation!$A$2:$A$301,0))</f>
        <v>0</v>
      </c>
      <c r="D16" s="2" t="str">
        <f aca="false">IF(C16,"",IF(F16="Key","Key account (human sign-off route); ","")&amp;IF(J16&lt;Assumptions!$B$39,"orders &lt; min; ","")&amp;IF(L16&lt;Assumptions!$B$40,"self-serve orders &lt; min; ","")&amp;IF(ISNUMBER(SEARCH("Duplicate",V16)),"Duplicate status; ",""))</f>
        <v>Key account (human sign-off route); </v>
      </c>
      <c r="E16" s="2" t="str">
        <f aca="false">IF(B16="Manual Review",IF(S16,"material broker % inconsistency; ","")&amp;IF(P16,"borderline momentum; ","")&amp;IF(Q16,"February-sensitive; ","")&amp;IF(NOT(AND(INDEX(Segmentation!$W$2:$W$301,MATCH($A16,Segmentation!$A$2:$A$301,0))&gt;=Assumptions!$B$83,J16&gt;=Assumptions!$B$84)),"lumpy buyer cadence; ",""),"")</f>
        <v/>
      </c>
      <c r="F16" s="2" t="str">
        <f aca="false">INDEX(Segmentation!$J$2:$J$301,MATCH($A16,Segmentation!$A$2:$A$301,0))</f>
        <v>Key</v>
      </c>
      <c r="G16" s="21" t="n">
        <f aca="false">INDEX(Segmentation!$F$2:$F$301,MATCH($A16,Segmentation!$A$2:$A$301,0))</f>
        <v>87.5</v>
      </c>
      <c r="H16" s="2" t="str">
        <f aca="false">INDEX(Segmentation!$G$2:$G$301,MATCH($A16,Segmentation!$A$2:$A$301,0))</f>
        <v>High</v>
      </c>
      <c r="I16" s="9" t="n">
        <f aca="false">INDEX(Segmentation!$I$2:$I$301,MATCH($A16,Segmentation!$A$2:$A$301,0))</f>
        <v>170132</v>
      </c>
      <c r="J16" s="2" t="n">
        <f aca="false">INDEX(Segmentation!$O$2:$O$301,MATCH($A16,Segmentation!$A$2:$A$301,0))</f>
        <v>46</v>
      </c>
      <c r="K16" s="2" t="n">
        <f aca="false">INDEX(Segmentation!$P$2:$P$301,MATCH($A16,Segmentation!$A$2:$A$301,0))</f>
        <v>32</v>
      </c>
      <c r="L16" s="2" t="n">
        <f aca="false">INDEX(Segmentation!$Q$2:$Q$301,MATCH($A16,Segmentation!$A$2:$A$301,0))</f>
        <v>14</v>
      </c>
      <c r="M16" s="17" t="n">
        <f aca="false">L16/J16</f>
        <v>0.304347826086957</v>
      </c>
      <c r="N16" s="2" t="str">
        <f aca="false">INDEX(Segmentation!$N$2:$N$301,MATCH($A16,Segmentation!$A$2:$A$301,0))</f>
        <v>Stable</v>
      </c>
      <c r="O16" s="17" t="n">
        <f aca="false">INDEX(Segmentation!$M$2:$M$301,MATCH($A16,Segmentation!$A$2:$A$301,0))</f>
        <v>-0.181281736062857</v>
      </c>
      <c r="P16" s="10" t="b">
        <f aca="false">INDEX(Segmentation!$AH$2:$AH$301,MATCH($A16,Segmentation!$A$2:$A$301,0))</f>
        <v>1</v>
      </c>
      <c r="Q16" s="10" t="b">
        <f aca="false">INDEX(Segmentation!$AK$2:$AK$301,MATCH($A16,Segmentation!$A$2:$A$301,0))</f>
        <v>1</v>
      </c>
      <c r="R16" s="2" t="str">
        <f aca="false">INDEX(Segmentation!$AJ$2:$AJ$301,MATCH($A16,Segmentation!$A$2:$A$301,0))</f>
        <v>Declining</v>
      </c>
      <c r="S16" s="10" t="b">
        <f aca="false">INDEX(Segmentation!$AQ$2:$AQ$301,MATCH($A16,Segmentation!$A$2:$A$301,0))</f>
        <v>0</v>
      </c>
      <c r="T16" s="2" t="n">
        <f aca="false">INDEX(Segmentation!$AB$2:$AB$301,MATCH($A16,Segmentation!$A$2:$A$301,0))</f>
        <v>70</v>
      </c>
      <c r="U16" s="10" t="b">
        <f aca="false">INDEX(Segmentation!$AG$2:$AG$301,MATCH($A16,Segmentation!$A$2:$A$301,0))</f>
        <v>1</v>
      </c>
      <c r="V16" s="2" t="str">
        <f aca="false">INDEX(Segmentation!$AE$2:$AE$301,MATCH($A16,Segmentation!$A$2:$A$301,0))</f>
        <v/>
      </c>
    </row>
    <row r="17" customFormat="false" ht="15" hidden="false" customHeight="false" outlineLevel="0" collapsed="false">
      <c r="A17" s="2" t="s">
        <v>328</v>
      </c>
      <c r="B17" s="2" t="str">
        <f aca="false">INDEX(Segmentation!$AU$2:$AU$301,MATCH($A17,Segmentation!$A$2:$A$301,0))</f>
        <v>Not Eligible</v>
      </c>
      <c r="C17" s="10" t="b">
        <f aca="false">INDEX(Segmentation!$U$2:$U$301,MATCH($A17,Segmentation!$A$2:$A$301,0))</f>
        <v>0</v>
      </c>
      <c r="D17" s="2" t="str">
        <f aca="false">IF(C17,"",IF(F17="Key","Key account (human sign-off route); ","")&amp;IF(J17&lt;Assumptions!$B$39,"orders &lt; min; ","")&amp;IF(L17&lt;Assumptions!$B$40,"self-serve orders &lt; min; ","")&amp;IF(ISNUMBER(SEARCH("Duplicate",V17)),"Duplicate status; ",""))</f>
        <v>Key account (human sign-off route); </v>
      </c>
      <c r="E17" s="2" t="str">
        <f aca="false">IF(B17="Manual Review",IF(S17,"material broker % inconsistency; ","")&amp;IF(P17,"borderline momentum; ","")&amp;IF(Q17,"February-sensitive; ","")&amp;IF(NOT(AND(INDEX(Segmentation!$W$2:$W$301,MATCH($A17,Segmentation!$A$2:$A$301,0))&gt;=Assumptions!$B$83,J17&gt;=Assumptions!$B$84)),"lumpy buyer cadence; ",""),"")</f>
        <v/>
      </c>
      <c r="F17" s="2" t="str">
        <f aca="false">INDEX(Segmentation!$J$2:$J$301,MATCH($A17,Segmentation!$A$2:$A$301,0))</f>
        <v>Key</v>
      </c>
      <c r="G17" s="21" t="n">
        <f aca="false">INDEX(Segmentation!$F$2:$F$301,MATCH($A17,Segmentation!$A$2:$A$301,0))</f>
        <v>77.5</v>
      </c>
      <c r="H17" s="2" t="str">
        <f aca="false">INDEX(Segmentation!$G$2:$G$301,MATCH($A17,Segmentation!$A$2:$A$301,0))</f>
        <v>High</v>
      </c>
      <c r="I17" s="9" t="n">
        <f aca="false">INDEX(Segmentation!$I$2:$I$301,MATCH($A17,Segmentation!$A$2:$A$301,0))</f>
        <v>41039</v>
      </c>
      <c r="J17" s="2" t="n">
        <f aca="false">INDEX(Segmentation!$O$2:$O$301,MATCH($A17,Segmentation!$A$2:$A$301,0))</f>
        <v>36</v>
      </c>
      <c r="K17" s="2" t="n">
        <f aca="false">INDEX(Segmentation!$P$2:$P$301,MATCH($A17,Segmentation!$A$2:$A$301,0))</f>
        <v>27</v>
      </c>
      <c r="L17" s="2" t="n">
        <f aca="false">INDEX(Segmentation!$Q$2:$Q$301,MATCH($A17,Segmentation!$A$2:$A$301,0))</f>
        <v>9</v>
      </c>
      <c r="M17" s="17" t="n">
        <f aca="false">L17/J17</f>
        <v>0.25</v>
      </c>
      <c r="N17" s="2" t="str">
        <f aca="false">INDEX(Segmentation!$N$2:$N$301,MATCH($A17,Segmentation!$A$2:$A$301,0))</f>
        <v>Stable</v>
      </c>
      <c r="O17" s="17" t="n">
        <f aca="false">INDEX(Segmentation!$M$2:$M$301,MATCH($A17,Segmentation!$A$2:$A$301,0))</f>
        <v>-0.199324324324324</v>
      </c>
      <c r="P17" s="10" t="b">
        <f aca="false">INDEX(Segmentation!$AH$2:$AH$301,MATCH($A17,Segmentation!$A$2:$A$301,0))</f>
        <v>1</v>
      </c>
      <c r="Q17" s="10" t="b">
        <f aca="false">INDEX(Segmentation!$AK$2:$AK$301,MATCH($A17,Segmentation!$A$2:$A$301,0))</f>
        <v>1</v>
      </c>
      <c r="R17" s="2" t="str">
        <f aca="false">INDEX(Segmentation!$AJ$2:$AJ$301,MATCH($A17,Segmentation!$A$2:$A$301,0))</f>
        <v>Declining</v>
      </c>
      <c r="S17" s="10" t="b">
        <f aca="false">INDEX(Segmentation!$AQ$2:$AQ$301,MATCH($A17,Segmentation!$A$2:$A$301,0))</f>
        <v>0</v>
      </c>
      <c r="T17" s="2" t="n">
        <f aca="false">INDEX(Segmentation!$AB$2:$AB$301,MATCH($A17,Segmentation!$A$2:$A$301,0))</f>
        <v>75</v>
      </c>
      <c r="U17" s="10" t="b">
        <f aca="false">INDEX(Segmentation!$AG$2:$AG$301,MATCH($A17,Segmentation!$A$2:$A$301,0))</f>
        <v>1</v>
      </c>
      <c r="V17" s="2" t="str">
        <f aca="false">INDEX(Segmentation!$AE$2:$AE$301,MATCH($A17,Segmentation!$A$2:$A$301,0))</f>
        <v/>
      </c>
    </row>
    <row r="18" customFormat="false" ht="15" hidden="false" customHeight="false" outlineLevel="0" collapsed="false">
      <c r="A18" s="2" t="s">
        <v>331</v>
      </c>
      <c r="B18" s="2" t="str">
        <f aca="false">INDEX(Segmentation!$AU$2:$AU$301,MATCH($A18,Segmentation!$A$2:$A$301,0))</f>
        <v>Not Eligible</v>
      </c>
      <c r="C18" s="10" t="b">
        <f aca="false">INDEX(Segmentation!$U$2:$U$301,MATCH($A18,Segmentation!$A$2:$A$301,0))</f>
        <v>0</v>
      </c>
      <c r="D18" s="2" t="str">
        <f aca="false">IF(C18,"",IF(F18="Key","Key account (human sign-off route); ","")&amp;IF(J18&lt;Assumptions!$B$39,"orders &lt; min; ","")&amp;IF(L18&lt;Assumptions!$B$40,"self-serve orders &lt; min; ","")&amp;IF(ISNUMBER(SEARCH("Duplicate",V18)),"Duplicate status; ",""))</f>
        <v>Key account (human sign-off route); </v>
      </c>
      <c r="E18" s="2" t="str">
        <f aca="false">IF(B18="Manual Review",IF(S18,"material broker % inconsistency; ","")&amp;IF(P18,"borderline momentum; ","")&amp;IF(Q18,"February-sensitive; ","")&amp;IF(NOT(AND(INDEX(Segmentation!$W$2:$W$301,MATCH($A18,Segmentation!$A$2:$A$301,0))&gt;=Assumptions!$B$83,J18&gt;=Assumptions!$B$84)),"lumpy buyer cadence; ",""),"")</f>
        <v/>
      </c>
      <c r="F18" s="2" t="str">
        <f aca="false">INDEX(Segmentation!$J$2:$J$301,MATCH($A18,Segmentation!$A$2:$A$301,0))</f>
        <v>Key</v>
      </c>
      <c r="G18" s="21" t="n">
        <f aca="false">INDEX(Segmentation!$F$2:$F$301,MATCH($A18,Segmentation!$A$2:$A$301,0))</f>
        <v>70</v>
      </c>
      <c r="H18" s="2" t="str">
        <f aca="false">INDEX(Segmentation!$G$2:$G$301,MATCH($A18,Segmentation!$A$2:$A$301,0))</f>
        <v>High</v>
      </c>
      <c r="I18" s="9" t="n">
        <f aca="false">INDEX(Segmentation!$I$2:$I$301,MATCH($A18,Segmentation!$A$2:$A$301,0))</f>
        <v>27099</v>
      </c>
      <c r="J18" s="2" t="n">
        <f aca="false">INDEX(Segmentation!$O$2:$O$301,MATCH($A18,Segmentation!$A$2:$A$301,0))</f>
        <v>19</v>
      </c>
      <c r="K18" s="2" t="n">
        <f aca="false">INDEX(Segmentation!$P$2:$P$301,MATCH($A18,Segmentation!$A$2:$A$301,0))</f>
        <v>12</v>
      </c>
      <c r="L18" s="2" t="n">
        <f aca="false">INDEX(Segmentation!$Q$2:$Q$301,MATCH($A18,Segmentation!$A$2:$A$301,0))</f>
        <v>7</v>
      </c>
      <c r="M18" s="17" t="n">
        <f aca="false">L18/J18</f>
        <v>0.368421052631579</v>
      </c>
      <c r="N18" s="2" t="str">
        <f aca="false">INDEX(Segmentation!$N$2:$N$301,MATCH($A18,Segmentation!$A$2:$A$301,0))</f>
        <v>Stable</v>
      </c>
      <c r="O18" s="17" t="n">
        <f aca="false">INDEX(Segmentation!$M$2:$M$301,MATCH($A18,Segmentation!$A$2:$A$301,0))</f>
        <v>-0.157089425365522</v>
      </c>
      <c r="P18" s="10" t="b">
        <f aca="false">INDEX(Segmentation!$AH$2:$AH$301,MATCH($A18,Segmentation!$A$2:$A$301,0))</f>
        <v>1</v>
      </c>
      <c r="Q18" s="10" t="b">
        <f aca="false">INDEX(Segmentation!$AK$2:$AK$301,MATCH($A18,Segmentation!$A$2:$A$301,0))</f>
        <v>0</v>
      </c>
      <c r="R18" s="2" t="str">
        <f aca="false">INDEX(Segmentation!$AJ$2:$AJ$301,MATCH($A18,Segmentation!$A$2:$A$301,0))</f>
        <v>Stable</v>
      </c>
      <c r="S18" s="10" t="b">
        <f aca="false">INDEX(Segmentation!$AQ$2:$AQ$301,MATCH($A18,Segmentation!$A$2:$A$301,0))</f>
        <v>0</v>
      </c>
      <c r="T18" s="2" t="n">
        <f aca="false">INDEX(Segmentation!$AB$2:$AB$301,MATCH($A18,Segmentation!$A$2:$A$301,0))</f>
        <v>63</v>
      </c>
      <c r="U18" s="10" t="b">
        <f aca="false">INDEX(Segmentation!$AG$2:$AG$301,MATCH($A18,Segmentation!$A$2:$A$301,0))</f>
        <v>1</v>
      </c>
      <c r="V18" s="2" t="str">
        <f aca="false">INDEX(Segmentation!$AE$2:$AE$301,MATCH($A18,Segmentation!$A$2:$A$301,0))</f>
        <v/>
      </c>
    </row>
    <row r="19" customFormat="false" ht="15" hidden="false" customHeight="false" outlineLevel="0" collapsed="false">
      <c r="A19" s="2" t="s">
        <v>335</v>
      </c>
      <c r="B19" s="2" t="str">
        <f aca="false">INDEX(Segmentation!$AU$2:$AU$301,MATCH($A19,Segmentation!$A$2:$A$301,0))</f>
        <v>Not Eligible</v>
      </c>
      <c r="C19" s="10" t="b">
        <f aca="false">INDEX(Segmentation!$U$2:$U$301,MATCH($A19,Segmentation!$A$2:$A$301,0))</f>
        <v>0</v>
      </c>
      <c r="D19" s="2" t="str">
        <f aca="false">IF(C19,"",IF(F19="Key","Key account (human sign-off route); ","")&amp;IF(J19&lt;Assumptions!$B$39,"orders &lt; min; ","")&amp;IF(L19&lt;Assumptions!$B$40,"self-serve orders &lt; min; ","")&amp;IF(ISNUMBER(SEARCH("Duplicate",V19)),"Duplicate status; ",""))</f>
        <v>Key account (human sign-off route); </v>
      </c>
      <c r="E19" s="2" t="str">
        <f aca="false">IF(B19="Manual Review",IF(S19,"material broker % inconsistency; ","")&amp;IF(P19,"borderline momentum; ","")&amp;IF(Q19,"February-sensitive; ","")&amp;IF(NOT(AND(INDEX(Segmentation!$W$2:$W$301,MATCH($A19,Segmentation!$A$2:$A$301,0))&gt;=Assumptions!$B$83,J19&gt;=Assumptions!$B$84)),"lumpy buyer cadence; ",""),"")</f>
        <v/>
      </c>
      <c r="F19" s="2" t="str">
        <f aca="false">INDEX(Segmentation!$J$2:$J$301,MATCH($A19,Segmentation!$A$2:$A$301,0))</f>
        <v>Key</v>
      </c>
      <c r="G19" s="21" t="n">
        <f aca="false">INDEX(Segmentation!$F$2:$F$301,MATCH($A19,Segmentation!$A$2:$A$301,0))</f>
        <v>95</v>
      </c>
      <c r="H19" s="2" t="str">
        <f aca="false">INDEX(Segmentation!$G$2:$G$301,MATCH($A19,Segmentation!$A$2:$A$301,0))</f>
        <v>High</v>
      </c>
      <c r="I19" s="9" t="n">
        <f aca="false">INDEX(Segmentation!$I$2:$I$301,MATCH($A19,Segmentation!$A$2:$A$301,0))</f>
        <v>23205</v>
      </c>
      <c r="J19" s="2" t="n">
        <f aca="false">INDEX(Segmentation!$O$2:$O$301,MATCH($A19,Segmentation!$A$2:$A$301,0))</f>
        <v>14</v>
      </c>
      <c r="K19" s="2" t="n">
        <f aca="false">INDEX(Segmentation!$P$2:$P$301,MATCH($A19,Segmentation!$A$2:$A$301,0))</f>
        <v>12</v>
      </c>
      <c r="L19" s="2" t="n">
        <f aca="false">INDEX(Segmentation!$Q$2:$Q$301,MATCH($A19,Segmentation!$A$2:$A$301,0))</f>
        <v>2</v>
      </c>
      <c r="M19" s="17" t="n">
        <f aca="false">L19/J19</f>
        <v>0.142857142857143</v>
      </c>
      <c r="N19" s="2" t="str">
        <f aca="false">INDEX(Segmentation!$N$2:$N$301,MATCH($A19,Segmentation!$A$2:$A$301,0))</f>
        <v>Growing</v>
      </c>
      <c r="O19" s="17" t="n">
        <f aca="false">INDEX(Segmentation!$M$2:$M$301,MATCH($A19,Segmentation!$A$2:$A$301,0))</f>
        <v>0.813068250697054</v>
      </c>
      <c r="P19" s="10" t="b">
        <f aca="false">INDEX(Segmentation!$AH$2:$AH$301,MATCH($A19,Segmentation!$A$2:$A$301,0))</f>
        <v>0</v>
      </c>
      <c r="Q19" s="10" t="b">
        <f aca="false">INDEX(Segmentation!$AK$2:$AK$301,MATCH($A19,Segmentation!$A$2:$A$301,0))</f>
        <v>0</v>
      </c>
      <c r="R19" s="2" t="str">
        <f aca="false">INDEX(Segmentation!$AJ$2:$AJ$301,MATCH($A19,Segmentation!$A$2:$A$301,0))</f>
        <v>Growing</v>
      </c>
      <c r="S19" s="10" t="b">
        <f aca="false">INDEX(Segmentation!$AQ$2:$AQ$301,MATCH($A19,Segmentation!$A$2:$A$301,0))</f>
        <v>0</v>
      </c>
      <c r="T19" s="2" t="n">
        <f aca="false">INDEX(Segmentation!$AB$2:$AB$301,MATCH($A19,Segmentation!$A$2:$A$301,0))</f>
        <v>86</v>
      </c>
      <c r="U19" s="10" t="b">
        <f aca="false">INDEX(Segmentation!$AG$2:$AG$301,MATCH($A19,Segmentation!$A$2:$A$301,0))</f>
        <v>1</v>
      </c>
      <c r="V19" s="2" t="str">
        <f aca="false">INDEX(Segmentation!$AE$2:$AE$301,MATCH($A19,Segmentation!$A$2:$A$301,0))</f>
        <v/>
      </c>
    </row>
    <row r="20" customFormat="false" ht="15" hidden="false" customHeight="false" outlineLevel="0" collapsed="false">
      <c r="A20" s="2" t="s">
        <v>339</v>
      </c>
      <c r="B20" s="2" t="str">
        <f aca="false">INDEX(Segmentation!$AU$2:$AU$301,MATCH($A20,Segmentation!$A$2:$A$301,0))</f>
        <v>Not Eligible</v>
      </c>
      <c r="C20" s="10" t="b">
        <f aca="false">INDEX(Segmentation!$U$2:$U$301,MATCH($A20,Segmentation!$A$2:$A$301,0))</f>
        <v>0</v>
      </c>
      <c r="D20" s="2" t="str">
        <f aca="false">IF(C20,"",IF(F20="Key","Key account (human sign-off route); ","")&amp;IF(J20&lt;Assumptions!$B$39,"orders &lt; min; ","")&amp;IF(L20&lt;Assumptions!$B$40,"self-serve orders &lt; min; ","")&amp;IF(ISNUMBER(SEARCH("Duplicate",V20)),"Duplicate status; ",""))</f>
        <v>Key account (human sign-off route); </v>
      </c>
      <c r="E20" s="2" t="str">
        <f aca="false">IF(B20="Manual Review",IF(S20,"material broker % inconsistency; ","")&amp;IF(P20,"borderline momentum; ","")&amp;IF(Q20,"February-sensitive; ","")&amp;IF(NOT(AND(INDEX(Segmentation!$W$2:$W$301,MATCH($A20,Segmentation!$A$2:$A$301,0))&gt;=Assumptions!$B$83,J20&gt;=Assumptions!$B$84)),"lumpy buyer cadence; ",""),"")</f>
        <v/>
      </c>
      <c r="F20" s="2" t="str">
        <f aca="false">INDEX(Segmentation!$J$2:$J$301,MATCH($A20,Segmentation!$A$2:$A$301,0))</f>
        <v>Key</v>
      </c>
      <c r="G20" s="21" t="n">
        <f aca="false">INDEX(Segmentation!$F$2:$F$301,MATCH($A20,Segmentation!$A$2:$A$301,0))</f>
        <v>87.5</v>
      </c>
      <c r="H20" s="2" t="str">
        <f aca="false">INDEX(Segmentation!$G$2:$G$301,MATCH($A20,Segmentation!$A$2:$A$301,0))</f>
        <v>High</v>
      </c>
      <c r="I20" s="9" t="n">
        <f aca="false">INDEX(Segmentation!$I$2:$I$301,MATCH($A20,Segmentation!$A$2:$A$301,0))</f>
        <v>22089</v>
      </c>
      <c r="J20" s="2" t="n">
        <f aca="false">INDEX(Segmentation!$O$2:$O$301,MATCH($A20,Segmentation!$A$2:$A$301,0))</f>
        <v>23</v>
      </c>
      <c r="K20" s="2" t="n">
        <f aca="false">INDEX(Segmentation!$P$2:$P$301,MATCH($A20,Segmentation!$A$2:$A$301,0))</f>
        <v>17</v>
      </c>
      <c r="L20" s="2" t="n">
        <f aca="false">INDEX(Segmentation!$Q$2:$Q$301,MATCH($A20,Segmentation!$A$2:$A$301,0))</f>
        <v>6</v>
      </c>
      <c r="M20" s="17" t="n">
        <f aca="false">L20/J20</f>
        <v>0.260869565217391</v>
      </c>
      <c r="N20" s="2" t="str">
        <f aca="false">INDEX(Segmentation!$N$2:$N$301,MATCH($A20,Segmentation!$A$2:$A$301,0))</f>
        <v>Growing</v>
      </c>
      <c r="O20" s="17" t="n">
        <f aca="false">INDEX(Segmentation!$M$2:$M$301,MATCH($A20,Segmentation!$A$2:$A$301,0))</f>
        <v>1.99873280231716</v>
      </c>
      <c r="P20" s="10" t="b">
        <f aca="false">INDEX(Segmentation!$AH$2:$AH$301,MATCH($A20,Segmentation!$A$2:$A$301,0))</f>
        <v>0</v>
      </c>
      <c r="Q20" s="10" t="b">
        <f aca="false">INDEX(Segmentation!$AK$2:$AK$301,MATCH($A20,Segmentation!$A$2:$A$301,0))</f>
        <v>0</v>
      </c>
      <c r="R20" s="2" t="str">
        <f aca="false">INDEX(Segmentation!$AJ$2:$AJ$301,MATCH($A20,Segmentation!$A$2:$A$301,0))</f>
        <v>Growing</v>
      </c>
      <c r="S20" s="10" t="b">
        <f aca="false">INDEX(Segmentation!$AQ$2:$AQ$301,MATCH($A20,Segmentation!$A$2:$A$301,0))</f>
        <v>0</v>
      </c>
      <c r="T20" s="2" t="n">
        <f aca="false">INDEX(Segmentation!$AB$2:$AB$301,MATCH($A20,Segmentation!$A$2:$A$301,0))</f>
        <v>74</v>
      </c>
      <c r="U20" s="10" t="b">
        <f aca="false">INDEX(Segmentation!$AG$2:$AG$301,MATCH($A20,Segmentation!$A$2:$A$301,0))</f>
        <v>1</v>
      </c>
      <c r="V20" s="2" t="str">
        <f aca="false">INDEX(Segmentation!$AE$2:$AE$301,MATCH($A20,Segmentation!$A$2:$A$301,0))</f>
        <v/>
      </c>
    </row>
    <row r="21" customFormat="false" ht="15" hidden="false" customHeight="false" outlineLevel="0" collapsed="false">
      <c r="A21" s="2" t="s">
        <v>357</v>
      </c>
      <c r="B21" s="2" t="str">
        <f aca="false">INDEX(Segmentation!$AU$2:$AU$301,MATCH($A21,Segmentation!$A$2:$A$301,0))</f>
        <v>Not Eligible</v>
      </c>
      <c r="C21" s="10" t="b">
        <f aca="false">INDEX(Segmentation!$U$2:$U$301,MATCH($A21,Segmentation!$A$2:$A$301,0))</f>
        <v>0</v>
      </c>
      <c r="D21" s="2" t="str">
        <f aca="false">IF(C21,"",IF(F21="Key","Key account (human sign-off route); ","")&amp;IF(J21&lt;Assumptions!$B$39,"orders &lt; min; ","")&amp;IF(L21&lt;Assumptions!$B$40,"self-serve orders &lt; min; ","")&amp;IF(ISNUMBER(SEARCH("Duplicate",V21)),"Duplicate status; ",""))</f>
        <v>Key account (human sign-off route); </v>
      </c>
      <c r="E21" s="2" t="str">
        <f aca="false">IF(B21="Manual Review",IF(S21,"material broker % inconsistency; ","")&amp;IF(P21,"borderline momentum; ","")&amp;IF(Q21,"February-sensitive; ","")&amp;IF(NOT(AND(INDEX(Segmentation!$W$2:$W$301,MATCH($A21,Segmentation!$A$2:$A$301,0))&gt;=Assumptions!$B$83,J21&gt;=Assumptions!$B$84)),"lumpy buyer cadence; ",""),"")</f>
        <v/>
      </c>
      <c r="F21" s="2" t="str">
        <f aca="false">INDEX(Segmentation!$J$2:$J$301,MATCH($A21,Segmentation!$A$2:$A$301,0))</f>
        <v>Key</v>
      </c>
      <c r="G21" s="21" t="n">
        <f aca="false">INDEX(Segmentation!$F$2:$F$301,MATCH($A21,Segmentation!$A$2:$A$301,0))</f>
        <v>75</v>
      </c>
      <c r="H21" s="2" t="str">
        <f aca="false">INDEX(Segmentation!$G$2:$G$301,MATCH($A21,Segmentation!$A$2:$A$301,0))</f>
        <v>High</v>
      </c>
      <c r="I21" s="9" t="n">
        <f aca="false">INDEX(Segmentation!$I$2:$I$301,MATCH($A21,Segmentation!$A$2:$A$301,0))</f>
        <v>14611</v>
      </c>
      <c r="J21" s="2" t="n">
        <f aca="false">INDEX(Segmentation!$O$2:$O$301,MATCH($A21,Segmentation!$A$2:$A$301,0))</f>
        <v>28</v>
      </c>
      <c r="K21" s="2" t="n">
        <f aca="false">INDEX(Segmentation!$P$2:$P$301,MATCH($A21,Segmentation!$A$2:$A$301,0))</f>
        <v>17</v>
      </c>
      <c r="L21" s="2" t="n">
        <f aca="false">INDEX(Segmentation!$Q$2:$Q$301,MATCH($A21,Segmentation!$A$2:$A$301,0))</f>
        <v>11</v>
      </c>
      <c r="M21" s="17" t="n">
        <f aca="false">L21/J21</f>
        <v>0.392857142857143</v>
      </c>
      <c r="N21" s="2" t="str">
        <f aca="false">INDEX(Segmentation!$N$2:$N$301,MATCH($A21,Segmentation!$A$2:$A$301,0))</f>
        <v>Growing</v>
      </c>
      <c r="O21" s="17" t="n">
        <f aca="false">INDEX(Segmentation!$M$2:$M$301,MATCH($A21,Segmentation!$A$2:$A$301,0))</f>
        <v>0.385079986940908</v>
      </c>
      <c r="P21" s="10" t="b">
        <f aca="false">INDEX(Segmentation!$AH$2:$AH$301,MATCH($A21,Segmentation!$A$2:$A$301,0))</f>
        <v>0</v>
      </c>
      <c r="Q21" s="10" t="b">
        <f aca="false">INDEX(Segmentation!$AK$2:$AK$301,MATCH($A21,Segmentation!$A$2:$A$301,0))</f>
        <v>0</v>
      </c>
      <c r="R21" s="2" t="str">
        <f aca="false">INDEX(Segmentation!$AJ$2:$AJ$301,MATCH($A21,Segmentation!$A$2:$A$301,0))</f>
        <v>Growing</v>
      </c>
      <c r="S21" s="10" t="b">
        <f aca="false">INDEX(Segmentation!$AQ$2:$AQ$301,MATCH($A21,Segmentation!$A$2:$A$301,0))</f>
        <v>1</v>
      </c>
      <c r="T21" s="2" t="n">
        <f aca="false">INDEX(Segmentation!$AB$2:$AB$301,MATCH($A21,Segmentation!$A$2:$A$301,0))</f>
        <v>61</v>
      </c>
      <c r="U21" s="10" t="b">
        <f aca="false">INDEX(Segmentation!$AG$2:$AG$301,MATCH($A21,Segmentation!$A$2:$A$301,0))</f>
        <v>1</v>
      </c>
      <c r="V21" s="2" t="str">
        <f aca="false">INDEX(Segmentation!$AE$2:$AE$301,MATCH($A21,Segmentation!$A$2:$A$301,0))</f>
        <v/>
      </c>
    </row>
    <row r="22" customFormat="false" ht="15" hidden="false" customHeight="false" outlineLevel="0" collapsed="false">
      <c r="A22" s="2" t="s">
        <v>361</v>
      </c>
      <c r="B22" s="2" t="str">
        <f aca="false">INDEX(Segmentation!$AU$2:$AU$301,MATCH($A22,Segmentation!$A$2:$A$301,0))</f>
        <v>Not Eligible</v>
      </c>
      <c r="C22" s="10" t="b">
        <f aca="false">INDEX(Segmentation!$U$2:$U$301,MATCH($A22,Segmentation!$A$2:$A$301,0))</f>
        <v>0</v>
      </c>
      <c r="D22" s="2" t="str">
        <f aca="false">IF(C22,"",IF(F22="Key","Key account (human sign-off route); ","")&amp;IF(J22&lt;Assumptions!$B$39,"orders &lt; min; ","")&amp;IF(L22&lt;Assumptions!$B$40,"self-serve orders &lt; min; ","")&amp;IF(ISNUMBER(SEARCH("Duplicate",V22)),"Duplicate status; ",""))</f>
        <v>Key account (human sign-off route); </v>
      </c>
      <c r="E22" s="2" t="str">
        <f aca="false">IF(B22="Manual Review",IF(S22,"material broker % inconsistency; ","")&amp;IF(P22,"borderline momentum; ","")&amp;IF(Q22,"February-sensitive; ","")&amp;IF(NOT(AND(INDEX(Segmentation!$W$2:$W$301,MATCH($A22,Segmentation!$A$2:$A$301,0))&gt;=Assumptions!$B$83,J22&gt;=Assumptions!$B$84)),"lumpy buyer cadence; ",""),"")</f>
        <v/>
      </c>
      <c r="F22" s="2" t="str">
        <f aca="false">INDEX(Segmentation!$J$2:$J$301,MATCH($A22,Segmentation!$A$2:$A$301,0))</f>
        <v>Key</v>
      </c>
      <c r="G22" s="21" t="n">
        <f aca="false">INDEX(Segmentation!$F$2:$F$301,MATCH($A22,Segmentation!$A$2:$A$301,0))</f>
        <v>82.5</v>
      </c>
      <c r="H22" s="2" t="str">
        <f aca="false">INDEX(Segmentation!$G$2:$G$301,MATCH($A22,Segmentation!$A$2:$A$301,0))</f>
        <v>High</v>
      </c>
      <c r="I22" s="9" t="n">
        <f aca="false">INDEX(Segmentation!$I$2:$I$301,MATCH($A22,Segmentation!$A$2:$A$301,0))</f>
        <v>11252</v>
      </c>
      <c r="J22" s="2" t="n">
        <f aca="false">INDEX(Segmentation!$O$2:$O$301,MATCH($A22,Segmentation!$A$2:$A$301,0))</f>
        <v>26</v>
      </c>
      <c r="K22" s="2" t="n">
        <f aca="false">INDEX(Segmentation!$P$2:$P$301,MATCH($A22,Segmentation!$A$2:$A$301,0))</f>
        <v>18</v>
      </c>
      <c r="L22" s="2" t="n">
        <f aca="false">INDEX(Segmentation!$Q$2:$Q$301,MATCH($A22,Segmentation!$A$2:$A$301,0))</f>
        <v>8</v>
      </c>
      <c r="M22" s="17" t="n">
        <f aca="false">L22/J22</f>
        <v>0.307692307692308</v>
      </c>
      <c r="N22" s="2" t="str">
        <f aca="false">INDEX(Segmentation!$N$2:$N$301,MATCH($A22,Segmentation!$A$2:$A$301,0))</f>
        <v>Growing</v>
      </c>
      <c r="O22" s="17" t="n">
        <f aca="false">INDEX(Segmentation!$M$2:$M$301,MATCH($A22,Segmentation!$A$2:$A$301,0))</f>
        <v>0.668247569362106</v>
      </c>
      <c r="P22" s="10" t="b">
        <f aca="false">INDEX(Segmentation!$AH$2:$AH$301,MATCH($A22,Segmentation!$A$2:$A$301,0))</f>
        <v>0</v>
      </c>
      <c r="Q22" s="10" t="b">
        <f aca="false">INDEX(Segmentation!$AK$2:$AK$301,MATCH($A22,Segmentation!$A$2:$A$301,0))</f>
        <v>0</v>
      </c>
      <c r="R22" s="2" t="str">
        <f aca="false">INDEX(Segmentation!$AJ$2:$AJ$301,MATCH($A22,Segmentation!$A$2:$A$301,0))</f>
        <v>Growing</v>
      </c>
      <c r="S22" s="10" t="b">
        <f aca="false">INDEX(Segmentation!$AQ$2:$AQ$301,MATCH($A22,Segmentation!$A$2:$A$301,0))</f>
        <v>0</v>
      </c>
      <c r="T22" s="2" t="n">
        <f aca="false">INDEX(Segmentation!$AB$2:$AB$301,MATCH($A22,Segmentation!$A$2:$A$301,0))</f>
        <v>69</v>
      </c>
      <c r="U22" s="10" t="b">
        <f aca="false">INDEX(Segmentation!$AG$2:$AG$301,MATCH($A22,Segmentation!$A$2:$A$301,0))</f>
        <v>1</v>
      </c>
      <c r="V22" s="2" t="str">
        <f aca="false">INDEX(Segmentation!$AE$2:$AE$301,MATCH($A22,Segmentation!$A$2:$A$301,0))</f>
        <v/>
      </c>
    </row>
    <row r="23" customFormat="false" ht="15" hidden="false" customHeight="false" outlineLevel="0" collapsed="false">
      <c r="A23" s="2" t="s">
        <v>450</v>
      </c>
      <c r="B23" s="2" t="str">
        <f aca="false">INDEX(Segmentation!$AU$2:$AU$301,MATCH($A23,Segmentation!$A$2:$A$301,0))</f>
        <v>Not Eligible</v>
      </c>
      <c r="C23" s="10" t="b">
        <f aca="false">INDEX(Segmentation!$U$2:$U$301,MATCH($A23,Segmentation!$A$2:$A$301,0))</f>
        <v>0</v>
      </c>
      <c r="D23" s="2" t="str">
        <f aca="false">IF(C23,"",IF(F23="Key","Key account (human sign-off route); ","")&amp;IF(J23&lt;Assumptions!$B$39,"orders &lt; min; ","")&amp;IF(L23&lt;Assumptions!$B$40,"self-serve orders &lt; min; ","")&amp;IF(ISNUMBER(SEARCH("Duplicate",V23)),"Duplicate status; ",""))</f>
        <v>self-serve orders &lt; min; </v>
      </c>
      <c r="E23" s="2" t="str">
        <f aca="false">IF(B23="Manual Review",IF(S23,"material broker % inconsistency; ","")&amp;IF(P23,"borderline momentum; ","")&amp;IF(Q23,"February-sensitive; ","")&amp;IF(NOT(AND(INDEX(Segmentation!$W$2:$W$301,MATCH($A23,Segmentation!$A$2:$A$301,0))&gt;=Assumptions!$B$83,J23&gt;=Assumptions!$B$84)),"lumpy buyer cadence; ",""),"")</f>
        <v/>
      </c>
      <c r="F23" s="2" t="str">
        <f aca="false">INDEX(Segmentation!$J$2:$J$301,MATCH($A23,Segmentation!$A$2:$A$301,0))</f>
        <v>Core</v>
      </c>
      <c r="G23" s="21" t="n">
        <f aca="false">INDEX(Segmentation!$F$2:$F$301,MATCH($A23,Segmentation!$A$2:$A$301,0))</f>
        <v>80</v>
      </c>
      <c r="H23" s="2" t="str">
        <f aca="false">INDEX(Segmentation!$G$2:$G$301,MATCH($A23,Segmentation!$A$2:$A$301,0))</f>
        <v>High</v>
      </c>
      <c r="I23" s="9" t="n">
        <f aca="false">INDEX(Segmentation!$I$2:$I$301,MATCH($A23,Segmentation!$A$2:$A$301,0))</f>
        <v>4513</v>
      </c>
      <c r="J23" s="2" t="n">
        <f aca="false">INDEX(Segmentation!$O$2:$O$301,MATCH($A23,Segmentation!$A$2:$A$301,0))</f>
        <v>5</v>
      </c>
      <c r="K23" s="2" t="n">
        <f aca="false">INDEX(Segmentation!$P$2:$P$301,MATCH($A23,Segmentation!$A$2:$A$301,0))</f>
        <v>4</v>
      </c>
      <c r="L23" s="2" t="n">
        <f aca="false">INDEX(Segmentation!$Q$2:$Q$301,MATCH($A23,Segmentation!$A$2:$A$301,0))</f>
        <v>1</v>
      </c>
      <c r="M23" s="17" t="n">
        <f aca="false">L23/J23</f>
        <v>0.2</v>
      </c>
      <c r="N23" s="2" t="str">
        <f aca="false">INDEX(Segmentation!$N$2:$N$301,MATCH($A23,Segmentation!$A$2:$A$301,0))</f>
        <v>Growing</v>
      </c>
      <c r="O23" s="17" t="n">
        <f aca="false">INDEX(Segmentation!$M$2:$M$301,MATCH($A23,Segmentation!$A$2:$A$301,0))</f>
        <v>7.1008064516129</v>
      </c>
      <c r="P23" s="10" t="b">
        <f aca="false">INDEX(Segmentation!$AH$2:$AH$301,MATCH($A23,Segmentation!$A$2:$A$301,0))</f>
        <v>0</v>
      </c>
      <c r="Q23" s="10" t="b">
        <f aca="false">INDEX(Segmentation!$AK$2:$AK$301,MATCH($A23,Segmentation!$A$2:$A$301,0))</f>
        <v>0</v>
      </c>
      <c r="R23" s="2" t="str">
        <f aca="false">INDEX(Segmentation!$AJ$2:$AJ$301,MATCH($A23,Segmentation!$A$2:$A$301,0))</f>
        <v>Growing</v>
      </c>
      <c r="S23" s="10" t="b">
        <f aca="false">INDEX(Segmentation!$AQ$2:$AQ$301,MATCH($A23,Segmentation!$A$2:$A$301,0))</f>
        <v>1</v>
      </c>
      <c r="T23" s="2" t="n">
        <f aca="false">INDEX(Segmentation!$AB$2:$AB$301,MATCH($A23,Segmentation!$A$2:$A$301,0))</f>
        <v>80</v>
      </c>
      <c r="U23" s="10" t="b">
        <f aca="false">INDEX(Segmentation!$AG$2:$AG$301,MATCH($A23,Segmentation!$A$2:$A$301,0))</f>
        <v>0</v>
      </c>
      <c r="V23" s="2" t="str">
        <f aca="false">INDEX(Segmentation!$AE$2:$AE$301,MATCH($A23,Segmentation!$A$2:$A$301,0))</f>
        <v>Missing status; </v>
      </c>
    </row>
    <row r="24" customFormat="false" ht="15" hidden="false" customHeight="false" outlineLevel="0" collapsed="false">
      <c r="A24" s="2" t="s">
        <v>458</v>
      </c>
      <c r="B24" s="2" t="str">
        <f aca="false">INDEX(Segmentation!$AU$2:$AU$301,MATCH($A24,Segmentation!$A$2:$A$301,0))</f>
        <v>Not Eligible</v>
      </c>
      <c r="C24" s="10" t="b">
        <f aca="false">INDEX(Segmentation!$U$2:$U$301,MATCH($A24,Segmentation!$A$2:$A$301,0))</f>
        <v>0</v>
      </c>
      <c r="D24" s="2" t="str">
        <f aca="false">IF(C24,"",IF(F24="Key","Key account (human sign-off route); ","")&amp;IF(J24&lt;Assumptions!$B$39,"orders &lt; min; ","")&amp;IF(L24&lt;Assumptions!$B$40,"self-serve orders &lt; min; ","")&amp;IF(ISNUMBER(SEARCH("Duplicate",V24)),"Duplicate status; ",""))</f>
        <v>self-serve orders &lt; min; </v>
      </c>
      <c r="E24" s="2" t="str">
        <f aca="false">IF(B24="Manual Review",IF(S24,"material broker % inconsistency; ","")&amp;IF(P24,"borderline momentum; ","")&amp;IF(Q24,"February-sensitive; ","")&amp;IF(NOT(AND(INDEX(Segmentation!$W$2:$W$301,MATCH($A24,Segmentation!$A$2:$A$301,0))&gt;=Assumptions!$B$83,J24&gt;=Assumptions!$B$84)),"lumpy buyer cadence; ",""),"")</f>
        <v/>
      </c>
      <c r="F24" s="2" t="str">
        <f aca="false">INDEX(Segmentation!$J$2:$J$301,MATCH($A24,Segmentation!$A$2:$A$301,0))</f>
        <v>Core</v>
      </c>
      <c r="G24" s="21" t="n">
        <f aca="false">INDEX(Segmentation!$F$2:$F$301,MATCH($A24,Segmentation!$A$2:$A$301,0))</f>
        <v>87.5</v>
      </c>
      <c r="H24" s="2" t="str">
        <f aca="false">INDEX(Segmentation!$G$2:$G$301,MATCH($A24,Segmentation!$A$2:$A$301,0))</f>
        <v>High</v>
      </c>
      <c r="I24" s="9" t="n">
        <f aca="false">INDEX(Segmentation!$I$2:$I$301,MATCH($A24,Segmentation!$A$2:$A$301,0))</f>
        <v>3913</v>
      </c>
      <c r="J24" s="2" t="n">
        <f aca="false">INDEX(Segmentation!$O$2:$O$301,MATCH($A24,Segmentation!$A$2:$A$301,0))</f>
        <v>4</v>
      </c>
      <c r="K24" s="2" t="n">
        <f aca="false">INDEX(Segmentation!$P$2:$P$301,MATCH($A24,Segmentation!$A$2:$A$301,0))</f>
        <v>3</v>
      </c>
      <c r="L24" s="2" t="n">
        <f aca="false">INDEX(Segmentation!$Q$2:$Q$301,MATCH($A24,Segmentation!$A$2:$A$301,0))</f>
        <v>1</v>
      </c>
      <c r="M24" s="17" t="n">
        <f aca="false">L24/J24</f>
        <v>0.25</v>
      </c>
      <c r="N24" s="2" t="str">
        <f aca="false">INDEX(Segmentation!$N$2:$N$301,MATCH($A24,Segmentation!$A$2:$A$301,0))</f>
        <v>Stable</v>
      </c>
      <c r="O24" s="17" t="n">
        <f aca="false">INDEX(Segmentation!$M$2:$M$301,MATCH($A24,Segmentation!$A$2:$A$301,0))</f>
        <v>0.0154559505409582</v>
      </c>
      <c r="P24" s="10" t="b">
        <f aca="false">INDEX(Segmentation!$AH$2:$AH$301,MATCH($A24,Segmentation!$A$2:$A$301,0))</f>
        <v>0</v>
      </c>
      <c r="Q24" s="10" t="b">
        <f aca="false">INDEX(Segmentation!$AK$2:$AK$301,MATCH($A24,Segmentation!$A$2:$A$301,0))</f>
        <v>0</v>
      </c>
      <c r="R24" s="2" t="str">
        <f aca="false">INDEX(Segmentation!$AJ$2:$AJ$301,MATCH($A24,Segmentation!$A$2:$A$301,0))</f>
        <v>Growing</v>
      </c>
      <c r="S24" s="10" t="b">
        <f aca="false">INDEX(Segmentation!$AQ$2:$AQ$301,MATCH($A24,Segmentation!$A$2:$A$301,0))</f>
        <v>1</v>
      </c>
      <c r="T24" s="2" t="n">
        <f aca="false">INDEX(Segmentation!$AB$2:$AB$301,MATCH($A24,Segmentation!$A$2:$A$301,0))</f>
        <v>75</v>
      </c>
      <c r="U24" s="10" t="b">
        <f aca="false">INDEX(Segmentation!$AG$2:$AG$301,MATCH($A24,Segmentation!$A$2:$A$301,0))</f>
        <v>0</v>
      </c>
      <c r="V24" s="2" t="str">
        <f aca="false">INDEX(Segmentation!$AE$2:$AE$301,MATCH($A24,Segmentation!$A$2:$A$301,0))</f>
        <v/>
      </c>
    </row>
    <row r="25" customFormat="false" ht="15" hidden="false" customHeight="false" outlineLevel="0" collapsed="false">
      <c r="A25" s="2" t="s">
        <v>462</v>
      </c>
      <c r="B25" s="2" t="str">
        <f aca="false">INDEX(Segmentation!$AU$2:$AU$301,MATCH($A25,Segmentation!$A$2:$A$301,0))</f>
        <v>Not Eligible</v>
      </c>
      <c r="C25" s="10" t="b">
        <f aca="false">INDEX(Segmentation!$U$2:$U$301,MATCH($A25,Segmentation!$A$2:$A$301,0))</f>
        <v>0</v>
      </c>
      <c r="D25" s="2" t="str">
        <f aca="false">IF(C25,"",IF(F25="Key","Key account (human sign-off route); ","")&amp;IF(J25&lt;Assumptions!$B$39,"orders &lt; min; ","")&amp;IF(L25&lt;Assumptions!$B$40,"self-serve orders &lt; min; ","")&amp;IF(ISNUMBER(SEARCH("Duplicate",V25)),"Duplicate status; ",""))</f>
        <v>self-serve orders &lt; min; </v>
      </c>
      <c r="E25" s="2" t="str">
        <f aca="false">IF(B25="Manual Review",IF(S25,"material broker % inconsistency; ","")&amp;IF(P25,"borderline momentum; ","")&amp;IF(Q25,"February-sensitive; ","")&amp;IF(NOT(AND(INDEX(Segmentation!$W$2:$W$301,MATCH($A25,Segmentation!$A$2:$A$301,0))&gt;=Assumptions!$B$83,J25&gt;=Assumptions!$B$84)),"lumpy buyer cadence; ",""),"")</f>
        <v/>
      </c>
      <c r="F25" s="2" t="str">
        <f aca="false">INDEX(Segmentation!$J$2:$J$301,MATCH($A25,Segmentation!$A$2:$A$301,0))</f>
        <v>Core</v>
      </c>
      <c r="G25" s="21" t="n">
        <f aca="false">INDEX(Segmentation!$F$2:$F$301,MATCH($A25,Segmentation!$A$2:$A$301,0))</f>
        <v>75</v>
      </c>
      <c r="H25" s="2" t="str">
        <f aca="false">INDEX(Segmentation!$G$2:$G$301,MATCH($A25,Segmentation!$A$2:$A$301,0))</f>
        <v>High</v>
      </c>
      <c r="I25" s="9" t="n">
        <f aca="false">INDEX(Segmentation!$I$2:$I$301,MATCH($A25,Segmentation!$A$2:$A$301,0))</f>
        <v>3626</v>
      </c>
      <c r="J25" s="2" t="n">
        <f aca="false">INDEX(Segmentation!$O$2:$O$301,MATCH($A25,Segmentation!$A$2:$A$301,0))</f>
        <v>4</v>
      </c>
      <c r="K25" s="2" t="n">
        <f aca="false">INDEX(Segmentation!$P$2:$P$301,MATCH($A25,Segmentation!$A$2:$A$301,0))</f>
        <v>3</v>
      </c>
      <c r="L25" s="2" t="n">
        <f aca="false">INDEX(Segmentation!$Q$2:$Q$301,MATCH($A25,Segmentation!$A$2:$A$301,0))</f>
        <v>1</v>
      </c>
      <c r="M25" s="17" t="n">
        <f aca="false">L25/J25</f>
        <v>0.25</v>
      </c>
      <c r="N25" s="2" t="str">
        <f aca="false">INDEX(Segmentation!$N$2:$N$301,MATCH($A25,Segmentation!$A$2:$A$301,0))</f>
        <v>Growing</v>
      </c>
      <c r="O25" s="17" t="n">
        <f aca="false">INDEX(Segmentation!$M$2:$M$301,MATCH($A25,Segmentation!$A$2:$A$301,0))</f>
        <v>0.495526496902959</v>
      </c>
      <c r="P25" s="10" t="b">
        <f aca="false">INDEX(Segmentation!$AH$2:$AH$301,MATCH($A25,Segmentation!$A$2:$A$301,0))</f>
        <v>0</v>
      </c>
      <c r="Q25" s="10" t="b">
        <f aca="false">INDEX(Segmentation!$AK$2:$AK$301,MATCH($A25,Segmentation!$A$2:$A$301,0))</f>
        <v>1</v>
      </c>
      <c r="R25" s="2" t="str">
        <f aca="false">INDEX(Segmentation!$AJ$2:$AJ$301,MATCH($A25,Segmentation!$A$2:$A$301,0))</f>
        <v>Lapsed</v>
      </c>
      <c r="S25" s="10" t="b">
        <f aca="false">INDEX(Segmentation!$AQ$2:$AQ$301,MATCH($A25,Segmentation!$A$2:$A$301,0))</f>
        <v>0</v>
      </c>
      <c r="T25" s="2" t="n">
        <f aca="false">INDEX(Segmentation!$AB$2:$AB$301,MATCH($A25,Segmentation!$A$2:$A$301,0))</f>
        <v>75</v>
      </c>
      <c r="U25" s="10" t="b">
        <f aca="false">INDEX(Segmentation!$AG$2:$AG$301,MATCH($A25,Segmentation!$A$2:$A$301,0))</f>
        <v>0</v>
      </c>
      <c r="V25" s="2" t="str">
        <f aca="false">INDEX(Segmentation!$AE$2:$AE$301,MATCH($A25,Segmentation!$A$2:$A$301,0))</f>
        <v/>
      </c>
    </row>
    <row r="26" customFormat="false" ht="15" hidden="false" customHeight="false" outlineLevel="0" collapsed="false">
      <c r="A26" s="2" t="s">
        <v>466</v>
      </c>
      <c r="B26" s="2" t="str">
        <f aca="false">INDEX(Segmentation!$AU$2:$AU$301,MATCH($A26,Segmentation!$A$2:$A$301,0))</f>
        <v>Not Eligible</v>
      </c>
      <c r="C26" s="10" t="b">
        <f aca="false">INDEX(Segmentation!$U$2:$U$301,MATCH($A26,Segmentation!$A$2:$A$301,0))</f>
        <v>0</v>
      </c>
      <c r="D26" s="2" t="str">
        <f aca="false">IF(C26,"",IF(F26="Key","Key account (human sign-off route); ","")&amp;IF(J26&lt;Assumptions!$B$39,"orders &lt; min; ","")&amp;IF(L26&lt;Assumptions!$B$40,"self-serve orders &lt; min; ","")&amp;IF(ISNUMBER(SEARCH("Duplicate",V26)),"Duplicate status; ",""))</f>
        <v>self-serve orders &lt; min; </v>
      </c>
      <c r="E26" s="2" t="str">
        <f aca="false">IF(B26="Manual Review",IF(S26,"material broker % inconsistency; ","")&amp;IF(P26,"borderline momentum; ","")&amp;IF(Q26,"February-sensitive; ","")&amp;IF(NOT(AND(INDEX(Segmentation!$W$2:$W$301,MATCH($A26,Segmentation!$A$2:$A$301,0))&gt;=Assumptions!$B$83,J26&gt;=Assumptions!$B$84)),"lumpy buyer cadence; ",""),"")</f>
        <v/>
      </c>
      <c r="F26" s="2" t="str">
        <f aca="false">INDEX(Segmentation!$J$2:$J$301,MATCH($A26,Segmentation!$A$2:$A$301,0))</f>
        <v>Core</v>
      </c>
      <c r="G26" s="21" t="n">
        <f aca="false">INDEX(Segmentation!$F$2:$F$301,MATCH($A26,Segmentation!$A$2:$A$301,0))</f>
        <v>87.5</v>
      </c>
      <c r="H26" s="2" t="str">
        <f aca="false">INDEX(Segmentation!$G$2:$G$301,MATCH($A26,Segmentation!$A$2:$A$301,0))</f>
        <v>High</v>
      </c>
      <c r="I26" s="9" t="n">
        <f aca="false">INDEX(Segmentation!$I$2:$I$301,MATCH($A26,Segmentation!$A$2:$A$301,0))</f>
        <v>3111</v>
      </c>
      <c r="J26" s="2" t="n">
        <f aca="false">INDEX(Segmentation!$O$2:$O$301,MATCH($A26,Segmentation!$A$2:$A$301,0))</f>
        <v>7</v>
      </c>
      <c r="K26" s="2" t="n">
        <f aca="false">INDEX(Segmentation!$P$2:$P$301,MATCH($A26,Segmentation!$A$2:$A$301,0))</f>
        <v>6</v>
      </c>
      <c r="L26" s="2" t="n">
        <f aca="false">INDEX(Segmentation!$Q$2:$Q$301,MATCH($A26,Segmentation!$A$2:$A$301,0))</f>
        <v>1</v>
      </c>
      <c r="M26" s="17" t="n">
        <f aca="false">L26/J26</f>
        <v>0.142857142857143</v>
      </c>
      <c r="N26" s="2" t="str">
        <f aca="false">INDEX(Segmentation!$N$2:$N$301,MATCH($A26,Segmentation!$A$2:$A$301,0))</f>
        <v>Growing</v>
      </c>
      <c r="O26" s="17" t="n">
        <f aca="false">INDEX(Segmentation!$M$2:$M$301,MATCH($A26,Segmentation!$A$2:$A$301,0))</f>
        <v>2.06797385620915</v>
      </c>
      <c r="P26" s="10" t="b">
        <f aca="false">INDEX(Segmentation!$AH$2:$AH$301,MATCH($A26,Segmentation!$A$2:$A$301,0))</f>
        <v>0</v>
      </c>
      <c r="Q26" s="10" t="b">
        <f aca="false">INDEX(Segmentation!$AK$2:$AK$301,MATCH($A26,Segmentation!$A$2:$A$301,0))</f>
        <v>0</v>
      </c>
      <c r="R26" s="2" t="str">
        <f aca="false">INDEX(Segmentation!$AJ$2:$AJ$301,MATCH($A26,Segmentation!$A$2:$A$301,0))</f>
        <v>Growing</v>
      </c>
      <c r="S26" s="10" t="b">
        <f aca="false">INDEX(Segmentation!$AQ$2:$AQ$301,MATCH($A26,Segmentation!$A$2:$A$301,0))</f>
        <v>0</v>
      </c>
      <c r="T26" s="2" t="n">
        <f aca="false">INDEX(Segmentation!$AB$2:$AB$301,MATCH($A26,Segmentation!$A$2:$A$301,0))</f>
        <v>86</v>
      </c>
      <c r="U26" s="10" t="b">
        <f aca="false">INDEX(Segmentation!$AG$2:$AG$301,MATCH($A26,Segmentation!$A$2:$A$301,0))</f>
        <v>0</v>
      </c>
      <c r="V26" s="2" t="str">
        <f aca="false">INDEX(Segmentation!$AE$2:$AE$301,MATCH($A26,Segmentation!$A$2:$A$301,0))</f>
        <v/>
      </c>
    </row>
    <row r="27" customFormat="false" ht="15" hidden="false" customHeight="false" outlineLevel="0" collapsed="false">
      <c r="A27" s="2" t="s">
        <v>469</v>
      </c>
      <c r="B27" s="2" t="str">
        <f aca="false">INDEX(Segmentation!$AU$2:$AU$301,MATCH($A27,Segmentation!$A$2:$A$301,0))</f>
        <v>Not Eligible</v>
      </c>
      <c r="C27" s="10" t="b">
        <f aca="false">INDEX(Segmentation!$U$2:$U$301,MATCH($A27,Segmentation!$A$2:$A$301,0))</f>
        <v>0</v>
      </c>
      <c r="D27" s="2" t="str">
        <f aca="false">IF(C27,"",IF(F27="Key","Key account (human sign-off route); ","")&amp;IF(J27&lt;Assumptions!$B$39,"orders &lt; min; ","")&amp;IF(L27&lt;Assumptions!$B$40,"self-serve orders &lt; min; ","")&amp;IF(ISNUMBER(SEARCH("Duplicate",V27)),"Duplicate status; ",""))</f>
        <v>self-serve orders &lt; min; </v>
      </c>
      <c r="E27" s="2" t="str">
        <f aca="false">IF(B27="Manual Review",IF(S27,"material broker % inconsistency; ","")&amp;IF(P27,"borderline momentum; ","")&amp;IF(Q27,"February-sensitive; ","")&amp;IF(NOT(AND(INDEX(Segmentation!$W$2:$W$301,MATCH($A27,Segmentation!$A$2:$A$301,0))&gt;=Assumptions!$B$83,J27&gt;=Assumptions!$B$84)),"lumpy buyer cadence; ",""),"")</f>
        <v/>
      </c>
      <c r="F27" s="2" t="str">
        <f aca="false">INDEX(Segmentation!$J$2:$J$301,MATCH($A27,Segmentation!$A$2:$A$301,0))</f>
        <v>Core</v>
      </c>
      <c r="G27" s="21" t="n">
        <f aca="false">INDEX(Segmentation!$F$2:$F$301,MATCH($A27,Segmentation!$A$2:$A$301,0))</f>
        <v>82.5</v>
      </c>
      <c r="H27" s="2" t="str">
        <f aca="false">INDEX(Segmentation!$G$2:$G$301,MATCH($A27,Segmentation!$A$2:$A$301,0))</f>
        <v>High</v>
      </c>
      <c r="I27" s="9" t="n">
        <f aca="false">INDEX(Segmentation!$I$2:$I$301,MATCH($A27,Segmentation!$A$2:$A$301,0))</f>
        <v>2366</v>
      </c>
      <c r="J27" s="2" t="n">
        <f aca="false">INDEX(Segmentation!$O$2:$O$301,MATCH($A27,Segmentation!$A$2:$A$301,0))</f>
        <v>3</v>
      </c>
      <c r="K27" s="2" t="n">
        <f aca="false">INDEX(Segmentation!$P$2:$P$301,MATCH($A27,Segmentation!$A$2:$A$301,0))</f>
        <v>2</v>
      </c>
      <c r="L27" s="2" t="n">
        <f aca="false">INDEX(Segmentation!$Q$2:$Q$301,MATCH($A27,Segmentation!$A$2:$A$301,0))</f>
        <v>1</v>
      </c>
      <c r="M27" s="17" t="n">
        <f aca="false">L27/J27</f>
        <v>0.333333333333333</v>
      </c>
      <c r="N27" s="2" t="str">
        <f aca="false">INDEX(Segmentation!$N$2:$N$301,MATCH($A27,Segmentation!$A$2:$A$301,0))</f>
        <v>Stable</v>
      </c>
      <c r="O27" s="17" t="n">
        <f aca="false">INDEX(Segmentation!$M$2:$M$301,MATCH($A27,Segmentation!$A$2:$A$301,0))</f>
        <v>0.027420736932305</v>
      </c>
      <c r="P27" s="10" t="b">
        <f aca="false">INDEX(Segmentation!$AH$2:$AH$301,MATCH($A27,Segmentation!$A$2:$A$301,0))</f>
        <v>0</v>
      </c>
      <c r="Q27" s="10" t="b">
        <f aca="false">INDEX(Segmentation!$AK$2:$AK$301,MATCH($A27,Segmentation!$A$2:$A$301,0))</f>
        <v>0</v>
      </c>
      <c r="R27" s="2" t="str">
        <f aca="false">INDEX(Segmentation!$AJ$2:$AJ$301,MATCH($A27,Segmentation!$A$2:$A$301,0))</f>
        <v>Growing</v>
      </c>
      <c r="S27" s="10" t="b">
        <f aca="false">INDEX(Segmentation!$AQ$2:$AQ$301,MATCH($A27,Segmentation!$A$2:$A$301,0))</f>
        <v>0</v>
      </c>
      <c r="T27" s="2" t="n">
        <f aca="false">INDEX(Segmentation!$AB$2:$AB$301,MATCH($A27,Segmentation!$A$2:$A$301,0))</f>
        <v>67</v>
      </c>
      <c r="U27" s="10" t="b">
        <f aca="false">INDEX(Segmentation!$AG$2:$AG$301,MATCH($A27,Segmentation!$A$2:$A$301,0))</f>
        <v>0</v>
      </c>
      <c r="V27" s="2" t="str">
        <f aca="false">INDEX(Segmentation!$AE$2:$AE$301,MATCH($A27,Segmentation!$A$2:$A$301,0))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13" min="2" style="0" width="14"/>
  </cols>
  <sheetData>
    <row r="1" customFormat="false" ht="15" hidden="false" customHeight="false" outlineLevel="0" collapsed="false">
      <c r="A1" s="1" t="s">
        <v>1588</v>
      </c>
      <c r="B1" s="7"/>
      <c r="C1" s="7"/>
      <c r="D1" s="7"/>
      <c r="E1" s="7"/>
      <c r="F1" s="7"/>
      <c r="G1" s="7"/>
      <c r="H1" s="7"/>
      <c r="I1" s="7"/>
      <c r="J1" s="7"/>
      <c r="K1" s="7"/>
      <c r="L1" s="7"/>
      <c r="M1" s="7"/>
    </row>
    <row r="2" customFormat="false" ht="15" hidden="false" customHeight="false" outlineLevel="0" collapsed="false">
      <c r="A2" s="2"/>
      <c r="B2" s="2"/>
      <c r="C2" s="2"/>
      <c r="D2" s="2"/>
      <c r="E2" s="2"/>
      <c r="F2" s="2"/>
      <c r="G2" s="2"/>
      <c r="H2" s="2"/>
      <c r="I2" s="2"/>
      <c r="J2" s="2"/>
      <c r="K2" s="2"/>
      <c r="L2" s="2"/>
      <c r="M2" s="2"/>
    </row>
    <row r="3" customFormat="false" ht="15" hidden="false" customHeight="false" outlineLevel="0" collapsed="false">
      <c r="A3" s="3" t="s">
        <v>1589</v>
      </c>
      <c r="B3" s="2"/>
      <c r="C3" s="2"/>
      <c r="D3" s="2"/>
      <c r="E3" s="2"/>
      <c r="F3" s="2"/>
      <c r="G3" s="2"/>
      <c r="H3" s="2"/>
      <c r="I3" s="2"/>
      <c r="J3" s="2"/>
      <c r="K3" s="2"/>
      <c r="L3" s="2"/>
      <c r="M3" s="2"/>
    </row>
    <row r="4" customFormat="false" ht="45" hidden="false" customHeight="true" outlineLevel="0" collapsed="false">
      <c r="A4" s="14" t="s">
        <v>1590</v>
      </c>
      <c r="B4" s="14" t="s">
        <v>1591</v>
      </c>
      <c r="C4" s="14" t="s">
        <v>1498</v>
      </c>
      <c r="D4" s="14" t="s">
        <v>1499</v>
      </c>
      <c r="E4" s="14" t="s">
        <v>1500</v>
      </c>
      <c r="F4" s="14" t="s">
        <v>115</v>
      </c>
      <c r="G4" s="14" t="s">
        <v>203</v>
      </c>
      <c r="H4" s="14" t="s">
        <v>474</v>
      </c>
      <c r="I4" s="14" t="s">
        <v>1592</v>
      </c>
      <c r="J4" s="14" t="s">
        <v>1593</v>
      </c>
      <c r="K4" s="3"/>
      <c r="L4" s="3"/>
      <c r="M4" s="3"/>
    </row>
    <row r="5" customFormat="false" ht="15" hidden="false" customHeight="false" outlineLevel="0" collapsed="false">
      <c r="A5" s="2" t="s">
        <v>1368</v>
      </c>
      <c r="B5" s="17" t="n">
        <f aca="false">COUNTIF('Feature Data'!$O$2:$O$301,"&gt;0")/COUNTA('Feature Data'!$A$2:$A$301)</f>
        <v>0.976666666666667</v>
      </c>
      <c r="C5" s="17" t="n">
        <f aca="false">COUNTIFS('Feature Data'!$O$2:$O$301,"&gt;0",'Feature Data'!$E$2:$E$301,"Broker-Reliant")/COUNTIF('Feature Data'!$E$2:$E$301,"Broker-Reliant")</f>
        <v>0.974358974358974</v>
      </c>
      <c r="D5" s="17" t="n">
        <f aca="false">COUNTIFS('Feature Data'!$O$2:$O$301,"&gt;0",'Feature Data'!$E$2:$E$301,"AM-Owned / Self-Serving")/COUNTIF('Feature Data'!$E$2:$E$301,"AM-Owned / Self-Serving")</f>
        <v>0.984848484848485</v>
      </c>
      <c r="E5" s="17" t="n">
        <f aca="false">COUNTIFS('Feature Data'!$O$2:$O$301,"&gt;0",'Feature Data'!$E$2:$E$301,"Self-Serve")/COUNTIF('Feature Data'!$E$2:$E$301,"Self-Serve")</f>
        <v>0.966666666666667</v>
      </c>
      <c r="F5" s="17" t="n">
        <f aca="false">COUNTIFS('Feature Data'!$O$2:$O$301,"&gt;0",'Feature Data'!$F$2:$F$301,"Key")/COUNTIF('Feature Data'!$F$2:$F$301,"Key")</f>
        <v>1</v>
      </c>
      <c r="G5" s="17" t="n">
        <f aca="false">COUNTIFS('Feature Data'!$O$2:$O$301,"&gt;0",'Feature Data'!$F$2:$F$301,"Core")/COUNTIF('Feature Data'!$F$2:$F$301,"Core")</f>
        <v>0.96078431372549</v>
      </c>
      <c r="H5" s="17" t="n">
        <f aca="false">COUNTIFS('Feature Data'!$O$2:$O$301,"&gt;0",'Feature Data'!$F$2:$F$301,"Tail")/COUNTIF('Feature Data'!$F$2:$F$301,"Tail")</f>
        <v>0.978354978354978</v>
      </c>
      <c r="I5" s="2" t="n">
        <f aca="false" t="array" ref="I5:I5">MEDIAN(IF('Feature Data'!$O$2:$O$301&gt;0,'Feature Data'!$O$2:$O$301))</f>
        <v>7</v>
      </c>
      <c r="J5" s="17" t="n">
        <f aca="true">SUMPRODUCT(LARGE('Feature Data'!$O$2:$O$301,ROW(INDIRECT("1:10"))))/SUM('Feature Data'!$O$2:$O$301)</f>
        <v>0.203406813627255</v>
      </c>
      <c r="K5" s="2"/>
      <c r="L5" s="2"/>
      <c r="M5" s="2"/>
    </row>
    <row r="6" customFormat="false" ht="15" hidden="false" customHeight="false" outlineLevel="0" collapsed="false">
      <c r="A6" s="2" t="s">
        <v>1367</v>
      </c>
      <c r="B6" s="17" t="n">
        <f aca="false">COUNTIF('Feature Data'!$P$2:$P$301,"&gt;0")/COUNTA('Feature Data'!$A$2:$A$301)</f>
        <v>0.946666666666667</v>
      </c>
      <c r="C6" s="17" t="n">
        <f aca="false">COUNTIFS('Feature Data'!$P$2:$P$301,"&gt;0",'Feature Data'!$E$2:$E$301,"Broker-Reliant")/COUNTIF('Feature Data'!$E$2:$E$301,"Broker-Reliant")</f>
        <v>0.974358974358974</v>
      </c>
      <c r="D6" s="17" t="n">
        <f aca="false">COUNTIFS('Feature Data'!$P$2:$P$301,"&gt;0",'Feature Data'!$E$2:$E$301,"AM-Owned / Self-Serving")/COUNTIF('Feature Data'!$E$2:$E$301,"AM-Owned / Self-Serving")</f>
        <v>0.977272727272727</v>
      </c>
      <c r="E6" s="17" t="n">
        <f aca="false">COUNTIFS('Feature Data'!$P$2:$P$301,"&gt;0",'Feature Data'!$E$2:$E$301,"Self-Serve")/COUNTIF('Feature Data'!$E$2:$E$301,"Self-Serve")</f>
        <v>0.877777777777778</v>
      </c>
      <c r="F6" s="17" t="n">
        <f aca="false">COUNTIFS('Feature Data'!$P$2:$P$301,"&gt;0",'Feature Data'!$F$2:$F$301,"Key")/COUNTIF('Feature Data'!$F$2:$F$301,"Key")</f>
        <v>1</v>
      </c>
      <c r="G6" s="17" t="n">
        <f aca="false">COUNTIFS('Feature Data'!$P$2:$P$301,"&gt;0",'Feature Data'!$F$2:$F$301,"Core")/COUNTIF('Feature Data'!$F$2:$F$301,"Core")</f>
        <v>0.96078431372549</v>
      </c>
      <c r="H6" s="17" t="n">
        <f aca="false">COUNTIFS('Feature Data'!$P$2:$P$301,"&gt;0",'Feature Data'!$F$2:$F$301,"Tail")/COUNTIF('Feature Data'!$F$2:$F$301,"Tail")</f>
        <v>0.939393939393939</v>
      </c>
      <c r="I6" s="2" t="n">
        <f aca="false" t="array" ref="I6:I6">MEDIAN(IF('Feature Data'!$P$2:$P$301&gt;0,'Feature Data'!$P$2:$P$301))</f>
        <v>67</v>
      </c>
      <c r="J6" s="17" t="n">
        <f aca="true">SUMPRODUCT(LARGE('Feature Data'!$P$2:$P$301,ROW(INDIRECT("1:10"))))/SUM('Feature Data'!$P$2:$P$301)</f>
        <v>0.36821626879585</v>
      </c>
      <c r="K6" s="2"/>
      <c r="L6" s="2"/>
      <c r="M6" s="2"/>
    </row>
    <row r="7" customFormat="false" ht="15" hidden="false" customHeight="false" outlineLevel="0" collapsed="false">
      <c r="A7" s="2" t="s">
        <v>1369</v>
      </c>
      <c r="B7" s="17" t="n">
        <f aca="false">COUNTIF('Feature Data'!$Q$2:$Q$301,"&gt;0")/COUNTA('Feature Data'!$A$2:$A$301)</f>
        <v>0.61</v>
      </c>
      <c r="C7" s="17" t="n">
        <f aca="false">COUNTIFS('Feature Data'!$Q$2:$Q$301,"&gt;0",'Feature Data'!$E$2:$E$301,"Broker-Reliant")/COUNTIF('Feature Data'!$E$2:$E$301,"Broker-Reliant")</f>
        <v>0.807692307692308</v>
      </c>
      <c r="D7" s="17" t="n">
        <f aca="false">COUNTIFS('Feature Data'!$Q$2:$Q$301,"&gt;0",'Feature Data'!$E$2:$E$301,"AM-Owned / Self-Serving")/COUNTIF('Feature Data'!$E$2:$E$301,"AM-Owned / Self-Serving")</f>
        <v>0.560606060606061</v>
      </c>
      <c r="E7" s="17" t="n">
        <f aca="false">COUNTIFS('Feature Data'!$Q$2:$Q$301,"&gt;0",'Feature Data'!$E$2:$E$301,"Self-Serve")/COUNTIF('Feature Data'!$E$2:$E$301,"Self-Serve")</f>
        <v>0.511111111111111</v>
      </c>
      <c r="F7" s="17" t="n">
        <f aca="false">COUNTIFS('Feature Data'!$Q$2:$Q$301,"&gt;0",'Feature Data'!$F$2:$F$301,"Key")/COUNTIF('Feature Data'!$F$2:$F$301,"Key")</f>
        <v>0.666666666666667</v>
      </c>
      <c r="G7" s="17" t="n">
        <f aca="false">COUNTIFS('Feature Data'!$Q$2:$Q$301,"&gt;0",'Feature Data'!$F$2:$F$301,"Core")/COUNTIF('Feature Data'!$F$2:$F$301,"Core")</f>
        <v>0.784313725490196</v>
      </c>
      <c r="H7" s="17" t="n">
        <f aca="false">COUNTIFS('Feature Data'!$Q$2:$Q$301,"&gt;0",'Feature Data'!$F$2:$F$301,"Tail")/COUNTIF('Feature Data'!$F$2:$F$301,"Tail")</f>
        <v>0.567099567099567</v>
      </c>
      <c r="I7" s="2" t="n">
        <f aca="false" t="array" ref="I7:I7">MEDIAN(IF('Feature Data'!$Q$2:$Q$301&gt;0,'Feature Data'!$Q$2:$Q$301))</f>
        <v>2</v>
      </c>
      <c r="J7" s="17" t="n">
        <f aca="true">SUMPRODUCT(LARGE('Feature Data'!$Q$2:$Q$301,ROW(INDIRECT("1:10"))))/SUM('Feature Data'!$Q$2:$Q$301)</f>
        <v>0.415628539071348</v>
      </c>
      <c r="K7" s="2"/>
      <c r="L7" s="2"/>
      <c r="M7" s="2"/>
    </row>
    <row r="8" customFormat="false" ht="15" hidden="false" customHeight="false" outlineLevel="0" collapsed="false">
      <c r="A8" s="2" t="s">
        <v>1594</v>
      </c>
      <c r="B8" s="17" t="n">
        <f aca="false">COUNTIF('Feature Data'!$R$2:$R$301,"&gt;0")/COUNTA('Feature Data'!$A$2:$A$301)</f>
        <v>0.78</v>
      </c>
      <c r="C8" s="17" t="n">
        <f aca="false">COUNTIFS('Feature Data'!$R$2:$R$301,"&gt;0",'Feature Data'!$E$2:$E$301,"Broker-Reliant")/COUNTIF('Feature Data'!$E$2:$E$301,"Broker-Reliant")</f>
        <v>0.987179487179487</v>
      </c>
      <c r="D8" s="17" t="n">
        <f aca="false">COUNTIFS('Feature Data'!$R$2:$R$301,"&gt;0",'Feature Data'!$E$2:$E$301,"AM-Owned / Self-Serving")/COUNTIF('Feature Data'!$E$2:$E$301,"AM-Owned / Self-Serving")</f>
        <v>0.787878787878788</v>
      </c>
      <c r="E8" s="17" t="n">
        <f aca="false">COUNTIFS('Feature Data'!$R$2:$R$301,"&gt;0",'Feature Data'!$E$2:$E$301,"Self-Serve")/COUNTIF('Feature Data'!$E$2:$E$301,"Self-Serve")</f>
        <v>0.588888888888889</v>
      </c>
      <c r="F8" s="17" t="n">
        <f aca="false">COUNTIFS('Feature Data'!$R$2:$R$301,"&gt;0",'Feature Data'!$F$2:$F$301,"Key")/COUNTIF('Feature Data'!$F$2:$F$301,"Key")</f>
        <v>1</v>
      </c>
      <c r="G8" s="17" t="n">
        <f aca="false">COUNTIFS('Feature Data'!$R$2:$R$301,"&gt;0",'Feature Data'!$F$2:$F$301,"Core")/COUNTIF('Feature Data'!$F$2:$F$301,"Core")</f>
        <v>0.980392156862745</v>
      </c>
      <c r="H8" s="17" t="n">
        <f aca="false">COUNTIFS('Feature Data'!$R$2:$R$301,"&gt;0",'Feature Data'!$F$2:$F$301,"Tail")/COUNTIF('Feature Data'!$F$2:$F$301,"Tail")</f>
        <v>0.718614718614719</v>
      </c>
      <c r="I8" s="2" t="n">
        <f aca="false" t="array" ref="I8:I8">MEDIAN(IF('Feature Data'!$R$2:$R$301&gt;0,'Feature Data'!$R$2:$R$301))</f>
        <v>5</v>
      </c>
      <c r="J8" s="17" t="n">
        <f aca="true">SUMPRODUCT(LARGE('Feature Data'!$R$2:$R$301,ROW(INDIRECT("1:10"))))/SUM('Feature Data'!$R$2:$R$301)</f>
        <v>0.287390029325513</v>
      </c>
      <c r="K8" s="2"/>
      <c r="L8" s="2"/>
      <c r="M8" s="2"/>
    </row>
    <row r="9" customFormat="false" ht="15" hidden="false" customHeight="false" outlineLevel="0" collapsed="false">
      <c r="A9" s="2" t="s">
        <v>1595</v>
      </c>
      <c r="B9" s="17" t="n">
        <f aca="false">COUNTIF('Feature Data'!$S$2:$S$301,"&gt;0")/COUNTA('Feature Data'!$A$2:$A$301)</f>
        <v>0.17</v>
      </c>
      <c r="C9" s="17" t="n">
        <f aca="false">COUNTIFS('Feature Data'!$S$2:$S$301,"&gt;0",'Feature Data'!$E$2:$E$301,"Broker-Reliant")/COUNTIF('Feature Data'!$E$2:$E$301,"Broker-Reliant")</f>
        <v>0.371794871794872</v>
      </c>
      <c r="D9" s="17" t="n">
        <f aca="false">COUNTIFS('Feature Data'!$S$2:$S$301,"&gt;0",'Feature Data'!$E$2:$E$301,"AM-Owned / Self-Serving")/COUNTIF('Feature Data'!$E$2:$E$301,"AM-Owned / Self-Serving")</f>
        <v>0.106060606060606</v>
      </c>
      <c r="E9" s="17" t="n">
        <f aca="false">COUNTIFS('Feature Data'!$S$2:$S$301,"&gt;0",'Feature Data'!$E$2:$E$301,"Self-Serve")/COUNTIF('Feature Data'!$E$2:$E$301,"Self-Serve")</f>
        <v>0.0888888888888889</v>
      </c>
      <c r="F9" s="17" t="n">
        <f aca="false">COUNTIFS('Feature Data'!$S$2:$S$301,"&gt;0",'Feature Data'!$F$2:$F$301,"Key")/COUNTIF('Feature Data'!$F$2:$F$301,"Key")</f>
        <v>0.555555555555556</v>
      </c>
      <c r="G9" s="17" t="n">
        <f aca="false">COUNTIFS('Feature Data'!$S$2:$S$301,"&gt;0",'Feature Data'!$F$2:$F$301,"Core")/COUNTIF('Feature Data'!$F$2:$F$301,"Core")</f>
        <v>0.333333333333333</v>
      </c>
      <c r="H9" s="17" t="n">
        <f aca="false">COUNTIFS('Feature Data'!$S$2:$S$301,"&gt;0",'Feature Data'!$F$2:$F$301,"Tail")/COUNTIF('Feature Data'!$F$2:$F$301,"Tail")</f>
        <v>0.103896103896104</v>
      </c>
      <c r="I9" s="2" t="n">
        <f aca="false" t="array" ref="I9:I9">MEDIAN(IF('Feature Data'!$S$2:$S$301&gt;0,'Feature Data'!$S$2:$S$301))</f>
        <v>1</v>
      </c>
      <c r="J9" s="17" t="n">
        <f aca="true">SUMPRODUCT(LARGE('Feature Data'!$S$2:$S$301,ROW(INDIRECT("1:10"))))/SUM('Feature Data'!$S$2:$S$301)</f>
        <v>0.683060109289618</v>
      </c>
      <c r="K9" s="2"/>
      <c r="L9" s="2"/>
      <c r="M9" s="2"/>
    </row>
    <row r="10" customFormat="false" ht="15" hidden="false" customHeight="false" outlineLevel="0" collapsed="false">
      <c r="A10" s="2" t="s">
        <v>1596</v>
      </c>
      <c r="B10" s="17" t="n">
        <f aca="false">COUNTIF('Feature Data'!$T$2:$T$301,"&gt;0")/COUNTA('Feature Data'!$A$2:$A$301)</f>
        <v>0.34</v>
      </c>
      <c r="C10" s="17" t="n">
        <f aca="false">COUNTIFS('Feature Data'!$T$2:$T$301,"&gt;0",'Feature Data'!$E$2:$E$301,"Broker-Reliant")/COUNTIF('Feature Data'!$E$2:$E$301,"Broker-Reliant")</f>
        <v>0.628205128205128</v>
      </c>
      <c r="D10" s="17" t="n">
        <f aca="false">COUNTIFS('Feature Data'!$T$2:$T$301,"&gt;0",'Feature Data'!$E$2:$E$301,"AM-Owned / Self-Serving")/COUNTIF('Feature Data'!$E$2:$E$301,"AM-Owned / Self-Serving")</f>
        <v>0.272727272727273</v>
      </c>
      <c r="E10" s="17" t="n">
        <f aca="false">COUNTIFS('Feature Data'!$T$2:$T$301,"&gt;0",'Feature Data'!$E$2:$E$301,"Self-Serve")/COUNTIF('Feature Data'!$E$2:$E$301,"Self-Serve")</f>
        <v>0.188888888888889</v>
      </c>
      <c r="F10" s="17" t="n">
        <f aca="false">COUNTIFS('Feature Data'!$T$2:$T$301,"&gt;0",'Feature Data'!$F$2:$F$301,"Key")/COUNTIF('Feature Data'!$F$2:$F$301,"Key")</f>
        <v>0.944444444444444</v>
      </c>
      <c r="G10" s="17" t="n">
        <f aca="false">COUNTIFS('Feature Data'!$T$2:$T$301,"&gt;0",'Feature Data'!$F$2:$F$301,"Core")/COUNTIF('Feature Data'!$F$2:$F$301,"Core")</f>
        <v>0.705882352941177</v>
      </c>
      <c r="H10" s="17" t="n">
        <f aca="false">COUNTIFS('Feature Data'!$T$2:$T$301,"&gt;0",'Feature Data'!$F$2:$F$301,"Tail")/COUNTIF('Feature Data'!$F$2:$F$301,"Tail")</f>
        <v>0.212121212121212</v>
      </c>
      <c r="I10" s="2" t="n">
        <f aca="false" t="array" ref="I10:I10">MEDIAN(IF('Feature Data'!$T$2:$T$301&gt;0,'Feature Data'!$T$2:$T$301))</f>
        <v>2</v>
      </c>
      <c r="J10" s="17" t="n">
        <f aca="true">SUMPRODUCT(LARGE('Feature Data'!$T$2:$T$301,ROW(INDIRECT("1:10"))))/SUM('Feature Data'!$T$2:$T$301)</f>
        <v>0.453634085213033</v>
      </c>
      <c r="K10" s="2"/>
      <c r="L10" s="2"/>
      <c r="M10" s="2"/>
    </row>
    <row r="11" customFormat="false" ht="15" hidden="false" customHeight="false" outlineLevel="0" collapsed="false">
      <c r="A11" s="2" t="s">
        <v>1597</v>
      </c>
      <c r="B11" s="17" t="n">
        <f aca="false">COUNTIF('Feature Data'!$U$2:$U$301,"&gt;0")/COUNTA('Feature Data'!$A$2:$A$301)</f>
        <v>0.84</v>
      </c>
      <c r="C11" s="17" t="n">
        <f aca="false">COUNTIFS('Feature Data'!$U$2:$U$301,"&gt;0",'Feature Data'!$E$2:$E$301,"Broker-Reliant")/COUNTIF('Feature Data'!$E$2:$E$301,"Broker-Reliant")</f>
        <v>0.794871794871795</v>
      </c>
      <c r="D11" s="17" t="n">
        <f aca="false">COUNTIFS('Feature Data'!$U$2:$U$301,"&gt;0",'Feature Data'!$E$2:$E$301,"AM-Owned / Self-Serving")/COUNTIF('Feature Data'!$E$2:$E$301,"AM-Owned / Self-Serving")</f>
        <v>0.818181818181818</v>
      </c>
      <c r="E11" s="17" t="n">
        <f aca="false">COUNTIFS('Feature Data'!$U$2:$U$301,"&gt;0",'Feature Data'!$E$2:$E$301,"Self-Serve")/COUNTIF('Feature Data'!$E$2:$E$301,"Self-Serve")</f>
        <v>0.911111111111111</v>
      </c>
      <c r="F11" s="17" t="n">
        <f aca="false">COUNTIFS('Feature Data'!$U$2:$U$301,"&gt;0",'Feature Data'!$F$2:$F$301,"Key")/COUNTIF('Feature Data'!$F$2:$F$301,"Key")</f>
        <v>0.722222222222222</v>
      </c>
      <c r="G11" s="17" t="n">
        <f aca="false">COUNTIFS('Feature Data'!$U$2:$U$301,"&gt;0",'Feature Data'!$F$2:$F$301,"Core")/COUNTIF('Feature Data'!$F$2:$F$301,"Core")</f>
        <v>0.745098039215686</v>
      </c>
      <c r="H11" s="17" t="n">
        <f aca="false">COUNTIFS('Feature Data'!$U$2:$U$301,"&gt;0",'Feature Data'!$F$2:$F$301,"Tail")/COUNTIF('Feature Data'!$F$2:$F$301,"Tail")</f>
        <v>0.87012987012987</v>
      </c>
      <c r="I11" s="2" t="n">
        <f aca="false" t="array" ref="I11:I11">MEDIAN(IF('Feature Data'!$U$2:$U$301&gt;0,'Feature Data'!$U$2:$U$301))</f>
        <v>1</v>
      </c>
      <c r="J11" s="17" t="n">
        <f aca="true">SUMPRODUCT(LARGE('Feature Data'!$U$2:$U$301,ROW(INDIRECT("1:10"))))/SUM('Feature Data'!$U$2:$U$301)</f>
        <v>0.291979949874687</v>
      </c>
      <c r="K11" s="2"/>
      <c r="L11" s="2"/>
      <c r="M11" s="2"/>
    </row>
    <row r="12" customFormat="false" ht="15" hidden="false" customHeight="false" outlineLevel="0" collapsed="false">
      <c r="A12" s="2"/>
      <c r="B12" s="2"/>
      <c r="C12" s="2"/>
      <c r="D12" s="2"/>
      <c r="E12" s="2"/>
      <c r="F12" s="2"/>
      <c r="G12" s="2"/>
      <c r="H12" s="2"/>
      <c r="I12" s="2"/>
      <c r="J12" s="2"/>
      <c r="K12" s="2"/>
      <c r="L12" s="2"/>
      <c r="M12" s="2"/>
    </row>
    <row r="13" customFormat="false" ht="15" hidden="false" customHeight="false" outlineLevel="0" collapsed="false">
      <c r="A13" s="3" t="s">
        <v>1598</v>
      </c>
      <c r="B13" s="2"/>
      <c r="C13" s="2"/>
      <c r="D13" s="2"/>
      <c r="E13" s="2"/>
      <c r="F13" s="2"/>
      <c r="G13" s="2"/>
      <c r="H13" s="2"/>
      <c r="I13" s="2"/>
      <c r="J13" s="2"/>
      <c r="K13" s="2"/>
      <c r="L13" s="2"/>
      <c r="M13" s="2"/>
    </row>
    <row r="14" customFormat="false" ht="15" hidden="false" customHeight="false" outlineLevel="0" collapsed="false">
      <c r="A14" s="12" t="s">
        <v>1590</v>
      </c>
      <c r="B14" s="12" t="s">
        <v>1498</v>
      </c>
      <c r="C14" s="12" t="s">
        <v>1499</v>
      </c>
      <c r="D14" s="12" t="s">
        <v>1500</v>
      </c>
      <c r="E14" s="12" t="s">
        <v>115</v>
      </c>
      <c r="F14" s="12" t="s">
        <v>203</v>
      </c>
      <c r="G14" s="12" t="s">
        <v>474</v>
      </c>
      <c r="H14" s="3"/>
      <c r="I14" s="3"/>
      <c r="J14" s="3"/>
      <c r="K14" s="3"/>
      <c r="L14" s="3"/>
      <c r="M14" s="3"/>
    </row>
    <row r="15" customFormat="false" ht="15" hidden="false" customHeight="false" outlineLevel="0" collapsed="false">
      <c r="A15" s="2" t="s">
        <v>1368</v>
      </c>
      <c r="B15" s="17" t="n">
        <f aca="false">SUMIF('Feature Data'!$E$2:$E$301,"Broker-Reliant",'Feature Data'!$O$2:$O$301)/SUM('Feature Data'!$O$2:$O$301)</f>
        <v>0.0781563126252505</v>
      </c>
      <c r="C15" s="17" t="n">
        <f aca="false">SUMIF('Feature Data'!$E$2:$E$301,"AM-Owned / Self-Serving",'Feature Data'!$O$2:$O$301)/SUM('Feature Data'!$O$2:$O$301)</f>
        <v>0.597444889779559</v>
      </c>
      <c r="D15" s="17" t="n">
        <f aca="false">SUMIF('Feature Data'!$E$2:$E$301,"Self-Serve",'Feature Data'!$O$2:$O$301)/SUM('Feature Data'!$O$2:$O$301)</f>
        <v>0.32439879759519</v>
      </c>
      <c r="E15" s="17" t="n">
        <f aca="false">SUMIF('Feature Data'!$F$2:$F$301,"Key",'Feature Data'!$O$2:$O$301)/SUM('Feature Data'!$O$2:$O$301)</f>
        <v>0.0410821643286573</v>
      </c>
      <c r="F15" s="17" t="n">
        <f aca="false">SUMIF('Feature Data'!$F$2:$F$301,"Core",'Feature Data'!$O$2:$O$301)/SUM('Feature Data'!$O$2:$O$301)</f>
        <v>0.163577154308617</v>
      </c>
      <c r="G15" s="17" t="n">
        <f aca="false">SUMIF('Feature Data'!$F$2:$F$301,"Tail",'Feature Data'!$O$2:$O$301)/SUM('Feature Data'!$O$2:$O$301)</f>
        <v>0.795340681362725</v>
      </c>
      <c r="H15" s="2"/>
      <c r="I15" s="2"/>
      <c r="J15" s="2"/>
      <c r="K15" s="2"/>
      <c r="L15" s="2"/>
      <c r="M15" s="2"/>
    </row>
    <row r="16" customFormat="false" ht="15" hidden="false" customHeight="false" outlineLevel="0" collapsed="false">
      <c r="A16" s="2" t="s">
        <v>1367</v>
      </c>
      <c r="B16" s="17" t="n">
        <f aca="false">SUMIF('Feature Data'!$E$2:$E$301,"Broker-Reliant",'Feature Data'!$P$2:$P$301)/SUM('Feature Data'!$P$2:$P$301)</f>
        <v>0.0102338588740729</v>
      </c>
      <c r="C16" s="17" t="n">
        <f aca="false">SUMIF('Feature Data'!$E$2:$E$301,"AM-Owned / Self-Serving",'Feature Data'!$P$2:$P$301)/SUM('Feature Data'!$P$2:$P$301)</f>
        <v>0.528715600048636</v>
      </c>
      <c r="D16" s="17" t="n">
        <f aca="false">SUMIF('Feature Data'!$E$2:$E$301,"Self-Serve",'Feature Data'!$P$2:$P$301)/SUM('Feature Data'!$P$2:$P$301)</f>
        <v>0.461050541077291</v>
      </c>
      <c r="E16" s="17" t="n">
        <f aca="false">SUMIF('Feature Data'!$F$2:$F$301,"Key",'Feature Data'!$P$2:$P$301)/SUM('Feature Data'!$P$2:$P$301)</f>
        <v>0.136789202772261</v>
      </c>
      <c r="F16" s="17" t="n">
        <f aca="false">SUMIF('Feature Data'!$F$2:$F$301,"Core",'Feature Data'!$P$2:$P$301)/SUM('Feature Data'!$P$2:$P$301)</f>
        <v>0.150711303854416</v>
      </c>
      <c r="G16" s="17" t="n">
        <f aca="false">SUMIF('Feature Data'!$F$2:$F$301,"Tail",'Feature Data'!$P$2:$P$301)/SUM('Feature Data'!$P$2:$P$301)</f>
        <v>0.712499493373323</v>
      </c>
      <c r="H16" s="2"/>
      <c r="I16" s="2"/>
      <c r="J16" s="2"/>
      <c r="K16" s="2"/>
      <c r="L16" s="2"/>
      <c r="M16" s="2"/>
    </row>
    <row r="17" customFormat="false" ht="15" hidden="false" customHeight="false" outlineLevel="0" collapsed="false">
      <c r="A17" s="2" t="s">
        <v>1369</v>
      </c>
      <c r="B17" s="17" t="n">
        <f aca="false">SUMIF('Feature Data'!$E$2:$E$301,"Broker-Reliant",'Feature Data'!$Q$2:$Q$301)/SUM('Feature Data'!$Q$2:$Q$301)</f>
        <v>0.0906002265005663</v>
      </c>
      <c r="C17" s="17" t="n">
        <f aca="false">SUMIF('Feature Data'!$E$2:$E$301,"AM-Owned / Self-Serving",'Feature Data'!$Q$2:$Q$301)/SUM('Feature Data'!$Q$2:$Q$301)</f>
        <v>0.488108720271801</v>
      </c>
      <c r="D17" s="17" t="n">
        <f aca="false">SUMIF('Feature Data'!$E$2:$E$301,"Self-Serve",'Feature Data'!$Q$2:$Q$301)/SUM('Feature Data'!$Q$2:$Q$301)</f>
        <v>0.421291053227633</v>
      </c>
      <c r="E17" s="17" t="n">
        <f aca="false">SUMIF('Feature Data'!$F$2:$F$301,"Key",'Feature Data'!$Q$2:$Q$301)/SUM('Feature Data'!$Q$2:$Q$301)</f>
        <v>0.0962627406568516</v>
      </c>
      <c r="F17" s="17" t="n">
        <f aca="false">SUMIF('Feature Data'!$F$2:$F$301,"Core",'Feature Data'!$Q$2:$Q$301)/SUM('Feature Data'!$Q$2:$Q$301)</f>
        <v>0.180067950169875</v>
      </c>
      <c r="G17" s="17" t="n">
        <f aca="false">SUMIF('Feature Data'!$F$2:$F$301,"Tail",'Feature Data'!$Q$2:$Q$301)/SUM('Feature Data'!$Q$2:$Q$301)</f>
        <v>0.723669309173273</v>
      </c>
      <c r="H17" s="2"/>
      <c r="I17" s="2"/>
      <c r="J17" s="2"/>
      <c r="K17" s="2"/>
      <c r="L17" s="2"/>
      <c r="M17" s="2"/>
    </row>
    <row r="18" customFormat="false" ht="15" hidden="false" customHeight="false" outlineLevel="0" collapsed="false">
      <c r="A18" s="2" t="s">
        <v>1594</v>
      </c>
      <c r="B18" s="17" t="n">
        <f aca="false">SUMIF('Feature Data'!$E$2:$E$301,"Broker-Reliant",'Feature Data'!$R$2:$R$301)/SUM('Feature Data'!$R$2:$R$301)</f>
        <v>0.571847507331378</v>
      </c>
      <c r="C18" s="17" t="n">
        <f aca="false">SUMIF('Feature Data'!$E$2:$E$301,"AM-Owned / Self-Serving",'Feature Data'!$R$2:$R$301)/SUM('Feature Data'!$R$2:$R$301)</f>
        <v>0.354419773774613</v>
      </c>
      <c r="D18" s="17" t="n">
        <f aca="false">SUMIF('Feature Data'!$E$2:$E$301,"Self-Serve",'Feature Data'!$R$2:$R$301)/SUM('Feature Data'!$R$2:$R$301)</f>
        <v>0.0737327188940092</v>
      </c>
      <c r="E18" s="17" t="n">
        <f aca="false">SUMIF('Feature Data'!$F$2:$F$301,"Key",'Feature Data'!$R$2:$R$301)/SUM('Feature Data'!$R$2:$R$301)</f>
        <v>0.251361541684122</v>
      </c>
      <c r="F18" s="17" t="n">
        <f aca="false">SUMIF('Feature Data'!$F$2:$F$301,"Core",'Feature Data'!$R$2:$R$301)/SUM('Feature Data'!$R$2:$R$301)</f>
        <v>0.346250523669879</v>
      </c>
      <c r="G18" s="17" t="n">
        <f aca="false">SUMIF('Feature Data'!$F$2:$F$301,"Tail",'Feature Data'!$R$2:$R$301)/SUM('Feature Data'!$R$2:$R$301)</f>
        <v>0.402387934645999</v>
      </c>
      <c r="H18" s="2"/>
      <c r="I18" s="2"/>
      <c r="J18" s="2"/>
      <c r="K18" s="2"/>
      <c r="L18" s="2"/>
      <c r="M18" s="2"/>
    </row>
    <row r="19" customFormat="false" ht="15" hidden="false" customHeight="false" outlineLevel="0" collapsed="false">
      <c r="A19" s="2" t="s">
        <v>1595</v>
      </c>
      <c r="B19" s="17" t="n">
        <f aca="false">SUMIF('Feature Data'!$E$2:$E$301,"Broker-Reliant",'Feature Data'!$S$2:$S$301)/SUM('Feature Data'!$S$2:$S$301)</f>
        <v>0.814207650273224</v>
      </c>
      <c r="C19" s="17" t="n">
        <f aca="false">SUMIF('Feature Data'!$E$2:$E$301,"AM-Owned / Self-Serving",'Feature Data'!$S$2:$S$301)/SUM('Feature Data'!$S$2:$S$301)</f>
        <v>0.131147540983607</v>
      </c>
      <c r="D19" s="17" t="n">
        <f aca="false">SUMIF('Feature Data'!$E$2:$E$301,"Self-Serve",'Feature Data'!$S$2:$S$301)/SUM('Feature Data'!$S$2:$S$301)</f>
        <v>0.0546448087431694</v>
      </c>
      <c r="E19" s="17" t="n">
        <f aca="false">SUMIF('Feature Data'!$F$2:$F$301,"Key",'Feature Data'!$S$2:$S$301)/SUM('Feature Data'!$S$2:$S$301)</f>
        <v>0.491803278688525</v>
      </c>
      <c r="F19" s="17" t="n">
        <f aca="false">SUMIF('Feature Data'!$F$2:$F$301,"Core",'Feature Data'!$S$2:$S$301)/SUM('Feature Data'!$S$2:$S$301)</f>
        <v>0.273224043715847</v>
      </c>
      <c r="G19" s="17" t="n">
        <f aca="false">SUMIF('Feature Data'!$F$2:$F$301,"Tail",'Feature Data'!$S$2:$S$301)/SUM('Feature Data'!$S$2:$S$301)</f>
        <v>0.234972677595628</v>
      </c>
      <c r="H19" s="2"/>
      <c r="I19" s="2"/>
      <c r="J19" s="2"/>
      <c r="K19" s="2"/>
      <c r="L19" s="2"/>
      <c r="M19" s="2"/>
    </row>
    <row r="20" customFormat="false" ht="15" hidden="false" customHeight="false" outlineLevel="0" collapsed="false">
      <c r="A20" s="2" t="s">
        <v>1596</v>
      </c>
      <c r="B20" s="17" t="n">
        <f aca="false">SUMIF('Feature Data'!$E$2:$E$301,"Broker-Reliant",'Feature Data'!$T$2:$T$301)/SUM('Feature Data'!$T$2:$T$301)</f>
        <v>0.784461152882206</v>
      </c>
      <c r="C20" s="17" t="n">
        <f aca="false">SUMIF('Feature Data'!$E$2:$E$301,"AM-Owned / Self-Serving",'Feature Data'!$T$2:$T$301)/SUM('Feature Data'!$T$2:$T$301)</f>
        <v>0.152882205513784</v>
      </c>
      <c r="D20" s="17" t="n">
        <f aca="false">SUMIF('Feature Data'!$E$2:$E$301,"Self-Serve",'Feature Data'!$T$2:$T$301)/SUM('Feature Data'!$T$2:$T$301)</f>
        <v>0.06265664160401</v>
      </c>
      <c r="E20" s="17" t="n">
        <f aca="false">SUMIF('Feature Data'!$F$2:$F$301,"Key",'Feature Data'!$T$2:$T$301)/SUM('Feature Data'!$T$2:$T$301)</f>
        <v>0.511278195488722</v>
      </c>
      <c r="F20" s="17" t="n">
        <f aca="false">SUMIF('Feature Data'!$F$2:$F$301,"Core",'Feature Data'!$T$2:$T$301)/SUM('Feature Data'!$T$2:$T$301)</f>
        <v>0.290726817042607</v>
      </c>
      <c r="G20" s="17" t="n">
        <f aca="false">SUMIF('Feature Data'!$F$2:$F$301,"Tail",'Feature Data'!$T$2:$T$301)/SUM('Feature Data'!$T$2:$T$301)</f>
        <v>0.197994987468672</v>
      </c>
      <c r="H20" s="2"/>
      <c r="I20" s="2"/>
      <c r="J20" s="2"/>
      <c r="K20" s="2"/>
      <c r="L20" s="2"/>
      <c r="M20" s="2"/>
    </row>
    <row r="21" customFormat="false" ht="15" hidden="false" customHeight="false" outlineLevel="0" collapsed="false">
      <c r="A21" s="2" t="s">
        <v>1597</v>
      </c>
      <c r="B21" s="17" t="n">
        <f aca="false">SUMIF('Feature Data'!$E$2:$E$301,"Broker-Reliant",'Feature Data'!$U$2:$U$301)/SUM('Feature Data'!$U$2:$U$301)</f>
        <v>0.582706766917293</v>
      </c>
      <c r="C21" s="17" t="n">
        <f aca="false">SUMIF('Feature Data'!$E$2:$E$301,"AM-Owned / Self-Serving",'Feature Data'!$U$2:$U$301)/SUM('Feature Data'!$U$2:$U$301)</f>
        <v>0.233082706766917</v>
      </c>
      <c r="D21" s="17" t="n">
        <f aca="false">SUMIF('Feature Data'!$E$2:$E$301,"Self-Serve",'Feature Data'!$U$2:$U$301)/SUM('Feature Data'!$U$2:$U$301)</f>
        <v>0.184210526315789</v>
      </c>
      <c r="E21" s="17" t="n">
        <f aca="false">SUMIF('Feature Data'!$F$2:$F$301,"Key",'Feature Data'!$U$2:$U$301)/SUM('Feature Data'!$U$2:$U$301)</f>
        <v>0.243107769423559</v>
      </c>
      <c r="F21" s="17" t="n">
        <f aca="false">SUMIF('Feature Data'!$F$2:$F$301,"Core",'Feature Data'!$U$2:$U$301)/SUM('Feature Data'!$U$2:$U$301)</f>
        <v>0.337092731829574</v>
      </c>
      <c r="G21" s="17" t="n">
        <f aca="false">SUMIF('Feature Data'!$F$2:$F$301,"Tail",'Feature Data'!$U$2:$U$301)/SUM('Feature Data'!$U$2:$U$301)</f>
        <v>0.419799498746867</v>
      </c>
      <c r="H21" s="2"/>
      <c r="I21" s="2"/>
      <c r="J21" s="2"/>
      <c r="K21" s="2"/>
      <c r="L21" s="2"/>
      <c r="M21" s="2"/>
    </row>
    <row r="22" customFormat="false" ht="15" hidden="false" customHeight="false" outlineLevel="0" collapsed="false">
      <c r="A22" s="2"/>
      <c r="B22" s="2"/>
      <c r="C22" s="2"/>
      <c r="D22" s="2"/>
      <c r="E22" s="2"/>
      <c r="F22" s="2"/>
      <c r="G22" s="2"/>
      <c r="H22" s="2"/>
      <c r="I22" s="2"/>
      <c r="J22" s="2"/>
      <c r="K22" s="2"/>
      <c r="L22" s="2"/>
      <c r="M22" s="2"/>
    </row>
    <row r="23" customFormat="false" ht="15" hidden="false" customHeight="false" outlineLevel="0" collapsed="false">
      <c r="A23" s="3" t="s">
        <v>1599</v>
      </c>
      <c r="B23" s="2"/>
      <c r="C23" s="2"/>
      <c r="D23" s="2"/>
      <c r="E23" s="2"/>
      <c r="F23" s="2"/>
      <c r="G23" s="2"/>
      <c r="H23" s="2"/>
      <c r="I23" s="2"/>
      <c r="J23" s="2"/>
      <c r="K23" s="2"/>
      <c r="L23" s="2"/>
      <c r="M23" s="2"/>
    </row>
    <row r="24" customFormat="false" ht="15" hidden="false" customHeight="false" outlineLevel="0" collapsed="false">
      <c r="A24" s="12" t="s">
        <v>1600</v>
      </c>
      <c r="B24" s="12" t="s">
        <v>1319</v>
      </c>
      <c r="C24" s="12" t="s">
        <v>1601</v>
      </c>
      <c r="D24" s="12" t="s">
        <v>1602</v>
      </c>
      <c r="E24" s="12" t="s">
        <v>1603</v>
      </c>
      <c r="F24" s="12" t="s">
        <v>1604</v>
      </c>
      <c r="G24" s="12" t="s">
        <v>1605</v>
      </c>
      <c r="H24" s="12" t="s">
        <v>1606</v>
      </c>
      <c r="I24" s="12" t="s">
        <v>1607</v>
      </c>
      <c r="J24" s="12" t="s">
        <v>1608</v>
      </c>
      <c r="K24" s="12" t="s">
        <v>1609</v>
      </c>
      <c r="L24" s="12" t="s">
        <v>1610</v>
      </c>
      <c r="M24" s="12" t="s">
        <v>1320</v>
      </c>
    </row>
    <row r="25" customFormat="false" ht="15" hidden="false" customHeight="false" outlineLevel="0" collapsed="false">
      <c r="A25" s="2" t="s">
        <v>1611</v>
      </c>
      <c r="B25" s="2" t="n">
        <f aca="false">SUMPRODUCT(('Feature Data'!$I$2:$I$301="Low")*('Feature Data'!$F$2:$F$301&lt;&gt;"Tail"))</f>
        <v>12</v>
      </c>
      <c r="C25" s="2" t="n">
        <f aca="false" t="array" ref="C25:C25">MEDIAN(IF(('Feature Data'!$I$2:$I$301="Low")*('Feature Data'!$F$2:$F$301&lt;&gt;"Tail")=1,'Feature Data'!$O$2:$O$301))</f>
        <v>40</v>
      </c>
      <c r="D25" s="2" t="n">
        <f aca="false" t="array" ref="D25:D25">MEDIAN(IF(('Feature Data'!$I$2:$I$301="Low")*('Feature Data'!$F$2:$F$301&lt;&gt;"Tail")=1,'Feature Data'!$P$2:$P$301))</f>
        <v>550</v>
      </c>
      <c r="E25" s="2" t="n">
        <f aca="false" t="array" ref="E25:E25">MEDIAN(IF(('Feature Data'!$I$2:$I$301="Low")*('Feature Data'!$F$2:$F$301&lt;&gt;"Tail")=1,'Feature Data'!$Q$2:$Q$301))</f>
        <v>4.5</v>
      </c>
      <c r="F25" s="2" t="n">
        <f aca="false" t="array" ref="F25:F25">MEDIAN(IF(('Feature Data'!$I$2:$I$301="Low")*('Feature Data'!$F$2:$F$301&lt;&gt;"Tail")=1,'Feature Data'!$R$2:$R$301))</f>
        <v>21</v>
      </c>
      <c r="G25" s="2" t="n">
        <f aca="false" t="array" ref="G25:G25">MEDIAN(IF(('Feature Data'!$I$2:$I$301="Low")*('Feature Data'!$F$2:$F$301&lt;&gt;"Tail")=1,'Feature Data'!$S$2:$S$301))</f>
        <v>0</v>
      </c>
      <c r="H25" s="2" t="n">
        <f aca="false" t="array" ref="H25:H25">MEDIAN(IF(('Feature Data'!$I$2:$I$301="Low")*('Feature Data'!$F$2:$F$301&lt;&gt;"Tail")=1,'Feature Data'!$T$2:$T$301))</f>
        <v>1</v>
      </c>
      <c r="I25" s="2" t="n">
        <f aca="false" t="array" ref="I25:I25">MEDIAN(IF(('Feature Data'!$I$2:$I$301="Low")*('Feature Data'!$F$2:$F$301&lt;&gt;"Tail")=1,'Feature Data'!$U$2:$U$301))</f>
        <v>5.5</v>
      </c>
      <c r="J25" s="2" t="n">
        <f aca="false" t="array" ref="J25:J25">MEDIAN(IF(('Feature Data'!$I$2:$I$301="Low")*('Feature Data'!$F$2:$F$301&lt;&gt;"Tail")=1,'Feature Data'!$V$2:$V$301))</f>
        <v>67</v>
      </c>
      <c r="K25" s="2" t="n">
        <f aca="false" t="array" ref="K25:K25">MEDIAN(IF(('Feature Data'!$I$2:$I$301="Low")*('Feature Data'!$F$2:$F$301&lt;&gt;"Tail")=1,'Feature Data'!$K$2:$K$301))</f>
        <v>8</v>
      </c>
      <c r="L25" s="17" t="n">
        <f aca="false" t="array" ref="L25:L25">MEDIAN(IF(('Feature Data'!$I$2:$I$301="Low")*('Feature Data'!$F$2:$F$301&lt;&gt;"Tail")=1,'Feature Data'!$X$2:$X$301))</f>
        <v>1</v>
      </c>
      <c r="M25" s="9" t="n">
        <f aca="false" t="array" ref="M25:M25">MEDIAN(IF(('Feature Data'!$I$2:$I$301="Low")*('Feature Data'!$F$2:$F$301&lt;&gt;"Tail")=1,'Feature Data'!$J$2:$J$301))</f>
        <v>3804.5</v>
      </c>
    </row>
    <row r="26" customFormat="false" ht="15" hidden="false" customHeight="false" outlineLevel="0" collapsed="false">
      <c r="A26" s="2" t="s">
        <v>1612</v>
      </c>
      <c r="B26" s="2" t="n">
        <f aca="false">SUMPRODUCT(('Feature Data'!$I$2:$I$301="Low")*('Feature Data'!$F$2:$F$301&lt;&gt;"Tail")*(('Feature Data'!$G$2:$G$301="Growing")+('Feature Data'!$G$2:$G$301="Stable")))</f>
        <v>4</v>
      </c>
      <c r="C26" s="2" t="n">
        <f aca="false" t="array" ref="C26:C26">MEDIAN(IF(('Feature Data'!$I$2:$I$301="Low")*('Feature Data'!$F$2:$F$301&lt;&gt;"Tail")*(('Feature Data'!$G$2:$G$301="Growing")+('Feature Data'!$G$2:$G$301="Stable"))=1,'Feature Data'!$O$2:$O$301))</f>
        <v>54.5</v>
      </c>
      <c r="D26" s="2" t="n">
        <f aca="false" t="array" ref="D26:D26">MEDIAN(IF(('Feature Data'!$I$2:$I$301="Low")*('Feature Data'!$F$2:$F$301&lt;&gt;"Tail")*(('Feature Data'!$G$2:$G$301="Growing")+('Feature Data'!$G$2:$G$301="Stable"))=1,'Feature Data'!$P$2:$P$301))</f>
        <v>736</v>
      </c>
      <c r="E26" s="2" t="n">
        <f aca="false" t="array" ref="E26:E26">MEDIAN(IF(('Feature Data'!$I$2:$I$301="Low")*('Feature Data'!$F$2:$F$301&lt;&gt;"Tail")*(('Feature Data'!$G$2:$G$301="Growing")+('Feature Data'!$G$2:$G$301="Stable"))=1,'Feature Data'!$Q$2:$Q$301))</f>
        <v>9</v>
      </c>
      <c r="F26" s="2" t="n">
        <f aca="false" t="array" ref="F26:F26">MEDIAN(IF(('Feature Data'!$I$2:$I$301="Low")*('Feature Data'!$F$2:$F$301&lt;&gt;"Tail")*(('Feature Data'!$G$2:$G$301="Growing")+('Feature Data'!$G$2:$G$301="Stable"))=1,'Feature Data'!$R$2:$R$301))</f>
        <v>33</v>
      </c>
      <c r="G26" s="2" t="n">
        <f aca="false" t="array" ref="G26:G26">MEDIAN(IF(('Feature Data'!$I$2:$I$301="Low")*('Feature Data'!$F$2:$F$301&lt;&gt;"Tail")*(('Feature Data'!$G$2:$G$301="Growing")+('Feature Data'!$G$2:$G$301="Stable"))=1,'Feature Data'!$S$2:$S$301))</f>
        <v>0</v>
      </c>
      <c r="H26" s="2" t="n">
        <f aca="false" t="array" ref="H26:H26">MEDIAN(IF(('Feature Data'!$I$2:$I$301="Low")*('Feature Data'!$F$2:$F$301&lt;&gt;"Tail")*(('Feature Data'!$G$2:$G$301="Growing")+('Feature Data'!$G$2:$G$301="Stable"))=1,'Feature Data'!$T$2:$T$301))</f>
        <v>2</v>
      </c>
      <c r="I26" s="2" t="n">
        <f aca="false" t="array" ref="I26:I26">MEDIAN(IF(('Feature Data'!$I$2:$I$301="Low")*('Feature Data'!$F$2:$F$301&lt;&gt;"Tail")*(('Feature Data'!$G$2:$G$301="Growing")+('Feature Data'!$G$2:$G$301="Stable"))=1,'Feature Data'!$U$2:$U$301))</f>
        <v>6</v>
      </c>
      <c r="J26" s="2" t="n">
        <f aca="false" t="array" ref="J26:J26">MEDIAN(IF(('Feature Data'!$I$2:$I$301="Low")*('Feature Data'!$F$2:$F$301&lt;&gt;"Tail")*(('Feature Data'!$G$2:$G$301="Growing")+('Feature Data'!$G$2:$G$301="Stable"))=1,'Feature Data'!$V$2:$V$301))</f>
        <v>80</v>
      </c>
      <c r="K26" s="2" t="n">
        <f aca="false" t="array" ref="K26:K26">MEDIAN(IF(('Feature Data'!$I$2:$I$301="Low")*('Feature Data'!$F$2:$F$301&lt;&gt;"Tail")*(('Feature Data'!$G$2:$G$301="Growing")+('Feature Data'!$G$2:$G$301="Stable"))=1,'Feature Data'!$K$2:$K$301))</f>
        <v>8</v>
      </c>
      <c r="L26" s="17" t="n">
        <f aca="false" t="array" ref="L26:L26">MEDIAN(IF(('Feature Data'!$I$2:$I$301="Low")*('Feature Data'!$F$2:$F$301&lt;&gt;"Tail")*(('Feature Data'!$G$2:$G$301="Growing")+('Feature Data'!$G$2:$G$301="Stable"))=1,'Feature Data'!$X$2:$X$301))</f>
        <v>1</v>
      </c>
      <c r="M26" s="9" t="n">
        <f aca="false" t="array" ref="M26:M26">MEDIAN(IF(('Feature Data'!$I$2:$I$301="Low")*('Feature Data'!$F$2:$F$301&lt;&gt;"Tail")*(('Feature Data'!$G$2:$G$301="Growing")+('Feature Data'!$G$2:$G$301="Stable"))=1,'Feature Data'!$J$2:$J$301))</f>
        <v>4956.5</v>
      </c>
    </row>
    <row r="27" customFormat="false" ht="15" hidden="false" customHeight="false" outlineLevel="0" collapsed="false">
      <c r="A27" s="2" t="s">
        <v>1613</v>
      </c>
      <c r="B27" s="2" t="n">
        <f aca="false">SUMPRODUCT(('Feature Data'!$I$2:$I$301="Low")*('Feature Data'!$K$2:$K$301&gt;=3))</f>
        <v>37</v>
      </c>
      <c r="C27" s="2" t="n">
        <f aca="false" t="array" ref="C27:C27">MEDIAN(IF(('Feature Data'!$I$2:$I$301="Low")*('Feature Data'!$K$2:$K$301&gt;=3)=1,'Feature Data'!$O$2:$O$301))</f>
        <v>30</v>
      </c>
      <c r="D27" s="2" t="n">
        <f aca="false" t="array" ref="D27:D27">MEDIAN(IF(('Feature Data'!$I$2:$I$301="Low")*('Feature Data'!$K$2:$K$301&gt;=3)=1,'Feature Data'!$P$2:$P$301))</f>
        <v>341</v>
      </c>
      <c r="E27" s="2" t="n">
        <f aca="false" t="array" ref="E27:E27">MEDIAN(IF(('Feature Data'!$I$2:$I$301="Low")*('Feature Data'!$K$2:$K$301&gt;=3)=1,'Feature Data'!$Q$2:$Q$301))</f>
        <v>4</v>
      </c>
      <c r="F27" s="2" t="n">
        <f aca="false" t="array" ref="F27:F27">MEDIAN(IF(('Feature Data'!$I$2:$I$301="Low")*('Feature Data'!$K$2:$K$301&gt;=3)=1,'Feature Data'!$R$2:$R$301))</f>
        <v>7</v>
      </c>
      <c r="G27" s="2" t="n">
        <f aca="false" t="array" ref="G27:G27">MEDIAN(IF(('Feature Data'!$I$2:$I$301="Low")*('Feature Data'!$K$2:$K$301&gt;=3)=1,'Feature Data'!$S$2:$S$301))</f>
        <v>0</v>
      </c>
      <c r="H27" s="2" t="n">
        <f aca="false" t="array" ref="H27:H27">MEDIAN(IF(('Feature Data'!$I$2:$I$301="Low")*('Feature Data'!$K$2:$K$301&gt;=3)=1,'Feature Data'!$T$2:$T$301))</f>
        <v>1</v>
      </c>
      <c r="I27" s="2" t="n">
        <f aca="false" t="array" ref="I27:I27">MEDIAN(IF(('Feature Data'!$I$2:$I$301="Low")*('Feature Data'!$K$2:$K$301&gt;=3)=1,'Feature Data'!$U$2:$U$301))</f>
        <v>4</v>
      </c>
      <c r="J27" s="2" t="n">
        <f aca="false" t="array" ref="J27:J27">MEDIAN(IF(('Feature Data'!$I$2:$I$301="Low")*('Feature Data'!$K$2:$K$301&gt;=3)=1,'Feature Data'!$V$2:$V$301))</f>
        <v>87</v>
      </c>
      <c r="K27" s="2" t="n">
        <f aca="false" t="array" ref="K27:K27">MEDIAN(IF(('Feature Data'!$I$2:$I$301="Low")*('Feature Data'!$K$2:$K$301&gt;=3)=1,'Feature Data'!$K$2:$K$301))</f>
        <v>4</v>
      </c>
      <c r="L27" s="17" t="n">
        <f aca="false" t="array" ref="L27:L27">MEDIAN(IF(('Feature Data'!$I$2:$I$301="Low")*('Feature Data'!$K$2:$K$301&gt;=3)=1,'Feature Data'!$X$2:$X$301))</f>
        <v>1</v>
      </c>
      <c r="M27" s="9" t="n">
        <f aca="false" t="array" ref="M27:M27">MEDIAN(IF(('Feature Data'!$I$2:$I$301="Low")*('Feature Data'!$K$2:$K$301&gt;=3)=1,'Feature Data'!$J$2:$J$301))</f>
        <v>1166</v>
      </c>
    </row>
    <row r="28" customFormat="false" ht="15" hidden="false" customHeight="false" outlineLevel="0" collapsed="false">
      <c r="A28" s="2" t="s">
        <v>1614</v>
      </c>
      <c r="B28" s="2" t="n">
        <f aca="false">SUMPRODUCT(('Feature Data'!$I$2:$I$301="Low")*('Feature Data'!$F$2:$F$301="Tail"))</f>
        <v>210</v>
      </c>
      <c r="C28" s="2" t="n">
        <f aca="false" t="array" ref="C28:C28">MEDIAN(IF(('Feature Data'!$I$2:$I$301="Low")*('Feature Data'!$F$2:$F$301="Tail")=1,'Feature Data'!$O$2:$O$301))</f>
        <v>9.5</v>
      </c>
      <c r="D28" s="2" t="n">
        <f aca="false" t="array" ref="D28:D28">MEDIAN(IF(('Feature Data'!$I$2:$I$301="Low")*('Feature Data'!$F$2:$F$301="Tail")=1,'Feature Data'!$P$2:$P$301))</f>
        <v>94.5</v>
      </c>
      <c r="E28" s="2" t="n">
        <f aca="false" t="array" ref="E28:E28">MEDIAN(IF(('Feature Data'!$I$2:$I$301="Low")*('Feature Data'!$F$2:$F$301="Tail")=1,'Feature Data'!$Q$2:$Q$301))</f>
        <v>1</v>
      </c>
      <c r="F28" s="2" t="n">
        <f aca="false" t="array" ref="F28:F28">MEDIAN(IF(('Feature Data'!$I$2:$I$301="Low")*('Feature Data'!$F$2:$F$301="Tail")=1,'Feature Data'!$R$2:$R$301))</f>
        <v>1.5</v>
      </c>
      <c r="G28" s="2" t="n">
        <f aca="false" t="array" ref="G28:G28">MEDIAN(IF(('Feature Data'!$I$2:$I$301="Low")*('Feature Data'!$F$2:$F$301="Tail")=1,'Feature Data'!$S$2:$S$301))</f>
        <v>0</v>
      </c>
      <c r="H28" s="2" t="n">
        <f aca="false" t="array" ref="H28:H28">MEDIAN(IF(('Feature Data'!$I$2:$I$301="Low")*('Feature Data'!$F$2:$F$301="Tail")=1,'Feature Data'!$T$2:$T$301))</f>
        <v>0</v>
      </c>
      <c r="I28" s="2" t="n">
        <f aca="false" t="array" ref="I28:I28">MEDIAN(IF(('Feature Data'!$I$2:$I$301="Low")*('Feature Data'!$F$2:$F$301="Tail")=1,'Feature Data'!$U$2:$U$301))</f>
        <v>1</v>
      </c>
      <c r="J28" s="2" t="n">
        <f aca="false" t="array" ref="J28:J28">MEDIAN(IF(('Feature Data'!$I$2:$I$301="Low")*('Feature Data'!$F$2:$F$301="Tail")=1,'Feature Data'!$V$2:$V$301))</f>
        <v>100</v>
      </c>
      <c r="K28" s="2" t="n">
        <f aca="false" t="array" ref="K28:K28">MEDIAN(IF(('Feature Data'!$I$2:$I$301="Low")*('Feature Data'!$F$2:$F$301="Tail")=1,'Feature Data'!$K$2:$K$301))</f>
        <v>1</v>
      </c>
      <c r="L28" s="17" t="n">
        <f aca="false" t="array" ref="L28:L28">MEDIAN(IF(('Feature Data'!$I$2:$I$301="Low")*('Feature Data'!$F$2:$F$301="Tail")=1,'Feature Data'!$X$2:$X$301))</f>
        <v>1</v>
      </c>
      <c r="M28" s="9" t="n">
        <f aca="false" t="array" ref="M28:M28">MEDIAN(IF(('Feature Data'!$I$2:$I$301="Low")*('Feature Data'!$F$2:$F$301="Tail")=1,'Feature Data'!$J$2:$J$301))</f>
        <v>272.5</v>
      </c>
    </row>
    <row r="29" customFormat="false" ht="15" hidden="false" customHeight="false" outlineLevel="0" collapsed="false">
      <c r="A29" s="2" t="s">
        <v>1615</v>
      </c>
      <c r="B29" s="2" t="n">
        <f aca="false">SUMPRODUCT(('Feature Data'!$H$2:$H$301="1. Migration Candidate"))</f>
        <v>22</v>
      </c>
      <c r="C29" s="2" t="n">
        <f aca="false" t="array" ref="C29:C29">MEDIAN(IF(('Feature Data'!$H$2:$H$301="1. Migration Candidate")=1,'Feature Data'!$O$2:$O$301))</f>
        <v>4.5</v>
      </c>
      <c r="D29" s="2" t="n">
        <f aca="false" t="array" ref="D29:D29">MEDIAN(IF(('Feature Data'!$H$2:$H$301="1. Migration Candidate")=1,'Feature Data'!$P$2:$P$301))</f>
        <v>4.5</v>
      </c>
      <c r="E29" s="2" t="n">
        <f aca="false" t="array" ref="E29:E29">MEDIAN(IF(('Feature Data'!$H$2:$H$301="1. Migration Candidate")=1,'Feature Data'!$Q$2:$Q$301))</f>
        <v>1</v>
      </c>
      <c r="F29" s="2" t="n">
        <f aca="false" t="array" ref="F29:F29">MEDIAN(IF(('Feature Data'!$H$2:$H$301="1. Migration Candidate")=1,'Feature Data'!$R$2:$R$301))</f>
        <v>20.5</v>
      </c>
      <c r="G29" s="2" t="n">
        <f aca="false" t="array" ref="G29:G29">MEDIAN(IF(('Feature Data'!$H$2:$H$301="1. Migration Candidate")=1,'Feature Data'!$S$2:$S$301))</f>
        <v>1</v>
      </c>
      <c r="H29" s="2" t="n">
        <f aca="false" t="array" ref="H29:H29">MEDIAN(IF(('Feature Data'!$H$2:$H$301="1. Migration Candidate")=1,'Feature Data'!$T$2:$T$301))</f>
        <v>2</v>
      </c>
      <c r="I29" s="2" t="n">
        <f aca="false" t="array" ref="I29:I29">MEDIAN(IF(('Feature Data'!$H$2:$H$301="1. Migration Candidate")=1,'Feature Data'!$U$2:$U$301))</f>
        <v>5</v>
      </c>
      <c r="J29" s="2" t="n">
        <f aca="false" t="array" ref="J29:J29">MEDIAN(IF(('Feature Data'!$H$2:$H$301="1. Migration Candidate")=1,'Feature Data'!$V$2:$V$301))</f>
        <v>41</v>
      </c>
      <c r="K29" s="2" t="n">
        <f aca="false" t="array" ref="K29:K29">MEDIAN(IF(('Feature Data'!$H$2:$H$301="1. Migration Candidate")=1,'Feature Data'!$K$2:$K$301))</f>
        <v>8</v>
      </c>
      <c r="L29" s="17" t="n">
        <f aca="false" t="array" ref="L29:L29">MEDIAN(IF(('Feature Data'!$H$2:$H$301="1. Migration Candidate")=1,'Feature Data'!$X$2:$X$301))</f>
        <v>0.306020066889632</v>
      </c>
      <c r="M29" s="9" t="n">
        <f aca="false" t="array" ref="M29:M29">MEDIAN(IF(('Feature Data'!$H$2:$H$301="1. Migration Candidate")=1,'Feature Data'!$J$2:$J$301))</f>
        <v>4595.5</v>
      </c>
    </row>
    <row r="30" customFormat="false" ht="15" hidden="false" customHeight="false" outlineLevel="0" collapsed="false">
      <c r="A30" s="2" t="s">
        <v>1616</v>
      </c>
      <c r="B30" s="2" t="n">
        <f aca="false">SUMPRODUCT(('Feature Data'!$E$2:$E$301="Broker-Reliant"))</f>
        <v>78</v>
      </c>
      <c r="C30" s="2" t="n">
        <f aca="false" t="array" ref="C30:C30">MEDIAN(IF(('Feature Data'!$E$2:$E$301="Broker-Reliant")=1,'Feature Data'!$O$2:$O$301))</f>
        <v>4</v>
      </c>
      <c r="D30" s="2" t="n">
        <f aca="false" t="array" ref="D30:D30">MEDIAN(IF(('Feature Data'!$E$2:$E$301="Broker-Reliant")=1,'Feature Data'!$P$2:$P$301))</f>
        <v>5</v>
      </c>
      <c r="E30" s="2" t="n">
        <f aca="false" t="array" ref="E30:E30">MEDIAN(IF(('Feature Data'!$E$2:$E$301="Broker-Reliant")=1,'Feature Data'!$Q$2:$Q$301))</f>
        <v>1</v>
      </c>
      <c r="F30" s="2" t="n">
        <f aca="false" t="array" ref="F30:F30">MEDIAN(IF(('Feature Data'!$E$2:$E$301="Broker-Reliant")=1,'Feature Data'!$R$2:$R$301))</f>
        <v>17.5</v>
      </c>
      <c r="G30" s="2" t="n">
        <f aca="false" t="array" ref="G30:G30">MEDIAN(IF(('Feature Data'!$E$2:$E$301="Broker-Reliant")=1,'Feature Data'!$S$2:$S$301))</f>
        <v>0</v>
      </c>
      <c r="H30" s="2" t="n">
        <f aca="false" t="array" ref="H30:H30">MEDIAN(IF(('Feature Data'!$E$2:$E$301="Broker-Reliant")=1,'Feature Data'!$T$2:$T$301))</f>
        <v>2</v>
      </c>
      <c r="I30" s="2" t="n">
        <f aca="false" t="array" ref="I30:I30">MEDIAN(IF(('Feature Data'!$E$2:$E$301="Broker-Reliant")=1,'Feature Data'!$U$2:$U$301))</f>
        <v>3</v>
      </c>
      <c r="J30" s="2" t="n">
        <f aca="false" t="array" ref="J30:J30">MEDIAN(IF(('Feature Data'!$E$2:$E$301="Broker-Reliant")=1,'Feature Data'!$V$2:$V$301))</f>
        <v>68.5</v>
      </c>
      <c r="K30" s="2" t="n">
        <f aca="false" t="array" ref="K30:K30">MEDIAN(IF(('Feature Data'!$E$2:$E$301="Broker-Reliant")=1,'Feature Data'!$K$2:$K$301))</f>
        <v>6</v>
      </c>
      <c r="L30" s="17" t="n">
        <f aca="false" t="array" ref="L30:L30">MEDIAN(IF(('Feature Data'!$E$2:$E$301="Broker-Reliant")=1,'Feature Data'!$X$2:$X$301))</f>
        <v>0.333333333333333</v>
      </c>
      <c r="M30" s="9" t="n">
        <f aca="false" t="array" ref="M30:M30">MEDIAN(IF(('Feature Data'!$E$2:$E$301="Broker-Reliant")=1,'Feature Data'!$J$2:$J$301))</f>
        <v>3491.5</v>
      </c>
    </row>
    <row r="31" customFormat="false" ht="15" hidden="false" customHeight="false" outlineLevel="0" collapsed="false">
      <c r="A31" s="2"/>
      <c r="B31" s="2"/>
      <c r="C31" s="2"/>
      <c r="D31" s="2"/>
      <c r="E31" s="2"/>
      <c r="F31" s="2"/>
      <c r="G31" s="2"/>
      <c r="H31" s="2"/>
      <c r="I31" s="2"/>
      <c r="J31" s="2"/>
      <c r="K31" s="2"/>
      <c r="L31" s="2"/>
      <c r="M31" s="2"/>
    </row>
    <row r="32" customFormat="false" ht="15" hidden="false" customHeight="false" outlineLevel="0" collapsed="false">
      <c r="A32" s="2"/>
      <c r="B32" s="2"/>
      <c r="C32" s="2"/>
      <c r="D32" s="2"/>
      <c r="E32" s="2"/>
      <c r="F32" s="2"/>
      <c r="G32" s="2"/>
      <c r="H32" s="2"/>
      <c r="I32" s="2"/>
      <c r="J32" s="2"/>
      <c r="K32" s="2"/>
      <c r="L32" s="2"/>
      <c r="M32" s="2"/>
    </row>
    <row r="33" customFormat="false" ht="15" hidden="false" customHeight="false" outlineLevel="0" collapsed="false">
      <c r="A33" s="3" t="s">
        <v>1617</v>
      </c>
      <c r="B33" s="2"/>
      <c r="C33" s="2"/>
      <c r="D33" s="2"/>
      <c r="E33" s="2"/>
      <c r="F33" s="2"/>
      <c r="G33" s="2"/>
      <c r="H33" s="2"/>
      <c r="I33" s="2"/>
      <c r="J33" s="2"/>
      <c r="K33" s="2"/>
      <c r="L33" s="2"/>
      <c r="M33" s="2"/>
    </row>
    <row r="34" customFormat="false" ht="15" hidden="false" customHeight="false" outlineLevel="0" collapsed="false">
      <c r="A34" s="12" t="s">
        <v>1618</v>
      </c>
      <c r="B34" s="12" t="s">
        <v>1319</v>
      </c>
      <c r="C34" s="12" t="s">
        <v>1320</v>
      </c>
      <c r="D34" s="12" t="s">
        <v>1321</v>
      </c>
      <c r="E34" s="12" t="s">
        <v>1619</v>
      </c>
      <c r="F34" s="3"/>
      <c r="G34" s="3"/>
      <c r="H34" s="3"/>
      <c r="I34" s="3"/>
      <c r="J34" s="3"/>
      <c r="K34" s="3"/>
      <c r="L34" s="3"/>
      <c r="M34" s="3"/>
    </row>
    <row r="35" customFormat="false" ht="15" hidden="false" customHeight="false" outlineLevel="0" collapsed="false">
      <c r="A35" s="2" t="s">
        <v>1620</v>
      </c>
      <c r="B35" s="2" t="n">
        <f aca="false">COUNTIF('Feature Data'!$AD$2:$AD$301,A35)</f>
        <v>78</v>
      </c>
      <c r="C35" s="9" t="n">
        <f aca="false">SUMIF('Feature Data'!$AD$2:$AD$301,A35,'Feature Data'!$J$2:$J$301)</f>
        <v>701881</v>
      </c>
      <c r="D35" s="13" t="n">
        <f aca="false">C35/SUM('Feature Data'!$J$2:$J$301)</f>
        <v>0.830234409469589</v>
      </c>
      <c r="E35" s="17" t="n">
        <f aca="false">(COUNTIFS('Feature Data'!$AD$2:$AD$301,A35,'Feature Data'!$G$2:$G$301,"Growing")+COUNTIFS('Feature Data'!$AD$2:$AD$301,A35,'Feature Data'!$G$2:$G$301,"Stable"))/B35</f>
        <v>0.346153846153846</v>
      </c>
      <c r="F35" s="2"/>
      <c r="G35" s="2"/>
      <c r="H35" s="2"/>
      <c r="I35" s="2"/>
      <c r="J35" s="2"/>
      <c r="K35" s="2"/>
      <c r="L35" s="2"/>
      <c r="M35" s="2"/>
    </row>
    <row r="36" customFormat="false" ht="15" hidden="false" customHeight="false" outlineLevel="0" collapsed="false">
      <c r="A36" s="2" t="s">
        <v>1621</v>
      </c>
      <c r="B36" s="2" t="n">
        <f aca="false">COUNTIF('Feature Data'!$AD$2:$AD$301,A36)</f>
        <v>16</v>
      </c>
      <c r="C36" s="9" t="n">
        <f aca="false">SUMIF('Feature Data'!$AD$2:$AD$301,A36,'Feature Data'!$J$2:$J$301)</f>
        <v>31264</v>
      </c>
      <c r="D36" s="13" t="n">
        <f aca="false">C36/SUM('Feature Data'!$J$2:$J$301)</f>
        <v>0.0369812668780851</v>
      </c>
      <c r="E36" s="17" t="n">
        <f aca="false">(COUNTIFS('Feature Data'!$AD$2:$AD$301,A36,'Feature Data'!$G$2:$G$301,"Growing")+COUNTIFS('Feature Data'!$AD$2:$AD$301,A36,'Feature Data'!$G$2:$G$301,"Stable"))/B36</f>
        <v>0.4375</v>
      </c>
      <c r="F36" s="2"/>
      <c r="G36" s="2"/>
      <c r="H36" s="2"/>
      <c r="I36" s="2"/>
      <c r="J36" s="2"/>
      <c r="K36" s="2"/>
      <c r="L36" s="2"/>
      <c r="M36" s="2"/>
    </row>
    <row r="37" customFormat="false" ht="15" hidden="false" customHeight="false" outlineLevel="0" collapsed="false">
      <c r="A37" s="2" t="s">
        <v>1622</v>
      </c>
      <c r="B37" s="2" t="n">
        <f aca="false">COUNTIF('Feature Data'!$AD$2:$AD$301,A37)</f>
        <v>3</v>
      </c>
      <c r="C37" s="9" t="n">
        <f aca="false">SUMIF('Feature Data'!$AD$2:$AD$301,A37,'Feature Data'!$J$2:$J$301)</f>
        <v>21036</v>
      </c>
      <c r="D37" s="13" t="n">
        <f aca="false">C37/SUM('Feature Data'!$J$2:$J$301)</f>
        <v>0.0248828662374424</v>
      </c>
      <c r="E37" s="17" t="n">
        <f aca="false">(COUNTIFS('Feature Data'!$AD$2:$AD$301,A37,'Feature Data'!$G$2:$G$301,"Growing")+COUNTIFS('Feature Data'!$AD$2:$AD$301,A37,'Feature Data'!$G$2:$G$301,"Stable"))/B37</f>
        <v>0</v>
      </c>
      <c r="F37" s="2"/>
      <c r="G37" s="2"/>
      <c r="H37" s="2"/>
      <c r="I37" s="2"/>
      <c r="J37" s="2"/>
      <c r="K37" s="2"/>
      <c r="L37" s="2"/>
      <c r="M37" s="2"/>
    </row>
    <row r="38" customFormat="false" ht="15" hidden="false" customHeight="false" outlineLevel="0" collapsed="false">
      <c r="A38" s="2" t="s">
        <v>664</v>
      </c>
      <c r="B38" s="2" t="n">
        <f aca="false">COUNTIF('Feature Data'!$AD$2:$AD$301,A38)</f>
        <v>50</v>
      </c>
      <c r="C38" s="9" t="n">
        <f aca="false">SUMIF('Feature Data'!$AD$2:$AD$301,A38,'Feature Data'!$J$2:$J$301)</f>
        <v>22088</v>
      </c>
      <c r="D38" s="13" t="n">
        <f aca="false">C38/SUM('Feature Data'!$J$2:$J$301)</f>
        <v>0.0261272461234373</v>
      </c>
      <c r="E38" s="17" t="n">
        <f aca="false">(COUNTIFS('Feature Data'!$AD$2:$AD$301,A38,'Feature Data'!$G$2:$G$301,"Growing")+COUNTIFS('Feature Data'!$AD$2:$AD$301,A38,'Feature Data'!$G$2:$G$301,"Stable"))/B38</f>
        <v>0.02</v>
      </c>
      <c r="F38" s="2"/>
      <c r="G38" s="2"/>
      <c r="H38" s="2"/>
      <c r="I38" s="2"/>
      <c r="J38" s="2"/>
      <c r="K38" s="2"/>
      <c r="L38" s="2"/>
      <c r="M38" s="2"/>
    </row>
    <row r="39" customFormat="false" ht="15" hidden="false" customHeight="false" outlineLevel="0" collapsed="false">
      <c r="A39" s="2" t="s">
        <v>528</v>
      </c>
      <c r="B39" s="2" t="n">
        <f aca="false">COUNTIF('Feature Data'!$AD$2:$AD$301,A39)</f>
        <v>30</v>
      </c>
      <c r="C39" s="9" t="n">
        <f aca="false">SUMIF('Feature Data'!$AD$2:$AD$301,A39,'Feature Data'!$J$2:$J$301)</f>
        <v>31978</v>
      </c>
      <c r="D39" s="13" t="n">
        <f aca="false">C39/SUM('Feature Data'!$J$2:$J$301)</f>
        <v>0.0378258364965265</v>
      </c>
      <c r="E39" s="17" t="n">
        <f aca="false">(COUNTIFS('Feature Data'!$AD$2:$AD$301,A39,'Feature Data'!$G$2:$G$301,"Growing")+COUNTIFS('Feature Data'!$AD$2:$AD$301,A39,'Feature Data'!$G$2:$G$301,"Stable"))/B39</f>
        <v>0.3</v>
      </c>
      <c r="F39" s="2"/>
      <c r="G39" s="2"/>
      <c r="H39" s="2"/>
      <c r="I39" s="2"/>
      <c r="J39" s="2"/>
      <c r="K39" s="2"/>
      <c r="L39" s="2"/>
      <c r="M39" s="2"/>
    </row>
    <row r="40" customFormat="false" ht="15" hidden="false" customHeight="false" outlineLevel="0" collapsed="false">
      <c r="A40" s="2" t="s">
        <v>1623</v>
      </c>
      <c r="B40" s="2" t="n">
        <f aca="false">COUNTIF('Feature Data'!$AD$2:$AD$301,A40)</f>
        <v>123</v>
      </c>
      <c r="C40" s="9" t="n">
        <f aca="false">SUMIF('Feature Data'!$AD$2:$AD$301,A40,'Feature Data'!$J$2:$J$301)</f>
        <v>37154</v>
      </c>
      <c r="D40" s="13" t="n">
        <f aca="false">C40/SUM('Feature Data'!$J$2:$J$301)</f>
        <v>0.0439483747949198</v>
      </c>
      <c r="E40" s="17" t="n">
        <f aca="false">(COUNTIFS('Feature Data'!$AD$2:$AD$301,A40,'Feature Data'!$G$2:$G$301,"Growing")+COUNTIFS('Feature Data'!$AD$2:$AD$301,A40,'Feature Data'!$G$2:$G$301,"Stable"))/B40</f>
        <v>0</v>
      </c>
      <c r="F40" s="2"/>
      <c r="G40" s="2"/>
      <c r="H40" s="2"/>
      <c r="I40" s="2"/>
      <c r="J40" s="2"/>
      <c r="K40" s="2"/>
      <c r="L40" s="2"/>
      <c r="M40" s="2"/>
    </row>
    <row r="41" customFormat="false" ht="15" hidden="false" customHeight="false" outlineLevel="0" collapsed="false">
      <c r="A41" s="3" t="s">
        <v>1331</v>
      </c>
      <c r="B41" s="2" t="n">
        <f aca="false">SUM(B35:B40)</f>
        <v>300</v>
      </c>
      <c r="C41" s="9" t="n">
        <f aca="false">SUM(C35:C40)</f>
        <v>845401</v>
      </c>
      <c r="D41" s="2"/>
      <c r="E41" s="2"/>
      <c r="F41" s="2"/>
      <c r="G41" s="2"/>
      <c r="H41" s="2"/>
      <c r="I41" s="2"/>
      <c r="J41" s="2"/>
      <c r="K41" s="2"/>
      <c r="L41" s="2"/>
      <c r="M41" s="2"/>
    </row>
    <row r="42" customFormat="false" ht="15" hidden="false" customHeight="false" outlineLevel="0" collapsed="false">
      <c r="A42" s="2"/>
      <c r="B42" s="2"/>
      <c r="C42" s="2"/>
      <c r="D42" s="2"/>
      <c r="E42" s="2"/>
      <c r="F42" s="2"/>
      <c r="G42" s="2"/>
      <c r="H42" s="2"/>
      <c r="I42" s="2"/>
      <c r="J42" s="2"/>
      <c r="K42" s="2"/>
      <c r="L42" s="2"/>
      <c r="M42" s="2"/>
    </row>
    <row r="43" customFormat="false" ht="15" hidden="false" customHeight="false" outlineLevel="0" collapsed="false">
      <c r="A43" s="3" t="s">
        <v>1624</v>
      </c>
      <c r="B43" s="2"/>
      <c r="C43" s="2"/>
      <c r="D43" s="2"/>
      <c r="E43" s="2"/>
      <c r="F43" s="2"/>
      <c r="G43" s="2"/>
      <c r="H43" s="2"/>
      <c r="I43" s="2"/>
      <c r="J43" s="2"/>
      <c r="K43" s="2"/>
      <c r="L43" s="2"/>
      <c r="M43" s="2"/>
    </row>
    <row r="44" customFormat="false" ht="15" hidden="false" customHeight="false" outlineLevel="0" collapsed="false">
      <c r="A44" s="12" t="s">
        <v>1495</v>
      </c>
      <c r="B44" s="12" t="s">
        <v>1625</v>
      </c>
      <c r="C44" s="12" t="s">
        <v>1626</v>
      </c>
      <c r="D44" s="12" t="s">
        <v>1627</v>
      </c>
      <c r="E44" s="12" t="s">
        <v>1628</v>
      </c>
      <c r="F44" s="3"/>
      <c r="G44" s="3"/>
      <c r="H44" s="3"/>
      <c r="I44" s="3"/>
      <c r="J44" s="3"/>
      <c r="K44" s="3"/>
      <c r="L44" s="3"/>
      <c r="M44" s="3"/>
    </row>
    <row r="45" customFormat="false" ht="15" hidden="false" customHeight="false" outlineLevel="0" collapsed="false">
      <c r="A45" s="2" t="s">
        <v>1498</v>
      </c>
      <c r="B45" s="2" t="n">
        <f aca="false">COUNTIFS('Feature Data'!$E$2:$E$301,A45,'Feature Data'!$AC$2:$AC$301,0)</f>
        <v>78</v>
      </c>
      <c r="C45" s="2" t="n">
        <f aca="false">COUNTIFS('Feature Data'!$E$2:$E$301,A45,'Feature Data'!$AC$2:$AC$301,1)</f>
        <v>0</v>
      </c>
      <c r="D45" s="2" t="n">
        <f aca="false">COUNTIFS('Feature Data'!$E$2:$E$301,A45,'Feature Data'!$AC$2:$AC$301,2)</f>
        <v>0</v>
      </c>
      <c r="E45" s="2" t="n">
        <f aca="false">COUNTIFS('Feature Data'!$E$2:$E$301,A45,'Feature Data'!$AC$2:$AC$301,3)</f>
        <v>0</v>
      </c>
      <c r="F45" s="2"/>
      <c r="G45" s="2"/>
      <c r="H45" s="2"/>
      <c r="I45" s="2"/>
      <c r="J45" s="2"/>
      <c r="K45" s="2"/>
      <c r="L45" s="2"/>
      <c r="M45" s="2"/>
    </row>
    <row r="46" customFormat="false" ht="15" hidden="false" customHeight="false" outlineLevel="0" collapsed="false">
      <c r="A46" s="2" t="s">
        <v>1499</v>
      </c>
      <c r="B46" s="2" t="n">
        <f aca="false">COUNTIFS('Feature Data'!$E$2:$E$301,A46,'Feature Data'!$AC$2:$AC$301,0)</f>
        <v>30</v>
      </c>
      <c r="C46" s="2" t="n">
        <f aca="false">COUNTIFS('Feature Data'!$E$2:$E$301,A46,'Feature Data'!$AC$2:$AC$301,1)</f>
        <v>20</v>
      </c>
      <c r="D46" s="2" t="n">
        <f aca="false">COUNTIFS('Feature Data'!$E$2:$E$301,A46,'Feature Data'!$AC$2:$AC$301,2)</f>
        <v>46</v>
      </c>
      <c r="E46" s="2" t="n">
        <f aca="false">COUNTIFS('Feature Data'!$E$2:$E$301,A46,'Feature Data'!$AC$2:$AC$301,3)</f>
        <v>36</v>
      </c>
      <c r="F46" s="2"/>
      <c r="G46" s="2"/>
      <c r="H46" s="2"/>
      <c r="I46" s="2"/>
      <c r="J46" s="2"/>
      <c r="K46" s="2"/>
      <c r="L46" s="2"/>
      <c r="M46" s="2"/>
    </row>
    <row r="47" customFormat="false" ht="15" hidden="false" customHeight="false" outlineLevel="0" collapsed="false">
      <c r="A47" s="2" t="s">
        <v>1500</v>
      </c>
      <c r="B47" s="2" t="n">
        <f aca="false">COUNTIFS('Feature Data'!$E$2:$E$301,A47,'Feature Data'!$AC$2:$AC$301,0)</f>
        <v>26</v>
      </c>
      <c r="C47" s="2" t="n">
        <f aca="false">COUNTIFS('Feature Data'!$E$2:$E$301,A47,'Feature Data'!$AC$2:$AC$301,1)</f>
        <v>21</v>
      </c>
      <c r="D47" s="2" t="n">
        <f aca="false">COUNTIFS('Feature Data'!$E$2:$E$301,A47,'Feature Data'!$AC$2:$AC$301,2)</f>
        <v>27</v>
      </c>
      <c r="E47" s="2" t="n">
        <f aca="false">COUNTIFS('Feature Data'!$E$2:$E$301,A47,'Feature Data'!$AC$2:$AC$301,3)</f>
        <v>16</v>
      </c>
      <c r="F47" s="2"/>
      <c r="G47" s="2"/>
      <c r="H47" s="2"/>
      <c r="I47" s="2"/>
      <c r="J47" s="2"/>
      <c r="K47" s="2"/>
      <c r="L47" s="2"/>
      <c r="M47" s="2"/>
    </row>
    <row r="48" customFormat="false" ht="15" hidden="false" customHeight="false" outlineLevel="0" collapsed="false">
      <c r="A48" s="3" t="s">
        <v>1615</v>
      </c>
      <c r="B48" s="2" t="n">
        <f aca="false">COUNTIFS('Feature Data'!$H$2:$H$301,"1. Migration Candidate",'Feature Data'!$AC$2:$AC$301,0)</f>
        <v>22</v>
      </c>
      <c r="C48" s="2" t="n">
        <f aca="false">COUNTIFS('Feature Data'!$H$2:$H$301,"1. Migration Candidate",'Feature Data'!$AC$2:$AC$301,1)</f>
        <v>0</v>
      </c>
      <c r="D48" s="2" t="n">
        <f aca="false">COUNTIFS('Feature Data'!$H$2:$H$301,"1. Migration Candidate",'Feature Data'!$AC$2:$AC$301,2)</f>
        <v>0</v>
      </c>
      <c r="E48" s="2" t="n">
        <f aca="false">COUNTIFS('Feature Data'!$H$2:$H$301,"1. Migration Candidate",'Feature Data'!$AC$2:$AC$301,3)</f>
        <v>0</v>
      </c>
      <c r="F48" s="2"/>
      <c r="G48" s="2"/>
      <c r="H48" s="2"/>
      <c r="I48" s="2"/>
      <c r="J48" s="2"/>
      <c r="K48" s="2"/>
      <c r="L48" s="2"/>
      <c r="M48" s="2"/>
    </row>
    <row r="49" customFormat="false" ht="15" hidden="false" customHeight="false" outlineLevel="0" collapsed="false">
      <c r="A49" s="2"/>
      <c r="B49" s="2"/>
      <c r="C49" s="2"/>
      <c r="D49" s="2"/>
      <c r="E49" s="2"/>
      <c r="F49" s="2"/>
      <c r="G49" s="2"/>
      <c r="H49" s="2"/>
      <c r="I49" s="2"/>
      <c r="J49" s="2"/>
      <c r="K49" s="2"/>
      <c r="L49" s="2"/>
      <c r="M49" s="2"/>
    </row>
    <row r="50" customFormat="false" ht="15" hidden="false" customHeight="false" outlineLevel="0" collapsed="false">
      <c r="A50" s="3" t="s">
        <v>1629</v>
      </c>
      <c r="B50" s="2"/>
      <c r="C50" s="2"/>
      <c r="D50" s="2"/>
      <c r="E50" s="2"/>
      <c r="F50" s="2"/>
      <c r="G50" s="2"/>
      <c r="H50" s="2"/>
      <c r="I50" s="2"/>
      <c r="J50" s="2"/>
      <c r="K50" s="2"/>
      <c r="L50" s="2"/>
      <c r="M50" s="2"/>
    </row>
    <row r="51" customFormat="false" ht="15" hidden="false" customHeight="false" outlineLevel="0" collapsed="false">
      <c r="A51" s="12" t="s">
        <v>1366</v>
      </c>
      <c r="B51" s="12" t="s">
        <v>1498</v>
      </c>
      <c r="C51" s="12" t="s">
        <v>1499</v>
      </c>
      <c r="D51" s="12" t="s">
        <v>1500</v>
      </c>
      <c r="E51" s="12" t="s">
        <v>1630</v>
      </c>
      <c r="F51" s="3"/>
      <c r="G51" s="3"/>
      <c r="H51" s="3"/>
      <c r="I51" s="3"/>
      <c r="J51" s="3"/>
      <c r="K51" s="3"/>
      <c r="L51" s="3"/>
      <c r="M51" s="3"/>
    </row>
    <row r="52" customFormat="false" ht="15" hidden="false" customHeight="false" outlineLevel="0" collapsed="false">
      <c r="A52" s="2" t="s">
        <v>1631</v>
      </c>
      <c r="B52" s="2" t="n">
        <f aca="false">COUNTIFS('Feature Data'!$W$2:$W$301,A52,'Feature Data'!$E$2:$E$301,"Broker-Reliant")</f>
        <v>29</v>
      </c>
      <c r="C52" s="2" t="n">
        <f aca="false">COUNTIFS('Feature Data'!$W$2:$W$301,A52,'Feature Data'!$E$2:$E$301,"AM-Owned / Self-Serving")</f>
        <v>95</v>
      </c>
      <c r="D52" s="2" t="n">
        <f aca="false">COUNTIFS('Feature Data'!$W$2:$W$301,A52,'Feature Data'!$E$2:$E$301,"Self-Serve")</f>
        <v>73</v>
      </c>
      <c r="E52" s="9" t="n">
        <f aca="false" t="array" ref="E52:E52">MEDIAN(IF('Feature Data'!$W$2:$W$301=A52,'Feature Data'!$Y$2:$Y$301))</f>
        <v>216</v>
      </c>
      <c r="F52" s="2"/>
      <c r="G52" s="2"/>
      <c r="H52" s="2"/>
      <c r="I52" s="2"/>
      <c r="J52" s="2"/>
      <c r="K52" s="2"/>
      <c r="L52" s="2"/>
      <c r="M52" s="2"/>
    </row>
    <row r="53" customFormat="false" ht="15" hidden="false" customHeight="false" outlineLevel="0" collapsed="false">
      <c r="A53" s="2" t="s">
        <v>1632</v>
      </c>
      <c r="B53" s="2" t="n">
        <f aca="false">COUNTIFS('Feature Data'!$W$2:$W$301,A53,'Feature Data'!$E$2:$E$301,"Broker-Reliant")</f>
        <v>33</v>
      </c>
      <c r="C53" s="2" t="n">
        <f aca="false">COUNTIFS('Feature Data'!$W$2:$W$301,A53,'Feature Data'!$E$2:$E$301,"AM-Owned / Self-Serving")</f>
        <v>13</v>
      </c>
      <c r="D53" s="2" t="n">
        <f aca="false">COUNTIFS('Feature Data'!$W$2:$W$301,A53,'Feature Data'!$E$2:$E$301,"Self-Serve")</f>
        <v>9</v>
      </c>
      <c r="E53" s="9" t="n">
        <f aca="false" t="array" ref="E53:E53">MEDIAN(IF('Feature Data'!$W$2:$W$301=A53,'Feature Data'!$Y$2:$Y$301))</f>
        <v>386</v>
      </c>
      <c r="F53" s="2"/>
      <c r="G53" s="2"/>
      <c r="H53" s="2"/>
      <c r="I53" s="2"/>
      <c r="J53" s="2"/>
      <c r="K53" s="2"/>
      <c r="L53" s="2"/>
      <c r="M53" s="2"/>
    </row>
    <row r="54" customFormat="false" ht="15" hidden="false" customHeight="false" outlineLevel="0" collapsed="false">
      <c r="A54" s="2" t="s">
        <v>1633</v>
      </c>
      <c r="B54" s="2" t="n">
        <f aca="false">COUNTIFS('Feature Data'!$W$2:$W$301,A54,'Feature Data'!$E$2:$E$301,"Broker-Reliant")</f>
        <v>16</v>
      </c>
      <c r="C54" s="2" t="n">
        <f aca="false">COUNTIFS('Feature Data'!$W$2:$W$301,A54,'Feature Data'!$E$2:$E$301,"AM-Owned / Self-Serving")</f>
        <v>24</v>
      </c>
      <c r="D54" s="2" t="n">
        <f aca="false">COUNTIFS('Feature Data'!$W$2:$W$301,A54,'Feature Data'!$E$2:$E$301,"Self-Serve")</f>
        <v>8</v>
      </c>
      <c r="E54" s="9" t="n">
        <f aca="false" t="array" ref="E54:E54">MEDIAN(IF('Feature Data'!$W$2:$W$301=A54,'Feature Data'!$Y$2:$Y$301))</f>
        <v>486.75</v>
      </c>
      <c r="F54" s="2"/>
      <c r="G54" s="2"/>
      <c r="H54" s="2"/>
      <c r="I54" s="2"/>
      <c r="J54" s="2"/>
      <c r="K54" s="2"/>
      <c r="L54" s="2"/>
      <c r="M54" s="2"/>
    </row>
    <row r="55" customFormat="false" ht="15" hidden="false" customHeight="false" outlineLevel="0" collapsed="false">
      <c r="A55" s="2"/>
      <c r="B55" s="2"/>
      <c r="C55" s="2"/>
      <c r="D55" s="2"/>
      <c r="E55" s="2"/>
      <c r="F55" s="2"/>
      <c r="G55" s="2"/>
      <c r="H55" s="2"/>
      <c r="I55" s="2"/>
      <c r="J55" s="2"/>
      <c r="K55" s="2"/>
      <c r="L55" s="2"/>
      <c r="M55" s="2"/>
    </row>
    <row r="56" customFormat="false" ht="15" hidden="false" customHeight="false" outlineLevel="0" collapsed="false">
      <c r="A56" s="3" t="s">
        <v>1634</v>
      </c>
      <c r="B56" s="2"/>
      <c r="C56" s="2"/>
      <c r="D56" s="2"/>
      <c r="E56" s="2"/>
      <c r="F56" s="2"/>
      <c r="G56" s="2"/>
      <c r="H56" s="2"/>
      <c r="I56" s="2"/>
      <c r="J56" s="2"/>
      <c r="K56" s="2"/>
      <c r="L56" s="2"/>
      <c r="M56" s="2"/>
    </row>
    <row r="57" customFormat="false" ht="15" hidden="false" customHeight="false" outlineLevel="0" collapsed="false">
      <c r="A57" s="2" t="s">
        <v>1635</v>
      </c>
      <c r="B57" s="2" t="n">
        <f aca="false">COUNTIF('Feature Data'!$AE$2:$AE$301,TRUE())</f>
        <v>6</v>
      </c>
      <c r="C57" s="2"/>
      <c r="D57" s="2"/>
      <c r="E57" s="2"/>
      <c r="F57" s="2"/>
      <c r="G57" s="2"/>
      <c r="H57" s="2"/>
      <c r="I57" s="2"/>
      <c r="J57" s="2"/>
      <c r="K57" s="2"/>
      <c r="L57" s="2"/>
      <c r="M57" s="2"/>
    </row>
    <row r="58" customFormat="false" ht="15" hidden="false" customHeight="false" outlineLevel="0" collapsed="false">
      <c r="A58" s="2" t="s">
        <v>1636</v>
      </c>
      <c r="B58" s="9" t="n">
        <f aca="false">SUMIF('Feature Data'!$AE$2:$AE$301,TRUE(),'Feature Data'!$J$2:$J$301)</f>
        <v>8220</v>
      </c>
      <c r="C58" s="2"/>
      <c r="D58" s="2"/>
      <c r="E58" s="2"/>
      <c r="F58" s="2"/>
      <c r="G58" s="2"/>
      <c r="H58" s="2"/>
      <c r="I58" s="2"/>
      <c r="J58" s="2"/>
      <c r="K58" s="2"/>
      <c r="L58" s="2"/>
      <c r="M58" s="2"/>
    </row>
    <row r="59" customFormat="false" ht="15" hidden="false" customHeight="false" outlineLevel="0" collapsed="false">
      <c r="A59" s="2" t="s">
        <v>1637</v>
      </c>
      <c r="B59" s="2" t="s">
        <v>1638</v>
      </c>
      <c r="C59" s="2"/>
      <c r="D59" s="2"/>
      <c r="E59" s="2"/>
      <c r="F59" s="2"/>
      <c r="G59" s="2"/>
      <c r="H59" s="2"/>
      <c r="I59" s="2"/>
      <c r="J59" s="2"/>
      <c r="K59" s="2"/>
      <c r="L59" s="2"/>
      <c r="M59" s="2"/>
    </row>
    <row r="60" customFormat="false" ht="15" hidden="false" customHeight="false" outlineLevel="0" collapsed="false">
      <c r="A60" s="2"/>
      <c r="B60" s="2"/>
      <c r="C60" s="2"/>
      <c r="D60" s="2"/>
      <c r="E60" s="2"/>
      <c r="F60" s="2"/>
      <c r="G60" s="2"/>
      <c r="H60" s="2"/>
      <c r="I60" s="2"/>
      <c r="J60" s="2"/>
      <c r="K60" s="2"/>
      <c r="L60" s="2"/>
      <c r="M60" s="2"/>
    </row>
    <row r="61" customFormat="false" ht="15" hidden="false" customHeight="false" outlineLevel="0" collapsed="false">
      <c r="A61" s="3" t="s">
        <v>1639</v>
      </c>
      <c r="B61" s="2"/>
      <c r="C61" s="2"/>
      <c r="D61" s="2"/>
      <c r="E61" s="2"/>
      <c r="F61" s="2"/>
      <c r="G61" s="2"/>
      <c r="H61" s="2"/>
      <c r="I61" s="2"/>
      <c r="J61" s="2"/>
      <c r="K61" s="2"/>
      <c r="L61" s="2"/>
      <c r="M61" s="2"/>
    </row>
    <row r="62" customFormat="false" ht="15" hidden="false" customHeight="false" outlineLevel="0" collapsed="false">
      <c r="A62" s="12" t="s">
        <v>1590</v>
      </c>
      <c r="B62" s="12" t="s">
        <v>1640</v>
      </c>
      <c r="C62" s="12" t="s">
        <v>1641</v>
      </c>
      <c r="D62" s="12" t="s">
        <v>1642</v>
      </c>
      <c r="E62" s="3"/>
      <c r="F62" s="3"/>
      <c r="G62" s="3"/>
      <c r="H62" s="3"/>
      <c r="I62" s="3"/>
      <c r="J62" s="3"/>
      <c r="K62" s="3"/>
      <c r="L62" s="3"/>
      <c r="M62" s="3"/>
    </row>
    <row r="63" customFormat="false" ht="15" hidden="false" customHeight="false" outlineLevel="0" collapsed="false">
      <c r="A63" s="2" t="s">
        <v>1368</v>
      </c>
      <c r="B63" s="17" t="n">
        <f aca="false">COUNTIFS('Feature Data'!$O$2:$O$301,"&gt;0",'Feature Data'!$C$2:$C$301,"Reseller")/COUNTIF('Feature Data'!$C$2:$C$301,"Reseller")</f>
        <v>0.978494623655914</v>
      </c>
      <c r="C63" s="17" t="n">
        <f aca="false">COUNTIFS('Feature Data'!$O$2:$O$301,"&gt;0",'Feature Data'!$C$2:$C$301,"Retailer")/COUNTIF('Feature Data'!$C$2:$C$301,"Retailer")</f>
        <v>0.952380952380952</v>
      </c>
      <c r="D63" s="17" t="n">
        <f aca="false">(COUNTIFS('Feature Data'!$O$2:$O$301,"&gt;0",'Feature Data'!$C$2:$C$301,"Retailer")-(INDEX('Feature Data'!$O$2:$O$301,MATCH("ACC-001",'Feature Data'!$A$2:$A$301,0))&gt;0)*1-(INDEX('Feature Data'!$O$2:$O$301,MATCH("ACC-005",'Feature Data'!$A$2:$A$301,0))&gt;0)*1)/(COUNTIF('Feature Data'!$C$2:$C$301,"Retailer")-2)</f>
        <v>0.947368421052632</v>
      </c>
      <c r="E63" s="2"/>
      <c r="F63" s="2"/>
      <c r="G63" s="2"/>
      <c r="H63" s="2"/>
      <c r="I63" s="2"/>
      <c r="J63" s="2"/>
      <c r="K63" s="2"/>
      <c r="L63" s="2"/>
      <c r="M63" s="2"/>
    </row>
    <row r="64" customFormat="false" ht="15" hidden="false" customHeight="false" outlineLevel="0" collapsed="false">
      <c r="A64" s="2" t="s">
        <v>1367</v>
      </c>
      <c r="B64" s="17" t="n">
        <f aca="false">COUNTIFS('Feature Data'!$P$2:$P$301,"&gt;0",'Feature Data'!$C$2:$C$301,"Reseller")/COUNTIF('Feature Data'!$C$2:$C$301,"Reseller")</f>
        <v>0.942652329749104</v>
      </c>
      <c r="C64" s="17" t="n">
        <f aca="false">COUNTIFS('Feature Data'!$P$2:$P$301,"&gt;0",'Feature Data'!$C$2:$C$301,"Retailer")/COUNTIF('Feature Data'!$C$2:$C$301,"Retailer")</f>
        <v>1</v>
      </c>
      <c r="D64" s="17" t="n">
        <f aca="false">(COUNTIFS('Feature Data'!$P$2:$P$301,"&gt;0",'Feature Data'!$C$2:$C$301,"Retailer")-(INDEX('Feature Data'!$P$2:$P$301,MATCH("ACC-001",'Feature Data'!$A$2:$A$301,0))&gt;0)*1-(INDEX('Feature Data'!$P$2:$P$301,MATCH("ACC-005",'Feature Data'!$A$2:$A$301,0))&gt;0)*1)/(COUNTIF('Feature Data'!$C$2:$C$301,"Retailer")-2)</f>
        <v>1</v>
      </c>
      <c r="E64" s="2"/>
      <c r="F64" s="2"/>
      <c r="G64" s="2"/>
      <c r="H64" s="2"/>
      <c r="I64" s="2"/>
      <c r="J64" s="2"/>
      <c r="K64" s="2"/>
      <c r="L64" s="2"/>
      <c r="M64" s="2"/>
    </row>
    <row r="65" customFormat="false" ht="15" hidden="false" customHeight="false" outlineLevel="0" collapsed="false">
      <c r="A65" s="2" t="s">
        <v>1369</v>
      </c>
      <c r="B65" s="17" t="n">
        <f aca="false">COUNTIFS('Feature Data'!$Q$2:$Q$301,"&gt;0",'Feature Data'!$C$2:$C$301,"Reseller")/COUNTIF('Feature Data'!$C$2:$C$301,"Reseller")</f>
        <v>0.594982078853047</v>
      </c>
      <c r="C65" s="17" t="n">
        <f aca="false">COUNTIFS('Feature Data'!$Q$2:$Q$301,"&gt;0",'Feature Data'!$C$2:$C$301,"Retailer")/COUNTIF('Feature Data'!$C$2:$C$301,"Retailer")</f>
        <v>0.80952380952381</v>
      </c>
      <c r="D65" s="17" t="n">
        <f aca="false">(COUNTIFS('Feature Data'!$Q$2:$Q$301,"&gt;0",'Feature Data'!$C$2:$C$301,"Retailer")-(INDEX('Feature Data'!$Q$2:$Q$301,MATCH("ACC-001",'Feature Data'!$A$2:$A$301,0))&gt;0)*1-(INDEX('Feature Data'!$Q$2:$Q$301,MATCH("ACC-005",'Feature Data'!$A$2:$A$301,0))&gt;0)*1)/(COUNTIF('Feature Data'!$C$2:$C$301,"Retailer")-2)</f>
        <v>0.842105263157895</v>
      </c>
      <c r="E65" s="2"/>
      <c r="F65" s="2"/>
      <c r="G65" s="2"/>
      <c r="H65" s="2"/>
      <c r="I65" s="2"/>
      <c r="J65" s="2"/>
      <c r="K65" s="2"/>
      <c r="L65" s="2"/>
      <c r="M65" s="2"/>
    </row>
    <row r="66" customFormat="false" ht="15" hidden="false" customHeight="false" outlineLevel="0" collapsed="false">
      <c r="A66" s="2" t="s">
        <v>1594</v>
      </c>
      <c r="B66" s="17" t="n">
        <f aca="false">COUNTIFS('Feature Data'!$R$2:$R$301,"&gt;0",'Feature Data'!$C$2:$C$301,"Reseller")/COUNTIF('Feature Data'!$C$2:$C$301,"Reseller")</f>
        <v>0.770609318996416</v>
      </c>
      <c r="C66" s="17" t="n">
        <f aca="false">COUNTIFS('Feature Data'!$R$2:$R$301,"&gt;0",'Feature Data'!$C$2:$C$301,"Retailer")/COUNTIF('Feature Data'!$C$2:$C$301,"Retailer")</f>
        <v>0.904761904761905</v>
      </c>
      <c r="D66" s="17" t="n">
        <f aca="false">(COUNTIFS('Feature Data'!$R$2:$R$301,"&gt;0",'Feature Data'!$C$2:$C$301,"Retailer")-(INDEX('Feature Data'!$R$2:$R$301,MATCH("ACC-001",'Feature Data'!$A$2:$A$301,0))&gt;0)*1-(INDEX('Feature Data'!$R$2:$R$301,MATCH("ACC-005",'Feature Data'!$A$2:$A$301,0))&gt;0)*1)/(COUNTIF('Feature Data'!$C$2:$C$301,"Retailer")-2)</f>
        <v>0.894736842105263</v>
      </c>
      <c r="E66" s="2"/>
      <c r="F66" s="2"/>
      <c r="G66" s="2"/>
      <c r="H66" s="2"/>
      <c r="I66" s="2"/>
      <c r="J66" s="2"/>
      <c r="K66" s="2"/>
      <c r="L66" s="2"/>
      <c r="M66" s="2"/>
    </row>
    <row r="67" customFormat="false" ht="15" hidden="false" customHeight="false" outlineLevel="0" collapsed="false">
      <c r="A67" s="2" t="s">
        <v>1595</v>
      </c>
      <c r="B67" s="17" t="n">
        <f aca="false">COUNTIFS('Feature Data'!$S$2:$S$301,"&gt;0",'Feature Data'!$C$2:$C$301,"Reseller")/COUNTIF('Feature Data'!$C$2:$C$301,"Reseller")</f>
        <v>0.172043010752688</v>
      </c>
      <c r="C67" s="17" t="n">
        <f aca="false">COUNTIFS('Feature Data'!$S$2:$S$301,"&gt;0",'Feature Data'!$C$2:$C$301,"Retailer")/COUNTIF('Feature Data'!$C$2:$C$301,"Retailer")</f>
        <v>0.142857142857143</v>
      </c>
      <c r="D67" s="17" t="n">
        <f aca="false">(COUNTIFS('Feature Data'!$S$2:$S$301,"&gt;0",'Feature Data'!$C$2:$C$301,"Retailer")-(INDEX('Feature Data'!$S$2:$S$301,MATCH("ACC-001",'Feature Data'!$A$2:$A$301,0))&gt;0)*1-(INDEX('Feature Data'!$S$2:$S$301,MATCH("ACC-005",'Feature Data'!$A$2:$A$301,0))&gt;0)*1)/(COUNTIF('Feature Data'!$C$2:$C$301,"Retailer")-2)</f>
        <v>0.105263157894737</v>
      </c>
      <c r="E67" s="2"/>
      <c r="F67" s="2"/>
      <c r="G67" s="2"/>
      <c r="H67" s="2"/>
      <c r="I67" s="2"/>
      <c r="J67" s="2"/>
      <c r="K67" s="2"/>
      <c r="L67" s="2"/>
      <c r="M67" s="2"/>
    </row>
    <row r="68" customFormat="false" ht="15" hidden="false" customHeight="false" outlineLevel="0" collapsed="false">
      <c r="A68" s="2" t="s">
        <v>1596</v>
      </c>
      <c r="B68" s="17" t="n">
        <f aca="false">COUNTIFS('Feature Data'!$T$2:$T$301,"&gt;0",'Feature Data'!$C$2:$C$301,"Reseller")/COUNTIF('Feature Data'!$C$2:$C$301,"Reseller")</f>
        <v>0.347670250896057</v>
      </c>
      <c r="C68" s="17" t="n">
        <f aca="false">COUNTIFS('Feature Data'!$T$2:$T$301,"&gt;0",'Feature Data'!$C$2:$C$301,"Retailer")/COUNTIF('Feature Data'!$C$2:$C$301,"Retailer")</f>
        <v>0.238095238095238</v>
      </c>
      <c r="D68" s="17" t="n">
        <f aca="false">(COUNTIFS('Feature Data'!$T$2:$T$301,"&gt;0",'Feature Data'!$C$2:$C$301,"Retailer")-(INDEX('Feature Data'!$T$2:$T$301,MATCH("ACC-001",'Feature Data'!$A$2:$A$301,0))&gt;0)*1-(INDEX('Feature Data'!$T$2:$T$301,MATCH("ACC-005",'Feature Data'!$A$2:$A$301,0))&gt;0)*1)/(COUNTIF('Feature Data'!$C$2:$C$301,"Retailer")-2)</f>
        <v>0.157894736842105</v>
      </c>
      <c r="E68" s="2"/>
      <c r="F68" s="2"/>
      <c r="G68" s="2"/>
      <c r="H68" s="2"/>
      <c r="I68" s="2"/>
      <c r="J68" s="2"/>
      <c r="K68" s="2"/>
      <c r="L68" s="2"/>
      <c r="M68" s="2"/>
    </row>
    <row r="69" customFormat="false" ht="15" hidden="false" customHeight="false" outlineLevel="0" collapsed="false">
      <c r="A69" s="2" t="s">
        <v>1597</v>
      </c>
      <c r="B69" s="17" t="n">
        <f aca="false">COUNTIFS('Feature Data'!$U$2:$U$301,"&gt;0",'Feature Data'!$C$2:$C$301,"Reseller")/COUNTIF('Feature Data'!$C$2:$C$301,"Reseller")</f>
        <v>0.831541218637993</v>
      </c>
      <c r="C69" s="17" t="n">
        <f aca="false">COUNTIFS('Feature Data'!$U$2:$U$301,"&gt;0",'Feature Data'!$C$2:$C$301,"Retailer")/COUNTIF('Feature Data'!$C$2:$C$301,"Retailer")</f>
        <v>0.952380952380952</v>
      </c>
      <c r="D69" s="17" t="n">
        <f aca="false">(COUNTIFS('Feature Data'!$U$2:$U$301,"&gt;0",'Feature Data'!$C$2:$C$301,"Retailer")-(INDEX('Feature Data'!$U$2:$U$301,MATCH("ACC-001",'Feature Data'!$A$2:$A$301,0))&gt;0)*1-(INDEX('Feature Data'!$U$2:$U$301,MATCH("ACC-005",'Feature Data'!$A$2:$A$301,0))&gt;0)*1)/(COUNTIF('Feature Data'!$C$2:$C$301,"Retailer")-2)</f>
        <v>0.947368421052632</v>
      </c>
      <c r="E69" s="2"/>
      <c r="F69" s="2"/>
      <c r="G69" s="2"/>
      <c r="H69" s="2"/>
      <c r="I69" s="2"/>
      <c r="J69" s="2"/>
      <c r="K69" s="2"/>
      <c r="L69" s="2"/>
      <c r="M69" s="2"/>
    </row>
    <row r="70" customFormat="false" ht="15" hidden="false" customHeight="false" outlineLevel="0" collapsed="false">
      <c r="A70" s="2"/>
      <c r="B70" s="2"/>
      <c r="C70" s="2"/>
      <c r="D70" s="2"/>
      <c r="E70" s="2"/>
      <c r="F70" s="2"/>
      <c r="G70" s="2"/>
      <c r="H70" s="2"/>
      <c r="I70" s="2"/>
      <c r="J70" s="2"/>
      <c r="K70" s="2"/>
      <c r="L70" s="2"/>
      <c r="M70" s="2"/>
    </row>
    <row r="71" customFormat="false" ht="15" hidden="false" customHeight="false" outlineLevel="0" collapsed="false">
      <c r="A71" s="2" t="s">
        <v>1643</v>
      </c>
      <c r="B71" s="2"/>
      <c r="C71" s="2"/>
      <c r="D71" s="2"/>
      <c r="E71" s="2"/>
      <c r="F71" s="2"/>
      <c r="G71" s="2"/>
      <c r="H71" s="2"/>
      <c r="I71" s="2"/>
      <c r="J71" s="2"/>
      <c r="K71" s="2"/>
      <c r="L71" s="2"/>
      <c r="M71"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3"/>
    <col collapsed="false" customWidth="true" hidden="false" outlineLevel="0" max="5" min="5" style="0" width="22"/>
    <col collapsed="false" customWidth="true" hidden="false" outlineLevel="0" max="7" min="6" style="0" width="13"/>
    <col collapsed="false" customWidth="true" hidden="false" outlineLevel="0" max="8" min="8" style="0" width="28"/>
    <col collapsed="false" customWidth="true" hidden="false" outlineLevel="0" max="29" min="9" style="0" width="13"/>
    <col collapsed="false" customWidth="true" hidden="false" outlineLevel="0" max="30" min="30" style="0" width="30"/>
    <col collapsed="false" customWidth="true" hidden="false" outlineLevel="0" max="31" min="31" style="0" width="13"/>
  </cols>
  <sheetData>
    <row r="1" customFormat="false" ht="57.75" hidden="false" customHeight="true" outlineLevel="0" collapsed="false">
      <c r="A1" s="14" t="s">
        <v>75</v>
      </c>
      <c r="B1" s="14" t="s">
        <v>1353</v>
      </c>
      <c r="C1" s="14" t="s">
        <v>1644</v>
      </c>
      <c r="D1" s="14" t="s">
        <v>1645</v>
      </c>
      <c r="E1" s="14" t="s">
        <v>1354</v>
      </c>
      <c r="F1" s="14" t="s">
        <v>1352</v>
      </c>
      <c r="G1" s="14" t="s">
        <v>1356</v>
      </c>
      <c r="H1" s="14" t="s">
        <v>79</v>
      </c>
      <c r="I1" s="14" t="s">
        <v>1355</v>
      </c>
      <c r="J1" s="14" t="s">
        <v>78</v>
      </c>
      <c r="K1" s="14" t="s">
        <v>1357</v>
      </c>
      <c r="L1" s="14" t="s">
        <v>1358</v>
      </c>
      <c r="M1" s="14" t="s">
        <v>1359</v>
      </c>
      <c r="N1" s="14" t="s">
        <v>104</v>
      </c>
      <c r="O1" s="14" t="s">
        <v>1368</v>
      </c>
      <c r="P1" s="14" t="s">
        <v>1367</v>
      </c>
      <c r="Q1" s="14" t="s">
        <v>1369</v>
      </c>
      <c r="R1" s="14" t="s">
        <v>1594</v>
      </c>
      <c r="S1" s="14" t="s">
        <v>1595</v>
      </c>
      <c r="T1" s="14" t="s">
        <v>1596</v>
      </c>
      <c r="U1" s="14" t="s">
        <v>1597</v>
      </c>
      <c r="V1" s="14" t="s">
        <v>1646</v>
      </c>
      <c r="W1" s="14" t="s">
        <v>1366</v>
      </c>
      <c r="X1" s="14" t="s">
        <v>1583</v>
      </c>
      <c r="Y1" s="14" t="s">
        <v>1647</v>
      </c>
      <c r="Z1" s="14" t="s">
        <v>1648</v>
      </c>
      <c r="AA1" s="14" t="s">
        <v>1649</v>
      </c>
      <c r="AB1" s="14" t="s">
        <v>1650</v>
      </c>
      <c r="AC1" s="14" t="s">
        <v>1651</v>
      </c>
      <c r="AD1" s="14" t="s">
        <v>1365</v>
      </c>
      <c r="AE1" s="14" t="s">
        <v>1652</v>
      </c>
    </row>
    <row r="2" customFormat="false" ht="15" hidden="false" customHeight="false" outlineLevel="0" collapsed="false">
      <c r="A2" s="2" t="s">
        <v>308</v>
      </c>
      <c r="B2" s="2" t="s">
        <v>1571</v>
      </c>
      <c r="C2" s="2" t="s">
        <v>1641</v>
      </c>
      <c r="D2" s="2" t="s">
        <v>1653</v>
      </c>
      <c r="E2" s="2" t="str">
        <f aca="false">INDEX(Segmentation!$H$2:$H$301,MATCH($A2,Segmentation!$A$2:$A$301,0))</f>
        <v>Broker-Reliant</v>
      </c>
      <c r="F2" s="2" t="str">
        <f aca="false">INDEX(Segmentation!$J$2:$J$301,MATCH($A2,Segmentation!$A$2:$A$301,0))</f>
        <v>Key</v>
      </c>
      <c r="G2" s="2" t="str">
        <f aca="false">INDEX(Segmentation!$N$2:$N$301,MATCH($A2,Segmentation!$A$2:$A$301,0))</f>
        <v>Stable</v>
      </c>
      <c r="H2" s="2" t="str">
        <f aca="false">INDEX(Segmentation!$T$2:$T$301,MATCH($A2,Segmentation!$A$2:$A$301,0))</f>
        <v>1. Migration Candidate</v>
      </c>
      <c r="I2" s="2" t="str">
        <f aca="false">INDEX(Segmentation!$G$2:$G$301,MATCH($A2,Segmentation!$A$2:$A$301,0))</f>
        <v>High</v>
      </c>
      <c r="J2" s="9" t="n">
        <f aca="false">INDEX(Segmentation!$I$2:$I$301,MATCH($A2,Segmentation!$A$2:$A$301,0))</f>
        <v>170132</v>
      </c>
      <c r="K2" s="2" t="n">
        <f aca="false">INDEX(Segmentation!$O$2:$O$301,MATCH($A2,Segmentation!$A$2:$A$301,0))</f>
        <v>46</v>
      </c>
      <c r="L2" s="2" t="n">
        <f aca="false">INDEX(Segmentation!$Q$2:$Q$301,MATCH($A2,Segmentation!$A$2:$A$301,0))</f>
        <v>14</v>
      </c>
      <c r="M2" s="2" t="n">
        <f aca="false">INDEX(Segmentation!$W$2:$W$301,MATCH($A2,Segmentation!$A$2:$A$301,0))</f>
        <v>6</v>
      </c>
      <c r="N2" s="2" t="str">
        <f aca="false">INDEX(Segmentation!$AF$2:$AF$301,MATCH($A2,Segmentation!$A$2:$A$301,0))</f>
        <v>Existing Customer</v>
      </c>
      <c r="O2" s="2" t="n">
        <f aca="false">INDEX(Segmentation!$R$2:$R$301,MATCH($A2,Segmentation!$A$2:$A$301,0))</f>
        <v>3</v>
      </c>
      <c r="P2" s="2" t="n">
        <v>2</v>
      </c>
      <c r="Q2" s="2" t="n">
        <f aca="false">INDEX(Segmentation!$S$2:$S$301,MATCH($A2,Segmentation!$A$2:$A$301,0))</f>
        <v>0</v>
      </c>
      <c r="R2" s="2" t="n">
        <v>139</v>
      </c>
      <c r="S2" s="2" t="n">
        <v>3</v>
      </c>
      <c r="T2" s="2" t="n">
        <v>40</v>
      </c>
      <c r="U2" s="2" t="n">
        <v>19</v>
      </c>
      <c r="V2" s="2" t="n">
        <v>29</v>
      </c>
      <c r="W2" s="2" t="str">
        <f aca="false">IF(V2=100,"Bundle-only",IF(V2=0,"Handpick-only","Mixed"))</f>
        <v>Mixed</v>
      </c>
      <c r="X2" s="17" t="n">
        <f aca="false">L2/K2</f>
        <v>0.304347826086957</v>
      </c>
      <c r="Y2" s="9" t="n">
        <f aca="false">J2/K2</f>
        <v>3698.52173913044</v>
      </c>
      <c r="Z2" s="10" t="b">
        <f aca="false">O2&gt;=Assumptions!$B$57</f>
        <v>0</v>
      </c>
      <c r="AA2" s="10" t="b">
        <f aca="false">P2&gt;=Assumptions!$B$58</f>
        <v>0</v>
      </c>
      <c r="AB2" s="10" t="b">
        <f aca="false">Q2&gt;=Assumptions!$B$59</f>
        <v>0</v>
      </c>
      <c r="AC2" s="2" t="n">
        <f aca="false">Z2*1+AA2*1+AB2*1</f>
        <v>0</v>
      </c>
      <c r="AD2" s="2" t="str">
        <f aca="false">IF(E2="Broker-Reliant","Broker-led, product-blind",IF(AND(I2="Low",F2&lt;&gt;"Tail",OR(G2="Declining",G2="Lapsed"),OR(O2&gt;=Assumptions!$B$60,P2&gt;=Assumptions!$B$61)),"Engaged but shrinking (Key/Core)",IF(AND(O2&gt;=Assumptions!$B$60,P2&gt;=Assumptions!$B$61,Q2&gt;=Assumptions!$B$62,K2&gt;=Assumptions!$B$63),"Independent browser-buyer",IF(AND(OR(O2&gt;=Assumptions!$B$60,P2&gt;=Assumptions!$B$61),K2&lt;=2),"Engaged, not converting",IF(AND(K2=1,O2&lt;Assumptions!$B$60,P2&lt;Assumptions!$B$61),"One-off low-touch buyer","Light-touch repeat buyer")))))</f>
        <v>Broker-led, product-blind</v>
      </c>
      <c r="AE2" s="10" t="b">
        <f aca="false">INDEX(Segmentation!$AW$2:$AW$301,MATCH($A2,Segmentation!$A$2:$A$301,0))</f>
        <v>0</v>
      </c>
    </row>
    <row r="3" customFormat="false" ht="15" hidden="false" customHeight="false" outlineLevel="0" collapsed="false">
      <c r="A3" s="2" t="s">
        <v>139</v>
      </c>
      <c r="B3" s="2" t="s">
        <v>1571</v>
      </c>
      <c r="C3" s="2" t="s">
        <v>1640</v>
      </c>
      <c r="D3" s="2" t="s">
        <v>1654</v>
      </c>
      <c r="E3" s="2" t="str">
        <f aca="false">INDEX(Segmentation!$H$2:$H$301,MATCH($A3,Segmentation!$A$2:$A$301,0))</f>
        <v>Broker-Reliant</v>
      </c>
      <c r="F3" s="2" t="str">
        <f aca="false">INDEX(Segmentation!$J$2:$J$301,MATCH($A3,Segmentation!$A$2:$A$301,0))</f>
        <v>Key</v>
      </c>
      <c r="G3" s="2" t="str">
        <f aca="false">INDEX(Segmentation!$N$2:$N$301,MATCH($A3,Segmentation!$A$2:$A$301,0))</f>
        <v>Lapsed</v>
      </c>
      <c r="H3" s="2" t="str">
        <f aca="false">INDEX(Segmentation!$T$2:$T$301,MATCH($A3,Segmentation!$A$2:$A$301,0))</f>
        <v>3. Win-Back / Verify</v>
      </c>
      <c r="I3" s="2" t="str">
        <f aca="false">INDEX(Segmentation!$G$2:$G$301,MATCH($A3,Segmentation!$A$2:$A$301,0))</f>
        <v>High</v>
      </c>
      <c r="J3" s="9" t="n">
        <f aca="false">INDEX(Segmentation!$I$2:$I$301,MATCH($A3,Segmentation!$A$2:$A$301,0))</f>
        <v>70650</v>
      </c>
      <c r="K3" s="2" t="n">
        <f aca="false">INDEX(Segmentation!$O$2:$O$301,MATCH($A3,Segmentation!$A$2:$A$301,0))</f>
        <v>2</v>
      </c>
      <c r="L3" s="2" t="n">
        <f aca="false">INDEX(Segmentation!$Q$2:$Q$301,MATCH($A3,Segmentation!$A$2:$A$301,0))</f>
        <v>1</v>
      </c>
      <c r="M3" s="2" t="n">
        <f aca="false">INDEX(Segmentation!$W$2:$W$301,MATCH($A3,Segmentation!$A$2:$A$301,0))</f>
        <v>2</v>
      </c>
      <c r="N3" s="2" t="str">
        <f aca="false">INDEX(Segmentation!$AF$2:$AF$301,MATCH($A3,Segmentation!$A$2:$A$301,0))</f>
        <v>Existing Customer</v>
      </c>
      <c r="O3" s="2" t="n">
        <f aca="false">INDEX(Segmentation!$R$2:$R$301,MATCH($A3,Segmentation!$A$2:$A$301,0))</f>
        <v>2</v>
      </c>
      <c r="P3" s="2" t="n">
        <v>6</v>
      </c>
      <c r="Q3" s="2" t="n">
        <f aca="false">INDEX(Segmentation!$S$2:$S$301,MATCH($A3,Segmentation!$A$2:$A$301,0))</f>
        <v>2</v>
      </c>
      <c r="R3" s="2" t="n">
        <v>12</v>
      </c>
      <c r="S3" s="2" t="n">
        <v>0</v>
      </c>
      <c r="T3" s="2" t="n">
        <v>2</v>
      </c>
      <c r="U3" s="2" t="n">
        <v>0</v>
      </c>
      <c r="V3" s="2" t="n">
        <v>0</v>
      </c>
      <c r="W3" s="2" t="str">
        <f aca="false">IF(V3=100,"Bundle-only",IF(V3=0,"Handpick-only","Mixed"))</f>
        <v>Handpick-only</v>
      </c>
      <c r="X3" s="17" t="n">
        <f aca="false">L3/K3</f>
        <v>0.5</v>
      </c>
      <c r="Y3" s="9" t="n">
        <f aca="false">J3/K3</f>
        <v>35325</v>
      </c>
      <c r="Z3" s="10" t="b">
        <f aca="false">O3&gt;=Assumptions!$B$57</f>
        <v>0</v>
      </c>
      <c r="AA3" s="10" t="b">
        <f aca="false">P3&gt;=Assumptions!$B$58</f>
        <v>0</v>
      </c>
      <c r="AB3" s="10" t="b">
        <f aca="false">Q3&gt;=Assumptions!$B$59</f>
        <v>0</v>
      </c>
      <c r="AC3" s="2" t="n">
        <f aca="false">Z3*1+AA3*1+AB3*1</f>
        <v>0</v>
      </c>
      <c r="AD3" s="2" t="str">
        <f aca="false">IF(E3="Broker-Reliant","Broker-led, product-blind",IF(AND(I3="Low",F3&lt;&gt;"Tail",OR(G3="Declining",G3="Lapsed"),OR(O3&gt;=Assumptions!$B$60,P3&gt;=Assumptions!$B$61)),"Engaged but shrinking (Key/Core)",IF(AND(O3&gt;=Assumptions!$B$60,P3&gt;=Assumptions!$B$61,Q3&gt;=Assumptions!$B$62,K3&gt;=Assumptions!$B$63),"Independent browser-buyer",IF(AND(OR(O3&gt;=Assumptions!$B$60,P3&gt;=Assumptions!$B$61),K3&lt;=2),"Engaged, not converting",IF(AND(K3=1,O3&lt;Assumptions!$B$60,P3&lt;Assumptions!$B$61),"One-off low-touch buyer","Light-touch repeat buyer")))))</f>
        <v>Broker-led, product-blind</v>
      </c>
      <c r="AE3" s="10" t="b">
        <f aca="false">INDEX(Segmentation!$AW$2:$AW$301,MATCH($A3,Segmentation!$A$2:$A$301,0))</f>
        <v>0</v>
      </c>
    </row>
    <row r="4" customFormat="false" ht="15" hidden="false" customHeight="false" outlineLevel="0" collapsed="false">
      <c r="A4" s="2" t="s">
        <v>328</v>
      </c>
      <c r="B4" s="2" t="s">
        <v>1571</v>
      </c>
      <c r="C4" s="2" t="s">
        <v>1640</v>
      </c>
      <c r="D4" s="2" t="s">
        <v>1655</v>
      </c>
      <c r="E4" s="2" t="str">
        <f aca="false">INDEX(Segmentation!$H$2:$H$301,MATCH($A4,Segmentation!$A$2:$A$301,0))</f>
        <v>Broker-Reliant</v>
      </c>
      <c r="F4" s="2" t="str">
        <f aca="false">INDEX(Segmentation!$J$2:$J$301,MATCH($A4,Segmentation!$A$2:$A$301,0))</f>
        <v>Key</v>
      </c>
      <c r="G4" s="2" t="str">
        <f aca="false">INDEX(Segmentation!$N$2:$N$301,MATCH($A4,Segmentation!$A$2:$A$301,0))</f>
        <v>Stable</v>
      </c>
      <c r="H4" s="2" t="str">
        <f aca="false">INDEX(Segmentation!$T$2:$T$301,MATCH($A4,Segmentation!$A$2:$A$301,0))</f>
        <v>1. Migration Candidate</v>
      </c>
      <c r="I4" s="2" t="str">
        <f aca="false">INDEX(Segmentation!$G$2:$G$301,MATCH($A4,Segmentation!$A$2:$A$301,0))</f>
        <v>High</v>
      </c>
      <c r="J4" s="9" t="n">
        <f aca="false">INDEX(Segmentation!$I$2:$I$301,MATCH($A4,Segmentation!$A$2:$A$301,0))</f>
        <v>41039</v>
      </c>
      <c r="K4" s="2" t="n">
        <f aca="false">INDEX(Segmentation!$O$2:$O$301,MATCH($A4,Segmentation!$A$2:$A$301,0))</f>
        <v>36</v>
      </c>
      <c r="L4" s="2" t="n">
        <f aca="false">INDEX(Segmentation!$Q$2:$Q$301,MATCH($A4,Segmentation!$A$2:$A$301,0))</f>
        <v>9</v>
      </c>
      <c r="M4" s="2" t="n">
        <f aca="false">INDEX(Segmentation!$W$2:$W$301,MATCH($A4,Segmentation!$A$2:$A$301,0))</f>
        <v>6</v>
      </c>
      <c r="N4" s="2" t="str">
        <f aca="false">INDEX(Segmentation!$AF$2:$AF$301,MATCH($A4,Segmentation!$A$2:$A$301,0))</f>
        <v>Existing Customer</v>
      </c>
      <c r="O4" s="2" t="n">
        <f aca="false">INDEX(Segmentation!$R$2:$R$301,MATCH($A4,Segmentation!$A$2:$A$301,0))</f>
        <v>1</v>
      </c>
      <c r="P4" s="2" t="n">
        <v>5</v>
      </c>
      <c r="Q4" s="2" t="n">
        <f aca="false">INDEX(Segmentation!$S$2:$S$301,MATCH($A4,Segmentation!$A$2:$A$301,0))</f>
        <v>2</v>
      </c>
      <c r="R4" s="2" t="n">
        <v>129</v>
      </c>
      <c r="S4" s="2" t="n">
        <v>18</v>
      </c>
      <c r="T4" s="2" t="n">
        <v>16</v>
      </c>
      <c r="U4" s="2" t="n">
        <v>20</v>
      </c>
      <c r="V4" s="2" t="n">
        <v>36</v>
      </c>
      <c r="W4" s="2" t="str">
        <f aca="false">IF(V4=100,"Bundle-only",IF(V4=0,"Handpick-only","Mixed"))</f>
        <v>Mixed</v>
      </c>
      <c r="X4" s="17" t="n">
        <f aca="false">L4/K4</f>
        <v>0.25</v>
      </c>
      <c r="Y4" s="9" t="n">
        <f aca="false">J4/K4</f>
        <v>1139.97222222222</v>
      </c>
      <c r="Z4" s="10" t="b">
        <f aca="false">O4&gt;=Assumptions!$B$57</f>
        <v>0</v>
      </c>
      <c r="AA4" s="10" t="b">
        <f aca="false">P4&gt;=Assumptions!$B$58</f>
        <v>0</v>
      </c>
      <c r="AB4" s="10" t="b">
        <f aca="false">Q4&gt;=Assumptions!$B$59</f>
        <v>0</v>
      </c>
      <c r="AC4" s="2" t="n">
        <f aca="false">Z4*1+AA4*1+AB4*1</f>
        <v>0</v>
      </c>
      <c r="AD4" s="2" t="str">
        <f aca="false">IF(E4="Broker-Reliant","Broker-led, product-blind",IF(AND(I4="Low",F4&lt;&gt;"Tail",OR(G4="Declining",G4="Lapsed"),OR(O4&gt;=Assumptions!$B$60,P4&gt;=Assumptions!$B$61)),"Engaged but shrinking (Key/Core)",IF(AND(O4&gt;=Assumptions!$B$60,P4&gt;=Assumptions!$B$61,Q4&gt;=Assumptions!$B$62,K4&gt;=Assumptions!$B$63),"Independent browser-buyer",IF(AND(OR(O4&gt;=Assumptions!$B$60,P4&gt;=Assumptions!$B$61),K4&lt;=2),"Engaged, not converting",IF(AND(K4=1,O4&lt;Assumptions!$B$60,P4&lt;Assumptions!$B$61),"One-off low-touch buyer","Light-touch repeat buyer")))))</f>
        <v>Broker-led, product-blind</v>
      </c>
      <c r="AE4" s="10" t="b">
        <f aca="false">INDEX(Segmentation!$AW$2:$AW$301,MATCH($A4,Segmentation!$A$2:$A$301,0))</f>
        <v>0</v>
      </c>
    </row>
    <row r="5" customFormat="false" ht="15" hidden="false" customHeight="false" outlineLevel="0" collapsed="false">
      <c r="A5" s="2" t="s">
        <v>331</v>
      </c>
      <c r="B5" s="2" t="s">
        <v>1571</v>
      </c>
      <c r="C5" s="2" t="s">
        <v>1640</v>
      </c>
      <c r="D5" s="2" t="s">
        <v>1656</v>
      </c>
      <c r="E5" s="2" t="str">
        <f aca="false">INDEX(Segmentation!$H$2:$H$301,MATCH($A5,Segmentation!$A$2:$A$301,0))</f>
        <v>Broker-Reliant</v>
      </c>
      <c r="F5" s="2" t="str">
        <f aca="false">INDEX(Segmentation!$J$2:$J$301,MATCH($A5,Segmentation!$A$2:$A$301,0))</f>
        <v>Key</v>
      </c>
      <c r="G5" s="2" t="str">
        <f aca="false">INDEX(Segmentation!$N$2:$N$301,MATCH($A5,Segmentation!$A$2:$A$301,0))</f>
        <v>Stable</v>
      </c>
      <c r="H5" s="2" t="str">
        <f aca="false">INDEX(Segmentation!$T$2:$T$301,MATCH($A5,Segmentation!$A$2:$A$301,0))</f>
        <v>1. Migration Candidate</v>
      </c>
      <c r="I5" s="2" t="str">
        <f aca="false">INDEX(Segmentation!$G$2:$G$301,MATCH($A5,Segmentation!$A$2:$A$301,0))</f>
        <v>High</v>
      </c>
      <c r="J5" s="9" t="n">
        <f aca="false">INDEX(Segmentation!$I$2:$I$301,MATCH($A5,Segmentation!$A$2:$A$301,0))</f>
        <v>27099</v>
      </c>
      <c r="K5" s="2" t="n">
        <f aca="false">INDEX(Segmentation!$O$2:$O$301,MATCH($A5,Segmentation!$A$2:$A$301,0))</f>
        <v>19</v>
      </c>
      <c r="L5" s="2" t="n">
        <f aca="false">INDEX(Segmentation!$Q$2:$Q$301,MATCH($A5,Segmentation!$A$2:$A$301,0))</f>
        <v>7</v>
      </c>
      <c r="M5" s="2" t="n">
        <f aca="false">INDEX(Segmentation!$W$2:$W$301,MATCH($A5,Segmentation!$A$2:$A$301,0))</f>
        <v>6</v>
      </c>
      <c r="N5" s="2" t="str">
        <f aca="false">INDEX(Segmentation!$AF$2:$AF$301,MATCH($A5,Segmentation!$A$2:$A$301,0))</f>
        <v>Existing Customer</v>
      </c>
      <c r="O5" s="2" t="n">
        <f aca="false">INDEX(Segmentation!$R$2:$R$301,MATCH($A5,Segmentation!$A$2:$A$301,0))</f>
        <v>8</v>
      </c>
      <c r="P5" s="2" t="n">
        <v>3</v>
      </c>
      <c r="Q5" s="2" t="n">
        <f aca="false">INDEX(Segmentation!$S$2:$S$301,MATCH($A5,Segmentation!$A$2:$A$301,0))</f>
        <v>2</v>
      </c>
      <c r="R5" s="2" t="n">
        <v>20</v>
      </c>
      <c r="S5" s="2" t="n">
        <v>1</v>
      </c>
      <c r="T5" s="2" t="n">
        <v>19</v>
      </c>
      <c r="U5" s="2" t="n">
        <v>0</v>
      </c>
      <c r="V5" s="2" t="n">
        <v>0</v>
      </c>
      <c r="W5" s="2" t="str">
        <f aca="false">IF(V5=100,"Bundle-only",IF(V5=0,"Handpick-only","Mixed"))</f>
        <v>Handpick-only</v>
      </c>
      <c r="X5" s="17" t="n">
        <f aca="false">L5/K5</f>
        <v>0.368421052631579</v>
      </c>
      <c r="Y5" s="9" t="n">
        <f aca="false">J5/K5</f>
        <v>1426.26315789474</v>
      </c>
      <c r="Z5" s="10" t="b">
        <f aca="false">O5&gt;=Assumptions!$B$57</f>
        <v>0</v>
      </c>
      <c r="AA5" s="10" t="b">
        <f aca="false">P5&gt;=Assumptions!$B$58</f>
        <v>0</v>
      </c>
      <c r="AB5" s="10" t="b">
        <f aca="false">Q5&gt;=Assumptions!$B$59</f>
        <v>0</v>
      </c>
      <c r="AC5" s="2" t="n">
        <f aca="false">Z5*1+AA5*1+AB5*1</f>
        <v>0</v>
      </c>
      <c r="AD5" s="2" t="str">
        <f aca="false">IF(E5="Broker-Reliant","Broker-led, product-blind",IF(AND(I5="Low",F5&lt;&gt;"Tail",OR(G5="Declining",G5="Lapsed"),OR(O5&gt;=Assumptions!$B$60,P5&gt;=Assumptions!$B$61)),"Engaged but shrinking (Key/Core)",IF(AND(O5&gt;=Assumptions!$B$60,P5&gt;=Assumptions!$B$61,Q5&gt;=Assumptions!$B$62,K5&gt;=Assumptions!$B$63),"Independent browser-buyer",IF(AND(OR(O5&gt;=Assumptions!$B$60,P5&gt;=Assumptions!$B$61),K5&lt;=2),"Engaged, not converting",IF(AND(K5=1,O5&lt;Assumptions!$B$60,P5&lt;Assumptions!$B$61),"One-off low-touch buyer","Light-touch repeat buyer")))))</f>
        <v>Broker-led, product-blind</v>
      </c>
      <c r="AE5" s="10" t="b">
        <f aca="false">INDEX(Segmentation!$AW$2:$AW$301,MATCH($A5,Segmentation!$A$2:$A$301,0))</f>
        <v>0</v>
      </c>
    </row>
    <row r="6" customFormat="false" ht="15" hidden="false" customHeight="false" outlineLevel="0" collapsed="false">
      <c r="A6" s="2" t="s">
        <v>113</v>
      </c>
      <c r="B6" s="2" t="s">
        <v>1571</v>
      </c>
      <c r="C6" s="2" t="s">
        <v>1641</v>
      </c>
      <c r="D6" s="2" t="s">
        <v>1653</v>
      </c>
      <c r="E6" s="2" t="str">
        <f aca="false">INDEX(Segmentation!$H$2:$H$301,MATCH($A6,Segmentation!$A$2:$A$301,0))</f>
        <v>Broker-Reliant</v>
      </c>
      <c r="F6" s="2" t="str">
        <f aca="false">INDEX(Segmentation!$J$2:$J$301,MATCH($A6,Segmentation!$A$2:$A$301,0))</f>
        <v>Key</v>
      </c>
      <c r="G6" s="2" t="str">
        <f aca="false">INDEX(Segmentation!$N$2:$N$301,MATCH($A6,Segmentation!$A$2:$A$301,0))</f>
        <v>Declining</v>
      </c>
      <c r="H6" s="2" t="str">
        <f aca="false">INDEX(Segmentation!$T$2:$T$301,MATCH($A6,Segmentation!$A$2:$A$301,0))</f>
        <v>2. Protect / Retain First</v>
      </c>
      <c r="I6" s="2" t="str">
        <f aca="false">INDEX(Segmentation!$G$2:$G$301,MATCH($A6,Segmentation!$A$2:$A$301,0))</f>
        <v>Medium</v>
      </c>
      <c r="J6" s="9" t="n">
        <f aca="false">INDEX(Segmentation!$I$2:$I$301,MATCH($A6,Segmentation!$A$2:$A$301,0))</f>
        <v>24555</v>
      </c>
      <c r="K6" s="2" t="n">
        <f aca="false">INDEX(Segmentation!$O$2:$O$301,MATCH($A6,Segmentation!$A$2:$A$301,0))</f>
        <v>14</v>
      </c>
      <c r="L6" s="2" t="n">
        <f aca="false">INDEX(Segmentation!$Q$2:$Q$301,MATCH($A6,Segmentation!$A$2:$A$301,0))</f>
        <v>7</v>
      </c>
      <c r="M6" s="2" t="n">
        <f aca="false">INDEX(Segmentation!$W$2:$W$301,MATCH($A6,Segmentation!$A$2:$A$301,0))</f>
        <v>5</v>
      </c>
      <c r="N6" s="2" t="str">
        <f aca="false">INDEX(Segmentation!$AF$2:$AF$301,MATCH($A6,Segmentation!$A$2:$A$301,0))</f>
        <v>Existing Customer</v>
      </c>
      <c r="O6" s="2" t="n">
        <f aca="false">INDEX(Segmentation!$R$2:$R$301,MATCH($A6,Segmentation!$A$2:$A$301,0))</f>
        <v>8</v>
      </c>
      <c r="P6" s="2" t="n">
        <v>10</v>
      </c>
      <c r="Q6" s="2" t="n">
        <f aca="false">INDEX(Segmentation!$S$2:$S$301,MATCH($A6,Segmentation!$A$2:$A$301,0))</f>
        <v>1</v>
      </c>
      <c r="R6" s="2" t="n">
        <v>100</v>
      </c>
      <c r="S6" s="2" t="n">
        <v>0</v>
      </c>
      <c r="T6" s="2" t="n">
        <v>4</v>
      </c>
      <c r="U6" s="2" t="n">
        <v>10</v>
      </c>
      <c r="V6" s="2" t="n">
        <v>67</v>
      </c>
      <c r="W6" s="2" t="str">
        <f aca="false">IF(V6=100,"Bundle-only",IF(V6=0,"Handpick-only","Mixed"))</f>
        <v>Mixed</v>
      </c>
      <c r="X6" s="17" t="n">
        <f aca="false">L6/K6</f>
        <v>0.5</v>
      </c>
      <c r="Y6" s="9" t="n">
        <f aca="false">J6/K6</f>
        <v>1753.92857142857</v>
      </c>
      <c r="Z6" s="10" t="b">
        <f aca="false">O6&gt;=Assumptions!$B$57</f>
        <v>0</v>
      </c>
      <c r="AA6" s="10" t="b">
        <f aca="false">P6&gt;=Assumptions!$B$58</f>
        <v>0</v>
      </c>
      <c r="AB6" s="10" t="b">
        <f aca="false">Q6&gt;=Assumptions!$B$59</f>
        <v>0</v>
      </c>
      <c r="AC6" s="2" t="n">
        <f aca="false">Z6*1+AA6*1+AB6*1</f>
        <v>0</v>
      </c>
      <c r="AD6" s="2" t="str">
        <f aca="false">IF(E6="Broker-Reliant","Broker-led, product-blind",IF(AND(I6="Low",F6&lt;&gt;"Tail",OR(G6="Declining",G6="Lapsed"),OR(O6&gt;=Assumptions!$B$60,P6&gt;=Assumptions!$B$61)),"Engaged but shrinking (Key/Core)",IF(AND(O6&gt;=Assumptions!$B$60,P6&gt;=Assumptions!$B$61,Q6&gt;=Assumptions!$B$62,K6&gt;=Assumptions!$B$63),"Independent browser-buyer",IF(AND(OR(O6&gt;=Assumptions!$B$60,P6&gt;=Assumptions!$B$61),K6&lt;=2),"Engaged, not converting",IF(AND(K6=1,O6&lt;Assumptions!$B$60,P6&lt;Assumptions!$B$61),"One-off low-touch buyer","Light-touch repeat buyer")))))</f>
        <v>Broker-led, product-blind</v>
      </c>
      <c r="AE6" s="10" t="b">
        <f aca="false">INDEX(Segmentation!$AW$2:$AW$301,MATCH($A6,Segmentation!$A$2:$A$301,0))</f>
        <v>0</v>
      </c>
    </row>
    <row r="7" customFormat="false" ht="15" hidden="false" customHeight="false" outlineLevel="0" collapsed="false">
      <c r="A7" s="2" t="s">
        <v>335</v>
      </c>
      <c r="B7" s="2" t="s">
        <v>1571</v>
      </c>
      <c r="C7" s="2" t="s">
        <v>1640</v>
      </c>
      <c r="D7" s="2" t="s">
        <v>1655</v>
      </c>
      <c r="E7" s="2" t="str">
        <f aca="false">INDEX(Segmentation!$H$2:$H$301,MATCH($A7,Segmentation!$A$2:$A$301,0))</f>
        <v>Broker-Reliant</v>
      </c>
      <c r="F7" s="2" t="str">
        <f aca="false">INDEX(Segmentation!$J$2:$J$301,MATCH($A7,Segmentation!$A$2:$A$301,0))</f>
        <v>Key</v>
      </c>
      <c r="G7" s="2" t="str">
        <f aca="false">INDEX(Segmentation!$N$2:$N$301,MATCH($A7,Segmentation!$A$2:$A$301,0))</f>
        <v>Growing</v>
      </c>
      <c r="H7" s="2" t="str">
        <f aca="false">INDEX(Segmentation!$T$2:$T$301,MATCH($A7,Segmentation!$A$2:$A$301,0))</f>
        <v>1. Migration Candidate</v>
      </c>
      <c r="I7" s="2" t="str">
        <f aca="false">INDEX(Segmentation!$G$2:$G$301,MATCH($A7,Segmentation!$A$2:$A$301,0))</f>
        <v>High</v>
      </c>
      <c r="J7" s="9" t="n">
        <f aca="false">INDEX(Segmentation!$I$2:$I$301,MATCH($A7,Segmentation!$A$2:$A$301,0))</f>
        <v>23205</v>
      </c>
      <c r="K7" s="2" t="n">
        <f aca="false">INDEX(Segmentation!$O$2:$O$301,MATCH($A7,Segmentation!$A$2:$A$301,0))</f>
        <v>14</v>
      </c>
      <c r="L7" s="2" t="n">
        <f aca="false">INDEX(Segmentation!$Q$2:$Q$301,MATCH($A7,Segmentation!$A$2:$A$301,0))</f>
        <v>2</v>
      </c>
      <c r="M7" s="2" t="n">
        <f aca="false">INDEX(Segmentation!$W$2:$W$301,MATCH($A7,Segmentation!$A$2:$A$301,0))</f>
        <v>5</v>
      </c>
      <c r="N7" s="2" t="str">
        <f aca="false">INDEX(Segmentation!$AF$2:$AF$301,MATCH($A7,Segmentation!$A$2:$A$301,0))</f>
        <v>Existing Customer</v>
      </c>
      <c r="O7" s="2" t="n">
        <f aca="false">INDEX(Segmentation!$R$2:$R$301,MATCH($A7,Segmentation!$A$2:$A$301,0))</f>
        <v>3</v>
      </c>
      <c r="P7" s="2" t="n">
        <v>8</v>
      </c>
      <c r="Q7" s="2" t="n">
        <f aca="false">INDEX(Segmentation!$S$2:$S$301,MATCH($A7,Segmentation!$A$2:$A$301,0))</f>
        <v>1</v>
      </c>
      <c r="R7" s="2" t="n">
        <v>115</v>
      </c>
      <c r="S7" s="2" t="n">
        <v>24</v>
      </c>
      <c r="T7" s="2" t="n">
        <v>14</v>
      </c>
      <c r="U7" s="2" t="n">
        <v>0</v>
      </c>
      <c r="V7" s="2" t="n">
        <v>0</v>
      </c>
      <c r="W7" s="2" t="str">
        <f aca="false">IF(V7=100,"Bundle-only",IF(V7=0,"Handpick-only","Mixed"))</f>
        <v>Handpick-only</v>
      </c>
      <c r="X7" s="17" t="n">
        <f aca="false">L7/K7</f>
        <v>0.142857142857143</v>
      </c>
      <c r="Y7" s="9" t="n">
        <f aca="false">J7/K7</f>
        <v>1657.5</v>
      </c>
      <c r="Z7" s="10" t="b">
        <f aca="false">O7&gt;=Assumptions!$B$57</f>
        <v>0</v>
      </c>
      <c r="AA7" s="10" t="b">
        <f aca="false">P7&gt;=Assumptions!$B$58</f>
        <v>0</v>
      </c>
      <c r="AB7" s="10" t="b">
        <f aca="false">Q7&gt;=Assumptions!$B$59</f>
        <v>0</v>
      </c>
      <c r="AC7" s="2" t="n">
        <f aca="false">Z7*1+AA7*1+AB7*1</f>
        <v>0</v>
      </c>
      <c r="AD7" s="2" t="str">
        <f aca="false">IF(E7="Broker-Reliant","Broker-led, product-blind",IF(AND(I7="Low",F7&lt;&gt;"Tail",OR(G7="Declining",G7="Lapsed"),OR(O7&gt;=Assumptions!$B$60,P7&gt;=Assumptions!$B$61)),"Engaged but shrinking (Key/Core)",IF(AND(O7&gt;=Assumptions!$B$60,P7&gt;=Assumptions!$B$61,Q7&gt;=Assumptions!$B$62,K7&gt;=Assumptions!$B$63),"Independent browser-buyer",IF(AND(OR(O7&gt;=Assumptions!$B$60,P7&gt;=Assumptions!$B$61),K7&lt;=2),"Engaged, not converting",IF(AND(K7=1,O7&lt;Assumptions!$B$60,P7&lt;Assumptions!$B$61),"One-off low-touch buyer","Light-touch repeat buyer")))))</f>
        <v>Broker-led, product-blind</v>
      </c>
      <c r="AE7" s="10" t="b">
        <f aca="false">INDEX(Segmentation!$AW$2:$AW$301,MATCH($A7,Segmentation!$A$2:$A$301,0))</f>
        <v>0</v>
      </c>
    </row>
    <row r="8" customFormat="false" ht="15" hidden="false" customHeight="false" outlineLevel="0" collapsed="false">
      <c r="A8" s="2" t="s">
        <v>339</v>
      </c>
      <c r="B8" s="2" t="s">
        <v>1571</v>
      </c>
      <c r="C8" s="2" t="s">
        <v>1640</v>
      </c>
      <c r="D8" s="2" t="s">
        <v>1657</v>
      </c>
      <c r="E8" s="2" t="str">
        <f aca="false">INDEX(Segmentation!$H$2:$H$301,MATCH($A8,Segmentation!$A$2:$A$301,0))</f>
        <v>Broker-Reliant</v>
      </c>
      <c r="F8" s="2" t="str">
        <f aca="false">INDEX(Segmentation!$J$2:$J$301,MATCH($A8,Segmentation!$A$2:$A$301,0))</f>
        <v>Key</v>
      </c>
      <c r="G8" s="2" t="str">
        <f aca="false">INDEX(Segmentation!$N$2:$N$301,MATCH($A8,Segmentation!$A$2:$A$301,0))</f>
        <v>Growing</v>
      </c>
      <c r="H8" s="2" t="str">
        <f aca="false">INDEX(Segmentation!$T$2:$T$301,MATCH($A8,Segmentation!$A$2:$A$301,0))</f>
        <v>1. Migration Candidate</v>
      </c>
      <c r="I8" s="2" t="str">
        <f aca="false">INDEX(Segmentation!$G$2:$G$301,MATCH($A8,Segmentation!$A$2:$A$301,0))</f>
        <v>High</v>
      </c>
      <c r="J8" s="9" t="n">
        <f aca="false">INDEX(Segmentation!$I$2:$I$301,MATCH($A8,Segmentation!$A$2:$A$301,0))</f>
        <v>22089</v>
      </c>
      <c r="K8" s="2" t="n">
        <f aca="false">INDEX(Segmentation!$O$2:$O$301,MATCH($A8,Segmentation!$A$2:$A$301,0))</f>
        <v>23</v>
      </c>
      <c r="L8" s="2" t="n">
        <f aca="false">INDEX(Segmentation!$Q$2:$Q$301,MATCH($A8,Segmentation!$A$2:$A$301,0))</f>
        <v>6</v>
      </c>
      <c r="M8" s="2" t="n">
        <f aca="false">INDEX(Segmentation!$W$2:$W$301,MATCH($A8,Segmentation!$A$2:$A$301,0))</f>
        <v>5</v>
      </c>
      <c r="N8" s="2" t="str">
        <f aca="false">INDEX(Segmentation!$AF$2:$AF$301,MATCH($A8,Segmentation!$A$2:$A$301,0))</f>
        <v>Existing Customer</v>
      </c>
      <c r="O8" s="2" t="n">
        <f aca="false">INDEX(Segmentation!$R$2:$R$301,MATCH($A8,Segmentation!$A$2:$A$301,0))</f>
        <v>1</v>
      </c>
      <c r="P8" s="2" t="n">
        <v>1</v>
      </c>
      <c r="Q8" s="2" t="n">
        <f aca="false">INDEX(Segmentation!$S$2:$S$301,MATCH($A8,Segmentation!$A$2:$A$301,0))</f>
        <v>0</v>
      </c>
      <c r="R8" s="2" t="n">
        <v>69</v>
      </c>
      <c r="S8" s="2" t="n">
        <v>2</v>
      </c>
      <c r="T8" s="2" t="n">
        <v>13</v>
      </c>
      <c r="U8" s="2" t="n">
        <v>10</v>
      </c>
      <c r="V8" s="2" t="n">
        <v>40</v>
      </c>
      <c r="W8" s="2" t="str">
        <f aca="false">IF(V8=100,"Bundle-only",IF(V8=0,"Handpick-only","Mixed"))</f>
        <v>Mixed</v>
      </c>
      <c r="X8" s="17" t="n">
        <f aca="false">L8/K8</f>
        <v>0.260869565217391</v>
      </c>
      <c r="Y8" s="9" t="n">
        <f aca="false">J8/K8</f>
        <v>960.391304347826</v>
      </c>
      <c r="Z8" s="10" t="b">
        <f aca="false">O8&gt;=Assumptions!$B$57</f>
        <v>0</v>
      </c>
      <c r="AA8" s="10" t="b">
        <f aca="false">P8&gt;=Assumptions!$B$58</f>
        <v>0</v>
      </c>
      <c r="AB8" s="10" t="b">
        <f aca="false">Q8&gt;=Assumptions!$B$59</f>
        <v>0</v>
      </c>
      <c r="AC8" s="2" t="n">
        <f aca="false">Z8*1+AA8*1+AB8*1</f>
        <v>0</v>
      </c>
      <c r="AD8" s="2" t="str">
        <f aca="false">IF(E8="Broker-Reliant","Broker-led, product-blind",IF(AND(I8="Low",F8&lt;&gt;"Tail",OR(G8="Declining",G8="Lapsed"),OR(O8&gt;=Assumptions!$B$60,P8&gt;=Assumptions!$B$61)),"Engaged but shrinking (Key/Core)",IF(AND(O8&gt;=Assumptions!$B$60,P8&gt;=Assumptions!$B$61,Q8&gt;=Assumptions!$B$62,K8&gt;=Assumptions!$B$63),"Independent browser-buyer",IF(AND(OR(O8&gt;=Assumptions!$B$60,P8&gt;=Assumptions!$B$61),K8&lt;=2),"Engaged, not converting",IF(AND(K8=1,O8&lt;Assumptions!$B$60,P8&lt;Assumptions!$B$61),"One-off low-touch buyer","Light-touch repeat buyer")))))</f>
        <v>Broker-led, product-blind</v>
      </c>
      <c r="AE8" s="10" t="b">
        <f aca="false">INDEX(Segmentation!$AW$2:$AW$301,MATCH($A8,Segmentation!$A$2:$A$301,0))</f>
        <v>0</v>
      </c>
    </row>
    <row r="9" customFormat="false" ht="15" hidden="false" customHeight="false" outlineLevel="0" collapsed="false">
      <c r="A9" s="2" t="s">
        <v>161</v>
      </c>
      <c r="B9" s="2" t="s">
        <v>1571</v>
      </c>
      <c r="C9" s="2" t="s">
        <v>1641</v>
      </c>
      <c r="D9" s="2" t="s">
        <v>1657</v>
      </c>
      <c r="E9" s="2" t="str">
        <f aca="false">INDEX(Segmentation!$H$2:$H$301,MATCH($A9,Segmentation!$A$2:$A$301,0))</f>
        <v>Broker-Reliant</v>
      </c>
      <c r="F9" s="2" t="str">
        <f aca="false">INDEX(Segmentation!$J$2:$J$301,MATCH($A9,Segmentation!$A$2:$A$301,0))</f>
        <v>Key</v>
      </c>
      <c r="G9" s="2" t="str">
        <f aca="false">INDEX(Segmentation!$N$2:$N$301,MATCH($A9,Segmentation!$A$2:$A$301,0))</f>
        <v>Declining</v>
      </c>
      <c r="H9" s="2" t="str">
        <f aca="false">INDEX(Segmentation!$T$2:$T$301,MATCH($A9,Segmentation!$A$2:$A$301,0))</f>
        <v>2. Protect / Retain First</v>
      </c>
      <c r="I9" s="2" t="str">
        <f aca="false">INDEX(Segmentation!$G$2:$G$301,MATCH($A9,Segmentation!$A$2:$A$301,0))</f>
        <v>High</v>
      </c>
      <c r="J9" s="9" t="n">
        <f aca="false">INDEX(Segmentation!$I$2:$I$301,MATCH($A9,Segmentation!$A$2:$A$301,0))</f>
        <v>19265</v>
      </c>
      <c r="K9" s="2" t="n">
        <f aca="false">INDEX(Segmentation!$O$2:$O$301,MATCH($A9,Segmentation!$A$2:$A$301,0))</f>
        <v>16</v>
      </c>
      <c r="L9" s="2" t="n">
        <f aca="false">INDEX(Segmentation!$Q$2:$Q$301,MATCH($A9,Segmentation!$A$2:$A$301,0))</f>
        <v>3</v>
      </c>
      <c r="M9" s="2" t="n">
        <f aca="false">INDEX(Segmentation!$W$2:$W$301,MATCH($A9,Segmentation!$A$2:$A$301,0))</f>
        <v>5</v>
      </c>
      <c r="N9" s="2" t="str">
        <f aca="false">INDEX(Segmentation!$AF$2:$AF$301,MATCH($A9,Segmentation!$A$2:$A$301,0))</f>
        <v>Existing Customer</v>
      </c>
      <c r="O9" s="2" t="n">
        <f aca="false">INDEX(Segmentation!$R$2:$R$301,MATCH($A9,Segmentation!$A$2:$A$301,0))</f>
        <v>4</v>
      </c>
      <c r="P9" s="2" t="n">
        <v>13</v>
      </c>
      <c r="Q9" s="2" t="n">
        <f aca="false">INDEX(Segmentation!$S$2:$S$301,MATCH($A9,Segmentation!$A$2:$A$301,0))</f>
        <v>0</v>
      </c>
      <c r="R9" s="2" t="n">
        <v>29</v>
      </c>
      <c r="S9" s="2" t="n">
        <v>1</v>
      </c>
      <c r="T9" s="2" t="n">
        <v>15</v>
      </c>
      <c r="U9" s="2" t="n">
        <v>1</v>
      </c>
      <c r="V9" s="2" t="n">
        <v>4</v>
      </c>
      <c r="W9" s="2" t="str">
        <f aca="false">IF(V9=100,"Bundle-only",IF(V9=0,"Handpick-only","Mixed"))</f>
        <v>Mixed</v>
      </c>
      <c r="X9" s="17" t="n">
        <f aca="false">L9/K9</f>
        <v>0.1875</v>
      </c>
      <c r="Y9" s="9" t="n">
        <f aca="false">J9/K9</f>
        <v>1204.0625</v>
      </c>
      <c r="Z9" s="10" t="b">
        <f aca="false">O9&gt;=Assumptions!$B$57</f>
        <v>0</v>
      </c>
      <c r="AA9" s="10" t="b">
        <f aca="false">P9&gt;=Assumptions!$B$58</f>
        <v>0</v>
      </c>
      <c r="AB9" s="10" t="b">
        <f aca="false">Q9&gt;=Assumptions!$B$59</f>
        <v>0</v>
      </c>
      <c r="AC9" s="2" t="n">
        <f aca="false">Z9*1+AA9*1+AB9*1</f>
        <v>0</v>
      </c>
      <c r="AD9" s="2" t="str">
        <f aca="false">IF(E9="Broker-Reliant","Broker-led, product-blind",IF(AND(I9="Low",F9&lt;&gt;"Tail",OR(G9="Declining",G9="Lapsed"),OR(O9&gt;=Assumptions!$B$60,P9&gt;=Assumptions!$B$61)),"Engaged but shrinking (Key/Core)",IF(AND(O9&gt;=Assumptions!$B$60,P9&gt;=Assumptions!$B$61,Q9&gt;=Assumptions!$B$62,K9&gt;=Assumptions!$B$63),"Independent browser-buyer",IF(AND(OR(O9&gt;=Assumptions!$B$60,P9&gt;=Assumptions!$B$61),K9&lt;=2),"Engaged, not converting",IF(AND(K9=1,O9&lt;Assumptions!$B$60,P9&lt;Assumptions!$B$61),"One-off low-touch buyer","Light-touch repeat buyer")))))</f>
        <v>Broker-led, product-blind</v>
      </c>
      <c r="AE9" s="10" t="b">
        <f aca="false">INDEX(Segmentation!$AW$2:$AW$301,MATCH($A9,Segmentation!$A$2:$A$301,0))</f>
        <v>0</v>
      </c>
    </row>
    <row r="10" customFormat="false" ht="15" hidden="false" customHeight="false" outlineLevel="0" collapsed="false">
      <c r="A10" s="2" t="s">
        <v>168</v>
      </c>
      <c r="B10" s="2" t="s">
        <v>1571</v>
      </c>
      <c r="C10" s="2" t="s">
        <v>1640</v>
      </c>
      <c r="D10" s="2" t="s">
        <v>1653</v>
      </c>
      <c r="E10" s="2" t="str">
        <f aca="false">INDEX(Segmentation!$H$2:$H$301,MATCH($A10,Segmentation!$A$2:$A$301,0))</f>
        <v>Broker-Reliant</v>
      </c>
      <c r="F10" s="2" t="str">
        <f aca="false">INDEX(Segmentation!$J$2:$J$301,MATCH($A10,Segmentation!$A$2:$A$301,0))</f>
        <v>Key</v>
      </c>
      <c r="G10" s="2" t="str">
        <f aca="false">INDEX(Segmentation!$N$2:$N$301,MATCH($A10,Segmentation!$A$2:$A$301,0))</f>
        <v>Declining</v>
      </c>
      <c r="H10" s="2" t="str">
        <f aca="false">INDEX(Segmentation!$T$2:$T$301,MATCH($A10,Segmentation!$A$2:$A$301,0))</f>
        <v>2. Protect / Retain First</v>
      </c>
      <c r="I10" s="2" t="str">
        <f aca="false">INDEX(Segmentation!$G$2:$G$301,MATCH($A10,Segmentation!$A$2:$A$301,0))</f>
        <v>High</v>
      </c>
      <c r="J10" s="9" t="n">
        <f aca="false">INDEX(Segmentation!$I$2:$I$301,MATCH($A10,Segmentation!$A$2:$A$301,0))</f>
        <v>18652</v>
      </c>
      <c r="K10" s="2" t="n">
        <f aca="false">INDEX(Segmentation!$O$2:$O$301,MATCH($A10,Segmentation!$A$2:$A$301,0))</f>
        <v>35</v>
      </c>
      <c r="L10" s="2" t="n">
        <f aca="false">INDEX(Segmentation!$Q$2:$Q$301,MATCH($A10,Segmentation!$A$2:$A$301,0))</f>
        <v>11</v>
      </c>
      <c r="M10" s="2" t="n">
        <f aca="false">INDEX(Segmentation!$W$2:$W$301,MATCH($A10,Segmentation!$A$2:$A$301,0))</f>
        <v>6</v>
      </c>
      <c r="N10" s="2" t="str">
        <f aca="false">INDEX(Segmentation!$AF$2:$AF$301,MATCH($A10,Segmentation!$A$2:$A$301,0))</f>
        <v>Existing Customer</v>
      </c>
      <c r="O10" s="2" t="n">
        <f aca="false">INDEX(Segmentation!$R$2:$R$301,MATCH($A10,Segmentation!$A$2:$A$301,0))</f>
        <v>1</v>
      </c>
      <c r="P10" s="2" t="n">
        <v>2</v>
      </c>
      <c r="Q10" s="2" t="n">
        <f aca="false">INDEX(Segmentation!$S$2:$S$301,MATCH($A10,Segmentation!$A$2:$A$301,0))</f>
        <v>1</v>
      </c>
      <c r="R10" s="2" t="n">
        <v>30</v>
      </c>
      <c r="S10" s="2" t="n">
        <v>0</v>
      </c>
      <c r="T10" s="2" t="n">
        <v>8</v>
      </c>
      <c r="U10" s="2" t="n">
        <v>29</v>
      </c>
      <c r="V10" s="2" t="n">
        <v>87</v>
      </c>
      <c r="W10" s="2" t="str">
        <f aca="false">IF(V10=100,"Bundle-only",IF(V10=0,"Handpick-only","Mixed"))</f>
        <v>Mixed</v>
      </c>
      <c r="X10" s="17" t="n">
        <f aca="false">L10/K10</f>
        <v>0.314285714285714</v>
      </c>
      <c r="Y10" s="9" t="n">
        <f aca="false">J10/K10</f>
        <v>532.914285714286</v>
      </c>
      <c r="Z10" s="10" t="b">
        <f aca="false">O10&gt;=Assumptions!$B$57</f>
        <v>0</v>
      </c>
      <c r="AA10" s="10" t="b">
        <f aca="false">P10&gt;=Assumptions!$B$58</f>
        <v>0</v>
      </c>
      <c r="AB10" s="10" t="b">
        <f aca="false">Q10&gt;=Assumptions!$B$59</f>
        <v>0</v>
      </c>
      <c r="AC10" s="2" t="n">
        <f aca="false">Z10*1+AA10*1+AB10*1</f>
        <v>0</v>
      </c>
      <c r="AD10" s="2" t="str">
        <f aca="false">IF(E10="Broker-Reliant","Broker-led, product-blind",IF(AND(I10="Low",F10&lt;&gt;"Tail",OR(G10="Declining",G10="Lapsed"),OR(O10&gt;=Assumptions!$B$60,P10&gt;=Assumptions!$B$61)),"Engaged but shrinking (Key/Core)",IF(AND(O10&gt;=Assumptions!$B$60,P10&gt;=Assumptions!$B$61,Q10&gt;=Assumptions!$B$62,K10&gt;=Assumptions!$B$63),"Independent browser-buyer",IF(AND(OR(O10&gt;=Assumptions!$B$60,P10&gt;=Assumptions!$B$61),K10&lt;=2),"Engaged, not converting",IF(AND(K10=1,O10&lt;Assumptions!$B$60,P10&lt;Assumptions!$B$61),"One-off low-touch buyer","Light-touch repeat buyer")))))</f>
        <v>Broker-led, product-blind</v>
      </c>
      <c r="AE10" s="10" t="b">
        <f aca="false">INDEX(Segmentation!$AW$2:$AW$301,MATCH($A10,Segmentation!$A$2:$A$301,0))</f>
        <v>0</v>
      </c>
    </row>
    <row r="11" customFormat="false" ht="15" hidden="false" customHeight="false" outlineLevel="0" collapsed="false">
      <c r="A11" s="2" t="s">
        <v>171</v>
      </c>
      <c r="B11" s="2" t="s">
        <v>1571</v>
      </c>
      <c r="C11" s="2" t="s">
        <v>1640</v>
      </c>
      <c r="D11" s="2" t="s">
        <v>1657</v>
      </c>
      <c r="E11" s="2" t="str">
        <f aca="false">INDEX(Segmentation!$H$2:$H$301,MATCH($A11,Segmentation!$A$2:$A$301,0))</f>
        <v>Broker-Reliant</v>
      </c>
      <c r="F11" s="2" t="str">
        <f aca="false">INDEX(Segmentation!$J$2:$J$301,MATCH($A11,Segmentation!$A$2:$A$301,0))</f>
        <v>Key</v>
      </c>
      <c r="G11" s="2" t="str">
        <f aca="false">INDEX(Segmentation!$N$2:$N$301,MATCH($A11,Segmentation!$A$2:$A$301,0))</f>
        <v>Declining</v>
      </c>
      <c r="H11" s="2" t="str">
        <f aca="false">INDEX(Segmentation!$T$2:$T$301,MATCH($A11,Segmentation!$A$2:$A$301,0))</f>
        <v>2. Protect / Retain First</v>
      </c>
      <c r="I11" s="2" t="str">
        <f aca="false">INDEX(Segmentation!$G$2:$G$301,MATCH($A11,Segmentation!$A$2:$A$301,0))</f>
        <v>High</v>
      </c>
      <c r="J11" s="9" t="n">
        <f aca="false">INDEX(Segmentation!$I$2:$I$301,MATCH($A11,Segmentation!$A$2:$A$301,0))</f>
        <v>17026</v>
      </c>
      <c r="K11" s="2" t="n">
        <f aca="false">INDEX(Segmentation!$O$2:$O$301,MATCH($A11,Segmentation!$A$2:$A$301,0))</f>
        <v>13</v>
      </c>
      <c r="L11" s="2" t="n">
        <f aca="false">INDEX(Segmentation!$Q$2:$Q$301,MATCH($A11,Segmentation!$A$2:$A$301,0))</f>
        <v>4</v>
      </c>
      <c r="M11" s="2" t="n">
        <f aca="false">INDEX(Segmentation!$W$2:$W$301,MATCH($A11,Segmentation!$A$2:$A$301,0))</f>
        <v>6</v>
      </c>
      <c r="N11" s="2" t="str">
        <f aca="false">INDEX(Segmentation!$AF$2:$AF$301,MATCH($A11,Segmentation!$A$2:$A$301,0))</f>
        <v>Existing Customer</v>
      </c>
      <c r="O11" s="2" t="n">
        <f aca="false">INDEX(Segmentation!$R$2:$R$301,MATCH($A11,Segmentation!$A$2:$A$301,0))</f>
        <v>1</v>
      </c>
      <c r="P11" s="2" t="n">
        <v>1</v>
      </c>
      <c r="Q11" s="2" t="n">
        <f aca="false">INDEX(Segmentation!$S$2:$S$301,MATCH($A11,Segmentation!$A$2:$A$301,0))</f>
        <v>0</v>
      </c>
      <c r="R11" s="2" t="n">
        <v>40</v>
      </c>
      <c r="S11" s="2" t="n">
        <v>0</v>
      </c>
      <c r="T11" s="2" t="n">
        <v>13</v>
      </c>
      <c r="U11" s="2" t="n">
        <v>0</v>
      </c>
      <c r="V11" s="2" t="n">
        <v>0</v>
      </c>
      <c r="W11" s="2" t="str">
        <f aca="false">IF(V11=100,"Bundle-only",IF(V11=0,"Handpick-only","Mixed"))</f>
        <v>Handpick-only</v>
      </c>
      <c r="X11" s="17" t="n">
        <f aca="false">L11/K11</f>
        <v>0.307692307692308</v>
      </c>
      <c r="Y11" s="9" t="n">
        <f aca="false">J11/K11</f>
        <v>1309.69230769231</v>
      </c>
      <c r="Z11" s="10" t="b">
        <f aca="false">O11&gt;=Assumptions!$B$57</f>
        <v>0</v>
      </c>
      <c r="AA11" s="10" t="b">
        <f aca="false">P11&gt;=Assumptions!$B$58</f>
        <v>0</v>
      </c>
      <c r="AB11" s="10" t="b">
        <f aca="false">Q11&gt;=Assumptions!$B$59</f>
        <v>0</v>
      </c>
      <c r="AC11" s="2" t="n">
        <f aca="false">Z11*1+AA11*1+AB11*1</f>
        <v>0</v>
      </c>
      <c r="AD11" s="2" t="str">
        <f aca="false">IF(E11="Broker-Reliant","Broker-led, product-blind",IF(AND(I11="Low",F11&lt;&gt;"Tail",OR(G11="Declining",G11="Lapsed"),OR(O11&gt;=Assumptions!$B$60,P11&gt;=Assumptions!$B$61)),"Engaged but shrinking (Key/Core)",IF(AND(O11&gt;=Assumptions!$B$60,P11&gt;=Assumptions!$B$61,Q11&gt;=Assumptions!$B$62,K11&gt;=Assumptions!$B$63),"Independent browser-buyer",IF(AND(OR(O11&gt;=Assumptions!$B$60,P11&gt;=Assumptions!$B$61),K11&lt;=2),"Engaged, not converting",IF(AND(K11=1,O11&lt;Assumptions!$B$60,P11&lt;Assumptions!$B$61),"One-off low-touch buyer","Light-touch repeat buyer")))))</f>
        <v>Broker-led, product-blind</v>
      </c>
      <c r="AE11" s="10" t="b">
        <f aca="false">INDEX(Segmentation!$AW$2:$AW$301,MATCH($A11,Segmentation!$A$2:$A$301,0))</f>
        <v>0</v>
      </c>
    </row>
    <row r="12" customFormat="false" ht="15" hidden="false" customHeight="false" outlineLevel="0" collapsed="false">
      <c r="A12" s="2" t="s">
        <v>342</v>
      </c>
      <c r="B12" s="2" t="s">
        <v>1571</v>
      </c>
      <c r="C12" s="2" t="s">
        <v>1640</v>
      </c>
      <c r="D12" s="2" t="s">
        <v>1658</v>
      </c>
      <c r="E12" s="2" t="str">
        <f aca="false">INDEX(Segmentation!$H$2:$H$301,MATCH($A12,Segmentation!$A$2:$A$301,0))</f>
        <v>Broker-Reliant</v>
      </c>
      <c r="F12" s="2" t="str">
        <f aca="false">INDEX(Segmentation!$J$2:$J$301,MATCH($A12,Segmentation!$A$2:$A$301,0))</f>
        <v>Key</v>
      </c>
      <c r="G12" s="2" t="str">
        <f aca="false">INDEX(Segmentation!$N$2:$N$301,MATCH($A12,Segmentation!$A$2:$A$301,0))</f>
        <v>H2 Active / No H1 GMV</v>
      </c>
      <c r="H12" s="2" t="str">
        <f aca="false">INDEX(Segmentation!$T$2:$T$301,MATCH($A12,Segmentation!$A$2:$A$301,0))</f>
        <v>4. Establish / Re-establish / Observe</v>
      </c>
      <c r="I12" s="2" t="str">
        <f aca="false">INDEX(Segmentation!$G$2:$G$301,MATCH($A12,Segmentation!$A$2:$A$301,0))</f>
        <v>Medium</v>
      </c>
      <c r="J12" s="9" t="n">
        <f aca="false">INDEX(Segmentation!$I$2:$I$301,MATCH($A12,Segmentation!$A$2:$A$301,0))</f>
        <v>15600</v>
      </c>
      <c r="K12" s="2" t="n">
        <f aca="false">INDEX(Segmentation!$O$2:$O$301,MATCH($A12,Segmentation!$A$2:$A$301,0))</f>
        <v>1</v>
      </c>
      <c r="L12" s="2" t="n">
        <f aca="false">INDEX(Segmentation!$Q$2:$Q$301,MATCH($A12,Segmentation!$A$2:$A$301,0))</f>
        <v>0</v>
      </c>
      <c r="M12" s="2" t="n">
        <f aca="false">INDEX(Segmentation!$W$2:$W$301,MATCH($A12,Segmentation!$A$2:$A$301,0))</f>
        <v>1</v>
      </c>
      <c r="N12" s="2" t="str">
        <f aca="false">INDEX(Segmentation!$AF$2:$AF$301,MATCH($A12,Segmentation!$A$2:$A$301,0))</f>
        <v>Returned Customer</v>
      </c>
      <c r="O12" s="2" t="n">
        <f aca="false">INDEX(Segmentation!$R$2:$R$301,MATCH($A12,Segmentation!$A$2:$A$301,0))</f>
        <v>6</v>
      </c>
      <c r="P12" s="2" t="n">
        <v>14</v>
      </c>
      <c r="Q12" s="2" t="n">
        <f aca="false">INDEX(Segmentation!$S$2:$S$301,MATCH($A12,Segmentation!$A$2:$A$301,0))</f>
        <v>1</v>
      </c>
      <c r="R12" s="2" t="n">
        <v>50</v>
      </c>
      <c r="S12" s="2" t="n">
        <v>0</v>
      </c>
      <c r="T12" s="2" t="n">
        <v>1</v>
      </c>
      <c r="U12" s="2" t="n">
        <v>0</v>
      </c>
      <c r="V12" s="2" t="n">
        <v>0</v>
      </c>
      <c r="W12" s="2" t="str">
        <f aca="false">IF(V12=100,"Bundle-only",IF(V12=0,"Handpick-only","Mixed"))</f>
        <v>Handpick-only</v>
      </c>
      <c r="X12" s="17" t="n">
        <f aca="false">L12/K12</f>
        <v>0</v>
      </c>
      <c r="Y12" s="9" t="n">
        <f aca="false">J12/K12</f>
        <v>15600</v>
      </c>
      <c r="Z12" s="10" t="b">
        <f aca="false">O12&gt;=Assumptions!$B$57</f>
        <v>0</v>
      </c>
      <c r="AA12" s="10" t="b">
        <f aca="false">P12&gt;=Assumptions!$B$58</f>
        <v>0</v>
      </c>
      <c r="AB12" s="10" t="b">
        <f aca="false">Q12&gt;=Assumptions!$B$59</f>
        <v>0</v>
      </c>
      <c r="AC12" s="2" t="n">
        <f aca="false">Z12*1+AA12*1+AB12*1</f>
        <v>0</v>
      </c>
      <c r="AD12" s="2" t="str">
        <f aca="false">IF(E12="Broker-Reliant","Broker-led, product-blind",IF(AND(I12="Low",F12&lt;&gt;"Tail",OR(G12="Declining",G12="Lapsed"),OR(O12&gt;=Assumptions!$B$60,P12&gt;=Assumptions!$B$61)),"Engaged but shrinking (Key/Core)",IF(AND(O12&gt;=Assumptions!$B$60,P12&gt;=Assumptions!$B$61,Q12&gt;=Assumptions!$B$62,K12&gt;=Assumptions!$B$63),"Independent browser-buyer",IF(AND(OR(O12&gt;=Assumptions!$B$60,P12&gt;=Assumptions!$B$61),K12&lt;=2),"Engaged, not converting",IF(AND(K12=1,O12&lt;Assumptions!$B$60,P12&lt;Assumptions!$B$61),"One-off low-touch buyer","Light-touch repeat buyer")))))</f>
        <v>Broker-led, product-blind</v>
      </c>
      <c r="AE12" s="10" t="b">
        <f aca="false">INDEX(Segmentation!$AW$2:$AW$301,MATCH($A12,Segmentation!$A$2:$A$301,0))</f>
        <v>0</v>
      </c>
    </row>
    <row r="13" customFormat="false" ht="15" hidden="false" customHeight="false" outlineLevel="0" collapsed="false">
      <c r="A13" s="2" t="s">
        <v>357</v>
      </c>
      <c r="B13" s="2" t="s">
        <v>1571</v>
      </c>
      <c r="C13" s="2" t="s">
        <v>1640</v>
      </c>
      <c r="D13" s="2" t="s">
        <v>1653</v>
      </c>
      <c r="E13" s="2" t="str">
        <f aca="false">INDEX(Segmentation!$H$2:$H$301,MATCH($A13,Segmentation!$A$2:$A$301,0))</f>
        <v>Broker-Reliant</v>
      </c>
      <c r="F13" s="2" t="str">
        <f aca="false">INDEX(Segmentation!$J$2:$J$301,MATCH($A13,Segmentation!$A$2:$A$301,0))</f>
        <v>Key</v>
      </c>
      <c r="G13" s="2" t="str">
        <f aca="false">INDEX(Segmentation!$N$2:$N$301,MATCH($A13,Segmentation!$A$2:$A$301,0))</f>
        <v>Growing</v>
      </c>
      <c r="H13" s="2" t="str">
        <f aca="false">INDEX(Segmentation!$T$2:$T$301,MATCH($A13,Segmentation!$A$2:$A$301,0))</f>
        <v>1. Migration Candidate</v>
      </c>
      <c r="I13" s="2" t="str">
        <f aca="false">INDEX(Segmentation!$G$2:$G$301,MATCH($A13,Segmentation!$A$2:$A$301,0))</f>
        <v>High</v>
      </c>
      <c r="J13" s="9" t="n">
        <f aca="false">INDEX(Segmentation!$I$2:$I$301,MATCH($A13,Segmentation!$A$2:$A$301,0))</f>
        <v>14611</v>
      </c>
      <c r="K13" s="2" t="n">
        <f aca="false">INDEX(Segmentation!$O$2:$O$301,MATCH($A13,Segmentation!$A$2:$A$301,0))</f>
        <v>28</v>
      </c>
      <c r="L13" s="2" t="n">
        <f aca="false">INDEX(Segmentation!$Q$2:$Q$301,MATCH($A13,Segmentation!$A$2:$A$301,0))</f>
        <v>11</v>
      </c>
      <c r="M13" s="2" t="n">
        <f aca="false">INDEX(Segmentation!$W$2:$W$301,MATCH($A13,Segmentation!$A$2:$A$301,0))</f>
        <v>6</v>
      </c>
      <c r="N13" s="2" t="str">
        <f aca="false">INDEX(Segmentation!$AF$2:$AF$301,MATCH($A13,Segmentation!$A$2:$A$301,0))</f>
        <v>Existing Customer</v>
      </c>
      <c r="O13" s="2" t="n">
        <f aca="false">INDEX(Segmentation!$R$2:$R$301,MATCH($A13,Segmentation!$A$2:$A$301,0))</f>
        <v>2</v>
      </c>
      <c r="P13" s="2" t="n">
        <v>3</v>
      </c>
      <c r="Q13" s="2" t="n">
        <f aca="false">INDEX(Segmentation!$S$2:$S$301,MATCH($A13,Segmentation!$A$2:$A$301,0))</f>
        <v>0</v>
      </c>
      <c r="R13" s="2" t="n">
        <v>182</v>
      </c>
      <c r="S13" s="2" t="n">
        <v>1</v>
      </c>
      <c r="T13" s="2" t="n">
        <v>22</v>
      </c>
      <c r="U13" s="2" t="n">
        <v>8</v>
      </c>
      <c r="V13" s="2" t="n">
        <v>18</v>
      </c>
      <c r="W13" s="2" t="str">
        <f aca="false">IF(V13=100,"Bundle-only",IF(V13=0,"Handpick-only","Mixed"))</f>
        <v>Mixed</v>
      </c>
      <c r="X13" s="17" t="n">
        <f aca="false">L13/K13</f>
        <v>0.392857142857143</v>
      </c>
      <c r="Y13" s="9" t="n">
        <f aca="false">J13/K13</f>
        <v>521.821428571429</v>
      </c>
      <c r="Z13" s="10" t="b">
        <f aca="false">O13&gt;=Assumptions!$B$57</f>
        <v>0</v>
      </c>
      <c r="AA13" s="10" t="b">
        <f aca="false">P13&gt;=Assumptions!$B$58</f>
        <v>0</v>
      </c>
      <c r="AB13" s="10" t="b">
        <f aca="false">Q13&gt;=Assumptions!$B$59</f>
        <v>0</v>
      </c>
      <c r="AC13" s="2" t="n">
        <f aca="false">Z13*1+AA13*1+AB13*1</f>
        <v>0</v>
      </c>
      <c r="AD13" s="2" t="str">
        <f aca="false">IF(E13="Broker-Reliant","Broker-led, product-blind",IF(AND(I13="Low",F13&lt;&gt;"Tail",OR(G13="Declining",G13="Lapsed"),OR(O13&gt;=Assumptions!$B$60,P13&gt;=Assumptions!$B$61)),"Engaged but shrinking (Key/Core)",IF(AND(O13&gt;=Assumptions!$B$60,P13&gt;=Assumptions!$B$61,Q13&gt;=Assumptions!$B$62,K13&gt;=Assumptions!$B$63),"Independent browser-buyer",IF(AND(OR(O13&gt;=Assumptions!$B$60,P13&gt;=Assumptions!$B$61),K13&lt;=2),"Engaged, not converting",IF(AND(K13=1,O13&lt;Assumptions!$B$60,P13&lt;Assumptions!$B$61),"One-off low-touch buyer","Light-touch repeat buyer")))))</f>
        <v>Broker-led, product-blind</v>
      </c>
      <c r="AE13" s="10" t="b">
        <f aca="false">INDEX(Segmentation!$AW$2:$AW$301,MATCH($A13,Segmentation!$A$2:$A$301,0))</f>
        <v>0</v>
      </c>
    </row>
    <row r="14" customFormat="false" ht="15" hidden="false" customHeight="false" outlineLevel="0" collapsed="false">
      <c r="A14" s="2" t="s">
        <v>175</v>
      </c>
      <c r="B14" s="2" t="s">
        <v>1571</v>
      </c>
      <c r="C14" s="2" t="s">
        <v>1640</v>
      </c>
      <c r="D14" s="2" t="s">
        <v>1653</v>
      </c>
      <c r="E14" s="2" t="str">
        <f aca="false">INDEX(Segmentation!$H$2:$H$301,MATCH($A14,Segmentation!$A$2:$A$301,0))</f>
        <v>Broker-Reliant</v>
      </c>
      <c r="F14" s="2" t="str">
        <f aca="false">INDEX(Segmentation!$J$2:$J$301,MATCH($A14,Segmentation!$A$2:$A$301,0))</f>
        <v>Key</v>
      </c>
      <c r="G14" s="2" t="str">
        <f aca="false">INDEX(Segmentation!$N$2:$N$301,MATCH($A14,Segmentation!$A$2:$A$301,0))</f>
        <v>Declining</v>
      </c>
      <c r="H14" s="2" t="str">
        <f aca="false">INDEX(Segmentation!$T$2:$T$301,MATCH($A14,Segmentation!$A$2:$A$301,0))</f>
        <v>2. Protect / Retain First</v>
      </c>
      <c r="I14" s="2" t="str">
        <f aca="false">INDEX(Segmentation!$G$2:$G$301,MATCH($A14,Segmentation!$A$2:$A$301,0))</f>
        <v>Medium</v>
      </c>
      <c r="J14" s="9" t="n">
        <f aca="false">INDEX(Segmentation!$I$2:$I$301,MATCH($A14,Segmentation!$A$2:$A$301,0))</f>
        <v>14315</v>
      </c>
      <c r="K14" s="2" t="n">
        <f aca="false">INDEX(Segmentation!$O$2:$O$301,MATCH($A14,Segmentation!$A$2:$A$301,0))</f>
        <v>21</v>
      </c>
      <c r="L14" s="2" t="n">
        <f aca="false">INDEX(Segmentation!$Q$2:$Q$301,MATCH($A14,Segmentation!$A$2:$A$301,0))</f>
        <v>9</v>
      </c>
      <c r="M14" s="2" t="n">
        <f aca="false">INDEX(Segmentation!$W$2:$W$301,MATCH($A14,Segmentation!$A$2:$A$301,0))</f>
        <v>5</v>
      </c>
      <c r="N14" s="2" t="str">
        <f aca="false">INDEX(Segmentation!$AF$2:$AF$301,MATCH($A14,Segmentation!$A$2:$A$301,0))</f>
        <v>Existing Customer</v>
      </c>
      <c r="O14" s="2" t="n">
        <f aca="false">INDEX(Segmentation!$R$2:$R$301,MATCH($A14,Segmentation!$A$2:$A$301,0))</f>
        <v>8</v>
      </c>
      <c r="P14" s="2" t="n">
        <v>5</v>
      </c>
      <c r="Q14" s="2" t="n">
        <f aca="false">INDEX(Segmentation!$S$2:$S$301,MATCH($A14,Segmentation!$A$2:$A$301,0))</f>
        <v>1</v>
      </c>
      <c r="R14" s="2" t="n">
        <v>36</v>
      </c>
      <c r="S14" s="2" t="n">
        <v>0</v>
      </c>
      <c r="T14" s="2" t="n">
        <v>11</v>
      </c>
      <c r="U14" s="2" t="n">
        <v>10</v>
      </c>
      <c r="V14" s="2" t="n">
        <v>16</v>
      </c>
      <c r="W14" s="2" t="str">
        <f aca="false">IF(V14=100,"Bundle-only",IF(V14=0,"Handpick-only","Mixed"))</f>
        <v>Mixed</v>
      </c>
      <c r="X14" s="17" t="n">
        <f aca="false">L14/K14</f>
        <v>0.428571428571429</v>
      </c>
      <c r="Y14" s="9" t="n">
        <f aca="false">J14/K14</f>
        <v>681.666666666667</v>
      </c>
      <c r="Z14" s="10" t="b">
        <f aca="false">O14&gt;=Assumptions!$B$57</f>
        <v>0</v>
      </c>
      <c r="AA14" s="10" t="b">
        <f aca="false">P14&gt;=Assumptions!$B$58</f>
        <v>0</v>
      </c>
      <c r="AB14" s="10" t="b">
        <f aca="false">Q14&gt;=Assumptions!$B$59</f>
        <v>0</v>
      </c>
      <c r="AC14" s="2" t="n">
        <f aca="false">Z14*1+AA14*1+AB14*1</f>
        <v>0</v>
      </c>
      <c r="AD14" s="2" t="str">
        <f aca="false">IF(E14="Broker-Reliant","Broker-led, product-blind",IF(AND(I14="Low",F14&lt;&gt;"Tail",OR(G14="Declining",G14="Lapsed"),OR(O14&gt;=Assumptions!$B$60,P14&gt;=Assumptions!$B$61)),"Engaged but shrinking (Key/Core)",IF(AND(O14&gt;=Assumptions!$B$60,P14&gt;=Assumptions!$B$61,Q14&gt;=Assumptions!$B$62,K14&gt;=Assumptions!$B$63),"Independent browser-buyer",IF(AND(OR(O14&gt;=Assumptions!$B$60,P14&gt;=Assumptions!$B$61),K14&lt;=2),"Engaged, not converting",IF(AND(K14=1,O14&lt;Assumptions!$B$60,P14&lt;Assumptions!$B$61),"One-off low-touch buyer","Light-touch repeat buyer")))))</f>
        <v>Broker-led, product-blind</v>
      </c>
      <c r="AE14" s="10" t="b">
        <f aca="false">INDEX(Segmentation!$AW$2:$AW$301,MATCH($A14,Segmentation!$A$2:$A$301,0))</f>
        <v>0</v>
      </c>
    </row>
    <row r="15" customFormat="false" ht="15" hidden="false" customHeight="false" outlineLevel="0" collapsed="false">
      <c r="A15" s="2" t="s">
        <v>189</v>
      </c>
      <c r="B15" s="2" t="s">
        <v>1571</v>
      </c>
      <c r="C15" s="2" t="s">
        <v>1640</v>
      </c>
      <c r="D15" s="2" t="s">
        <v>1654</v>
      </c>
      <c r="E15" s="2" t="str">
        <f aca="false">INDEX(Segmentation!$H$2:$H$301,MATCH($A15,Segmentation!$A$2:$A$301,0))</f>
        <v>Broker-Reliant</v>
      </c>
      <c r="F15" s="2" t="str">
        <f aca="false">INDEX(Segmentation!$J$2:$J$301,MATCH($A15,Segmentation!$A$2:$A$301,0))</f>
        <v>Key</v>
      </c>
      <c r="G15" s="2" t="str">
        <f aca="false">INDEX(Segmentation!$N$2:$N$301,MATCH($A15,Segmentation!$A$2:$A$301,0))</f>
        <v>Declining</v>
      </c>
      <c r="H15" s="2" t="str">
        <f aca="false">INDEX(Segmentation!$T$2:$T$301,MATCH($A15,Segmentation!$A$2:$A$301,0))</f>
        <v>2. Protect / Retain First</v>
      </c>
      <c r="I15" s="2" t="str">
        <f aca="false">INDEX(Segmentation!$G$2:$G$301,MATCH($A15,Segmentation!$A$2:$A$301,0))</f>
        <v>High</v>
      </c>
      <c r="J15" s="9" t="n">
        <f aca="false">INDEX(Segmentation!$I$2:$I$301,MATCH($A15,Segmentation!$A$2:$A$301,0))</f>
        <v>11721</v>
      </c>
      <c r="K15" s="2" t="n">
        <f aca="false">INDEX(Segmentation!$O$2:$O$301,MATCH($A15,Segmentation!$A$2:$A$301,0))</f>
        <v>27</v>
      </c>
      <c r="L15" s="2" t="n">
        <f aca="false">INDEX(Segmentation!$Q$2:$Q$301,MATCH($A15,Segmentation!$A$2:$A$301,0))</f>
        <v>5</v>
      </c>
      <c r="M15" s="2" t="n">
        <f aca="false">INDEX(Segmentation!$W$2:$W$301,MATCH($A15,Segmentation!$A$2:$A$301,0))</f>
        <v>6</v>
      </c>
      <c r="N15" s="2" t="str">
        <f aca="false">INDEX(Segmentation!$AF$2:$AF$301,MATCH($A15,Segmentation!$A$2:$A$301,0))</f>
        <v>Existing Customer</v>
      </c>
      <c r="O15" s="2" t="n">
        <f aca="false">INDEX(Segmentation!$R$2:$R$301,MATCH($A15,Segmentation!$A$2:$A$301,0))</f>
        <v>5</v>
      </c>
      <c r="P15" s="2" t="n">
        <v>1</v>
      </c>
      <c r="Q15" s="2" t="n">
        <f aca="false">INDEX(Segmentation!$S$2:$S$301,MATCH($A15,Segmentation!$A$2:$A$301,0))</f>
        <v>0</v>
      </c>
      <c r="R15" s="2" t="n">
        <v>64</v>
      </c>
      <c r="S15" s="2" t="n">
        <v>36</v>
      </c>
      <c r="T15" s="2" t="n">
        <v>18</v>
      </c>
      <c r="U15" s="2" t="n">
        <v>9</v>
      </c>
      <c r="V15" s="2" t="n">
        <v>26</v>
      </c>
      <c r="W15" s="2" t="str">
        <f aca="false">IF(V15=100,"Bundle-only",IF(V15=0,"Handpick-only","Mixed"))</f>
        <v>Mixed</v>
      </c>
      <c r="X15" s="17" t="n">
        <f aca="false">L15/K15</f>
        <v>0.185185185185185</v>
      </c>
      <c r="Y15" s="9" t="n">
        <f aca="false">J15/K15</f>
        <v>434.111111111111</v>
      </c>
      <c r="Z15" s="10" t="b">
        <f aca="false">O15&gt;=Assumptions!$B$57</f>
        <v>0</v>
      </c>
      <c r="AA15" s="10" t="b">
        <f aca="false">P15&gt;=Assumptions!$B$58</f>
        <v>0</v>
      </c>
      <c r="AB15" s="10" t="b">
        <f aca="false">Q15&gt;=Assumptions!$B$59</f>
        <v>0</v>
      </c>
      <c r="AC15" s="2" t="n">
        <f aca="false">Z15*1+AA15*1+AB15*1</f>
        <v>0</v>
      </c>
      <c r="AD15" s="2" t="str">
        <f aca="false">IF(E15="Broker-Reliant","Broker-led, product-blind",IF(AND(I15="Low",F15&lt;&gt;"Tail",OR(G15="Declining",G15="Lapsed"),OR(O15&gt;=Assumptions!$B$60,P15&gt;=Assumptions!$B$61)),"Engaged but shrinking (Key/Core)",IF(AND(O15&gt;=Assumptions!$B$60,P15&gt;=Assumptions!$B$61,Q15&gt;=Assumptions!$B$62,K15&gt;=Assumptions!$B$63),"Independent browser-buyer",IF(AND(OR(O15&gt;=Assumptions!$B$60,P15&gt;=Assumptions!$B$61),K15&lt;=2),"Engaged, not converting",IF(AND(K15=1,O15&lt;Assumptions!$B$60,P15&lt;Assumptions!$B$61),"One-off low-touch buyer","Light-touch repeat buyer")))))</f>
        <v>Broker-led, product-blind</v>
      </c>
      <c r="AE15" s="10" t="b">
        <f aca="false">INDEX(Segmentation!$AW$2:$AW$301,MATCH($A15,Segmentation!$A$2:$A$301,0))</f>
        <v>0</v>
      </c>
    </row>
    <row r="16" customFormat="false" ht="15" hidden="false" customHeight="false" outlineLevel="0" collapsed="false">
      <c r="A16" s="2" t="s">
        <v>192</v>
      </c>
      <c r="B16" s="2" t="s">
        <v>1571</v>
      </c>
      <c r="C16" s="2" t="s">
        <v>1640</v>
      </c>
      <c r="D16" s="2" t="s">
        <v>1653</v>
      </c>
      <c r="E16" s="2" t="str">
        <f aca="false">INDEX(Segmentation!$H$2:$H$301,MATCH($A16,Segmentation!$A$2:$A$301,0))</f>
        <v>Broker-Reliant</v>
      </c>
      <c r="F16" s="2" t="str">
        <f aca="false">INDEX(Segmentation!$J$2:$J$301,MATCH($A16,Segmentation!$A$2:$A$301,0))</f>
        <v>Key</v>
      </c>
      <c r="G16" s="2" t="str">
        <f aca="false">INDEX(Segmentation!$N$2:$N$301,MATCH($A16,Segmentation!$A$2:$A$301,0))</f>
        <v>Lapsed</v>
      </c>
      <c r="H16" s="2" t="str">
        <f aca="false">INDEX(Segmentation!$T$2:$T$301,MATCH($A16,Segmentation!$A$2:$A$301,0))</f>
        <v>3. Win-Back / Verify</v>
      </c>
      <c r="I16" s="2" t="str">
        <f aca="false">INDEX(Segmentation!$G$2:$G$301,MATCH($A16,Segmentation!$A$2:$A$301,0))</f>
        <v>High</v>
      </c>
      <c r="J16" s="9" t="n">
        <f aca="false">INDEX(Segmentation!$I$2:$I$301,MATCH($A16,Segmentation!$A$2:$A$301,0))</f>
        <v>11481</v>
      </c>
      <c r="K16" s="2" t="n">
        <f aca="false">INDEX(Segmentation!$O$2:$O$301,MATCH($A16,Segmentation!$A$2:$A$301,0))</f>
        <v>8</v>
      </c>
      <c r="L16" s="2" t="n">
        <f aca="false">INDEX(Segmentation!$Q$2:$Q$301,MATCH($A16,Segmentation!$A$2:$A$301,0))</f>
        <v>3</v>
      </c>
      <c r="M16" s="2" t="n">
        <f aca="false">INDEX(Segmentation!$W$2:$W$301,MATCH($A16,Segmentation!$A$2:$A$301,0))</f>
        <v>3</v>
      </c>
      <c r="N16" s="2" t="str">
        <f aca="false">INDEX(Segmentation!$AF$2:$AF$301,MATCH($A16,Segmentation!$A$2:$A$301,0))</f>
        <v>Existing Customer</v>
      </c>
      <c r="O16" s="2" t="n">
        <f aca="false">INDEX(Segmentation!$R$2:$R$301,MATCH($A16,Segmentation!$A$2:$A$301,0))</f>
        <v>6</v>
      </c>
      <c r="P16" s="2" t="n">
        <v>5</v>
      </c>
      <c r="Q16" s="2" t="n">
        <f aca="false">INDEX(Segmentation!$S$2:$S$301,MATCH($A16,Segmentation!$A$2:$A$301,0))</f>
        <v>1</v>
      </c>
      <c r="R16" s="2" t="n">
        <v>96</v>
      </c>
      <c r="S16" s="2" t="n">
        <v>0</v>
      </c>
      <c r="T16" s="2" t="n">
        <v>5</v>
      </c>
      <c r="U16" s="2" t="n">
        <v>3</v>
      </c>
      <c r="V16" s="2" t="n">
        <v>45</v>
      </c>
      <c r="W16" s="2" t="str">
        <f aca="false">IF(V16=100,"Bundle-only",IF(V16=0,"Handpick-only","Mixed"))</f>
        <v>Mixed</v>
      </c>
      <c r="X16" s="17" t="n">
        <f aca="false">L16/K16</f>
        <v>0.375</v>
      </c>
      <c r="Y16" s="9" t="n">
        <f aca="false">J16/K16</f>
        <v>1435.125</v>
      </c>
      <c r="Z16" s="10" t="b">
        <f aca="false">O16&gt;=Assumptions!$B$57</f>
        <v>0</v>
      </c>
      <c r="AA16" s="10" t="b">
        <f aca="false">P16&gt;=Assumptions!$B$58</f>
        <v>0</v>
      </c>
      <c r="AB16" s="10" t="b">
        <f aca="false">Q16&gt;=Assumptions!$B$59</f>
        <v>0</v>
      </c>
      <c r="AC16" s="2" t="n">
        <f aca="false">Z16*1+AA16*1+AB16*1</f>
        <v>0</v>
      </c>
      <c r="AD16" s="2" t="str">
        <f aca="false">IF(E16="Broker-Reliant","Broker-led, product-blind",IF(AND(I16="Low",F16&lt;&gt;"Tail",OR(G16="Declining",G16="Lapsed"),OR(O16&gt;=Assumptions!$B$60,P16&gt;=Assumptions!$B$61)),"Engaged but shrinking (Key/Core)",IF(AND(O16&gt;=Assumptions!$B$60,P16&gt;=Assumptions!$B$61,Q16&gt;=Assumptions!$B$62,K16&gt;=Assumptions!$B$63),"Independent browser-buyer",IF(AND(OR(O16&gt;=Assumptions!$B$60,P16&gt;=Assumptions!$B$61),K16&lt;=2),"Engaged, not converting",IF(AND(K16=1,O16&lt;Assumptions!$B$60,P16&lt;Assumptions!$B$61),"One-off low-touch buyer","Light-touch repeat buyer")))))</f>
        <v>Broker-led, product-blind</v>
      </c>
      <c r="AE16" s="10" t="b">
        <f aca="false">INDEX(Segmentation!$AW$2:$AW$301,MATCH($A16,Segmentation!$A$2:$A$301,0))</f>
        <v>0</v>
      </c>
    </row>
    <row r="17" customFormat="false" ht="15" hidden="false" customHeight="false" outlineLevel="0" collapsed="false">
      <c r="A17" s="2" t="s">
        <v>361</v>
      </c>
      <c r="B17" s="2" t="s">
        <v>1571</v>
      </c>
      <c r="C17" s="2" t="s">
        <v>1640</v>
      </c>
      <c r="D17" s="2" t="s">
        <v>1656</v>
      </c>
      <c r="E17" s="2" t="str">
        <f aca="false">INDEX(Segmentation!$H$2:$H$301,MATCH($A17,Segmentation!$A$2:$A$301,0))</f>
        <v>Broker-Reliant</v>
      </c>
      <c r="F17" s="2" t="str">
        <f aca="false">INDEX(Segmentation!$J$2:$J$301,MATCH($A17,Segmentation!$A$2:$A$301,0))</f>
        <v>Key</v>
      </c>
      <c r="G17" s="2" t="str">
        <f aca="false">INDEX(Segmentation!$N$2:$N$301,MATCH($A17,Segmentation!$A$2:$A$301,0))</f>
        <v>Growing</v>
      </c>
      <c r="H17" s="2" t="str">
        <f aca="false">INDEX(Segmentation!$T$2:$T$301,MATCH($A17,Segmentation!$A$2:$A$301,0))</f>
        <v>1. Migration Candidate</v>
      </c>
      <c r="I17" s="2" t="str">
        <f aca="false">INDEX(Segmentation!$G$2:$G$301,MATCH($A17,Segmentation!$A$2:$A$301,0))</f>
        <v>High</v>
      </c>
      <c r="J17" s="9" t="n">
        <f aca="false">INDEX(Segmentation!$I$2:$I$301,MATCH($A17,Segmentation!$A$2:$A$301,0))</f>
        <v>11252</v>
      </c>
      <c r="K17" s="2" t="n">
        <f aca="false">INDEX(Segmentation!$O$2:$O$301,MATCH($A17,Segmentation!$A$2:$A$301,0))</f>
        <v>26</v>
      </c>
      <c r="L17" s="2" t="n">
        <f aca="false">INDEX(Segmentation!$Q$2:$Q$301,MATCH($A17,Segmentation!$A$2:$A$301,0))</f>
        <v>8</v>
      </c>
      <c r="M17" s="2" t="n">
        <f aca="false">INDEX(Segmentation!$W$2:$W$301,MATCH($A17,Segmentation!$A$2:$A$301,0))</f>
        <v>5</v>
      </c>
      <c r="N17" s="2" t="str">
        <f aca="false">INDEX(Segmentation!$AF$2:$AF$301,MATCH($A17,Segmentation!$A$2:$A$301,0))</f>
        <v>Existing Customer</v>
      </c>
      <c r="O17" s="2" t="n">
        <f aca="false">INDEX(Segmentation!$R$2:$R$301,MATCH($A17,Segmentation!$A$2:$A$301,0))</f>
        <v>1</v>
      </c>
      <c r="P17" s="2" t="n">
        <v>4</v>
      </c>
      <c r="Q17" s="2" t="n">
        <f aca="false">INDEX(Segmentation!$S$2:$S$301,MATCH($A17,Segmentation!$A$2:$A$301,0))</f>
        <v>1</v>
      </c>
      <c r="R17" s="2" t="n">
        <v>16</v>
      </c>
      <c r="S17" s="2" t="n">
        <v>3</v>
      </c>
      <c r="T17" s="2" t="n">
        <v>0</v>
      </c>
      <c r="U17" s="2" t="n">
        <v>26</v>
      </c>
      <c r="V17" s="2" t="n">
        <v>100</v>
      </c>
      <c r="W17" s="2" t="str">
        <f aca="false">IF(V17=100,"Bundle-only",IF(V17=0,"Handpick-only","Mixed"))</f>
        <v>Bundle-only</v>
      </c>
      <c r="X17" s="17" t="n">
        <f aca="false">L17/K17</f>
        <v>0.307692307692308</v>
      </c>
      <c r="Y17" s="9" t="n">
        <f aca="false">J17/K17</f>
        <v>432.769230769231</v>
      </c>
      <c r="Z17" s="10" t="b">
        <f aca="false">O17&gt;=Assumptions!$B$57</f>
        <v>0</v>
      </c>
      <c r="AA17" s="10" t="b">
        <f aca="false">P17&gt;=Assumptions!$B$58</f>
        <v>0</v>
      </c>
      <c r="AB17" s="10" t="b">
        <f aca="false">Q17&gt;=Assumptions!$B$59</f>
        <v>0</v>
      </c>
      <c r="AC17" s="2" t="n">
        <f aca="false">Z17*1+AA17*1+AB17*1</f>
        <v>0</v>
      </c>
      <c r="AD17" s="2" t="str">
        <f aca="false">IF(E17="Broker-Reliant","Broker-led, product-blind",IF(AND(I17="Low",F17&lt;&gt;"Tail",OR(G17="Declining",G17="Lapsed"),OR(O17&gt;=Assumptions!$B$60,P17&gt;=Assumptions!$B$61)),"Engaged but shrinking (Key/Core)",IF(AND(O17&gt;=Assumptions!$B$60,P17&gt;=Assumptions!$B$61,Q17&gt;=Assumptions!$B$62,K17&gt;=Assumptions!$B$63),"Independent browser-buyer",IF(AND(OR(O17&gt;=Assumptions!$B$60,P17&gt;=Assumptions!$B$61),K17&lt;=2),"Engaged, not converting",IF(AND(K17=1,O17&lt;Assumptions!$B$60,P17&lt;Assumptions!$B$61),"One-off low-touch buyer","Light-touch repeat buyer")))))</f>
        <v>Broker-led, product-blind</v>
      </c>
      <c r="AE17" s="10" t="b">
        <f aca="false">INDEX(Segmentation!$AW$2:$AW$301,MATCH($A17,Segmentation!$A$2:$A$301,0))</f>
        <v>0</v>
      </c>
    </row>
    <row r="18" customFormat="false" ht="15" hidden="false" customHeight="false" outlineLevel="0" collapsed="false">
      <c r="A18" s="2" t="s">
        <v>199</v>
      </c>
      <c r="B18" s="2" t="s">
        <v>1571</v>
      </c>
      <c r="C18" s="2" t="s">
        <v>1640</v>
      </c>
      <c r="D18" s="2" t="s">
        <v>1653</v>
      </c>
      <c r="E18" s="2" t="str">
        <f aca="false">INDEX(Segmentation!$H$2:$H$301,MATCH($A18,Segmentation!$A$2:$A$301,0))</f>
        <v>Broker-Reliant</v>
      </c>
      <c r="F18" s="2" t="str">
        <f aca="false">INDEX(Segmentation!$J$2:$J$301,MATCH($A18,Segmentation!$A$2:$A$301,0))</f>
        <v>Key</v>
      </c>
      <c r="G18" s="2" t="str">
        <f aca="false">INDEX(Segmentation!$N$2:$N$301,MATCH($A18,Segmentation!$A$2:$A$301,0))</f>
        <v>Declining</v>
      </c>
      <c r="H18" s="2" t="str">
        <f aca="false">INDEX(Segmentation!$T$2:$T$301,MATCH($A18,Segmentation!$A$2:$A$301,0))</f>
        <v>2. Protect / Retain First</v>
      </c>
      <c r="I18" s="2" t="str">
        <f aca="false">INDEX(Segmentation!$G$2:$G$301,MATCH($A18,Segmentation!$A$2:$A$301,0))</f>
        <v>High</v>
      </c>
      <c r="J18" s="9" t="n">
        <f aca="false">INDEX(Segmentation!$I$2:$I$301,MATCH($A18,Segmentation!$A$2:$A$301,0))</f>
        <v>10950</v>
      </c>
      <c r="K18" s="2" t="n">
        <f aca="false">INDEX(Segmentation!$O$2:$O$301,MATCH($A18,Segmentation!$A$2:$A$301,0))</f>
        <v>37</v>
      </c>
      <c r="L18" s="2" t="n">
        <f aca="false">INDEX(Segmentation!$Q$2:$Q$301,MATCH($A18,Segmentation!$A$2:$A$301,0))</f>
        <v>8</v>
      </c>
      <c r="M18" s="2" t="n">
        <f aca="false">INDEX(Segmentation!$W$2:$W$301,MATCH($A18,Segmentation!$A$2:$A$301,0))</f>
        <v>5</v>
      </c>
      <c r="N18" s="2" t="str">
        <f aca="false">INDEX(Segmentation!$AF$2:$AF$301,MATCH($A18,Segmentation!$A$2:$A$301,0))</f>
        <v>Existing Customer</v>
      </c>
      <c r="O18" s="2" t="n">
        <f aca="false">INDEX(Segmentation!$R$2:$R$301,MATCH($A18,Segmentation!$A$2:$A$301,0))</f>
        <v>4</v>
      </c>
      <c r="P18" s="2" t="n">
        <v>2</v>
      </c>
      <c r="Q18" s="2" t="n">
        <f aca="false">INDEX(Segmentation!$S$2:$S$301,MATCH($A18,Segmentation!$A$2:$A$301,0))</f>
        <v>1</v>
      </c>
      <c r="R18" s="2" t="n">
        <v>55</v>
      </c>
      <c r="S18" s="2" t="n">
        <v>1</v>
      </c>
      <c r="T18" s="2" t="n">
        <v>2</v>
      </c>
      <c r="U18" s="2" t="n">
        <v>35</v>
      </c>
      <c r="V18" s="2" t="n">
        <v>90</v>
      </c>
      <c r="W18" s="2" t="str">
        <f aca="false">IF(V18=100,"Bundle-only",IF(V18=0,"Handpick-only","Mixed"))</f>
        <v>Mixed</v>
      </c>
      <c r="X18" s="17" t="n">
        <f aca="false">L18/K18</f>
        <v>0.216216216216216</v>
      </c>
      <c r="Y18" s="9" t="n">
        <f aca="false">J18/K18</f>
        <v>295.945945945946</v>
      </c>
      <c r="Z18" s="10" t="b">
        <f aca="false">O18&gt;=Assumptions!$B$57</f>
        <v>0</v>
      </c>
      <c r="AA18" s="10" t="b">
        <f aca="false">P18&gt;=Assumptions!$B$58</f>
        <v>0</v>
      </c>
      <c r="AB18" s="10" t="b">
        <f aca="false">Q18&gt;=Assumptions!$B$59</f>
        <v>0</v>
      </c>
      <c r="AC18" s="2" t="n">
        <f aca="false">Z18*1+AA18*1+AB18*1</f>
        <v>0</v>
      </c>
      <c r="AD18" s="2" t="str">
        <f aca="false">IF(E18="Broker-Reliant","Broker-led, product-blind",IF(AND(I18="Low",F18&lt;&gt;"Tail",OR(G18="Declining",G18="Lapsed"),OR(O18&gt;=Assumptions!$B$60,P18&gt;=Assumptions!$B$61)),"Engaged but shrinking (Key/Core)",IF(AND(O18&gt;=Assumptions!$B$60,P18&gt;=Assumptions!$B$61,Q18&gt;=Assumptions!$B$62,K18&gt;=Assumptions!$B$63),"Independent browser-buyer",IF(AND(OR(O18&gt;=Assumptions!$B$60,P18&gt;=Assumptions!$B$61),K18&lt;=2),"Engaged, not converting",IF(AND(K18=1,O18&lt;Assumptions!$B$60,P18&lt;Assumptions!$B$61),"One-off low-touch buyer","Light-touch repeat buyer")))))</f>
        <v>Broker-led, product-blind</v>
      </c>
      <c r="AE18" s="10" t="b">
        <f aca="false">INDEX(Segmentation!$AW$2:$AW$301,MATCH($A18,Segmentation!$A$2:$A$301,0))</f>
        <v>0</v>
      </c>
    </row>
    <row r="19" customFormat="false" ht="15" hidden="false" customHeight="false" outlineLevel="0" collapsed="false">
      <c r="A19" s="2" t="s">
        <v>202</v>
      </c>
      <c r="B19" s="2" t="s">
        <v>1571</v>
      </c>
      <c r="C19" s="2" t="s">
        <v>1640</v>
      </c>
      <c r="D19" s="2" t="s">
        <v>1653</v>
      </c>
      <c r="E19" s="2" t="str">
        <f aca="false">INDEX(Segmentation!$H$2:$H$301,MATCH($A19,Segmentation!$A$2:$A$301,0))</f>
        <v>Broker-Reliant</v>
      </c>
      <c r="F19" s="2" t="str">
        <f aca="false">INDEX(Segmentation!$J$2:$J$301,MATCH($A19,Segmentation!$A$2:$A$301,0))</f>
        <v>Core</v>
      </c>
      <c r="G19" s="2" t="str">
        <f aca="false">INDEX(Segmentation!$N$2:$N$301,MATCH($A19,Segmentation!$A$2:$A$301,0))</f>
        <v>Declining</v>
      </c>
      <c r="H19" s="2" t="str">
        <f aca="false">INDEX(Segmentation!$T$2:$T$301,MATCH($A19,Segmentation!$A$2:$A$301,0))</f>
        <v>2. Protect / Retain First</v>
      </c>
      <c r="I19" s="2" t="str">
        <f aca="false">INDEX(Segmentation!$G$2:$G$301,MATCH($A19,Segmentation!$A$2:$A$301,0))</f>
        <v>High</v>
      </c>
      <c r="J19" s="9" t="n">
        <f aca="false">INDEX(Segmentation!$I$2:$I$301,MATCH($A19,Segmentation!$A$2:$A$301,0))</f>
        <v>8613</v>
      </c>
      <c r="K19" s="2" t="n">
        <f aca="false">INDEX(Segmentation!$O$2:$O$301,MATCH($A19,Segmentation!$A$2:$A$301,0))</f>
        <v>11</v>
      </c>
      <c r="L19" s="2" t="n">
        <f aca="false">INDEX(Segmentation!$Q$2:$Q$301,MATCH($A19,Segmentation!$A$2:$A$301,0))</f>
        <v>3</v>
      </c>
      <c r="M19" s="2" t="n">
        <f aca="false">INDEX(Segmentation!$W$2:$W$301,MATCH($A19,Segmentation!$A$2:$A$301,0))</f>
        <v>5</v>
      </c>
      <c r="N19" s="2" t="str">
        <f aca="false">INDEX(Segmentation!$AF$2:$AF$301,MATCH($A19,Segmentation!$A$2:$A$301,0))</f>
        <v>Existing Customer</v>
      </c>
      <c r="O19" s="2" t="n">
        <f aca="false">INDEX(Segmentation!$R$2:$R$301,MATCH($A19,Segmentation!$A$2:$A$301,0))</f>
        <v>3</v>
      </c>
      <c r="P19" s="2" t="n">
        <v>10</v>
      </c>
      <c r="Q19" s="2" t="n">
        <f aca="false">INDEX(Segmentation!$S$2:$S$301,MATCH($A19,Segmentation!$A$2:$A$301,0))</f>
        <v>0</v>
      </c>
      <c r="R19" s="2" t="n">
        <v>1</v>
      </c>
      <c r="S19" s="2" t="n">
        <v>0</v>
      </c>
      <c r="T19" s="2" t="n">
        <v>0</v>
      </c>
      <c r="U19" s="2" t="n">
        <v>11</v>
      </c>
      <c r="V19" s="2" t="n">
        <v>100</v>
      </c>
      <c r="W19" s="2" t="str">
        <f aca="false">IF(V19=100,"Bundle-only",IF(V19=0,"Handpick-only","Mixed"))</f>
        <v>Bundle-only</v>
      </c>
      <c r="X19" s="17" t="n">
        <f aca="false">L19/K19</f>
        <v>0.272727272727273</v>
      </c>
      <c r="Y19" s="9" t="n">
        <f aca="false">J19/K19</f>
        <v>783</v>
      </c>
      <c r="Z19" s="10" t="b">
        <f aca="false">O19&gt;=Assumptions!$B$57</f>
        <v>0</v>
      </c>
      <c r="AA19" s="10" t="b">
        <f aca="false">P19&gt;=Assumptions!$B$58</f>
        <v>0</v>
      </c>
      <c r="AB19" s="10" t="b">
        <f aca="false">Q19&gt;=Assumptions!$B$59</f>
        <v>0</v>
      </c>
      <c r="AC19" s="2" t="n">
        <f aca="false">Z19*1+AA19*1+AB19*1</f>
        <v>0</v>
      </c>
      <c r="AD19" s="2" t="str">
        <f aca="false">IF(E19="Broker-Reliant","Broker-led, product-blind",IF(AND(I19="Low",F19&lt;&gt;"Tail",OR(G19="Declining",G19="Lapsed"),OR(O19&gt;=Assumptions!$B$60,P19&gt;=Assumptions!$B$61)),"Engaged but shrinking (Key/Core)",IF(AND(O19&gt;=Assumptions!$B$60,P19&gt;=Assumptions!$B$61,Q19&gt;=Assumptions!$B$62,K19&gt;=Assumptions!$B$63),"Independent browser-buyer",IF(AND(OR(O19&gt;=Assumptions!$B$60,P19&gt;=Assumptions!$B$61),K19&lt;=2),"Engaged, not converting",IF(AND(K19=1,O19&lt;Assumptions!$B$60,P19&lt;Assumptions!$B$61),"One-off low-touch buyer","Light-touch repeat buyer")))))</f>
        <v>Broker-led, product-blind</v>
      </c>
      <c r="AE19" s="10" t="b">
        <f aca="false">INDEX(Segmentation!$AW$2:$AW$301,MATCH($A19,Segmentation!$A$2:$A$301,0))</f>
        <v>0</v>
      </c>
    </row>
    <row r="20" customFormat="false" ht="15" hidden="false" customHeight="false" outlineLevel="0" collapsed="false">
      <c r="A20" s="2" t="s">
        <v>380</v>
      </c>
      <c r="B20" s="2" t="s">
        <v>1571</v>
      </c>
      <c r="C20" s="2" t="s">
        <v>1640</v>
      </c>
      <c r="D20" s="2" t="s">
        <v>1654</v>
      </c>
      <c r="E20" s="2" t="str">
        <f aca="false">INDEX(Segmentation!$H$2:$H$301,MATCH($A20,Segmentation!$A$2:$A$301,0))</f>
        <v>Broker-Reliant</v>
      </c>
      <c r="F20" s="2" t="str">
        <f aca="false">INDEX(Segmentation!$J$2:$J$301,MATCH($A20,Segmentation!$A$2:$A$301,0))</f>
        <v>Core</v>
      </c>
      <c r="G20" s="2" t="str">
        <f aca="false">INDEX(Segmentation!$N$2:$N$301,MATCH($A20,Segmentation!$A$2:$A$301,0))</f>
        <v>Growing</v>
      </c>
      <c r="H20" s="2" t="str">
        <f aca="false">INDEX(Segmentation!$T$2:$T$301,MATCH($A20,Segmentation!$A$2:$A$301,0))</f>
        <v>1. Migration Candidate</v>
      </c>
      <c r="I20" s="2" t="str">
        <f aca="false">INDEX(Segmentation!$G$2:$G$301,MATCH($A20,Segmentation!$A$2:$A$301,0))</f>
        <v>High</v>
      </c>
      <c r="J20" s="9" t="n">
        <f aca="false">INDEX(Segmentation!$I$2:$I$301,MATCH($A20,Segmentation!$A$2:$A$301,0))</f>
        <v>7716</v>
      </c>
      <c r="K20" s="2" t="n">
        <f aca="false">INDEX(Segmentation!$O$2:$O$301,MATCH($A20,Segmentation!$A$2:$A$301,0))</f>
        <v>7</v>
      </c>
      <c r="L20" s="2" t="n">
        <f aca="false">INDEX(Segmentation!$Q$2:$Q$301,MATCH($A20,Segmentation!$A$2:$A$301,0))</f>
        <v>3</v>
      </c>
      <c r="M20" s="2" t="n">
        <f aca="false">INDEX(Segmentation!$W$2:$W$301,MATCH($A20,Segmentation!$A$2:$A$301,0))</f>
        <v>5</v>
      </c>
      <c r="N20" s="2" t="str">
        <f aca="false">INDEX(Segmentation!$AF$2:$AF$301,MATCH($A20,Segmentation!$A$2:$A$301,0))</f>
        <v>Existing Customer</v>
      </c>
      <c r="O20" s="2" t="n">
        <f aca="false">INDEX(Segmentation!$R$2:$R$301,MATCH($A20,Segmentation!$A$2:$A$301,0))</f>
        <v>2</v>
      </c>
      <c r="P20" s="2" t="n">
        <v>15</v>
      </c>
      <c r="Q20" s="2" t="n">
        <f aca="false">INDEX(Segmentation!$S$2:$S$301,MATCH($A20,Segmentation!$A$2:$A$301,0))</f>
        <v>1</v>
      </c>
      <c r="R20" s="2" t="n">
        <v>16</v>
      </c>
      <c r="S20" s="2" t="n">
        <v>12</v>
      </c>
      <c r="T20" s="2" t="n">
        <v>7</v>
      </c>
      <c r="U20" s="2" t="n">
        <v>0</v>
      </c>
      <c r="V20" s="2" t="n">
        <v>0</v>
      </c>
      <c r="W20" s="2" t="str">
        <f aca="false">IF(V20=100,"Bundle-only",IF(V20=0,"Handpick-only","Mixed"))</f>
        <v>Handpick-only</v>
      </c>
      <c r="X20" s="17" t="n">
        <f aca="false">L20/K20</f>
        <v>0.428571428571429</v>
      </c>
      <c r="Y20" s="9" t="n">
        <f aca="false">J20/K20</f>
        <v>1102.28571428571</v>
      </c>
      <c r="Z20" s="10" t="b">
        <f aca="false">O20&gt;=Assumptions!$B$57</f>
        <v>0</v>
      </c>
      <c r="AA20" s="10" t="b">
        <f aca="false">P20&gt;=Assumptions!$B$58</f>
        <v>0</v>
      </c>
      <c r="AB20" s="10" t="b">
        <f aca="false">Q20&gt;=Assumptions!$B$59</f>
        <v>0</v>
      </c>
      <c r="AC20" s="2" t="n">
        <f aca="false">Z20*1+AA20*1+AB20*1</f>
        <v>0</v>
      </c>
      <c r="AD20" s="2" t="str">
        <f aca="false">IF(E20="Broker-Reliant","Broker-led, product-blind",IF(AND(I20="Low",F20&lt;&gt;"Tail",OR(G20="Declining",G20="Lapsed"),OR(O20&gt;=Assumptions!$B$60,P20&gt;=Assumptions!$B$61)),"Engaged but shrinking (Key/Core)",IF(AND(O20&gt;=Assumptions!$B$60,P20&gt;=Assumptions!$B$61,Q20&gt;=Assumptions!$B$62,K20&gt;=Assumptions!$B$63),"Independent browser-buyer",IF(AND(OR(O20&gt;=Assumptions!$B$60,P20&gt;=Assumptions!$B$61),K20&lt;=2),"Engaged, not converting",IF(AND(K20=1,O20&lt;Assumptions!$B$60,P20&lt;Assumptions!$B$61),"One-off low-touch buyer","Light-touch repeat buyer")))))</f>
        <v>Broker-led, product-blind</v>
      </c>
      <c r="AE20" s="10" t="b">
        <f aca="false">INDEX(Segmentation!$AW$2:$AW$301,MATCH($A20,Segmentation!$A$2:$A$301,0))</f>
        <v>0</v>
      </c>
    </row>
    <row r="21" customFormat="false" ht="15" hidden="false" customHeight="false" outlineLevel="0" collapsed="false">
      <c r="A21" s="2" t="s">
        <v>389</v>
      </c>
      <c r="B21" s="2" t="s">
        <v>1571</v>
      </c>
      <c r="C21" s="2" t="s">
        <v>1640</v>
      </c>
      <c r="D21" s="2" t="s">
        <v>1658</v>
      </c>
      <c r="E21" s="2" t="str">
        <f aca="false">INDEX(Segmentation!$H$2:$H$301,MATCH($A21,Segmentation!$A$2:$A$301,0))</f>
        <v>Broker-Reliant</v>
      </c>
      <c r="F21" s="2" t="str">
        <f aca="false">INDEX(Segmentation!$J$2:$J$301,MATCH($A21,Segmentation!$A$2:$A$301,0))</f>
        <v>Core</v>
      </c>
      <c r="G21" s="2" t="str">
        <f aca="false">INDEX(Segmentation!$N$2:$N$301,MATCH($A21,Segmentation!$A$2:$A$301,0))</f>
        <v>Stable</v>
      </c>
      <c r="H21" s="2" t="str">
        <f aca="false">INDEX(Segmentation!$T$2:$T$301,MATCH($A21,Segmentation!$A$2:$A$301,0))</f>
        <v>1. Migration Candidate</v>
      </c>
      <c r="I21" s="2" t="str">
        <f aca="false">INDEX(Segmentation!$G$2:$G$301,MATCH($A21,Segmentation!$A$2:$A$301,0))</f>
        <v>Medium</v>
      </c>
      <c r="J21" s="9" t="n">
        <f aca="false">INDEX(Segmentation!$I$2:$I$301,MATCH($A21,Segmentation!$A$2:$A$301,0))</f>
        <v>6452</v>
      </c>
      <c r="K21" s="2" t="n">
        <f aca="false">INDEX(Segmentation!$O$2:$O$301,MATCH($A21,Segmentation!$A$2:$A$301,0))</f>
        <v>3</v>
      </c>
      <c r="L21" s="2" t="n">
        <f aca="false">INDEX(Segmentation!$Q$2:$Q$301,MATCH($A21,Segmentation!$A$2:$A$301,0))</f>
        <v>2</v>
      </c>
      <c r="M21" s="2" t="n">
        <f aca="false">INDEX(Segmentation!$W$2:$W$301,MATCH($A21,Segmentation!$A$2:$A$301,0))</f>
        <v>3</v>
      </c>
      <c r="N21" s="2" t="str">
        <f aca="false">INDEX(Segmentation!$AF$2:$AF$301,MATCH($A21,Segmentation!$A$2:$A$301,0))</f>
        <v>Existing Customer</v>
      </c>
      <c r="O21" s="2" t="n">
        <f aca="false">INDEX(Segmentation!$R$2:$R$301,MATCH($A21,Segmentation!$A$2:$A$301,0))</f>
        <v>7</v>
      </c>
      <c r="P21" s="2" t="n">
        <v>3</v>
      </c>
      <c r="Q21" s="2" t="n">
        <f aca="false">INDEX(Segmentation!$S$2:$S$301,MATCH($A21,Segmentation!$A$2:$A$301,0))</f>
        <v>0</v>
      </c>
      <c r="R21" s="2" t="n">
        <v>14</v>
      </c>
      <c r="S21" s="2" t="n">
        <v>2</v>
      </c>
      <c r="T21" s="2" t="n">
        <v>2</v>
      </c>
      <c r="U21" s="2" t="n">
        <v>1</v>
      </c>
      <c r="V21" s="2" t="n">
        <v>3</v>
      </c>
      <c r="W21" s="2" t="str">
        <f aca="false">IF(V21=100,"Bundle-only",IF(V21=0,"Handpick-only","Mixed"))</f>
        <v>Mixed</v>
      </c>
      <c r="X21" s="17" t="n">
        <f aca="false">L21/K21</f>
        <v>0.666666666666667</v>
      </c>
      <c r="Y21" s="9" t="n">
        <f aca="false">J21/K21</f>
        <v>2150.66666666667</v>
      </c>
      <c r="Z21" s="10" t="b">
        <f aca="false">O21&gt;=Assumptions!$B$57</f>
        <v>0</v>
      </c>
      <c r="AA21" s="10" t="b">
        <f aca="false">P21&gt;=Assumptions!$B$58</f>
        <v>0</v>
      </c>
      <c r="AB21" s="10" t="b">
        <f aca="false">Q21&gt;=Assumptions!$B$59</f>
        <v>0</v>
      </c>
      <c r="AC21" s="2" t="n">
        <f aca="false">Z21*1+AA21*1+AB21*1</f>
        <v>0</v>
      </c>
      <c r="AD21" s="2" t="str">
        <f aca="false">IF(E21="Broker-Reliant","Broker-led, product-blind",IF(AND(I21="Low",F21&lt;&gt;"Tail",OR(G21="Declining",G21="Lapsed"),OR(O21&gt;=Assumptions!$B$60,P21&gt;=Assumptions!$B$61)),"Engaged but shrinking (Key/Core)",IF(AND(O21&gt;=Assumptions!$B$60,P21&gt;=Assumptions!$B$61,Q21&gt;=Assumptions!$B$62,K21&gt;=Assumptions!$B$63),"Independent browser-buyer",IF(AND(OR(O21&gt;=Assumptions!$B$60,P21&gt;=Assumptions!$B$61),K21&lt;=2),"Engaged, not converting",IF(AND(K21=1,O21&lt;Assumptions!$B$60,P21&lt;Assumptions!$B$61),"One-off low-touch buyer","Light-touch repeat buyer")))))</f>
        <v>Broker-led, product-blind</v>
      </c>
      <c r="AE21" s="10" t="b">
        <f aca="false">INDEX(Segmentation!$AW$2:$AW$301,MATCH($A21,Segmentation!$A$2:$A$301,0))</f>
        <v>0</v>
      </c>
    </row>
    <row r="22" customFormat="false" ht="15" hidden="false" customHeight="false" outlineLevel="0" collapsed="false">
      <c r="A22" s="2" t="s">
        <v>208</v>
      </c>
      <c r="B22" s="2" t="s">
        <v>1571</v>
      </c>
      <c r="C22" s="2" t="s">
        <v>1640</v>
      </c>
      <c r="D22" s="2" t="s">
        <v>1658</v>
      </c>
      <c r="E22" s="2" t="str">
        <f aca="false">INDEX(Segmentation!$H$2:$H$301,MATCH($A22,Segmentation!$A$2:$A$301,0))</f>
        <v>Broker-Reliant</v>
      </c>
      <c r="F22" s="2" t="str">
        <f aca="false">INDEX(Segmentation!$J$2:$J$301,MATCH($A22,Segmentation!$A$2:$A$301,0))</f>
        <v>Core</v>
      </c>
      <c r="G22" s="2" t="str">
        <f aca="false">INDEX(Segmentation!$N$2:$N$301,MATCH($A22,Segmentation!$A$2:$A$301,0))</f>
        <v>Declining</v>
      </c>
      <c r="H22" s="2" t="str">
        <f aca="false">INDEX(Segmentation!$T$2:$T$301,MATCH($A22,Segmentation!$A$2:$A$301,0))</f>
        <v>2. Protect / Retain First</v>
      </c>
      <c r="I22" s="2" t="str">
        <f aca="false">INDEX(Segmentation!$G$2:$G$301,MATCH($A22,Segmentation!$A$2:$A$301,0))</f>
        <v>High</v>
      </c>
      <c r="J22" s="9" t="n">
        <f aca="false">INDEX(Segmentation!$I$2:$I$301,MATCH($A22,Segmentation!$A$2:$A$301,0))</f>
        <v>6199</v>
      </c>
      <c r="K22" s="2" t="n">
        <f aca="false">INDEX(Segmentation!$O$2:$O$301,MATCH($A22,Segmentation!$A$2:$A$301,0))</f>
        <v>19</v>
      </c>
      <c r="L22" s="2" t="n">
        <f aca="false">INDEX(Segmentation!$Q$2:$Q$301,MATCH($A22,Segmentation!$A$2:$A$301,0))</f>
        <v>7</v>
      </c>
      <c r="M22" s="2" t="n">
        <f aca="false">INDEX(Segmentation!$W$2:$W$301,MATCH($A22,Segmentation!$A$2:$A$301,0))</f>
        <v>6</v>
      </c>
      <c r="N22" s="2" t="str">
        <f aca="false">INDEX(Segmentation!$AF$2:$AF$301,MATCH($A22,Segmentation!$A$2:$A$301,0))</f>
        <v>Existing Customer</v>
      </c>
      <c r="O22" s="2" t="n">
        <f aca="false">INDEX(Segmentation!$R$2:$R$301,MATCH($A22,Segmentation!$A$2:$A$301,0))</f>
        <v>6</v>
      </c>
      <c r="P22" s="2" t="n">
        <v>2</v>
      </c>
      <c r="Q22" s="2" t="n">
        <f aca="false">INDEX(Segmentation!$S$2:$S$301,MATCH($A22,Segmentation!$A$2:$A$301,0))</f>
        <v>1</v>
      </c>
      <c r="R22" s="2" t="n">
        <v>19</v>
      </c>
      <c r="S22" s="2" t="n">
        <v>13</v>
      </c>
      <c r="T22" s="2" t="n">
        <v>7</v>
      </c>
      <c r="U22" s="2" t="n">
        <v>12</v>
      </c>
      <c r="V22" s="2" t="n">
        <v>54</v>
      </c>
      <c r="W22" s="2" t="str">
        <f aca="false">IF(V22=100,"Bundle-only",IF(V22=0,"Handpick-only","Mixed"))</f>
        <v>Mixed</v>
      </c>
      <c r="X22" s="17" t="n">
        <f aca="false">L22/K22</f>
        <v>0.368421052631579</v>
      </c>
      <c r="Y22" s="9" t="n">
        <f aca="false">J22/K22</f>
        <v>326.263157894737</v>
      </c>
      <c r="Z22" s="10" t="b">
        <f aca="false">O22&gt;=Assumptions!$B$57</f>
        <v>0</v>
      </c>
      <c r="AA22" s="10" t="b">
        <f aca="false">P22&gt;=Assumptions!$B$58</f>
        <v>0</v>
      </c>
      <c r="AB22" s="10" t="b">
        <f aca="false">Q22&gt;=Assumptions!$B$59</f>
        <v>0</v>
      </c>
      <c r="AC22" s="2" t="n">
        <f aca="false">Z22*1+AA22*1+AB22*1</f>
        <v>0</v>
      </c>
      <c r="AD22" s="2" t="str">
        <f aca="false">IF(E22="Broker-Reliant","Broker-led, product-blind",IF(AND(I22="Low",F22&lt;&gt;"Tail",OR(G22="Declining",G22="Lapsed"),OR(O22&gt;=Assumptions!$B$60,P22&gt;=Assumptions!$B$61)),"Engaged but shrinking (Key/Core)",IF(AND(O22&gt;=Assumptions!$B$60,P22&gt;=Assumptions!$B$61,Q22&gt;=Assumptions!$B$62,K22&gt;=Assumptions!$B$63),"Independent browser-buyer",IF(AND(OR(O22&gt;=Assumptions!$B$60,P22&gt;=Assumptions!$B$61),K22&lt;=2),"Engaged, not converting",IF(AND(K22=1,O22&lt;Assumptions!$B$60,P22&lt;Assumptions!$B$61),"One-off low-touch buyer","Light-touch repeat buyer")))))</f>
        <v>Broker-led, product-blind</v>
      </c>
      <c r="AE22" s="10" t="b">
        <f aca="false">INDEX(Segmentation!$AW$2:$AW$301,MATCH($A22,Segmentation!$A$2:$A$301,0))</f>
        <v>0</v>
      </c>
    </row>
    <row r="23" customFormat="false" ht="15" hidden="false" customHeight="false" outlineLevel="0" collapsed="false">
      <c r="A23" s="2" t="s">
        <v>211</v>
      </c>
      <c r="B23" s="2" t="s">
        <v>1571</v>
      </c>
      <c r="C23" s="2" t="s">
        <v>1640</v>
      </c>
      <c r="D23" s="2" t="s">
        <v>1654</v>
      </c>
      <c r="E23" s="2" t="str">
        <f aca="false">INDEX(Segmentation!$H$2:$H$301,MATCH($A23,Segmentation!$A$2:$A$301,0))</f>
        <v>Broker-Reliant</v>
      </c>
      <c r="F23" s="2" t="str">
        <f aca="false">INDEX(Segmentation!$J$2:$J$301,MATCH($A23,Segmentation!$A$2:$A$301,0))</f>
        <v>Core</v>
      </c>
      <c r="G23" s="2" t="str">
        <f aca="false">INDEX(Segmentation!$N$2:$N$301,MATCH($A23,Segmentation!$A$2:$A$301,0))</f>
        <v>Declining</v>
      </c>
      <c r="H23" s="2" t="str">
        <f aca="false">INDEX(Segmentation!$T$2:$T$301,MATCH($A23,Segmentation!$A$2:$A$301,0))</f>
        <v>2. Protect / Retain First</v>
      </c>
      <c r="I23" s="2" t="str">
        <f aca="false">INDEX(Segmentation!$G$2:$G$301,MATCH($A23,Segmentation!$A$2:$A$301,0))</f>
        <v>Medium</v>
      </c>
      <c r="J23" s="9" t="n">
        <f aca="false">INDEX(Segmentation!$I$2:$I$301,MATCH($A23,Segmentation!$A$2:$A$301,0))</f>
        <v>6140</v>
      </c>
      <c r="K23" s="2" t="n">
        <f aca="false">INDEX(Segmentation!$O$2:$O$301,MATCH($A23,Segmentation!$A$2:$A$301,0))</f>
        <v>7</v>
      </c>
      <c r="L23" s="2" t="n">
        <f aca="false">INDEX(Segmentation!$Q$2:$Q$301,MATCH($A23,Segmentation!$A$2:$A$301,0))</f>
        <v>4</v>
      </c>
      <c r="M23" s="2" t="n">
        <f aca="false">INDEX(Segmentation!$W$2:$W$301,MATCH($A23,Segmentation!$A$2:$A$301,0))</f>
        <v>3</v>
      </c>
      <c r="N23" s="2" t="str">
        <f aca="false">INDEX(Segmentation!$AF$2:$AF$301,MATCH($A23,Segmentation!$A$2:$A$301,0))</f>
        <v>Existing Customer</v>
      </c>
      <c r="O23" s="2" t="n">
        <f aca="false">INDEX(Segmentation!$R$2:$R$301,MATCH($A23,Segmentation!$A$2:$A$301,0))</f>
        <v>4</v>
      </c>
      <c r="P23" s="2" t="n">
        <v>12</v>
      </c>
      <c r="Q23" s="2" t="n">
        <f aca="false">INDEX(Segmentation!$S$2:$S$301,MATCH($A23,Segmentation!$A$2:$A$301,0))</f>
        <v>2</v>
      </c>
      <c r="R23" s="2" t="n">
        <v>33</v>
      </c>
      <c r="S23" s="2" t="n">
        <v>2</v>
      </c>
      <c r="T23" s="2" t="n">
        <v>0</v>
      </c>
      <c r="U23" s="2" t="n">
        <v>7</v>
      </c>
      <c r="V23" s="2" t="n">
        <v>100</v>
      </c>
      <c r="W23" s="2" t="str">
        <f aca="false">IF(V23=100,"Bundle-only",IF(V23=0,"Handpick-only","Mixed"))</f>
        <v>Bundle-only</v>
      </c>
      <c r="X23" s="17" t="n">
        <f aca="false">L23/K23</f>
        <v>0.571428571428571</v>
      </c>
      <c r="Y23" s="9" t="n">
        <f aca="false">J23/K23</f>
        <v>877.142857142857</v>
      </c>
      <c r="Z23" s="10" t="b">
        <f aca="false">O23&gt;=Assumptions!$B$57</f>
        <v>0</v>
      </c>
      <c r="AA23" s="10" t="b">
        <f aca="false">P23&gt;=Assumptions!$B$58</f>
        <v>0</v>
      </c>
      <c r="AB23" s="10" t="b">
        <f aca="false">Q23&gt;=Assumptions!$B$59</f>
        <v>0</v>
      </c>
      <c r="AC23" s="2" t="n">
        <f aca="false">Z23*1+AA23*1+AB23*1</f>
        <v>0</v>
      </c>
      <c r="AD23" s="2" t="str">
        <f aca="false">IF(E23="Broker-Reliant","Broker-led, product-blind",IF(AND(I23="Low",F23&lt;&gt;"Tail",OR(G23="Declining",G23="Lapsed"),OR(O23&gt;=Assumptions!$B$60,P23&gt;=Assumptions!$B$61)),"Engaged but shrinking (Key/Core)",IF(AND(O23&gt;=Assumptions!$B$60,P23&gt;=Assumptions!$B$61,Q23&gt;=Assumptions!$B$62,K23&gt;=Assumptions!$B$63),"Independent browser-buyer",IF(AND(OR(O23&gt;=Assumptions!$B$60,P23&gt;=Assumptions!$B$61),K23&lt;=2),"Engaged, not converting",IF(AND(K23=1,O23&lt;Assumptions!$B$60,P23&lt;Assumptions!$B$61),"One-off low-touch buyer","Light-touch repeat buyer")))))</f>
        <v>Broker-led, product-blind</v>
      </c>
      <c r="AE23" s="10" t="b">
        <f aca="false">INDEX(Segmentation!$AW$2:$AW$301,MATCH($A23,Segmentation!$A$2:$A$301,0))</f>
        <v>0</v>
      </c>
    </row>
    <row r="24" customFormat="false" ht="15" hidden="false" customHeight="false" outlineLevel="0" collapsed="false">
      <c r="A24" s="2" t="s">
        <v>214</v>
      </c>
      <c r="B24" s="2" t="s">
        <v>1571</v>
      </c>
      <c r="C24" s="2" t="s">
        <v>1640</v>
      </c>
      <c r="D24" s="2" t="s">
        <v>1658</v>
      </c>
      <c r="E24" s="2" t="str">
        <f aca="false">INDEX(Segmentation!$H$2:$H$301,MATCH($A24,Segmentation!$A$2:$A$301,0))</f>
        <v>Broker-Reliant</v>
      </c>
      <c r="F24" s="2" t="str">
        <f aca="false">INDEX(Segmentation!$J$2:$J$301,MATCH($A24,Segmentation!$A$2:$A$301,0))</f>
        <v>Core</v>
      </c>
      <c r="G24" s="2" t="str">
        <f aca="false">INDEX(Segmentation!$N$2:$N$301,MATCH($A24,Segmentation!$A$2:$A$301,0))</f>
        <v>Declining</v>
      </c>
      <c r="H24" s="2" t="str">
        <f aca="false">INDEX(Segmentation!$T$2:$T$301,MATCH($A24,Segmentation!$A$2:$A$301,0))</f>
        <v>2. Protect / Retain First</v>
      </c>
      <c r="I24" s="2" t="str">
        <f aca="false">INDEX(Segmentation!$G$2:$G$301,MATCH($A24,Segmentation!$A$2:$A$301,0))</f>
        <v>High</v>
      </c>
      <c r="J24" s="9" t="n">
        <f aca="false">INDEX(Segmentation!$I$2:$I$301,MATCH($A24,Segmentation!$A$2:$A$301,0))</f>
        <v>5727</v>
      </c>
      <c r="K24" s="2" t="n">
        <f aca="false">INDEX(Segmentation!$O$2:$O$301,MATCH($A24,Segmentation!$A$2:$A$301,0))</f>
        <v>4</v>
      </c>
      <c r="L24" s="2" t="n">
        <f aca="false">INDEX(Segmentation!$Q$2:$Q$301,MATCH($A24,Segmentation!$A$2:$A$301,0))</f>
        <v>1</v>
      </c>
      <c r="M24" s="2" t="n">
        <f aca="false">INDEX(Segmentation!$W$2:$W$301,MATCH($A24,Segmentation!$A$2:$A$301,0))</f>
        <v>4</v>
      </c>
      <c r="N24" s="2" t="str">
        <f aca="false">INDEX(Segmentation!$AF$2:$AF$301,MATCH($A24,Segmentation!$A$2:$A$301,0))</f>
        <v>Existing Customer</v>
      </c>
      <c r="O24" s="2" t="n">
        <f aca="false">INDEX(Segmentation!$R$2:$R$301,MATCH($A24,Segmentation!$A$2:$A$301,0))</f>
        <v>0</v>
      </c>
      <c r="P24" s="2" t="n">
        <v>10</v>
      </c>
      <c r="Q24" s="2" t="n">
        <f aca="false">INDEX(Segmentation!$S$2:$S$301,MATCH($A24,Segmentation!$A$2:$A$301,0))</f>
        <v>1</v>
      </c>
      <c r="R24" s="2" t="n">
        <v>9</v>
      </c>
      <c r="S24" s="2" t="n">
        <v>0</v>
      </c>
      <c r="T24" s="2" t="n">
        <v>4</v>
      </c>
      <c r="U24" s="2" t="n">
        <v>0</v>
      </c>
      <c r="V24" s="2" t="n">
        <v>0</v>
      </c>
      <c r="W24" s="2" t="str">
        <f aca="false">IF(V24=100,"Bundle-only",IF(V24=0,"Handpick-only","Mixed"))</f>
        <v>Handpick-only</v>
      </c>
      <c r="X24" s="17" t="n">
        <f aca="false">L24/K24</f>
        <v>0.25</v>
      </c>
      <c r="Y24" s="9" t="n">
        <f aca="false">J24/K24</f>
        <v>1431.75</v>
      </c>
      <c r="Z24" s="10" t="b">
        <f aca="false">O24&gt;=Assumptions!$B$57</f>
        <v>0</v>
      </c>
      <c r="AA24" s="10" t="b">
        <f aca="false">P24&gt;=Assumptions!$B$58</f>
        <v>0</v>
      </c>
      <c r="AB24" s="10" t="b">
        <f aca="false">Q24&gt;=Assumptions!$B$59</f>
        <v>0</v>
      </c>
      <c r="AC24" s="2" t="n">
        <f aca="false">Z24*1+AA24*1+AB24*1</f>
        <v>0</v>
      </c>
      <c r="AD24" s="2" t="str">
        <f aca="false">IF(E24="Broker-Reliant","Broker-led, product-blind",IF(AND(I24="Low",F24&lt;&gt;"Tail",OR(G24="Declining",G24="Lapsed"),OR(O24&gt;=Assumptions!$B$60,P24&gt;=Assumptions!$B$61)),"Engaged but shrinking (Key/Core)",IF(AND(O24&gt;=Assumptions!$B$60,P24&gt;=Assumptions!$B$61,Q24&gt;=Assumptions!$B$62,K24&gt;=Assumptions!$B$63),"Independent browser-buyer",IF(AND(OR(O24&gt;=Assumptions!$B$60,P24&gt;=Assumptions!$B$61),K24&lt;=2),"Engaged, not converting",IF(AND(K24=1,O24&lt;Assumptions!$B$60,P24&lt;Assumptions!$B$61),"One-off low-touch buyer","Light-touch repeat buyer")))))</f>
        <v>Broker-led, product-blind</v>
      </c>
      <c r="AE24" s="10" t="b">
        <f aca="false">INDEX(Segmentation!$AW$2:$AW$301,MATCH($A24,Segmentation!$A$2:$A$301,0))</f>
        <v>0</v>
      </c>
    </row>
    <row r="25" customFormat="false" ht="15" hidden="false" customHeight="false" outlineLevel="0" collapsed="false">
      <c r="A25" s="2" t="s">
        <v>399</v>
      </c>
      <c r="B25" s="2" t="s">
        <v>1571</v>
      </c>
      <c r="C25" s="2" t="s">
        <v>1640</v>
      </c>
      <c r="D25" s="2" t="s">
        <v>1653</v>
      </c>
      <c r="E25" s="2" t="str">
        <f aca="false">INDEX(Segmentation!$H$2:$H$301,MATCH($A25,Segmentation!$A$2:$A$301,0))</f>
        <v>Broker-Reliant</v>
      </c>
      <c r="F25" s="2" t="str">
        <f aca="false">INDEX(Segmentation!$J$2:$J$301,MATCH($A25,Segmentation!$A$2:$A$301,0))</f>
        <v>Core</v>
      </c>
      <c r="G25" s="2" t="str">
        <f aca="false">INDEX(Segmentation!$N$2:$N$301,MATCH($A25,Segmentation!$A$2:$A$301,0))</f>
        <v>Stable</v>
      </c>
      <c r="H25" s="2" t="str">
        <f aca="false">INDEX(Segmentation!$T$2:$T$301,MATCH($A25,Segmentation!$A$2:$A$301,0))</f>
        <v>1. Migration Candidate</v>
      </c>
      <c r="I25" s="2" t="str">
        <f aca="false">INDEX(Segmentation!$G$2:$G$301,MATCH($A25,Segmentation!$A$2:$A$301,0))</f>
        <v>High</v>
      </c>
      <c r="J25" s="9" t="n">
        <f aca="false">INDEX(Segmentation!$I$2:$I$301,MATCH($A25,Segmentation!$A$2:$A$301,0))</f>
        <v>5214</v>
      </c>
      <c r="K25" s="2" t="n">
        <f aca="false">INDEX(Segmentation!$O$2:$O$301,MATCH($A25,Segmentation!$A$2:$A$301,0))</f>
        <v>14</v>
      </c>
      <c r="L25" s="2" t="n">
        <f aca="false">INDEX(Segmentation!$Q$2:$Q$301,MATCH($A25,Segmentation!$A$2:$A$301,0))</f>
        <v>5</v>
      </c>
      <c r="M25" s="2" t="n">
        <f aca="false">INDEX(Segmentation!$W$2:$W$301,MATCH($A25,Segmentation!$A$2:$A$301,0))</f>
        <v>5</v>
      </c>
      <c r="N25" s="2" t="str">
        <f aca="false">INDEX(Segmentation!$AF$2:$AF$301,MATCH($A25,Segmentation!$A$2:$A$301,0))</f>
        <v>Existing Customer</v>
      </c>
      <c r="O25" s="2" t="n">
        <f aca="false">INDEX(Segmentation!$R$2:$R$301,MATCH($A25,Segmentation!$A$2:$A$301,0))</f>
        <v>6</v>
      </c>
      <c r="P25" s="2" t="n">
        <v>12</v>
      </c>
      <c r="Q25" s="2" t="n">
        <f aca="false">INDEX(Segmentation!$S$2:$S$301,MATCH($A25,Segmentation!$A$2:$A$301,0))</f>
        <v>2</v>
      </c>
      <c r="R25" s="2" t="n">
        <v>27</v>
      </c>
      <c r="S25" s="2" t="n">
        <v>0</v>
      </c>
      <c r="T25" s="2" t="n">
        <v>0</v>
      </c>
      <c r="U25" s="2" t="n">
        <v>14</v>
      </c>
      <c r="V25" s="2" t="n">
        <v>100</v>
      </c>
      <c r="W25" s="2" t="str">
        <f aca="false">IF(V25=100,"Bundle-only",IF(V25=0,"Handpick-only","Mixed"))</f>
        <v>Bundle-only</v>
      </c>
      <c r="X25" s="17" t="n">
        <f aca="false">L25/K25</f>
        <v>0.357142857142857</v>
      </c>
      <c r="Y25" s="9" t="n">
        <f aca="false">J25/K25</f>
        <v>372.428571428571</v>
      </c>
      <c r="Z25" s="10" t="b">
        <f aca="false">O25&gt;=Assumptions!$B$57</f>
        <v>0</v>
      </c>
      <c r="AA25" s="10" t="b">
        <f aca="false">P25&gt;=Assumptions!$B$58</f>
        <v>0</v>
      </c>
      <c r="AB25" s="10" t="b">
        <f aca="false">Q25&gt;=Assumptions!$B$59</f>
        <v>0</v>
      </c>
      <c r="AC25" s="2" t="n">
        <f aca="false">Z25*1+AA25*1+AB25*1</f>
        <v>0</v>
      </c>
      <c r="AD25" s="2" t="str">
        <f aca="false">IF(E25="Broker-Reliant","Broker-led, product-blind",IF(AND(I25="Low",F25&lt;&gt;"Tail",OR(G25="Declining",G25="Lapsed"),OR(O25&gt;=Assumptions!$B$60,P25&gt;=Assumptions!$B$61)),"Engaged but shrinking (Key/Core)",IF(AND(O25&gt;=Assumptions!$B$60,P25&gt;=Assumptions!$B$61,Q25&gt;=Assumptions!$B$62,K25&gt;=Assumptions!$B$63),"Independent browser-buyer",IF(AND(OR(O25&gt;=Assumptions!$B$60,P25&gt;=Assumptions!$B$61),K25&lt;=2),"Engaged, not converting",IF(AND(K25=1,O25&lt;Assumptions!$B$60,P25&lt;Assumptions!$B$61),"One-off low-touch buyer","Light-touch repeat buyer")))))</f>
        <v>Broker-led, product-blind</v>
      </c>
      <c r="AE25" s="10" t="b">
        <f aca="false">INDEX(Segmentation!$AW$2:$AW$301,MATCH($A25,Segmentation!$A$2:$A$301,0))</f>
        <v>0</v>
      </c>
    </row>
    <row r="26" customFormat="false" ht="15" hidden="false" customHeight="false" outlineLevel="0" collapsed="false">
      <c r="A26" s="2" t="s">
        <v>403</v>
      </c>
      <c r="B26" s="2" t="s">
        <v>1571</v>
      </c>
      <c r="C26" s="2" t="s">
        <v>1640</v>
      </c>
      <c r="D26" s="2" t="s">
        <v>1653</v>
      </c>
      <c r="E26" s="2" t="str">
        <f aca="false">INDEX(Segmentation!$H$2:$H$301,MATCH($A26,Segmentation!$A$2:$A$301,0))</f>
        <v>AM-Owned / Self-Serving</v>
      </c>
      <c r="F26" s="2" t="str">
        <f aca="false">INDEX(Segmentation!$J$2:$J$301,MATCH($A26,Segmentation!$A$2:$A$301,0))</f>
        <v>Core</v>
      </c>
      <c r="G26" s="2" t="str">
        <f aca="false">INDEX(Segmentation!$N$2:$N$301,MATCH($A26,Segmentation!$A$2:$A$301,0))</f>
        <v>Growing</v>
      </c>
      <c r="H26" s="2" t="str">
        <f aca="false">INDEX(Segmentation!$T$2:$T$301,MATCH($A26,Segmentation!$A$2:$A$301,0))</f>
        <v>6. Growth Opportunity</v>
      </c>
      <c r="I26" s="2" t="str">
        <f aca="false">INDEX(Segmentation!$G$2:$G$301,MATCH($A26,Segmentation!$A$2:$A$301,0))</f>
        <v>Low</v>
      </c>
      <c r="J26" s="9" t="n">
        <f aca="false">INDEX(Segmentation!$I$2:$I$301,MATCH($A26,Segmentation!$A$2:$A$301,0))</f>
        <v>5014</v>
      </c>
      <c r="K26" s="2" t="n">
        <f aca="false">INDEX(Segmentation!$O$2:$O$301,MATCH($A26,Segmentation!$A$2:$A$301,0))</f>
        <v>8</v>
      </c>
      <c r="L26" s="2" t="n">
        <f aca="false">INDEX(Segmentation!$Q$2:$Q$301,MATCH($A26,Segmentation!$A$2:$A$301,0))</f>
        <v>7</v>
      </c>
      <c r="M26" s="2" t="n">
        <f aca="false">INDEX(Segmentation!$W$2:$W$301,MATCH($A26,Segmentation!$A$2:$A$301,0))</f>
        <v>4</v>
      </c>
      <c r="N26" s="2" t="str">
        <f aca="false">INDEX(Segmentation!$AF$2:$AF$301,MATCH($A26,Segmentation!$A$2:$A$301,0))</f>
        <v>Existing Customer</v>
      </c>
      <c r="O26" s="2" t="n">
        <f aca="false">INDEX(Segmentation!$R$2:$R$301,MATCH($A26,Segmentation!$A$2:$A$301,0))</f>
        <v>59</v>
      </c>
      <c r="P26" s="2" t="n">
        <v>860</v>
      </c>
      <c r="Q26" s="2" t="n">
        <f aca="false">INDEX(Segmentation!$S$2:$S$301,MATCH($A26,Segmentation!$A$2:$A$301,0))</f>
        <v>5</v>
      </c>
      <c r="R26" s="2" t="n">
        <v>91</v>
      </c>
      <c r="S26" s="2" t="n">
        <v>0</v>
      </c>
      <c r="T26" s="2" t="n">
        <v>5</v>
      </c>
      <c r="U26" s="2" t="n">
        <v>3</v>
      </c>
      <c r="V26" s="2" t="n">
        <v>71</v>
      </c>
      <c r="W26" s="2" t="str">
        <f aca="false">IF(V26=100,"Bundle-only",IF(V26=0,"Handpick-only","Mixed"))</f>
        <v>Mixed</v>
      </c>
      <c r="X26" s="17" t="n">
        <f aca="false">L26/K26</f>
        <v>0.875</v>
      </c>
      <c r="Y26" s="9" t="n">
        <f aca="false">J26/K26</f>
        <v>626.75</v>
      </c>
      <c r="Z26" s="10" t="b">
        <f aca="false">O26&gt;=Assumptions!$B$57</f>
        <v>1</v>
      </c>
      <c r="AA26" s="10" t="b">
        <f aca="false">P26&gt;=Assumptions!$B$58</f>
        <v>1</v>
      </c>
      <c r="AB26" s="10" t="b">
        <f aca="false">Q26&gt;=Assumptions!$B$59</f>
        <v>1</v>
      </c>
      <c r="AC26" s="2" t="n">
        <f aca="false">Z26*1+AA26*1+AB26*1</f>
        <v>3</v>
      </c>
      <c r="AD26" s="2" t="str">
        <f aca="false">IF(E26="Broker-Reliant","Broker-led, product-blind",IF(AND(I26="Low",F26&lt;&gt;"Tail",OR(G26="Declining",G26="Lapsed"),OR(O26&gt;=Assumptions!$B$60,P26&gt;=Assumptions!$B$61)),"Engaged but shrinking (Key/Core)",IF(AND(O26&gt;=Assumptions!$B$60,P26&gt;=Assumptions!$B$61,Q26&gt;=Assumptions!$B$62,K26&gt;=Assumptions!$B$63),"Independent browser-buyer",IF(AND(OR(O26&gt;=Assumptions!$B$60,P26&gt;=Assumptions!$B$61),K26&lt;=2),"Engaged, not converting",IF(AND(K26=1,O26&lt;Assumptions!$B$60,P26&lt;Assumptions!$B$61),"One-off low-touch buyer","Light-touch repeat buyer")))))</f>
        <v>Independent browser-buyer</v>
      </c>
      <c r="AE26" s="10" t="b">
        <f aca="false">INDEX(Segmentation!$AW$2:$AW$301,MATCH($A26,Segmentation!$A$2:$A$301,0))</f>
        <v>0</v>
      </c>
    </row>
    <row r="27" customFormat="false" ht="15" hidden="false" customHeight="false" outlineLevel="0" collapsed="false">
      <c r="A27" s="2" t="s">
        <v>218</v>
      </c>
      <c r="B27" s="2" t="s">
        <v>1571</v>
      </c>
      <c r="C27" s="2" t="s">
        <v>1640</v>
      </c>
      <c r="D27" s="2" t="s">
        <v>1655</v>
      </c>
      <c r="E27" s="2" t="str">
        <f aca="false">INDEX(Segmentation!$H$2:$H$301,MATCH($A27,Segmentation!$A$2:$A$301,0))</f>
        <v>Broker-Reliant</v>
      </c>
      <c r="F27" s="2" t="str">
        <f aca="false">INDEX(Segmentation!$J$2:$J$301,MATCH($A27,Segmentation!$A$2:$A$301,0))</f>
        <v>Core</v>
      </c>
      <c r="G27" s="2" t="str">
        <f aca="false">INDEX(Segmentation!$N$2:$N$301,MATCH($A27,Segmentation!$A$2:$A$301,0))</f>
        <v>Lapsed</v>
      </c>
      <c r="H27" s="2" t="str">
        <f aca="false">INDEX(Segmentation!$T$2:$T$301,MATCH($A27,Segmentation!$A$2:$A$301,0))</f>
        <v>3. Win-Back / Verify</v>
      </c>
      <c r="I27" s="2" t="str">
        <f aca="false">INDEX(Segmentation!$G$2:$G$301,MATCH($A27,Segmentation!$A$2:$A$301,0))</f>
        <v>High</v>
      </c>
      <c r="J27" s="9" t="n">
        <f aca="false">INDEX(Segmentation!$I$2:$I$301,MATCH($A27,Segmentation!$A$2:$A$301,0))</f>
        <v>4772</v>
      </c>
      <c r="K27" s="2" t="n">
        <f aca="false">INDEX(Segmentation!$O$2:$O$301,MATCH($A27,Segmentation!$A$2:$A$301,0))</f>
        <v>2</v>
      </c>
      <c r="L27" s="2" t="n">
        <f aca="false">INDEX(Segmentation!$Q$2:$Q$301,MATCH($A27,Segmentation!$A$2:$A$301,0))</f>
        <v>0</v>
      </c>
      <c r="M27" s="2" t="n">
        <f aca="false">INDEX(Segmentation!$W$2:$W$301,MATCH($A27,Segmentation!$A$2:$A$301,0))</f>
        <v>2</v>
      </c>
      <c r="N27" s="2" t="str">
        <f aca="false">INDEX(Segmentation!$AF$2:$AF$301,MATCH($A27,Segmentation!$A$2:$A$301,0))</f>
        <v>Existing Customer</v>
      </c>
      <c r="O27" s="2" t="n">
        <f aca="false">INDEX(Segmentation!$R$2:$R$301,MATCH($A27,Segmentation!$A$2:$A$301,0))</f>
        <v>1</v>
      </c>
      <c r="P27" s="2" t="n">
        <v>0</v>
      </c>
      <c r="Q27" s="2" t="n">
        <f aca="false">INDEX(Segmentation!$S$2:$S$301,MATCH($A27,Segmentation!$A$2:$A$301,0))</f>
        <v>2</v>
      </c>
      <c r="R27" s="2" t="n">
        <v>6</v>
      </c>
      <c r="S27" s="2" t="n">
        <v>0</v>
      </c>
      <c r="T27" s="2" t="n">
        <v>0</v>
      </c>
      <c r="U27" s="2" t="n">
        <v>2</v>
      </c>
      <c r="V27" s="2" t="n">
        <v>100</v>
      </c>
      <c r="W27" s="2" t="str">
        <f aca="false">IF(V27=100,"Bundle-only",IF(V27=0,"Handpick-only","Mixed"))</f>
        <v>Bundle-only</v>
      </c>
      <c r="X27" s="17" t="n">
        <f aca="false">L27/K27</f>
        <v>0</v>
      </c>
      <c r="Y27" s="9" t="n">
        <f aca="false">J27/K27</f>
        <v>2386</v>
      </c>
      <c r="Z27" s="10" t="b">
        <f aca="false">O27&gt;=Assumptions!$B$57</f>
        <v>0</v>
      </c>
      <c r="AA27" s="10" t="b">
        <f aca="false">P27&gt;=Assumptions!$B$58</f>
        <v>0</v>
      </c>
      <c r="AB27" s="10" t="b">
        <f aca="false">Q27&gt;=Assumptions!$B$59</f>
        <v>0</v>
      </c>
      <c r="AC27" s="2" t="n">
        <f aca="false">Z27*1+AA27*1+AB27*1</f>
        <v>0</v>
      </c>
      <c r="AD27" s="2" t="str">
        <f aca="false">IF(E27="Broker-Reliant","Broker-led, product-blind",IF(AND(I27="Low",F27&lt;&gt;"Tail",OR(G27="Declining",G27="Lapsed"),OR(O27&gt;=Assumptions!$B$60,P27&gt;=Assumptions!$B$61)),"Engaged but shrinking (Key/Core)",IF(AND(O27&gt;=Assumptions!$B$60,P27&gt;=Assumptions!$B$61,Q27&gt;=Assumptions!$B$62,K27&gt;=Assumptions!$B$63),"Independent browser-buyer",IF(AND(OR(O27&gt;=Assumptions!$B$60,P27&gt;=Assumptions!$B$61),K27&lt;=2),"Engaged, not converting",IF(AND(K27=1,O27&lt;Assumptions!$B$60,P27&lt;Assumptions!$B$61),"One-off low-touch buyer","Light-touch repeat buyer")))))</f>
        <v>Broker-led, product-blind</v>
      </c>
      <c r="AE27" s="10" t="b">
        <f aca="false">INDEX(Segmentation!$AW$2:$AW$301,MATCH($A27,Segmentation!$A$2:$A$301,0))</f>
        <v>0</v>
      </c>
    </row>
    <row r="28" customFormat="false" ht="15" hidden="false" customHeight="false" outlineLevel="0" collapsed="false">
      <c r="A28" s="2" t="s">
        <v>408</v>
      </c>
      <c r="B28" s="2" t="s">
        <v>1571</v>
      </c>
      <c r="C28" s="2" t="s">
        <v>1641</v>
      </c>
      <c r="D28" s="2" t="s">
        <v>1656</v>
      </c>
      <c r="E28" s="2" t="str">
        <f aca="false">INDEX(Segmentation!$H$2:$H$301,MATCH($A28,Segmentation!$A$2:$A$301,0))</f>
        <v>Broker-Reliant</v>
      </c>
      <c r="F28" s="2" t="str">
        <f aca="false">INDEX(Segmentation!$J$2:$J$301,MATCH($A28,Segmentation!$A$2:$A$301,0))</f>
        <v>Core</v>
      </c>
      <c r="G28" s="2" t="str">
        <f aca="false">INDEX(Segmentation!$N$2:$N$301,MATCH($A28,Segmentation!$A$2:$A$301,0))</f>
        <v>Stable</v>
      </c>
      <c r="H28" s="2" t="str">
        <f aca="false">INDEX(Segmentation!$T$2:$T$301,MATCH($A28,Segmentation!$A$2:$A$301,0))</f>
        <v>1. Migration Candidate</v>
      </c>
      <c r="I28" s="2" t="str">
        <f aca="false">INDEX(Segmentation!$G$2:$G$301,MATCH($A28,Segmentation!$A$2:$A$301,0))</f>
        <v>High</v>
      </c>
      <c r="J28" s="9" t="n">
        <f aca="false">INDEX(Segmentation!$I$2:$I$301,MATCH($A28,Segmentation!$A$2:$A$301,0))</f>
        <v>4678</v>
      </c>
      <c r="K28" s="2" t="n">
        <f aca="false">INDEX(Segmentation!$O$2:$O$301,MATCH($A28,Segmentation!$A$2:$A$301,0))</f>
        <v>25</v>
      </c>
      <c r="L28" s="2" t="n">
        <f aca="false">INDEX(Segmentation!$Q$2:$Q$301,MATCH($A28,Segmentation!$A$2:$A$301,0))</f>
        <v>7</v>
      </c>
      <c r="M28" s="2" t="n">
        <f aca="false">INDEX(Segmentation!$W$2:$W$301,MATCH($A28,Segmentation!$A$2:$A$301,0))</f>
        <v>5</v>
      </c>
      <c r="N28" s="2" t="str">
        <f aca="false">INDEX(Segmentation!$AF$2:$AF$301,MATCH($A28,Segmentation!$A$2:$A$301,0))</f>
        <v>Existing Customer</v>
      </c>
      <c r="O28" s="2" t="n">
        <f aca="false">INDEX(Segmentation!$R$2:$R$301,MATCH($A28,Segmentation!$A$2:$A$301,0))</f>
        <v>3</v>
      </c>
      <c r="P28" s="2" t="n">
        <v>14</v>
      </c>
      <c r="Q28" s="2" t="n">
        <f aca="false">INDEX(Segmentation!$S$2:$S$301,MATCH($A28,Segmentation!$A$2:$A$301,0))</f>
        <v>1</v>
      </c>
      <c r="R28" s="2" t="n">
        <v>4</v>
      </c>
      <c r="S28" s="2" t="n">
        <v>0</v>
      </c>
      <c r="T28" s="2" t="n">
        <v>0</v>
      </c>
      <c r="U28" s="2" t="n">
        <v>25</v>
      </c>
      <c r="V28" s="2" t="n">
        <v>100</v>
      </c>
      <c r="W28" s="2" t="str">
        <f aca="false">IF(V28=100,"Bundle-only",IF(V28=0,"Handpick-only","Mixed"))</f>
        <v>Bundle-only</v>
      </c>
      <c r="X28" s="17" t="n">
        <f aca="false">L28/K28</f>
        <v>0.28</v>
      </c>
      <c r="Y28" s="9" t="n">
        <f aca="false">J28/K28</f>
        <v>187.12</v>
      </c>
      <c r="Z28" s="10" t="b">
        <f aca="false">O28&gt;=Assumptions!$B$57</f>
        <v>0</v>
      </c>
      <c r="AA28" s="10" t="b">
        <f aca="false">P28&gt;=Assumptions!$B$58</f>
        <v>0</v>
      </c>
      <c r="AB28" s="10" t="b">
        <f aca="false">Q28&gt;=Assumptions!$B$59</f>
        <v>0</v>
      </c>
      <c r="AC28" s="2" t="n">
        <f aca="false">Z28*1+AA28*1+AB28*1</f>
        <v>0</v>
      </c>
      <c r="AD28" s="2" t="str">
        <f aca="false">IF(E28="Broker-Reliant","Broker-led, product-blind",IF(AND(I28="Low",F28&lt;&gt;"Tail",OR(G28="Declining",G28="Lapsed"),OR(O28&gt;=Assumptions!$B$60,P28&gt;=Assumptions!$B$61)),"Engaged but shrinking (Key/Core)",IF(AND(O28&gt;=Assumptions!$B$60,P28&gt;=Assumptions!$B$61,Q28&gt;=Assumptions!$B$62,K28&gt;=Assumptions!$B$63),"Independent browser-buyer",IF(AND(OR(O28&gt;=Assumptions!$B$60,P28&gt;=Assumptions!$B$61),K28&lt;=2),"Engaged, not converting",IF(AND(K28=1,O28&lt;Assumptions!$B$60,P28&lt;Assumptions!$B$61),"One-off low-touch buyer","Light-touch repeat buyer")))))</f>
        <v>Broker-led, product-blind</v>
      </c>
      <c r="AE28" s="10" t="b">
        <f aca="false">INDEX(Segmentation!$AW$2:$AW$301,MATCH($A28,Segmentation!$A$2:$A$301,0))</f>
        <v>0</v>
      </c>
    </row>
    <row r="29" customFormat="false" ht="15" hidden="false" customHeight="false" outlineLevel="0" collapsed="false">
      <c r="A29" s="2" t="s">
        <v>222</v>
      </c>
      <c r="B29" s="2" t="s">
        <v>1571</v>
      </c>
      <c r="C29" s="2" t="s">
        <v>1640</v>
      </c>
      <c r="D29" s="2" t="s">
        <v>1657</v>
      </c>
      <c r="E29" s="2" t="str">
        <f aca="false">INDEX(Segmentation!$H$2:$H$301,MATCH($A29,Segmentation!$A$2:$A$301,0))</f>
        <v>Broker-Reliant</v>
      </c>
      <c r="F29" s="2" t="str">
        <f aca="false">INDEX(Segmentation!$J$2:$J$301,MATCH($A29,Segmentation!$A$2:$A$301,0))</f>
        <v>Core</v>
      </c>
      <c r="G29" s="2" t="str">
        <f aca="false">INDEX(Segmentation!$N$2:$N$301,MATCH($A29,Segmentation!$A$2:$A$301,0))</f>
        <v>Declining</v>
      </c>
      <c r="H29" s="2" t="str">
        <f aca="false">INDEX(Segmentation!$T$2:$T$301,MATCH($A29,Segmentation!$A$2:$A$301,0))</f>
        <v>2. Protect / Retain First</v>
      </c>
      <c r="I29" s="2" t="str">
        <f aca="false">INDEX(Segmentation!$G$2:$G$301,MATCH($A29,Segmentation!$A$2:$A$301,0))</f>
        <v>High</v>
      </c>
      <c r="J29" s="9" t="n">
        <f aca="false">INDEX(Segmentation!$I$2:$I$301,MATCH($A29,Segmentation!$A$2:$A$301,0))</f>
        <v>4639</v>
      </c>
      <c r="K29" s="2" t="n">
        <f aca="false">INDEX(Segmentation!$O$2:$O$301,MATCH($A29,Segmentation!$A$2:$A$301,0))</f>
        <v>7</v>
      </c>
      <c r="L29" s="2" t="n">
        <f aca="false">INDEX(Segmentation!$Q$2:$Q$301,MATCH($A29,Segmentation!$A$2:$A$301,0))</f>
        <v>4</v>
      </c>
      <c r="M29" s="2" t="n">
        <f aca="false">INDEX(Segmentation!$W$2:$W$301,MATCH($A29,Segmentation!$A$2:$A$301,0))</f>
        <v>4</v>
      </c>
      <c r="N29" s="2" t="str">
        <f aca="false">INDEX(Segmentation!$AF$2:$AF$301,MATCH($A29,Segmentation!$A$2:$A$301,0))</f>
        <v>Existing Customer</v>
      </c>
      <c r="O29" s="2" t="n">
        <f aca="false">INDEX(Segmentation!$R$2:$R$301,MATCH($A29,Segmentation!$A$2:$A$301,0))</f>
        <v>4</v>
      </c>
      <c r="P29" s="2" t="n">
        <v>8</v>
      </c>
      <c r="Q29" s="2" t="n">
        <f aca="false">INDEX(Segmentation!$S$2:$S$301,MATCH($A29,Segmentation!$A$2:$A$301,0))</f>
        <v>1</v>
      </c>
      <c r="R29" s="2" t="n">
        <v>35</v>
      </c>
      <c r="S29" s="2" t="n">
        <v>0</v>
      </c>
      <c r="T29" s="2" t="n">
        <v>7</v>
      </c>
      <c r="U29" s="2" t="n">
        <v>0</v>
      </c>
      <c r="V29" s="2" t="n">
        <v>0</v>
      </c>
      <c r="W29" s="2" t="str">
        <f aca="false">IF(V29=100,"Bundle-only",IF(V29=0,"Handpick-only","Mixed"))</f>
        <v>Handpick-only</v>
      </c>
      <c r="X29" s="17" t="n">
        <f aca="false">L29/K29</f>
        <v>0.571428571428571</v>
      </c>
      <c r="Y29" s="9" t="n">
        <f aca="false">J29/K29</f>
        <v>662.714285714286</v>
      </c>
      <c r="Z29" s="10" t="b">
        <f aca="false">O29&gt;=Assumptions!$B$57</f>
        <v>0</v>
      </c>
      <c r="AA29" s="10" t="b">
        <f aca="false">P29&gt;=Assumptions!$B$58</f>
        <v>0</v>
      </c>
      <c r="AB29" s="10" t="b">
        <f aca="false">Q29&gt;=Assumptions!$B$59</f>
        <v>0</v>
      </c>
      <c r="AC29" s="2" t="n">
        <f aca="false">Z29*1+AA29*1+AB29*1</f>
        <v>0</v>
      </c>
      <c r="AD29" s="2" t="str">
        <f aca="false">IF(E29="Broker-Reliant","Broker-led, product-blind",IF(AND(I29="Low",F29&lt;&gt;"Tail",OR(G29="Declining",G29="Lapsed"),OR(O29&gt;=Assumptions!$B$60,P29&gt;=Assumptions!$B$61)),"Engaged but shrinking (Key/Core)",IF(AND(O29&gt;=Assumptions!$B$60,P29&gt;=Assumptions!$B$61,Q29&gt;=Assumptions!$B$62,K29&gt;=Assumptions!$B$63),"Independent browser-buyer",IF(AND(OR(O29&gt;=Assumptions!$B$60,P29&gt;=Assumptions!$B$61),K29&lt;=2),"Engaged, not converting",IF(AND(K29=1,O29&lt;Assumptions!$B$60,P29&lt;Assumptions!$B$61),"One-off low-touch buyer","Light-touch repeat buyer")))))</f>
        <v>Broker-led, product-blind</v>
      </c>
      <c r="AE29" s="10" t="b">
        <f aca="false">INDEX(Segmentation!$AW$2:$AW$301,MATCH($A29,Segmentation!$A$2:$A$301,0))</f>
        <v>0</v>
      </c>
    </row>
    <row r="30" customFormat="false" ht="15" hidden="false" customHeight="false" outlineLevel="0" collapsed="false">
      <c r="A30" s="2" t="s">
        <v>450</v>
      </c>
      <c r="B30" s="2" t="s">
        <v>1571</v>
      </c>
      <c r="C30" s="2" t="s">
        <v>1640</v>
      </c>
      <c r="D30" s="2" t="s">
        <v>1653</v>
      </c>
      <c r="E30" s="2" t="str">
        <f aca="false">INDEX(Segmentation!$H$2:$H$301,MATCH($A30,Segmentation!$A$2:$A$301,0))</f>
        <v>Broker-Reliant</v>
      </c>
      <c r="F30" s="2" t="str">
        <f aca="false">INDEX(Segmentation!$J$2:$J$301,MATCH($A30,Segmentation!$A$2:$A$301,0))</f>
        <v>Core</v>
      </c>
      <c r="G30" s="2" t="str">
        <f aca="false">INDEX(Segmentation!$N$2:$N$301,MATCH($A30,Segmentation!$A$2:$A$301,0))</f>
        <v>Growing</v>
      </c>
      <c r="H30" s="2" t="str">
        <f aca="false">INDEX(Segmentation!$T$2:$T$301,MATCH($A30,Segmentation!$A$2:$A$301,0))</f>
        <v>1. Migration Candidate</v>
      </c>
      <c r="I30" s="2" t="str">
        <f aca="false">INDEX(Segmentation!$G$2:$G$301,MATCH($A30,Segmentation!$A$2:$A$301,0))</f>
        <v>High</v>
      </c>
      <c r="J30" s="9" t="n">
        <f aca="false">INDEX(Segmentation!$I$2:$I$301,MATCH($A30,Segmentation!$A$2:$A$301,0))</f>
        <v>4513</v>
      </c>
      <c r="K30" s="2" t="n">
        <f aca="false">INDEX(Segmentation!$O$2:$O$301,MATCH($A30,Segmentation!$A$2:$A$301,0))</f>
        <v>5</v>
      </c>
      <c r="L30" s="2" t="n">
        <f aca="false">INDEX(Segmentation!$Q$2:$Q$301,MATCH($A30,Segmentation!$A$2:$A$301,0))</f>
        <v>1</v>
      </c>
      <c r="M30" s="2" t="n">
        <f aca="false">INDEX(Segmentation!$W$2:$W$301,MATCH($A30,Segmentation!$A$2:$A$301,0))</f>
        <v>4</v>
      </c>
      <c r="N30" s="2" t="str">
        <f aca="false">INDEX(Segmentation!$AF$2:$AF$301,MATCH($A30,Segmentation!$A$2:$A$301,0))</f>
        <v>Existing Customer</v>
      </c>
      <c r="O30" s="2" t="n">
        <f aca="false">INDEX(Segmentation!$R$2:$R$301,MATCH($A30,Segmentation!$A$2:$A$301,0))</f>
        <v>6</v>
      </c>
      <c r="P30" s="2" t="n">
        <v>10</v>
      </c>
      <c r="Q30" s="2" t="n">
        <f aca="false">INDEX(Segmentation!$S$2:$S$301,MATCH($A30,Segmentation!$A$2:$A$301,0))</f>
        <v>0</v>
      </c>
      <c r="R30" s="2" t="n">
        <v>3</v>
      </c>
      <c r="S30" s="2" t="n">
        <v>0</v>
      </c>
      <c r="T30" s="2" t="n">
        <v>2</v>
      </c>
      <c r="U30" s="2" t="n">
        <v>3</v>
      </c>
      <c r="V30" s="2" t="n">
        <v>58</v>
      </c>
      <c r="W30" s="2" t="str">
        <f aca="false">IF(V30=100,"Bundle-only",IF(V30=0,"Handpick-only","Mixed"))</f>
        <v>Mixed</v>
      </c>
      <c r="X30" s="17" t="n">
        <f aca="false">L30/K30</f>
        <v>0.2</v>
      </c>
      <c r="Y30" s="9" t="n">
        <f aca="false">J30/K30</f>
        <v>902.6</v>
      </c>
      <c r="Z30" s="10" t="b">
        <f aca="false">O30&gt;=Assumptions!$B$57</f>
        <v>0</v>
      </c>
      <c r="AA30" s="10" t="b">
        <f aca="false">P30&gt;=Assumptions!$B$58</f>
        <v>0</v>
      </c>
      <c r="AB30" s="10" t="b">
        <f aca="false">Q30&gt;=Assumptions!$B$59</f>
        <v>0</v>
      </c>
      <c r="AC30" s="2" t="n">
        <f aca="false">Z30*1+AA30*1+AB30*1</f>
        <v>0</v>
      </c>
      <c r="AD30" s="2" t="str">
        <f aca="false">IF(E30="Broker-Reliant","Broker-led, product-blind",IF(AND(I30="Low",F30&lt;&gt;"Tail",OR(G30="Declining",G30="Lapsed"),OR(O30&gt;=Assumptions!$B$60,P30&gt;=Assumptions!$B$61)),"Engaged but shrinking (Key/Core)",IF(AND(O30&gt;=Assumptions!$B$60,P30&gt;=Assumptions!$B$61,Q30&gt;=Assumptions!$B$62,K30&gt;=Assumptions!$B$63),"Independent browser-buyer",IF(AND(OR(O30&gt;=Assumptions!$B$60,P30&gt;=Assumptions!$B$61),K30&lt;=2),"Engaged, not converting",IF(AND(K30=1,O30&lt;Assumptions!$B$60,P30&lt;Assumptions!$B$61),"One-off low-touch buyer","Light-touch repeat buyer")))))</f>
        <v>Broker-led, product-blind</v>
      </c>
      <c r="AE30" s="10" t="b">
        <f aca="false">INDEX(Segmentation!$AW$2:$AW$301,MATCH($A30,Segmentation!$A$2:$A$301,0))</f>
        <v>0</v>
      </c>
    </row>
    <row r="31" customFormat="false" ht="15" hidden="false" customHeight="false" outlineLevel="0" collapsed="false">
      <c r="A31" s="2" t="s">
        <v>412</v>
      </c>
      <c r="B31" s="2" t="s">
        <v>1571</v>
      </c>
      <c r="C31" s="2" t="s">
        <v>1640</v>
      </c>
      <c r="D31" s="2" t="s">
        <v>1653</v>
      </c>
      <c r="E31" s="2" t="str">
        <f aca="false">INDEX(Segmentation!$H$2:$H$301,MATCH($A31,Segmentation!$A$2:$A$301,0))</f>
        <v>Broker-Reliant</v>
      </c>
      <c r="F31" s="2" t="str">
        <f aca="false">INDEX(Segmentation!$J$2:$J$301,MATCH($A31,Segmentation!$A$2:$A$301,0))</f>
        <v>Core</v>
      </c>
      <c r="G31" s="2" t="str">
        <f aca="false">INDEX(Segmentation!$N$2:$N$301,MATCH($A31,Segmentation!$A$2:$A$301,0))</f>
        <v>Growing</v>
      </c>
      <c r="H31" s="2" t="str">
        <f aca="false">INDEX(Segmentation!$T$2:$T$301,MATCH($A31,Segmentation!$A$2:$A$301,0))</f>
        <v>1. Migration Candidate</v>
      </c>
      <c r="I31" s="2" t="str">
        <f aca="false">INDEX(Segmentation!$G$2:$G$301,MATCH($A31,Segmentation!$A$2:$A$301,0))</f>
        <v>High</v>
      </c>
      <c r="J31" s="9" t="n">
        <f aca="false">INDEX(Segmentation!$I$2:$I$301,MATCH($A31,Segmentation!$A$2:$A$301,0))</f>
        <v>4415</v>
      </c>
      <c r="K31" s="2" t="n">
        <f aca="false">INDEX(Segmentation!$O$2:$O$301,MATCH($A31,Segmentation!$A$2:$A$301,0))</f>
        <v>5</v>
      </c>
      <c r="L31" s="2" t="n">
        <f aca="false">INDEX(Segmentation!$Q$2:$Q$301,MATCH($A31,Segmentation!$A$2:$A$301,0))</f>
        <v>2</v>
      </c>
      <c r="M31" s="2" t="n">
        <f aca="false">INDEX(Segmentation!$W$2:$W$301,MATCH($A31,Segmentation!$A$2:$A$301,0))</f>
        <v>4</v>
      </c>
      <c r="N31" s="2" t="str">
        <f aca="false">INDEX(Segmentation!$AF$2:$AF$301,MATCH($A31,Segmentation!$A$2:$A$301,0))</f>
        <v>Existing Customer</v>
      </c>
      <c r="O31" s="2" t="n">
        <f aca="false">INDEX(Segmentation!$R$2:$R$301,MATCH($A31,Segmentation!$A$2:$A$301,0))</f>
        <v>2</v>
      </c>
      <c r="P31" s="2" t="n">
        <v>2</v>
      </c>
      <c r="Q31" s="2" t="n">
        <f aca="false">INDEX(Segmentation!$S$2:$S$301,MATCH($A31,Segmentation!$A$2:$A$301,0))</f>
        <v>0</v>
      </c>
      <c r="R31" s="2" t="n">
        <v>15</v>
      </c>
      <c r="S31" s="2" t="n">
        <v>1</v>
      </c>
      <c r="T31" s="2" t="n">
        <v>1</v>
      </c>
      <c r="U31" s="2" t="n">
        <v>4</v>
      </c>
      <c r="V31" s="2" t="n">
        <v>24</v>
      </c>
      <c r="W31" s="2" t="str">
        <f aca="false">IF(V31=100,"Bundle-only",IF(V31=0,"Handpick-only","Mixed"))</f>
        <v>Mixed</v>
      </c>
      <c r="X31" s="17" t="n">
        <f aca="false">L31/K31</f>
        <v>0.4</v>
      </c>
      <c r="Y31" s="9" t="n">
        <f aca="false">J31/K31</f>
        <v>883</v>
      </c>
      <c r="Z31" s="10" t="b">
        <f aca="false">O31&gt;=Assumptions!$B$57</f>
        <v>0</v>
      </c>
      <c r="AA31" s="10" t="b">
        <f aca="false">P31&gt;=Assumptions!$B$58</f>
        <v>0</v>
      </c>
      <c r="AB31" s="10" t="b">
        <f aca="false">Q31&gt;=Assumptions!$B$59</f>
        <v>0</v>
      </c>
      <c r="AC31" s="2" t="n">
        <f aca="false">Z31*1+AA31*1+AB31*1</f>
        <v>0</v>
      </c>
      <c r="AD31" s="2" t="str">
        <f aca="false">IF(E31="Broker-Reliant","Broker-led, product-blind",IF(AND(I31="Low",F31&lt;&gt;"Tail",OR(G31="Declining",G31="Lapsed"),OR(O31&gt;=Assumptions!$B$60,P31&gt;=Assumptions!$B$61)),"Engaged but shrinking (Key/Core)",IF(AND(O31&gt;=Assumptions!$B$60,P31&gt;=Assumptions!$B$61,Q31&gt;=Assumptions!$B$62,K31&gt;=Assumptions!$B$63),"Independent browser-buyer",IF(AND(OR(O31&gt;=Assumptions!$B$60,P31&gt;=Assumptions!$B$61),K31&lt;=2),"Engaged, not converting",IF(AND(K31=1,O31&lt;Assumptions!$B$60,P31&lt;Assumptions!$B$61),"One-off low-touch buyer","Light-touch repeat buyer")))))</f>
        <v>Broker-led, product-blind</v>
      </c>
      <c r="AE31" s="10" t="b">
        <f aca="false">INDEX(Segmentation!$AW$2:$AW$301,MATCH($A31,Segmentation!$A$2:$A$301,0))</f>
        <v>0</v>
      </c>
    </row>
    <row r="32" customFormat="false" ht="15" hidden="false" customHeight="false" outlineLevel="0" collapsed="false">
      <c r="A32" s="2" t="s">
        <v>416</v>
      </c>
      <c r="B32" s="2" t="s">
        <v>1571</v>
      </c>
      <c r="C32" s="2" t="s">
        <v>1640</v>
      </c>
      <c r="D32" s="2" t="s">
        <v>1658</v>
      </c>
      <c r="E32" s="2" t="str">
        <f aca="false">INDEX(Segmentation!$H$2:$H$301,MATCH($A32,Segmentation!$A$2:$A$301,0))</f>
        <v>Broker-Reliant</v>
      </c>
      <c r="F32" s="2" t="str">
        <f aca="false">INDEX(Segmentation!$J$2:$J$301,MATCH($A32,Segmentation!$A$2:$A$301,0))</f>
        <v>Core</v>
      </c>
      <c r="G32" s="2" t="str">
        <f aca="false">INDEX(Segmentation!$N$2:$N$301,MATCH($A32,Segmentation!$A$2:$A$301,0))</f>
        <v>Growing</v>
      </c>
      <c r="H32" s="2" t="str">
        <f aca="false">INDEX(Segmentation!$T$2:$T$301,MATCH($A32,Segmentation!$A$2:$A$301,0))</f>
        <v>1. Migration Candidate</v>
      </c>
      <c r="I32" s="2" t="str">
        <f aca="false">INDEX(Segmentation!$G$2:$G$301,MATCH($A32,Segmentation!$A$2:$A$301,0))</f>
        <v>High</v>
      </c>
      <c r="J32" s="9" t="n">
        <f aca="false">INDEX(Segmentation!$I$2:$I$301,MATCH($A32,Segmentation!$A$2:$A$301,0))</f>
        <v>4372</v>
      </c>
      <c r="K32" s="2" t="n">
        <f aca="false">INDEX(Segmentation!$O$2:$O$301,MATCH($A32,Segmentation!$A$2:$A$301,0))</f>
        <v>8</v>
      </c>
      <c r="L32" s="2" t="n">
        <f aca="false">INDEX(Segmentation!$Q$2:$Q$301,MATCH($A32,Segmentation!$A$2:$A$301,0))</f>
        <v>2</v>
      </c>
      <c r="M32" s="2" t="n">
        <f aca="false">INDEX(Segmentation!$W$2:$W$301,MATCH($A32,Segmentation!$A$2:$A$301,0))</f>
        <v>3</v>
      </c>
      <c r="N32" s="2" t="str">
        <f aca="false">INDEX(Segmentation!$AF$2:$AF$301,MATCH($A32,Segmentation!$A$2:$A$301,0))</f>
        <v>Existing Customer</v>
      </c>
      <c r="O32" s="2" t="n">
        <f aca="false">INDEX(Segmentation!$R$2:$R$301,MATCH($A32,Segmentation!$A$2:$A$301,0))</f>
        <v>5</v>
      </c>
      <c r="P32" s="2" t="n">
        <v>1</v>
      </c>
      <c r="Q32" s="2" t="n">
        <f aca="false">INDEX(Segmentation!$S$2:$S$301,MATCH($A32,Segmentation!$A$2:$A$301,0))</f>
        <v>1</v>
      </c>
      <c r="R32" s="2" t="n">
        <v>34</v>
      </c>
      <c r="S32" s="2" t="n">
        <v>1</v>
      </c>
      <c r="T32" s="2" t="n">
        <v>5</v>
      </c>
      <c r="U32" s="2" t="n">
        <v>3</v>
      </c>
      <c r="V32" s="2" t="n">
        <v>45</v>
      </c>
      <c r="W32" s="2" t="str">
        <f aca="false">IF(V32=100,"Bundle-only",IF(V32=0,"Handpick-only","Mixed"))</f>
        <v>Mixed</v>
      </c>
      <c r="X32" s="17" t="n">
        <f aca="false">L32/K32</f>
        <v>0.25</v>
      </c>
      <c r="Y32" s="9" t="n">
        <f aca="false">J32/K32</f>
        <v>546.5</v>
      </c>
      <c r="Z32" s="10" t="b">
        <f aca="false">O32&gt;=Assumptions!$B$57</f>
        <v>0</v>
      </c>
      <c r="AA32" s="10" t="b">
        <f aca="false">P32&gt;=Assumptions!$B$58</f>
        <v>0</v>
      </c>
      <c r="AB32" s="10" t="b">
        <f aca="false">Q32&gt;=Assumptions!$B$59</f>
        <v>0</v>
      </c>
      <c r="AC32" s="2" t="n">
        <f aca="false">Z32*1+AA32*1+AB32*1</f>
        <v>0</v>
      </c>
      <c r="AD32" s="2" t="str">
        <f aca="false">IF(E32="Broker-Reliant","Broker-led, product-blind",IF(AND(I32="Low",F32&lt;&gt;"Tail",OR(G32="Declining",G32="Lapsed"),OR(O32&gt;=Assumptions!$B$60,P32&gt;=Assumptions!$B$61)),"Engaged but shrinking (Key/Core)",IF(AND(O32&gt;=Assumptions!$B$60,P32&gt;=Assumptions!$B$61,Q32&gt;=Assumptions!$B$62,K32&gt;=Assumptions!$B$63),"Independent browser-buyer",IF(AND(OR(O32&gt;=Assumptions!$B$60,P32&gt;=Assumptions!$B$61),K32&lt;=2),"Engaged, not converting",IF(AND(K32=1,O32&lt;Assumptions!$B$60,P32&lt;Assumptions!$B$61),"One-off low-touch buyer","Light-touch repeat buyer")))))</f>
        <v>Broker-led, product-blind</v>
      </c>
      <c r="AE32" s="10" t="b">
        <f aca="false">INDEX(Segmentation!$AW$2:$AW$301,MATCH($A32,Segmentation!$A$2:$A$301,0))</f>
        <v>0</v>
      </c>
    </row>
    <row r="33" customFormat="false" ht="15" hidden="false" customHeight="false" outlineLevel="0" collapsed="false">
      <c r="A33" s="2" t="s">
        <v>229</v>
      </c>
      <c r="B33" s="2" t="s">
        <v>1571</v>
      </c>
      <c r="C33" s="2" t="s">
        <v>1640</v>
      </c>
      <c r="D33" s="2" t="s">
        <v>1658</v>
      </c>
      <c r="E33" s="2" t="str">
        <f aca="false">INDEX(Segmentation!$H$2:$H$301,MATCH($A33,Segmentation!$A$2:$A$301,0))</f>
        <v>Broker-Reliant</v>
      </c>
      <c r="F33" s="2" t="str">
        <f aca="false">INDEX(Segmentation!$J$2:$J$301,MATCH($A33,Segmentation!$A$2:$A$301,0))</f>
        <v>Core</v>
      </c>
      <c r="G33" s="2" t="str">
        <f aca="false">INDEX(Segmentation!$N$2:$N$301,MATCH($A33,Segmentation!$A$2:$A$301,0))</f>
        <v>Lapsed</v>
      </c>
      <c r="H33" s="2" t="str">
        <f aca="false">INDEX(Segmentation!$T$2:$T$301,MATCH($A33,Segmentation!$A$2:$A$301,0))</f>
        <v>3. Win-Back / Verify</v>
      </c>
      <c r="I33" s="2" t="str">
        <f aca="false">INDEX(Segmentation!$G$2:$G$301,MATCH($A33,Segmentation!$A$2:$A$301,0))</f>
        <v>High</v>
      </c>
      <c r="J33" s="9" t="n">
        <f aca="false">INDEX(Segmentation!$I$2:$I$301,MATCH($A33,Segmentation!$A$2:$A$301,0))</f>
        <v>4179</v>
      </c>
      <c r="K33" s="2" t="n">
        <f aca="false">INDEX(Segmentation!$O$2:$O$301,MATCH($A33,Segmentation!$A$2:$A$301,0))</f>
        <v>2</v>
      </c>
      <c r="L33" s="2" t="n">
        <f aca="false">INDEX(Segmentation!$Q$2:$Q$301,MATCH($A33,Segmentation!$A$2:$A$301,0))</f>
        <v>0</v>
      </c>
      <c r="M33" s="2" t="n">
        <f aca="false">INDEX(Segmentation!$W$2:$W$301,MATCH($A33,Segmentation!$A$2:$A$301,0))</f>
        <v>2</v>
      </c>
      <c r="N33" s="2" t="str">
        <f aca="false">INDEX(Segmentation!$AF$2:$AF$301,MATCH($A33,Segmentation!$A$2:$A$301,0))</f>
        <v>Existing Customer</v>
      </c>
      <c r="O33" s="2" t="n">
        <f aca="false">INDEX(Segmentation!$R$2:$R$301,MATCH($A33,Segmentation!$A$2:$A$301,0))</f>
        <v>1</v>
      </c>
      <c r="P33" s="2" t="n">
        <v>10</v>
      </c>
      <c r="Q33" s="2" t="n">
        <f aca="false">INDEX(Segmentation!$S$2:$S$301,MATCH($A33,Segmentation!$A$2:$A$301,0))</f>
        <v>1</v>
      </c>
      <c r="R33" s="2" t="n">
        <v>64</v>
      </c>
      <c r="S33" s="2" t="n">
        <v>0</v>
      </c>
      <c r="T33" s="2" t="n">
        <v>2</v>
      </c>
      <c r="U33" s="2" t="n">
        <v>0</v>
      </c>
      <c r="V33" s="2" t="n">
        <v>0</v>
      </c>
      <c r="W33" s="2" t="str">
        <f aca="false">IF(V33=100,"Bundle-only",IF(V33=0,"Handpick-only","Mixed"))</f>
        <v>Handpick-only</v>
      </c>
      <c r="X33" s="17" t="n">
        <f aca="false">L33/K33</f>
        <v>0</v>
      </c>
      <c r="Y33" s="9" t="n">
        <f aca="false">J33/K33</f>
        <v>2089.5</v>
      </c>
      <c r="Z33" s="10" t="b">
        <f aca="false">O33&gt;=Assumptions!$B$57</f>
        <v>0</v>
      </c>
      <c r="AA33" s="10" t="b">
        <f aca="false">P33&gt;=Assumptions!$B$58</f>
        <v>0</v>
      </c>
      <c r="AB33" s="10" t="b">
        <f aca="false">Q33&gt;=Assumptions!$B$59</f>
        <v>0</v>
      </c>
      <c r="AC33" s="2" t="n">
        <f aca="false">Z33*1+AA33*1+AB33*1</f>
        <v>0</v>
      </c>
      <c r="AD33" s="2" t="str">
        <f aca="false">IF(E33="Broker-Reliant","Broker-led, product-blind",IF(AND(I33="Low",F33&lt;&gt;"Tail",OR(G33="Declining",G33="Lapsed"),OR(O33&gt;=Assumptions!$B$60,P33&gt;=Assumptions!$B$61)),"Engaged but shrinking (Key/Core)",IF(AND(O33&gt;=Assumptions!$B$60,P33&gt;=Assumptions!$B$61,Q33&gt;=Assumptions!$B$62,K33&gt;=Assumptions!$B$63),"Independent browser-buyer",IF(AND(OR(O33&gt;=Assumptions!$B$60,P33&gt;=Assumptions!$B$61),K33&lt;=2),"Engaged, not converting",IF(AND(K33=1,O33&lt;Assumptions!$B$60,P33&lt;Assumptions!$B$61),"One-off low-touch buyer","Light-touch repeat buyer")))))</f>
        <v>Broker-led, product-blind</v>
      </c>
      <c r="AE33" s="10" t="b">
        <f aca="false">INDEX(Segmentation!$AW$2:$AW$301,MATCH($A33,Segmentation!$A$2:$A$301,0))</f>
        <v>0</v>
      </c>
    </row>
    <row r="34" customFormat="false" ht="15" hidden="false" customHeight="false" outlineLevel="0" collapsed="false">
      <c r="A34" s="2" t="s">
        <v>419</v>
      </c>
      <c r="B34" s="2" t="s">
        <v>1571</v>
      </c>
      <c r="C34" s="2" t="s">
        <v>1640</v>
      </c>
      <c r="D34" s="2" t="s">
        <v>1657</v>
      </c>
      <c r="E34" s="2" t="str">
        <f aca="false">INDEX(Segmentation!$H$2:$H$301,MATCH($A34,Segmentation!$A$2:$A$301,0))</f>
        <v>Broker-Reliant</v>
      </c>
      <c r="F34" s="2" t="str">
        <f aca="false">INDEX(Segmentation!$J$2:$J$301,MATCH($A34,Segmentation!$A$2:$A$301,0))</f>
        <v>Core</v>
      </c>
      <c r="G34" s="2" t="str">
        <f aca="false">INDEX(Segmentation!$N$2:$N$301,MATCH($A34,Segmentation!$A$2:$A$301,0))</f>
        <v>Stable</v>
      </c>
      <c r="H34" s="2" t="str">
        <f aca="false">INDEX(Segmentation!$T$2:$T$301,MATCH($A34,Segmentation!$A$2:$A$301,0))</f>
        <v>1. Migration Candidate</v>
      </c>
      <c r="I34" s="2" t="str">
        <f aca="false">INDEX(Segmentation!$G$2:$G$301,MATCH($A34,Segmentation!$A$2:$A$301,0))</f>
        <v>Medium</v>
      </c>
      <c r="J34" s="9" t="n">
        <f aca="false">INDEX(Segmentation!$I$2:$I$301,MATCH($A34,Segmentation!$A$2:$A$301,0))</f>
        <v>3925</v>
      </c>
      <c r="K34" s="2" t="n">
        <f aca="false">INDEX(Segmentation!$O$2:$O$301,MATCH($A34,Segmentation!$A$2:$A$301,0))</f>
        <v>8</v>
      </c>
      <c r="L34" s="2" t="n">
        <f aca="false">INDEX(Segmentation!$Q$2:$Q$301,MATCH($A34,Segmentation!$A$2:$A$301,0))</f>
        <v>4</v>
      </c>
      <c r="M34" s="2" t="n">
        <f aca="false">INDEX(Segmentation!$W$2:$W$301,MATCH($A34,Segmentation!$A$2:$A$301,0))</f>
        <v>5</v>
      </c>
      <c r="N34" s="2" t="str">
        <f aca="false">INDEX(Segmentation!$AF$2:$AF$301,MATCH($A34,Segmentation!$A$2:$A$301,0))</f>
        <v>Existing Customer</v>
      </c>
      <c r="O34" s="2" t="n">
        <f aca="false">INDEX(Segmentation!$R$2:$R$301,MATCH($A34,Segmentation!$A$2:$A$301,0))</f>
        <v>2</v>
      </c>
      <c r="P34" s="2" t="n">
        <v>12</v>
      </c>
      <c r="Q34" s="2" t="n">
        <f aca="false">INDEX(Segmentation!$S$2:$S$301,MATCH($A34,Segmentation!$A$2:$A$301,0))</f>
        <v>2</v>
      </c>
      <c r="R34" s="2" t="n">
        <v>14</v>
      </c>
      <c r="S34" s="2" t="n">
        <v>0</v>
      </c>
      <c r="T34" s="2" t="n">
        <v>0</v>
      </c>
      <c r="U34" s="2" t="n">
        <v>8</v>
      </c>
      <c r="V34" s="2" t="n">
        <v>100</v>
      </c>
      <c r="W34" s="2" t="str">
        <f aca="false">IF(V34=100,"Bundle-only",IF(V34=0,"Handpick-only","Mixed"))</f>
        <v>Bundle-only</v>
      </c>
      <c r="X34" s="17" t="n">
        <f aca="false">L34/K34</f>
        <v>0.5</v>
      </c>
      <c r="Y34" s="9" t="n">
        <f aca="false">J34/K34</f>
        <v>490.625</v>
      </c>
      <c r="Z34" s="10" t="b">
        <f aca="false">O34&gt;=Assumptions!$B$57</f>
        <v>0</v>
      </c>
      <c r="AA34" s="10" t="b">
        <f aca="false">P34&gt;=Assumptions!$B$58</f>
        <v>0</v>
      </c>
      <c r="AB34" s="10" t="b">
        <f aca="false">Q34&gt;=Assumptions!$B$59</f>
        <v>0</v>
      </c>
      <c r="AC34" s="2" t="n">
        <f aca="false">Z34*1+AA34*1+AB34*1</f>
        <v>0</v>
      </c>
      <c r="AD34" s="2" t="str">
        <f aca="false">IF(E34="Broker-Reliant","Broker-led, product-blind",IF(AND(I34="Low",F34&lt;&gt;"Tail",OR(G34="Declining",G34="Lapsed"),OR(O34&gt;=Assumptions!$B$60,P34&gt;=Assumptions!$B$61)),"Engaged but shrinking (Key/Core)",IF(AND(O34&gt;=Assumptions!$B$60,P34&gt;=Assumptions!$B$61,Q34&gt;=Assumptions!$B$62,K34&gt;=Assumptions!$B$63),"Independent browser-buyer",IF(AND(OR(O34&gt;=Assumptions!$B$60,P34&gt;=Assumptions!$B$61),K34&lt;=2),"Engaged, not converting",IF(AND(K34=1,O34&lt;Assumptions!$B$60,P34&lt;Assumptions!$B$61),"One-off low-touch buyer","Light-touch repeat buyer")))))</f>
        <v>Broker-led, product-blind</v>
      </c>
      <c r="AE34" s="10" t="b">
        <f aca="false">INDEX(Segmentation!$AW$2:$AW$301,MATCH($A34,Segmentation!$A$2:$A$301,0))</f>
        <v>0</v>
      </c>
    </row>
    <row r="35" customFormat="false" ht="15" hidden="false" customHeight="false" outlineLevel="0" collapsed="false">
      <c r="A35" s="2" t="s">
        <v>458</v>
      </c>
      <c r="B35" s="2" t="s">
        <v>1571</v>
      </c>
      <c r="C35" s="2" t="s">
        <v>1640</v>
      </c>
      <c r="D35" s="2" t="s">
        <v>1655</v>
      </c>
      <c r="E35" s="2" t="str">
        <f aca="false">INDEX(Segmentation!$H$2:$H$301,MATCH($A35,Segmentation!$A$2:$A$301,0))</f>
        <v>Broker-Reliant</v>
      </c>
      <c r="F35" s="2" t="str">
        <f aca="false">INDEX(Segmentation!$J$2:$J$301,MATCH($A35,Segmentation!$A$2:$A$301,0))</f>
        <v>Core</v>
      </c>
      <c r="G35" s="2" t="str">
        <f aca="false">INDEX(Segmentation!$N$2:$N$301,MATCH($A35,Segmentation!$A$2:$A$301,0))</f>
        <v>Stable</v>
      </c>
      <c r="H35" s="2" t="str">
        <f aca="false">INDEX(Segmentation!$T$2:$T$301,MATCH($A35,Segmentation!$A$2:$A$301,0))</f>
        <v>1. Migration Candidate</v>
      </c>
      <c r="I35" s="2" t="str">
        <f aca="false">INDEX(Segmentation!$G$2:$G$301,MATCH($A35,Segmentation!$A$2:$A$301,0))</f>
        <v>High</v>
      </c>
      <c r="J35" s="9" t="n">
        <f aca="false">INDEX(Segmentation!$I$2:$I$301,MATCH($A35,Segmentation!$A$2:$A$301,0))</f>
        <v>3913</v>
      </c>
      <c r="K35" s="2" t="n">
        <f aca="false">INDEX(Segmentation!$O$2:$O$301,MATCH($A35,Segmentation!$A$2:$A$301,0))</f>
        <v>4</v>
      </c>
      <c r="L35" s="2" t="n">
        <f aca="false">INDEX(Segmentation!$Q$2:$Q$301,MATCH($A35,Segmentation!$A$2:$A$301,0))</f>
        <v>1</v>
      </c>
      <c r="M35" s="2" t="n">
        <f aca="false">INDEX(Segmentation!$W$2:$W$301,MATCH($A35,Segmentation!$A$2:$A$301,0))</f>
        <v>4</v>
      </c>
      <c r="N35" s="2" t="str">
        <f aca="false">INDEX(Segmentation!$AF$2:$AF$301,MATCH($A35,Segmentation!$A$2:$A$301,0))</f>
        <v>Existing Customer</v>
      </c>
      <c r="O35" s="2" t="n">
        <f aca="false">INDEX(Segmentation!$R$2:$R$301,MATCH($A35,Segmentation!$A$2:$A$301,0))</f>
        <v>5</v>
      </c>
      <c r="P35" s="2" t="n">
        <v>9</v>
      </c>
      <c r="Q35" s="2" t="n">
        <f aca="false">INDEX(Segmentation!$S$2:$S$301,MATCH($A35,Segmentation!$A$2:$A$301,0))</f>
        <v>1</v>
      </c>
      <c r="R35" s="2" t="n">
        <v>76</v>
      </c>
      <c r="S35" s="2" t="n">
        <v>0</v>
      </c>
      <c r="T35" s="2" t="n">
        <v>4</v>
      </c>
      <c r="U35" s="2" t="n">
        <v>0</v>
      </c>
      <c r="V35" s="2" t="n">
        <v>0</v>
      </c>
      <c r="W35" s="2" t="str">
        <f aca="false">IF(V35=100,"Bundle-only",IF(V35=0,"Handpick-only","Mixed"))</f>
        <v>Handpick-only</v>
      </c>
      <c r="X35" s="17" t="n">
        <f aca="false">L35/K35</f>
        <v>0.25</v>
      </c>
      <c r="Y35" s="9" t="n">
        <f aca="false">J35/K35</f>
        <v>978.25</v>
      </c>
      <c r="Z35" s="10" t="b">
        <f aca="false">O35&gt;=Assumptions!$B$57</f>
        <v>0</v>
      </c>
      <c r="AA35" s="10" t="b">
        <f aca="false">P35&gt;=Assumptions!$B$58</f>
        <v>0</v>
      </c>
      <c r="AB35" s="10" t="b">
        <f aca="false">Q35&gt;=Assumptions!$B$59</f>
        <v>0</v>
      </c>
      <c r="AC35" s="2" t="n">
        <f aca="false">Z35*1+AA35*1+AB35*1</f>
        <v>0</v>
      </c>
      <c r="AD35" s="2" t="str">
        <f aca="false">IF(E35="Broker-Reliant","Broker-led, product-blind",IF(AND(I35="Low",F35&lt;&gt;"Tail",OR(G35="Declining",G35="Lapsed"),OR(O35&gt;=Assumptions!$B$60,P35&gt;=Assumptions!$B$61)),"Engaged but shrinking (Key/Core)",IF(AND(O35&gt;=Assumptions!$B$60,P35&gt;=Assumptions!$B$61,Q35&gt;=Assumptions!$B$62,K35&gt;=Assumptions!$B$63),"Independent browser-buyer",IF(AND(OR(O35&gt;=Assumptions!$B$60,P35&gt;=Assumptions!$B$61),K35&lt;=2),"Engaged, not converting",IF(AND(K35=1,O35&lt;Assumptions!$B$60,P35&lt;Assumptions!$B$61),"One-off low-touch buyer","Light-touch repeat buyer")))))</f>
        <v>Broker-led, product-blind</v>
      </c>
      <c r="AE35" s="10" t="b">
        <f aca="false">INDEX(Segmentation!$AW$2:$AW$301,MATCH($A35,Segmentation!$A$2:$A$301,0))</f>
        <v>0</v>
      </c>
    </row>
    <row r="36" customFormat="false" ht="15" hidden="false" customHeight="false" outlineLevel="0" collapsed="false">
      <c r="A36" s="2" t="s">
        <v>235</v>
      </c>
      <c r="B36" s="2" t="s">
        <v>1571</v>
      </c>
      <c r="C36" s="2" t="s">
        <v>1640</v>
      </c>
      <c r="D36" s="2" t="s">
        <v>1653</v>
      </c>
      <c r="E36" s="2" t="str">
        <f aca="false">INDEX(Segmentation!$H$2:$H$301,MATCH($A36,Segmentation!$A$2:$A$301,0))</f>
        <v>Broker-Reliant</v>
      </c>
      <c r="F36" s="2" t="str">
        <f aca="false">INDEX(Segmentation!$J$2:$J$301,MATCH($A36,Segmentation!$A$2:$A$301,0))</f>
        <v>Core</v>
      </c>
      <c r="G36" s="2" t="str">
        <f aca="false">INDEX(Segmentation!$N$2:$N$301,MATCH($A36,Segmentation!$A$2:$A$301,0))</f>
        <v>Declining</v>
      </c>
      <c r="H36" s="2" t="str">
        <f aca="false">INDEX(Segmentation!$T$2:$T$301,MATCH($A36,Segmentation!$A$2:$A$301,0))</f>
        <v>2. Protect / Retain First</v>
      </c>
      <c r="I36" s="2" t="str">
        <f aca="false">INDEX(Segmentation!$G$2:$G$301,MATCH($A36,Segmentation!$A$2:$A$301,0))</f>
        <v>Medium</v>
      </c>
      <c r="J36" s="9" t="n">
        <f aca="false">INDEX(Segmentation!$I$2:$I$301,MATCH($A36,Segmentation!$A$2:$A$301,0))</f>
        <v>3906</v>
      </c>
      <c r="K36" s="2" t="n">
        <f aca="false">INDEX(Segmentation!$O$2:$O$301,MATCH($A36,Segmentation!$A$2:$A$301,0))</f>
        <v>5</v>
      </c>
      <c r="L36" s="2" t="n">
        <f aca="false">INDEX(Segmentation!$Q$2:$Q$301,MATCH($A36,Segmentation!$A$2:$A$301,0))</f>
        <v>2</v>
      </c>
      <c r="M36" s="2" t="n">
        <f aca="false">INDEX(Segmentation!$W$2:$W$301,MATCH($A36,Segmentation!$A$2:$A$301,0))</f>
        <v>3</v>
      </c>
      <c r="N36" s="2" t="str">
        <f aca="false">INDEX(Segmentation!$AF$2:$AF$301,MATCH($A36,Segmentation!$A$2:$A$301,0))</f>
        <v>Existing Customer</v>
      </c>
      <c r="O36" s="2" t="n">
        <f aca="false">INDEX(Segmentation!$R$2:$R$301,MATCH($A36,Segmentation!$A$2:$A$301,0))</f>
        <v>6</v>
      </c>
      <c r="P36" s="2" t="n">
        <v>11</v>
      </c>
      <c r="Q36" s="2" t="n">
        <f aca="false">INDEX(Segmentation!$S$2:$S$301,MATCH($A36,Segmentation!$A$2:$A$301,0))</f>
        <v>0</v>
      </c>
      <c r="R36" s="2" t="n">
        <v>86</v>
      </c>
      <c r="S36" s="2" t="n">
        <v>3</v>
      </c>
      <c r="T36" s="2" t="n">
        <v>5</v>
      </c>
      <c r="U36" s="2" t="n">
        <v>0</v>
      </c>
      <c r="V36" s="2" t="n">
        <v>0</v>
      </c>
      <c r="W36" s="2" t="str">
        <f aca="false">IF(V36=100,"Bundle-only",IF(V36=0,"Handpick-only","Mixed"))</f>
        <v>Handpick-only</v>
      </c>
      <c r="X36" s="17" t="n">
        <f aca="false">L36/K36</f>
        <v>0.4</v>
      </c>
      <c r="Y36" s="9" t="n">
        <f aca="false">J36/K36</f>
        <v>781.2</v>
      </c>
      <c r="Z36" s="10" t="b">
        <f aca="false">O36&gt;=Assumptions!$B$57</f>
        <v>0</v>
      </c>
      <c r="AA36" s="10" t="b">
        <f aca="false">P36&gt;=Assumptions!$B$58</f>
        <v>0</v>
      </c>
      <c r="AB36" s="10" t="b">
        <f aca="false">Q36&gt;=Assumptions!$B$59</f>
        <v>0</v>
      </c>
      <c r="AC36" s="2" t="n">
        <f aca="false">Z36*1+AA36*1+AB36*1</f>
        <v>0</v>
      </c>
      <c r="AD36" s="2" t="str">
        <f aca="false">IF(E36="Broker-Reliant","Broker-led, product-blind",IF(AND(I36="Low",F36&lt;&gt;"Tail",OR(G36="Declining",G36="Lapsed"),OR(O36&gt;=Assumptions!$B$60,P36&gt;=Assumptions!$B$61)),"Engaged but shrinking (Key/Core)",IF(AND(O36&gt;=Assumptions!$B$60,P36&gt;=Assumptions!$B$61,Q36&gt;=Assumptions!$B$62,K36&gt;=Assumptions!$B$63),"Independent browser-buyer",IF(AND(OR(O36&gt;=Assumptions!$B$60,P36&gt;=Assumptions!$B$61),K36&lt;=2),"Engaged, not converting",IF(AND(K36=1,O36&lt;Assumptions!$B$60,P36&lt;Assumptions!$B$61),"One-off low-touch buyer","Light-touch repeat buyer")))))</f>
        <v>Broker-led, product-blind</v>
      </c>
      <c r="AE36" s="10" t="b">
        <f aca="false">INDEX(Segmentation!$AW$2:$AW$301,MATCH($A36,Segmentation!$A$2:$A$301,0))</f>
        <v>0</v>
      </c>
    </row>
    <row r="37" customFormat="false" ht="15" hidden="false" customHeight="false" outlineLevel="0" collapsed="false">
      <c r="A37" s="2" t="s">
        <v>422</v>
      </c>
      <c r="B37" s="2" t="s">
        <v>1571</v>
      </c>
      <c r="C37" s="2" t="s">
        <v>1641</v>
      </c>
      <c r="D37" s="2" t="s">
        <v>1653</v>
      </c>
      <c r="E37" s="2" t="str">
        <f aca="false">INDEX(Segmentation!$H$2:$H$301,MATCH($A37,Segmentation!$A$2:$A$301,0))</f>
        <v>Broker-Reliant</v>
      </c>
      <c r="F37" s="2" t="str">
        <f aca="false">INDEX(Segmentation!$J$2:$J$301,MATCH($A37,Segmentation!$A$2:$A$301,0))</f>
        <v>Core</v>
      </c>
      <c r="G37" s="2" t="str">
        <f aca="false">INDEX(Segmentation!$N$2:$N$301,MATCH($A37,Segmentation!$A$2:$A$301,0))</f>
        <v>Growing</v>
      </c>
      <c r="H37" s="2" t="str">
        <f aca="false">INDEX(Segmentation!$T$2:$T$301,MATCH($A37,Segmentation!$A$2:$A$301,0))</f>
        <v>1. Migration Candidate</v>
      </c>
      <c r="I37" s="2" t="str">
        <f aca="false">INDEX(Segmentation!$G$2:$G$301,MATCH($A37,Segmentation!$A$2:$A$301,0))</f>
        <v>High</v>
      </c>
      <c r="J37" s="9" t="n">
        <f aca="false">INDEX(Segmentation!$I$2:$I$301,MATCH($A37,Segmentation!$A$2:$A$301,0))</f>
        <v>3879</v>
      </c>
      <c r="K37" s="2" t="n">
        <f aca="false">INDEX(Segmentation!$O$2:$O$301,MATCH($A37,Segmentation!$A$2:$A$301,0))</f>
        <v>37</v>
      </c>
      <c r="L37" s="2" t="n">
        <f aca="false">INDEX(Segmentation!$Q$2:$Q$301,MATCH($A37,Segmentation!$A$2:$A$301,0))</f>
        <v>9</v>
      </c>
      <c r="M37" s="2" t="n">
        <f aca="false">INDEX(Segmentation!$W$2:$W$301,MATCH($A37,Segmentation!$A$2:$A$301,0))</f>
        <v>2</v>
      </c>
      <c r="N37" s="2" t="str">
        <f aca="false">INDEX(Segmentation!$AF$2:$AF$301,MATCH($A37,Segmentation!$A$2:$A$301,0))</f>
        <v>Existing Customer</v>
      </c>
      <c r="O37" s="2" t="n">
        <f aca="false">INDEX(Segmentation!$R$2:$R$301,MATCH($A37,Segmentation!$A$2:$A$301,0))</f>
        <v>6</v>
      </c>
      <c r="P37" s="2" t="n">
        <v>2</v>
      </c>
      <c r="Q37" s="2" t="n">
        <f aca="false">INDEX(Segmentation!$S$2:$S$301,MATCH($A37,Segmentation!$A$2:$A$301,0))</f>
        <v>1</v>
      </c>
      <c r="R37" s="2" t="n">
        <v>22</v>
      </c>
      <c r="S37" s="2" t="n">
        <v>0</v>
      </c>
      <c r="T37" s="2" t="n">
        <v>3</v>
      </c>
      <c r="U37" s="2" t="n">
        <v>34</v>
      </c>
      <c r="V37" s="2" t="n">
        <v>90</v>
      </c>
      <c r="W37" s="2" t="str">
        <f aca="false">IF(V37=100,"Bundle-only",IF(V37=0,"Handpick-only","Mixed"))</f>
        <v>Mixed</v>
      </c>
      <c r="X37" s="17" t="n">
        <f aca="false">L37/K37</f>
        <v>0.243243243243243</v>
      </c>
      <c r="Y37" s="9" t="n">
        <f aca="false">J37/K37</f>
        <v>104.837837837838</v>
      </c>
      <c r="Z37" s="10" t="b">
        <f aca="false">O37&gt;=Assumptions!$B$57</f>
        <v>0</v>
      </c>
      <c r="AA37" s="10" t="b">
        <f aca="false">P37&gt;=Assumptions!$B$58</f>
        <v>0</v>
      </c>
      <c r="AB37" s="10" t="b">
        <f aca="false">Q37&gt;=Assumptions!$B$59</f>
        <v>0</v>
      </c>
      <c r="AC37" s="2" t="n">
        <f aca="false">Z37*1+AA37*1+AB37*1</f>
        <v>0</v>
      </c>
      <c r="AD37" s="2" t="str">
        <f aca="false">IF(E37="Broker-Reliant","Broker-led, product-blind",IF(AND(I37="Low",F37&lt;&gt;"Tail",OR(G37="Declining",G37="Lapsed"),OR(O37&gt;=Assumptions!$B$60,P37&gt;=Assumptions!$B$61)),"Engaged but shrinking (Key/Core)",IF(AND(O37&gt;=Assumptions!$B$60,P37&gt;=Assumptions!$B$61,Q37&gt;=Assumptions!$B$62,K37&gt;=Assumptions!$B$63),"Independent browser-buyer",IF(AND(OR(O37&gt;=Assumptions!$B$60,P37&gt;=Assumptions!$B$61),K37&lt;=2),"Engaged, not converting",IF(AND(K37=1,O37&lt;Assumptions!$B$60,P37&lt;Assumptions!$B$61),"One-off low-touch buyer","Light-touch repeat buyer")))))</f>
        <v>Broker-led, product-blind</v>
      </c>
      <c r="AE37" s="10" t="b">
        <f aca="false">INDEX(Segmentation!$AW$2:$AW$301,MATCH($A37,Segmentation!$A$2:$A$301,0))</f>
        <v>0</v>
      </c>
    </row>
    <row r="38" customFormat="false" ht="15" hidden="false" customHeight="false" outlineLevel="0" collapsed="false">
      <c r="A38" s="2" t="s">
        <v>239</v>
      </c>
      <c r="B38" s="2" t="s">
        <v>1571</v>
      </c>
      <c r="C38" s="2" t="s">
        <v>1640</v>
      </c>
      <c r="D38" s="2" t="s">
        <v>1657</v>
      </c>
      <c r="E38" s="2" t="str">
        <f aca="false">INDEX(Segmentation!$H$2:$H$301,MATCH($A38,Segmentation!$A$2:$A$301,0))</f>
        <v>Broker-Reliant</v>
      </c>
      <c r="F38" s="2" t="str">
        <f aca="false">INDEX(Segmentation!$J$2:$J$301,MATCH($A38,Segmentation!$A$2:$A$301,0))</f>
        <v>Core</v>
      </c>
      <c r="G38" s="2" t="str">
        <f aca="false">INDEX(Segmentation!$N$2:$N$301,MATCH($A38,Segmentation!$A$2:$A$301,0))</f>
        <v>Declining</v>
      </c>
      <c r="H38" s="2" t="str">
        <f aca="false">INDEX(Segmentation!$T$2:$T$301,MATCH($A38,Segmentation!$A$2:$A$301,0))</f>
        <v>2. Protect / Retain First</v>
      </c>
      <c r="I38" s="2" t="str">
        <f aca="false">INDEX(Segmentation!$G$2:$G$301,MATCH($A38,Segmentation!$A$2:$A$301,0))</f>
        <v>High</v>
      </c>
      <c r="J38" s="9" t="n">
        <f aca="false">INDEX(Segmentation!$I$2:$I$301,MATCH($A38,Segmentation!$A$2:$A$301,0))</f>
        <v>3863</v>
      </c>
      <c r="K38" s="2" t="n">
        <f aca="false">INDEX(Segmentation!$O$2:$O$301,MATCH($A38,Segmentation!$A$2:$A$301,0))</f>
        <v>7</v>
      </c>
      <c r="L38" s="2" t="n">
        <f aca="false">INDEX(Segmentation!$Q$2:$Q$301,MATCH($A38,Segmentation!$A$2:$A$301,0))</f>
        <v>1</v>
      </c>
      <c r="M38" s="2" t="n">
        <f aca="false">INDEX(Segmentation!$W$2:$W$301,MATCH($A38,Segmentation!$A$2:$A$301,0))</f>
        <v>4</v>
      </c>
      <c r="N38" s="2" t="str">
        <f aca="false">INDEX(Segmentation!$AF$2:$AF$301,MATCH($A38,Segmentation!$A$2:$A$301,0))</f>
        <v>Existing Customer</v>
      </c>
      <c r="O38" s="2" t="n">
        <f aca="false">INDEX(Segmentation!$R$2:$R$301,MATCH($A38,Segmentation!$A$2:$A$301,0))</f>
        <v>2</v>
      </c>
      <c r="P38" s="2" t="n">
        <v>8</v>
      </c>
      <c r="Q38" s="2" t="n">
        <f aca="false">INDEX(Segmentation!$S$2:$S$301,MATCH($A38,Segmentation!$A$2:$A$301,0))</f>
        <v>1</v>
      </c>
      <c r="R38" s="2" t="n">
        <v>55</v>
      </c>
      <c r="S38" s="2" t="n">
        <v>0</v>
      </c>
      <c r="T38" s="2" t="n">
        <v>4</v>
      </c>
      <c r="U38" s="2" t="n">
        <v>3</v>
      </c>
      <c r="V38" s="2" t="n">
        <v>20</v>
      </c>
      <c r="W38" s="2" t="str">
        <f aca="false">IF(V38=100,"Bundle-only",IF(V38=0,"Handpick-only","Mixed"))</f>
        <v>Mixed</v>
      </c>
      <c r="X38" s="17" t="n">
        <f aca="false">L38/K38</f>
        <v>0.142857142857143</v>
      </c>
      <c r="Y38" s="9" t="n">
        <f aca="false">J38/K38</f>
        <v>551.857142857143</v>
      </c>
      <c r="Z38" s="10" t="b">
        <f aca="false">O38&gt;=Assumptions!$B$57</f>
        <v>0</v>
      </c>
      <c r="AA38" s="10" t="b">
        <f aca="false">P38&gt;=Assumptions!$B$58</f>
        <v>0</v>
      </c>
      <c r="AB38" s="10" t="b">
        <f aca="false">Q38&gt;=Assumptions!$B$59</f>
        <v>0</v>
      </c>
      <c r="AC38" s="2" t="n">
        <f aca="false">Z38*1+AA38*1+AB38*1</f>
        <v>0</v>
      </c>
      <c r="AD38" s="2" t="str">
        <f aca="false">IF(E38="Broker-Reliant","Broker-led, product-blind",IF(AND(I38="Low",F38&lt;&gt;"Tail",OR(G38="Declining",G38="Lapsed"),OR(O38&gt;=Assumptions!$B$60,P38&gt;=Assumptions!$B$61)),"Engaged but shrinking (Key/Core)",IF(AND(O38&gt;=Assumptions!$B$60,P38&gt;=Assumptions!$B$61,Q38&gt;=Assumptions!$B$62,K38&gt;=Assumptions!$B$63),"Independent browser-buyer",IF(AND(OR(O38&gt;=Assumptions!$B$60,P38&gt;=Assumptions!$B$61),K38&lt;=2),"Engaged, not converting",IF(AND(K38=1,O38&lt;Assumptions!$B$60,P38&lt;Assumptions!$B$61),"One-off low-touch buyer","Light-touch repeat buyer")))))</f>
        <v>Broker-led, product-blind</v>
      </c>
      <c r="AE38" s="10" t="b">
        <f aca="false">INDEX(Segmentation!$AW$2:$AW$301,MATCH($A38,Segmentation!$A$2:$A$301,0))</f>
        <v>0</v>
      </c>
    </row>
    <row r="39" customFormat="false" ht="15" hidden="false" customHeight="false" outlineLevel="0" collapsed="false">
      <c r="A39" s="2" t="s">
        <v>242</v>
      </c>
      <c r="B39" s="2" t="s">
        <v>1571</v>
      </c>
      <c r="C39" s="2" t="s">
        <v>1641</v>
      </c>
      <c r="D39" s="2" t="s">
        <v>1653</v>
      </c>
      <c r="E39" s="2" t="str">
        <f aca="false">INDEX(Segmentation!$H$2:$H$301,MATCH($A39,Segmentation!$A$2:$A$301,0))</f>
        <v>AM-Owned / Self-Serving</v>
      </c>
      <c r="F39" s="2" t="str">
        <f aca="false">INDEX(Segmentation!$J$2:$J$301,MATCH($A39,Segmentation!$A$2:$A$301,0))</f>
        <v>Core</v>
      </c>
      <c r="G39" s="2" t="str">
        <f aca="false">INDEX(Segmentation!$N$2:$N$301,MATCH($A39,Segmentation!$A$2:$A$301,0))</f>
        <v>Lapsed</v>
      </c>
      <c r="H39" s="2" t="str">
        <f aca="false">INDEX(Segmentation!$T$2:$T$301,MATCH($A39,Segmentation!$A$2:$A$301,0))</f>
        <v>8. Retention / Reactivation</v>
      </c>
      <c r="I39" s="2" t="str">
        <f aca="false">INDEX(Segmentation!$G$2:$G$301,MATCH($A39,Segmentation!$A$2:$A$301,0))</f>
        <v>Low</v>
      </c>
      <c r="J39" s="9" t="n">
        <f aca="false">INDEX(Segmentation!$I$2:$I$301,MATCH($A39,Segmentation!$A$2:$A$301,0))</f>
        <v>3702</v>
      </c>
      <c r="K39" s="2" t="n">
        <f aca="false">INDEX(Segmentation!$O$2:$O$301,MATCH($A39,Segmentation!$A$2:$A$301,0))</f>
        <v>2</v>
      </c>
      <c r="L39" s="2" t="n">
        <f aca="false">INDEX(Segmentation!$Q$2:$Q$301,MATCH($A39,Segmentation!$A$2:$A$301,0))</f>
        <v>2</v>
      </c>
      <c r="M39" s="2" t="n">
        <f aca="false">INDEX(Segmentation!$W$2:$W$301,MATCH($A39,Segmentation!$A$2:$A$301,0))</f>
        <v>2</v>
      </c>
      <c r="N39" s="2" t="str">
        <f aca="false">INDEX(Segmentation!$AF$2:$AF$301,MATCH($A39,Segmentation!$A$2:$A$301,0))</f>
        <v>Existing Customer</v>
      </c>
      <c r="O39" s="2" t="n">
        <f aca="false">INDEX(Segmentation!$R$2:$R$301,MATCH($A39,Segmentation!$A$2:$A$301,0))</f>
        <v>16</v>
      </c>
      <c r="P39" s="2" t="n">
        <v>78</v>
      </c>
      <c r="Q39" s="2" t="n">
        <f aca="false">INDEX(Segmentation!$S$2:$S$301,MATCH($A39,Segmentation!$A$2:$A$301,0))</f>
        <v>2</v>
      </c>
      <c r="R39" s="2" t="n">
        <v>37</v>
      </c>
      <c r="S39" s="2" t="n">
        <v>0</v>
      </c>
      <c r="T39" s="2" t="n">
        <v>2</v>
      </c>
      <c r="U39" s="2" t="n">
        <v>0</v>
      </c>
      <c r="V39" s="2" t="n">
        <v>0</v>
      </c>
      <c r="W39" s="2" t="str">
        <f aca="false">IF(V39=100,"Bundle-only",IF(V39=0,"Handpick-only","Mixed"))</f>
        <v>Handpick-only</v>
      </c>
      <c r="X39" s="17" t="n">
        <f aca="false">L39/K39</f>
        <v>1</v>
      </c>
      <c r="Y39" s="9" t="n">
        <f aca="false">J39/K39</f>
        <v>1851</v>
      </c>
      <c r="Z39" s="10" t="b">
        <f aca="false">O39&gt;=Assumptions!$B$57</f>
        <v>1</v>
      </c>
      <c r="AA39" s="10" t="b">
        <f aca="false">P39&gt;=Assumptions!$B$58</f>
        <v>1</v>
      </c>
      <c r="AB39" s="10" t="b">
        <f aca="false">Q39&gt;=Assumptions!$B$59</f>
        <v>0</v>
      </c>
      <c r="AC39" s="2" t="n">
        <f aca="false">Z39*1+AA39*1+AB39*1</f>
        <v>2</v>
      </c>
      <c r="AD39" s="2" t="str">
        <f aca="false">IF(E39="Broker-Reliant","Broker-led, product-blind",IF(AND(I39="Low",F39&lt;&gt;"Tail",OR(G39="Declining",G39="Lapsed"),OR(O39&gt;=Assumptions!$B$60,P39&gt;=Assumptions!$B$61)),"Engaged but shrinking (Key/Core)",IF(AND(O39&gt;=Assumptions!$B$60,P39&gt;=Assumptions!$B$61,Q39&gt;=Assumptions!$B$62,K39&gt;=Assumptions!$B$63),"Independent browser-buyer",IF(AND(OR(O39&gt;=Assumptions!$B$60,P39&gt;=Assumptions!$B$61),K39&lt;=2),"Engaged, not converting",IF(AND(K39=1,O39&lt;Assumptions!$B$60,P39&lt;Assumptions!$B$61),"One-off low-touch buyer","Light-touch repeat buyer")))))</f>
        <v>Light-touch repeat buyer</v>
      </c>
      <c r="AE39" s="10" t="b">
        <f aca="false">INDEX(Segmentation!$AW$2:$AW$301,MATCH($A39,Segmentation!$A$2:$A$301,0))</f>
        <v>0</v>
      </c>
    </row>
    <row r="40" customFormat="false" ht="15" hidden="false" customHeight="false" outlineLevel="0" collapsed="false">
      <c r="A40" s="2" t="s">
        <v>462</v>
      </c>
      <c r="B40" s="2" t="s">
        <v>1571</v>
      </c>
      <c r="C40" s="2" t="s">
        <v>1640</v>
      </c>
      <c r="D40" s="2" t="s">
        <v>1658</v>
      </c>
      <c r="E40" s="2" t="str">
        <f aca="false">INDEX(Segmentation!$H$2:$H$301,MATCH($A40,Segmentation!$A$2:$A$301,0))</f>
        <v>Broker-Reliant</v>
      </c>
      <c r="F40" s="2" t="str">
        <f aca="false">INDEX(Segmentation!$J$2:$J$301,MATCH($A40,Segmentation!$A$2:$A$301,0))</f>
        <v>Core</v>
      </c>
      <c r="G40" s="2" t="str">
        <f aca="false">INDEX(Segmentation!$N$2:$N$301,MATCH($A40,Segmentation!$A$2:$A$301,0))</f>
        <v>Growing</v>
      </c>
      <c r="H40" s="2" t="str">
        <f aca="false">INDEX(Segmentation!$T$2:$T$301,MATCH($A40,Segmentation!$A$2:$A$301,0))</f>
        <v>1. Migration Candidate</v>
      </c>
      <c r="I40" s="2" t="str">
        <f aca="false">INDEX(Segmentation!$G$2:$G$301,MATCH($A40,Segmentation!$A$2:$A$301,0))</f>
        <v>High</v>
      </c>
      <c r="J40" s="9" t="n">
        <f aca="false">INDEX(Segmentation!$I$2:$I$301,MATCH($A40,Segmentation!$A$2:$A$301,0))</f>
        <v>3626</v>
      </c>
      <c r="K40" s="2" t="n">
        <f aca="false">INDEX(Segmentation!$O$2:$O$301,MATCH($A40,Segmentation!$A$2:$A$301,0))</f>
        <v>4</v>
      </c>
      <c r="L40" s="2" t="n">
        <f aca="false">INDEX(Segmentation!$Q$2:$Q$301,MATCH($A40,Segmentation!$A$2:$A$301,0))</f>
        <v>1</v>
      </c>
      <c r="M40" s="2" t="n">
        <f aca="false">INDEX(Segmentation!$W$2:$W$301,MATCH($A40,Segmentation!$A$2:$A$301,0))</f>
        <v>3</v>
      </c>
      <c r="N40" s="2" t="str">
        <f aca="false">INDEX(Segmentation!$AF$2:$AF$301,MATCH($A40,Segmentation!$A$2:$A$301,0))</f>
        <v>Existing Customer</v>
      </c>
      <c r="O40" s="2" t="n">
        <f aca="false">INDEX(Segmentation!$R$2:$R$301,MATCH($A40,Segmentation!$A$2:$A$301,0))</f>
        <v>5</v>
      </c>
      <c r="P40" s="2" t="n">
        <v>11</v>
      </c>
      <c r="Q40" s="2" t="n">
        <f aca="false">INDEX(Segmentation!$S$2:$S$301,MATCH($A40,Segmentation!$A$2:$A$301,0))</f>
        <v>1</v>
      </c>
      <c r="R40" s="2" t="n">
        <v>159</v>
      </c>
      <c r="S40" s="2" t="n">
        <v>1</v>
      </c>
      <c r="T40" s="2" t="n">
        <v>2</v>
      </c>
      <c r="U40" s="2" t="n">
        <v>3</v>
      </c>
      <c r="V40" s="2" t="n">
        <v>31</v>
      </c>
      <c r="W40" s="2" t="str">
        <f aca="false">IF(V40=100,"Bundle-only",IF(V40=0,"Handpick-only","Mixed"))</f>
        <v>Mixed</v>
      </c>
      <c r="X40" s="17" t="n">
        <f aca="false">L40/K40</f>
        <v>0.25</v>
      </c>
      <c r="Y40" s="9" t="n">
        <f aca="false">J40/K40</f>
        <v>906.5</v>
      </c>
      <c r="Z40" s="10" t="b">
        <f aca="false">O40&gt;=Assumptions!$B$57</f>
        <v>0</v>
      </c>
      <c r="AA40" s="10" t="b">
        <f aca="false">P40&gt;=Assumptions!$B$58</f>
        <v>0</v>
      </c>
      <c r="AB40" s="10" t="b">
        <f aca="false">Q40&gt;=Assumptions!$B$59</f>
        <v>0</v>
      </c>
      <c r="AC40" s="2" t="n">
        <f aca="false">Z40*1+AA40*1+AB40*1</f>
        <v>0</v>
      </c>
      <c r="AD40" s="2" t="str">
        <f aca="false">IF(E40="Broker-Reliant","Broker-led, product-blind",IF(AND(I40="Low",F40&lt;&gt;"Tail",OR(G40="Declining",G40="Lapsed"),OR(O40&gt;=Assumptions!$B$60,P40&gt;=Assumptions!$B$61)),"Engaged but shrinking (Key/Core)",IF(AND(O40&gt;=Assumptions!$B$60,P40&gt;=Assumptions!$B$61,Q40&gt;=Assumptions!$B$62,K40&gt;=Assumptions!$B$63),"Independent browser-buyer",IF(AND(OR(O40&gt;=Assumptions!$B$60,P40&gt;=Assumptions!$B$61),K40&lt;=2),"Engaged, not converting",IF(AND(K40=1,O40&lt;Assumptions!$B$60,P40&lt;Assumptions!$B$61),"One-off low-touch buyer","Light-touch repeat buyer")))))</f>
        <v>Broker-led, product-blind</v>
      </c>
      <c r="AE40" s="10" t="b">
        <f aca="false">INDEX(Segmentation!$AW$2:$AW$301,MATCH($A40,Segmentation!$A$2:$A$301,0))</f>
        <v>0</v>
      </c>
    </row>
    <row r="41" customFormat="false" ht="15" hidden="false" customHeight="false" outlineLevel="0" collapsed="false">
      <c r="A41" s="2" t="s">
        <v>245</v>
      </c>
      <c r="B41" s="2" t="s">
        <v>1571</v>
      </c>
      <c r="C41" s="2" t="s">
        <v>1640</v>
      </c>
      <c r="D41" s="2" t="s">
        <v>1654</v>
      </c>
      <c r="E41" s="2" t="str">
        <f aca="false">INDEX(Segmentation!$H$2:$H$301,MATCH($A41,Segmentation!$A$2:$A$301,0))</f>
        <v>Broker-Reliant</v>
      </c>
      <c r="F41" s="2" t="str">
        <f aca="false">INDEX(Segmentation!$J$2:$J$301,MATCH($A41,Segmentation!$A$2:$A$301,0))</f>
        <v>Core</v>
      </c>
      <c r="G41" s="2" t="str">
        <f aca="false">INDEX(Segmentation!$N$2:$N$301,MATCH($A41,Segmentation!$A$2:$A$301,0))</f>
        <v>Declining</v>
      </c>
      <c r="H41" s="2" t="str">
        <f aca="false">INDEX(Segmentation!$T$2:$T$301,MATCH($A41,Segmentation!$A$2:$A$301,0))</f>
        <v>2. Protect / Retain First</v>
      </c>
      <c r="I41" s="2" t="str">
        <f aca="false">INDEX(Segmentation!$G$2:$G$301,MATCH($A41,Segmentation!$A$2:$A$301,0))</f>
        <v>High</v>
      </c>
      <c r="J41" s="9" t="n">
        <f aca="false">INDEX(Segmentation!$I$2:$I$301,MATCH($A41,Segmentation!$A$2:$A$301,0))</f>
        <v>3579</v>
      </c>
      <c r="K41" s="2" t="n">
        <f aca="false">INDEX(Segmentation!$O$2:$O$301,MATCH($A41,Segmentation!$A$2:$A$301,0))</f>
        <v>6</v>
      </c>
      <c r="L41" s="2" t="n">
        <f aca="false">INDEX(Segmentation!$Q$2:$Q$301,MATCH($A41,Segmentation!$A$2:$A$301,0))</f>
        <v>2</v>
      </c>
      <c r="M41" s="2" t="n">
        <f aca="false">INDEX(Segmentation!$W$2:$W$301,MATCH($A41,Segmentation!$A$2:$A$301,0))</f>
        <v>3</v>
      </c>
      <c r="N41" s="2" t="str">
        <f aca="false">INDEX(Segmentation!$AF$2:$AF$301,MATCH($A41,Segmentation!$A$2:$A$301,0))</f>
        <v>Existing Customer</v>
      </c>
      <c r="O41" s="2" t="n">
        <f aca="false">INDEX(Segmentation!$R$2:$R$301,MATCH($A41,Segmentation!$A$2:$A$301,0))</f>
        <v>6</v>
      </c>
      <c r="P41" s="2" t="n">
        <v>13</v>
      </c>
      <c r="Q41" s="2" t="n">
        <f aca="false">INDEX(Segmentation!$S$2:$S$301,MATCH($A41,Segmentation!$A$2:$A$301,0))</f>
        <v>1</v>
      </c>
      <c r="R41" s="2" t="n">
        <v>8</v>
      </c>
      <c r="S41" s="2" t="n">
        <v>1</v>
      </c>
      <c r="T41" s="2" t="n">
        <v>6</v>
      </c>
      <c r="U41" s="2" t="n">
        <v>0</v>
      </c>
      <c r="V41" s="2" t="n">
        <v>0</v>
      </c>
      <c r="W41" s="2" t="str">
        <f aca="false">IF(V41=100,"Bundle-only",IF(V41=0,"Handpick-only","Mixed"))</f>
        <v>Handpick-only</v>
      </c>
      <c r="X41" s="17" t="n">
        <f aca="false">L41/K41</f>
        <v>0.333333333333333</v>
      </c>
      <c r="Y41" s="9" t="n">
        <f aca="false">J41/K41</f>
        <v>596.5</v>
      </c>
      <c r="Z41" s="10" t="b">
        <f aca="false">O41&gt;=Assumptions!$B$57</f>
        <v>0</v>
      </c>
      <c r="AA41" s="10" t="b">
        <f aca="false">P41&gt;=Assumptions!$B$58</f>
        <v>0</v>
      </c>
      <c r="AB41" s="10" t="b">
        <f aca="false">Q41&gt;=Assumptions!$B$59</f>
        <v>0</v>
      </c>
      <c r="AC41" s="2" t="n">
        <f aca="false">Z41*1+AA41*1+AB41*1</f>
        <v>0</v>
      </c>
      <c r="AD41" s="2" t="str">
        <f aca="false">IF(E41="Broker-Reliant","Broker-led, product-blind",IF(AND(I41="Low",F41&lt;&gt;"Tail",OR(G41="Declining",G41="Lapsed"),OR(O41&gt;=Assumptions!$B$60,P41&gt;=Assumptions!$B$61)),"Engaged but shrinking (Key/Core)",IF(AND(O41&gt;=Assumptions!$B$60,P41&gt;=Assumptions!$B$61,Q41&gt;=Assumptions!$B$62,K41&gt;=Assumptions!$B$63),"Independent browser-buyer",IF(AND(OR(O41&gt;=Assumptions!$B$60,P41&gt;=Assumptions!$B$61),K41&lt;=2),"Engaged, not converting",IF(AND(K41=1,O41&lt;Assumptions!$B$60,P41&lt;Assumptions!$B$61),"One-off low-touch buyer","Light-touch repeat buyer")))))</f>
        <v>Broker-led, product-blind</v>
      </c>
      <c r="AE41" s="10" t="b">
        <f aca="false">INDEX(Segmentation!$AW$2:$AW$301,MATCH($A41,Segmentation!$A$2:$A$301,0))</f>
        <v>0</v>
      </c>
    </row>
    <row r="42" customFormat="false" ht="15" hidden="false" customHeight="false" outlineLevel="0" collapsed="false">
      <c r="A42" s="2" t="s">
        <v>248</v>
      </c>
      <c r="B42" s="2" t="s">
        <v>1571</v>
      </c>
      <c r="C42" s="2" t="s">
        <v>1640</v>
      </c>
      <c r="D42" s="2" t="s">
        <v>1658</v>
      </c>
      <c r="E42" s="2" t="str">
        <f aca="false">INDEX(Segmentation!$H$2:$H$301,MATCH($A42,Segmentation!$A$2:$A$301,0))</f>
        <v>Broker-Reliant</v>
      </c>
      <c r="F42" s="2" t="str">
        <f aca="false">INDEX(Segmentation!$J$2:$J$301,MATCH($A42,Segmentation!$A$2:$A$301,0))</f>
        <v>Core</v>
      </c>
      <c r="G42" s="2" t="str">
        <f aca="false">INDEX(Segmentation!$N$2:$N$301,MATCH($A42,Segmentation!$A$2:$A$301,0))</f>
        <v>Declining</v>
      </c>
      <c r="H42" s="2" t="str">
        <f aca="false">INDEX(Segmentation!$T$2:$T$301,MATCH($A42,Segmentation!$A$2:$A$301,0))</f>
        <v>2. Protect / Retain First</v>
      </c>
      <c r="I42" s="2" t="str">
        <f aca="false">INDEX(Segmentation!$G$2:$G$301,MATCH($A42,Segmentation!$A$2:$A$301,0))</f>
        <v>High</v>
      </c>
      <c r="J42" s="9" t="n">
        <f aca="false">INDEX(Segmentation!$I$2:$I$301,MATCH($A42,Segmentation!$A$2:$A$301,0))</f>
        <v>3549</v>
      </c>
      <c r="K42" s="2" t="n">
        <f aca="false">INDEX(Segmentation!$O$2:$O$301,MATCH($A42,Segmentation!$A$2:$A$301,0))</f>
        <v>7</v>
      </c>
      <c r="L42" s="2" t="n">
        <f aca="false">INDEX(Segmentation!$Q$2:$Q$301,MATCH($A42,Segmentation!$A$2:$A$301,0))</f>
        <v>3</v>
      </c>
      <c r="M42" s="2" t="n">
        <f aca="false">INDEX(Segmentation!$W$2:$W$301,MATCH($A42,Segmentation!$A$2:$A$301,0))</f>
        <v>5</v>
      </c>
      <c r="N42" s="2" t="str">
        <f aca="false">INDEX(Segmentation!$AF$2:$AF$301,MATCH($A42,Segmentation!$A$2:$A$301,0))</f>
        <v>Existing Customer</v>
      </c>
      <c r="O42" s="2" t="n">
        <f aca="false">INDEX(Segmentation!$R$2:$R$301,MATCH($A42,Segmentation!$A$2:$A$301,0))</f>
        <v>6</v>
      </c>
      <c r="P42" s="2" t="n">
        <v>2</v>
      </c>
      <c r="Q42" s="2" t="n">
        <f aca="false">INDEX(Segmentation!$S$2:$S$301,MATCH($A42,Segmentation!$A$2:$A$301,0))</f>
        <v>0</v>
      </c>
      <c r="R42" s="2" t="n">
        <v>25</v>
      </c>
      <c r="S42" s="2" t="n">
        <v>0</v>
      </c>
      <c r="T42" s="2" t="n">
        <v>2</v>
      </c>
      <c r="U42" s="2" t="n">
        <v>5</v>
      </c>
      <c r="V42" s="2" t="n">
        <v>76</v>
      </c>
      <c r="W42" s="2" t="str">
        <f aca="false">IF(V42=100,"Bundle-only",IF(V42=0,"Handpick-only","Mixed"))</f>
        <v>Mixed</v>
      </c>
      <c r="X42" s="17" t="n">
        <f aca="false">L42/K42</f>
        <v>0.428571428571429</v>
      </c>
      <c r="Y42" s="9" t="n">
        <f aca="false">J42/K42</f>
        <v>507</v>
      </c>
      <c r="Z42" s="10" t="b">
        <f aca="false">O42&gt;=Assumptions!$B$57</f>
        <v>0</v>
      </c>
      <c r="AA42" s="10" t="b">
        <f aca="false">P42&gt;=Assumptions!$B$58</f>
        <v>0</v>
      </c>
      <c r="AB42" s="10" t="b">
        <f aca="false">Q42&gt;=Assumptions!$B$59</f>
        <v>0</v>
      </c>
      <c r="AC42" s="2" t="n">
        <f aca="false">Z42*1+AA42*1+AB42*1</f>
        <v>0</v>
      </c>
      <c r="AD42" s="2" t="str">
        <f aca="false">IF(E42="Broker-Reliant","Broker-led, product-blind",IF(AND(I42="Low",F42&lt;&gt;"Tail",OR(G42="Declining",G42="Lapsed"),OR(O42&gt;=Assumptions!$B$60,P42&gt;=Assumptions!$B$61)),"Engaged but shrinking (Key/Core)",IF(AND(O42&gt;=Assumptions!$B$60,P42&gt;=Assumptions!$B$61,Q42&gt;=Assumptions!$B$62,K42&gt;=Assumptions!$B$63),"Independent browser-buyer",IF(AND(OR(O42&gt;=Assumptions!$B$60,P42&gt;=Assumptions!$B$61),K42&lt;=2),"Engaged, not converting",IF(AND(K42=1,O42&lt;Assumptions!$B$60,P42&lt;Assumptions!$B$61),"One-off low-touch buyer","Light-touch repeat buyer")))))</f>
        <v>Broker-led, product-blind</v>
      </c>
      <c r="AE42" s="10" t="b">
        <f aca="false">INDEX(Segmentation!$AW$2:$AW$301,MATCH($A42,Segmentation!$A$2:$A$301,0))</f>
        <v>0</v>
      </c>
    </row>
    <row r="43" customFormat="false" ht="15" hidden="false" customHeight="false" outlineLevel="0" collapsed="false">
      <c r="A43" s="2" t="s">
        <v>260</v>
      </c>
      <c r="B43" s="2" t="s">
        <v>1571</v>
      </c>
      <c r="C43" s="2" t="s">
        <v>1640</v>
      </c>
      <c r="D43" s="2" t="s">
        <v>1657</v>
      </c>
      <c r="E43" s="2" t="str">
        <f aca="false">INDEX(Segmentation!$H$2:$H$301,MATCH($A43,Segmentation!$A$2:$A$301,0))</f>
        <v>AM-Owned / Self-Serving</v>
      </c>
      <c r="F43" s="2" t="str">
        <f aca="false">INDEX(Segmentation!$J$2:$J$301,MATCH($A43,Segmentation!$A$2:$A$301,0))</f>
        <v>Core</v>
      </c>
      <c r="G43" s="2" t="str">
        <f aca="false">INDEX(Segmentation!$N$2:$N$301,MATCH($A43,Segmentation!$A$2:$A$301,0))</f>
        <v>Lapsed</v>
      </c>
      <c r="H43" s="2" t="str">
        <f aca="false">INDEX(Segmentation!$T$2:$T$301,MATCH($A43,Segmentation!$A$2:$A$301,0))</f>
        <v>8. Retention / Reactivation</v>
      </c>
      <c r="I43" s="2" t="str">
        <f aca="false">INDEX(Segmentation!$G$2:$G$301,MATCH($A43,Segmentation!$A$2:$A$301,0))</f>
        <v>Low</v>
      </c>
      <c r="J43" s="9" t="n">
        <f aca="false">INDEX(Segmentation!$I$2:$I$301,MATCH($A43,Segmentation!$A$2:$A$301,0))</f>
        <v>3478</v>
      </c>
      <c r="K43" s="2" t="n">
        <f aca="false">INDEX(Segmentation!$O$2:$O$301,MATCH($A43,Segmentation!$A$2:$A$301,0))</f>
        <v>1</v>
      </c>
      <c r="L43" s="2" t="n">
        <f aca="false">INDEX(Segmentation!$Q$2:$Q$301,MATCH($A43,Segmentation!$A$2:$A$301,0))</f>
        <v>1</v>
      </c>
      <c r="M43" s="2" t="n">
        <f aca="false">INDEX(Segmentation!$W$2:$W$301,MATCH($A43,Segmentation!$A$2:$A$301,0))</f>
        <v>1</v>
      </c>
      <c r="N43" s="2" t="str">
        <f aca="false">INDEX(Segmentation!$AF$2:$AF$301,MATCH($A43,Segmentation!$A$2:$A$301,0))</f>
        <v>Existing Customer</v>
      </c>
      <c r="O43" s="2" t="n">
        <f aca="false">INDEX(Segmentation!$R$2:$R$301,MATCH($A43,Segmentation!$A$2:$A$301,0))</f>
        <v>1</v>
      </c>
      <c r="P43" s="2" t="n">
        <v>1</v>
      </c>
      <c r="Q43" s="2" t="n">
        <f aca="false">INDEX(Segmentation!$S$2:$S$301,MATCH($A43,Segmentation!$A$2:$A$301,0))</f>
        <v>0</v>
      </c>
      <c r="R43" s="2" t="n">
        <v>53</v>
      </c>
      <c r="S43" s="2" t="n">
        <v>0</v>
      </c>
      <c r="T43" s="2" t="n">
        <v>1</v>
      </c>
      <c r="U43" s="2" t="n">
        <v>0</v>
      </c>
      <c r="V43" s="2" t="n">
        <v>0</v>
      </c>
      <c r="W43" s="2" t="str">
        <f aca="false">IF(V43=100,"Bundle-only",IF(V43=0,"Handpick-only","Mixed"))</f>
        <v>Handpick-only</v>
      </c>
      <c r="X43" s="17" t="n">
        <f aca="false">L43/K43</f>
        <v>1</v>
      </c>
      <c r="Y43" s="9" t="n">
        <f aca="false">J43/K43</f>
        <v>3478</v>
      </c>
      <c r="Z43" s="10" t="b">
        <f aca="false">O43&gt;=Assumptions!$B$57</f>
        <v>0</v>
      </c>
      <c r="AA43" s="10" t="b">
        <f aca="false">P43&gt;=Assumptions!$B$58</f>
        <v>0</v>
      </c>
      <c r="AB43" s="10" t="b">
        <f aca="false">Q43&gt;=Assumptions!$B$59</f>
        <v>0</v>
      </c>
      <c r="AC43" s="2" t="n">
        <f aca="false">Z43*1+AA43*1+AB43*1</f>
        <v>0</v>
      </c>
      <c r="AD43" s="2" t="str">
        <f aca="false">IF(E43="Broker-Reliant","Broker-led, product-blind",IF(AND(I43="Low",F43&lt;&gt;"Tail",OR(G43="Declining",G43="Lapsed"),OR(O43&gt;=Assumptions!$B$60,P43&gt;=Assumptions!$B$61)),"Engaged but shrinking (Key/Core)",IF(AND(O43&gt;=Assumptions!$B$60,P43&gt;=Assumptions!$B$61,Q43&gt;=Assumptions!$B$62,K43&gt;=Assumptions!$B$63),"Independent browser-buyer",IF(AND(OR(O43&gt;=Assumptions!$B$60,P43&gt;=Assumptions!$B$61),K43&lt;=2),"Engaged, not converting",IF(AND(K43=1,O43&lt;Assumptions!$B$60,P43&lt;Assumptions!$B$61),"One-off low-touch buyer","Light-touch repeat buyer")))))</f>
        <v>One-off low-touch buyer</v>
      </c>
      <c r="AE43" s="10" t="b">
        <f aca="false">INDEX(Segmentation!$AW$2:$AW$301,MATCH($A43,Segmentation!$A$2:$A$301,0))</f>
        <v>0</v>
      </c>
    </row>
    <row r="44" customFormat="false" ht="15" hidden="false" customHeight="false" outlineLevel="0" collapsed="false">
      <c r="A44" s="2" t="s">
        <v>263</v>
      </c>
      <c r="B44" s="2" t="s">
        <v>1571</v>
      </c>
      <c r="C44" s="2" t="s">
        <v>1640</v>
      </c>
      <c r="D44" s="2" t="s">
        <v>1658</v>
      </c>
      <c r="E44" s="2" t="str">
        <f aca="false">INDEX(Segmentation!$H$2:$H$301,MATCH($A44,Segmentation!$A$2:$A$301,0))</f>
        <v>Broker-Reliant</v>
      </c>
      <c r="F44" s="2" t="str">
        <f aca="false">INDEX(Segmentation!$J$2:$J$301,MATCH($A44,Segmentation!$A$2:$A$301,0))</f>
        <v>Core</v>
      </c>
      <c r="G44" s="2" t="str">
        <f aca="false">INDEX(Segmentation!$N$2:$N$301,MATCH($A44,Segmentation!$A$2:$A$301,0))</f>
        <v>Declining</v>
      </c>
      <c r="H44" s="2" t="str">
        <f aca="false">INDEX(Segmentation!$T$2:$T$301,MATCH($A44,Segmentation!$A$2:$A$301,0))</f>
        <v>2. Protect / Retain First</v>
      </c>
      <c r="I44" s="2" t="str">
        <f aca="false">INDEX(Segmentation!$G$2:$G$301,MATCH($A44,Segmentation!$A$2:$A$301,0))</f>
        <v>High</v>
      </c>
      <c r="J44" s="9" t="n">
        <f aca="false">INDEX(Segmentation!$I$2:$I$301,MATCH($A44,Segmentation!$A$2:$A$301,0))</f>
        <v>3434</v>
      </c>
      <c r="K44" s="2" t="n">
        <f aca="false">INDEX(Segmentation!$O$2:$O$301,MATCH($A44,Segmentation!$A$2:$A$301,0))</f>
        <v>5</v>
      </c>
      <c r="L44" s="2" t="n">
        <f aca="false">INDEX(Segmentation!$Q$2:$Q$301,MATCH($A44,Segmentation!$A$2:$A$301,0))</f>
        <v>2</v>
      </c>
      <c r="M44" s="2" t="n">
        <f aca="false">INDEX(Segmentation!$W$2:$W$301,MATCH($A44,Segmentation!$A$2:$A$301,0))</f>
        <v>3</v>
      </c>
      <c r="N44" s="2" t="str">
        <f aca="false">INDEX(Segmentation!$AF$2:$AF$301,MATCH($A44,Segmentation!$A$2:$A$301,0))</f>
        <v>Existing Customer</v>
      </c>
      <c r="O44" s="2" t="n">
        <f aca="false">INDEX(Segmentation!$R$2:$R$301,MATCH($A44,Segmentation!$A$2:$A$301,0))</f>
        <v>5</v>
      </c>
      <c r="P44" s="2" t="n">
        <v>3</v>
      </c>
      <c r="Q44" s="2" t="n">
        <f aca="false">INDEX(Segmentation!$S$2:$S$301,MATCH($A44,Segmentation!$A$2:$A$301,0))</f>
        <v>1</v>
      </c>
      <c r="R44" s="2" t="n">
        <v>36</v>
      </c>
      <c r="S44" s="2" t="n">
        <v>0</v>
      </c>
      <c r="T44" s="2" t="n">
        <v>3</v>
      </c>
      <c r="U44" s="2" t="n">
        <v>2</v>
      </c>
      <c r="V44" s="2" t="n">
        <v>55</v>
      </c>
      <c r="W44" s="2" t="str">
        <f aca="false">IF(V44=100,"Bundle-only",IF(V44=0,"Handpick-only","Mixed"))</f>
        <v>Mixed</v>
      </c>
      <c r="X44" s="17" t="n">
        <f aca="false">L44/K44</f>
        <v>0.4</v>
      </c>
      <c r="Y44" s="9" t="n">
        <f aca="false">J44/K44</f>
        <v>686.8</v>
      </c>
      <c r="Z44" s="10" t="b">
        <f aca="false">O44&gt;=Assumptions!$B$57</f>
        <v>0</v>
      </c>
      <c r="AA44" s="10" t="b">
        <f aca="false">P44&gt;=Assumptions!$B$58</f>
        <v>0</v>
      </c>
      <c r="AB44" s="10" t="b">
        <f aca="false">Q44&gt;=Assumptions!$B$59</f>
        <v>0</v>
      </c>
      <c r="AC44" s="2" t="n">
        <f aca="false">Z44*1+AA44*1+AB44*1</f>
        <v>0</v>
      </c>
      <c r="AD44" s="2" t="str">
        <f aca="false">IF(E44="Broker-Reliant","Broker-led, product-blind",IF(AND(I44="Low",F44&lt;&gt;"Tail",OR(G44="Declining",G44="Lapsed"),OR(O44&gt;=Assumptions!$B$60,P44&gt;=Assumptions!$B$61)),"Engaged but shrinking (Key/Core)",IF(AND(O44&gt;=Assumptions!$B$60,P44&gt;=Assumptions!$B$61,Q44&gt;=Assumptions!$B$62,K44&gt;=Assumptions!$B$63),"Independent browser-buyer",IF(AND(OR(O44&gt;=Assumptions!$B$60,P44&gt;=Assumptions!$B$61),K44&lt;=2),"Engaged, not converting",IF(AND(K44=1,O44&lt;Assumptions!$B$60,P44&lt;Assumptions!$B$61),"One-off low-touch buyer","Light-touch repeat buyer")))))</f>
        <v>Broker-led, product-blind</v>
      </c>
      <c r="AE44" s="10" t="b">
        <f aca="false">INDEX(Segmentation!$AW$2:$AW$301,MATCH($A44,Segmentation!$A$2:$A$301,0))</f>
        <v>0</v>
      </c>
    </row>
    <row r="45" customFormat="false" ht="15" hidden="false" customHeight="false" outlineLevel="0" collapsed="false">
      <c r="A45" s="2" t="s">
        <v>266</v>
      </c>
      <c r="B45" s="2" t="s">
        <v>1571</v>
      </c>
      <c r="C45" s="2" t="s">
        <v>1641</v>
      </c>
      <c r="D45" s="2" t="s">
        <v>1658</v>
      </c>
      <c r="E45" s="2" t="str">
        <f aca="false">INDEX(Segmentation!$H$2:$H$301,MATCH($A45,Segmentation!$A$2:$A$301,0))</f>
        <v>Broker-Reliant</v>
      </c>
      <c r="F45" s="2" t="str">
        <f aca="false">INDEX(Segmentation!$J$2:$J$301,MATCH($A45,Segmentation!$A$2:$A$301,0))</f>
        <v>Core</v>
      </c>
      <c r="G45" s="2" t="str">
        <f aca="false">INDEX(Segmentation!$N$2:$N$301,MATCH($A45,Segmentation!$A$2:$A$301,0))</f>
        <v>Lapsed</v>
      </c>
      <c r="H45" s="2" t="str">
        <f aca="false">INDEX(Segmentation!$T$2:$T$301,MATCH($A45,Segmentation!$A$2:$A$301,0))</f>
        <v>3. Win-Back / Verify</v>
      </c>
      <c r="I45" s="2" t="str">
        <f aca="false">INDEX(Segmentation!$G$2:$G$301,MATCH($A45,Segmentation!$A$2:$A$301,0))</f>
        <v>High</v>
      </c>
      <c r="J45" s="9" t="n">
        <f aca="false">INDEX(Segmentation!$I$2:$I$301,MATCH($A45,Segmentation!$A$2:$A$301,0))</f>
        <v>3383</v>
      </c>
      <c r="K45" s="2" t="n">
        <f aca="false">INDEX(Segmentation!$O$2:$O$301,MATCH($A45,Segmentation!$A$2:$A$301,0))</f>
        <v>3</v>
      </c>
      <c r="L45" s="2" t="n">
        <f aca="false">INDEX(Segmentation!$Q$2:$Q$301,MATCH($A45,Segmentation!$A$2:$A$301,0))</f>
        <v>1</v>
      </c>
      <c r="M45" s="2" t="n">
        <f aca="false">INDEX(Segmentation!$W$2:$W$301,MATCH($A45,Segmentation!$A$2:$A$301,0))</f>
        <v>1</v>
      </c>
      <c r="N45" s="2" t="str">
        <f aca="false">INDEX(Segmentation!$AF$2:$AF$301,MATCH($A45,Segmentation!$A$2:$A$301,0))</f>
        <v>Existing Customer</v>
      </c>
      <c r="O45" s="2" t="n">
        <f aca="false">INDEX(Segmentation!$R$2:$R$301,MATCH($A45,Segmentation!$A$2:$A$301,0))</f>
        <v>0</v>
      </c>
      <c r="P45" s="2" t="n">
        <v>3</v>
      </c>
      <c r="Q45" s="2" t="n">
        <f aca="false">INDEX(Segmentation!$S$2:$S$301,MATCH($A45,Segmentation!$A$2:$A$301,0))</f>
        <v>1</v>
      </c>
      <c r="R45" s="2" t="n">
        <v>8</v>
      </c>
      <c r="S45" s="2" t="n">
        <v>0</v>
      </c>
      <c r="T45" s="2" t="n">
        <v>0</v>
      </c>
      <c r="U45" s="2" t="n">
        <v>3</v>
      </c>
      <c r="V45" s="2" t="n">
        <v>100</v>
      </c>
      <c r="W45" s="2" t="str">
        <f aca="false">IF(V45=100,"Bundle-only",IF(V45=0,"Handpick-only","Mixed"))</f>
        <v>Bundle-only</v>
      </c>
      <c r="X45" s="17" t="n">
        <f aca="false">L45/K45</f>
        <v>0.333333333333333</v>
      </c>
      <c r="Y45" s="9" t="n">
        <f aca="false">J45/K45</f>
        <v>1127.66666666667</v>
      </c>
      <c r="Z45" s="10" t="b">
        <f aca="false">O45&gt;=Assumptions!$B$57</f>
        <v>0</v>
      </c>
      <c r="AA45" s="10" t="b">
        <f aca="false">P45&gt;=Assumptions!$B$58</f>
        <v>0</v>
      </c>
      <c r="AB45" s="10" t="b">
        <f aca="false">Q45&gt;=Assumptions!$B$59</f>
        <v>0</v>
      </c>
      <c r="AC45" s="2" t="n">
        <f aca="false">Z45*1+AA45*1+AB45*1</f>
        <v>0</v>
      </c>
      <c r="AD45" s="2" t="str">
        <f aca="false">IF(E45="Broker-Reliant","Broker-led, product-blind",IF(AND(I45="Low",F45&lt;&gt;"Tail",OR(G45="Declining",G45="Lapsed"),OR(O45&gt;=Assumptions!$B$60,P45&gt;=Assumptions!$B$61)),"Engaged but shrinking (Key/Core)",IF(AND(O45&gt;=Assumptions!$B$60,P45&gt;=Assumptions!$B$61,Q45&gt;=Assumptions!$B$62,K45&gt;=Assumptions!$B$63),"Independent browser-buyer",IF(AND(OR(O45&gt;=Assumptions!$B$60,P45&gt;=Assumptions!$B$61),K45&lt;=2),"Engaged, not converting",IF(AND(K45=1,O45&lt;Assumptions!$B$60,P45&lt;Assumptions!$B$61),"One-off low-touch buyer","Light-touch repeat buyer")))))</f>
        <v>Broker-led, product-blind</v>
      </c>
      <c r="AE45" s="10" t="b">
        <f aca="false">INDEX(Segmentation!$AW$2:$AW$301,MATCH($A45,Segmentation!$A$2:$A$301,0))</f>
        <v>0</v>
      </c>
    </row>
    <row r="46" customFormat="false" ht="15" hidden="false" customHeight="false" outlineLevel="0" collapsed="false">
      <c r="A46" s="2" t="s">
        <v>269</v>
      </c>
      <c r="B46" s="2" t="s">
        <v>1571</v>
      </c>
      <c r="C46" s="2" t="s">
        <v>1640</v>
      </c>
      <c r="D46" s="2" t="s">
        <v>1656</v>
      </c>
      <c r="E46" s="2" t="str">
        <f aca="false">INDEX(Segmentation!$H$2:$H$301,MATCH($A46,Segmentation!$A$2:$A$301,0))</f>
        <v>Broker-Reliant</v>
      </c>
      <c r="F46" s="2" t="str">
        <f aca="false">INDEX(Segmentation!$J$2:$J$301,MATCH($A46,Segmentation!$A$2:$A$301,0))</f>
        <v>Core</v>
      </c>
      <c r="G46" s="2" t="str">
        <f aca="false">INDEX(Segmentation!$N$2:$N$301,MATCH($A46,Segmentation!$A$2:$A$301,0))</f>
        <v>Declining</v>
      </c>
      <c r="H46" s="2" t="str">
        <f aca="false">INDEX(Segmentation!$T$2:$T$301,MATCH($A46,Segmentation!$A$2:$A$301,0))</f>
        <v>2. Protect / Retain First</v>
      </c>
      <c r="I46" s="2" t="str">
        <f aca="false">INDEX(Segmentation!$G$2:$G$301,MATCH($A46,Segmentation!$A$2:$A$301,0))</f>
        <v>Medium</v>
      </c>
      <c r="J46" s="9" t="n">
        <f aca="false">INDEX(Segmentation!$I$2:$I$301,MATCH($A46,Segmentation!$A$2:$A$301,0))</f>
        <v>3331</v>
      </c>
      <c r="K46" s="2" t="n">
        <f aca="false">INDEX(Segmentation!$O$2:$O$301,MATCH($A46,Segmentation!$A$2:$A$301,0))</f>
        <v>18</v>
      </c>
      <c r="L46" s="2" t="n">
        <f aca="false">INDEX(Segmentation!$Q$2:$Q$301,MATCH($A46,Segmentation!$A$2:$A$301,0))</f>
        <v>9</v>
      </c>
      <c r="M46" s="2" t="n">
        <f aca="false">INDEX(Segmentation!$W$2:$W$301,MATCH($A46,Segmentation!$A$2:$A$301,0))</f>
        <v>5</v>
      </c>
      <c r="N46" s="2" t="str">
        <f aca="false">INDEX(Segmentation!$AF$2:$AF$301,MATCH($A46,Segmentation!$A$2:$A$301,0))</f>
        <v>Existing Customer</v>
      </c>
      <c r="O46" s="2" t="n">
        <f aca="false">INDEX(Segmentation!$R$2:$R$301,MATCH($A46,Segmentation!$A$2:$A$301,0))</f>
        <v>2</v>
      </c>
      <c r="P46" s="2" t="n">
        <v>13</v>
      </c>
      <c r="Q46" s="2" t="n">
        <f aca="false">INDEX(Segmentation!$S$2:$S$301,MATCH($A46,Segmentation!$A$2:$A$301,0))</f>
        <v>2</v>
      </c>
      <c r="R46" s="2" t="n">
        <v>9</v>
      </c>
      <c r="S46" s="2" t="n">
        <v>1</v>
      </c>
      <c r="T46" s="2" t="n">
        <v>2</v>
      </c>
      <c r="U46" s="2" t="n">
        <v>16</v>
      </c>
      <c r="V46" s="2" t="n">
        <v>89</v>
      </c>
      <c r="W46" s="2" t="str">
        <f aca="false">IF(V46=100,"Bundle-only",IF(V46=0,"Handpick-only","Mixed"))</f>
        <v>Mixed</v>
      </c>
      <c r="X46" s="17" t="n">
        <f aca="false">L46/K46</f>
        <v>0.5</v>
      </c>
      <c r="Y46" s="9" t="n">
        <f aca="false">J46/K46</f>
        <v>185.055555555556</v>
      </c>
      <c r="Z46" s="10" t="b">
        <f aca="false">O46&gt;=Assumptions!$B$57</f>
        <v>0</v>
      </c>
      <c r="AA46" s="10" t="b">
        <f aca="false">P46&gt;=Assumptions!$B$58</f>
        <v>0</v>
      </c>
      <c r="AB46" s="10" t="b">
        <f aca="false">Q46&gt;=Assumptions!$B$59</f>
        <v>0</v>
      </c>
      <c r="AC46" s="2" t="n">
        <f aca="false">Z46*1+AA46*1+AB46*1</f>
        <v>0</v>
      </c>
      <c r="AD46" s="2" t="str">
        <f aca="false">IF(E46="Broker-Reliant","Broker-led, product-blind",IF(AND(I46="Low",F46&lt;&gt;"Tail",OR(G46="Declining",G46="Lapsed"),OR(O46&gt;=Assumptions!$B$60,P46&gt;=Assumptions!$B$61)),"Engaged but shrinking (Key/Core)",IF(AND(O46&gt;=Assumptions!$B$60,P46&gt;=Assumptions!$B$61,Q46&gt;=Assumptions!$B$62,K46&gt;=Assumptions!$B$63),"Independent browser-buyer",IF(AND(OR(O46&gt;=Assumptions!$B$60,P46&gt;=Assumptions!$B$61),K46&lt;=2),"Engaged, not converting",IF(AND(K46=1,O46&lt;Assumptions!$B$60,P46&lt;Assumptions!$B$61),"One-off low-touch buyer","Light-touch repeat buyer")))))</f>
        <v>Broker-led, product-blind</v>
      </c>
      <c r="AE46" s="10" t="b">
        <f aca="false">INDEX(Segmentation!$AW$2:$AW$301,MATCH($A46,Segmentation!$A$2:$A$301,0))</f>
        <v>0</v>
      </c>
    </row>
    <row r="47" customFormat="false" ht="15" hidden="false" customHeight="false" outlineLevel="0" collapsed="false">
      <c r="A47" s="2" t="s">
        <v>272</v>
      </c>
      <c r="B47" s="2" t="s">
        <v>1571</v>
      </c>
      <c r="C47" s="2" t="s">
        <v>1640</v>
      </c>
      <c r="D47" s="2" t="s">
        <v>1657</v>
      </c>
      <c r="E47" s="2" t="str">
        <f aca="false">INDEX(Segmentation!$H$2:$H$301,MATCH($A47,Segmentation!$A$2:$A$301,0))</f>
        <v>Broker-Reliant</v>
      </c>
      <c r="F47" s="2" t="str">
        <f aca="false">INDEX(Segmentation!$J$2:$J$301,MATCH($A47,Segmentation!$A$2:$A$301,0))</f>
        <v>Core</v>
      </c>
      <c r="G47" s="2" t="str">
        <f aca="false">INDEX(Segmentation!$N$2:$N$301,MATCH($A47,Segmentation!$A$2:$A$301,0))</f>
        <v>Declining</v>
      </c>
      <c r="H47" s="2" t="str">
        <f aca="false">INDEX(Segmentation!$T$2:$T$301,MATCH($A47,Segmentation!$A$2:$A$301,0))</f>
        <v>2. Protect / Retain First</v>
      </c>
      <c r="I47" s="2" t="str">
        <f aca="false">INDEX(Segmentation!$G$2:$G$301,MATCH($A47,Segmentation!$A$2:$A$301,0))</f>
        <v>High</v>
      </c>
      <c r="J47" s="9" t="n">
        <f aca="false">INDEX(Segmentation!$I$2:$I$301,MATCH($A47,Segmentation!$A$2:$A$301,0))</f>
        <v>3283</v>
      </c>
      <c r="K47" s="2" t="n">
        <f aca="false">INDEX(Segmentation!$O$2:$O$301,MATCH($A47,Segmentation!$A$2:$A$301,0))</f>
        <v>3</v>
      </c>
      <c r="L47" s="2" t="n">
        <f aca="false">INDEX(Segmentation!$Q$2:$Q$301,MATCH($A47,Segmentation!$A$2:$A$301,0))</f>
        <v>1</v>
      </c>
      <c r="M47" s="2" t="n">
        <f aca="false">INDEX(Segmentation!$W$2:$W$301,MATCH($A47,Segmentation!$A$2:$A$301,0))</f>
        <v>2</v>
      </c>
      <c r="N47" s="2" t="str">
        <f aca="false">INDEX(Segmentation!$AF$2:$AF$301,MATCH($A47,Segmentation!$A$2:$A$301,0))</f>
        <v>Existing Customer</v>
      </c>
      <c r="O47" s="2" t="n">
        <f aca="false">INDEX(Segmentation!$R$2:$R$301,MATCH($A47,Segmentation!$A$2:$A$301,0))</f>
        <v>1</v>
      </c>
      <c r="P47" s="2" t="n">
        <v>1</v>
      </c>
      <c r="Q47" s="2" t="n">
        <f aca="false">INDEX(Segmentation!$S$2:$S$301,MATCH($A47,Segmentation!$A$2:$A$301,0))</f>
        <v>1</v>
      </c>
      <c r="R47" s="2" t="n">
        <v>27</v>
      </c>
      <c r="S47" s="2" t="n">
        <v>0</v>
      </c>
      <c r="T47" s="2" t="n">
        <v>3</v>
      </c>
      <c r="U47" s="2" t="n">
        <v>0</v>
      </c>
      <c r="V47" s="2" t="n">
        <v>0</v>
      </c>
      <c r="W47" s="2" t="str">
        <f aca="false">IF(V47=100,"Bundle-only",IF(V47=0,"Handpick-only","Mixed"))</f>
        <v>Handpick-only</v>
      </c>
      <c r="X47" s="17" t="n">
        <f aca="false">L47/K47</f>
        <v>0.333333333333333</v>
      </c>
      <c r="Y47" s="9" t="n">
        <f aca="false">J47/K47</f>
        <v>1094.33333333333</v>
      </c>
      <c r="Z47" s="10" t="b">
        <f aca="false">O47&gt;=Assumptions!$B$57</f>
        <v>0</v>
      </c>
      <c r="AA47" s="10" t="b">
        <f aca="false">P47&gt;=Assumptions!$B$58</f>
        <v>0</v>
      </c>
      <c r="AB47" s="10" t="b">
        <f aca="false">Q47&gt;=Assumptions!$B$59</f>
        <v>0</v>
      </c>
      <c r="AC47" s="2" t="n">
        <f aca="false">Z47*1+AA47*1+AB47*1</f>
        <v>0</v>
      </c>
      <c r="AD47" s="2" t="str">
        <f aca="false">IF(E47="Broker-Reliant","Broker-led, product-blind",IF(AND(I47="Low",F47&lt;&gt;"Tail",OR(G47="Declining",G47="Lapsed"),OR(O47&gt;=Assumptions!$B$60,P47&gt;=Assumptions!$B$61)),"Engaged but shrinking (Key/Core)",IF(AND(O47&gt;=Assumptions!$B$60,P47&gt;=Assumptions!$B$61,Q47&gt;=Assumptions!$B$62,K47&gt;=Assumptions!$B$63),"Independent browser-buyer",IF(AND(OR(O47&gt;=Assumptions!$B$60,P47&gt;=Assumptions!$B$61),K47&lt;=2),"Engaged, not converting",IF(AND(K47=1,O47&lt;Assumptions!$B$60,P47&lt;Assumptions!$B$61),"One-off low-touch buyer","Light-touch repeat buyer")))))</f>
        <v>Broker-led, product-blind</v>
      </c>
      <c r="AE47" s="10" t="b">
        <f aca="false">INDEX(Segmentation!$AW$2:$AW$301,MATCH($A47,Segmentation!$A$2:$A$301,0))</f>
        <v>0</v>
      </c>
    </row>
    <row r="48" customFormat="false" ht="15" hidden="false" customHeight="false" outlineLevel="0" collapsed="false">
      <c r="A48" s="2" t="s">
        <v>426</v>
      </c>
      <c r="B48" s="2" t="s">
        <v>1571</v>
      </c>
      <c r="C48" s="2" t="s">
        <v>1640</v>
      </c>
      <c r="D48" s="2" t="s">
        <v>1653</v>
      </c>
      <c r="E48" s="2" t="str">
        <f aca="false">INDEX(Segmentation!$H$2:$H$301,MATCH($A48,Segmentation!$A$2:$A$301,0))</f>
        <v>Broker-Reliant</v>
      </c>
      <c r="F48" s="2" t="str">
        <f aca="false">INDEX(Segmentation!$J$2:$J$301,MATCH($A48,Segmentation!$A$2:$A$301,0))</f>
        <v>Core</v>
      </c>
      <c r="G48" s="2" t="str">
        <f aca="false">INDEX(Segmentation!$N$2:$N$301,MATCH($A48,Segmentation!$A$2:$A$301,0))</f>
        <v>H2 Active / No H1 GMV</v>
      </c>
      <c r="H48" s="2" t="str">
        <f aca="false">INDEX(Segmentation!$T$2:$T$301,MATCH($A48,Segmentation!$A$2:$A$301,0))</f>
        <v>4. Establish / Re-establish / Observe</v>
      </c>
      <c r="I48" s="2" t="str">
        <f aca="false">INDEX(Segmentation!$G$2:$G$301,MATCH($A48,Segmentation!$A$2:$A$301,0))</f>
        <v>Medium</v>
      </c>
      <c r="J48" s="9" t="n">
        <f aca="false">INDEX(Segmentation!$I$2:$I$301,MATCH($A48,Segmentation!$A$2:$A$301,0))</f>
        <v>3200</v>
      </c>
      <c r="K48" s="2" t="n">
        <f aca="false">INDEX(Segmentation!$O$2:$O$301,MATCH($A48,Segmentation!$A$2:$A$301,0))</f>
        <v>6</v>
      </c>
      <c r="L48" s="2" t="n">
        <f aca="false">INDEX(Segmentation!$Q$2:$Q$301,MATCH($A48,Segmentation!$A$2:$A$301,0))</f>
        <v>3</v>
      </c>
      <c r="M48" s="2" t="n">
        <f aca="false">INDEX(Segmentation!$W$2:$W$301,MATCH($A48,Segmentation!$A$2:$A$301,0))</f>
        <v>2</v>
      </c>
      <c r="N48" s="2" t="str">
        <f aca="false">INDEX(Segmentation!$AF$2:$AF$301,MATCH($A48,Segmentation!$A$2:$A$301,0))</f>
        <v>Returned Customer</v>
      </c>
      <c r="O48" s="2" t="n">
        <f aca="false">INDEX(Segmentation!$R$2:$R$301,MATCH($A48,Segmentation!$A$2:$A$301,0))</f>
        <v>8</v>
      </c>
      <c r="P48" s="2" t="n">
        <v>2</v>
      </c>
      <c r="Q48" s="2" t="n">
        <f aca="false">INDEX(Segmentation!$S$2:$S$301,MATCH($A48,Segmentation!$A$2:$A$301,0))</f>
        <v>1</v>
      </c>
      <c r="R48" s="2" t="n">
        <v>15</v>
      </c>
      <c r="S48" s="2" t="n">
        <v>3</v>
      </c>
      <c r="T48" s="2" t="n">
        <v>5</v>
      </c>
      <c r="U48" s="2" t="n">
        <v>2</v>
      </c>
      <c r="V48" s="2" t="n">
        <v>10</v>
      </c>
      <c r="W48" s="2" t="str">
        <f aca="false">IF(V48=100,"Bundle-only",IF(V48=0,"Handpick-only","Mixed"))</f>
        <v>Mixed</v>
      </c>
      <c r="X48" s="17" t="n">
        <f aca="false">L48/K48</f>
        <v>0.5</v>
      </c>
      <c r="Y48" s="9" t="n">
        <f aca="false">J48/K48</f>
        <v>533.333333333333</v>
      </c>
      <c r="Z48" s="10" t="b">
        <f aca="false">O48&gt;=Assumptions!$B$57</f>
        <v>0</v>
      </c>
      <c r="AA48" s="10" t="b">
        <f aca="false">P48&gt;=Assumptions!$B$58</f>
        <v>0</v>
      </c>
      <c r="AB48" s="10" t="b">
        <f aca="false">Q48&gt;=Assumptions!$B$59</f>
        <v>0</v>
      </c>
      <c r="AC48" s="2" t="n">
        <f aca="false">Z48*1+AA48*1+AB48*1</f>
        <v>0</v>
      </c>
      <c r="AD48" s="2" t="str">
        <f aca="false">IF(E48="Broker-Reliant","Broker-led, product-blind",IF(AND(I48="Low",F48&lt;&gt;"Tail",OR(G48="Declining",G48="Lapsed"),OR(O48&gt;=Assumptions!$B$60,P48&gt;=Assumptions!$B$61)),"Engaged but shrinking (Key/Core)",IF(AND(O48&gt;=Assumptions!$B$60,P48&gt;=Assumptions!$B$61,Q48&gt;=Assumptions!$B$62,K48&gt;=Assumptions!$B$63),"Independent browser-buyer",IF(AND(OR(O48&gt;=Assumptions!$B$60,P48&gt;=Assumptions!$B$61),K48&lt;=2),"Engaged, not converting",IF(AND(K48=1,O48&lt;Assumptions!$B$60,P48&lt;Assumptions!$B$61),"One-off low-touch buyer","Light-touch repeat buyer")))))</f>
        <v>Broker-led, product-blind</v>
      </c>
      <c r="AE48" s="10" t="b">
        <f aca="false">INDEX(Segmentation!$AW$2:$AW$301,MATCH($A48,Segmentation!$A$2:$A$301,0))</f>
        <v>0</v>
      </c>
    </row>
    <row r="49" customFormat="false" ht="15" hidden="false" customHeight="false" outlineLevel="0" collapsed="false">
      <c r="A49" s="2" t="s">
        <v>430</v>
      </c>
      <c r="B49" s="2" t="s">
        <v>1571</v>
      </c>
      <c r="C49" s="2" t="s">
        <v>1640</v>
      </c>
      <c r="D49" s="2" t="s">
        <v>1653</v>
      </c>
      <c r="E49" s="2" t="str">
        <f aca="false">INDEX(Segmentation!$H$2:$H$301,MATCH($A49,Segmentation!$A$2:$A$301,0))</f>
        <v>AM-Owned / Self-Serving</v>
      </c>
      <c r="F49" s="2" t="str">
        <f aca="false">INDEX(Segmentation!$J$2:$J$301,MATCH($A49,Segmentation!$A$2:$A$301,0))</f>
        <v>Core</v>
      </c>
      <c r="G49" s="2" t="str">
        <f aca="false">INDEX(Segmentation!$N$2:$N$301,MATCH($A49,Segmentation!$A$2:$A$301,0))</f>
        <v>H2 Active / No H1 GMV</v>
      </c>
      <c r="H49" s="2" t="str">
        <f aca="false">INDEX(Segmentation!$T$2:$T$301,MATCH($A49,Segmentation!$A$2:$A$301,0))</f>
        <v>7. Onboard / Re-engage / Learn</v>
      </c>
      <c r="I49" s="2" t="str">
        <f aca="false">INDEX(Segmentation!$G$2:$G$301,MATCH($A49,Segmentation!$A$2:$A$301,0))</f>
        <v>Low</v>
      </c>
      <c r="J49" s="9" t="n">
        <f aca="false">INDEX(Segmentation!$I$2:$I$301,MATCH($A49,Segmentation!$A$2:$A$301,0))</f>
        <v>3113</v>
      </c>
      <c r="K49" s="2" t="n">
        <f aca="false">INDEX(Segmentation!$O$2:$O$301,MATCH($A49,Segmentation!$A$2:$A$301,0))</f>
        <v>4</v>
      </c>
      <c r="L49" s="2" t="n">
        <f aca="false">INDEX(Segmentation!$Q$2:$Q$301,MATCH($A49,Segmentation!$A$2:$A$301,0))</f>
        <v>3</v>
      </c>
      <c r="M49" s="2" t="n">
        <f aca="false">INDEX(Segmentation!$W$2:$W$301,MATCH($A49,Segmentation!$A$2:$A$301,0))</f>
        <v>2</v>
      </c>
      <c r="N49" s="2" t="str">
        <f aca="false">INDEX(Segmentation!$AF$2:$AF$301,MATCH($A49,Segmentation!$A$2:$A$301,0))</f>
        <v>Returned Customer</v>
      </c>
      <c r="O49" s="2" t="n">
        <f aca="false">INDEX(Segmentation!$R$2:$R$301,MATCH($A49,Segmentation!$A$2:$A$301,0))</f>
        <v>30</v>
      </c>
      <c r="P49" s="2" t="n">
        <v>488</v>
      </c>
      <c r="Q49" s="2" t="n">
        <f aca="false">INDEX(Segmentation!$S$2:$S$301,MATCH($A49,Segmentation!$A$2:$A$301,0))</f>
        <v>1</v>
      </c>
      <c r="R49" s="2" t="n">
        <v>24</v>
      </c>
      <c r="S49" s="2" t="n">
        <v>0</v>
      </c>
      <c r="T49" s="2" t="n">
        <v>4</v>
      </c>
      <c r="U49" s="2" t="n">
        <v>0</v>
      </c>
      <c r="V49" s="2" t="n">
        <v>0</v>
      </c>
      <c r="W49" s="2" t="str">
        <f aca="false">IF(V49=100,"Bundle-only",IF(V49=0,"Handpick-only","Mixed"))</f>
        <v>Handpick-only</v>
      </c>
      <c r="X49" s="17" t="n">
        <f aca="false">L49/K49</f>
        <v>0.75</v>
      </c>
      <c r="Y49" s="9" t="n">
        <f aca="false">J49/K49</f>
        <v>778.25</v>
      </c>
      <c r="Z49" s="10" t="b">
        <f aca="false">O49&gt;=Assumptions!$B$57</f>
        <v>1</v>
      </c>
      <c r="AA49" s="10" t="b">
        <f aca="false">P49&gt;=Assumptions!$B$58</f>
        <v>1</v>
      </c>
      <c r="AB49" s="10" t="b">
        <f aca="false">Q49&gt;=Assumptions!$B$59</f>
        <v>0</v>
      </c>
      <c r="AC49" s="2" t="n">
        <f aca="false">Z49*1+AA49*1+AB49*1</f>
        <v>2</v>
      </c>
      <c r="AD49" s="2" t="str">
        <f aca="false">IF(E49="Broker-Reliant","Broker-led, product-blind",IF(AND(I49="Low",F49&lt;&gt;"Tail",OR(G49="Declining",G49="Lapsed"),OR(O49&gt;=Assumptions!$B$60,P49&gt;=Assumptions!$B$61)),"Engaged but shrinking (Key/Core)",IF(AND(O49&gt;=Assumptions!$B$60,P49&gt;=Assumptions!$B$61,Q49&gt;=Assumptions!$B$62,K49&gt;=Assumptions!$B$63),"Independent browser-buyer",IF(AND(OR(O49&gt;=Assumptions!$B$60,P49&gt;=Assumptions!$B$61),K49&lt;=2),"Engaged, not converting",IF(AND(K49=1,O49&lt;Assumptions!$B$60,P49&lt;Assumptions!$B$61),"One-off low-touch buyer","Light-touch repeat buyer")))))</f>
        <v>Light-touch repeat buyer</v>
      </c>
      <c r="AE49" s="10" t="b">
        <f aca="false">INDEX(Segmentation!$AW$2:$AW$301,MATCH($A49,Segmentation!$A$2:$A$301,0))</f>
        <v>0</v>
      </c>
    </row>
    <row r="50" customFormat="false" ht="15" hidden="false" customHeight="false" outlineLevel="0" collapsed="false">
      <c r="A50" s="2" t="s">
        <v>466</v>
      </c>
      <c r="B50" s="2" t="s">
        <v>1571</v>
      </c>
      <c r="C50" s="2" t="s">
        <v>1640</v>
      </c>
      <c r="D50" s="2" t="s">
        <v>1653</v>
      </c>
      <c r="E50" s="2" t="str">
        <f aca="false">INDEX(Segmentation!$H$2:$H$301,MATCH($A50,Segmentation!$A$2:$A$301,0))</f>
        <v>Broker-Reliant</v>
      </c>
      <c r="F50" s="2" t="str">
        <f aca="false">INDEX(Segmentation!$J$2:$J$301,MATCH($A50,Segmentation!$A$2:$A$301,0))</f>
        <v>Core</v>
      </c>
      <c r="G50" s="2" t="str">
        <f aca="false">INDEX(Segmentation!$N$2:$N$301,MATCH($A50,Segmentation!$A$2:$A$301,0))</f>
        <v>Growing</v>
      </c>
      <c r="H50" s="2" t="str">
        <f aca="false">INDEX(Segmentation!$T$2:$T$301,MATCH($A50,Segmentation!$A$2:$A$301,0))</f>
        <v>1. Migration Candidate</v>
      </c>
      <c r="I50" s="2" t="str">
        <f aca="false">INDEX(Segmentation!$G$2:$G$301,MATCH($A50,Segmentation!$A$2:$A$301,0))</f>
        <v>High</v>
      </c>
      <c r="J50" s="9" t="n">
        <f aca="false">INDEX(Segmentation!$I$2:$I$301,MATCH($A50,Segmentation!$A$2:$A$301,0))</f>
        <v>3111</v>
      </c>
      <c r="K50" s="2" t="n">
        <f aca="false">INDEX(Segmentation!$O$2:$O$301,MATCH($A50,Segmentation!$A$2:$A$301,0))</f>
        <v>7</v>
      </c>
      <c r="L50" s="2" t="n">
        <f aca="false">INDEX(Segmentation!$Q$2:$Q$301,MATCH($A50,Segmentation!$A$2:$A$301,0))</f>
        <v>1</v>
      </c>
      <c r="M50" s="2" t="n">
        <f aca="false">INDEX(Segmentation!$W$2:$W$301,MATCH($A50,Segmentation!$A$2:$A$301,0))</f>
        <v>5</v>
      </c>
      <c r="N50" s="2" t="str">
        <f aca="false">INDEX(Segmentation!$AF$2:$AF$301,MATCH($A50,Segmentation!$A$2:$A$301,0))</f>
        <v>Existing Customer</v>
      </c>
      <c r="O50" s="2" t="n">
        <f aca="false">INDEX(Segmentation!$R$2:$R$301,MATCH($A50,Segmentation!$A$2:$A$301,0))</f>
        <v>8</v>
      </c>
      <c r="P50" s="2" t="n">
        <v>13</v>
      </c>
      <c r="Q50" s="2" t="n">
        <f aca="false">INDEX(Segmentation!$S$2:$S$301,MATCH($A50,Segmentation!$A$2:$A$301,0))</f>
        <v>1</v>
      </c>
      <c r="R50" s="2" t="n">
        <v>20</v>
      </c>
      <c r="S50" s="2" t="n">
        <v>0</v>
      </c>
      <c r="T50" s="2" t="n">
        <v>0</v>
      </c>
      <c r="U50" s="2" t="n">
        <v>7</v>
      </c>
      <c r="V50" s="2" t="n">
        <v>100</v>
      </c>
      <c r="W50" s="2" t="str">
        <f aca="false">IF(V50=100,"Bundle-only",IF(V50=0,"Handpick-only","Mixed"))</f>
        <v>Bundle-only</v>
      </c>
      <c r="X50" s="17" t="n">
        <f aca="false">L50/K50</f>
        <v>0.142857142857143</v>
      </c>
      <c r="Y50" s="9" t="n">
        <f aca="false">J50/K50</f>
        <v>444.428571428571</v>
      </c>
      <c r="Z50" s="10" t="b">
        <f aca="false">O50&gt;=Assumptions!$B$57</f>
        <v>0</v>
      </c>
      <c r="AA50" s="10" t="b">
        <f aca="false">P50&gt;=Assumptions!$B$58</f>
        <v>0</v>
      </c>
      <c r="AB50" s="10" t="b">
        <f aca="false">Q50&gt;=Assumptions!$B$59</f>
        <v>0</v>
      </c>
      <c r="AC50" s="2" t="n">
        <f aca="false">Z50*1+AA50*1+AB50*1</f>
        <v>0</v>
      </c>
      <c r="AD50" s="2" t="str">
        <f aca="false">IF(E50="Broker-Reliant","Broker-led, product-blind",IF(AND(I50="Low",F50&lt;&gt;"Tail",OR(G50="Declining",G50="Lapsed"),OR(O50&gt;=Assumptions!$B$60,P50&gt;=Assumptions!$B$61)),"Engaged but shrinking (Key/Core)",IF(AND(O50&gt;=Assumptions!$B$60,P50&gt;=Assumptions!$B$61,Q50&gt;=Assumptions!$B$62,K50&gt;=Assumptions!$B$63),"Independent browser-buyer",IF(AND(OR(O50&gt;=Assumptions!$B$60,P50&gt;=Assumptions!$B$61),K50&lt;=2),"Engaged, not converting",IF(AND(K50=1,O50&lt;Assumptions!$B$60,P50&lt;Assumptions!$B$61),"One-off low-touch buyer","Light-touch repeat buyer")))))</f>
        <v>Broker-led, product-blind</v>
      </c>
      <c r="AE50" s="10" t="b">
        <f aca="false">INDEX(Segmentation!$AW$2:$AW$301,MATCH($A50,Segmentation!$A$2:$A$301,0))</f>
        <v>0</v>
      </c>
    </row>
    <row r="51" customFormat="false" ht="15" hidden="false" customHeight="false" outlineLevel="0" collapsed="false">
      <c r="A51" s="2" t="s">
        <v>275</v>
      </c>
      <c r="B51" s="2" t="s">
        <v>1571</v>
      </c>
      <c r="C51" s="2" t="s">
        <v>1640</v>
      </c>
      <c r="D51" s="2" t="s">
        <v>1655</v>
      </c>
      <c r="E51" s="2" t="str">
        <f aca="false">INDEX(Segmentation!$H$2:$H$301,MATCH($A51,Segmentation!$A$2:$A$301,0))</f>
        <v>Broker-Reliant</v>
      </c>
      <c r="F51" s="2" t="str">
        <f aca="false">INDEX(Segmentation!$J$2:$J$301,MATCH($A51,Segmentation!$A$2:$A$301,0))</f>
        <v>Core</v>
      </c>
      <c r="G51" s="2" t="str">
        <f aca="false">INDEX(Segmentation!$N$2:$N$301,MATCH($A51,Segmentation!$A$2:$A$301,0))</f>
        <v>Lapsed</v>
      </c>
      <c r="H51" s="2" t="str">
        <f aca="false">INDEX(Segmentation!$T$2:$T$301,MATCH($A51,Segmentation!$A$2:$A$301,0))</f>
        <v>3. Win-Back / Verify</v>
      </c>
      <c r="I51" s="2" t="str">
        <f aca="false">INDEX(Segmentation!$G$2:$G$301,MATCH($A51,Segmentation!$A$2:$A$301,0))</f>
        <v>Medium</v>
      </c>
      <c r="J51" s="9" t="n">
        <f aca="false">INDEX(Segmentation!$I$2:$I$301,MATCH($A51,Segmentation!$A$2:$A$301,0))</f>
        <v>3044</v>
      </c>
      <c r="K51" s="2" t="n">
        <f aca="false">INDEX(Segmentation!$O$2:$O$301,MATCH($A51,Segmentation!$A$2:$A$301,0))</f>
        <v>6</v>
      </c>
      <c r="L51" s="2" t="n">
        <f aca="false">INDEX(Segmentation!$Q$2:$Q$301,MATCH($A51,Segmentation!$A$2:$A$301,0))</f>
        <v>3</v>
      </c>
      <c r="M51" s="2" t="n">
        <f aca="false">INDEX(Segmentation!$W$2:$W$301,MATCH($A51,Segmentation!$A$2:$A$301,0))</f>
        <v>1</v>
      </c>
      <c r="N51" s="2" t="str">
        <f aca="false">INDEX(Segmentation!$AF$2:$AF$301,MATCH($A51,Segmentation!$A$2:$A$301,0))</f>
        <v>Existing Customer</v>
      </c>
      <c r="O51" s="2" t="n">
        <f aca="false">INDEX(Segmentation!$R$2:$R$301,MATCH($A51,Segmentation!$A$2:$A$301,0))</f>
        <v>5</v>
      </c>
      <c r="P51" s="2" t="n">
        <v>9</v>
      </c>
      <c r="Q51" s="2" t="n">
        <f aca="false">INDEX(Segmentation!$S$2:$S$301,MATCH($A51,Segmentation!$A$2:$A$301,0))</f>
        <v>1</v>
      </c>
      <c r="R51" s="2" t="n">
        <v>79</v>
      </c>
      <c r="S51" s="2" t="n">
        <v>1</v>
      </c>
      <c r="T51" s="2" t="n">
        <v>5</v>
      </c>
      <c r="U51" s="2" t="n">
        <v>1</v>
      </c>
      <c r="V51" s="2" t="n">
        <v>14</v>
      </c>
      <c r="W51" s="2" t="str">
        <f aca="false">IF(V51=100,"Bundle-only",IF(V51=0,"Handpick-only","Mixed"))</f>
        <v>Mixed</v>
      </c>
      <c r="X51" s="17" t="n">
        <f aca="false">L51/K51</f>
        <v>0.5</v>
      </c>
      <c r="Y51" s="9" t="n">
        <f aca="false">J51/K51</f>
        <v>507.333333333333</v>
      </c>
      <c r="Z51" s="10" t="b">
        <f aca="false">O51&gt;=Assumptions!$B$57</f>
        <v>0</v>
      </c>
      <c r="AA51" s="10" t="b">
        <f aca="false">P51&gt;=Assumptions!$B$58</f>
        <v>0</v>
      </c>
      <c r="AB51" s="10" t="b">
        <f aca="false">Q51&gt;=Assumptions!$B$59</f>
        <v>0</v>
      </c>
      <c r="AC51" s="2" t="n">
        <f aca="false">Z51*1+AA51*1+AB51*1</f>
        <v>0</v>
      </c>
      <c r="AD51" s="2" t="str">
        <f aca="false">IF(E51="Broker-Reliant","Broker-led, product-blind",IF(AND(I51="Low",F51&lt;&gt;"Tail",OR(G51="Declining",G51="Lapsed"),OR(O51&gt;=Assumptions!$B$60,P51&gt;=Assumptions!$B$61)),"Engaged but shrinking (Key/Core)",IF(AND(O51&gt;=Assumptions!$B$60,P51&gt;=Assumptions!$B$61,Q51&gt;=Assumptions!$B$62,K51&gt;=Assumptions!$B$63),"Independent browser-buyer",IF(AND(OR(O51&gt;=Assumptions!$B$60,P51&gt;=Assumptions!$B$61),K51&lt;=2),"Engaged, not converting",IF(AND(K51=1,O51&lt;Assumptions!$B$60,P51&lt;Assumptions!$B$61),"One-off low-touch buyer","Light-touch repeat buyer")))))</f>
        <v>Broker-led, product-blind</v>
      </c>
      <c r="AE51" s="10" t="b">
        <f aca="false">INDEX(Segmentation!$AW$2:$AW$301,MATCH($A51,Segmentation!$A$2:$A$301,0))</f>
        <v>0</v>
      </c>
    </row>
    <row r="52" customFormat="false" ht="15" hidden="false" customHeight="false" outlineLevel="0" collapsed="false">
      <c r="A52" s="2" t="s">
        <v>278</v>
      </c>
      <c r="B52" s="2" t="s">
        <v>1571</v>
      </c>
      <c r="C52" s="2" t="s">
        <v>1640</v>
      </c>
      <c r="D52" s="2" t="s">
        <v>1657</v>
      </c>
      <c r="E52" s="2" t="str">
        <f aca="false">INDEX(Segmentation!$H$2:$H$301,MATCH($A52,Segmentation!$A$2:$A$301,0))</f>
        <v>AM-Owned / Self-Serving</v>
      </c>
      <c r="F52" s="2" t="str">
        <f aca="false">INDEX(Segmentation!$J$2:$J$301,MATCH($A52,Segmentation!$A$2:$A$301,0))</f>
        <v>Core</v>
      </c>
      <c r="G52" s="2" t="str">
        <f aca="false">INDEX(Segmentation!$N$2:$N$301,MATCH($A52,Segmentation!$A$2:$A$301,0))</f>
        <v>Declining</v>
      </c>
      <c r="H52" s="2" t="str">
        <f aca="false">INDEX(Segmentation!$T$2:$T$301,MATCH($A52,Segmentation!$A$2:$A$301,0))</f>
        <v>8. Retention / Reactivation</v>
      </c>
      <c r="I52" s="2" t="str">
        <f aca="false">INDEX(Segmentation!$G$2:$G$301,MATCH($A52,Segmentation!$A$2:$A$301,0))</f>
        <v>Low</v>
      </c>
      <c r="J52" s="9" t="n">
        <f aca="false">INDEX(Segmentation!$I$2:$I$301,MATCH($A52,Segmentation!$A$2:$A$301,0))</f>
        <v>2992</v>
      </c>
      <c r="K52" s="2" t="n">
        <f aca="false">INDEX(Segmentation!$O$2:$O$301,MATCH($A52,Segmentation!$A$2:$A$301,0))</f>
        <v>7</v>
      </c>
      <c r="L52" s="2" t="n">
        <f aca="false">INDEX(Segmentation!$Q$2:$Q$301,MATCH($A52,Segmentation!$A$2:$A$301,0))</f>
        <v>6</v>
      </c>
      <c r="M52" s="2" t="n">
        <f aca="false">INDEX(Segmentation!$W$2:$W$301,MATCH($A52,Segmentation!$A$2:$A$301,0))</f>
        <v>4</v>
      </c>
      <c r="N52" s="2" t="str">
        <f aca="false">INDEX(Segmentation!$AF$2:$AF$301,MATCH($A52,Segmentation!$A$2:$A$301,0))</f>
        <v>Existing Customer</v>
      </c>
      <c r="O52" s="2" t="n">
        <f aca="false">INDEX(Segmentation!$R$2:$R$301,MATCH($A52,Segmentation!$A$2:$A$301,0))</f>
        <v>113</v>
      </c>
      <c r="P52" s="2" t="n">
        <v>2403</v>
      </c>
      <c r="Q52" s="2" t="n">
        <f aca="false">INDEX(Segmentation!$S$2:$S$301,MATCH($A52,Segmentation!$A$2:$A$301,0))</f>
        <v>4</v>
      </c>
      <c r="R52" s="2" t="n">
        <v>18</v>
      </c>
      <c r="S52" s="2" t="n">
        <v>0</v>
      </c>
      <c r="T52" s="2" t="n">
        <v>1</v>
      </c>
      <c r="U52" s="2" t="n">
        <v>6</v>
      </c>
      <c r="V52" s="2" t="n">
        <v>85</v>
      </c>
      <c r="W52" s="2" t="str">
        <f aca="false">IF(V52=100,"Bundle-only",IF(V52=0,"Handpick-only","Mixed"))</f>
        <v>Mixed</v>
      </c>
      <c r="X52" s="17" t="n">
        <f aca="false">L52/K52</f>
        <v>0.857142857142857</v>
      </c>
      <c r="Y52" s="9" t="n">
        <f aca="false">J52/K52</f>
        <v>427.428571428571</v>
      </c>
      <c r="Z52" s="10" t="b">
        <f aca="false">O52&gt;=Assumptions!$B$57</f>
        <v>1</v>
      </c>
      <c r="AA52" s="10" t="b">
        <f aca="false">P52&gt;=Assumptions!$B$58</f>
        <v>1</v>
      </c>
      <c r="AB52" s="10" t="b">
        <f aca="false">Q52&gt;=Assumptions!$B$59</f>
        <v>1</v>
      </c>
      <c r="AC52" s="2" t="n">
        <f aca="false">Z52*1+AA52*1+AB52*1</f>
        <v>3</v>
      </c>
      <c r="AD52" s="2" t="str">
        <f aca="false">IF(E52="Broker-Reliant","Broker-led, product-blind",IF(AND(I52="Low",F52&lt;&gt;"Tail",OR(G52="Declining",G52="Lapsed"),OR(O52&gt;=Assumptions!$B$60,P52&gt;=Assumptions!$B$61)),"Engaged but shrinking (Key/Core)",IF(AND(O52&gt;=Assumptions!$B$60,P52&gt;=Assumptions!$B$61,Q52&gt;=Assumptions!$B$62,K52&gt;=Assumptions!$B$63),"Independent browser-buyer",IF(AND(OR(O52&gt;=Assumptions!$B$60,P52&gt;=Assumptions!$B$61),K52&lt;=2),"Engaged, not converting",IF(AND(K52=1,O52&lt;Assumptions!$B$60,P52&lt;Assumptions!$B$61),"One-off low-touch buyer","Light-touch repeat buyer")))))</f>
        <v>Engaged but shrinking (Key/Core)</v>
      </c>
      <c r="AE52" s="10" t="b">
        <f aca="false">INDEX(Segmentation!$AW$2:$AW$301,MATCH($A52,Segmentation!$A$2:$A$301,0))</f>
        <v>0</v>
      </c>
    </row>
    <row r="53" customFormat="false" ht="15" hidden="false" customHeight="false" outlineLevel="0" collapsed="false">
      <c r="A53" s="2" t="s">
        <v>281</v>
      </c>
      <c r="B53" s="2" t="s">
        <v>1571</v>
      </c>
      <c r="C53" s="2" t="s">
        <v>1640</v>
      </c>
      <c r="D53" s="2" t="s">
        <v>1653</v>
      </c>
      <c r="E53" s="2" t="str">
        <f aca="false">INDEX(Segmentation!$H$2:$H$301,MATCH($A53,Segmentation!$A$2:$A$301,0))</f>
        <v>Broker-Reliant</v>
      </c>
      <c r="F53" s="2" t="str">
        <f aca="false">INDEX(Segmentation!$J$2:$J$301,MATCH($A53,Segmentation!$A$2:$A$301,0))</f>
        <v>Core</v>
      </c>
      <c r="G53" s="2" t="str">
        <f aca="false">INDEX(Segmentation!$N$2:$N$301,MATCH($A53,Segmentation!$A$2:$A$301,0))</f>
        <v>Declining</v>
      </c>
      <c r="H53" s="2" t="str">
        <f aca="false">INDEX(Segmentation!$T$2:$T$301,MATCH($A53,Segmentation!$A$2:$A$301,0))</f>
        <v>2. Protect / Retain First</v>
      </c>
      <c r="I53" s="2" t="str">
        <f aca="false">INDEX(Segmentation!$G$2:$G$301,MATCH($A53,Segmentation!$A$2:$A$301,0))</f>
        <v>High</v>
      </c>
      <c r="J53" s="9" t="n">
        <f aca="false">INDEX(Segmentation!$I$2:$I$301,MATCH($A53,Segmentation!$A$2:$A$301,0))</f>
        <v>2952</v>
      </c>
      <c r="K53" s="2" t="n">
        <f aca="false">INDEX(Segmentation!$O$2:$O$301,MATCH($A53,Segmentation!$A$2:$A$301,0))</f>
        <v>8</v>
      </c>
      <c r="L53" s="2" t="n">
        <f aca="false">INDEX(Segmentation!$Q$2:$Q$301,MATCH($A53,Segmentation!$A$2:$A$301,0))</f>
        <v>3</v>
      </c>
      <c r="M53" s="2" t="n">
        <f aca="false">INDEX(Segmentation!$W$2:$W$301,MATCH($A53,Segmentation!$A$2:$A$301,0))</f>
        <v>3</v>
      </c>
      <c r="N53" s="2" t="str">
        <f aca="false">INDEX(Segmentation!$AF$2:$AF$301,MATCH($A53,Segmentation!$A$2:$A$301,0))</f>
        <v>Existing Customer</v>
      </c>
      <c r="O53" s="2" t="n">
        <f aca="false">INDEX(Segmentation!$R$2:$R$301,MATCH($A53,Segmentation!$A$2:$A$301,0))</f>
        <v>6</v>
      </c>
      <c r="P53" s="2" t="n">
        <v>8</v>
      </c>
      <c r="Q53" s="2" t="n">
        <f aca="false">INDEX(Segmentation!$S$2:$S$301,MATCH($A53,Segmentation!$A$2:$A$301,0))</f>
        <v>2</v>
      </c>
      <c r="R53" s="2" t="n">
        <v>10</v>
      </c>
      <c r="S53" s="2" t="n">
        <v>4</v>
      </c>
      <c r="T53" s="2" t="n">
        <v>2</v>
      </c>
      <c r="U53" s="2" t="n">
        <v>6</v>
      </c>
      <c r="V53" s="2" t="n">
        <v>69</v>
      </c>
      <c r="W53" s="2" t="str">
        <f aca="false">IF(V53=100,"Bundle-only",IF(V53=0,"Handpick-only","Mixed"))</f>
        <v>Mixed</v>
      </c>
      <c r="X53" s="17" t="n">
        <f aca="false">L53/K53</f>
        <v>0.375</v>
      </c>
      <c r="Y53" s="9" t="n">
        <f aca="false">J53/K53</f>
        <v>369</v>
      </c>
      <c r="Z53" s="10" t="b">
        <f aca="false">O53&gt;=Assumptions!$B$57</f>
        <v>0</v>
      </c>
      <c r="AA53" s="10" t="b">
        <f aca="false">P53&gt;=Assumptions!$B$58</f>
        <v>0</v>
      </c>
      <c r="AB53" s="10" t="b">
        <f aca="false">Q53&gt;=Assumptions!$B$59</f>
        <v>0</v>
      </c>
      <c r="AC53" s="2" t="n">
        <f aca="false">Z53*1+AA53*1+AB53*1</f>
        <v>0</v>
      </c>
      <c r="AD53" s="2" t="str">
        <f aca="false">IF(E53="Broker-Reliant","Broker-led, product-blind",IF(AND(I53="Low",F53&lt;&gt;"Tail",OR(G53="Declining",G53="Lapsed"),OR(O53&gt;=Assumptions!$B$60,P53&gt;=Assumptions!$B$61)),"Engaged but shrinking (Key/Core)",IF(AND(O53&gt;=Assumptions!$B$60,P53&gt;=Assumptions!$B$61,Q53&gt;=Assumptions!$B$62,K53&gt;=Assumptions!$B$63),"Independent browser-buyer",IF(AND(OR(O53&gt;=Assumptions!$B$60,P53&gt;=Assumptions!$B$61),K53&lt;=2),"Engaged, not converting",IF(AND(K53=1,O53&lt;Assumptions!$B$60,P53&lt;Assumptions!$B$61),"One-off low-touch buyer","Light-touch repeat buyer")))))</f>
        <v>Broker-led, product-blind</v>
      </c>
      <c r="AE53" s="10" t="b">
        <f aca="false">INDEX(Segmentation!$AW$2:$AW$301,MATCH($A53,Segmentation!$A$2:$A$301,0))</f>
        <v>0</v>
      </c>
    </row>
    <row r="54" customFormat="false" ht="15" hidden="false" customHeight="false" outlineLevel="0" collapsed="false">
      <c r="A54" s="2" t="s">
        <v>284</v>
      </c>
      <c r="B54" s="2" t="s">
        <v>1571</v>
      </c>
      <c r="C54" s="2" t="s">
        <v>1640</v>
      </c>
      <c r="D54" s="2" t="s">
        <v>1657</v>
      </c>
      <c r="E54" s="2" t="str">
        <f aca="false">INDEX(Segmentation!$H$2:$H$301,MATCH($A54,Segmentation!$A$2:$A$301,0))</f>
        <v>Broker-Reliant</v>
      </c>
      <c r="F54" s="2" t="str">
        <f aca="false">INDEX(Segmentation!$J$2:$J$301,MATCH($A54,Segmentation!$A$2:$A$301,0))</f>
        <v>Core</v>
      </c>
      <c r="G54" s="2" t="str">
        <f aca="false">INDEX(Segmentation!$N$2:$N$301,MATCH($A54,Segmentation!$A$2:$A$301,0))</f>
        <v>Declining</v>
      </c>
      <c r="H54" s="2" t="str">
        <f aca="false">INDEX(Segmentation!$T$2:$T$301,MATCH($A54,Segmentation!$A$2:$A$301,0))</f>
        <v>2. Protect / Retain First</v>
      </c>
      <c r="I54" s="2" t="str">
        <f aca="false">INDEX(Segmentation!$G$2:$G$301,MATCH($A54,Segmentation!$A$2:$A$301,0))</f>
        <v>High</v>
      </c>
      <c r="J54" s="9" t="n">
        <f aca="false">INDEX(Segmentation!$I$2:$I$301,MATCH($A54,Segmentation!$A$2:$A$301,0))</f>
        <v>2581</v>
      </c>
      <c r="K54" s="2" t="n">
        <f aca="false">INDEX(Segmentation!$O$2:$O$301,MATCH($A54,Segmentation!$A$2:$A$301,0))</f>
        <v>7</v>
      </c>
      <c r="L54" s="2" t="n">
        <f aca="false">INDEX(Segmentation!$Q$2:$Q$301,MATCH($A54,Segmentation!$A$2:$A$301,0))</f>
        <v>1</v>
      </c>
      <c r="M54" s="2" t="n">
        <f aca="false">INDEX(Segmentation!$W$2:$W$301,MATCH($A54,Segmentation!$A$2:$A$301,0))</f>
        <v>4</v>
      </c>
      <c r="N54" s="2" t="str">
        <f aca="false">INDEX(Segmentation!$AF$2:$AF$301,MATCH($A54,Segmentation!$A$2:$A$301,0))</f>
        <v>Existing Customer</v>
      </c>
      <c r="O54" s="2" t="n">
        <f aca="false">INDEX(Segmentation!$R$2:$R$301,MATCH($A54,Segmentation!$A$2:$A$301,0))</f>
        <v>7</v>
      </c>
      <c r="P54" s="2" t="n">
        <v>3</v>
      </c>
      <c r="Q54" s="2" t="n">
        <f aca="false">INDEX(Segmentation!$S$2:$S$301,MATCH($A54,Segmentation!$A$2:$A$301,0))</f>
        <v>1</v>
      </c>
      <c r="R54" s="2" t="n">
        <v>166</v>
      </c>
      <c r="S54" s="2" t="n">
        <v>0</v>
      </c>
      <c r="T54" s="2" t="n">
        <v>2</v>
      </c>
      <c r="U54" s="2" t="n">
        <v>5</v>
      </c>
      <c r="V54" s="2" t="n">
        <v>68</v>
      </c>
      <c r="W54" s="2" t="str">
        <f aca="false">IF(V54=100,"Bundle-only",IF(V54=0,"Handpick-only","Mixed"))</f>
        <v>Mixed</v>
      </c>
      <c r="X54" s="17" t="n">
        <f aca="false">L54/K54</f>
        <v>0.142857142857143</v>
      </c>
      <c r="Y54" s="9" t="n">
        <f aca="false">J54/K54</f>
        <v>368.714285714286</v>
      </c>
      <c r="Z54" s="10" t="b">
        <f aca="false">O54&gt;=Assumptions!$B$57</f>
        <v>0</v>
      </c>
      <c r="AA54" s="10" t="b">
        <f aca="false">P54&gt;=Assumptions!$B$58</f>
        <v>0</v>
      </c>
      <c r="AB54" s="10" t="b">
        <f aca="false">Q54&gt;=Assumptions!$B$59</f>
        <v>0</v>
      </c>
      <c r="AC54" s="2" t="n">
        <f aca="false">Z54*1+AA54*1+AB54*1</f>
        <v>0</v>
      </c>
      <c r="AD54" s="2" t="str">
        <f aca="false">IF(E54="Broker-Reliant","Broker-led, product-blind",IF(AND(I54="Low",F54&lt;&gt;"Tail",OR(G54="Declining",G54="Lapsed"),OR(O54&gt;=Assumptions!$B$60,P54&gt;=Assumptions!$B$61)),"Engaged but shrinking (Key/Core)",IF(AND(O54&gt;=Assumptions!$B$60,P54&gt;=Assumptions!$B$61,Q54&gt;=Assumptions!$B$62,K54&gt;=Assumptions!$B$63),"Independent browser-buyer",IF(AND(OR(O54&gt;=Assumptions!$B$60,P54&gt;=Assumptions!$B$61),K54&lt;=2),"Engaged, not converting",IF(AND(K54=1,O54&lt;Assumptions!$B$60,P54&lt;Assumptions!$B$61),"One-off low-touch buyer","Light-touch repeat buyer")))))</f>
        <v>Broker-led, product-blind</v>
      </c>
      <c r="AE54" s="10" t="b">
        <f aca="false">INDEX(Segmentation!$AW$2:$AW$301,MATCH($A54,Segmentation!$A$2:$A$301,0))</f>
        <v>0</v>
      </c>
    </row>
    <row r="55" customFormat="false" ht="15" hidden="false" customHeight="false" outlineLevel="0" collapsed="false">
      <c r="A55" s="2" t="s">
        <v>287</v>
      </c>
      <c r="B55" s="2" t="s">
        <v>1571</v>
      </c>
      <c r="C55" s="2" t="s">
        <v>1640</v>
      </c>
      <c r="D55" s="2" t="s">
        <v>1653</v>
      </c>
      <c r="E55" s="2" t="str">
        <f aca="false">INDEX(Segmentation!$H$2:$H$301,MATCH($A55,Segmentation!$A$2:$A$301,0))</f>
        <v>Broker-Reliant</v>
      </c>
      <c r="F55" s="2" t="str">
        <f aca="false">INDEX(Segmentation!$J$2:$J$301,MATCH($A55,Segmentation!$A$2:$A$301,0))</f>
        <v>Core</v>
      </c>
      <c r="G55" s="2" t="str">
        <f aca="false">INDEX(Segmentation!$N$2:$N$301,MATCH($A55,Segmentation!$A$2:$A$301,0))</f>
        <v>Declining</v>
      </c>
      <c r="H55" s="2" t="str">
        <f aca="false">INDEX(Segmentation!$T$2:$T$301,MATCH($A55,Segmentation!$A$2:$A$301,0))</f>
        <v>2. Protect / Retain First</v>
      </c>
      <c r="I55" s="2" t="str">
        <f aca="false">INDEX(Segmentation!$G$2:$G$301,MATCH($A55,Segmentation!$A$2:$A$301,0))</f>
        <v>High</v>
      </c>
      <c r="J55" s="9" t="n">
        <f aca="false">INDEX(Segmentation!$I$2:$I$301,MATCH($A55,Segmentation!$A$2:$A$301,0))</f>
        <v>2516</v>
      </c>
      <c r="K55" s="2" t="n">
        <f aca="false">INDEX(Segmentation!$O$2:$O$301,MATCH($A55,Segmentation!$A$2:$A$301,0))</f>
        <v>9</v>
      </c>
      <c r="L55" s="2" t="n">
        <f aca="false">INDEX(Segmentation!$Q$2:$Q$301,MATCH($A55,Segmentation!$A$2:$A$301,0))</f>
        <v>2</v>
      </c>
      <c r="M55" s="2" t="n">
        <f aca="false">INDEX(Segmentation!$W$2:$W$301,MATCH($A55,Segmentation!$A$2:$A$301,0))</f>
        <v>5</v>
      </c>
      <c r="N55" s="2" t="str">
        <f aca="false">INDEX(Segmentation!$AF$2:$AF$301,MATCH($A55,Segmentation!$A$2:$A$301,0))</f>
        <v>Existing Customer</v>
      </c>
      <c r="O55" s="2" t="n">
        <f aca="false">INDEX(Segmentation!$R$2:$R$301,MATCH($A55,Segmentation!$A$2:$A$301,0))</f>
        <v>3</v>
      </c>
      <c r="P55" s="2" t="n">
        <v>4</v>
      </c>
      <c r="Q55" s="2" t="n">
        <f aca="false">INDEX(Segmentation!$S$2:$S$301,MATCH($A55,Segmentation!$A$2:$A$301,0))</f>
        <v>1</v>
      </c>
      <c r="R55" s="2" t="n">
        <v>2</v>
      </c>
      <c r="S55" s="2" t="n">
        <v>0</v>
      </c>
      <c r="T55" s="2" t="n">
        <v>2</v>
      </c>
      <c r="U55" s="2" t="n">
        <v>7</v>
      </c>
      <c r="V55" s="2" t="n">
        <v>88</v>
      </c>
      <c r="W55" s="2" t="str">
        <f aca="false">IF(V55=100,"Bundle-only",IF(V55=0,"Handpick-only","Mixed"))</f>
        <v>Mixed</v>
      </c>
      <c r="X55" s="17" t="n">
        <f aca="false">L55/K55</f>
        <v>0.222222222222222</v>
      </c>
      <c r="Y55" s="9" t="n">
        <f aca="false">J55/K55</f>
        <v>279.555555555556</v>
      </c>
      <c r="Z55" s="10" t="b">
        <f aca="false">O55&gt;=Assumptions!$B$57</f>
        <v>0</v>
      </c>
      <c r="AA55" s="10" t="b">
        <f aca="false">P55&gt;=Assumptions!$B$58</f>
        <v>0</v>
      </c>
      <c r="AB55" s="10" t="b">
        <f aca="false">Q55&gt;=Assumptions!$B$59</f>
        <v>0</v>
      </c>
      <c r="AC55" s="2" t="n">
        <f aca="false">Z55*1+AA55*1+AB55*1</f>
        <v>0</v>
      </c>
      <c r="AD55" s="2" t="str">
        <f aca="false">IF(E55="Broker-Reliant","Broker-led, product-blind",IF(AND(I55="Low",F55&lt;&gt;"Tail",OR(G55="Declining",G55="Lapsed"),OR(O55&gt;=Assumptions!$B$60,P55&gt;=Assumptions!$B$61)),"Engaged but shrinking (Key/Core)",IF(AND(O55&gt;=Assumptions!$B$60,P55&gt;=Assumptions!$B$61,Q55&gt;=Assumptions!$B$62,K55&gt;=Assumptions!$B$63),"Independent browser-buyer",IF(AND(OR(O55&gt;=Assumptions!$B$60,P55&gt;=Assumptions!$B$61),K55&lt;=2),"Engaged, not converting",IF(AND(K55=1,O55&lt;Assumptions!$B$60,P55&lt;Assumptions!$B$61),"One-off low-touch buyer","Light-touch repeat buyer")))))</f>
        <v>Broker-led, product-blind</v>
      </c>
      <c r="AE55" s="10" t="b">
        <f aca="false">INDEX(Segmentation!$AW$2:$AW$301,MATCH($A55,Segmentation!$A$2:$A$301,0))</f>
        <v>0</v>
      </c>
    </row>
    <row r="56" customFormat="false" ht="15" hidden="false" customHeight="false" outlineLevel="0" collapsed="false">
      <c r="A56" s="2" t="s">
        <v>290</v>
      </c>
      <c r="B56" s="2" t="s">
        <v>1571</v>
      </c>
      <c r="C56" s="2" t="s">
        <v>1640</v>
      </c>
      <c r="D56" s="2" t="s">
        <v>1653</v>
      </c>
      <c r="E56" s="2" t="str">
        <f aca="false">INDEX(Segmentation!$H$2:$H$301,MATCH($A56,Segmentation!$A$2:$A$301,0))</f>
        <v>Broker-Reliant</v>
      </c>
      <c r="F56" s="2" t="str">
        <f aca="false">INDEX(Segmentation!$J$2:$J$301,MATCH($A56,Segmentation!$A$2:$A$301,0))</f>
        <v>Core</v>
      </c>
      <c r="G56" s="2" t="str">
        <f aca="false">INDEX(Segmentation!$N$2:$N$301,MATCH($A56,Segmentation!$A$2:$A$301,0))</f>
        <v>Declining</v>
      </c>
      <c r="H56" s="2" t="str">
        <f aca="false">INDEX(Segmentation!$T$2:$T$301,MATCH($A56,Segmentation!$A$2:$A$301,0))</f>
        <v>2. Protect / Retain First</v>
      </c>
      <c r="I56" s="2" t="str">
        <f aca="false">INDEX(Segmentation!$G$2:$G$301,MATCH($A56,Segmentation!$A$2:$A$301,0))</f>
        <v>High</v>
      </c>
      <c r="J56" s="9" t="n">
        <f aca="false">INDEX(Segmentation!$I$2:$I$301,MATCH($A56,Segmentation!$A$2:$A$301,0))</f>
        <v>2514</v>
      </c>
      <c r="K56" s="2" t="n">
        <f aca="false">INDEX(Segmentation!$O$2:$O$301,MATCH($A56,Segmentation!$A$2:$A$301,0))</f>
        <v>12</v>
      </c>
      <c r="L56" s="2" t="n">
        <f aca="false">INDEX(Segmentation!$Q$2:$Q$301,MATCH($A56,Segmentation!$A$2:$A$301,0))</f>
        <v>3</v>
      </c>
      <c r="M56" s="2" t="n">
        <f aca="false">INDEX(Segmentation!$W$2:$W$301,MATCH($A56,Segmentation!$A$2:$A$301,0))</f>
        <v>5</v>
      </c>
      <c r="N56" s="2" t="str">
        <f aca="false">INDEX(Segmentation!$AF$2:$AF$301,MATCH($A56,Segmentation!$A$2:$A$301,0))</f>
        <v>Existing Customer</v>
      </c>
      <c r="O56" s="2" t="n">
        <f aca="false">INDEX(Segmentation!$R$2:$R$301,MATCH($A56,Segmentation!$A$2:$A$301,0))</f>
        <v>5</v>
      </c>
      <c r="P56" s="2" t="n">
        <v>14</v>
      </c>
      <c r="Q56" s="2" t="n">
        <f aca="false">INDEX(Segmentation!$S$2:$S$301,MATCH($A56,Segmentation!$A$2:$A$301,0))</f>
        <v>2</v>
      </c>
      <c r="R56" s="2" t="n">
        <v>13</v>
      </c>
      <c r="S56" s="2" t="n">
        <v>0</v>
      </c>
      <c r="T56" s="2" t="n">
        <v>0</v>
      </c>
      <c r="U56" s="2" t="n">
        <v>12</v>
      </c>
      <c r="V56" s="2" t="n">
        <v>100</v>
      </c>
      <c r="W56" s="2" t="str">
        <f aca="false">IF(V56=100,"Bundle-only",IF(V56=0,"Handpick-only","Mixed"))</f>
        <v>Bundle-only</v>
      </c>
      <c r="X56" s="17" t="n">
        <f aca="false">L56/K56</f>
        <v>0.25</v>
      </c>
      <c r="Y56" s="9" t="n">
        <f aca="false">J56/K56</f>
        <v>209.5</v>
      </c>
      <c r="Z56" s="10" t="b">
        <f aca="false">O56&gt;=Assumptions!$B$57</f>
        <v>0</v>
      </c>
      <c r="AA56" s="10" t="b">
        <f aca="false">P56&gt;=Assumptions!$B$58</f>
        <v>0</v>
      </c>
      <c r="AB56" s="10" t="b">
        <f aca="false">Q56&gt;=Assumptions!$B$59</f>
        <v>0</v>
      </c>
      <c r="AC56" s="2" t="n">
        <f aca="false">Z56*1+AA56*1+AB56*1</f>
        <v>0</v>
      </c>
      <c r="AD56" s="2" t="str">
        <f aca="false">IF(E56="Broker-Reliant","Broker-led, product-blind",IF(AND(I56="Low",F56&lt;&gt;"Tail",OR(G56="Declining",G56="Lapsed"),OR(O56&gt;=Assumptions!$B$60,P56&gt;=Assumptions!$B$61)),"Engaged but shrinking (Key/Core)",IF(AND(O56&gt;=Assumptions!$B$60,P56&gt;=Assumptions!$B$61,Q56&gt;=Assumptions!$B$62,K56&gt;=Assumptions!$B$63),"Independent browser-buyer",IF(AND(OR(O56&gt;=Assumptions!$B$60,P56&gt;=Assumptions!$B$61),K56&lt;=2),"Engaged, not converting",IF(AND(K56=1,O56&lt;Assumptions!$B$60,P56&lt;Assumptions!$B$61),"One-off low-touch buyer","Light-touch repeat buyer")))))</f>
        <v>Broker-led, product-blind</v>
      </c>
      <c r="AE56" s="10" t="b">
        <f aca="false">INDEX(Segmentation!$AW$2:$AW$301,MATCH($A56,Segmentation!$A$2:$A$301,0))</f>
        <v>0</v>
      </c>
    </row>
    <row r="57" customFormat="false" ht="15" hidden="false" customHeight="false" outlineLevel="0" collapsed="false">
      <c r="A57" s="2" t="s">
        <v>442</v>
      </c>
      <c r="B57" s="2" t="s">
        <v>1571</v>
      </c>
      <c r="C57" s="2" t="s">
        <v>1640</v>
      </c>
      <c r="D57" s="2" t="s">
        <v>1653</v>
      </c>
      <c r="E57" s="2" t="str">
        <f aca="false">INDEX(Segmentation!$H$2:$H$301,MATCH($A57,Segmentation!$A$2:$A$301,0))</f>
        <v>Broker-Reliant</v>
      </c>
      <c r="F57" s="2" t="str">
        <f aca="false">INDEX(Segmentation!$J$2:$J$301,MATCH($A57,Segmentation!$A$2:$A$301,0))</f>
        <v>Core</v>
      </c>
      <c r="G57" s="2" t="str">
        <f aca="false">INDEX(Segmentation!$N$2:$N$301,MATCH($A57,Segmentation!$A$2:$A$301,0))</f>
        <v>Stable</v>
      </c>
      <c r="H57" s="2" t="str">
        <f aca="false">INDEX(Segmentation!$T$2:$T$301,MATCH($A57,Segmentation!$A$2:$A$301,0))</f>
        <v>1. Migration Candidate</v>
      </c>
      <c r="I57" s="2" t="str">
        <f aca="false">INDEX(Segmentation!$G$2:$G$301,MATCH($A57,Segmentation!$A$2:$A$301,0))</f>
        <v>Medium</v>
      </c>
      <c r="J57" s="9" t="n">
        <f aca="false">INDEX(Segmentation!$I$2:$I$301,MATCH($A57,Segmentation!$A$2:$A$301,0))</f>
        <v>2380</v>
      </c>
      <c r="K57" s="2" t="n">
        <f aca="false">INDEX(Segmentation!$O$2:$O$301,MATCH($A57,Segmentation!$A$2:$A$301,0))</f>
        <v>5</v>
      </c>
      <c r="L57" s="2" t="n">
        <f aca="false">INDEX(Segmentation!$Q$2:$Q$301,MATCH($A57,Segmentation!$A$2:$A$301,0))</f>
        <v>2</v>
      </c>
      <c r="M57" s="2" t="n">
        <f aca="false">INDEX(Segmentation!$W$2:$W$301,MATCH($A57,Segmentation!$A$2:$A$301,0))</f>
        <v>3</v>
      </c>
      <c r="N57" s="2" t="str">
        <f aca="false">INDEX(Segmentation!$AF$2:$AF$301,MATCH($A57,Segmentation!$A$2:$A$301,0))</f>
        <v>Existing Customer</v>
      </c>
      <c r="O57" s="2" t="n">
        <f aca="false">INDEX(Segmentation!$R$2:$R$301,MATCH($A57,Segmentation!$A$2:$A$301,0))</f>
        <v>7</v>
      </c>
      <c r="P57" s="2" t="n">
        <v>9</v>
      </c>
      <c r="Q57" s="2" t="n">
        <f aca="false">INDEX(Segmentation!$S$2:$S$301,MATCH($A57,Segmentation!$A$2:$A$301,0))</f>
        <v>1</v>
      </c>
      <c r="R57" s="2" t="n">
        <v>9</v>
      </c>
      <c r="S57" s="2" t="n">
        <v>0</v>
      </c>
      <c r="T57" s="2" t="n">
        <v>2</v>
      </c>
      <c r="U57" s="2" t="n">
        <v>3</v>
      </c>
      <c r="V57" s="2" t="n">
        <v>59</v>
      </c>
      <c r="W57" s="2" t="str">
        <f aca="false">IF(V57=100,"Bundle-only",IF(V57=0,"Handpick-only","Mixed"))</f>
        <v>Mixed</v>
      </c>
      <c r="X57" s="17" t="n">
        <f aca="false">L57/K57</f>
        <v>0.4</v>
      </c>
      <c r="Y57" s="9" t="n">
        <f aca="false">J57/K57</f>
        <v>476</v>
      </c>
      <c r="Z57" s="10" t="b">
        <f aca="false">O57&gt;=Assumptions!$B$57</f>
        <v>0</v>
      </c>
      <c r="AA57" s="10" t="b">
        <f aca="false">P57&gt;=Assumptions!$B$58</f>
        <v>0</v>
      </c>
      <c r="AB57" s="10" t="b">
        <f aca="false">Q57&gt;=Assumptions!$B$59</f>
        <v>0</v>
      </c>
      <c r="AC57" s="2" t="n">
        <f aca="false">Z57*1+AA57*1+AB57*1</f>
        <v>0</v>
      </c>
      <c r="AD57" s="2" t="str">
        <f aca="false">IF(E57="Broker-Reliant","Broker-led, product-blind",IF(AND(I57="Low",F57&lt;&gt;"Tail",OR(G57="Declining",G57="Lapsed"),OR(O57&gt;=Assumptions!$B$60,P57&gt;=Assumptions!$B$61)),"Engaged but shrinking (Key/Core)",IF(AND(O57&gt;=Assumptions!$B$60,P57&gt;=Assumptions!$B$61,Q57&gt;=Assumptions!$B$62,K57&gt;=Assumptions!$B$63),"Independent browser-buyer",IF(AND(OR(O57&gt;=Assumptions!$B$60,P57&gt;=Assumptions!$B$61),K57&lt;=2),"Engaged, not converting",IF(AND(K57=1,O57&lt;Assumptions!$B$60,P57&lt;Assumptions!$B$61),"One-off low-touch buyer","Light-touch repeat buyer")))))</f>
        <v>Broker-led, product-blind</v>
      </c>
      <c r="AE57" s="10" t="b">
        <f aca="false">INDEX(Segmentation!$AW$2:$AW$301,MATCH($A57,Segmentation!$A$2:$A$301,0))</f>
        <v>0</v>
      </c>
    </row>
    <row r="58" customFormat="false" ht="15" hidden="false" customHeight="false" outlineLevel="0" collapsed="false">
      <c r="A58" s="2" t="s">
        <v>469</v>
      </c>
      <c r="B58" s="2" t="s">
        <v>1571</v>
      </c>
      <c r="C58" s="2" t="s">
        <v>1640</v>
      </c>
      <c r="D58" s="2" t="s">
        <v>1658</v>
      </c>
      <c r="E58" s="2" t="str">
        <f aca="false">INDEX(Segmentation!$H$2:$H$301,MATCH($A58,Segmentation!$A$2:$A$301,0))</f>
        <v>Broker-Reliant</v>
      </c>
      <c r="F58" s="2" t="str">
        <f aca="false">INDEX(Segmentation!$J$2:$J$301,MATCH($A58,Segmentation!$A$2:$A$301,0))</f>
        <v>Core</v>
      </c>
      <c r="G58" s="2" t="str">
        <f aca="false">INDEX(Segmentation!$N$2:$N$301,MATCH($A58,Segmentation!$A$2:$A$301,0))</f>
        <v>Stable</v>
      </c>
      <c r="H58" s="2" t="str">
        <f aca="false">INDEX(Segmentation!$T$2:$T$301,MATCH($A58,Segmentation!$A$2:$A$301,0))</f>
        <v>1. Migration Candidate</v>
      </c>
      <c r="I58" s="2" t="str">
        <f aca="false">INDEX(Segmentation!$G$2:$G$301,MATCH($A58,Segmentation!$A$2:$A$301,0))</f>
        <v>High</v>
      </c>
      <c r="J58" s="9" t="n">
        <f aca="false">INDEX(Segmentation!$I$2:$I$301,MATCH($A58,Segmentation!$A$2:$A$301,0))</f>
        <v>2366</v>
      </c>
      <c r="K58" s="2" t="n">
        <f aca="false">INDEX(Segmentation!$O$2:$O$301,MATCH($A58,Segmentation!$A$2:$A$301,0))</f>
        <v>3</v>
      </c>
      <c r="L58" s="2" t="n">
        <f aca="false">INDEX(Segmentation!$Q$2:$Q$301,MATCH($A58,Segmentation!$A$2:$A$301,0))</f>
        <v>1</v>
      </c>
      <c r="M58" s="2" t="n">
        <f aca="false">INDEX(Segmentation!$W$2:$W$301,MATCH($A58,Segmentation!$A$2:$A$301,0))</f>
        <v>3</v>
      </c>
      <c r="N58" s="2" t="str">
        <f aca="false">INDEX(Segmentation!$AF$2:$AF$301,MATCH($A58,Segmentation!$A$2:$A$301,0))</f>
        <v>Existing Customer</v>
      </c>
      <c r="O58" s="2" t="n">
        <f aca="false">INDEX(Segmentation!$R$2:$R$301,MATCH($A58,Segmentation!$A$2:$A$301,0))</f>
        <v>4</v>
      </c>
      <c r="P58" s="2" t="n">
        <v>4</v>
      </c>
      <c r="Q58" s="2" t="n">
        <f aca="false">INDEX(Segmentation!$S$2:$S$301,MATCH($A58,Segmentation!$A$2:$A$301,0))</f>
        <v>1</v>
      </c>
      <c r="R58" s="2" t="n">
        <v>2</v>
      </c>
      <c r="S58" s="2" t="n">
        <v>0</v>
      </c>
      <c r="T58" s="2" t="n">
        <v>0</v>
      </c>
      <c r="U58" s="2" t="n">
        <v>3</v>
      </c>
      <c r="V58" s="2" t="n">
        <v>100</v>
      </c>
      <c r="W58" s="2" t="str">
        <f aca="false">IF(V58=100,"Bundle-only",IF(V58=0,"Handpick-only","Mixed"))</f>
        <v>Bundle-only</v>
      </c>
      <c r="X58" s="17" t="n">
        <f aca="false">L58/K58</f>
        <v>0.333333333333333</v>
      </c>
      <c r="Y58" s="9" t="n">
        <f aca="false">J58/K58</f>
        <v>788.666666666667</v>
      </c>
      <c r="Z58" s="10" t="b">
        <f aca="false">O58&gt;=Assumptions!$B$57</f>
        <v>0</v>
      </c>
      <c r="AA58" s="10" t="b">
        <f aca="false">P58&gt;=Assumptions!$B$58</f>
        <v>0</v>
      </c>
      <c r="AB58" s="10" t="b">
        <f aca="false">Q58&gt;=Assumptions!$B$59</f>
        <v>0</v>
      </c>
      <c r="AC58" s="2" t="n">
        <f aca="false">Z58*1+AA58*1+AB58*1</f>
        <v>0</v>
      </c>
      <c r="AD58" s="2" t="str">
        <f aca="false">IF(E58="Broker-Reliant","Broker-led, product-blind",IF(AND(I58="Low",F58&lt;&gt;"Tail",OR(G58="Declining",G58="Lapsed"),OR(O58&gt;=Assumptions!$B$60,P58&gt;=Assumptions!$B$61)),"Engaged but shrinking (Key/Core)",IF(AND(O58&gt;=Assumptions!$B$60,P58&gt;=Assumptions!$B$61,Q58&gt;=Assumptions!$B$62,K58&gt;=Assumptions!$B$63),"Independent browser-buyer",IF(AND(OR(O58&gt;=Assumptions!$B$60,P58&gt;=Assumptions!$B$61),K58&lt;=2),"Engaged, not converting",IF(AND(K58=1,O58&lt;Assumptions!$B$60,P58&lt;Assumptions!$B$61),"One-off low-touch buyer","Light-touch repeat buyer")))))</f>
        <v>Broker-led, product-blind</v>
      </c>
      <c r="AE58" s="10" t="b">
        <f aca="false">INDEX(Segmentation!$AW$2:$AW$301,MATCH($A58,Segmentation!$A$2:$A$301,0))</f>
        <v>0</v>
      </c>
    </row>
    <row r="59" customFormat="false" ht="15" hidden="false" customHeight="false" outlineLevel="0" collapsed="false">
      <c r="A59" s="2" t="s">
        <v>446</v>
      </c>
      <c r="B59" s="2" t="s">
        <v>1571</v>
      </c>
      <c r="C59" s="2" t="s">
        <v>1640</v>
      </c>
      <c r="D59" s="2" t="s">
        <v>1655</v>
      </c>
      <c r="E59" s="2" t="str">
        <f aca="false">INDEX(Segmentation!$H$2:$H$301,MATCH($A59,Segmentation!$A$2:$A$301,0))</f>
        <v>Broker-Reliant</v>
      </c>
      <c r="F59" s="2" t="str">
        <f aca="false">INDEX(Segmentation!$J$2:$J$301,MATCH($A59,Segmentation!$A$2:$A$301,0))</f>
        <v>Core</v>
      </c>
      <c r="G59" s="2" t="str">
        <f aca="false">INDEX(Segmentation!$N$2:$N$301,MATCH($A59,Segmentation!$A$2:$A$301,0))</f>
        <v>Growing</v>
      </c>
      <c r="H59" s="2" t="str">
        <f aca="false">INDEX(Segmentation!$T$2:$T$301,MATCH($A59,Segmentation!$A$2:$A$301,0))</f>
        <v>1. Migration Candidate</v>
      </c>
      <c r="I59" s="2" t="str">
        <f aca="false">INDEX(Segmentation!$G$2:$G$301,MATCH($A59,Segmentation!$A$2:$A$301,0))</f>
        <v>Medium</v>
      </c>
      <c r="J59" s="9" t="n">
        <f aca="false">INDEX(Segmentation!$I$2:$I$301,MATCH($A59,Segmentation!$A$2:$A$301,0))</f>
        <v>2277</v>
      </c>
      <c r="K59" s="2" t="n">
        <f aca="false">INDEX(Segmentation!$O$2:$O$301,MATCH($A59,Segmentation!$A$2:$A$301,0))</f>
        <v>8</v>
      </c>
      <c r="L59" s="2" t="n">
        <f aca="false">INDEX(Segmentation!$Q$2:$Q$301,MATCH($A59,Segmentation!$A$2:$A$301,0))</f>
        <v>4</v>
      </c>
      <c r="M59" s="2" t="n">
        <f aca="false">INDEX(Segmentation!$W$2:$W$301,MATCH($A59,Segmentation!$A$2:$A$301,0))</f>
        <v>2</v>
      </c>
      <c r="N59" s="2" t="str">
        <f aca="false">INDEX(Segmentation!$AF$2:$AF$301,MATCH($A59,Segmentation!$A$2:$A$301,0))</f>
        <v>Existing Customer</v>
      </c>
      <c r="O59" s="2" t="n">
        <f aca="false">INDEX(Segmentation!$R$2:$R$301,MATCH($A59,Segmentation!$A$2:$A$301,0))</f>
        <v>5</v>
      </c>
      <c r="P59" s="2" t="n">
        <v>3</v>
      </c>
      <c r="Q59" s="2" t="n">
        <f aca="false">INDEX(Segmentation!$S$2:$S$301,MATCH($A59,Segmentation!$A$2:$A$301,0))</f>
        <v>0</v>
      </c>
      <c r="R59" s="2" t="n">
        <v>21</v>
      </c>
      <c r="S59" s="2" t="n">
        <v>2</v>
      </c>
      <c r="T59" s="2" t="n">
        <v>2</v>
      </c>
      <c r="U59" s="2" t="n">
        <v>6</v>
      </c>
      <c r="V59" s="2" t="n">
        <v>42</v>
      </c>
      <c r="W59" s="2" t="str">
        <f aca="false">IF(V59=100,"Bundle-only",IF(V59=0,"Handpick-only","Mixed"))</f>
        <v>Mixed</v>
      </c>
      <c r="X59" s="17" t="n">
        <f aca="false">L59/K59</f>
        <v>0.5</v>
      </c>
      <c r="Y59" s="9" t="n">
        <f aca="false">J59/K59</f>
        <v>284.625</v>
      </c>
      <c r="Z59" s="10" t="b">
        <f aca="false">O59&gt;=Assumptions!$B$57</f>
        <v>0</v>
      </c>
      <c r="AA59" s="10" t="b">
        <f aca="false">P59&gt;=Assumptions!$B$58</f>
        <v>0</v>
      </c>
      <c r="AB59" s="10" t="b">
        <f aca="false">Q59&gt;=Assumptions!$B$59</f>
        <v>0</v>
      </c>
      <c r="AC59" s="2" t="n">
        <f aca="false">Z59*1+AA59*1+AB59*1</f>
        <v>0</v>
      </c>
      <c r="AD59" s="2" t="str">
        <f aca="false">IF(E59="Broker-Reliant","Broker-led, product-blind",IF(AND(I59="Low",F59&lt;&gt;"Tail",OR(G59="Declining",G59="Lapsed"),OR(O59&gt;=Assumptions!$B$60,P59&gt;=Assumptions!$B$61)),"Engaged but shrinking (Key/Core)",IF(AND(O59&gt;=Assumptions!$B$60,P59&gt;=Assumptions!$B$61,Q59&gt;=Assumptions!$B$62,K59&gt;=Assumptions!$B$63),"Independent browser-buyer",IF(AND(OR(O59&gt;=Assumptions!$B$60,P59&gt;=Assumptions!$B$61),K59&lt;=2),"Engaged, not converting",IF(AND(K59=1,O59&lt;Assumptions!$B$60,P59&lt;Assumptions!$B$61),"One-off low-touch buyer","Light-touch repeat buyer")))))</f>
        <v>Broker-led, product-blind</v>
      </c>
      <c r="AE59" s="10" t="b">
        <f aca="false">INDEX(Segmentation!$AW$2:$AW$301,MATCH($A59,Segmentation!$A$2:$A$301,0))</f>
        <v>0</v>
      </c>
    </row>
    <row r="60" customFormat="false" ht="15" hidden="false" customHeight="false" outlineLevel="0" collapsed="false">
      <c r="A60" s="2" t="s">
        <v>293</v>
      </c>
      <c r="B60" s="2" t="s">
        <v>1571</v>
      </c>
      <c r="C60" s="2" t="s">
        <v>1640</v>
      </c>
      <c r="D60" s="2" t="s">
        <v>1653</v>
      </c>
      <c r="E60" s="2" t="str">
        <f aca="false">INDEX(Segmentation!$H$2:$H$301,MATCH($A60,Segmentation!$A$2:$A$301,0))</f>
        <v>Broker-Reliant</v>
      </c>
      <c r="F60" s="2" t="str">
        <f aca="false">INDEX(Segmentation!$J$2:$J$301,MATCH($A60,Segmentation!$A$2:$A$301,0))</f>
        <v>Core</v>
      </c>
      <c r="G60" s="2" t="str">
        <f aca="false">INDEX(Segmentation!$N$2:$N$301,MATCH($A60,Segmentation!$A$2:$A$301,0))</f>
        <v>Declining</v>
      </c>
      <c r="H60" s="2" t="str">
        <f aca="false">INDEX(Segmentation!$T$2:$T$301,MATCH($A60,Segmentation!$A$2:$A$301,0))</f>
        <v>2. Protect / Retain First</v>
      </c>
      <c r="I60" s="2" t="str">
        <f aca="false">INDEX(Segmentation!$G$2:$G$301,MATCH($A60,Segmentation!$A$2:$A$301,0))</f>
        <v>High</v>
      </c>
      <c r="J60" s="9" t="n">
        <f aca="false">INDEX(Segmentation!$I$2:$I$301,MATCH($A60,Segmentation!$A$2:$A$301,0))</f>
        <v>2262</v>
      </c>
      <c r="K60" s="2" t="n">
        <f aca="false">INDEX(Segmentation!$O$2:$O$301,MATCH($A60,Segmentation!$A$2:$A$301,0))</f>
        <v>3</v>
      </c>
      <c r="L60" s="2" t="n">
        <f aca="false">INDEX(Segmentation!$Q$2:$Q$301,MATCH($A60,Segmentation!$A$2:$A$301,0))</f>
        <v>1</v>
      </c>
      <c r="M60" s="2" t="n">
        <f aca="false">INDEX(Segmentation!$W$2:$W$301,MATCH($A60,Segmentation!$A$2:$A$301,0))</f>
        <v>3</v>
      </c>
      <c r="N60" s="2" t="str">
        <f aca="false">INDEX(Segmentation!$AF$2:$AF$301,MATCH($A60,Segmentation!$A$2:$A$301,0))</f>
        <v>Existing Customer</v>
      </c>
      <c r="O60" s="2" t="n">
        <f aca="false">INDEX(Segmentation!$R$2:$R$301,MATCH($A60,Segmentation!$A$2:$A$301,0))</f>
        <v>1</v>
      </c>
      <c r="P60" s="2" t="n">
        <v>8</v>
      </c>
      <c r="Q60" s="2" t="n">
        <f aca="false">INDEX(Segmentation!$S$2:$S$301,MATCH($A60,Segmentation!$A$2:$A$301,0))</f>
        <v>1</v>
      </c>
      <c r="R60" s="2" t="n">
        <v>30</v>
      </c>
      <c r="S60" s="2" t="n">
        <v>1</v>
      </c>
      <c r="T60" s="2" t="n">
        <v>3</v>
      </c>
      <c r="U60" s="2" t="n">
        <v>0</v>
      </c>
      <c r="V60" s="2" t="n">
        <v>0</v>
      </c>
      <c r="W60" s="2" t="str">
        <f aca="false">IF(V60=100,"Bundle-only",IF(V60=0,"Handpick-only","Mixed"))</f>
        <v>Handpick-only</v>
      </c>
      <c r="X60" s="17" t="n">
        <f aca="false">L60/K60</f>
        <v>0.333333333333333</v>
      </c>
      <c r="Y60" s="9" t="n">
        <f aca="false">J60/K60</f>
        <v>754</v>
      </c>
      <c r="Z60" s="10" t="b">
        <f aca="false">O60&gt;=Assumptions!$B$57</f>
        <v>0</v>
      </c>
      <c r="AA60" s="10" t="b">
        <f aca="false">P60&gt;=Assumptions!$B$58</f>
        <v>0</v>
      </c>
      <c r="AB60" s="10" t="b">
        <f aca="false">Q60&gt;=Assumptions!$B$59</f>
        <v>0</v>
      </c>
      <c r="AC60" s="2" t="n">
        <f aca="false">Z60*1+AA60*1+AB60*1</f>
        <v>0</v>
      </c>
      <c r="AD60" s="2" t="str">
        <f aca="false">IF(E60="Broker-Reliant","Broker-led, product-blind",IF(AND(I60="Low",F60&lt;&gt;"Tail",OR(G60="Declining",G60="Lapsed"),OR(O60&gt;=Assumptions!$B$60,P60&gt;=Assumptions!$B$61)),"Engaged but shrinking (Key/Core)",IF(AND(O60&gt;=Assumptions!$B$60,P60&gt;=Assumptions!$B$61,Q60&gt;=Assumptions!$B$62,K60&gt;=Assumptions!$B$63),"Independent browser-buyer",IF(AND(OR(O60&gt;=Assumptions!$B$60,P60&gt;=Assumptions!$B$61),K60&lt;=2),"Engaged, not converting",IF(AND(K60=1,O60&lt;Assumptions!$B$60,P60&lt;Assumptions!$B$61),"One-off low-touch buyer","Light-touch repeat buyer")))))</f>
        <v>Broker-led, product-blind</v>
      </c>
      <c r="AE60" s="10" t="b">
        <f aca="false">INDEX(Segmentation!$AW$2:$AW$301,MATCH($A60,Segmentation!$A$2:$A$301,0))</f>
        <v>0</v>
      </c>
    </row>
    <row r="61" customFormat="false" ht="15" hidden="false" customHeight="false" outlineLevel="0" collapsed="false">
      <c r="A61" s="2" t="s">
        <v>297</v>
      </c>
      <c r="B61" s="2" t="s">
        <v>1571</v>
      </c>
      <c r="C61" s="2" t="s">
        <v>1641</v>
      </c>
      <c r="D61" s="2" t="s">
        <v>1658</v>
      </c>
      <c r="E61" s="2" t="str">
        <f aca="false">INDEX(Segmentation!$H$2:$H$301,MATCH($A61,Segmentation!$A$2:$A$301,0))</f>
        <v>Broker-Reliant</v>
      </c>
      <c r="F61" s="2" t="str">
        <f aca="false">INDEX(Segmentation!$J$2:$J$301,MATCH($A61,Segmentation!$A$2:$A$301,0))</f>
        <v>Core</v>
      </c>
      <c r="G61" s="2" t="str">
        <f aca="false">INDEX(Segmentation!$N$2:$N$301,MATCH($A61,Segmentation!$A$2:$A$301,0))</f>
        <v>Lapsed</v>
      </c>
      <c r="H61" s="2" t="str">
        <f aca="false">INDEX(Segmentation!$T$2:$T$301,MATCH($A61,Segmentation!$A$2:$A$301,0))</f>
        <v>3. Win-Back / Verify</v>
      </c>
      <c r="I61" s="2" t="str">
        <f aca="false">INDEX(Segmentation!$G$2:$G$301,MATCH($A61,Segmentation!$A$2:$A$301,0))</f>
        <v>High</v>
      </c>
      <c r="J61" s="9" t="n">
        <f aca="false">INDEX(Segmentation!$I$2:$I$301,MATCH($A61,Segmentation!$A$2:$A$301,0))</f>
        <v>2214</v>
      </c>
      <c r="K61" s="2" t="n">
        <f aca="false">INDEX(Segmentation!$O$2:$O$301,MATCH($A61,Segmentation!$A$2:$A$301,0))</f>
        <v>3</v>
      </c>
      <c r="L61" s="2" t="n">
        <f aca="false">INDEX(Segmentation!$Q$2:$Q$301,MATCH($A61,Segmentation!$A$2:$A$301,0))</f>
        <v>1</v>
      </c>
      <c r="M61" s="2" t="n">
        <f aca="false">INDEX(Segmentation!$W$2:$W$301,MATCH($A61,Segmentation!$A$2:$A$301,0))</f>
        <v>1</v>
      </c>
      <c r="N61" s="2" t="str">
        <f aca="false">INDEX(Segmentation!$AF$2:$AF$301,MATCH($A61,Segmentation!$A$2:$A$301,0))</f>
        <v>Existing Customer</v>
      </c>
      <c r="O61" s="2" t="n">
        <f aca="false">INDEX(Segmentation!$R$2:$R$301,MATCH($A61,Segmentation!$A$2:$A$301,0))</f>
        <v>4</v>
      </c>
      <c r="P61" s="2" t="n">
        <v>1</v>
      </c>
      <c r="Q61" s="2" t="n">
        <f aca="false">INDEX(Segmentation!$S$2:$S$301,MATCH($A61,Segmentation!$A$2:$A$301,0))</f>
        <v>1</v>
      </c>
      <c r="R61" s="2" t="n">
        <v>96</v>
      </c>
      <c r="S61" s="2" t="n">
        <v>0</v>
      </c>
      <c r="T61" s="2" t="n">
        <v>0</v>
      </c>
      <c r="U61" s="2" t="n">
        <v>3</v>
      </c>
      <c r="V61" s="2" t="n">
        <v>100</v>
      </c>
      <c r="W61" s="2" t="str">
        <f aca="false">IF(V61=100,"Bundle-only",IF(V61=0,"Handpick-only","Mixed"))</f>
        <v>Bundle-only</v>
      </c>
      <c r="X61" s="17" t="n">
        <f aca="false">L61/K61</f>
        <v>0.333333333333333</v>
      </c>
      <c r="Y61" s="9" t="n">
        <f aca="false">J61/K61</f>
        <v>738</v>
      </c>
      <c r="Z61" s="10" t="b">
        <f aca="false">O61&gt;=Assumptions!$B$57</f>
        <v>0</v>
      </c>
      <c r="AA61" s="10" t="b">
        <f aca="false">P61&gt;=Assumptions!$B$58</f>
        <v>0</v>
      </c>
      <c r="AB61" s="10" t="b">
        <f aca="false">Q61&gt;=Assumptions!$B$59</f>
        <v>0</v>
      </c>
      <c r="AC61" s="2" t="n">
        <f aca="false">Z61*1+AA61*1+AB61*1</f>
        <v>0</v>
      </c>
      <c r="AD61" s="2" t="str">
        <f aca="false">IF(E61="Broker-Reliant","Broker-led, product-blind",IF(AND(I61="Low",F61&lt;&gt;"Tail",OR(G61="Declining",G61="Lapsed"),OR(O61&gt;=Assumptions!$B$60,P61&gt;=Assumptions!$B$61)),"Engaged but shrinking (Key/Core)",IF(AND(O61&gt;=Assumptions!$B$60,P61&gt;=Assumptions!$B$61,Q61&gt;=Assumptions!$B$62,K61&gt;=Assumptions!$B$63),"Independent browser-buyer",IF(AND(OR(O61&gt;=Assumptions!$B$60,P61&gt;=Assumptions!$B$61),K61&lt;=2),"Engaged, not converting",IF(AND(K61=1,O61&lt;Assumptions!$B$60,P61&lt;Assumptions!$B$61),"One-off low-touch buyer","Light-touch repeat buyer")))))</f>
        <v>Broker-led, product-blind</v>
      </c>
      <c r="AE61" s="10" t="b">
        <f aca="false">INDEX(Segmentation!$AW$2:$AW$301,MATCH($A61,Segmentation!$A$2:$A$301,0))</f>
        <v>0</v>
      </c>
    </row>
    <row r="62" customFormat="false" ht="15" hidden="false" customHeight="false" outlineLevel="0" collapsed="false">
      <c r="A62" s="2" t="s">
        <v>301</v>
      </c>
      <c r="B62" s="2" t="s">
        <v>1571</v>
      </c>
      <c r="C62" s="2" t="s">
        <v>1640</v>
      </c>
      <c r="D62" s="2" t="s">
        <v>1657</v>
      </c>
      <c r="E62" s="2" t="str">
        <f aca="false">INDEX(Segmentation!$H$2:$H$301,MATCH($A62,Segmentation!$A$2:$A$301,0))</f>
        <v>Broker-Reliant</v>
      </c>
      <c r="F62" s="2" t="str">
        <f aca="false">INDEX(Segmentation!$J$2:$J$301,MATCH($A62,Segmentation!$A$2:$A$301,0))</f>
        <v>Core</v>
      </c>
      <c r="G62" s="2" t="str">
        <f aca="false">INDEX(Segmentation!$N$2:$N$301,MATCH($A62,Segmentation!$A$2:$A$301,0))</f>
        <v>Declining</v>
      </c>
      <c r="H62" s="2" t="str">
        <f aca="false">INDEX(Segmentation!$T$2:$T$301,MATCH($A62,Segmentation!$A$2:$A$301,0))</f>
        <v>2. Protect / Retain First</v>
      </c>
      <c r="I62" s="2" t="str">
        <f aca="false">INDEX(Segmentation!$G$2:$G$301,MATCH($A62,Segmentation!$A$2:$A$301,0))</f>
        <v>High</v>
      </c>
      <c r="J62" s="9" t="n">
        <f aca="false">INDEX(Segmentation!$I$2:$I$301,MATCH($A62,Segmentation!$A$2:$A$301,0))</f>
        <v>2116</v>
      </c>
      <c r="K62" s="2" t="n">
        <f aca="false">INDEX(Segmentation!$O$2:$O$301,MATCH($A62,Segmentation!$A$2:$A$301,0))</f>
        <v>4</v>
      </c>
      <c r="L62" s="2" t="n">
        <f aca="false">INDEX(Segmentation!$Q$2:$Q$301,MATCH($A62,Segmentation!$A$2:$A$301,0))</f>
        <v>1</v>
      </c>
      <c r="M62" s="2" t="n">
        <f aca="false">INDEX(Segmentation!$W$2:$W$301,MATCH($A62,Segmentation!$A$2:$A$301,0))</f>
        <v>3</v>
      </c>
      <c r="N62" s="2" t="str">
        <f aca="false">INDEX(Segmentation!$AF$2:$AF$301,MATCH($A62,Segmentation!$A$2:$A$301,0))</f>
        <v>Existing Customer</v>
      </c>
      <c r="O62" s="2" t="n">
        <f aca="false">INDEX(Segmentation!$R$2:$R$301,MATCH($A62,Segmentation!$A$2:$A$301,0))</f>
        <v>3</v>
      </c>
      <c r="P62" s="2" t="n">
        <v>11</v>
      </c>
      <c r="Q62" s="2" t="n">
        <f aca="false">INDEX(Segmentation!$S$2:$S$301,MATCH($A62,Segmentation!$A$2:$A$301,0))</f>
        <v>1</v>
      </c>
      <c r="R62" s="2" t="n">
        <v>2</v>
      </c>
      <c r="S62" s="2" t="n">
        <v>0</v>
      </c>
      <c r="T62" s="2" t="n">
        <v>0</v>
      </c>
      <c r="U62" s="2" t="n">
        <v>4</v>
      </c>
      <c r="V62" s="2" t="n">
        <v>100</v>
      </c>
      <c r="W62" s="2" t="str">
        <f aca="false">IF(V62=100,"Bundle-only",IF(V62=0,"Handpick-only","Mixed"))</f>
        <v>Bundle-only</v>
      </c>
      <c r="X62" s="17" t="n">
        <f aca="false">L62/K62</f>
        <v>0.25</v>
      </c>
      <c r="Y62" s="9" t="n">
        <f aca="false">J62/K62</f>
        <v>529</v>
      </c>
      <c r="Z62" s="10" t="b">
        <f aca="false">O62&gt;=Assumptions!$B$57</f>
        <v>0</v>
      </c>
      <c r="AA62" s="10" t="b">
        <f aca="false">P62&gt;=Assumptions!$B$58</f>
        <v>0</v>
      </c>
      <c r="AB62" s="10" t="b">
        <f aca="false">Q62&gt;=Assumptions!$B$59</f>
        <v>0</v>
      </c>
      <c r="AC62" s="2" t="n">
        <f aca="false">Z62*1+AA62*1+AB62*1</f>
        <v>0</v>
      </c>
      <c r="AD62" s="2" t="str">
        <f aca="false">IF(E62="Broker-Reliant","Broker-led, product-blind",IF(AND(I62="Low",F62&lt;&gt;"Tail",OR(G62="Declining",G62="Lapsed"),OR(O62&gt;=Assumptions!$B$60,P62&gt;=Assumptions!$B$61)),"Engaged but shrinking (Key/Core)",IF(AND(O62&gt;=Assumptions!$B$60,P62&gt;=Assumptions!$B$61,Q62&gt;=Assumptions!$B$62,K62&gt;=Assumptions!$B$63),"Independent browser-buyer",IF(AND(OR(O62&gt;=Assumptions!$B$60,P62&gt;=Assumptions!$B$61),K62&lt;=2),"Engaged, not converting",IF(AND(K62=1,O62&lt;Assumptions!$B$60,P62&lt;Assumptions!$B$61),"One-off low-touch buyer","Light-touch repeat buyer")))))</f>
        <v>Broker-led, product-blind</v>
      </c>
      <c r="AE62" s="10" t="b">
        <f aca="false">INDEX(Segmentation!$AW$2:$AW$301,MATCH($A62,Segmentation!$A$2:$A$301,0))</f>
        <v>0</v>
      </c>
    </row>
    <row r="63" customFormat="false" ht="15" hidden="false" customHeight="false" outlineLevel="0" collapsed="false">
      <c r="A63" s="2" t="s">
        <v>304</v>
      </c>
      <c r="B63" s="2" t="s">
        <v>1571</v>
      </c>
      <c r="C63" s="2" t="s">
        <v>1640</v>
      </c>
      <c r="D63" s="2" t="s">
        <v>1653</v>
      </c>
      <c r="E63" s="2" t="str">
        <f aca="false">INDEX(Segmentation!$H$2:$H$301,MATCH($A63,Segmentation!$A$2:$A$301,0))</f>
        <v>Broker-Reliant</v>
      </c>
      <c r="F63" s="2" t="str">
        <f aca="false">INDEX(Segmentation!$J$2:$J$301,MATCH($A63,Segmentation!$A$2:$A$301,0))</f>
        <v>Core</v>
      </c>
      <c r="G63" s="2" t="str">
        <f aca="false">INDEX(Segmentation!$N$2:$N$301,MATCH($A63,Segmentation!$A$2:$A$301,0))</f>
        <v>Lapsed</v>
      </c>
      <c r="H63" s="2" t="str">
        <f aca="false">INDEX(Segmentation!$T$2:$T$301,MATCH($A63,Segmentation!$A$2:$A$301,0))</f>
        <v>3. Win-Back / Verify</v>
      </c>
      <c r="I63" s="2" t="str">
        <f aca="false">INDEX(Segmentation!$G$2:$G$301,MATCH($A63,Segmentation!$A$2:$A$301,0))</f>
        <v>Medium</v>
      </c>
      <c r="J63" s="9" t="n">
        <f aca="false">INDEX(Segmentation!$I$2:$I$301,MATCH($A63,Segmentation!$A$2:$A$301,0))</f>
        <v>2031</v>
      </c>
      <c r="K63" s="2" t="n">
        <f aca="false">INDEX(Segmentation!$O$2:$O$301,MATCH($A63,Segmentation!$A$2:$A$301,0))</f>
        <v>5</v>
      </c>
      <c r="L63" s="2" t="n">
        <f aca="false">INDEX(Segmentation!$Q$2:$Q$301,MATCH($A63,Segmentation!$A$2:$A$301,0))</f>
        <v>3</v>
      </c>
      <c r="M63" s="2" t="n">
        <f aca="false">INDEX(Segmentation!$W$2:$W$301,MATCH($A63,Segmentation!$A$2:$A$301,0))</f>
        <v>3</v>
      </c>
      <c r="N63" s="2" t="str">
        <f aca="false">INDEX(Segmentation!$AF$2:$AF$301,MATCH($A63,Segmentation!$A$2:$A$301,0))</f>
        <v>Existing Customer</v>
      </c>
      <c r="O63" s="2" t="n">
        <f aca="false">INDEX(Segmentation!$R$2:$R$301,MATCH($A63,Segmentation!$A$2:$A$301,0))</f>
        <v>6</v>
      </c>
      <c r="P63" s="2" t="n">
        <v>0</v>
      </c>
      <c r="Q63" s="2" t="n">
        <f aca="false">INDEX(Segmentation!$S$2:$S$301,MATCH($A63,Segmentation!$A$2:$A$301,0))</f>
        <v>0</v>
      </c>
      <c r="R63" s="2" t="n">
        <v>5</v>
      </c>
      <c r="S63" s="2" t="n">
        <v>0</v>
      </c>
      <c r="T63" s="2" t="n">
        <v>0</v>
      </c>
      <c r="U63" s="2" t="n">
        <v>5</v>
      </c>
      <c r="V63" s="2" t="n">
        <v>100</v>
      </c>
      <c r="W63" s="2" t="str">
        <f aca="false">IF(V63=100,"Bundle-only",IF(V63=0,"Handpick-only","Mixed"))</f>
        <v>Bundle-only</v>
      </c>
      <c r="X63" s="17" t="n">
        <f aca="false">L63/K63</f>
        <v>0.6</v>
      </c>
      <c r="Y63" s="9" t="n">
        <f aca="false">J63/K63</f>
        <v>406.2</v>
      </c>
      <c r="Z63" s="10" t="b">
        <f aca="false">O63&gt;=Assumptions!$B$57</f>
        <v>0</v>
      </c>
      <c r="AA63" s="10" t="b">
        <f aca="false">P63&gt;=Assumptions!$B$58</f>
        <v>0</v>
      </c>
      <c r="AB63" s="10" t="b">
        <f aca="false">Q63&gt;=Assumptions!$B$59</f>
        <v>0</v>
      </c>
      <c r="AC63" s="2" t="n">
        <f aca="false">Z63*1+AA63*1+AB63*1</f>
        <v>0</v>
      </c>
      <c r="AD63" s="2" t="str">
        <f aca="false">IF(E63="Broker-Reliant","Broker-led, product-blind",IF(AND(I63="Low",F63&lt;&gt;"Tail",OR(G63="Declining",G63="Lapsed"),OR(O63&gt;=Assumptions!$B$60,P63&gt;=Assumptions!$B$61)),"Engaged but shrinking (Key/Core)",IF(AND(O63&gt;=Assumptions!$B$60,P63&gt;=Assumptions!$B$61,Q63&gt;=Assumptions!$B$62,K63&gt;=Assumptions!$B$63),"Independent browser-buyer",IF(AND(OR(O63&gt;=Assumptions!$B$60,P63&gt;=Assumptions!$B$61),K63&lt;=2),"Engaged, not converting",IF(AND(K63=1,O63&lt;Assumptions!$B$60,P63&lt;Assumptions!$B$61),"One-off low-touch buyer","Light-touch repeat buyer")))))</f>
        <v>Broker-led, product-blind</v>
      </c>
      <c r="AE63" s="10" t="b">
        <f aca="false">INDEX(Segmentation!$AW$2:$AW$301,MATCH($A63,Segmentation!$A$2:$A$301,0))</f>
        <v>0</v>
      </c>
    </row>
    <row r="64" customFormat="false" ht="15" hidden="false" customHeight="false" outlineLevel="0" collapsed="false">
      <c r="A64" s="2" t="s">
        <v>568</v>
      </c>
      <c r="B64" s="2" t="s">
        <v>1571</v>
      </c>
      <c r="C64" s="2" t="s">
        <v>1640</v>
      </c>
      <c r="D64" s="2" t="s">
        <v>1654</v>
      </c>
      <c r="E64" s="2" t="str">
        <f aca="false">INDEX(Segmentation!$H$2:$H$301,MATCH($A64,Segmentation!$A$2:$A$301,0))</f>
        <v>AM-Owned / Self-Serving</v>
      </c>
      <c r="F64" s="2" t="str">
        <f aca="false">INDEX(Segmentation!$J$2:$J$301,MATCH($A64,Segmentation!$A$2:$A$301,0))</f>
        <v>Tail</v>
      </c>
      <c r="G64" s="2" t="str">
        <f aca="false">INDEX(Segmentation!$N$2:$N$301,MATCH($A64,Segmentation!$A$2:$A$301,0))</f>
        <v>Lapsed</v>
      </c>
      <c r="H64" s="2" t="str">
        <f aca="false">INDEX(Segmentation!$T$2:$T$301,MATCH($A64,Segmentation!$A$2:$A$301,0))</f>
        <v>9. Long-Tail Automated Nurture</v>
      </c>
      <c r="I64" s="2" t="str">
        <f aca="false">INDEX(Segmentation!$G$2:$G$301,MATCH($A64,Segmentation!$A$2:$A$301,0))</f>
        <v>Low</v>
      </c>
      <c r="J64" s="9" t="n">
        <f aca="false">INDEX(Segmentation!$I$2:$I$301,MATCH($A64,Segmentation!$A$2:$A$301,0))</f>
        <v>1963</v>
      </c>
      <c r="K64" s="2" t="n">
        <f aca="false">INDEX(Segmentation!$O$2:$O$301,MATCH($A64,Segmentation!$A$2:$A$301,0))</f>
        <v>1</v>
      </c>
      <c r="L64" s="2" t="n">
        <f aca="false">INDEX(Segmentation!$Q$2:$Q$301,MATCH($A64,Segmentation!$A$2:$A$301,0))</f>
        <v>1</v>
      </c>
      <c r="M64" s="2" t="n">
        <f aca="false">INDEX(Segmentation!$W$2:$W$301,MATCH($A64,Segmentation!$A$2:$A$301,0))</f>
        <v>1</v>
      </c>
      <c r="N64" s="2" t="str">
        <f aca="false">INDEX(Segmentation!$AF$2:$AF$301,MATCH($A64,Segmentation!$A$2:$A$301,0))</f>
        <v>Existing Customer</v>
      </c>
      <c r="O64" s="2" t="n">
        <f aca="false">INDEX(Segmentation!$R$2:$R$301,MATCH($A64,Segmentation!$A$2:$A$301,0))</f>
        <v>26</v>
      </c>
      <c r="P64" s="2" t="n">
        <v>445</v>
      </c>
      <c r="Q64" s="2" t="n">
        <f aca="false">INDEX(Segmentation!$S$2:$S$301,MATCH($A64,Segmentation!$A$2:$A$301,0))</f>
        <v>1</v>
      </c>
      <c r="R64" s="2" t="n">
        <v>15</v>
      </c>
      <c r="S64" s="2" t="n">
        <v>0</v>
      </c>
      <c r="T64" s="2" t="n">
        <v>0</v>
      </c>
      <c r="U64" s="2" t="n">
        <v>1</v>
      </c>
      <c r="V64" s="2" t="n">
        <v>100</v>
      </c>
      <c r="W64" s="2" t="str">
        <f aca="false">IF(V64=100,"Bundle-only",IF(V64=0,"Handpick-only","Mixed"))</f>
        <v>Bundle-only</v>
      </c>
      <c r="X64" s="17" t="n">
        <f aca="false">L64/K64</f>
        <v>1</v>
      </c>
      <c r="Y64" s="9" t="n">
        <f aca="false">J64/K64</f>
        <v>1963</v>
      </c>
      <c r="Z64" s="10" t="b">
        <f aca="false">O64&gt;=Assumptions!$B$57</f>
        <v>1</v>
      </c>
      <c r="AA64" s="10" t="b">
        <f aca="false">P64&gt;=Assumptions!$B$58</f>
        <v>1</v>
      </c>
      <c r="AB64" s="10" t="b">
        <f aca="false">Q64&gt;=Assumptions!$B$59</f>
        <v>0</v>
      </c>
      <c r="AC64" s="2" t="n">
        <f aca="false">Z64*1+AA64*1+AB64*1</f>
        <v>2</v>
      </c>
      <c r="AD64" s="2" t="str">
        <f aca="false">IF(E64="Broker-Reliant","Broker-led, product-blind",IF(AND(I64="Low",F64&lt;&gt;"Tail",OR(G64="Declining",G64="Lapsed"),OR(O64&gt;=Assumptions!$B$60,P64&gt;=Assumptions!$B$61)),"Engaged but shrinking (Key/Core)",IF(AND(O64&gt;=Assumptions!$B$60,P64&gt;=Assumptions!$B$61,Q64&gt;=Assumptions!$B$62,K64&gt;=Assumptions!$B$63),"Independent browser-buyer",IF(AND(OR(O64&gt;=Assumptions!$B$60,P64&gt;=Assumptions!$B$61),K64&lt;=2),"Engaged, not converting",IF(AND(K64=1,O64&lt;Assumptions!$B$60,P64&lt;Assumptions!$B$61),"One-off low-touch buyer","Light-touch repeat buyer")))))</f>
        <v>Engaged, not converting</v>
      </c>
      <c r="AE64" s="10" t="b">
        <f aca="false">INDEX(Segmentation!$AW$2:$AW$301,MATCH($A64,Segmentation!$A$2:$A$301,0))</f>
        <v>0</v>
      </c>
    </row>
    <row r="65" customFormat="false" ht="15" hidden="false" customHeight="false" outlineLevel="0" collapsed="false">
      <c r="A65" s="2" t="s">
        <v>473</v>
      </c>
      <c r="B65" s="2" t="s">
        <v>1571</v>
      </c>
      <c r="C65" s="2" t="s">
        <v>1641</v>
      </c>
      <c r="D65" s="2" t="s">
        <v>1653</v>
      </c>
      <c r="E65" s="2" t="str">
        <f aca="false">INDEX(Segmentation!$H$2:$H$301,MATCH($A65,Segmentation!$A$2:$A$301,0))</f>
        <v>Broker-Reliant</v>
      </c>
      <c r="F65" s="2" t="str">
        <f aca="false">INDEX(Segmentation!$J$2:$J$301,MATCH($A65,Segmentation!$A$2:$A$301,0))</f>
        <v>Tail</v>
      </c>
      <c r="G65" s="2" t="str">
        <f aca="false">INDEX(Segmentation!$N$2:$N$301,MATCH($A65,Segmentation!$A$2:$A$301,0))</f>
        <v>Stable</v>
      </c>
      <c r="H65" s="2" t="str">
        <f aca="false">INDEX(Segmentation!$T$2:$T$301,MATCH($A65,Segmentation!$A$2:$A$301,0))</f>
        <v>5. Cost-to-Serve / Low-Touch</v>
      </c>
      <c r="I65" s="2" t="str">
        <f aca="false">INDEX(Segmentation!$G$2:$G$301,MATCH($A65,Segmentation!$A$2:$A$301,0))</f>
        <v>High</v>
      </c>
      <c r="J65" s="9" t="n">
        <f aca="false">INDEX(Segmentation!$I$2:$I$301,MATCH($A65,Segmentation!$A$2:$A$301,0))</f>
        <v>1911</v>
      </c>
      <c r="K65" s="2" t="n">
        <f aca="false">INDEX(Segmentation!$O$2:$O$301,MATCH($A65,Segmentation!$A$2:$A$301,0))</f>
        <v>15</v>
      </c>
      <c r="L65" s="2" t="n">
        <f aca="false">INDEX(Segmentation!$Q$2:$Q$301,MATCH($A65,Segmentation!$A$2:$A$301,0))</f>
        <v>5</v>
      </c>
      <c r="M65" s="2" t="n">
        <f aca="false">INDEX(Segmentation!$W$2:$W$301,MATCH($A65,Segmentation!$A$2:$A$301,0))</f>
        <v>5</v>
      </c>
      <c r="N65" s="2" t="str">
        <f aca="false">INDEX(Segmentation!$AF$2:$AF$301,MATCH($A65,Segmentation!$A$2:$A$301,0))</f>
        <v>Existing Customer</v>
      </c>
      <c r="O65" s="2" t="n">
        <f aca="false">INDEX(Segmentation!$R$2:$R$301,MATCH($A65,Segmentation!$A$2:$A$301,0))</f>
        <v>4</v>
      </c>
      <c r="P65" s="2" t="n">
        <v>14</v>
      </c>
      <c r="Q65" s="2" t="n">
        <f aca="false">INDEX(Segmentation!$S$2:$S$301,MATCH($A65,Segmentation!$A$2:$A$301,0))</f>
        <v>2</v>
      </c>
      <c r="R65" s="2" t="n">
        <v>5</v>
      </c>
      <c r="S65" s="2" t="n">
        <v>0</v>
      </c>
      <c r="T65" s="2" t="n">
        <v>0</v>
      </c>
      <c r="U65" s="2" t="n">
        <v>15</v>
      </c>
      <c r="V65" s="2" t="n">
        <v>100</v>
      </c>
      <c r="W65" s="2" t="str">
        <f aca="false">IF(V65=100,"Bundle-only",IF(V65=0,"Handpick-only","Mixed"))</f>
        <v>Bundle-only</v>
      </c>
      <c r="X65" s="17" t="n">
        <f aca="false">L65/K65</f>
        <v>0.333333333333333</v>
      </c>
      <c r="Y65" s="9" t="n">
        <f aca="false">J65/K65</f>
        <v>127.4</v>
      </c>
      <c r="Z65" s="10" t="b">
        <f aca="false">O65&gt;=Assumptions!$B$57</f>
        <v>0</v>
      </c>
      <c r="AA65" s="10" t="b">
        <f aca="false">P65&gt;=Assumptions!$B$58</f>
        <v>0</v>
      </c>
      <c r="AB65" s="10" t="b">
        <f aca="false">Q65&gt;=Assumptions!$B$59</f>
        <v>0</v>
      </c>
      <c r="AC65" s="2" t="n">
        <f aca="false">Z65*1+AA65*1+AB65*1</f>
        <v>0</v>
      </c>
      <c r="AD65" s="2" t="str">
        <f aca="false">IF(E65="Broker-Reliant","Broker-led, product-blind",IF(AND(I65="Low",F65&lt;&gt;"Tail",OR(G65="Declining",G65="Lapsed"),OR(O65&gt;=Assumptions!$B$60,P65&gt;=Assumptions!$B$61)),"Engaged but shrinking (Key/Core)",IF(AND(O65&gt;=Assumptions!$B$60,P65&gt;=Assumptions!$B$61,Q65&gt;=Assumptions!$B$62,K65&gt;=Assumptions!$B$63),"Independent browser-buyer",IF(AND(OR(O65&gt;=Assumptions!$B$60,P65&gt;=Assumptions!$B$61),K65&lt;=2),"Engaged, not converting",IF(AND(K65=1,O65&lt;Assumptions!$B$60,P65&lt;Assumptions!$B$61),"One-off low-touch buyer","Light-touch repeat buyer")))))</f>
        <v>Broker-led, product-blind</v>
      </c>
      <c r="AE65" s="10" t="b">
        <f aca="false">INDEX(Segmentation!$AW$2:$AW$301,MATCH($A65,Segmentation!$A$2:$A$301,0))</f>
        <v>0</v>
      </c>
    </row>
    <row r="66" customFormat="false" ht="15" hidden="false" customHeight="false" outlineLevel="0" collapsed="false">
      <c r="A66" s="2" t="s">
        <v>490</v>
      </c>
      <c r="B66" s="2" t="s">
        <v>1571</v>
      </c>
      <c r="C66" s="2" t="s">
        <v>1640</v>
      </c>
      <c r="D66" s="2" t="s">
        <v>1653</v>
      </c>
      <c r="E66" s="2" t="str">
        <f aca="false">INDEX(Segmentation!$H$2:$H$301,MATCH($A66,Segmentation!$A$2:$A$301,0))</f>
        <v>AM-Owned / Self-Serving</v>
      </c>
      <c r="F66" s="2" t="str">
        <f aca="false">INDEX(Segmentation!$J$2:$J$301,MATCH($A66,Segmentation!$A$2:$A$301,0))</f>
        <v>Tail</v>
      </c>
      <c r="G66" s="2" t="str">
        <f aca="false">INDEX(Segmentation!$N$2:$N$301,MATCH($A66,Segmentation!$A$2:$A$301,0))</f>
        <v>H2 Active / No H1 GMV</v>
      </c>
      <c r="H66" s="2" t="str">
        <f aca="false">INDEX(Segmentation!$T$2:$T$301,MATCH($A66,Segmentation!$A$2:$A$301,0))</f>
        <v>9. Long-Tail Automated Nurture</v>
      </c>
      <c r="I66" s="2" t="str">
        <f aca="false">INDEX(Segmentation!$G$2:$G$301,MATCH($A66,Segmentation!$A$2:$A$301,0))</f>
        <v>Low</v>
      </c>
      <c r="J66" s="9" t="n">
        <f aca="false">INDEX(Segmentation!$I$2:$I$301,MATCH($A66,Segmentation!$A$2:$A$301,0))</f>
        <v>1812</v>
      </c>
      <c r="K66" s="2" t="n">
        <f aca="false">INDEX(Segmentation!$O$2:$O$301,MATCH($A66,Segmentation!$A$2:$A$301,0))</f>
        <v>5</v>
      </c>
      <c r="L66" s="2" t="n">
        <f aca="false">INDEX(Segmentation!$Q$2:$Q$301,MATCH($A66,Segmentation!$A$2:$A$301,0))</f>
        <v>5</v>
      </c>
      <c r="M66" s="2" t="n">
        <f aca="false">INDEX(Segmentation!$W$2:$W$301,MATCH($A66,Segmentation!$A$2:$A$301,0))</f>
        <v>2</v>
      </c>
      <c r="N66" s="2" t="str">
        <f aca="false">INDEX(Segmentation!$AF$2:$AF$301,MATCH($A66,Segmentation!$A$2:$A$301,0))</f>
        <v>Returned Customer</v>
      </c>
      <c r="O66" s="2" t="n">
        <f aca="false">INDEX(Segmentation!$R$2:$R$301,MATCH($A66,Segmentation!$A$2:$A$301,0))</f>
        <v>55</v>
      </c>
      <c r="P66" s="2" t="n">
        <v>675</v>
      </c>
      <c r="Q66" s="2" t="n">
        <f aca="false">INDEX(Segmentation!$S$2:$S$301,MATCH($A66,Segmentation!$A$2:$A$301,0))</f>
        <v>4</v>
      </c>
      <c r="R66" s="2" t="n">
        <v>4</v>
      </c>
      <c r="S66" s="2" t="n">
        <v>0</v>
      </c>
      <c r="T66" s="2" t="n">
        <v>0</v>
      </c>
      <c r="U66" s="2" t="n">
        <v>5</v>
      </c>
      <c r="V66" s="2" t="n">
        <v>100</v>
      </c>
      <c r="W66" s="2" t="str">
        <f aca="false">IF(V66=100,"Bundle-only",IF(V66=0,"Handpick-only","Mixed"))</f>
        <v>Bundle-only</v>
      </c>
      <c r="X66" s="17" t="n">
        <f aca="false">L66/K66</f>
        <v>1</v>
      </c>
      <c r="Y66" s="9" t="n">
        <f aca="false">J66/K66</f>
        <v>362.4</v>
      </c>
      <c r="Z66" s="10" t="b">
        <f aca="false">O66&gt;=Assumptions!$B$57</f>
        <v>1</v>
      </c>
      <c r="AA66" s="10" t="b">
        <f aca="false">P66&gt;=Assumptions!$B$58</f>
        <v>1</v>
      </c>
      <c r="AB66" s="10" t="b">
        <f aca="false">Q66&gt;=Assumptions!$B$59</f>
        <v>1</v>
      </c>
      <c r="AC66" s="2" t="n">
        <f aca="false">Z66*1+AA66*1+AB66*1</f>
        <v>3</v>
      </c>
      <c r="AD66" s="2" t="str">
        <f aca="false">IF(E66="Broker-Reliant","Broker-led, product-blind",IF(AND(I66="Low",F66&lt;&gt;"Tail",OR(G66="Declining",G66="Lapsed"),OR(O66&gt;=Assumptions!$B$60,P66&gt;=Assumptions!$B$61)),"Engaged but shrinking (Key/Core)",IF(AND(O66&gt;=Assumptions!$B$60,P66&gt;=Assumptions!$B$61,Q66&gt;=Assumptions!$B$62,K66&gt;=Assumptions!$B$63),"Independent browser-buyer",IF(AND(OR(O66&gt;=Assumptions!$B$60,P66&gt;=Assumptions!$B$61),K66&lt;=2),"Engaged, not converting",IF(AND(K66=1,O66&lt;Assumptions!$B$60,P66&lt;Assumptions!$B$61),"One-off low-touch buyer","Light-touch repeat buyer")))))</f>
        <v>Independent browser-buyer</v>
      </c>
      <c r="AE66" s="10" t="b">
        <f aca="false">INDEX(Segmentation!$AW$2:$AW$301,MATCH($A66,Segmentation!$A$2:$A$301,0))</f>
        <v>1</v>
      </c>
    </row>
    <row r="67" customFormat="false" ht="15" hidden="false" customHeight="false" outlineLevel="0" collapsed="false">
      <c r="A67" s="2" t="s">
        <v>574</v>
      </c>
      <c r="B67" s="2" t="s">
        <v>1571</v>
      </c>
      <c r="C67" s="2" t="s">
        <v>1640</v>
      </c>
      <c r="D67" s="2" t="s">
        <v>1657</v>
      </c>
      <c r="E67" s="2" t="str">
        <f aca="false">INDEX(Segmentation!$H$2:$H$301,MATCH($A67,Segmentation!$A$2:$A$301,0))</f>
        <v>AM-Owned / Self-Serving</v>
      </c>
      <c r="F67" s="2" t="str">
        <f aca="false">INDEX(Segmentation!$J$2:$J$301,MATCH($A67,Segmentation!$A$2:$A$301,0))</f>
        <v>Tail</v>
      </c>
      <c r="G67" s="2" t="str">
        <f aca="false">INDEX(Segmentation!$N$2:$N$301,MATCH($A67,Segmentation!$A$2:$A$301,0))</f>
        <v>Lapsed</v>
      </c>
      <c r="H67" s="2" t="str">
        <f aca="false">INDEX(Segmentation!$T$2:$T$301,MATCH($A67,Segmentation!$A$2:$A$301,0))</f>
        <v>9. Long-Tail Automated Nurture</v>
      </c>
      <c r="I67" s="2" t="str">
        <f aca="false">INDEX(Segmentation!$G$2:$G$301,MATCH($A67,Segmentation!$A$2:$A$301,0))</f>
        <v>Low</v>
      </c>
      <c r="J67" s="9" t="n">
        <f aca="false">INDEX(Segmentation!$I$2:$I$301,MATCH($A67,Segmentation!$A$2:$A$301,0))</f>
        <v>1791</v>
      </c>
      <c r="K67" s="2" t="n">
        <f aca="false">INDEX(Segmentation!$O$2:$O$301,MATCH($A67,Segmentation!$A$2:$A$301,0))</f>
        <v>3</v>
      </c>
      <c r="L67" s="2" t="n">
        <f aca="false">INDEX(Segmentation!$Q$2:$Q$301,MATCH($A67,Segmentation!$A$2:$A$301,0))</f>
        <v>3</v>
      </c>
      <c r="M67" s="2" t="n">
        <f aca="false">INDEX(Segmentation!$W$2:$W$301,MATCH($A67,Segmentation!$A$2:$A$301,0))</f>
        <v>3</v>
      </c>
      <c r="N67" s="2" t="str">
        <f aca="false">INDEX(Segmentation!$AF$2:$AF$301,MATCH($A67,Segmentation!$A$2:$A$301,0))</f>
        <v>Existing Customer</v>
      </c>
      <c r="O67" s="2" t="n">
        <f aca="false">INDEX(Segmentation!$R$2:$R$301,MATCH($A67,Segmentation!$A$2:$A$301,0))</f>
        <v>32</v>
      </c>
      <c r="P67" s="2" t="n">
        <v>462</v>
      </c>
      <c r="Q67" s="2" t="n">
        <f aca="false">INDEX(Segmentation!$S$2:$S$301,MATCH($A67,Segmentation!$A$2:$A$301,0))</f>
        <v>1</v>
      </c>
      <c r="R67" s="2" t="n">
        <v>16</v>
      </c>
      <c r="S67" s="2" t="n">
        <v>0</v>
      </c>
      <c r="T67" s="2" t="n">
        <v>1</v>
      </c>
      <c r="U67" s="2" t="n">
        <v>2</v>
      </c>
      <c r="V67" s="2" t="n">
        <v>78</v>
      </c>
      <c r="W67" s="2" t="str">
        <f aca="false">IF(V67=100,"Bundle-only",IF(V67=0,"Handpick-only","Mixed"))</f>
        <v>Mixed</v>
      </c>
      <c r="X67" s="17" t="n">
        <f aca="false">L67/K67</f>
        <v>1</v>
      </c>
      <c r="Y67" s="9" t="n">
        <f aca="false">J67/K67</f>
        <v>597</v>
      </c>
      <c r="Z67" s="10" t="b">
        <f aca="false">O67&gt;=Assumptions!$B$57</f>
        <v>1</v>
      </c>
      <c r="AA67" s="10" t="b">
        <f aca="false">P67&gt;=Assumptions!$B$58</f>
        <v>1</v>
      </c>
      <c r="AB67" s="10" t="b">
        <f aca="false">Q67&gt;=Assumptions!$B$59</f>
        <v>0</v>
      </c>
      <c r="AC67" s="2" t="n">
        <f aca="false">Z67*1+AA67*1+AB67*1</f>
        <v>2</v>
      </c>
      <c r="AD67" s="2" t="str">
        <f aca="false">IF(E67="Broker-Reliant","Broker-led, product-blind",IF(AND(I67="Low",F67&lt;&gt;"Tail",OR(G67="Declining",G67="Lapsed"),OR(O67&gt;=Assumptions!$B$60,P67&gt;=Assumptions!$B$61)),"Engaged but shrinking (Key/Core)",IF(AND(O67&gt;=Assumptions!$B$60,P67&gt;=Assumptions!$B$61,Q67&gt;=Assumptions!$B$62,K67&gt;=Assumptions!$B$63),"Independent browser-buyer",IF(AND(OR(O67&gt;=Assumptions!$B$60,P67&gt;=Assumptions!$B$61),K67&lt;=2),"Engaged, not converting",IF(AND(K67=1,O67&lt;Assumptions!$B$60,P67&lt;Assumptions!$B$61),"One-off low-touch buyer","Light-touch repeat buyer")))))</f>
        <v>Light-touch repeat buyer</v>
      </c>
      <c r="AE67" s="10" t="b">
        <f aca="false">INDEX(Segmentation!$AW$2:$AW$301,MATCH($A67,Segmentation!$A$2:$A$301,0))</f>
        <v>0</v>
      </c>
    </row>
    <row r="68" customFormat="false" ht="15" hidden="false" customHeight="false" outlineLevel="0" collapsed="false">
      <c r="A68" s="2" t="s">
        <v>504</v>
      </c>
      <c r="B68" s="2" t="s">
        <v>1571</v>
      </c>
      <c r="C68" s="2" t="s">
        <v>1640</v>
      </c>
      <c r="D68" s="2" t="s">
        <v>1653</v>
      </c>
      <c r="E68" s="2" t="str">
        <f aca="false">INDEX(Segmentation!$H$2:$H$301,MATCH($A68,Segmentation!$A$2:$A$301,0))</f>
        <v>Broker-Reliant</v>
      </c>
      <c r="F68" s="2" t="str">
        <f aca="false">INDEX(Segmentation!$J$2:$J$301,MATCH($A68,Segmentation!$A$2:$A$301,0))</f>
        <v>Tail</v>
      </c>
      <c r="G68" s="2" t="str">
        <f aca="false">INDEX(Segmentation!$N$2:$N$301,MATCH($A68,Segmentation!$A$2:$A$301,0))</f>
        <v>Growing</v>
      </c>
      <c r="H68" s="2" t="str">
        <f aca="false">INDEX(Segmentation!$T$2:$T$301,MATCH($A68,Segmentation!$A$2:$A$301,0))</f>
        <v>5. Cost-to-Serve / Low-Touch</v>
      </c>
      <c r="I68" s="2" t="str">
        <f aca="false">INDEX(Segmentation!$G$2:$G$301,MATCH($A68,Segmentation!$A$2:$A$301,0))</f>
        <v>High</v>
      </c>
      <c r="J68" s="9" t="n">
        <f aca="false">INDEX(Segmentation!$I$2:$I$301,MATCH($A68,Segmentation!$A$2:$A$301,0))</f>
        <v>1759</v>
      </c>
      <c r="K68" s="2" t="n">
        <f aca="false">INDEX(Segmentation!$O$2:$O$301,MATCH($A68,Segmentation!$A$2:$A$301,0))</f>
        <v>9</v>
      </c>
      <c r="L68" s="2" t="n">
        <f aca="false">INDEX(Segmentation!$Q$2:$Q$301,MATCH($A68,Segmentation!$A$2:$A$301,0))</f>
        <v>3</v>
      </c>
      <c r="M68" s="2" t="n">
        <f aca="false">INDEX(Segmentation!$W$2:$W$301,MATCH($A68,Segmentation!$A$2:$A$301,0))</f>
        <v>5</v>
      </c>
      <c r="N68" s="2" t="str">
        <f aca="false">INDEX(Segmentation!$AF$2:$AF$301,MATCH($A68,Segmentation!$A$2:$A$301,0))</f>
        <v>Existing Customer</v>
      </c>
      <c r="O68" s="2" t="n">
        <f aca="false">INDEX(Segmentation!$R$2:$R$301,MATCH($A68,Segmentation!$A$2:$A$301,0))</f>
        <v>2</v>
      </c>
      <c r="P68" s="2" t="n">
        <v>7</v>
      </c>
      <c r="Q68" s="2" t="n">
        <f aca="false">INDEX(Segmentation!$S$2:$S$301,MATCH($A68,Segmentation!$A$2:$A$301,0))</f>
        <v>2</v>
      </c>
      <c r="R68" s="2" t="n">
        <v>7</v>
      </c>
      <c r="S68" s="2" t="n">
        <v>3</v>
      </c>
      <c r="T68" s="2" t="n">
        <v>1</v>
      </c>
      <c r="U68" s="2" t="n">
        <v>8</v>
      </c>
      <c r="V68" s="2" t="n">
        <v>77</v>
      </c>
      <c r="W68" s="2" t="str">
        <f aca="false">IF(V68=100,"Bundle-only",IF(V68=0,"Handpick-only","Mixed"))</f>
        <v>Mixed</v>
      </c>
      <c r="X68" s="17" t="n">
        <f aca="false">L68/K68</f>
        <v>0.333333333333333</v>
      </c>
      <c r="Y68" s="9" t="n">
        <f aca="false">J68/K68</f>
        <v>195.444444444444</v>
      </c>
      <c r="Z68" s="10" t="b">
        <f aca="false">O68&gt;=Assumptions!$B$57</f>
        <v>0</v>
      </c>
      <c r="AA68" s="10" t="b">
        <f aca="false">P68&gt;=Assumptions!$B$58</f>
        <v>0</v>
      </c>
      <c r="AB68" s="10" t="b">
        <f aca="false">Q68&gt;=Assumptions!$B$59</f>
        <v>0</v>
      </c>
      <c r="AC68" s="2" t="n">
        <f aca="false">Z68*1+AA68*1+AB68*1</f>
        <v>0</v>
      </c>
      <c r="AD68" s="2" t="str">
        <f aca="false">IF(E68="Broker-Reliant","Broker-led, product-blind",IF(AND(I68="Low",F68&lt;&gt;"Tail",OR(G68="Declining",G68="Lapsed"),OR(O68&gt;=Assumptions!$B$60,P68&gt;=Assumptions!$B$61)),"Engaged but shrinking (Key/Core)",IF(AND(O68&gt;=Assumptions!$B$60,P68&gt;=Assumptions!$B$61,Q68&gt;=Assumptions!$B$62,K68&gt;=Assumptions!$B$63),"Independent browser-buyer",IF(AND(OR(O68&gt;=Assumptions!$B$60,P68&gt;=Assumptions!$B$61),K68&lt;=2),"Engaged, not converting",IF(AND(K68=1,O68&lt;Assumptions!$B$60,P68&lt;Assumptions!$B$61),"One-off low-touch buyer","Light-touch repeat buyer")))))</f>
        <v>Broker-led, product-blind</v>
      </c>
      <c r="AE68" s="10" t="b">
        <f aca="false">INDEX(Segmentation!$AW$2:$AW$301,MATCH($A68,Segmentation!$A$2:$A$301,0))</f>
        <v>0</v>
      </c>
    </row>
    <row r="69" customFormat="false" ht="15" hidden="false" customHeight="false" outlineLevel="0" collapsed="false">
      <c r="A69" s="2" t="s">
        <v>507</v>
      </c>
      <c r="B69" s="2" t="s">
        <v>1571</v>
      </c>
      <c r="C69" s="2" t="s">
        <v>1640</v>
      </c>
      <c r="D69" s="2" t="s">
        <v>1653</v>
      </c>
      <c r="E69" s="2" t="str">
        <f aca="false">INDEX(Segmentation!$H$2:$H$301,MATCH($A69,Segmentation!$A$2:$A$301,0))</f>
        <v>AM-Owned / Self-Serving</v>
      </c>
      <c r="F69" s="2" t="str">
        <f aca="false">INDEX(Segmentation!$J$2:$J$301,MATCH($A69,Segmentation!$A$2:$A$301,0))</f>
        <v>Tail</v>
      </c>
      <c r="G69" s="2" t="str">
        <f aca="false">INDEX(Segmentation!$N$2:$N$301,MATCH($A69,Segmentation!$A$2:$A$301,0))</f>
        <v>Growing</v>
      </c>
      <c r="H69" s="2" t="str">
        <f aca="false">INDEX(Segmentation!$T$2:$T$301,MATCH($A69,Segmentation!$A$2:$A$301,0))</f>
        <v>9. Long-Tail Automated Nurture</v>
      </c>
      <c r="I69" s="2" t="str">
        <f aca="false">INDEX(Segmentation!$G$2:$G$301,MATCH($A69,Segmentation!$A$2:$A$301,0))</f>
        <v>Low</v>
      </c>
      <c r="J69" s="9" t="n">
        <f aca="false">INDEX(Segmentation!$I$2:$I$301,MATCH($A69,Segmentation!$A$2:$A$301,0))</f>
        <v>1706</v>
      </c>
      <c r="K69" s="2" t="n">
        <f aca="false">INDEX(Segmentation!$O$2:$O$301,MATCH($A69,Segmentation!$A$2:$A$301,0))</f>
        <v>5</v>
      </c>
      <c r="L69" s="2" t="n">
        <f aca="false">INDEX(Segmentation!$Q$2:$Q$301,MATCH($A69,Segmentation!$A$2:$A$301,0))</f>
        <v>5</v>
      </c>
      <c r="M69" s="2" t="n">
        <f aca="false">INDEX(Segmentation!$W$2:$W$301,MATCH($A69,Segmentation!$A$2:$A$301,0))</f>
        <v>3</v>
      </c>
      <c r="N69" s="2" t="str">
        <f aca="false">INDEX(Segmentation!$AF$2:$AF$301,MATCH($A69,Segmentation!$A$2:$A$301,0))</f>
        <v>Existing Customer</v>
      </c>
      <c r="O69" s="2" t="n">
        <f aca="false">INDEX(Segmentation!$R$2:$R$301,MATCH($A69,Segmentation!$A$2:$A$301,0))</f>
        <v>31</v>
      </c>
      <c r="P69" s="2" t="n">
        <v>157</v>
      </c>
      <c r="Q69" s="2" t="n">
        <f aca="false">INDEX(Segmentation!$S$2:$S$301,MATCH($A69,Segmentation!$A$2:$A$301,0))</f>
        <v>5</v>
      </c>
      <c r="R69" s="2" t="n">
        <v>35</v>
      </c>
      <c r="S69" s="2" t="n">
        <v>0</v>
      </c>
      <c r="T69" s="2" t="n">
        <v>4</v>
      </c>
      <c r="U69" s="2" t="n">
        <v>1</v>
      </c>
      <c r="V69" s="2" t="n">
        <v>33</v>
      </c>
      <c r="W69" s="2" t="str">
        <f aca="false">IF(V69=100,"Bundle-only",IF(V69=0,"Handpick-only","Mixed"))</f>
        <v>Mixed</v>
      </c>
      <c r="X69" s="17" t="n">
        <f aca="false">L69/K69</f>
        <v>1</v>
      </c>
      <c r="Y69" s="9" t="n">
        <f aca="false">J69/K69</f>
        <v>341.2</v>
      </c>
      <c r="Z69" s="10" t="b">
        <f aca="false">O69&gt;=Assumptions!$B$57</f>
        <v>1</v>
      </c>
      <c r="AA69" s="10" t="b">
        <f aca="false">P69&gt;=Assumptions!$B$58</f>
        <v>1</v>
      </c>
      <c r="AB69" s="10" t="b">
        <f aca="false">Q69&gt;=Assumptions!$B$59</f>
        <v>1</v>
      </c>
      <c r="AC69" s="2" t="n">
        <f aca="false">Z69*1+AA69*1+AB69*1</f>
        <v>3</v>
      </c>
      <c r="AD69" s="2" t="str">
        <f aca="false">IF(E69="Broker-Reliant","Broker-led, product-blind",IF(AND(I69="Low",F69&lt;&gt;"Tail",OR(G69="Declining",G69="Lapsed"),OR(O69&gt;=Assumptions!$B$60,P69&gt;=Assumptions!$B$61)),"Engaged but shrinking (Key/Core)",IF(AND(O69&gt;=Assumptions!$B$60,P69&gt;=Assumptions!$B$61,Q69&gt;=Assumptions!$B$62,K69&gt;=Assumptions!$B$63),"Independent browser-buyer",IF(AND(OR(O69&gt;=Assumptions!$B$60,P69&gt;=Assumptions!$B$61),K69&lt;=2),"Engaged, not converting",IF(AND(K69=1,O69&lt;Assumptions!$B$60,P69&lt;Assumptions!$B$61),"One-off low-touch buyer","Light-touch repeat buyer")))))</f>
        <v>Light-touch repeat buyer</v>
      </c>
      <c r="AE69" s="10" t="b">
        <f aca="false">INDEX(Segmentation!$AW$2:$AW$301,MATCH($A69,Segmentation!$A$2:$A$301,0))</f>
        <v>1</v>
      </c>
    </row>
    <row r="70" customFormat="false" ht="15" hidden="false" customHeight="false" outlineLevel="0" collapsed="false">
      <c r="A70" s="2" t="s">
        <v>577</v>
      </c>
      <c r="B70" s="2" t="s">
        <v>1571</v>
      </c>
      <c r="C70" s="2" t="s">
        <v>1640</v>
      </c>
      <c r="D70" s="2" t="s">
        <v>1653</v>
      </c>
      <c r="E70" s="2" t="str">
        <f aca="false">INDEX(Segmentation!$H$2:$H$301,MATCH($A70,Segmentation!$A$2:$A$301,0))</f>
        <v>AM-Owned / Self-Serving</v>
      </c>
      <c r="F70" s="2" t="str">
        <f aca="false">INDEX(Segmentation!$J$2:$J$301,MATCH($A70,Segmentation!$A$2:$A$301,0))</f>
        <v>Tail</v>
      </c>
      <c r="G70" s="2" t="str">
        <f aca="false">INDEX(Segmentation!$N$2:$N$301,MATCH($A70,Segmentation!$A$2:$A$301,0))</f>
        <v>Declining</v>
      </c>
      <c r="H70" s="2" t="str">
        <f aca="false">INDEX(Segmentation!$T$2:$T$301,MATCH($A70,Segmentation!$A$2:$A$301,0))</f>
        <v>9. Long-Tail Automated Nurture</v>
      </c>
      <c r="I70" s="2" t="str">
        <f aca="false">INDEX(Segmentation!$G$2:$G$301,MATCH($A70,Segmentation!$A$2:$A$301,0))</f>
        <v>Low</v>
      </c>
      <c r="J70" s="9" t="n">
        <f aca="false">INDEX(Segmentation!$I$2:$I$301,MATCH($A70,Segmentation!$A$2:$A$301,0))</f>
        <v>1682</v>
      </c>
      <c r="K70" s="2" t="n">
        <f aca="false">INDEX(Segmentation!$O$2:$O$301,MATCH($A70,Segmentation!$A$2:$A$301,0))</f>
        <v>8</v>
      </c>
      <c r="L70" s="2" t="n">
        <f aca="false">INDEX(Segmentation!$Q$2:$Q$301,MATCH($A70,Segmentation!$A$2:$A$301,0))</f>
        <v>7</v>
      </c>
      <c r="M70" s="2" t="n">
        <f aca="false">INDEX(Segmentation!$W$2:$W$301,MATCH($A70,Segmentation!$A$2:$A$301,0))</f>
        <v>5</v>
      </c>
      <c r="N70" s="2" t="str">
        <f aca="false">INDEX(Segmentation!$AF$2:$AF$301,MATCH($A70,Segmentation!$A$2:$A$301,0))</f>
        <v>Existing Customer</v>
      </c>
      <c r="O70" s="2" t="n">
        <f aca="false">INDEX(Segmentation!$R$2:$R$301,MATCH($A70,Segmentation!$A$2:$A$301,0))</f>
        <v>76</v>
      </c>
      <c r="P70" s="2" t="n">
        <v>606</v>
      </c>
      <c r="Q70" s="2" t="n">
        <f aca="false">INDEX(Segmentation!$S$2:$S$301,MATCH($A70,Segmentation!$A$2:$A$301,0))</f>
        <v>4</v>
      </c>
      <c r="R70" s="2" t="n">
        <v>4</v>
      </c>
      <c r="S70" s="2" t="n">
        <v>0</v>
      </c>
      <c r="T70" s="2" t="n">
        <v>1</v>
      </c>
      <c r="U70" s="2" t="n">
        <v>7</v>
      </c>
      <c r="V70" s="2" t="n">
        <v>87</v>
      </c>
      <c r="W70" s="2" t="str">
        <f aca="false">IF(V70=100,"Bundle-only",IF(V70=0,"Handpick-only","Mixed"))</f>
        <v>Mixed</v>
      </c>
      <c r="X70" s="17" t="n">
        <f aca="false">L70/K70</f>
        <v>0.875</v>
      </c>
      <c r="Y70" s="9" t="n">
        <f aca="false">J70/K70</f>
        <v>210.25</v>
      </c>
      <c r="Z70" s="10" t="b">
        <f aca="false">O70&gt;=Assumptions!$B$57</f>
        <v>1</v>
      </c>
      <c r="AA70" s="10" t="b">
        <f aca="false">P70&gt;=Assumptions!$B$58</f>
        <v>1</v>
      </c>
      <c r="AB70" s="10" t="b">
        <f aca="false">Q70&gt;=Assumptions!$B$59</f>
        <v>1</v>
      </c>
      <c r="AC70" s="2" t="n">
        <f aca="false">Z70*1+AA70*1+AB70*1</f>
        <v>3</v>
      </c>
      <c r="AD70" s="2" t="str">
        <f aca="false">IF(E70="Broker-Reliant","Broker-led, product-blind",IF(AND(I70="Low",F70&lt;&gt;"Tail",OR(G70="Declining",G70="Lapsed"),OR(O70&gt;=Assumptions!$B$60,P70&gt;=Assumptions!$B$61)),"Engaged but shrinking (Key/Core)",IF(AND(O70&gt;=Assumptions!$B$60,P70&gt;=Assumptions!$B$61,Q70&gt;=Assumptions!$B$62,K70&gt;=Assumptions!$B$63),"Independent browser-buyer",IF(AND(OR(O70&gt;=Assumptions!$B$60,P70&gt;=Assumptions!$B$61),K70&lt;=2),"Engaged, not converting",IF(AND(K70=1,O70&lt;Assumptions!$B$60,P70&lt;Assumptions!$B$61),"One-off low-touch buyer","Light-touch repeat buyer")))))</f>
        <v>Independent browser-buyer</v>
      </c>
      <c r="AE70" s="10" t="b">
        <f aca="false">INDEX(Segmentation!$AW$2:$AW$301,MATCH($A70,Segmentation!$A$2:$A$301,0))</f>
        <v>0</v>
      </c>
    </row>
    <row r="71" customFormat="false" ht="15" hidden="false" customHeight="false" outlineLevel="0" collapsed="false">
      <c r="A71" s="2" t="s">
        <v>582</v>
      </c>
      <c r="B71" s="2" t="s">
        <v>1571</v>
      </c>
      <c r="C71" s="2" t="s">
        <v>1640</v>
      </c>
      <c r="D71" s="2" t="s">
        <v>1658</v>
      </c>
      <c r="E71" s="2" t="str">
        <f aca="false">INDEX(Segmentation!$H$2:$H$301,MATCH($A71,Segmentation!$A$2:$A$301,0))</f>
        <v>AM-Owned / Self-Serving</v>
      </c>
      <c r="F71" s="2" t="str">
        <f aca="false">INDEX(Segmentation!$J$2:$J$301,MATCH($A71,Segmentation!$A$2:$A$301,0))</f>
        <v>Tail</v>
      </c>
      <c r="G71" s="2" t="str">
        <f aca="false">INDEX(Segmentation!$N$2:$N$301,MATCH($A71,Segmentation!$A$2:$A$301,0))</f>
        <v>Lapsed</v>
      </c>
      <c r="H71" s="2" t="str">
        <f aca="false">INDEX(Segmentation!$T$2:$T$301,MATCH($A71,Segmentation!$A$2:$A$301,0))</f>
        <v>9. Long-Tail Automated Nurture</v>
      </c>
      <c r="I71" s="2" t="str">
        <f aca="false">INDEX(Segmentation!$G$2:$G$301,MATCH($A71,Segmentation!$A$2:$A$301,0))</f>
        <v>Low</v>
      </c>
      <c r="J71" s="9" t="n">
        <f aca="false">INDEX(Segmentation!$I$2:$I$301,MATCH($A71,Segmentation!$A$2:$A$301,0))</f>
        <v>1671</v>
      </c>
      <c r="K71" s="2" t="n">
        <f aca="false">INDEX(Segmentation!$O$2:$O$301,MATCH($A71,Segmentation!$A$2:$A$301,0))</f>
        <v>1</v>
      </c>
      <c r="L71" s="2" t="n">
        <f aca="false">INDEX(Segmentation!$Q$2:$Q$301,MATCH($A71,Segmentation!$A$2:$A$301,0))</f>
        <v>1</v>
      </c>
      <c r="M71" s="2" t="n">
        <f aca="false">INDEX(Segmentation!$W$2:$W$301,MATCH($A71,Segmentation!$A$2:$A$301,0))</f>
        <v>1</v>
      </c>
      <c r="N71" s="2" t="str">
        <f aca="false">INDEX(Segmentation!$AF$2:$AF$301,MATCH($A71,Segmentation!$A$2:$A$301,0))</f>
        <v>Existing Customer</v>
      </c>
      <c r="O71" s="2" t="n">
        <f aca="false">INDEX(Segmentation!$R$2:$R$301,MATCH($A71,Segmentation!$A$2:$A$301,0))</f>
        <v>11</v>
      </c>
      <c r="P71" s="2" t="n">
        <v>201</v>
      </c>
      <c r="Q71" s="2" t="n">
        <f aca="false">INDEX(Segmentation!$S$2:$S$301,MATCH($A71,Segmentation!$A$2:$A$301,0))</f>
        <v>10</v>
      </c>
      <c r="R71" s="2" t="n">
        <v>7</v>
      </c>
      <c r="S71" s="2" t="n">
        <v>1</v>
      </c>
      <c r="T71" s="2" t="n">
        <v>0</v>
      </c>
      <c r="U71" s="2" t="n">
        <v>1</v>
      </c>
      <c r="V71" s="2" t="n">
        <v>100</v>
      </c>
      <c r="W71" s="2" t="str">
        <f aca="false">IF(V71=100,"Bundle-only",IF(V71=0,"Handpick-only","Mixed"))</f>
        <v>Bundle-only</v>
      </c>
      <c r="X71" s="17" t="n">
        <f aca="false">L71/K71</f>
        <v>1</v>
      </c>
      <c r="Y71" s="9" t="n">
        <f aca="false">J71/K71</f>
        <v>1671</v>
      </c>
      <c r="Z71" s="10" t="b">
        <f aca="false">O71&gt;=Assumptions!$B$57</f>
        <v>1</v>
      </c>
      <c r="AA71" s="10" t="b">
        <f aca="false">P71&gt;=Assumptions!$B$58</f>
        <v>1</v>
      </c>
      <c r="AB71" s="10" t="b">
        <f aca="false">Q71&gt;=Assumptions!$B$59</f>
        <v>1</v>
      </c>
      <c r="AC71" s="2" t="n">
        <f aca="false">Z71*1+AA71*1+AB71*1</f>
        <v>3</v>
      </c>
      <c r="AD71" s="2" t="str">
        <f aca="false">IF(E71="Broker-Reliant","Broker-led, product-blind",IF(AND(I71="Low",F71&lt;&gt;"Tail",OR(G71="Declining",G71="Lapsed"),OR(O71&gt;=Assumptions!$B$60,P71&gt;=Assumptions!$B$61)),"Engaged but shrinking (Key/Core)",IF(AND(O71&gt;=Assumptions!$B$60,P71&gt;=Assumptions!$B$61,Q71&gt;=Assumptions!$B$62,K71&gt;=Assumptions!$B$63),"Independent browser-buyer",IF(AND(OR(O71&gt;=Assumptions!$B$60,P71&gt;=Assumptions!$B$61),K71&lt;=2),"Engaged, not converting",IF(AND(K71=1,O71&lt;Assumptions!$B$60,P71&lt;Assumptions!$B$61),"One-off low-touch buyer","Light-touch repeat buyer")))))</f>
        <v>Engaged, not converting</v>
      </c>
      <c r="AE71" s="10" t="b">
        <f aca="false">INDEX(Segmentation!$AW$2:$AW$301,MATCH($A71,Segmentation!$A$2:$A$301,0))</f>
        <v>0</v>
      </c>
    </row>
    <row r="72" customFormat="false" ht="15" hidden="false" customHeight="false" outlineLevel="0" collapsed="false">
      <c r="A72" s="2" t="s">
        <v>510</v>
      </c>
      <c r="B72" s="2" t="s">
        <v>1571</v>
      </c>
      <c r="C72" s="2" t="s">
        <v>1640</v>
      </c>
      <c r="D72" s="2" t="s">
        <v>1657</v>
      </c>
      <c r="E72" s="2" t="str">
        <f aca="false">INDEX(Segmentation!$H$2:$H$301,MATCH($A72,Segmentation!$A$2:$A$301,0))</f>
        <v>Broker-Reliant</v>
      </c>
      <c r="F72" s="2" t="str">
        <f aca="false">INDEX(Segmentation!$J$2:$J$301,MATCH($A72,Segmentation!$A$2:$A$301,0))</f>
        <v>Tail</v>
      </c>
      <c r="G72" s="2" t="str">
        <f aca="false">INDEX(Segmentation!$N$2:$N$301,MATCH($A72,Segmentation!$A$2:$A$301,0))</f>
        <v>Growing</v>
      </c>
      <c r="H72" s="2" t="str">
        <f aca="false">INDEX(Segmentation!$T$2:$T$301,MATCH($A72,Segmentation!$A$2:$A$301,0))</f>
        <v>5. Cost-to-Serve / Low-Touch</v>
      </c>
      <c r="I72" s="2" t="str">
        <f aca="false">INDEX(Segmentation!$G$2:$G$301,MATCH($A72,Segmentation!$A$2:$A$301,0))</f>
        <v>High</v>
      </c>
      <c r="J72" s="9" t="n">
        <f aca="false">INDEX(Segmentation!$I$2:$I$301,MATCH($A72,Segmentation!$A$2:$A$301,0))</f>
        <v>1614</v>
      </c>
      <c r="K72" s="2" t="n">
        <f aca="false">INDEX(Segmentation!$O$2:$O$301,MATCH($A72,Segmentation!$A$2:$A$301,0))</f>
        <v>6</v>
      </c>
      <c r="L72" s="2" t="n">
        <f aca="false">INDEX(Segmentation!$Q$2:$Q$301,MATCH($A72,Segmentation!$A$2:$A$301,0))</f>
        <v>2</v>
      </c>
      <c r="M72" s="2" t="n">
        <f aca="false">INDEX(Segmentation!$W$2:$W$301,MATCH($A72,Segmentation!$A$2:$A$301,0))</f>
        <v>3</v>
      </c>
      <c r="N72" s="2" t="str">
        <f aca="false">INDEX(Segmentation!$AF$2:$AF$301,MATCH($A72,Segmentation!$A$2:$A$301,0))</f>
        <v>Existing Customer</v>
      </c>
      <c r="O72" s="2" t="n">
        <f aca="false">INDEX(Segmentation!$R$2:$R$301,MATCH($A72,Segmentation!$A$2:$A$301,0))</f>
        <v>6</v>
      </c>
      <c r="P72" s="2" t="n">
        <v>3</v>
      </c>
      <c r="Q72" s="2" t="n">
        <f aca="false">INDEX(Segmentation!$S$2:$S$301,MATCH($A72,Segmentation!$A$2:$A$301,0))</f>
        <v>1</v>
      </c>
      <c r="R72" s="2" t="n">
        <v>3</v>
      </c>
      <c r="S72" s="2" t="n">
        <v>0</v>
      </c>
      <c r="T72" s="2" t="n">
        <v>0</v>
      </c>
      <c r="U72" s="2" t="n">
        <v>6</v>
      </c>
      <c r="V72" s="2" t="n">
        <v>100</v>
      </c>
      <c r="W72" s="2" t="str">
        <f aca="false">IF(V72=100,"Bundle-only",IF(V72=0,"Handpick-only","Mixed"))</f>
        <v>Bundle-only</v>
      </c>
      <c r="X72" s="17" t="n">
        <f aca="false">L72/K72</f>
        <v>0.333333333333333</v>
      </c>
      <c r="Y72" s="9" t="n">
        <f aca="false">J72/K72</f>
        <v>269</v>
      </c>
      <c r="Z72" s="10" t="b">
        <f aca="false">O72&gt;=Assumptions!$B$57</f>
        <v>0</v>
      </c>
      <c r="AA72" s="10" t="b">
        <f aca="false">P72&gt;=Assumptions!$B$58</f>
        <v>0</v>
      </c>
      <c r="AB72" s="10" t="b">
        <f aca="false">Q72&gt;=Assumptions!$B$59</f>
        <v>0</v>
      </c>
      <c r="AC72" s="2" t="n">
        <f aca="false">Z72*1+AA72*1+AB72*1</f>
        <v>0</v>
      </c>
      <c r="AD72" s="2" t="str">
        <f aca="false">IF(E72="Broker-Reliant","Broker-led, product-blind",IF(AND(I72="Low",F72&lt;&gt;"Tail",OR(G72="Declining",G72="Lapsed"),OR(O72&gt;=Assumptions!$B$60,P72&gt;=Assumptions!$B$61)),"Engaged but shrinking (Key/Core)",IF(AND(O72&gt;=Assumptions!$B$60,P72&gt;=Assumptions!$B$61,Q72&gt;=Assumptions!$B$62,K72&gt;=Assumptions!$B$63),"Independent browser-buyer",IF(AND(OR(O72&gt;=Assumptions!$B$60,P72&gt;=Assumptions!$B$61),K72&lt;=2),"Engaged, not converting",IF(AND(K72=1,O72&lt;Assumptions!$B$60,P72&lt;Assumptions!$B$61),"One-off low-touch buyer","Light-touch repeat buyer")))))</f>
        <v>Broker-led, product-blind</v>
      </c>
      <c r="AE72" s="10" t="b">
        <f aca="false">INDEX(Segmentation!$AW$2:$AW$301,MATCH($A72,Segmentation!$A$2:$A$301,0))</f>
        <v>0</v>
      </c>
    </row>
    <row r="73" customFormat="false" ht="15" hidden="false" customHeight="false" outlineLevel="0" collapsed="false">
      <c r="A73" s="2" t="s">
        <v>584</v>
      </c>
      <c r="B73" s="2" t="s">
        <v>1571</v>
      </c>
      <c r="C73" s="2" t="s">
        <v>1640</v>
      </c>
      <c r="D73" s="2" t="s">
        <v>1653</v>
      </c>
      <c r="E73" s="2" t="str">
        <f aca="false">INDEX(Segmentation!$H$2:$H$301,MATCH($A73,Segmentation!$A$2:$A$301,0))</f>
        <v>AM-Owned / Self-Serving</v>
      </c>
      <c r="F73" s="2" t="str">
        <f aca="false">INDEX(Segmentation!$J$2:$J$301,MATCH($A73,Segmentation!$A$2:$A$301,0))</f>
        <v>Tail</v>
      </c>
      <c r="G73" s="2" t="str">
        <f aca="false">INDEX(Segmentation!$N$2:$N$301,MATCH($A73,Segmentation!$A$2:$A$301,0))</f>
        <v>Declining</v>
      </c>
      <c r="H73" s="2" t="str">
        <f aca="false">INDEX(Segmentation!$T$2:$T$301,MATCH($A73,Segmentation!$A$2:$A$301,0))</f>
        <v>9. Long-Tail Automated Nurture</v>
      </c>
      <c r="I73" s="2" t="str">
        <f aca="false">INDEX(Segmentation!$G$2:$G$301,MATCH($A73,Segmentation!$A$2:$A$301,0))</f>
        <v>Low</v>
      </c>
      <c r="J73" s="9" t="n">
        <f aca="false">INDEX(Segmentation!$I$2:$I$301,MATCH($A73,Segmentation!$A$2:$A$301,0))</f>
        <v>1542</v>
      </c>
      <c r="K73" s="2" t="n">
        <f aca="false">INDEX(Segmentation!$O$2:$O$301,MATCH($A73,Segmentation!$A$2:$A$301,0))</f>
        <v>5</v>
      </c>
      <c r="L73" s="2" t="n">
        <f aca="false">INDEX(Segmentation!$Q$2:$Q$301,MATCH($A73,Segmentation!$A$2:$A$301,0))</f>
        <v>4</v>
      </c>
      <c r="M73" s="2" t="n">
        <f aca="false">INDEX(Segmentation!$W$2:$W$301,MATCH($A73,Segmentation!$A$2:$A$301,0))</f>
        <v>3</v>
      </c>
      <c r="N73" s="2" t="str">
        <f aca="false">INDEX(Segmentation!$AF$2:$AF$301,MATCH($A73,Segmentation!$A$2:$A$301,0))</f>
        <v>Existing Customer</v>
      </c>
      <c r="O73" s="2" t="n">
        <f aca="false">INDEX(Segmentation!$R$2:$R$301,MATCH($A73,Segmentation!$A$2:$A$301,0))</f>
        <v>77</v>
      </c>
      <c r="P73" s="2" t="n">
        <v>827</v>
      </c>
      <c r="Q73" s="2" t="n">
        <f aca="false">INDEX(Segmentation!$S$2:$S$301,MATCH($A73,Segmentation!$A$2:$A$301,0))</f>
        <v>17</v>
      </c>
      <c r="R73" s="2" t="n">
        <v>84</v>
      </c>
      <c r="S73" s="2" t="n">
        <v>0</v>
      </c>
      <c r="T73" s="2" t="n">
        <v>1</v>
      </c>
      <c r="U73" s="2" t="n">
        <v>4</v>
      </c>
      <c r="V73" s="2" t="n">
        <v>77</v>
      </c>
      <c r="W73" s="2" t="str">
        <f aca="false">IF(V73=100,"Bundle-only",IF(V73=0,"Handpick-only","Mixed"))</f>
        <v>Mixed</v>
      </c>
      <c r="X73" s="17" t="n">
        <f aca="false">L73/K73</f>
        <v>0.8</v>
      </c>
      <c r="Y73" s="9" t="n">
        <f aca="false">J73/K73</f>
        <v>308.4</v>
      </c>
      <c r="Z73" s="10" t="b">
        <f aca="false">O73&gt;=Assumptions!$B$57</f>
        <v>1</v>
      </c>
      <c r="AA73" s="10" t="b">
        <f aca="false">P73&gt;=Assumptions!$B$58</f>
        <v>1</v>
      </c>
      <c r="AB73" s="10" t="b">
        <f aca="false">Q73&gt;=Assumptions!$B$59</f>
        <v>1</v>
      </c>
      <c r="AC73" s="2" t="n">
        <f aca="false">Z73*1+AA73*1+AB73*1</f>
        <v>3</v>
      </c>
      <c r="AD73" s="2" t="str">
        <f aca="false">IF(E73="Broker-Reliant","Broker-led, product-blind",IF(AND(I73="Low",F73&lt;&gt;"Tail",OR(G73="Declining",G73="Lapsed"),OR(O73&gt;=Assumptions!$B$60,P73&gt;=Assumptions!$B$61)),"Engaged but shrinking (Key/Core)",IF(AND(O73&gt;=Assumptions!$B$60,P73&gt;=Assumptions!$B$61,Q73&gt;=Assumptions!$B$62,K73&gt;=Assumptions!$B$63),"Independent browser-buyer",IF(AND(OR(O73&gt;=Assumptions!$B$60,P73&gt;=Assumptions!$B$61),K73&lt;=2),"Engaged, not converting",IF(AND(K73=1,O73&lt;Assumptions!$B$60,P73&lt;Assumptions!$B$61),"One-off low-touch buyer","Light-touch repeat buyer")))))</f>
        <v>Independent browser-buyer</v>
      </c>
      <c r="AE73" s="10" t="b">
        <f aca="false">INDEX(Segmentation!$AW$2:$AW$301,MATCH($A73,Segmentation!$A$2:$A$301,0))</f>
        <v>0</v>
      </c>
    </row>
    <row r="74" customFormat="false" ht="15" hidden="false" customHeight="false" outlineLevel="0" collapsed="false">
      <c r="A74" s="2" t="s">
        <v>586</v>
      </c>
      <c r="B74" s="2" t="s">
        <v>1571</v>
      </c>
      <c r="C74" s="2" t="s">
        <v>1640</v>
      </c>
      <c r="D74" s="2" t="s">
        <v>1658</v>
      </c>
      <c r="E74" s="2" t="str">
        <f aca="false">INDEX(Segmentation!$H$2:$H$301,MATCH($A74,Segmentation!$A$2:$A$301,0))</f>
        <v>AM-Owned / Self-Serving</v>
      </c>
      <c r="F74" s="2" t="str">
        <f aca="false">INDEX(Segmentation!$J$2:$J$301,MATCH($A74,Segmentation!$A$2:$A$301,0))</f>
        <v>Tail</v>
      </c>
      <c r="G74" s="2" t="str">
        <f aca="false">INDEX(Segmentation!$N$2:$N$301,MATCH($A74,Segmentation!$A$2:$A$301,0))</f>
        <v>H2 Active / No H1 GMV</v>
      </c>
      <c r="H74" s="2" t="str">
        <f aca="false">INDEX(Segmentation!$T$2:$T$301,MATCH($A74,Segmentation!$A$2:$A$301,0))</f>
        <v>9. Long-Tail Automated Nurture</v>
      </c>
      <c r="I74" s="2" t="str">
        <f aca="false">INDEX(Segmentation!$G$2:$G$301,MATCH($A74,Segmentation!$A$2:$A$301,0))</f>
        <v>Low</v>
      </c>
      <c r="J74" s="9" t="n">
        <f aca="false">INDEX(Segmentation!$I$2:$I$301,MATCH($A74,Segmentation!$A$2:$A$301,0))</f>
        <v>1501</v>
      </c>
      <c r="K74" s="2" t="n">
        <f aca="false">INDEX(Segmentation!$O$2:$O$301,MATCH($A74,Segmentation!$A$2:$A$301,0))</f>
        <v>1</v>
      </c>
      <c r="L74" s="2" t="n">
        <f aca="false">INDEX(Segmentation!$Q$2:$Q$301,MATCH($A74,Segmentation!$A$2:$A$301,0))</f>
        <v>1</v>
      </c>
      <c r="M74" s="2" t="n">
        <f aca="false">INDEX(Segmentation!$W$2:$W$301,MATCH($A74,Segmentation!$A$2:$A$301,0))</f>
        <v>1</v>
      </c>
      <c r="N74" s="2" t="str">
        <f aca="false">INDEX(Segmentation!$AF$2:$AF$301,MATCH($A74,Segmentation!$A$2:$A$301,0))</f>
        <v>Returned Customer</v>
      </c>
      <c r="O74" s="2" t="n">
        <f aca="false">INDEX(Segmentation!$R$2:$R$301,MATCH($A74,Segmentation!$A$2:$A$301,0))</f>
        <v>11</v>
      </c>
      <c r="P74" s="2" t="n">
        <v>93</v>
      </c>
      <c r="Q74" s="2" t="n">
        <f aca="false">INDEX(Segmentation!$S$2:$S$301,MATCH($A74,Segmentation!$A$2:$A$301,0))</f>
        <v>0</v>
      </c>
      <c r="R74" s="2" t="n">
        <v>6</v>
      </c>
      <c r="S74" s="2" t="n">
        <v>0</v>
      </c>
      <c r="T74" s="2" t="n">
        <v>1</v>
      </c>
      <c r="U74" s="2" t="n">
        <v>0</v>
      </c>
      <c r="V74" s="2" t="n">
        <v>0</v>
      </c>
      <c r="W74" s="2" t="str">
        <f aca="false">IF(V74=100,"Bundle-only",IF(V74=0,"Handpick-only","Mixed"))</f>
        <v>Handpick-only</v>
      </c>
      <c r="X74" s="17" t="n">
        <f aca="false">L74/K74</f>
        <v>1</v>
      </c>
      <c r="Y74" s="9" t="n">
        <f aca="false">J74/K74</f>
        <v>1501</v>
      </c>
      <c r="Z74" s="10" t="b">
        <f aca="false">O74&gt;=Assumptions!$B$57</f>
        <v>1</v>
      </c>
      <c r="AA74" s="10" t="b">
        <f aca="false">P74&gt;=Assumptions!$B$58</f>
        <v>1</v>
      </c>
      <c r="AB74" s="10" t="b">
        <f aca="false">Q74&gt;=Assumptions!$B$59</f>
        <v>0</v>
      </c>
      <c r="AC74" s="2" t="n">
        <f aca="false">Z74*1+AA74*1+AB74*1</f>
        <v>2</v>
      </c>
      <c r="AD74" s="2" t="str">
        <f aca="false">IF(E74="Broker-Reliant","Broker-led, product-blind",IF(AND(I74="Low",F74&lt;&gt;"Tail",OR(G74="Declining",G74="Lapsed"),OR(O74&gt;=Assumptions!$B$60,P74&gt;=Assumptions!$B$61)),"Engaged but shrinking (Key/Core)",IF(AND(O74&gt;=Assumptions!$B$60,P74&gt;=Assumptions!$B$61,Q74&gt;=Assumptions!$B$62,K74&gt;=Assumptions!$B$63),"Independent browser-buyer",IF(AND(OR(O74&gt;=Assumptions!$B$60,P74&gt;=Assumptions!$B$61),K74&lt;=2),"Engaged, not converting",IF(AND(K74=1,O74&lt;Assumptions!$B$60,P74&lt;Assumptions!$B$61),"One-off low-touch buyer","Light-touch repeat buyer")))))</f>
        <v>One-off low-touch buyer</v>
      </c>
      <c r="AE74" s="10" t="b">
        <f aca="false">INDEX(Segmentation!$AW$2:$AW$301,MATCH($A74,Segmentation!$A$2:$A$301,0))</f>
        <v>0</v>
      </c>
    </row>
    <row r="75" customFormat="false" ht="15" hidden="false" customHeight="false" outlineLevel="0" collapsed="false">
      <c r="A75" s="2" t="s">
        <v>513</v>
      </c>
      <c r="B75" s="2" t="s">
        <v>1571</v>
      </c>
      <c r="C75" s="2" t="s">
        <v>1640</v>
      </c>
      <c r="D75" s="2" t="s">
        <v>1658</v>
      </c>
      <c r="E75" s="2" t="str">
        <f aca="false">INDEX(Segmentation!$H$2:$H$301,MATCH($A75,Segmentation!$A$2:$A$301,0))</f>
        <v>Broker-Reliant</v>
      </c>
      <c r="F75" s="2" t="str">
        <f aca="false">INDEX(Segmentation!$J$2:$J$301,MATCH($A75,Segmentation!$A$2:$A$301,0))</f>
        <v>Tail</v>
      </c>
      <c r="G75" s="2" t="str">
        <f aca="false">INDEX(Segmentation!$N$2:$N$301,MATCH($A75,Segmentation!$A$2:$A$301,0))</f>
        <v>H2 Active / No H1 GMV</v>
      </c>
      <c r="H75" s="2" t="str">
        <f aca="false">INDEX(Segmentation!$T$2:$T$301,MATCH($A75,Segmentation!$A$2:$A$301,0))</f>
        <v>5. Cost-to-Serve / Low-Touch</v>
      </c>
      <c r="I75" s="2" t="str">
        <f aca="false">INDEX(Segmentation!$G$2:$G$301,MATCH($A75,Segmentation!$A$2:$A$301,0))</f>
        <v>High</v>
      </c>
      <c r="J75" s="9" t="n">
        <f aca="false">INDEX(Segmentation!$I$2:$I$301,MATCH($A75,Segmentation!$A$2:$A$301,0))</f>
        <v>1448</v>
      </c>
      <c r="K75" s="2" t="n">
        <f aca="false">INDEX(Segmentation!$O$2:$O$301,MATCH($A75,Segmentation!$A$2:$A$301,0))</f>
        <v>2</v>
      </c>
      <c r="L75" s="2" t="n">
        <f aca="false">INDEX(Segmentation!$Q$2:$Q$301,MATCH($A75,Segmentation!$A$2:$A$301,0))</f>
        <v>1</v>
      </c>
      <c r="M75" s="2" t="n">
        <f aca="false">INDEX(Segmentation!$W$2:$W$301,MATCH($A75,Segmentation!$A$2:$A$301,0))</f>
        <v>1</v>
      </c>
      <c r="N75" s="2" t="str">
        <f aca="false">INDEX(Segmentation!$AF$2:$AF$301,MATCH($A75,Segmentation!$A$2:$A$301,0))</f>
        <v>Returned Customer</v>
      </c>
      <c r="O75" s="2" t="n">
        <f aca="false">INDEX(Segmentation!$R$2:$R$301,MATCH($A75,Segmentation!$A$2:$A$301,0))</f>
        <v>8</v>
      </c>
      <c r="P75" s="2" t="n">
        <v>5</v>
      </c>
      <c r="Q75" s="2" t="n">
        <f aca="false">INDEX(Segmentation!$S$2:$S$301,MATCH($A75,Segmentation!$A$2:$A$301,0))</f>
        <v>0</v>
      </c>
      <c r="R75" s="2" t="n">
        <v>52</v>
      </c>
      <c r="S75" s="2" t="n">
        <v>0</v>
      </c>
      <c r="T75" s="2" t="n">
        <v>2</v>
      </c>
      <c r="U75" s="2" t="n">
        <v>0</v>
      </c>
      <c r="V75" s="2" t="n">
        <v>0</v>
      </c>
      <c r="W75" s="2" t="str">
        <f aca="false">IF(V75=100,"Bundle-only",IF(V75=0,"Handpick-only","Mixed"))</f>
        <v>Handpick-only</v>
      </c>
      <c r="X75" s="17" t="n">
        <f aca="false">L75/K75</f>
        <v>0.5</v>
      </c>
      <c r="Y75" s="9" t="n">
        <f aca="false">J75/K75</f>
        <v>724</v>
      </c>
      <c r="Z75" s="10" t="b">
        <f aca="false">O75&gt;=Assumptions!$B$57</f>
        <v>0</v>
      </c>
      <c r="AA75" s="10" t="b">
        <f aca="false">P75&gt;=Assumptions!$B$58</f>
        <v>0</v>
      </c>
      <c r="AB75" s="10" t="b">
        <f aca="false">Q75&gt;=Assumptions!$B$59</f>
        <v>0</v>
      </c>
      <c r="AC75" s="2" t="n">
        <f aca="false">Z75*1+AA75*1+AB75*1</f>
        <v>0</v>
      </c>
      <c r="AD75" s="2" t="str">
        <f aca="false">IF(E75="Broker-Reliant","Broker-led, product-blind",IF(AND(I75="Low",F75&lt;&gt;"Tail",OR(G75="Declining",G75="Lapsed"),OR(O75&gt;=Assumptions!$B$60,P75&gt;=Assumptions!$B$61)),"Engaged but shrinking (Key/Core)",IF(AND(O75&gt;=Assumptions!$B$60,P75&gt;=Assumptions!$B$61,Q75&gt;=Assumptions!$B$62,K75&gt;=Assumptions!$B$63),"Independent browser-buyer",IF(AND(OR(O75&gt;=Assumptions!$B$60,P75&gt;=Assumptions!$B$61),K75&lt;=2),"Engaged, not converting",IF(AND(K75=1,O75&lt;Assumptions!$B$60,P75&lt;Assumptions!$B$61),"One-off low-touch buyer","Light-touch repeat buyer")))))</f>
        <v>Broker-led, product-blind</v>
      </c>
      <c r="AE75" s="10" t="b">
        <f aca="false">INDEX(Segmentation!$AW$2:$AW$301,MATCH($A75,Segmentation!$A$2:$A$301,0))</f>
        <v>0</v>
      </c>
    </row>
    <row r="76" customFormat="false" ht="15" hidden="false" customHeight="false" outlineLevel="0" collapsed="false">
      <c r="A76" s="2" t="s">
        <v>517</v>
      </c>
      <c r="B76" s="2" t="s">
        <v>1571</v>
      </c>
      <c r="C76" s="2" t="s">
        <v>1640</v>
      </c>
      <c r="D76" s="2" t="s">
        <v>1653</v>
      </c>
      <c r="E76" s="2" t="str">
        <f aca="false">INDEX(Segmentation!$H$2:$H$301,MATCH($A76,Segmentation!$A$2:$A$301,0))</f>
        <v>Broker-Reliant</v>
      </c>
      <c r="F76" s="2" t="str">
        <f aca="false">INDEX(Segmentation!$J$2:$J$301,MATCH($A76,Segmentation!$A$2:$A$301,0))</f>
        <v>Tail</v>
      </c>
      <c r="G76" s="2" t="str">
        <f aca="false">INDEX(Segmentation!$N$2:$N$301,MATCH($A76,Segmentation!$A$2:$A$301,0))</f>
        <v>Stable</v>
      </c>
      <c r="H76" s="2" t="str">
        <f aca="false">INDEX(Segmentation!$T$2:$T$301,MATCH($A76,Segmentation!$A$2:$A$301,0))</f>
        <v>5. Cost-to-Serve / Low-Touch</v>
      </c>
      <c r="I76" s="2" t="str">
        <f aca="false">INDEX(Segmentation!$G$2:$G$301,MATCH($A76,Segmentation!$A$2:$A$301,0))</f>
        <v>High</v>
      </c>
      <c r="J76" s="9" t="n">
        <f aca="false">INDEX(Segmentation!$I$2:$I$301,MATCH($A76,Segmentation!$A$2:$A$301,0))</f>
        <v>1422</v>
      </c>
      <c r="K76" s="2" t="n">
        <f aca="false">INDEX(Segmentation!$O$2:$O$301,MATCH($A76,Segmentation!$A$2:$A$301,0))</f>
        <v>3</v>
      </c>
      <c r="L76" s="2" t="n">
        <f aca="false">INDEX(Segmentation!$Q$2:$Q$301,MATCH($A76,Segmentation!$A$2:$A$301,0))</f>
        <v>1</v>
      </c>
      <c r="M76" s="2" t="n">
        <f aca="false">INDEX(Segmentation!$W$2:$W$301,MATCH($A76,Segmentation!$A$2:$A$301,0))</f>
        <v>3</v>
      </c>
      <c r="N76" s="2" t="str">
        <f aca="false">INDEX(Segmentation!$AF$2:$AF$301,MATCH($A76,Segmentation!$A$2:$A$301,0))</f>
        <v>Existing Customer</v>
      </c>
      <c r="O76" s="2" t="n">
        <f aca="false">INDEX(Segmentation!$R$2:$R$301,MATCH($A76,Segmentation!$A$2:$A$301,0))</f>
        <v>1</v>
      </c>
      <c r="P76" s="2" t="n">
        <v>13</v>
      </c>
      <c r="Q76" s="2" t="n">
        <f aca="false">INDEX(Segmentation!$S$2:$S$301,MATCH($A76,Segmentation!$A$2:$A$301,0))</f>
        <v>2</v>
      </c>
      <c r="R76" s="2" t="n">
        <v>8</v>
      </c>
      <c r="S76" s="2" t="n">
        <v>0</v>
      </c>
      <c r="T76" s="2" t="n">
        <v>0</v>
      </c>
      <c r="U76" s="2" t="n">
        <v>3</v>
      </c>
      <c r="V76" s="2" t="n">
        <v>100</v>
      </c>
      <c r="W76" s="2" t="str">
        <f aca="false">IF(V76=100,"Bundle-only",IF(V76=0,"Handpick-only","Mixed"))</f>
        <v>Bundle-only</v>
      </c>
      <c r="X76" s="17" t="n">
        <f aca="false">L76/K76</f>
        <v>0.333333333333333</v>
      </c>
      <c r="Y76" s="9" t="n">
        <f aca="false">J76/K76</f>
        <v>474</v>
      </c>
      <c r="Z76" s="10" t="b">
        <f aca="false">O76&gt;=Assumptions!$B$57</f>
        <v>0</v>
      </c>
      <c r="AA76" s="10" t="b">
        <f aca="false">P76&gt;=Assumptions!$B$58</f>
        <v>0</v>
      </c>
      <c r="AB76" s="10" t="b">
        <f aca="false">Q76&gt;=Assumptions!$B$59</f>
        <v>0</v>
      </c>
      <c r="AC76" s="2" t="n">
        <f aca="false">Z76*1+AA76*1+AB76*1</f>
        <v>0</v>
      </c>
      <c r="AD76" s="2" t="str">
        <f aca="false">IF(E76="Broker-Reliant","Broker-led, product-blind",IF(AND(I76="Low",F76&lt;&gt;"Tail",OR(G76="Declining",G76="Lapsed"),OR(O76&gt;=Assumptions!$B$60,P76&gt;=Assumptions!$B$61)),"Engaged but shrinking (Key/Core)",IF(AND(O76&gt;=Assumptions!$B$60,P76&gt;=Assumptions!$B$61,Q76&gt;=Assumptions!$B$62,K76&gt;=Assumptions!$B$63),"Independent browser-buyer",IF(AND(OR(O76&gt;=Assumptions!$B$60,P76&gt;=Assumptions!$B$61),K76&lt;=2),"Engaged, not converting",IF(AND(K76=1,O76&lt;Assumptions!$B$60,P76&lt;Assumptions!$B$61),"One-off low-touch buyer","Light-touch repeat buyer")))))</f>
        <v>Broker-led, product-blind</v>
      </c>
      <c r="AE76" s="10" t="b">
        <f aca="false">INDEX(Segmentation!$AW$2:$AW$301,MATCH($A76,Segmentation!$A$2:$A$301,0))</f>
        <v>0</v>
      </c>
    </row>
    <row r="77" customFormat="false" ht="15" hidden="false" customHeight="false" outlineLevel="0" collapsed="false">
      <c r="A77" s="2" t="s">
        <v>591</v>
      </c>
      <c r="B77" s="2" t="s">
        <v>1571</v>
      </c>
      <c r="C77" s="2" t="s">
        <v>1640</v>
      </c>
      <c r="D77" s="2" t="s">
        <v>1653</v>
      </c>
      <c r="E77" s="2" t="str">
        <f aca="false">INDEX(Segmentation!$H$2:$H$301,MATCH($A77,Segmentation!$A$2:$A$301,0))</f>
        <v>AM-Owned / Self-Serving</v>
      </c>
      <c r="F77" s="2" t="str">
        <f aca="false">INDEX(Segmentation!$J$2:$J$301,MATCH($A77,Segmentation!$A$2:$A$301,0))</f>
        <v>Tail</v>
      </c>
      <c r="G77" s="2" t="str">
        <f aca="false">INDEX(Segmentation!$N$2:$N$301,MATCH($A77,Segmentation!$A$2:$A$301,0))</f>
        <v>Lapsed</v>
      </c>
      <c r="H77" s="2" t="str">
        <f aca="false">INDEX(Segmentation!$T$2:$T$301,MATCH($A77,Segmentation!$A$2:$A$301,0))</f>
        <v>9. Long-Tail Automated Nurture</v>
      </c>
      <c r="I77" s="2" t="str">
        <f aca="false">INDEX(Segmentation!$G$2:$G$301,MATCH($A77,Segmentation!$A$2:$A$301,0))</f>
        <v>Low</v>
      </c>
      <c r="J77" s="9" t="n">
        <f aca="false">INDEX(Segmentation!$I$2:$I$301,MATCH($A77,Segmentation!$A$2:$A$301,0))</f>
        <v>1422</v>
      </c>
      <c r="K77" s="2" t="n">
        <f aca="false">INDEX(Segmentation!$O$2:$O$301,MATCH($A77,Segmentation!$A$2:$A$301,0))</f>
        <v>1</v>
      </c>
      <c r="L77" s="2" t="n">
        <f aca="false">INDEX(Segmentation!$Q$2:$Q$301,MATCH($A77,Segmentation!$A$2:$A$301,0))</f>
        <v>1</v>
      </c>
      <c r="M77" s="2" t="n">
        <f aca="false">INDEX(Segmentation!$W$2:$W$301,MATCH($A77,Segmentation!$A$2:$A$301,0))</f>
        <v>1</v>
      </c>
      <c r="N77" s="2" t="str">
        <f aca="false">INDEX(Segmentation!$AF$2:$AF$301,MATCH($A77,Segmentation!$A$2:$A$301,0))</f>
        <v>Existing Customer</v>
      </c>
      <c r="O77" s="2" t="n">
        <f aca="false">INDEX(Segmentation!$R$2:$R$301,MATCH($A77,Segmentation!$A$2:$A$301,0))</f>
        <v>4</v>
      </c>
      <c r="P77" s="2" t="n">
        <v>20</v>
      </c>
      <c r="Q77" s="2" t="n">
        <f aca="false">INDEX(Segmentation!$S$2:$S$301,MATCH($A77,Segmentation!$A$2:$A$301,0))</f>
        <v>0</v>
      </c>
      <c r="R77" s="2" t="n">
        <v>2</v>
      </c>
      <c r="S77" s="2" t="n">
        <v>0</v>
      </c>
      <c r="T77" s="2" t="n">
        <v>1</v>
      </c>
      <c r="U77" s="2" t="n">
        <v>0</v>
      </c>
      <c r="V77" s="2" t="n">
        <v>0</v>
      </c>
      <c r="W77" s="2" t="str">
        <f aca="false">IF(V77=100,"Bundle-only",IF(V77=0,"Handpick-only","Mixed"))</f>
        <v>Handpick-only</v>
      </c>
      <c r="X77" s="17" t="n">
        <f aca="false">L77/K77</f>
        <v>1</v>
      </c>
      <c r="Y77" s="9" t="n">
        <f aca="false">J77/K77</f>
        <v>1422</v>
      </c>
      <c r="Z77" s="10" t="b">
        <f aca="false">O77&gt;=Assumptions!$B$57</f>
        <v>0</v>
      </c>
      <c r="AA77" s="10" t="b">
        <f aca="false">P77&gt;=Assumptions!$B$58</f>
        <v>0</v>
      </c>
      <c r="AB77" s="10" t="b">
        <f aca="false">Q77&gt;=Assumptions!$B$59</f>
        <v>0</v>
      </c>
      <c r="AC77" s="2" t="n">
        <f aca="false">Z77*1+AA77*1+AB77*1</f>
        <v>0</v>
      </c>
      <c r="AD77" s="2" t="str">
        <f aca="false">IF(E77="Broker-Reliant","Broker-led, product-blind",IF(AND(I77="Low",F77&lt;&gt;"Tail",OR(G77="Declining",G77="Lapsed"),OR(O77&gt;=Assumptions!$B$60,P77&gt;=Assumptions!$B$61)),"Engaged but shrinking (Key/Core)",IF(AND(O77&gt;=Assumptions!$B$60,P77&gt;=Assumptions!$B$61,Q77&gt;=Assumptions!$B$62,K77&gt;=Assumptions!$B$63),"Independent browser-buyer",IF(AND(OR(O77&gt;=Assumptions!$B$60,P77&gt;=Assumptions!$B$61),K77&lt;=2),"Engaged, not converting",IF(AND(K77=1,O77&lt;Assumptions!$B$60,P77&lt;Assumptions!$B$61),"One-off low-touch buyer","Light-touch repeat buyer")))))</f>
        <v>One-off low-touch buyer</v>
      </c>
      <c r="AE77" s="10" t="b">
        <f aca="false">INDEX(Segmentation!$AW$2:$AW$301,MATCH($A77,Segmentation!$A$2:$A$301,0))</f>
        <v>0</v>
      </c>
    </row>
    <row r="78" customFormat="false" ht="15" hidden="false" customHeight="false" outlineLevel="0" collapsed="false">
      <c r="A78" s="2" t="s">
        <v>520</v>
      </c>
      <c r="B78" s="2" t="s">
        <v>1571</v>
      </c>
      <c r="C78" s="2" t="s">
        <v>1640</v>
      </c>
      <c r="D78" s="2" t="s">
        <v>1653</v>
      </c>
      <c r="E78" s="2" t="str">
        <f aca="false">INDEX(Segmentation!$H$2:$H$301,MATCH($A78,Segmentation!$A$2:$A$301,0))</f>
        <v>Broker-Reliant</v>
      </c>
      <c r="F78" s="2" t="str">
        <f aca="false">INDEX(Segmentation!$J$2:$J$301,MATCH($A78,Segmentation!$A$2:$A$301,0))</f>
        <v>Tail</v>
      </c>
      <c r="G78" s="2" t="str">
        <f aca="false">INDEX(Segmentation!$N$2:$N$301,MATCH($A78,Segmentation!$A$2:$A$301,0))</f>
        <v>Declining</v>
      </c>
      <c r="H78" s="2" t="str">
        <f aca="false">INDEX(Segmentation!$T$2:$T$301,MATCH($A78,Segmentation!$A$2:$A$301,0))</f>
        <v>5. Cost-to-Serve / Low-Touch</v>
      </c>
      <c r="I78" s="2" t="str">
        <f aca="false">INDEX(Segmentation!$G$2:$G$301,MATCH($A78,Segmentation!$A$2:$A$301,0))</f>
        <v>High</v>
      </c>
      <c r="J78" s="9" t="n">
        <f aca="false">INDEX(Segmentation!$I$2:$I$301,MATCH($A78,Segmentation!$A$2:$A$301,0))</f>
        <v>1401</v>
      </c>
      <c r="K78" s="2" t="n">
        <f aca="false">INDEX(Segmentation!$O$2:$O$301,MATCH($A78,Segmentation!$A$2:$A$301,0))</f>
        <v>5</v>
      </c>
      <c r="L78" s="2" t="n">
        <f aca="false">INDEX(Segmentation!$Q$2:$Q$301,MATCH($A78,Segmentation!$A$2:$A$301,0))</f>
        <v>1</v>
      </c>
      <c r="M78" s="2" t="n">
        <f aca="false">INDEX(Segmentation!$W$2:$W$301,MATCH($A78,Segmentation!$A$2:$A$301,0))</f>
        <v>3</v>
      </c>
      <c r="N78" s="2" t="str">
        <f aca="false">INDEX(Segmentation!$AF$2:$AF$301,MATCH($A78,Segmentation!$A$2:$A$301,0))</f>
        <v>Existing Customer</v>
      </c>
      <c r="O78" s="2" t="n">
        <f aca="false">INDEX(Segmentation!$R$2:$R$301,MATCH($A78,Segmentation!$A$2:$A$301,0))</f>
        <v>4</v>
      </c>
      <c r="P78" s="2" t="n">
        <v>10</v>
      </c>
      <c r="Q78" s="2" t="n">
        <f aca="false">INDEX(Segmentation!$S$2:$S$301,MATCH($A78,Segmentation!$A$2:$A$301,0))</f>
        <v>1</v>
      </c>
      <c r="R78" s="2" t="n">
        <v>6</v>
      </c>
      <c r="S78" s="2" t="n">
        <v>0</v>
      </c>
      <c r="T78" s="2" t="n">
        <v>1</v>
      </c>
      <c r="U78" s="2" t="n">
        <v>4</v>
      </c>
      <c r="V78" s="2" t="n">
        <v>81</v>
      </c>
      <c r="W78" s="2" t="str">
        <f aca="false">IF(V78=100,"Bundle-only",IF(V78=0,"Handpick-only","Mixed"))</f>
        <v>Mixed</v>
      </c>
      <c r="X78" s="17" t="n">
        <f aca="false">L78/K78</f>
        <v>0.2</v>
      </c>
      <c r="Y78" s="9" t="n">
        <f aca="false">J78/K78</f>
        <v>280.2</v>
      </c>
      <c r="Z78" s="10" t="b">
        <f aca="false">O78&gt;=Assumptions!$B$57</f>
        <v>0</v>
      </c>
      <c r="AA78" s="10" t="b">
        <f aca="false">P78&gt;=Assumptions!$B$58</f>
        <v>0</v>
      </c>
      <c r="AB78" s="10" t="b">
        <f aca="false">Q78&gt;=Assumptions!$B$59</f>
        <v>0</v>
      </c>
      <c r="AC78" s="2" t="n">
        <f aca="false">Z78*1+AA78*1+AB78*1</f>
        <v>0</v>
      </c>
      <c r="AD78" s="2" t="str">
        <f aca="false">IF(E78="Broker-Reliant","Broker-led, product-blind",IF(AND(I78="Low",F78&lt;&gt;"Tail",OR(G78="Declining",G78="Lapsed"),OR(O78&gt;=Assumptions!$B$60,P78&gt;=Assumptions!$B$61)),"Engaged but shrinking (Key/Core)",IF(AND(O78&gt;=Assumptions!$B$60,P78&gt;=Assumptions!$B$61,Q78&gt;=Assumptions!$B$62,K78&gt;=Assumptions!$B$63),"Independent browser-buyer",IF(AND(OR(O78&gt;=Assumptions!$B$60,P78&gt;=Assumptions!$B$61),K78&lt;=2),"Engaged, not converting",IF(AND(K78=1,O78&lt;Assumptions!$B$60,P78&lt;Assumptions!$B$61),"One-off low-touch buyer","Light-touch repeat buyer")))))</f>
        <v>Broker-led, product-blind</v>
      </c>
      <c r="AE78" s="10" t="b">
        <f aca="false">INDEX(Segmentation!$AW$2:$AW$301,MATCH($A78,Segmentation!$A$2:$A$301,0))</f>
        <v>0</v>
      </c>
    </row>
    <row r="79" customFormat="false" ht="15" hidden="false" customHeight="false" outlineLevel="0" collapsed="false">
      <c r="A79" s="2" t="s">
        <v>523</v>
      </c>
      <c r="B79" s="2" t="s">
        <v>1571</v>
      </c>
      <c r="C79" s="2" t="s">
        <v>1640</v>
      </c>
      <c r="D79" s="2" t="s">
        <v>1658</v>
      </c>
      <c r="E79" s="2" t="str">
        <f aca="false">INDEX(Segmentation!$H$2:$H$301,MATCH($A79,Segmentation!$A$2:$A$301,0))</f>
        <v>AM-Owned / Self-Serving</v>
      </c>
      <c r="F79" s="2" t="str">
        <f aca="false">INDEX(Segmentation!$J$2:$J$301,MATCH($A79,Segmentation!$A$2:$A$301,0))</f>
        <v>Tail</v>
      </c>
      <c r="G79" s="2" t="str">
        <f aca="false">INDEX(Segmentation!$N$2:$N$301,MATCH($A79,Segmentation!$A$2:$A$301,0))</f>
        <v>Stable</v>
      </c>
      <c r="H79" s="2" t="str">
        <f aca="false">INDEX(Segmentation!$T$2:$T$301,MATCH($A79,Segmentation!$A$2:$A$301,0))</f>
        <v>9. Long-Tail Automated Nurture</v>
      </c>
      <c r="I79" s="2" t="str">
        <f aca="false">INDEX(Segmentation!$G$2:$G$301,MATCH($A79,Segmentation!$A$2:$A$301,0))</f>
        <v>Low</v>
      </c>
      <c r="J79" s="9" t="n">
        <f aca="false">INDEX(Segmentation!$I$2:$I$301,MATCH($A79,Segmentation!$A$2:$A$301,0))</f>
        <v>1366</v>
      </c>
      <c r="K79" s="2" t="n">
        <f aca="false">INDEX(Segmentation!$O$2:$O$301,MATCH($A79,Segmentation!$A$2:$A$301,0))</f>
        <v>4</v>
      </c>
      <c r="L79" s="2" t="n">
        <f aca="false">INDEX(Segmentation!$Q$2:$Q$301,MATCH($A79,Segmentation!$A$2:$A$301,0))</f>
        <v>3</v>
      </c>
      <c r="M79" s="2" t="n">
        <f aca="false">INDEX(Segmentation!$W$2:$W$301,MATCH($A79,Segmentation!$A$2:$A$301,0))</f>
        <v>2</v>
      </c>
      <c r="N79" s="2" t="str">
        <f aca="false">INDEX(Segmentation!$AF$2:$AF$301,MATCH($A79,Segmentation!$A$2:$A$301,0))</f>
        <v>Existing Customer</v>
      </c>
      <c r="O79" s="2" t="n">
        <f aca="false">INDEX(Segmentation!$R$2:$R$301,MATCH($A79,Segmentation!$A$2:$A$301,0))</f>
        <v>10</v>
      </c>
      <c r="P79" s="2" t="n">
        <v>24</v>
      </c>
      <c r="Q79" s="2" t="n">
        <f aca="false">INDEX(Segmentation!$S$2:$S$301,MATCH($A79,Segmentation!$A$2:$A$301,0))</f>
        <v>0</v>
      </c>
      <c r="R79" s="2" t="n">
        <v>7</v>
      </c>
      <c r="S79" s="2" t="n">
        <v>0</v>
      </c>
      <c r="T79" s="2" t="n">
        <v>4</v>
      </c>
      <c r="U79" s="2" t="n">
        <v>0</v>
      </c>
      <c r="V79" s="2" t="n">
        <v>0</v>
      </c>
      <c r="W79" s="2" t="str">
        <f aca="false">IF(V79=100,"Bundle-only",IF(V79=0,"Handpick-only","Mixed"))</f>
        <v>Handpick-only</v>
      </c>
      <c r="X79" s="17" t="n">
        <f aca="false">L79/K79</f>
        <v>0.75</v>
      </c>
      <c r="Y79" s="9" t="n">
        <f aca="false">J79/K79</f>
        <v>341.5</v>
      </c>
      <c r="Z79" s="10" t="b">
        <f aca="false">O79&gt;=Assumptions!$B$57</f>
        <v>1</v>
      </c>
      <c r="AA79" s="10" t="b">
        <f aca="false">P79&gt;=Assumptions!$B$58</f>
        <v>0</v>
      </c>
      <c r="AB79" s="10" t="b">
        <f aca="false">Q79&gt;=Assumptions!$B$59</f>
        <v>0</v>
      </c>
      <c r="AC79" s="2" t="n">
        <f aca="false">Z79*1+AA79*1+AB79*1</f>
        <v>1</v>
      </c>
      <c r="AD79" s="2" t="str">
        <f aca="false">IF(E79="Broker-Reliant","Broker-led, product-blind",IF(AND(I79="Low",F79&lt;&gt;"Tail",OR(G79="Declining",G79="Lapsed"),OR(O79&gt;=Assumptions!$B$60,P79&gt;=Assumptions!$B$61)),"Engaged but shrinking (Key/Core)",IF(AND(O79&gt;=Assumptions!$B$60,P79&gt;=Assumptions!$B$61,Q79&gt;=Assumptions!$B$62,K79&gt;=Assumptions!$B$63),"Independent browser-buyer",IF(AND(OR(O79&gt;=Assumptions!$B$60,P79&gt;=Assumptions!$B$61),K79&lt;=2),"Engaged, not converting",IF(AND(K79=1,O79&lt;Assumptions!$B$60,P79&lt;Assumptions!$B$61),"One-off low-touch buyer","Light-touch repeat buyer")))))</f>
        <v>Light-touch repeat buyer</v>
      </c>
      <c r="AE79" s="10" t="b">
        <f aca="false">INDEX(Segmentation!$AW$2:$AW$301,MATCH($A79,Segmentation!$A$2:$A$301,0))</f>
        <v>0</v>
      </c>
    </row>
    <row r="80" customFormat="false" ht="15" hidden="false" customHeight="false" outlineLevel="0" collapsed="false">
      <c r="A80" s="2" t="s">
        <v>594</v>
      </c>
      <c r="B80" s="2" t="s">
        <v>1571</v>
      </c>
      <c r="C80" s="2" t="s">
        <v>1640</v>
      </c>
      <c r="D80" s="2" t="s">
        <v>1653</v>
      </c>
      <c r="E80" s="2" t="str">
        <f aca="false">INDEX(Segmentation!$H$2:$H$301,MATCH($A80,Segmentation!$A$2:$A$301,0))</f>
        <v>Broker-Reliant</v>
      </c>
      <c r="F80" s="2" t="str">
        <f aca="false">INDEX(Segmentation!$J$2:$J$301,MATCH($A80,Segmentation!$A$2:$A$301,0))</f>
        <v>Tail</v>
      </c>
      <c r="G80" s="2" t="str">
        <f aca="false">INDEX(Segmentation!$N$2:$N$301,MATCH($A80,Segmentation!$A$2:$A$301,0))</f>
        <v>Lapsed</v>
      </c>
      <c r="H80" s="2" t="str">
        <f aca="false">INDEX(Segmentation!$T$2:$T$301,MATCH($A80,Segmentation!$A$2:$A$301,0))</f>
        <v>5. Cost-to-Serve / Low-Touch</v>
      </c>
      <c r="I80" s="2" t="str">
        <f aca="false">INDEX(Segmentation!$G$2:$G$301,MATCH($A80,Segmentation!$A$2:$A$301,0))</f>
        <v>High</v>
      </c>
      <c r="J80" s="9" t="n">
        <f aca="false">INDEX(Segmentation!$I$2:$I$301,MATCH($A80,Segmentation!$A$2:$A$301,0))</f>
        <v>1342</v>
      </c>
      <c r="K80" s="2" t="n">
        <f aca="false">INDEX(Segmentation!$O$2:$O$301,MATCH($A80,Segmentation!$A$2:$A$301,0))</f>
        <v>3</v>
      </c>
      <c r="L80" s="2" t="n">
        <f aca="false">INDEX(Segmentation!$Q$2:$Q$301,MATCH($A80,Segmentation!$A$2:$A$301,0))</f>
        <v>1</v>
      </c>
      <c r="M80" s="2" t="n">
        <f aca="false">INDEX(Segmentation!$W$2:$W$301,MATCH($A80,Segmentation!$A$2:$A$301,0))</f>
        <v>1</v>
      </c>
      <c r="N80" s="2" t="str">
        <f aca="false">INDEX(Segmentation!$AF$2:$AF$301,MATCH($A80,Segmentation!$A$2:$A$301,0))</f>
        <v>Existing Customer</v>
      </c>
      <c r="O80" s="2" t="n">
        <f aca="false">INDEX(Segmentation!$R$2:$R$301,MATCH($A80,Segmentation!$A$2:$A$301,0))</f>
        <v>1</v>
      </c>
      <c r="P80" s="2" t="n">
        <v>3</v>
      </c>
      <c r="Q80" s="2" t="n">
        <f aca="false">INDEX(Segmentation!$S$2:$S$301,MATCH($A80,Segmentation!$A$2:$A$301,0))</f>
        <v>1</v>
      </c>
      <c r="R80" s="2" t="n">
        <v>2</v>
      </c>
      <c r="S80" s="2" t="n">
        <v>0</v>
      </c>
      <c r="T80" s="2" t="n">
        <v>0</v>
      </c>
      <c r="U80" s="2" t="n">
        <v>3</v>
      </c>
      <c r="V80" s="2" t="n">
        <v>100</v>
      </c>
      <c r="W80" s="2" t="str">
        <f aca="false">IF(V80=100,"Bundle-only",IF(V80=0,"Handpick-only","Mixed"))</f>
        <v>Bundle-only</v>
      </c>
      <c r="X80" s="17" t="n">
        <f aca="false">L80/K80</f>
        <v>0.333333333333333</v>
      </c>
      <c r="Y80" s="9" t="n">
        <f aca="false">J80/K80</f>
        <v>447.333333333333</v>
      </c>
      <c r="Z80" s="10" t="b">
        <f aca="false">O80&gt;=Assumptions!$B$57</f>
        <v>0</v>
      </c>
      <c r="AA80" s="10" t="b">
        <f aca="false">P80&gt;=Assumptions!$B$58</f>
        <v>0</v>
      </c>
      <c r="AB80" s="10" t="b">
        <f aca="false">Q80&gt;=Assumptions!$B$59</f>
        <v>0</v>
      </c>
      <c r="AC80" s="2" t="n">
        <f aca="false">Z80*1+AA80*1+AB80*1</f>
        <v>0</v>
      </c>
      <c r="AD80" s="2" t="str">
        <f aca="false">IF(E80="Broker-Reliant","Broker-led, product-blind",IF(AND(I80="Low",F80&lt;&gt;"Tail",OR(G80="Declining",G80="Lapsed"),OR(O80&gt;=Assumptions!$B$60,P80&gt;=Assumptions!$B$61)),"Engaged but shrinking (Key/Core)",IF(AND(O80&gt;=Assumptions!$B$60,P80&gt;=Assumptions!$B$61,Q80&gt;=Assumptions!$B$62,K80&gt;=Assumptions!$B$63),"Independent browser-buyer",IF(AND(OR(O80&gt;=Assumptions!$B$60,P80&gt;=Assumptions!$B$61),K80&lt;=2),"Engaged, not converting",IF(AND(K80=1,O80&lt;Assumptions!$B$60,P80&lt;Assumptions!$B$61),"One-off low-touch buyer","Light-touch repeat buyer")))))</f>
        <v>Broker-led, product-blind</v>
      </c>
      <c r="AE80" s="10" t="b">
        <f aca="false">INDEX(Segmentation!$AW$2:$AW$301,MATCH($A80,Segmentation!$A$2:$A$301,0))</f>
        <v>0</v>
      </c>
    </row>
    <row r="81" customFormat="false" ht="15" hidden="false" customHeight="false" outlineLevel="0" collapsed="false">
      <c r="A81" s="2" t="s">
        <v>530</v>
      </c>
      <c r="B81" s="2" t="s">
        <v>1571</v>
      </c>
      <c r="C81" s="2" t="s">
        <v>1640</v>
      </c>
      <c r="D81" s="2" t="s">
        <v>1653</v>
      </c>
      <c r="E81" s="2" t="str">
        <f aca="false">INDEX(Segmentation!$H$2:$H$301,MATCH($A81,Segmentation!$A$2:$A$301,0))</f>
        <v>Broker-Reliant</v>
      </c>
      <c r="F81" s="2" t="str">
        <f aca="false">INDEX(Segmentation!$J$2:$J$301,MATCH($A81,Segmentation!$A$2:$A$301,0))</f>
        <v>Tail</v>
      </c>
      <c r="G81" s="2" t="str">
        <f aca="false">INDEX(Segmentation!$N$2:$N$301,MATCH($A81,Segmentation!$A$2:$A$301,0))</f>
        <v>H2 Active / No H1 GMV</v>
      </c>
      <c r="H81" s="2" t="str">
        <f aca="false">INDEX(Segmentation!$T$2:$T$301,MATCH($A81,Segmentation!$A$2:$A$301,0))</f>
        <v>5. Cost-to-Serve / Low-Touch</v>
      </c>
      <c r="I81" s="2" t="str">
        <f aca="false">INDEX(Segmentation!$G$2:$G$301,MATCH($A81,Segmentation!$A$2:$A$301,0))</f>
        <v>High</v>
      </c>
      <c r="J81" s="9" t="n">
        <f aca="false">INDEX(Segmentation!$I$2:$I$301,MATCH($A81,Segmentation!$A$2:$A$301,0))</f>
        <v>1342</v>
      </c>
      <c r="K81" s="2" t="n">
        <f aca="false">INDEX(Segmentation!$O$2:$O$301,MATCH($A81,Segmentation!$A$2:$A$301,0))</f>
        <v>7</v>
      </c>
      <c r="L81" s="2" t="n">
        <f aca="false">INDEX(Segmentation!$Q$2:$Q$301,MATCH($A81,Segmentation!$A$2:$A$301,0))</f>
        <v>3</v>
      </c>
      <c r="M81" s="2" t="n">
        <f aca="false">INDEX(Segmentation!$W$2:$W$301,MATCH($A81,Segmentation!$A$2:$A$301,0))</f>
        <v>2</v>
      </c>
      <c r="N81" s="2" t="str">
        <f aca="false">INDEX(Segmentation!$AF$2:$AF$301,MATCH($A81,Segmentation!$A$2:$A$301,0))</f>
        <v>Returned Customer</v>
      </c>
      <c r="O81" s="2" t="n">
        <f aca="false">INDEX(Segmentation!$R$2:$R$301,MATCH($A81,Segmentation!$A$2:$A$301,0))</f>
        <v>3</v>
      </c>
      <c r="P81" s="2" t="n">
        <v>13</v>
      </c>
      <c r="Q81" s="2" t="n">
        <f aca="false">INDEX(Segmentation!$S$2:$S$301,MATCH($A81,Segmentation!$A$2:$A$301,0))</f>
        <v>1</v>
      </c>
      <c r="R81" s="2" t="n">
        <v>11</v>
      </c>
      <c r="S81" s="2" t="n">
        <v>1</v>
      </c>
      <c r="T81" s="2" t="n">
        <v>7</v>
      </c>
      <c r="U81" s="2" t="n">
        <v>2</v>
      </c>
      <c r="V81" s="2" t="n">
        <v>13</v>
      </c>
      <c r="W81" s="2" t="str">
        <f aca="false">IF(V81=100,"Bundle-only",IF(V81=0,"Handpick-only","Mixed"))</f>
        <v>Mixed</v>
      </c>
      <c r="X81" s="17" t="n">
        <f aca="false">L81/K81</f>
        <v>0.428571428571429</v>
      </c>
      <c r="Y81" s="9" t="n">
        <f aca="false">J81/K81</f>
        <v>191.714285714286</v>
      </c>
      <c r="Z81" s="10" t="b">
        <f aca="false">O81&gt;=Assumptions!$B$57</f>
        <v>0</v>
      </c>
      <c r="AA81" s="10" t="b">
        <f aca="false">P81&gt;=Assumptions!$B$58</f>
        <v>0</v>
      </c>
      <c r="AB81" s="10" t="b">
        <f aca="false">Q81&gt;=Assumptions!$B$59</f>
        <v>0</v>
      </c>
      <c r="AC81" s="2" t="n">
        <f aca="false">Z81*1+AA81*1+AB81*1</f>
        <v>0</v>
      </c>
      <c r="AD81" s="2" t="str">
        <f aca="false">IF(E81="Broker-Reliant","Broker-led, product-blind",IF(AND(I81="Low",F81&lt;&gt;"Tail",OR(G81="Declining",G81="Lapsed"),OR(O81&gt;=Assumptions!$B$60,P81&gt;=Assumptions!$B$61)),"Engaged but shrinking (Key/Core)",IF(AND(O81&gt;=Assumptions!$B$60,P81&gt;=Assumptions!$B$61,Q81&gt;=Assumptions!$B$62,K81&gt;=Assumptions!$B$63),"Independent browser-buyer",IF(AND(OR(O81&gt;=Assumptions!$B$60,P81&gt;=Assumptions!$B$61),K81&lt;=2),"Engaged, not converting",IF(AND(K81=1,O81&lt;Assumptions!$B$60,P81&lt;Assumptions!$B$61),"One-off low-touch buyer","Light-touch repeat buyer")))))</f>
        <v>Broker-led, product-blind</v>
      </c>
      <c r="AE81" s="10" t="b">
        <f aca="false">INDEX(Segmentation!$AW$2:$AW$301,MATCH($A81,Segmentation!$A$2:$A$301,0))</f>
        <v>0</v>
      </c>
    </row>
    <row r="82" customFormat="false" ht="15" hidden="false" customHeight="false" outlineLevel="0" collapsed="false">
      <c r="A82" s="2" t="s">
        <v>597</v>
      </c>
      <c r="B82" s="2" t="s">
        <v>1571</v>
      </c>
      <c r="C82" s="2" t="s">
        <v>1640</v>
      </c>
      <c r="D82" s="2" t="s">
        <v>1653</v>
      </c>
      <c r="E82" s="2" t="str">
        <f aca="false">INDEX(Segmentation!$H$2:$H$301,MATCH($A82,Segmentation!$A$2:$A$301,0))</f>
        <v>Broker-Reliant</v>
      </c>
      <c r="F82" s="2" t="str">
        <f aca="false">INDEX(Segmentation!$J$2:$J$301,MATCH($A82,Segmentation!$A$2:$A$301,0))</f>
        <v>Tail</v>
      </c>
      <c r="G82" s="2" t="str">
        <f aca="false">INDEX(Segmentation!$N$2:$N$301,MATCH($A82,Segmentation!$A$2:$A$301,0))</f>
        <v>Lapsed</v>
      </c>
      <c r="H82" s="2" t="str">
        <f aca="false">INDEX(Segmentation!$T$2:$T$301,MATCH($A82,Segmentation!$A$2:$A$301,0))</f>
        <v>5. Cost-to-Serve / Low-Touch</v>
      </c>
      <c r="I82" s="2" t="str">
        <f aca="false">INDEX(Segmentation!$G$2:$G$301,MATCH($A82,Segmentation!$A$2:$A$301,0))</f>
        <v>High</v>
      </c>
      <c r="J82" s="9" t="n">
        <f aca="false">INDEX(Segmentation!$I$2:$I$301,MATCH($A82,Segmentation!$A$2:$A$301,0))</f>
        <v>1289</v>
      </c>
      <c r="K82" s="2" t="n">
        <f aca="false">INDEX(Segmentation!$O$2:$O$301,MATCH($A82,Segmentation!$A$2:$A$301,0))</f>
        <v>4</v>
      </c>
      <c r="L82" s="2" t="n">
        <f aca="false">INDEX(Segmentation!$Q$2:$Q$301,MATCH($A82,Segmentation!$A$2:$A$301,0))</f>
        <v>1</v>
      </c>
      <c r="M82" s="2" t="n">
        <f aca="false">INDEX(Segmentation!$W$2:$W$301,MATCH($A82,Segmentation!$A$2:$A$301,0))</f>
        <v>2</v>
      </c>
      <c r="N82" s="2" t="str">
        <f aca="false">INDEX(Segmentation!$AF$2:$AF$301,MATCH($A82,Segmentation!$A$2:$A$301,0))</f>
        <v>Existing Customer</v>
      </c>
      <c r="O82" s="2" t="n">
        <f aca="false">INDEX(Segmentation!$R$2:$R$301,MATCH($A82,Segmentation!$A$2:$A$301,0))</f>
        <v>5</v>
      </c>
      <c r="P82" s="2" t="n">
        <v>5</v>
      </c>
      <c r="Q82" s="2" t="n">
        <f aca="false">INDEX(Segmentation!$S$2:$S$301,MATCH($A82,Segmentation!$A$2:$A$301,0))</f>
        <v>1</v>
      </c>
      <c r="R82" s="2" t="n">
        <v>80</v>
      </c>
      <c r="S82" s="2" t="n">
        <v>0</v>
      </c>
      <c r="T82" s="2" t="n">
        <v>4</v>
      </c>
      <c r="U82" s="2" t="n">
        <v>0</v>
      </c>
      <c r="V82" s="2" t="n">
        <v>0</v>
      </c>
      <c r="W82" s="2" t="str">
        <f aca="false">IF(V82=100,"Bundle-only",IF(V82=0,"Handpick-only","Mixed"))</f>
        <v>Handpick-only</v>
      </c>
      <c r="X82" s="17" t="n">
        <f aca="false">L82/K82</f>
        <v>0.25</v>
      </c>
      <c r="Y82" s="9" t="n">
        <f aca="false">J82/K82</f>
        <v>322.25</v>
      </c>
      <c r="Z82" s="10" t="b">
        <f aca="false">O82&gt;=Assumptions!$B$57</f>
        <v>0</v>
      </c>
      <c r="AA82" s="10" t="b">
        <f aca="false">P82&gt;=Assumptions!$B$58</f>
        <v>0</v>
      </c>
      <c r="AB82" s="10" t="b">
        <f aca="false">Q82&gt;=Assumptions!$B$59</f>
        <v>0</v>
      </c>
      <c r="AC82" s="2" t="n">
        <f aca="false">Z82*1+AA82*1+AB82*1</f>
        <v>0</v>
      </c>
      <c r="AD82" s="2" t="str">
        <f aca="false">IF(E82="Broker-Reliant","Broker-led, product-blind",IF(AND(I82="Low",F82&lt;&gt;"Tail",OR(G82="Declining",G82="Lapsed"),OR(O82&gt;=Assumptions!$B$60,P82&gt;=Assumptions!$B$61)),"Engaged but shrinking (Key/Core)",IF(AND(O82&gt;=Assumptions!$B$60,P82&gt;=Assumptions!$B$61,Q82&gt;=Assumptions!$B$62,K82&gt;=Assumptions!$B$63),"Independent browser-buyer",IF(AND(OR(O82&gt;=Assumptions!$B$60,P82&gt;=Assumptions!$B$61),K82&lt;=2),"Engaged, not converting",IF(AND(K82=1,O82&lt;Assumptions!$B$60,P82&lt;Assumptions!$B$61),"One-off low-touch buyer","Light-touch repeat buyer")))))</f>
        <v>Broker-led, product-blind</v>
      </c>
      <c r="AE82" s="10" t="b">
        <f aca="false">INDEX(Segmentation!$AW$2:$AW$301,MATCH($A82,Segmentation!$A$2:$A$301,0))</f>
        <v>0</v>
      </c>
    </row>
    <row r="83" customFormat="false" ht="15" hidden="false" customHeight="false" outlineLevel="0" collapsed="false">
      <c r="A83" s="2" t="s">
        <v>599</v>
      </c>
      <c r="B83" s="2" t="s">
        <v>1571</v>
      </c>
      <c r="C83" s="2" t="s">
        <v>1640</v>
      </c>
      <c r="D83" s="2" t="s">
        <v>1653</v>
      </c>
      <c r="E83" s="2" t="str">
        <f aca="false">INDEX(Segmentation!$H$2:$H$301,MATCH($A83,Segmentation!$A$2:$A$301,0))</f>
        <v>AM-Owned / Self-Serving</v>
      </c>
      <c r="F83" s="2" t="str">
        <f aca="false">INDEX(Segmentation!$J$2:$J$301,MATCH($A83,Segmentation!$A$2:$A$301,0))</f>
        <v>Tail</v>
      </c>
      <c r="G83" s="2" t="str">
        <f aca="false">INDEX(Segmentation!$N$2:$N$301,MATCH($A83,Segmentation!$A$2:$A$301,0))</f>
        <v>Lapsed</v>
      </c>
      <c r="H83" s="2" t="str">
        <f aca="false">INDEX(Segmentation!$T$2:$T$301,MATCH($A83,Segmentation!$A$2:$A$301,0))</f>
        <v>9. Long-Tail Automated Nurture</v>
      </c>
      <c r="I83" s="2" t="str">
        <f aca="false">INDEX(Segmentation!$G$2:$G$301,MATCH($A83,Segmentation!$A$2:$A$301,0))</f>
        <v>Low</v>
      </c>
      <c r="J83" s="9" t="n">
        <f aca="false">INDEX(Segmentation!$I$2:$I$301,MATCH($A83,Segmentation!$A$2:$A$301,0))</f>
        <v>1263</v>
      </c>
      <c r="K83" s="2" t="n">
        <f aca="false">INDEX(Segmentation!$O$2:$O$301,MATCH($A83,Segmentation!$A$2:$A$301,0))</f>
        <v>4</v>
      </c>
      <c r="L83" s="2" t="n">
        <f aca="false">INDEX(Segmentation!$Q$2:$Q$301,MATCH($A83,Segmentation!$A$2:$A$301,0))</f>
        <v>4</v>
      </c>
      <c r="M83" s="2" t="n">
        <f aca="false">INDEX(Segmentation!$W$2:$W$301,MATCH($A83,Segmentation!$A$2:$A$301,0))</f>
        <v>3</v>
      </c>
      <c r="N83" s="2" t="str">
        <f aca="false">INDEX(Segmentation!$AF$2:$AF$301,MATCH($A83,Segmentation!$A$2:$A$301,0))</f>
        <v>Existing Customer</v>
      </c>
      <c r="O83" s="2" t="n">
        <f aca="false">INDEX(Segmentation!$R$2:$R$301,MATCH($A83,Segmentation!$A$2:$A$301,0))</f>
        <v>53</v>
      </c>
      <c r="P83" s="2" t="n">
        <v>515</v>
      </c>
      <c r="Q83" s="2" t="n">
        <f aca="false">INDEX(Segmentation!$S$2:$S$301,MATCH($A83,Segmentation!$A$2:$A$301,0))</f>
        <v>3</v>
      </c>
      <c r="R83" s="2" t="n">
        <v>2</v>
      </c>
      <c r="S83" s="2" t="n">
        <v>0</v>
      </c>
      <c r="T83" s="2" t="n">
        <v>0</v>
      </c>
      <c r="U83" s="2" t="n">
        <v>4</v>
      </c>
      <c r="V83" s="2" t="n">
        <v>100</v>
      </c>
      <c r="W83" s="2" t="str">
        <f aca="false">IF(V83=100,"Bundle-only",IF(V83=0,"Handpick-only","Mixed"))</f>
        <v>Bundle-only</v>
      </c>
      <c r="X83" s="17" t="n">
        <f aca="false">L83/K83</f>
        <v>1</v>
      </c>
      <c r="Y83" s="9" t="n">
        <f aca="false">J83/K83</f>
        <v>315.75</v>
      </c>
      <c r="Z83" s="10" t="b">
        <f aca="false">O83&gt;=Assumptions!$B$57</f>
        <v>1</v>
      </c>
      <c r="AA83" s="10" t="b">
        <f aca="false">P83&gt;=Assumptions!$B$58</f>
        <v>1</v>
      </c>
      <c r="AB83" s="10" t="b">
        <f aca="false">Q83&gt;=Assumptions!$B$59</f>
        <v>1</v>
      </c>
      <c r="AC83" s="2" t="n">
        <f aca="false">Z83*1+AA83*1+AB83*1</f>
        <v>3</v>
      </c>
      <c r="AD83" s="2" t="str">
        <f aca="false">IF(E83="Broker-Reliant","Broker-led, product-blind",IF(AND(I83="Low",F83&lt;&gt;"Tail",OR(G83="Declining",G83="Lapsed"),OR(O83&gt;=Assumptions!$B$60,P83&gt;=Assumptions!$B$61)),"Engaged but shrinking (Key/Core)",IF(AND(O83&gt;=Assumptions!$B$60,P83&gt;=Assumptions!$B$61,Q83&gt;=Assumptions!$B$62,K83&gt;=Assumptions!$B$63),"Independent browser-buyer",IF(AND(OR(O83&gt;=Assumptions!$B$60,P83&gt;=Assumptions!$B$61),K83&lt;=2),"Engaged, not converting",IF(AND(K83=1,O83&lt;Assumptions!$B$60,P83&lt;Assumptions!$B$61),"One-off low-touch buyer","Light-touch repeat buyer")))))</f>
        <v>Independent browser-buyer</v>
      </c>
      <c r="AE83" s="10" t="b">
        <f aca="false">INDEX(Segmentation!$AW$2:$AW$301,MATCH($A83,Segmentation!$A$2:$A$301,0))</f>
        <v>0</v>
      </c>
    </row>
    <row r="84" customFormat="false" ht="15" hidden="false" customHeight="false" outlineLevel="0" collapsed="false">
      <c r="A84" s="2" t="s">
        <v>533</v>
      </c>
      <c r="B84" s="2" t="s">
        <v>1571</v>
      </c>
      <c r="C84" s="2" t="s">
        <v>1640</v>
      </c>
      <c r="D84" s="2" t="s">
        <v>1653</v>
      </c>
      <c r="E84" s="2" t="str">
        <f aca="false">INDEX(Segmentation!$H$2:$H$301,MATCH($A84,Segmentation!$A$2:$A$301,0))</f>
        <v>AM-Owned / Self-Serving</v>
      </c>
      <c r="F84" s="2" t="str">
        <f aca="false">INDEX(Segmentation!$J$2:$J$301,MATCH($A84,Segmentation!$A$2:$A$301,0))</f>
        <v>Tail</v>
      </c>
      <c r="G84" s="2" t="str">
        <f aca="false">INDEX(Segmentation!$N$2:$N$301,MATCH($A84,Segmentation!$A$2:$A$301,0))</f>
        <v>Growing</v>
      </c>
      <c r="H84" s="2" t="str">
        <f aca="false">INDEX(Segmentation!$T$2:$T$301,MATCH($A84,Segmentation!$A$2:$A$301,0))</f>
        <v>9. Long-Tail Automated Nurture</v>
      </c>
      <c r="I84" s="2" t="str">
        <f aca="false">INDEX(Segmentation!$G$2:$G$301,MATCH($A84,Segmentation!$A$2:$A$301,0))</f>
        <v>Low</v>
      </c>
      <c r="J84" s="9" t="n">
        <f aca="false">INDEX(Segmentation!$I$2:$I$301,MATCH($A84,Segmentation!$A$2:$A$301,0))</f>
        <v>1217</v>
      </c>
      <c r="K84" s="2" t="n">
        <f aca="false">INDEX(Segmentation!$O$2:$O$301,MATCH($A84,Segmentation!$A$2:$A$301,0))</f>
        <v>8</v>
      </c>
      <c r="L84" s="2" t="n">
        <f aca="false">INDEX(Segmentation!$Q$2:$Q$301,MATCH($A84,Segmentation!$A$2:$A$301,0))</f>
        <v>7</v>
      </c>
      <c r="M84" s="2" t="n">
        <f aca="false">INDEX(Segmentation!$W$2:$W$301,MATCH($A84,Segmentation!$A$2:$A$301,0))</f>
        <v>4</v>
      </c>
      <c r="N84" s="2" t="str">
        <f aca="false">INDEX(Segmentation!$AF$2:$AF$301,MATCH($A84,Segmentation!$A$2:$A$301,0))</f>
        <v>Existing Customer</v>
      </c>
      <c r="O84" s="2" t="n">
        <f aca="false">INDEX(Segmentation!$R$2:$R$301,MATCH($A84,Segmentation!$A$2:$A$301,0))</f>
        <v>49</v>
      </c>
      <c r="P84" s="2" t="n">
        <v>371</v>
      </c>
      <c r="Q84" s="2" t="n">
        <f aca="false">INDEX(Segmentation!$S$2:$S$301,MATCH($A84,Segmentation!$A$2:$A$301,0))</f>
        <v>14</v>
      </c>
      <c r="R84" s="2" t="n">
        <v>6</v>
      </c>
      <c r="S84" s="2" t="n">
        <v>0</v>
      </c>
      <c r="T84" s="2" t="n">
        <v>0</v>
      </c>
      <c r="U84" s="2" t="n">
        <v>8</v>
      </c>
      <c r="V84" s="2" t="n">
        <v>100</v>
      </c>
      <c r="W84" s="2" t="str">
        <f aca="false">IF(V84=100,"Bundle-only",IF(V84=0,"Handpick-only","Mixed"))</f>
        <v>Bundle-only</v>
      </c>
      <c r="X84" s="17" t="n">
        <f aca="false">L84/K84</f>
        <v>0.875</v>
      </c>
      <c r="Y84" s="9" t="n">
        <f aca="false">J84/K84</f>
        <v>152.125</v>
      </c>
      <c r="Z84" s="10" t="b">
        <f aca="false">O84&gt;=Assumptions!$B$57</f>
        <v>1</v>
      </c>
      <c r="AA84" s="10" t="b">
        <f aca="false">P84&gt;=Assumptions!$B$58</f>
        <v>1</v>
      </c>
      <c r="AB84" s="10" t="b">
        <f aca="false">Q84&gt;=Assumptions!$B$59</f>
        <v>1</v>
      </c>
      <c r="AC84" s="2" t="n">
        <f aca="false">Z84*1+AA84*1+AB84*1</f>
        <v>3</v>
      </c>
      <c r="AD84" s="2" t="str">
        <f aca="false">IF(E84="Broker-Reliant","Broker-led, product-blind",IF(AND(I84="Low",F84&lt;&gt;"Tail",OR(G84="Declining",G84="Lapsed"),OR(O84&gt;=Assumptions!$B$60,P84&gt;=Assumptions!$B$61)),"Engaged but shrinking (Key/Core)",IF(AND(O84&gt;=Assumptions!$B$60,P84&gt;=Assumptions!$B$61,Q84&gt;=Assumptions!$B$62,K84&gt;=Assumptions!$B$63),"Independent browser-buyer",IF(AND(OR(O84&gt;=Assumptions!$B$60,P84&gt;=Assumptions!$B$61),K84&lt;=2),"Engaged, not converting",IF(AND(K84=1,O84&lt;Assumptions!$B$60,P84&lt;Assumptions!$B$61),"One-off low-touch buyer","Light-touch repeat buyer")))))</f>
        <v>Independent browser-buyer</v>
      </c>
      <c r="AE84" s="10" t="b">
        <f aca="false">INDEX(Segmentation!$AW$2:$AW$301,MATCH($A84,Segmentation!$A$2:$A$301,0))</f>
        <v>1</v>
      </c>
    </row>
    <row r="85" customFormat="false" ht="15" hidden="false" customHeight="false" outlineLevel="0" collapsed="false">
      <c r="A85" s="2" t="s">
        <v>603</v>
      </c>
      <c r="B85" s="2" t="s">
        <v>1571</v>
      </c>
      <c r="C85" s="2" t="s">
        <v>1640</v>
      </c>
      <c r="D85" s="2" t="s">
        <v>1653</v>
      </c>
      <c r="E85" s="2" t="str">
        <f aca="false">INDEX(Segmentation!$H$2:$H$301,MATCH($A85,Segmentation!$A$2:$A$301,0))</f>
        <v>AM-Owned / Self-Serving</v>
      </c>
      <c r="F85" s="2" t="str">
        <f aca="false">INDEX(Segmentation!$J$2:$J$301,MATCH($A85,Segmentation!$A$2:$A$301,0))</f>
        <v>Tail</v>
      </c>
      <c r="G85" s="2" t="str">
        <f aca="false">INDEX(Segmentation!$N$2:$N$301,MATCH($A85,Segmentation!$A$2:$A$301,0))</f>
        <v>Lapsed</v>
      </c>
      <c r="H85" s="2" t="str">
        <f aca="false">INDEX(Segmentation!$T$2:$T$301,MATCH($A85,Segmentation!$A$2:$A$301,0))</f>
        <v>9. Long-Tail Automated Nurture</v>
      </c>
      <c r="I85" s="2" t="str">
        <f aca="false">INDEX(Segmentation!$G$2:$G$301,MATCH($A85,Segmentation!$A$2:$A$301,0))</f>
        <v>Low</v>
      </c>
      <c r="J85" s="9" t="n">
        <f aca="false">INDEX(Segmentation!$I$2:$I$301,MATCH($A85,Segmentation!$A$2:$A$301,0))</f>
        <v>1185</v>
      </c>
      <c r="K85" s="2" t="n">
        <f aca="false">INDEX(Segmentation!$O$2:$O$301,MATCH($A85,Segmentation!$A$2:$A$301,0))</f>
        <v>2</v>
      </c>
      <c r="L85" s="2" t="n">
        <f aca="false">INDEX(Segmentation!$Q$2:$Q$301,MATCH($A85,Segmentation!$A$2:$A$301,0))</f>
        <v>2</v>
      </c>
      <c r="M85" s="2" t="n">
        <f aca="false">INDEX(Segmentation!$W$2:$W$301,MATCH($A85,Segmentation!$A$2:$A$301,0))</f>
        <v>2</v>
      </c>
      <c r="N85" s="2" t="str">
        <f aca="false">INDEX(Segmentation!$AF$2:$AF$301,MATCH($A85,Segmentation!$A$2:$A$301,0))</f>
        <v>Existing Customer</v>
      </c>
      <c r="O85" s="2" t="n">
        <f aca="false">INDEX(Segmentation!$R$2:$R$301,MATCH($A85,Segmentation!$A$2:$A$301,0))</f>
        <v>20</v>
      </c>
      <c r="P85" s="2" t="n">
        <v>63</v>
      </c>
      <c r="Q85" s="2" t="n">
        <f aca="false">INDEX(Segmentation!$S$2:$S$301,MATCH($A85,Segmentation!$A$2:$A$301,0))</f>
        <v>0</v>
      </c>
      <c r="R85" s="2" t="n">
        <v>5</v>
      </c>
      <c r="S85" s="2" t="n">
        <v>0</v>
      </c>
      <c r="T85" s="2" t="n">
        <v>0</v>
      </c>
      <c r="U85" s="2" t="n">
        <v>2</v>
      </c>
      <c r="V85" s="2" t="n">
        <v>100</v>
      </c>
      <c r="W85" s="2" t="str">
        <f aca="false">IF(V85=100,"Bundle-only",IF(V85=0,"Handpick-only","Mixed"))</f>
        <v>Bundle-only</v>
      </c>
      <c r="X85" s="17" t="n">
        <f aca="false">L85/K85</f>
        <v>1</v>
      </c>
      <c r="Y85" s="9" t="n">
        <f aca="false">J85/K85</f>
        <v>592.5</v>
      </c>
      <c r="Z85" s="10" t="b">
        <f aca="false">O85&gt;=Assumptions!$B$57</f>
        <v>1</v>
      </c>
      <c r="AA85" s="10" t="b">
        <f aca="false">P85&gt;=Assumptions!$B$58</f>
        <v>1</v>
      </c>
      <c r="AB85" s="10" t="b">
        <f aca="false">Q85&gt;=Assumptions!$B$59</f>
        <v>0</v>
      </c>
      <c r="AC85" s="2" t="n">
        <f aca="false">Z85*1+AA85*1+AB85*1</f>
        <v>2</v>
      </c>
      <c r="AD85" s="2" t="str">
        <f aca="false">IF(E85="Broker-Reliant","Broker-led, product-blind",IF(AND(I85="Low",F85&lt;&gt;"Tail",OR(G85="Declining",G85="Lapsed"),OR(O85&gt;=Assumptions!$B$60,P85&gt;=Assumptions!$B$61)),"Engaged but shrinking (Key/Core)",IF(AND(O85&gt;=Assumptions!$B$60,P85&gt;=Assumptions!$B$61,Q85&gt;=Assumptions!$B$62,K85&gt;=Assumptions!$B$63),"Independent browser-buyer",IF(AND(OR(O85&gt;=Assumptions!$B$60,P85&gt;=Assumptions!$B$61),K85&lt;=2),"Engaged, not converting",IF(AND(K85=1,O85&lt;Assumptions!$B$60,P85&lt;Assumptions!$B$61),"One-off low-touch buyer","Light-touch repeat buyer")))))</f>
        <v>Engaged, not converting</v>
      </c>
      <c r="AE85" s="10" t="b">
        <f aca="false">INDEX(Segmentation!$AW$2:$AW$301,MATCH($A85,Segmentation!$A$2:$A$301,0))</f>
        <v>0</v>
      </c>
    </row>
    <row r="86" customFormat="false" ht="15" hidden="false" customHeight="false" outlineLevel="0" collapsed="false">
      <c r="A86" s="2" t="s">
        <v>539</v>
      </c>
      <c r="B86" s="2" t="s">
        <v>1571</v>
      </c>
      <c r="C86" s="2" t="s">
        <v>1641</v>
      </c>
      <c r="D86" s="2" t="s">
        <v>1653</v>
      </c>
      <c r="E86" s="2" t="str">
        <f aca="false">INDEX(Segmentation!$H$2:$H$301,MATCH($A86,Segmentation!$A$2:$A$301,0))</f>
        <v>AM-Owned / Self-Serving</v>
      </c>
      <c r="F86" s="2" t="str">
        <f aca="false">INDEX(Segmentation!$J$2:$J$301,MATCH($A86,Segmentation!$A$2:$A$301,0))</f>
        <v>Tail</v>
      </c>
      <c r="G86" s="2" t="str">
        <f aca="false">INDEX(Segmentation!$N$2:$N$301,MATCH($A86,Segmentation!$A$2:$A$301,0))</f>
        <v>Growing</v>
      </c>
      <c r="H86" s="2" t="str">
        <f aca="false">INDEX(Segmentation!$T$2:$T$301,MATCH($A86,Segmentation!$A$2:$A$301,0))</f>
        <v>9. Long-Tail Automated Nurture</v>
      </c>
      <c r="I86" s="2" t="str">
        <f aca="false">INDEX(Segmentation!$G$2:$G$301,MATCH($A86,Segmentation!$A$2:$A$301,0))</f>
        <v>Low</v>
      </c>
      <c r="J86" s="9" t="n">
        <f aca="false">INDEX(Segmentation!$I$2:$I$301,MATCH($A86,Segmentation!$A$2:$A$301,0))</f>
        <v>1166</v>
      </c>
      <c r="K86" s="2" t="n">
        <f aca="false">INDEX(Segmentation!$O$2:$O$301,MATCH($A86,Segmentation!$A$2:$A$301,0))</f>
        <v>4</v>
      </c>
      <c r="L86" s="2" t="n">
        <f aca="false">INDEX(Segmentation!$Q$2:$Q$301,MATCH($A86,Segmentation!$A$2:$A$301,0))</f>
        <v>4</v>
      </c>
      <c r="M86" s="2" t="n">
        <f aca="false">INDEX(Segmentation!$W$2:$W$301,MATCH($A86,Segmentation!$A$2:$A$301,0))</f>
        <v>4</v>
      </c>
      <c r="N86" s="2" t="str">
        <f aca="false">INDEX(Segmentation!$AF$2:$AF$301,MATCH($A86,Segmentation!$A$2:$A$301,0))</f>
        <v>Existing Customer</v>
      </c>
      <c r="O86" s="2" t="n">
        <f aca="false">INDEX(Segmentation!$R$2:$R$301,MATCH($A86,Segmentation!$A$2:$A$301,0))</f>
        <v>18</v>
      </c>
      <c r="P86" s="2" t="n">
        <v>95</v>
      </c>
      <c r="Q86" s="2" t="n">
        <f aca="false">INDEX(Segmentation!$S$2:$S$301,MATCH($A86,Segmentation!$A$2:$A$301,0))</f>
        <v>5</v>
      </c>
      <c r="R86" s="2" t="n">
        <v>1</v>
      </c>
      <c r="S86" s="2" t="n">
        <v>0</v>
      </c>
      <c r="T86" s="2" t="n">
        <v>0</v>
      </c>
      <c r="U86" s="2" t="n">
        <v>4</v>
      </c>
      <c r="V86" s="2" t="n">
        <v>100</v>
      </c>
      <c r="W86" s="2" t="str">
        <f aca="false">IF(V86=100,"Bundle-only",IF(V86=0,"Handpick-only","Mixed"))</f>
        <v>Bundle-only</v>
      </c>
      <c r="X86" s="17" t="n">
        <f aca="false">L86/K86</f>
        <v>1</v>
      </c>
      <c r="Y86" s="9" t="n">
        <f aca="false">J86/K86</f>
        <v>291.5</v>
      </c>
      <c r="Z86" s="10" t="b">
        <f aca="false">O86&gt;=Assumptions!$B$57</f>
        <v>1</v>
      </c>
      <c r="AA86" s="10" t="b">
        <f aca="false">P86&gt;=Assumptions!$B$58</f>
        <v>1</v>
      </c>
      <c r="AB86" s="10" t="b">
        <f aca="false">Q86&gt;=Assumptions!$B$59</f>
        <v>1</v>
      </c>
      <c r="AC86" s="2" t="n">
        <f aca="false">Z86*1+AA86*1+AB86*1</f>
        <v>3</v>
      </c>
      <c r="AD86" s="2" t="str">
        <f aca="false">IF(E86="Broker-Reliant","Broker-led, product-blind",IF(AND(I86="Low",F86&lt;&gt;"Tail",OR(G86="Declining",G86="Lapsed"),OR(O86&gt;=Assumptions!$B$60,P86&gt;=Assumptions!$B$61)),"Engaged but shrinking (Key/Core)",IF(AND(O86&gt;=Assumptions!$B$60,P86&gt;=Assumptions!$B$61,Q86&gt;=Assumptions!$B$62,K86&gt;=Assumptions!$B$63),"Independent browser-buyer",IF(AND(OR(O86&gt;=Assumptions!$B$60,P86&gt;=Assumptions!$B$61),K86&lt;=2),"Engaged, not converting",IF(AND(K86=1,O86&lt;Assumptions!$B$60,P86&lt;Assumptions!$B$61),"One-off low-touch buyer","Light-touch repeat buyer")))))</f>
        <v>Light-touch repeat buyer</v>
      </c>
      <c r="AE86" s="10" t="b">
        <f aca="false">INDEX(Segmentation!$AW$2:$AW$301,MATCH($A86,Segmentation!$A$2:$A$301,0))</f>
        <v>1</v>
      </c>
    </row>
    <row r="87" customFormat="false" ht="15" hidden="false" customHeight="false" outlineLevel="0" collapsed="false">
      <c r="A87" s="2" t="s">
        <v>553</v>
      </c>
      <c r="B87" s="2" t="s">
        <v>1571</v>
      </c>
      <c r="C87" s="2" t="s">
        <v>1640</v>
      </c>
      <c r="D87" s="2" t="s">
        <v>1657</v>
      </c>
      <c r="E87" s="2" t="str">
        <f aca="false">INDEX(Segmentation!$H$2:$H$301,MATCH($A87,Segmentation!$A$2:$A$301,0))</f>
        <v>AM-Owned / Self-Serving</v>
      </c>
      <c r="F87" s="2" t="str">
        <f aca="false">INDEX(Segmentation!$J$2:$J$301,MATCH($A87,Segmentation!$A$2:$A$301,0))</f>
        <v>Tail</v>
      </c>
      <c r="G87" s="2" t="str">
        <f aca="false">INDEX(Segmentation!$N$2:$N$301,MATCH($A87,Segmentation!$A$2:$A$301,0))</f>
        <v>Growing</v>
      </c>
      <c r="H87" s="2" t="str">
        <f aca="false">INDEX(Segmentation!$T$2:$T$301,MATCH($A87,Segmentation!$A$2:$A$301,0))</f>
        <v>9. Long-Tail Automated Nurture</v>
      </c>
      <c r="I87" s="2" t="str">
        <f aca="false">INDEX(Segmentation!$G$2:$G$301,MATCH($A87,Segmentation!$A$2:$A$301,0))</f>
        <v>Low</v>
      </c>
      <c r="J87" s="9" t="n">
        <f aca="false">INDEX(Segmentation!$I$2:$I$301,MATCH($A87,Segmentation!$A$2:$A$301,0))</f>
        <v>1153</v>
      </c>
      <c r="K87" s="2" t="n">
        <f aca="false">INDEX(Segmentation!$O$2:$O$301,MATCH($A87,Segmentation!$A$2:$A$301,0))</f>
        <v>3</v>
      </c>
      <c r="L87" s="2" t="n">
        <f aca="false">INDEX(Segmentation!$Q$2:$Q$301,MATCH($A87,Segmentation!$A$2:$A$301,0))</f>
        <v>3</v>
      </c>
      <c r="M87" s="2" t="n">
        <f aca="false">INDEX(Segmentation!$W$2:$W$301,MATCH($A87,Segmentation!$A$2:$A$301,0))</f>
        <v>2</v>
      </c>
      <c r="N87" s="2" t="str">
        <f aca="false">INDEX(Segmentation!$AF$2:$AF$301,MATCH($A87,Segmentation!$A$2:$A$301,0))</f>
        <v>Existing Customer</v>
      </c>
      <c r="O87" s="2" t="n">
        <f aca="false">INDEX(Segmentation!$R$2:$R$301,MATCH($A87,Segmentation!$A$2:$A$301,0))</f>
        <v>105</v>
      </c>
      <c r="P87" s="2" t="n">
        <v>1590</v>
      </c>
      <c r="Q87" s="2" t="n">
        <f aca="false">INDEX(Segmentation!$S$2:$S$301,MATCH($A87,Segmentation!$A$2:$A$301,0))</f>
        <v>50</v>
      </c>
      <c r="R87" s="2" t="n">
        <v>96</v>
      </c>
      <c r="S87" s="2" t="n">
        <v>0</v>
      </c>
      <c r="T87" s="2" t="n">
        <v>1</v>
      </c>
      <c r="U87" s="2" t="n">
        <v>2</v>
      </c>
      <c r="V87" s="2" t="n">
        <v>83</v>
      </c>
      <c r="W87" s="2" t="str">
        <f aca="false">IF(V87=100,"Bundle-only",IF(V87=0,"Handpick-only","Mixed"))</f>
        <v>Mixed</v>
      </c>
      <c r="X87" s="17" t="n">
        <f aca="false">L87/K87</f>
        <v>1</v>
      </c>
      <c r="Y87" s="9" t="n">
        <f aca="false">J87/K87</f>
        <v>384.333333333333</v>
      </c>
      <c r="Z87" s="10" t="b">
        <f aca="false">O87&gt;=Assumptions!$B$57</f>
        <v>1</v>
      </c>
      <c r="AA87" s="10" t="b">
        <f aca="false">P87&gt;=Assumptions!$B$58</f>
        <v>1</v>
      </c>
      <c r="AB87" s="10" t="b">
        <f aca="false">Q87&gt;=Assumptions!$B$59</f>
        <v>1</v>
      </c>
      <c r="AC87" s="2" t="n">
        <f aca="false">Z87*1+AA87*1+AB87*1</f>
        <v>3</v>
      </c>
      <c r="AD87" s="2" t="str">
        <f aca="false">IF(E87="Broker-Reliant","Broker-led, product-blind",IF(AND(I87="Low",F87&lt;&gt;"Tail",OR(G87="Declining",G87="Lapsed"),OR(O87&gt;=Assumptions!$B$60,P87&gt;=Assumptions!$B$61)),"Engaged but shrinking (Key/Core)",IF(AND(O87&gt;=Assumptions!$B$60,P87&gt;=Assumptions!$B$61,Q87&gt;=Assumptions!$B$62,K87&gt;=Assumptions!$B$63),"Independent browser-buyer",IF(AND(OR(O87&gt;=Assumptions!$B$60,P87&gt;=Assumptions!$B$61),K87&lt;=2),"Engaged, not converting",IF(AND(K87=1,O87&lt;Assumptions!$B$60,P87&lt;Assumptions!$B$61),"One-off low-touch buyer","Light-touch repeat buyer")))))</f>
        <v>Independent browser-buyer</v>
      </c>
      <c r="AE87" s="10" t="b">
        <f aca="false">INDEX(Segmentation!$AW$2:$AW$301,MATCH($A87,Segmentation!$A$2:$A$301,0))</f>
        <v>1</v>
      </c>
    </row>
    <row r="88" customFormat="false" ht="15" hidden="false" customHeight="false" outlineLevel="0" collapsed="false">
      <c r="A88" s="2" t="s">
        <v>610</v>
      </c>
      <c r="B88" s="2" t="s">
        <v>1571</v>
      </c>
      <c r="C88" s="2" t="s">
        <v>1640</v>
      </c>
      <c r="D88" s="2" t="s">
        <v>1658</v>
      </c>
      <c r="E88" s="2" t="str">
        <f aca="false">INDEX(Segmentation!$H$2:$H$301,MATCH($A88,Segmentation!$A$2:$A$301,0))</f>
        <v>Broker-Reliant</v>
      </c>
      <c r="F88" s="2" t="str">
        <f aca="false">INDEX(Segmentation!$J$2:$J$301,MATCH($A88,Segmentation!$A$2:$A$301,0))</f>
        <v>Tail</v>
      </c>
      <c r="G88" s="2" t="str">
        <f aca="false">INDEX(Segmentation!$N$2:$N$301,MATCH($A88,Segmentation!$A$2:$A$301,0))</f>
        <v>Lapsed</v>
      </c>
      <c r="H88" s="2" t="str">
        <f aca="false">INDEX(Segmentation!$T$2:$T$301,MATCH($A88,Segmentation!$A$2:$A$301,0))</f>
        <v>5. Cost-to-Serve / Low-Touch</v>
      </c>
      <c r="I88" s="2" t="str">
        <f aca="false">INDEX(Segmentation!$G$2:$G$301,MATCH($A88,Segmentation!$A$2:$A$301,0))</f>
        <v>High</v>
      </c>
      <c r="J88" s="9" t="n">
        <f aca="false">INDEX(Segmentation!$I$2:$I$301,MATCH($A88,Segmentation!$A$2:$A$301,0))</f>
        <v>1079</v>
      </c>
      <c r="K88" s="2" t="n">
        <f aca="false">INDEX(Segmentation!$O$2:$O$301,MATCH($A88,Segmentation!$A$2:$A$301,0))</f>
        <v>3</v>
      </c>
      <c r="L88" s="2" t="n">
        <f aca="false">INDEX(Segmentation!$Q$2:$Q$301,MATCH($A88,Segmentation!$A$2:$A$301,0))</f>
        <v>1</v>
      </c>
      <c r="M88" s="2" t="n">
        <f aca="false">INDEX(Segmentation!$W$2:$W$301,MATCH($A88,Segmentation!$A$2:$A$301,0))</f>
        <v>2</v>
      </c>
      <c r="N88" s="2" t="str">
        <f aca="false">INDEX(Segmentation!$AF$2:$AF$301,MATCH($A88,Segmentation!$A$2:$A$301,0))</f>
        <v>Existing Customer</v>
      </c>
      <c r="O88" s="2" t="n">
        <f aca="false">INDEX(Segmentation!$R$2:$R$301,MATCH($A88,Segmentation!$A$2:$A$301,0))</f>
        <v>7</v>
      </c>
      <c r="P88" s="2" t="n">
        <v>5</v>
      </c>
      <c r="Q88" s="2" t="n">
        <f aca="false">INDEX(Segmentation!$S$2:$S$301,MATCH($A88,Segmentation!$A$2:$A$301,0))</f>
        <v>2</v>
      </c>
      <c r="R88" s="2" t="n">
        <v>1</v>
      </c>
      <c r="S88" s="2" t="n">
        <v>0</v>
      </c>
      <c r="T88" s="2" t="n">
        <v>0</v>
      </c>
      <c r="U88" s="2" t="n">
        <v>3</v>
      </c>
      <c r="V88" s="2" t="n">
        <v>100</v>
      </c>
      <c r="W88" s="2" t="str">
        <f aca="false">IF(V88=100,"Bundle-only",IF(V88=0,"Handpick-only","Mixed"))</f>
        <v>Bundle-only</v>
      </c>
      <c r="X88" s="17" t="n">
        <f aca="false">L88/K88</f>
        <v>0.333333333333333</v>
      </c>
      <c r="Y88" s="9" t="n">
        <f aca="false">J88/K88</f>
        <v>359.666666666667</v>
      </c>
      <c r="Z88" s="10" t="b">
        <f aca="false">O88&gt;=Assumptions!$B$57</f>
        <v>0</v>
      </c>
      <c r="AA88" s="10" t="b">
        <f aca="false">P88&gt;=Assumptions!$B$58</f>
        <v>0</v>
      </c>
      <c r="AB88" s="10" t="b">
        <f aca="false">Q88&gt;=Assumptions!$B$59</f>
        <v>0</v>
      </c>
      <c r="AC88" s="2" t="n">
        <f aca="false">Z88*1+AA88*1+AB88*1</f>
        <v>0</v>
      </c>
      <c r="AD88" s="2" t="str">
        <f aca="false">IF(E88="Broker-Reliant","Broker-led, product-blind",IF(AND(I88="Low",F88&lt;&gt;"Tail",OR(G88="Declining",G88="Lapsed"),OR(O88&gt;=Assumptions!$B$60,P88&gt;=Assumptions!$B$61)),"Engaged but shrinking (Key/Core)",IF(AND(O88&gt;=Assumptions!$B$60,P88&gt;=Assumptions!$B$61,Q88&gt;=Assumptions!$B$62,K88&gt;=Assumptions!$B$63),"Independent browser-buyer",IF(AND(OR(O88&gt;=Assumptions!$B$60,P88&gt;=Assumptions!$B$61),K88&lt;=2),"Engaged, not converting",IF(AND(K88=1,O88&lt;Assumptions!$B$60,P88&lt;Assumptions!$B$61),"One-off low-touch buyer","Light-touch repeat buyer")))))</f>
        <v>Broker-led, product-blind</v>
      </c>
      <c r="AE88" s="10" t="b">
        <f aca="false">INDEX(Segmentation!$AW$2:$AW$301,MATCH($A88,Segmentation!$A$2:$A$301,0))</f>
        <v>0</v>
      </c>
    </row>
    <row r="89" customFormat="false" ht="15" hidden="false" customHeight="false" outlineLevel="0" collapsed="false">
      <c r="A89" s="2" t="s">
        <v>612</v>
      </c>
      <c r="B89" s="2" t="s">
        <v>1571</v>
      </c>
      <c r="C89" s="2" t="s">
        <v>1640</v>
      </c>
      <c r="D89" s="2" t="s">
        <v>1653</v>
      </c>
      <c r="E89" s="2" t="str">
        <f aca="false">INDEX(Segmentation!$H$2:$H$301,MATCH($A89,Segmentation!$A$2:$A$301,0))</f>
        <v>Broker-Reliant</v>
      </c>
      <c r="F89" s="2" t="str">
        <f aca="false">INDEX(Segmentation!$J$2:$J$301,MATCH($A89,Segmentation!$A$2:$A$301,0))</f>
        <v>Tail</v>
      </c>
      <c r="G89" s="2" t="str">
        <f aca="false">INDEX(Segmentation!$N$2:$N$301,MATCH($A89,Segmentation!$A$2:$A$301,0))</f>
        <v>Lapsed</v>
      </c>
      <c r="H89" s="2" t="str">
        <f aca="false">INDEX(Segmentation!$T$2:$T$301,MATCH($A89,Segmentation!$A$2:$A$301,0))</f>
        <v>5. Cost-to-Serve / Low-Touch</v>
      </c>
      <c r="I89" s="2" t="str">
        <f aca="false">INDEX(Segmentation!$G$2:$G$301,MATCH($A89,Segmentation!$A$2:$A$301,0))</f>
        <v>High</v>
      </c>
      <c r="J89" s="9" t="n">
        <f aca="false">INDEX(Segmentation!$I$2:$I$301,MATCH($A89,Segmentation!$A$2:$A$301,0))</f>
        <v>1071</v>
      </c>
      <c r="K89" s="2" t="n">
        <f aca="false">INDEX(Segmentation!$O$2:$O$301,MATCH($A89,Segmentation!$A$2:$A$301,0))</f>
        <v>2</v>
      </c>
      <c r="L89" s="2" t="n">
        <f aca="false">INDEX(Segmentation!$Q$2:$Q$301,MATCH($A89,Segmentation!$A$2:$A$301,0))</f>
        <v>1</v>
      </c>
      <c r="M89" s="2" t="n">
        <f aca="false">INDEX(Segmentation!$W$2:$W$301,MATCH($A89,Segmentation!$A$2:$A$301,0))</f>
        <v>1</v>
      </c>
      <c r="N89" s="2" t="str">
        <f aca="false">INDEX(Segmentation!$AF$2:$AF$301,MATCH($A89,Segmentation!$A$2:$A$301,0))</f>
        <v>Existing Customer</v>
      </c>
      <c r="O89" s="2" t="n">
        <f aca="false">INDEX(Segmentation!$R$2:$R$301,MATCH($A89,Segmentation!$A$2:$A$301,0))</f>
        <v>3</v>
      </c>
      <c r="P89" s="2" t="n">
        <v>1</v>
      </c>
      <c r="Q89" s="2" t="n">
        <f aca="false">INDEX(Segmentation!$S$2:$S$301,MATCH($A89,Segmentation!$A$2:$A$301,0))</f>
        <v>1</v>
      </c>
      <c r="R89" s="2" t="n">
        <v>6</v>
      </c>
      <c r="S89" s="2" t="n">
        <v>0</v>
      </c>
      <c r="T89" s="2" t="n">
        <v>0</v>
      </c>
      <c r="U89" s="2" t="n">
        <v>2</v>
      </c>
      <c r="V89" s="2" t="n">
        <v>100</v>
      </c>
      <c r="W89" s="2" t="str">
        <f aca="false">IF(V89=100,"Bundle-only",IF(V89=0,"Handpick-only","Mixed"))</f>
        <v>Bundle-only</v>
      </c>
      <c r="X89" s="17" t="n">
        <f aca="false">L89/K89</f>
        <v>0.5</v>
      </c>
      <c r="Y89" s="9" t="n">
        <f aca="false">J89/K89</f>
        <v>535.5</v>
      </c>
      <c r="Z89" s="10" t="b">
        <f aca="false">O89&gt;=Assumptions!$B$57</f>
        <v>0</v>
      </c>
      <c r="AA89" s="10" t="b">
        <f aca="false">P89&gt;=Assumptions!$B$58</f>
        <v>0</v>
      </c>
      <c r="AB89" s="10" t="b">
        <f aca="false">Q89&gt;=Assumptions!$B$59</f>
        <v>0</v>
      </c>
      <c r="AC89" s="2" t="n">
        <f aca="false">Z89*1+AA89*1+AB89*1</f>
        <v>0</v>
      </c>
      <c r="AD89" s="2" t="str">
        <f aca="false">IF(E89="Broker-Reliant","Broker-led, product-blind",IF(AND(I89="Low",F89&lt;&gt;"Tail",OR(G89="Declining",G89="Lapsed"),OR(O89&gt;=Assumptions!$B$60,P89&gt;=Assumptions!$B$61)),"Engaged but shrinking (Key/Core)",IF(AND(O89&gt;=Assumptions!$B$60,P89&gt;=Assumptions!$B$61,Q89&gt;=Assumptions!$B$62,K89&gt;=Assumptions!$B$63),"Independent browser-buyer",IF(AND(OR(O89&gt;=Assumptions!$B$60,P89&gt;=Assumptions!$B$61),K89&lt;=2),"Engaged, not converting",IF(AND(K89=1,O89&lt;Assumptions!$B$60,P89&lt;Assumptions!$B$61),"One-off low-touch buyer","Light-touch repeat buyer")))))</f>
        <v>Broker-led, product-blind</v>
      </c>
      <c r="AE89" s="10" t="b">
        <f aca="false">INDEX(Segmentation!$AW$2:$AW$301,MATCH($A89,Segmentation!$A$2:$A$301,0))</f>
        <v>0</v>
      </c>
    </row>
    <row r="90" customFormat="false" ht="15" hidden="false" customHeight="false" outlineLevel="0" collapsed="false">
      <c r="A90" s="2" t="s">
        <v>614</v>
      </c>
      <c r="B90" s="2" t="s">
        <v>1571</v>
      </c>
      <c r="C90" s="2" t="s">
        <v>1640</v>
      </c>
      <c r="D90" s="2" t="s">
        <v>1658</v>
      </c>
      <c r="E90" s="2" t="str">
        <f aca="false">INDEX(Segmentation!$H$2:$H$301,MATCH($A90,Segmentation!$A$2:$A$301,0))</f>
        <v>AM-Owned / Self-Serving</v>
      </c>
      <c r="F90" s="2" t="str">
        <f aca="false">INDEX(Segmentation!$J$2:$J$301,MATCH($A90,Segmentation!$A$2:$A$301,0))</f>
        <v>Tail</v>
      </c>
      <c r="G90" s="2" t="str">
        <f aca="false">INDEX(Segmentation!$N$2:$N$301,MATCH($A90,Segmentation!$A$2:$A$301,0))</f>
        <v>Lapsed</v>
      </c>
      <c r="H90" s="2" t="str">
        <f aca="false">INDEX(Segmentation!$T$2:$T$301,MATCH($A90,Segmentation!$A$2:$A$301,0))</f>
        <v>9. Long-Tail Automated Nurture</v>
      </c>
      <c r="I90" s="2" t="str">
        <f aca="false">INDEX(Segmentation!$G$2:$G$301,MATCH($A90,Segmentation!$A$2:$A$301,0))</f>
        <v>Low</v>
      </c>
      <c r="J90" s="9" t="n">
        <f aca="false">INDEX(Segmentation!$I$2:$I$301,MATCH($A90,Segmentation!$A$2:$A$301,0))</f>
        <v>1011</v>
      </c>
      <c r="K90" s="2" t="n">
        <f aca="false">INDEX(Segmentation!$O$2:$O$301,MATCH($A90,Segmentation!$A$2:$A$301,0))</f>
        <v>2</v>
      </c>
      <c r="L90" s="2" t="n">
        <f aca="false">INDEX(Segmentation!$Q$2:$Q$301,MATCH($A90,Segmentation!$A$2:$A$301,0))</f>
        <v>2</v>
      </c>
      <c r="M90" s="2" t="n">
        <f aca="false">INDEX(Segmentation!$W$2:$W$301,MATCH($A90,Segmentation!$A$2:$A$301,0))</f>
        <v>1</v>
      </c>
      <c r="N90" s="2" t="str">
        <f aca="false">INDEX(Segmentation!$AF$2:$AF$301,MATCH($A90,Segmentation!$A$2:$A$301,0))</f>
        <v>Existing Customer</v>
      </c>
      <c r="O90" s="2" t="n">
        <f aca="false">INDEX(Segmentation!$R$2:$R$301,MATCH($A90,Segmentation!$A$2:$A$301,0))</f>
        <v>42</v>
      </c>
      <c r="P90" s="2" t="n">
        <v>577</v>
      </c>
      <c r="Q90" s="2" t="n">
        <f aca="false">INDEX(Segmentation!$S$2:$S$301,MATCH($A90,Segmentation!$A$2:$A$301,0))</f>
        <v>13</v>
      </c>
      <c r="R90" s="2" t="n">
        <v>5</v>
      </c>
      <c r="S90" s="2" t="n">
        <v>0</v>
      </c>
      <c r="T90" s="2" t="n">
        <v>2</v>
      </c>
      <c r="U90" s="2" t="n">
        <v>0</v>
      </c>
      <c r="V90" s="2" t="n">
        <v>0</v>
      </c>
      <c r="W90" s="2" t="str">
        <f aca="false">IF(V90=100,"Bundle-only",IF(V90=0,"Handpick-only","Mixed"))</f>
        <v>Handpick-only</v>
      </c>
      <c r="X90" s="17" t="n">
        <f aca="false">L90/K90</f>
        <v>1</v>
      </c>
      <c r="Y90" s="9" t="n">
        <f aca="false">J90/K90</f>
        <v>505.5</v>
      </c>
      <c r="Z90" s="10" t="b">
        <f aca="false">O90&gt;=Assumptions!$B$57</f>
        <v>1</v>
      </c>
      <c r="AA90" s="10" t="b">
        <f aca="false">P90&gt;=Assumptions!$B$58</f>
        <v>1</v>
      </c>
      <c r="AB90" s="10" t="b">
        <f aca="false">Q90&gt;=Assumptions!$B$59</f>
        <v>1</v>
      </c>
      <c r="AC90" s="2" t="n">
        <f aca="false">Z90*1+AA90*1+AB90*1</f>
        <v>3</v>
      </c>
      <c r="AD90" s="2" t="str">
        <f aca="false">IF(E90="Broker-Reliant","Broker-led, product-blind",IF(AND(I90="Low",F90&lt;&gt;"Tail",OR(G90="Declining",G90="Lapsed"),OR(O90&gt;=Assumptions!$B$60,P90&gt;=Assumptions!$B$61)),"Engaged but shrinking (Key/Core)",IF(AND(O90&gt;=Assumptions!$B$60,P90&gt;=Assumptions!$B$61,Q90&gt;=Assumptions!$B$62,K90&gt;=Assumptions!$B$63),"Independent browser-buyer",IF(AND(OR(O90&gt;=Assumptions!$B$60,P90&gt;=Assumptions!$B$61),K90&lt;=2),"Engaged, not converting",IF(AND(K90=1,O90&lt;Assumptions!$B$60,P90&lt;Assumptions!$B$61),"One-off low-touch buyer","Light-touch repeat buyer")))))</f>
        <v>Engaged, not converting</v>
      </c>
      <c r="AE90" s="10" t="b">
        <f aca="false">INDEX(Segmentation!$AW$2:$AW$301,MATCH($A90,Segmentation!$A$2:$A$301,0))</f>
        <v>0</v>
      </c>
    </row>
    <row r="91" customFormat="false" ht="15" hidden="false" customHeight="false" outlineLevel="0" collapsed="false">
      <c r="A91" s="2" t="s">
        <v>616</v>
      </c>
      <c r="B91" s="2" t="s">
        <v>1571</v>
      </c>
      <c r="C91" s="2" t="s">
        <v>1640</v>
      </c>
      <c r="D91" s="2" t="s">
        <v>1653</v>
      </c>
      <c r="E91" s="2" t="str">
        <f aca="false">INDEX(Segmentation!$H$2:$H$301,MATCH($A91,Segmentation!$A$2:$A$301,0))</f>
        <v>AM-Owned / Self-Serving</v>
      </c>
      <c r="F91" s="2" t="str">
        <f aca="false">INDEX(Segmentation!$J$2:$J$301,MATCH($A91,Segmentation!$A$2:$A$301,0))</f>
        <v>Tail</v>
      </c>
      <c r="G91" s="2" t="str">
        <f aca="false">INDEX(Segmentation!$N$2:$N$301,MATCH($A91,Segmentation!$A$2:$A$301,0))</f>
        <v>Growing</v>
      </c>
      <c r="H91" s="2" t="str">
        <f aca="false">INDEX(Segmentation!$T$2:$T$301,MATCH($A91,Segmentation!$A$2:$A$301,0))</f>
        <v>9. Long-Tail Automated Nurture</v>
      </c>
      <c r="I91" s="2" t="str">
        <f aca="false">INDEX(Segmentation!$G$2:$G$301,MATCH($A91,Segmentation!$A$2:$A$301,0))</f>
        <v>Low</v>
      </c>
      <c r="J91" s="9" t="n">
        <f aca="false">INDEX(Segmentation!$I$2:$I$301,MATCH($A91,Segmentation!$A$2:$A$301,0))</f>
        <v>987</v>
      </c>
      <c r="K91" s="2" t="n">
        <f aca="false">INDEX(Segmentation!$O$2:$O$301,MATCH($A91,Segmentation!$A$2:$A$301,0))</f>
        <v>7</v>
      </c>
      <c r="L91" s="2" t="n">
        <f aca="false">INDEX(Segmentation!$Q$2:$Q$301,MATCH($A91,Segmentation!$A$2:$A$301,0))</f>
        <v>7</v>
      </c>
      <c r="M91" s="2" t="n">
        <f aca="false">INDEX(Segmentation!$W$2:$W$301,MATCH($A91,Segmentation!$A$2:$A$301,0))</f>
        <v>4</v>
      </c>
      <c r="N91" s="2" t="str">
        <f aca="false">INDEX(Segmentation!$AF$2:$AF$301,MATCH($A91,Segmentation!$A$2:$A$301,0))</f>
        <v>Existing Customer</v>
      </c>
      <c r="O91" s="2" t="n">
        <f aca="false">INDEX(Segmentation!$R$2:$R$301,MATCH($A91,Segmentation!$A$2:$A$301,0))</f>
        <v>27</v>
      </c>
      <c r="P91" s="2" t="n">
        <v>311</v>
      </c>
      <c r="Q91" s="2" t="n">
        <f aca="false">INDEX(Segmentation!$S$2:$S$301,MATCH($A91,Segmentation!$A$2:$A$301,0))</f>
        <v>8</v>
      </c>
      <c r="R91" s="2" t="n">
        <v>5</v>
      </c>
      <c r="S91" s="2" t="n">
        <v>0</v>
      </c>
      <c r="T91" s="2" t="n">
        <v>1</v>
      </c>
      <c r="U91" s="2" t="n">
        <v>6</v>
      </c>
      <c r="V91" s="2" t="n">
        <v>90</v>
      </c>
      <c r="W91" s="2" t="str">
        <f aca="false">IF(V91=100,"Bundle-only",IF(V91=0,"Handpick-only","Mixed"))</f>
        <v>Mixed</v>
      </c>
      <c r="X91" s="17" t="n">
        <f aca="false">L91/K91</f>
        <v>1</v>
      </c>
      <c r="Y91" s="9" t="n">
        <f aca="false">J91/K91</f>
        <v>141</v>
      </c>
      <c r="Z91" s="10" t="b">
        <f aca="false">O91&gt;=Assumptions!$B$57</f>
        <v>1</v>
      </c>
      <c r="AA91" s="10" t="b">
        <f aca="false">P91&gt;=Assumptions!$B$58</f>
        <v>1</v>
      </c>
      <c r="AB91" s="10" t="b">
        <f aca="false">Q91&gt;=Assumptions!$B$59</f>
        <v>1</v>
      </c>
      <c r="AC91" s="2" t="n">
        <f aca="false">Z91*1+AA91*1+AB91*1</f>
        <v>3</v>
      </c>
      <c r="AD91" s="2" t="str">
        <f aca="false">IF(E91="Broker-Reliant","Broker-led, product-blind",IF(AND(I91="Low",F91&lt;&gt;"Tail",OR(G91="Declining",G91="Lapsed"),OR(O91&gt;=Assumptions!$B$60,P91&gt;=Assumptions!$B$61)),"Engaged but shrinking (Key/Core)",IF(AND(O91&gt;=Assumptions!$B$60,P91&gt;=Assumptions!$B$61,Q91&gt;=Assumptions!$B$62,K91&gt;=Assumptions!$B$63),"Independent browser-buyer",IF(AND(OR(O91&gt;=Assumptions!$B$60,P91&gt;=Assumptions!$B$61),K91&lt;=2),"Engaged, not converting",IF(AND(K91=1,O91&lt;Assumptions!$B$60,P91&lt;Assumptions!$B$61),"One-off low-touch buyer","Light-touch repeat buyer")))))</f>
        <v>Independent browser-buyer</v>
      </c>
      <c r="AE91" s="10" t="b">
        <f aca="false">INDEX(Segmentation!$AW$2:$AW$301,MATCH($A91,Segmentation!$A$2:$A$301,0))</f>
        <v>0</v>
      </c>
    </row>
    <row r="92" customFormat="false" ht="15" hidden="false" customHeight="false" outlineLevel="0" collapsed="false">
      <c r="A92" s="2" t="s">
        <v>618</v>
      </c>
      <c r="B92" s="2" t="s">
        <v>1571</v>
      </c>
      <c r="C92" s="2" t="s">
        <v>1640</v>
      </c>
      <c r="D92" s="2" t="s">
        <v>1655</v>
      </c>
      <c r="E92" s="2" t="str">
        <f aca="false">INDEX(Segmentation!$H$2:$H$301,MATCH($A92,Segmentation!$A$2:$A$301,0))</f>
        <v>AM-Owned / Self-Serving</v>
      </c>
      <c r="F92" s="2" t="str">
        <f aca="false">INDEX(Segmentation!$J$2:$J$301,MATCH($A92,Segmentation!$A$2:$A$301,0))</f>
        <v>Tail</v>
      </c>
      <c r="G92" s="2" t="str">
        <f aca="false">INDEX(Segmentation!$N$2:$N$301,MATCH($A92,Segmentation!$A$2:$A$301,0))</f>
        <v>Lapsed</v>
      </c>
      <c r="H92" s="2" t="str">
        <f aca="false">INDEX(Segmentation!$T$2:$T$301,MATCH($A92,Segmentation!$A$2:$A$301,0))</f>
        <v>9. Long-Tail Automated Nurture</v>
      </c>
      <c r="I92" s="2" t="str">
        <f aca="false">INDEX(Segmentation!$G$2:$G$301,MATCH($A92,Segmentation!$A$2:$A$301,0))</f>
        <v>Low</v>
      </c>
      <c r="J92" s="9" t="n">
        <f aca="false">INDEX(Segmentation!$I$2:$I$301,MATCH($A92,Segmentation!$A$2:$A$301,0))</f>
        <v>982</v>
      </c>
      <c r="K92" s="2" t="n">
        <f aca="false">INDEX(Segmentation!$O$2:$O$301,MATCH($A92,Segmentation!$A$2:$A$301,0))</f>
        <v>3</v>
      </c>
      <c r="L92" s="2" t="n">
        <f aca="false">INDEX(Segmentation!$Q$2:$Q$301,MATCH($A92,Segmentation!$A$2:$A$301,0))</f>
        <v>3</v>
      </c>
      <c r="M92" s="2" t="n">
        <f aca="false">INDEX(Segmentation!$W$2:$W$301,MATCH($A92,Segmentation!$A$2:$A$301,0))</f>
        <v>1</v>
      </c>
      <c r="N92" s="2" t="str">
        <f aca="false">INDEX(Segmentation!$AF$2:$AF$301,MATCH($A92,Segmentation!$A$2:$A$301,0))</f>
        <v>Existing Customer</v>
      </c>
      <c r="O92" s="2" t="n">
        <f aca="false">INDEX(Segmentation!$R$2:$R$301,MATCH($A92,Segmentation!$A$2:$A$301,0))</f>
        <v>30</v>
      </c>
      <c r="P92" s="2" t="n">
        <v>287</v>
      </c>
      <c r="Q92" s="2" t="n">
        <f aca="false">INDEX(Segmentation!$S$2:$S$301,MATCH($A92,Segmentation!$A$2:$A$301,0))</f>
        <v>4</v>
      </c>
      <c r="R92" s="2" t="n">
        <v>17</v>
      </c>
      <c r="S92" s="2" t="n">
        <v>0</v>
      </c>
      <c r="T92" s="2" t="n">
        <v>1</v>
      </c>
      <c r="U92" s="2" t="n">
        <v>2</v>
      </c>
      <c r="V92" s="2" t="n">
        <v>74</v>
      </c>
      <c r="W92" s="2" t="str">
        <f aca="false">IF(V92=100,"Bundle-only",IF(V92=0,"Handpick-only","Mixed"))</f>
        <v>Mixed</v>
      </c>
      <c r="X92" s="17" t="n">
        <f aca="false">L92/K92</f>
        <v>1</v>
      </c>
      <c r="Y92" s="9" t="n">
        <f aca="false">J92/K92</f>
        <v>327.333333333333</v>
      </c>
      <c r="Z92" s="10" t="b">
        <f aca="false">O92&gt;=Assumptions!$B$57</f>
        <v>1</v>
      </c>
      <c r="AA92" s="10" t="b">
        <f aca="false">P92&gt;=Assumptions!$B$58</f>
        <v>1</v>
      </c>
      <c r="AB92" s="10" t="b">
        <f aca="false">Q92&gt;=Assumptions!$B$59</f>
        <v>1</v>
      </c>
      <c r="AC92" s="2" t="n">
        <f aca="false">Z92*1+AA92*1+AB92*1</f>
        <v>3</v>
      </c>
      <c r="AD92" s="2" t="str">
        <f aca="false">IF(E92="Broker-Reliant","Broker-led, product-blind",IF(AND(I92="Low",F92&lt;&gt;"Tail",OR(G92="Declining",G92="Lapsed"),OR(O92&gt;=Assumptions!$B$60,P92&gt;=Assumptions!$B$61)),"Engaged but shrinking (Key/Core)",IF(AND(O92&gt;=Assumptions!$B$60,P92&gt;=Assumptions!$B$61,Q92&gt;=Assumptions!$B$62,K92&gt;=Assumptions!$B$63),"Independent browser-buyer",IF(AND(OR(O92&gt;=Assumptions!$B$60,P92&gt;=Assumptions!$B$61),K92&lt;=2),"Engaged, not converting",IF(AND(K92=1,O92&lt;Assumptions!$B$60,P92&lt;Assumptions!$B$61),"One-off low-touch buyer","Light-touch repeat buyer")))))</f>
        <v>Independent browser-buyer</v>
      </c>
      <c r="AE92" s="10" t="b">
        <f aca="false">INDEX(Segmentation!$AW$2:$AW$301,MATCH($A92,Segmentation!$A$2:$A$301,0))</f>
        <v>0</v>
      </c>
    </row>
    <row r="93" customFormat="false" ht="15" hidden="false" customHeight="false" outlineLevel="0" collapsed="false">
      <c r="A93" s="2" t="s">
        <v>620</v>
      </c>
      <c r="B93" s="2" t="s">
        <v>1571</v>
      </c>
      <c r="C93" s="2" t="s">
        <v>1640</v>
      </c>
      <c r="D93" s="2" t="s">
        <v>1653</v>
      </c>
      <c r="E93" s="2" t="str">
        <f aca="false">INDEX(Segmentation!$H$2:$H$301,MATCH($A93,Segmentation!$A$2:$A$301,0))</f>
        <v>AM-Owned / Self-Serving</v>
      </c>
      <c r="F93" s="2" t="str">
        <f aca="false">INDEX(Segmentation!$J$2:$J$301,MATCH($A93,Segmentation!$A$2:$A$301,0))</f>
        <v>Tail</v>
      </c>
      <c r="G93" s="2" t="str">
        <f aca="false">INDEX(Segmentation!$N$2:$N$301,MATCH($A93,Segmentation!$A$2:$A$301,0))</f>
        <v>Lapsed</v>
      </c>
      <c r="H93" s="2" t="str">
        <f aca="false">INDEX(Segmentation!$T$2:$T$301,MATCH($A93,Segmentation!$A$2:$A$301,0))</f>
        <v>9. Long-Tail Automated Nurture</v>
      </c>
      <c r="I93" s="2" t="str">
        <f aca="false">INDEX(Segmentation!$G$2:$G$301,MATCH($A93,Segmentation!$A$2:$A$301,0))</f>
        <v>Low</v>
      </c>
      <c r="J93" s="9" t="n">
        <f aca="false">INDEX(Segmentation!$I$2:$I$301,MATCH($A93,Segmentation!$A$2:$A$301,0))</f>
        <v>944</v>
      </c>
      <c r="K93" s="2" t="n">
        <f aca="false">INDEX(Segmentation!$O$2:$O$301,MATCH($A93,Segmentation!$A$2:$A$301,0))</f>
        <v>2</v>
      </c>
      <c r="L93" s="2" t="n">
        <f aca="false">INDEX(Segmentation!$Q$2:$Q$301,MATCH($A93,Segmentation!$A$2:$A$301,0))</f>
        <v>2</v>
      </c>
      <c r="M93" s="2" t="n">
        <f aca="false">INDEX(Segmentation!$W$2:$W$301,MATCH($A93,Segmentation!$A$2:$A$301,0))</f>
        <v>2</v>
      </c>
      <c r="N93" s="2" t="str">
        <f aca="false">INDEX(Segmentation!$AF$2:$AF$301,MATCH($A93,Segmentation!$A$2:$A$301,0))</f>
        <v>Existing Customer</v>
      </c>
      <c r="O93" s="2" t="n">
        <f aca="false">INDEX(Segmentation!$R$2:$R$301,MATCH($A93,Segmentation!$A$2:$A$301,0))</f>
        <v>19</v>
      </c>
      <c r="P93" s="2" t="n">
        <v>211</v>
      </c>
      <c r="Q93" s="2" t="n">
        <f aca="false">INDEX(Segmentation!$S$2:$S$301,MATCH($A93,Segmentation!$A$2:$A$301,0))</f>
        <v>1</v>
      </c>
      <c r="R93" s="2" t="n">
        <v>4</v>
      </c>
      <c r="S93" s="2" t="n">
        <v>0</v>
      </c>
      <c r="T93" s="2" t="n">
        <v>0</v>
      </c>
      <c r="U93" s="2" t="n">
        <v>2</v>
      </c>
      <c r="V93" s="2" t="n">
        <v>100</v>
      </c>
      <c r="W93" s="2" t="str">
        <f aca="false">IF(V93=100,"Bundle-only",IF(V93=0,"Handpick-only","Mixed"))</f>
        <v>Bundle-only</v>
      </c>
      <c r="X93" s="17" t="n">
        <f aca="false">L93/K93</f>
        <v>1</v>
      </c>
      <c r="Y93" s="9" t="n">
        <f aca="false">J93/K93</f>
        <v>472</v>
      </c>
      <c r="Z93" s="10" t="b">
        <f aca="false">O93&gt;=Assumptions!$B$57</f>
        <v>1</v>
      </c>
      <c r="AA93" s="10" t="b">
        <f aca="false">P93&gt;=Assumptions!$B$58</f>
        <v>1</v>
      </c>
      <c r="AB93" s="10" t="b">
        <f aca="false">Q93&gt;=Assumptions!$B$59</f>
        <v>0</v>
      </c>
      <c r="AC93" s="2" t="n">
        <f aca="false">Z93*1+AA93*1+AB93*1</f>
        <v>2</v>
      </c>
      <c r="AD93" s="2" t="str">
        <f aca="false">IF(E93="Broker-Reliant","Broker-led, product-blind",IF(AND(I93="Low",F93&lt;&gt;"Tail",OR(G93="Declining",G93="Lapsed"),OR(O93&gt;=Assumptions!$B$60,P93&gt;=Assumptions!$B$61)),"Engaged but shrinking (Key/Core)",IF(AND(O93&gt;=Assumptions!$B$60,P93&gt;=Assumptions!$B$61,Q93&gt;=Assumptions!$B$62,K93&gt;=Assumptions!$B$63),"Independent browser-buyer",IF(AND(OR(O93&gt;=Assumptions!$B$60,P93&gt;=Assumptions!$B$61),K93&lt;=2),"Engaged, not converting",IF(AND(K93=1,O93&lt;Assumptions!$B$60,P93&lt;Assumptions!$B$61),"One-off low-touch buyer","Light-touch repeat buyer")))))</f>
        <v>Engaged, not converting</v>
      </c>
      <c r="AE93" s="10" t="b">
        <f aca="false">INDEX(Segmentation!$AW$2:$AW$301,MATCH($A93,Segmentation!$A$2:$A$301,0))</f>
        <v>0</v>
      </c>
    </row>
    <row r="94" customFormat="false" ht="15" hidden="false" customHeight="false" outlineLevel="0" collapsed="false">
      <c r="A94" s="2" t="s">
        <v>624</v>
      </c>
      <c r="B94" s="2" t="s">
        <v>1571</v>
      </c>
      <c r="C94" s="2" t="s">
        <v>1640</v>
      </c>
      <c r="D94" s="2" t="s">
        <v>1657</v>
      </c>
      <c r="E94" s="2" t="str">
        <f aca="false">INDEX(Segmentation!$H$2:$H$301,MATCH($A94,Segmentation!$A$2:$A$301,0))</f>
        <v>AM-Owned / Self-Serving</v>
      </c>
      <c r="F94" s="2" t="str">
        <f aca="false">INDEX(Segmentation!$J$2:$J$301,MATCH($A94,Segmentation!$A$2:$A$301,0))</f>
        <v>Tail</v>
      </c>
      <c r="G94" s="2" t="str">
        <f aca="false">INDEX(Segmentation!$N$2:$N$301,MATCH($A94,Segmentation!$A$2:$A$301,0))</f>
        <v>Growing</v>
      </c>
      <c r="H94" s="2" t="str">
        <f aca="false">INDEX(Segmentation!$T$2:$T$301,MATCH($A94,Segmentation!$A$2:$A$301,0))</f>
        <v>9. Long-Tail Automated Nurture</v>
      </c>
      <c r="I94" s="2" t="str">
        <f aca="false">INDEX(Segmentation!$G$2:$G$301,MATCH($A94,Segmentation!$A$2:$A$301,0))</f>
        <v>Low</v>
      </c>
      <c r="J94" s="9" t="n">
        <f aca="false">INDEX(Segmentation!$I$2:$I$301,MATCH($A94,Segmentation!$A$2:$A$301,0))</f>
        <v>908</v>
      </c>
      <c r="K94" s="2" t="n">
        <f aca="false">INDEX(Segmentation!$O$2:$O$301,MATCH($A94,Segmentation!$A$2:$A$301,0))</f>
        <v>4</v>
      </c>
      <c r="L94" s="2" t="n">
        <f aca="false">INDEX(Segmentation!$Q$2:$Q$301,MATCH($A94,Segmentation!$A$2:$A$301,0))</f>
        <v>4</v>
      </c>
      <c r="M94" s="2" t="n">
        <f aca="false">INDEX(Segmentation!$W$2:$W$301,MATCH($A94,Segmentation!$A$2:$A$301,0))</f>
        <v>4</v>
      </c>
      <c r="N94" s="2" t="str">
        <f aca="false">INDEX(Segmentation!$AF$2:$AF$301,MATCH($A94,Segmentation!$A$2:$A$301,0))</f>
        <v>Existing Customer</v>
      </c>
      <c r="O94" s="2" t="n">
        <f aca="false">INDEX(Segmentation!$R$2:$R$301,MATCH($A94,Segmentation!$A$2:$A$301,0))</f>
        <v>30</v>
      </c>
      <c r="P94" s="2" t="n">
        <v>212</v>
      </c>
      <c r="Q94" s="2" t="n">
        <f aca="false">INDEX(Segmentation!$S$2:$S$301,MATCH($A94,Segmentation!$A$2:$A$301,0))</f>
        <v>4</v>
      </c>
      <c r="R94" s="2" t="n">
        <v>2</v>
      </c>
      <c r="S94" s="2" t="n">
        <v>0</v>
      </c>
      <c r="T94" s="2" t="n">
        <v>0</v>
      </c>
      <c r="U94" s="2" t="n">
        <v>4</v>
      </c>
      <c r="V94" s="2" t="n">
        <v>100</v>
      </c>
      <c r="W94" s="2" t="str">
        <f aca="false">IF(V94=100,"Bundle-only",IF(V94=0,"Handpick-only","Mixed"))</f>
        <v>Bundle-only</v>
      </c>
      <c r="X94" s="17" t="n">
        <f aca="false">L94/K94</f>
        <v>1</v>
      </c>
      <c r="Y94" s="9" t="n">
        <f aca="false">J94/K94</f>
        <v>227</v>
      </c>
      <c r="Z94" s="10" t="b">
        <f aca="false">O94&gt;=Assumptions!$B$57</f>
        <v>1</v>
      </c>
      <c r="AA94" s="10" t="b">
        <f aca="false">P94&gt;=Assumptions!$B$58</f>
        <v>1</v>
      </c>
      <c r="AB94" s="10" t="b">
        <f aca="false">Q94&gt;=Assumptions!$B$59</f>
        <v>1</v>
      </c>
      <c r="AC94" s="2" t="n">
        <f aca="false">Z94*1+AA94*1+AB94*1</f>
        <v>3</v>
      </c>
      <c r="AD94" s="2" t="str">
        <f aca="false">IF(E94="Broker-Reliant","Broker-led, product-blind",IF(AND(I94="Low",F94&lt;&gt;"Tail",OR(G94="Declining",G94="Lapsed"),OR(O94&gt;=Assumptions!$B$60,P94&gt;=Assumptions!$B$61)),"Engaged but shrinking (Key/Core)",IF(AND(O94&gt;=Assumptions!$B$60,P94&gt;=Assumptions!$B$61,Q94&gt;=Assumptions!$B$62,K94&gt;=Assumptions!$B$63),"Independent browser-buyer",IF(AND(OR(O94&gt;=Assumptions!$B$60,P94&gt;=Assumptions!$B$61),K94&lt;=2),"Engaged, not converting",IF(AND(K94=1,O94&lt;Assumptions!$B$60,P94&lt;Assumptions!$B$61),"One-off low-touch buyer","Light-touch repeat buyer")))))</f>
        <v>Independent browser-buyer</v>
      </c>
      <c r="AE94" s="10" t="b">
        <f aca="false">INDEX(Segmentation!$AW$2:$AW$301,MATCH($A94,Segmentation!$A$2:$A$301,0))</f>
        <v>0</v>
      </c>
    </row>
    <row r="95" customFormat="false" ht="15" hidden="false" customHeight="false" outlineLevel="0" collapsed="false">
      <c r="A95" s="2" t="s">
        <v>627</v>
      </c>
      <c r="B95" s="2" t="s">
        <v>1571</v>
      </c>
      <c r="C95" s="2" t="s">
        <v>1640</v>
      </c>
      <c r="D95" s="2" t="s">
        <v>1657</v>
      </c>
      <c r="E95" s="2" t="str">
        <f aca="false">INDEX(Segmentation!$H$2:$H$301,MATCH($A95,Segmentation!$A$2:$A$301,0))</f>
        <v>AM-Owned / Self-Serving</v>
      </c>
      <c r="F95" s="2" t="str">
        <f aca="false">INDEX(Segmentation!$J$2:$J$301,MATCH($A95,Segmentation!$A$2:$A$301,0))</f>
        <v>Tail</v>
      </c>
      <c r="G95" s="2" t="str">
        <f aca="false">INDEX(Segmentation!$N$2:$N$301,MATCH($A95,Segmentation!$A$2:$A$301,0))</f>
        <v>Lapsed</v>
      </c>
      <c r="H95" s="2" t="str">
        <f aca="false">INDEX(Segmentation!$T$2:$T$301,MATCH($A95,Segmentation!$A$2:$A$301,0))</f>
        <v>9. Long-Tail Automated Nurture</v>
      </c>
      <c r="I95" s="2" t="str">
        <f aca="false">INDEX(Segmentation!$G$2:$G$301,MATCH($A95,Segmentation!$A$2:$A$301,0))</f>
        <v>Low</v>
      </c>
      <c r="J95" s="9" t="n">
        <f aca="false">INDEX(Segmentation!$I$2:$I$301,MATCH($A95,Segmentation!$A$2:$A$301,0))</f>
        <v>896</v>
      </c>
      <c r="K95" s="2" t="n">
        <f aca="false">INDEX(Segmentation!$O$2:$O$301,MATCH($A95,Segmentation!$A$2:$A$301,0))</f>
        <v>2</v>
      </c>
      <c r="L95" s="2" t="n">
        <f aca="false">INDEX(Segmentation!$Q$2:$Q$301,MATCH($A95,Segmentation!$A$2:$A$301,0))</f>
        <v>2</v>
      </c>
      <c r="M95" s="2" t="n">
        <f aca="false">INDEX(Segmentation!$W$2:$W$301,MATCH($A95,Segmentation!$A$2:$A$301,0))</f>
        <v>2</v>
      </c>
      <c r="N95" s="2" t="str">
        <f aca="false">INDEX(Segmentation!$AF$2:$AF$301,MATCH($A95,Segmentation!$A$2:$A$301,0))</f>
        <v>Existing Customer</v>
      </c>
      <c r="O95" s="2" t="n">
        <f aca="false">INDEX(Segmentation!$R$2:$R$301,MATCH($A95,Segmentation!$A$2:$A$301,0))</f>
        <v>8</v>
      </c>
      <c r="P95" s="2" t="n">
        <v>110</v>
      </c>
      <c r="Q95" s="2" t="n">
        <f aca="false">INDEX(Segmentation!$S$2:$S$301,MATCH($A95,Segmentation!$A$2:$A$301,0))</f>
        <v>0</v>
      </c>
      <c r="R95" s="2" t="n">
        <v>0</v>
      </c>
      <c r="S95" s="2" t="n">
        <v>0</v>
      </c>
      <c r="T95" s="2" t="n">
        <v>0</v>
      </c>
      <c r="U95" s="2" t="n">
        <v>2</v>
      </c>
      <c r="V95" s="2" t="n">
        <v>100</v>
      </c>
      <c r="W95" s="2" t="str">
        <f aca="false">IF(V95=100,"Bundle-only",IF(V95=0,"Handpick-only","Mixed"))</f>
        <v>Bundle-only</v>
      </c>
      <c r="X95" s="17" t="n">
        <f aca="false">L95/K95</f>
        <v>1</v>
      </c>
      <c r="Y95" s="9" t="n">
        <f aca="false">J95/K95</f>
        <v>448</v>
      </c>
      <c r="Z95" s="10" t="b">
        <f aca="false">O95&gt;=Assumptions!$B$57</f>
        <v>0</v>
      </c>
      <c r="AA95" s="10" t="b">
        <f aca="false">P95&gt;=Assumptions!$B$58</f>
        <v>1</v>
      </c>
      <c r="AB95" s="10" t="b">
        <f aca="false">Q95&gt;=Assumptions!$B$59</f>
        <v>0</v>
      </c>
      <c r="AC95" s="2" t="n">
        <f aca="false">Z95*1+AA95*1+AB95*1</f>
        <v>1</v>
      </c>
      <c r="AD95" s="2" t="str">
        <f aca="false">IF(E95="Broker-Reliant","Broker-led, product-blind",IF(AND(I95="Low",F95&lt;&gt;"Tail",OR(G95="Declining",G95="Lapsed"),OR(O95&gt;=Assumptions!$B$60,P95&gt;=Assumptions!$B$61)),"Engaged but shrinking (Key/Core)",IF(AND(O95&gt;=Assumptions!$B$60,P95&gt;=Assumptions!$B$61,Q95&gt;=Assumptions!$B$62,K95&gt;=Assumptions!$B$63),"Independent browser-buyer",IF(AND(OR(O95&gt;=Assumptions!$B$60,P95&gt;=Assumptions!$B$61),K95&lt;=2),"Engaged, not converting",IF(AND(K95=1,O95&lt;Assumptions!$B$60,P95&lt;Assumptions!$B$61),"One-off low-touch buyer","Light-touch repeat buyer")))))</f>
        <v>Light-touch repeat buyer</v>
      </c>
      <c r="AE95" s="10" t="b">
        <f aca="false">INDEX(Segmentation!$AW$2:$AW$301,MATCH($A95,Segmentation!$A$2:$A$301,0))</f>
        <v>0</v>
      </c>
    </row>
    <row r="96" customFormat="false" ht="15" hidden="false" customHeight="false" outlineLevel="0" collapsed="false">
      <c r="A96" s="2" t="s">
        <v>629</v>
      </c>
      <c r="B96" s="2" t="s">
        <v>1571</v>
      </c>
      <c r="C96" s="2" t="s">
        <v>1640</v>
      </c>
      <c r="D96" s="2" t="s">
        <v>1658</v>
      </c>
      <c r="E96" s="2" t="str">
        <f aca="false">INDEX(Segmentation!$H$2:$H$301,MATCH($A96,Segmentation!$A$2:$A$301,0))</f>
        <v>AM-Owned / Self-Serving</v>
      </c>
      <c r="F96" s="2" t="str">
        <f aca="false">INDEX(Segmentation!$J$2:$J$301,MATCH($A96,Segmentation!$A$2:$A$301,0))</f>
        <v>Tail</v>
      </c>
      <c r="G96" s="2" t="str">
        <f aca="false">INDEX(Segmentation!$N$2:$N$301,MATCH($A96,Segmentation!$A$2:$A$301,0))</f>
        <v>Lapsed</v>
      </c>
      <c r="H96" s="2" t="str">
        <f aca="false">INDEX(Segmentation!$T$2:$T$301,MATCH($A96,Segmentation!$A$2:$A$301,0))</f>
        <v>9. Long-Tail Automated Nurture</v>
      </c>
      <c r="I96" s="2" t="str">
        <f aca="false">INDEX(Segmentation!$G$2:$G$301,MATCH($A96,Segmentation!$A$2:$A$301,0))</f>
        <v>Low</v>
      </c>
      <c r="J96" s="9" t="n">
        <f aca="false">INDEX(Segmentation!$I$2:$I$301,MATCH($A96,Segmentation!$A$2:$A$301,0))</f>
        <v>892</v>
      </c>
      <c r="K96" s="2" t="n">
        <f aca="false">INDEX(Segmentation!$O$2:$O$301,MATCH($A96,Segmentation!$A$2:$A$301,0))</f>
        <v>1</v>
      </c>
      <c r="L96" s="2" t="n">
        <f aca="false">INDEX(Segmentation!$Q$2:$Q$301,MATCH($A96,Segmentation!$A$2:$A$301,0))</f>
        <v>1</v>
      </c>
      <c r="M96" s="2" t="n">
        <f aca="false">INDEX(Segmentation!$W$2:$W$301,MATCH($A96,Segmentation!$A$2:$A$301,0))</f>
        <v>1</v>
      </c>
      <c r="N96" s="2" t="str">
        <f aca="false">INDEX(Segmentation!$AF$2:$AF$301,MATCH($A96,Segmentation!$A$2:$A$301,0))</f>
        <v>Existing Customer</v>
      </c>
      <c r="O96" s="2" t="n">
        <f aca="false">INDEX(Segmentation!$R$2:$R$301,MATCH($A96,Segmentation!$A$2:$A$301,0))</f>
        <v>38</v>
      </c>
      <c r="P96" s="2" t="n">
        <v>235</v>
      </c>
      <c r="Q96" s="2" t="n">
        <f aca="false">INDEX(Segmentation!$S$2:$S$301,MATCH($A96,Segmentation!$A$2:$A$301,0))</f>
        <v>0</v>
      </c>
      <c r="R96" s="2" t="n">
        <v>3</v>
      </c>
      <c r="S96" s="2" t="n">
        <v>0</v>
      </c>
      <c r="T96" s="2" t="n">
        <v>0</v>
      </c>
      <c r="U96" s="2" t="n">
        <v>1</v>
      </c>
      <c r="V96" s="2" t="n">
        <v>100</v>
      </c>
      <c r="W96" s="2" t="str">
        <f aca="false">IF(V96=100,"Bundle-only",IF(V96=0,"Handpick-only","Mixed"))</f>
        <v>Bundle-only</v>
      </c>
      <c r="X96" s="17" t="n">
        <f aca="false">L96/K96</f>
        <v>1</v>
      </c>
      <c r="Y96" s="9" t="n">
        <f aca="false">J96/K96</f>
        <v>892</v>
      </c>
      <c r="Z96" s="10" t="b">
        <f aca="false">O96&gt;=Assumptions!$B$57</f>
        <v>1</v>
      </c>
      <c r="AA96" s="10" t="b">
        <f aca="false">P96&gt;=Assumptions!$B$58</f>
        <v>1</v>
      </c>
      <c r="AB96" s="10" t="b">
        <f aca="false">Q96&gt;=Assumptions!$B$59</f>
        <v>0</v>
      </c>
      <c r="AC96" s="2" t="n">
        <f aca="false">Z96*1+AA96*1+AB96*1</f>
        <v>2</v>
      </c>
      <c r="AD96" s="2" t="str">
        <f aca="false">IF(E96="Broker-Reliant","Broker-led, product-blind",IF(AND(I96="Low",F96&lt;&gt;"Tail",OR(G96="Declining",G96="Lapsed"),OR(O96&gt;=Assumptions!$B$60,P96&gt;=Assumptions!$B$61)),"Engaged but shrinking (Key/Core)",IF(AND(O96&gt;=Assumptions!$B$60,P96&gt;=Assumptions!$B$61,Q96&gt;=Assumptions!$B$62,K96&gt;=Assumptions!$B$63),"Independent browser-buyer",IF(AND(OR(O96&gt;=Assumptions!$B$60,P96&gt;=Assumptions!$B$61),K96&lt;=2),"Engaged, not converting",IF(AND(K96=1,O96&lt;Assumptions!$B$60,P96&lt;Assumptions!$B$61),"One-off low-touch buyer","Light-touch repeat buyer")))))</f>
        <v>Engaged, not converting</v>
      </c>
      <c r="AE96" s="10" t="b">
        <f aca="false">INDEX(Segmentation!$AW$2:$AW$301,MATCH($A96,Segmentation!$A$2:$A$301,0))</f>
        <v>0</v>
      </c>
    </row>
    <row r="97" customFormat="false" ht="15" hidden="false" customHeight="false" outlineLevel="0" collapsed="false">
      <c r="A97" s="2" t="s">
        <v>634</v>
      </c>
      <c r="B97" s="2" t="s">
        <v>1571</v>
      </c>
      <c r="C97" s="2" t="s">
        <v>1640</v>
      </c>
      <c r="D97" s="2" t="s">
        <v>1653</v>
      </c>
      <c r="E97" s="2" t="str">
        <f aca="false">INDEX(Segmentation!$H$2:$H$301,MATCH($A97,Segmentation!$A$2:$A$301,0))</f>
        <v>Broker-Reliant</v>
      </c>
      <c r="F97" s="2" t="str">
        <f aca="false">INDEX(Segmentation!$J$2:$J$301,MATCH($A97,Segmentation!$A$2:$A$301,0))</f>
        <v>Tail</v>
      </c>
      <c r="G97" s="2" t="str">
        <f aca="false">INDEX(Segmentation!$N$2:$N$301,MATCH($A97,Segmentation!$A$2:$A$301,0))</f>
        <v>Lapsed</v>
      </c>
      <c r="H97" s="2" t="str">
        <f aca="false">INDEX(Segmentation!$T$2:$T$301,MATCH($A97,Segmentation!$A$2:$A$301,0))</f>
        <v>5. Cost-to-Serve / Low-Touch</v>
      </c>
      <c r="I97" s="2" t="str">
        <f aca="false">INDEX(Segmentation!$G$2:$G$301,MATCH($A97,Segmentation!$A$2:$A$301,0))</f>
        <v>High</v>
      </c>
      <c r="J97" s="9" t="n">
        <f aca="false">INDEX(Segmentation!$I$2:$I$301,MATCH($A97,Segmentation!$A$2:$A$301,0))</f>
        <v>874</v>
      </c>
      <c r="K97" s="2" t="n">
        <f aca="false">INDEX(Segmentation!$O$2:$O$301,MATCH($A97,Segmentation!$A$2:$A$301,0))</f>
        <v>2</v>
      </c>
      <c r="L97" s="2" t="n">
        <f aca="false">INDEX(Segmentation!$Q$2:$Q$301,MATCH($A97,Segmentation!$A$2:$A$301,0))</f>
        <v>1</v>
      </c>
      <c r="M97" s="2" t="n">
        <f aca="false">INDEX(Segmentation!$W$2:$W$301,MATCH($A97,Segmentation!$A$2:$A$301,0))</f>
        <v>2</v>
      </c>
      <c r="N97" s="2" t="str">
        <f aca="false">INDEX(Segmentation!$AF$2:$AF$301,MATCH($A97,Segmentation!$A$2:$A$301,0))</f>
        <v>Existing Customer</v>
      </c>
      <c r="O97" s="2" t="n">
        <f aca="false">INDEX(Segmentation!$R$2:$R$301,MATCH($A97,Segmentation!$A$2:$A$301,0))</f>
        <v>3</v>
      </c>
      <c r="P97" s="2" t="n">
        <v>9</v>
      </c>
      <c r="Q97" s="2" t="n">
        <f aca="false">INDEX(Segmentation!$S$2:$S$301,MATCH($A97,Segmentation!$A$2:$A$301,0))</f>
        <v>1</v>
      </c>
      <c r="R97" s="2" t="n">
        <v>2</v>
      </c>
      <c r="S97" s="2" t="n">
        <v>0</v>
      </c>
      <c r="T97" s="2" t="n">
        <v>0</v>
      </c>
      <c r="U97" s="2" t="n">
        <v>2</v>
      </c>
      <c r="V97" s="2" t="n">
        <v>100</v>
      </c>
      <c r="W97" s="2" t="str">
        <f aca="false">IF(V97=100,"Bundle-only",IF(V97=0,"Handpick-only","Mixed"))</f>
        <v>Bundle-only</v>
      </c>
      <c r="X97" s="17" t="n">
        <f aca="false">L97/K97</f>
        <v>0.5</v>
      </c>
      <c r="Y97" s="9" t="n">
        <f aca="false">J97/K97</f>
        <v>437</v>
      </c>
      <c r="Z97" s="10" t="b">
        <f aca="false">O97&gt;=Assumptions!$B$57</f>
        <v>0</v>
      </c>
      <c r="AA97" s="10" t="b">
        <f aca="false">P97&gt;=Assumptions!$B$58</f>
        <v>0</v>
      </c>
      <c r="AB97" s="10" t="b">
        <f aca="false">Q97&gt;=Assumptions!$B$59</f>
        <v>0</v>
      </c>
      <c r="AC97" s="2" t="n">
        <f aca="false">Z97*1+AA97*1+AB97*1</f>
        <v>0</v>
      </c>
      <c r="AD97" s="2" t="str">
        <f aca="false">IF(E97="Broker-Reliant","Broker-led, product-blind",IF(AND(I97="Low",F97&lt;&gt;"Tail",OR(G97="Declining",G97="Lapsed"),OR(O97&gt;=Assumptions!$B$60,P97&gt;=Assumptions!$B$61)),"Engaged but shrinking (Key/Core)",IF(AND(O97&gt;=Assumptions!$B$60,P97&gt;=Assumptions!$B$61,Q97&gt;=Assumptions!$B$62,K97&gt;=Assumptions!$B$63),"Independent browser-buyer",IF(AND(OR(O97&gt;=Assumptions!$B$60,P97&gt;=Assumptions!$B$61),K97&lt;=2),"Engaged, not converting",IF(AND(K97=1,O97&lt;Assumptions!$B$60,P97&lt;Assumptions!$B$61),"One-off low-touch buyer","Light-touch repeat buyer")))))</f>
        <v>Broker-led, product-blind</v>
      </c>
      <c r="AE97" s="10" t="b">
        <f aca="false">INDEX(Segmentation!$AW$2:$AW$301,MATCH($A97,Segmentation!$A$2:$A$301,0))</f>
        <v>0</v>
      </c>
    </row>
    <row r="98" customFormat="false" ht="15" hidden="false" customHeight="false" outlineLevel="0" collapsed="false">
      <c r="A98" s="2" t="s">
        <v>636</v>
      </c>
      <c r="B98" s="2" t="s">
        <v>1571</v>
      </c>
      <c r="C98" s="2" t="s">
        <v>1640</v>
      </c>
      <c r="D98" s="2" t="s">
        <v>1653</v>
      </c>
      <c r="E98" s="2" t="str">
        <f aca="false">INDEX(Segmentation!$H$2:$H$301,MATCH($A98,Segmentation!$A$2:$A$301,0))</f>
        <v>AM-Owned / Self-Serving</v>
      </c>
      <c r="F98" s="2" t="str">
        <f aca="false">INDEX(Segmentation!$J$2:$J$301,MATCH($A98,Segmentation!$A$2:$A$301,0))</f>
        <v>Tail</v>
      </c>
      <c r="G98" s="2" t="str">
        <f aca="false">INDEX(Segmentation!$N$2:$N$301,MATCH($A98,Segmentation!$A$2:$A$301,0))</f>
        <v>Lapsed</v>
      </c>
      <c r="H98" s="2" t="str">
        <f aca="false">INDEX(Segmentation!$T$2:$T$301,MATCH($A98,Segmentation!$A$2:$A$301,0))</f>
        <v>9. Long-Tail Automated Nurture</v>
      </c>
      <c r="I98" s="2" t="str">
        <f aca="false">INDEX(Segmentation!$G$2:$G$301,MATCH($A98,Segmentation!$A$2:$A$301,0))</f>
        <v>Low</v>
      </c>
      <c r="J98" s="9" t="n">
        <f aca="false">INDEX(Segmentation!$I$2:$I$301,MATCH($A98,Segmentation!$A$2:$A$301,0))</f>
        <v>852</v>
      </c>
      <c r="K98" s="2" t="n">
        <f aca="false">INDEX(Segmentation!$O$2:$O$301,MATCH($A98,Segmentation!$A$2:$A$301,0))</f>
        <v>6</v>
      </c>
      <c r="L98" s="2" t="n">
        <f aca="false">INDEX(Segmentation!$Q$2:$Q$301,MATCH($A98,Segmentation!$A$2:$A$301,0))</f>
        <v>6</v>
      </c>
      <c r="M98" s="2" t="n">
        <f aca="false">INDEX(Segmentation!$W$2:$W$301,MATCH($A98,Segmentation!$A$2:$A$301,0))</f>
        <v>2</v>
      </c>
      <c r="N98" s="2" t="str">
        <f aca="false">INDEX(Segmentation!$AF$2:$AF$301,MATCH($A98,Segmentation!$A$2:$A$301,0))</f>
        <v>Existing Customer</v>
      </c>
      <c r="O98" s="2" t="n">
        <f aca="false">INDEX(Segmentation!$R$2:$R$301,MATCH($A98,Segmentation!$A$2:$A$301,0))</f>
        <v>21</v>
      </c>
      <c r="P98" s="2" t="n">
        <v>442</v>
      </c>
      <c r="Q98" s="2" t="n">
        <f aca="false">INDEX(Segmentation!$S$2:$S$301,MATCH($A98,Segmentation!$A$2:$A$301,0))</f>
        <v>21</v>
      </c>
      <c r="R98" s="2" t="n">
        <v>3</v>
      </c>
      <c r="S98" s="2" t="n">
        <v>0</v>
      </c>
      <c r="T98" s="2" t="n">
        <v>0</v>
      </c>
      <c r="U98" s="2" t="n">
        <v>6</v>
      </c>
      <c r="V98" s="2" t="n">
        <v>100</v>
      </c>
      <c r="W98" s="2" t="str">
        <f aca="false">IF(V98=100,"Bundle-only",IF(V98=0,"Handpick-only","Mixed"))</f>
        <v>Bundle-only</v>
      </c>
      <c r="X98" s="17" t="n">
        <f aca="false">L98/K98</f>
        <v>1</v>
      </c>
      <c r="Y98" s="9" t="n">
        <f aca="false">J98/K98</f>
        <v>142</v>
      </c>
      <c r="Z98" s="10" t="b">
        <f aca="false">O98&gt;=Assumptions!$B$57</f>
        <v>1</v>
      </c>
      <c r="AA98" s="10" t="b">
        <f aca="false">P98&gt;=Assumptions!$B$58</f>
        <v>1</v>
      </c>
      <c r="AB98" s="10" t="b">
        <f aca="false">Q98&gt;=Assumptions!$B$59</f>
        <v>1</v>
      </c>
      <c r="AC98" s="2" t="n">
        <f aca="false">Z98*1+AA98*1+AB98*1</f>
        <v>3</v>
      </c>
      <c r="AD98" s="2" t="str">
        <f aca="false">IF(E98="Broker-Reliant","Broker-led, product-blind",IF(AND(I98="Low",F98&lt;&gt;"Tail",OR(G98="Declining",G98="Lapsed"),OR(O98&gt;=Assumptions!$B$60,P98&gt;=Assumptions!$B$61)),"Engaged but shrinking (Key/Core)",IF(AND(O98&gt;=Assumptions!$B$60,P98&gt;=Assumptions!$B$61,Q98&gt;=Assumptions!$B$62,K98&gt;=Assumptions!$B$63),"Independent browser-buyer",IF(AND(OR(O98&gt;=Assumptions!$B$60,P98&gt;=Assumptions!$B$61),K98&lt;=2),"Engaged, not converting",IF(AND(K98=1,O98&lt;Assumptions!$B$60,P98&lt;Assumptions!$B$61),"One-off low-touch buyer","Light-touch repeat buyer")))))</f>
        <v>Independent browser-buyer</v>
      </c>
      <c r="AE98" s="10" t="b">
        <f aca="false">INDEX(Segmentation!$AW$2:$AW$301,MATCH($A98,Segmentation!$A$2:$A$301,0))</f>
        <v>0</v>
      </c>
    </row>
    <row r="99" customFormat="false" ht="15" hidden="false" customHeight="false" outlineLevel="0" collapsed="false">
      <c r="A99" s="2" t="s">
        <v>638</v>
      </c>
      <c r="B99" s="2" t="s">
        <v>1571</v>
      </c>
      <c r="C99" s="2" t="s">
        <v>1640</v>
      </c>
      <c r="D99" s="2" t="s">
        <v>1653</v>
      </c>
      <c r="E99" s="2" t="str">
        <f aca="false">INDEX(Segmentation!$H$2:$H$301,MATCH($A99,Segmentation!$A$2:$A$301,0))</f>
        <v>AM-Owned / Self-Serving</v>
      </c>
      <c r="F99" s="2" t="str">
        <f aca="false">INDEX(Segmentation!$J$2:$J$301,MATCH($A99,Segmentation!$A$2:$A$301,0))</f>
        <v>Tail</v>
      </c>
      <c r="G99" s="2" t="str">
        <f aca="false">INDEX(Segmentation!$N$2:$N$301,MATCH($A99,Segmentation!$A$2:$A$301,0))</f>
        <v>Lapsed</v>
      </c>
      <c r="H99" s="2" t="str">
        <f aca="false">INDEX(Segmentation!$T$2:$T$301,MATCH($A99,Segmentation!$A$2:$A$301,0))</f>
        <v>9. Long-Tail Automated Nurture</v>
      </c>
      <c r="I99" s="2" t="str">
        <f aca="false">INDEX(Segmentation!$G$2:$G$301,MATCH($A99,Segmentation!$A$2:$A$301,0))</f>
        <v>Low</v>
      </c>
      <c r="J99" s="9" t="n">
        <f aca="false">INDEX(Segmentation!$I$2:$I$301,MATCH($A99,Segmentation!$A$2:$A$301,0))</f>
        <v>844</v>
      </c>
      <c r="K99" s="2" t="n">
        <f aca="false">INDEX(Segmentation!$O$2:$O$301,MATCH($A99,Segmentation!$A$2:$A$301,0))</f>
        <v>3</v>
      </c>
      <c r="L99" s="2" t="n">
        <f aca="false">INDEX(Segmentation!$Q$2:$Q$301,MATCH($A99,Segmentation!$A$2:$A$301,0))</f>
        <v>3</v>
      </c>
      <c r="M99" s="2" t="n">
        <f aca="false">INDEX(Segmentation!$W$2:$W$301,MATCH($A99,Segmentation!$A$2:$A$301,0))</f>
        <v>2</v>
      </c>
      <c r="N99" s="2" t="str">
        <f aca="false">INDEX(Segmentation!$AF$2:$AF$301,MATCH($A99,Segmentation!$A$2:$A$301,0))</f>
        <v>Existing Customer</v>
      </c>
      <c r="O99" s="2" t="n">
        <f aca="false">INDEX(Segmentation!$R$2:$R$301,MATCH($A99,Segmentation!$A$2:$A$301,0))</f>
        <v>30</v>
      </c>
      <c r="P99" s="2" t="n">
        <v>341</v>
      </c>
      <c r="Q99" s="2" t="n">
        <f aca="false">INDEX(Segmentation!$S$2:$S$301,MATCH($A99,Segmentation!$A$2:$A$301,0))</f>
        <v>11</v>
      </c>
      <c r="R99" s="2" t="n">
        <v>8</v>
      </c>
      <c r="S99" s="2" t="n">
        <v>0</v>
      </c>
      <c r="T99" s="2" t="n">
        <v>0</v>
      </c>
      <c r="U99" s="2" t="n">
        <v>3</v>
      </c>
      <c r="V99" s="2" t="n">
        <v>100</v>
      </c>
      <c r="W99" s="2" t="str">
        <f aca="false">IF(V99=100,"Bundle-only",IF(V99=0,"Handpick-only","Mixed"))</f>
        <v>Bundle-only</v>
      </c>
      <c r="X99" s="17" t="n">
        <f aca="false">L99/K99</f>
        <v>1</v>
      </c>
      <c r="Y99" s="9" t="n">
        <f aca="false">J99/K99</f>
        <v>281.333333333333</v>
      </c>
      <c r="Z99" s="10" t="b">
        <f aca="false">O99&gt;=Assumptions!$B$57</f>
        <v>1</v>
      </c>
      <c r="AA99" s="10" t="b">
        <f aca="false">P99&gt;=Assumptions!$B$58</f>
        <v>1</v>
      </c>
      <c r="AB99" s="10" t="b">
        <f aca="false">Q99&gt;=Assumptions!$B$59</f>
        <v>1</v>
      </c>
      <c r="AC99" s="2" t="n">
        <f aca="false">Z99*1+AA99*1+AB99*1</f>
        <v>3</v>
      </c>
      <c r="AD99" s="2" t="str">
        <f aca="false">IF(E99="Broker-Reliant","Broker-led, product-blind",IF(AND(I99="Low",F99&lt;&gt;"Tail",OR(G99="Declining",G99="Lapsed"),OR(O99&gt;=Assumptions!$B$60,P99&gt;=Assumptions!$B$61)),"Engaged but shrinking (Key/Core)",IF(AND(O99&gt;=Assumptions!$B$60,P99&gt;=Assumptions!$B$61,Q99&gt;=Assumptions!$B$62,K99&gt;=Assumptions!$B$63),"Independent browser-buyer",IF(AND(OR(O99&gt;=Assumptions!$B$60,P99&gt;=Assumptions!$B$61),K99&lt;=2),"Engaged, not converting",IF(AND(K99=1,O99&lt;Assumptions!$B$60,P99&lt;Assumptions!$B$61),"One-off low-touch buyer","Light-touch repeat buyer")))))</f>
        <v>Independent browser-buyer</v>
      </c>
      <c r="AE99" s="10" t="b">
        <f aca="false">INDEX(Segmentation!$AW$2:$AW$301,MATCH($A99,Segmentation!$A$2:$A$301,0))</f>
        <v>0</v>
      </c>
    </row>
    <row r="100" customFormat="false" ht="15" hidden="false" customHeight="false" outlineLevel="0" collapsed="false">
      <c r="A100" s="2" t="s">
        <v>640</v>
      </c>
      <c r="B100" s="2" t="s">
        <v>1571</v>
      </c>
      <c r="C100" s="2" t="s">
        <v>1640</v>
      </c>
      <c r="D100" s="2" t="s">
        <v>1653</v>
      </c>
      <c r="E100" s="2" t="str">
        <f aca="false">INDEX(Segmentation!$H$2:$H$301,MATCH($A100,Segmentation!$A$2:$A$301,0))</f>
        <v>AM-Owned / Self-Serving</v>
      </c>
      <c r="F100" s="2" t="str">
        <f aca="false">INDEX(Segmentation!$J$2:$J$301,MATCH($A100,Segmentation!$A$2:$A$301,0))</f>
        <v>Tail</v>
      </c>
      <c r="G100" s="2" t="str">
        <f aca="false">INDEX(Segmentation!$N$2:$N$301,MATCH($A100,Segmentation!$A$2:$A$301,0))</f>
        <v>Lapsed</v>
      </c>
      <c r="H100" s="2" t="str">
        <f aca="false">INDEX(Segmentation!$T$2:$T$301,MATCH($A100,Segmentation!$A$2:$A$301,0))</f>
        <v>9. Long-Tail Automated Nurture</v>
      </c>
      <c r="I100" s="2" t="str">
        <f aca="false">INDEX(Segmentation!$G$2:$G$301,MATCH($A100,Segmentation!$A$2:$A$301,0))</f>
        <v>Low</v>
      </c>
      <c r="J100" s="9" t="n">
        <f aca="false">INDEX(Segmentation!$I$2:$I$301,MATCH($A100,Segmentation!$A$2:$A$301,0))</f>
        <v>840</v>
      </c>
      <c r="K100" s="2" t="n">
        <f aca="false">INDEX(Segmentation!$O$2:$O$301,MATCH($A100,Segmentation!$A$2:$A$301,0))</f>
        <v>2</v>
      </c>
      <c r="L100" s="2" t="n">
        <f aca="false">INDEX(Segmentation!$Q$2:$Q$301,MATCH($A100,Segmentation!$A$2:$A$301,0))</f>
        <v>2</v>
      </c>
      <c r="M100" s="2" t="n">
        <f aca="false">INDEX(Segmentation!$W$2:$W$301,MATCH($A100,Segmentation!$A$2:$A$301,0))</f>
        <v>2</v>
      </c>
      <c r="N100" s="2" t="str">
        <f aca="false">INDEX(Segmentation!$AF$2:$AF$301,MATCH($A100,Segmentation!$A$2:$A$301,0))</f>
        <v>Existing Customer</v>
      </c>
      <c r="O100" s="2" t="n">
        <f aca="false">INDEX(Segmentation!$R$2:$R$301,MATCH($A100,Segmentation!$A$2:$A$301,0))</f>
        <v>10</v>
      </c>
      <c r="P100" s="2" t="n">
        <v>210</v>
      </c>
      <c r="Q100" s="2" t="n">
        <f aca="false">INDEX(Segmentation!$S$2:$S$301,MATCH($A100,Segmentation!$A$2:$A$301,0))</f>
        <v>1</v>
      </c>
      <c r="R100" s="2" t="n">
        <v>4</v>
      </c>
      <c r="S100" s="2" t="n">
        <v>1</v>
      </c>
      <c r="T100" s="2" t="n">
        <v>0</v>
      </c>
      <c r="U100" s="2" t="n">
        <v>2</v>
      </c>
      <c r="V100" s="2" t="n">
        <v>100</v>
      </c>
      <c r="W100" s="2" t="str">
        <f aca="false">IF(V100=100,"Bundle-only",IF(V100=0,"Handpick-only","Mixed"))</f>
        <v>Bundle-only</v>
      </c>
      <c r="X100" s="17" t="n">
        <f aca="false">L100/K100</f>
        <v>1</v>
      </c>
      <c r="Y100" s="9" t="n">
        <f aca="false">J100/K100</f>
        <v>420</v>
      </c>
      <c r="Z100" s="10" t="b">
        <f aca="false">O100&gt;=Assumptions!$B$57</f>
        <v>1</v>
      </c>
      <c r="AA100" s="10" t="b">
        <f aca="false">P100&gt;=Assumptions!$B$58</f>
        <v>1</v>
      </c>
      <c r="AB100" s="10" t="b">
        <f aca="false">Q100&gt;=Assumptions!$B$59</f>
        <v>0</v>
      </c>
      <c r="AC100" s="2" t="n">
        <f aca="false">Z100*1+AA100*1+AB100*1</f>
        <v>2</v>
      </c>
      <c r="AD100" s="2" t="str">
        <f aca="false">IF(E100="Broker-Reliant","Broker-led, product-blind",IF(AND(I100="Low",F100&lt;&gt;"Tail",OR(G100="Declining",G100="Lapsed"),OR(O100&gt;=Assumptions!$B$60,P100&gt;=Assumptions!$B$61)),"Engaged but shrinking (Key/Core)",IF(AND(O100&gt;=Assumptions!$B$60,P100&gt;=Assumptions!$B$61,Q100&gt;=Assumptions!$B$62,K100&gt;=Assumptions!$B$63),"Independent browser-buyer",IF(AND(OR(O100&gt;=Assumptions!$B$60,P100&gt;=Assumptions!$B$61),K100&lt;=2),"Engaged, not converting",IF(AND(K100=1,O100&lt;Assumptions!$B$60,P100&lt;Assumptions!$B$61),"One-off low-touch buyer","Light-touch repeat buyer")))))</f>
        <v>Engaged, not converting</v>
      </c>
      <c r="AE100" s="10" t="b">
        <f aca="false">INDEX(Segmentation!$AW$2:$AW$301,MATCH($A100,Segmentation!$A$2:$A$301,0))</f>
        <v>0</v>
      </c>
    </row>
    <row r="101" customFormat="false" ht="15" hidden="false" customHeight="false" outlineLevel="0" collapsed="false">
      <c r="A101" s="2" t="s">
        <v>642</v>
      </c>
      <c r="B101" s="2" t="s">
        <v>1571</v>
      </c>
      <c r="C101" s="2" t="s">
        <v>1640</v>
      </c>
      <c r="D101" s="2" t="s">
        <v>1653</v>
      </c>
      <c r="E101" s="2" t="str">
        <f aca="false">INDEX(Segmentation!$H$2:$H$301,MATCH($A101,Segmentation!$A$2:$A$301,0))</f>
        <v>AM-Owned / Self-Serving</v>
      </c>
      <c r="F101" s="2" t="str">
        <f aca="false">INDEX(Segmentation!$J$2:$J$301,MATCH($A101,Segmentation!$A$2:$A$301,0))</f>
        <v>Tail</v>
      </c>
      <c r="G101" s="2" t="str">
        <f aca="false">INDEX(Segmentation!$N$2:$N$301,MATCH($A101,Segmentation!$A$2:$A$301,0))</f>
        <v>Lapsed</v>
      </c>
      <c r="H101" s="2" t="str">
        <f aca="false">INDEX(Segmentation!$T$2:$T$301,MATCH($A101,Segmentation!$A$2:$A$301,0))</f>
        <v>9. Long-Tail Automated Nurture</v>
      </c>
      <c r="I101" s="2" t="str">
        <f aca="false">INDEX(Segmentation!$G$2:$G$301,MATCH($A101,Segmentation!$A$2:$A$301,0))</f>
        <v>Low</v>
      </c>
      <c r="J101" s="9" t="n">
        <f aca="false">INDEX(Segmentation!$I$2:$I$301,MATCH($A101,Segmentation!$A$2:$A$301,0))</f>
        <v>834</v>
      </c>
      <c r="K101" s="2" t="n">
        <f aca="false">INDEX(Segmentation!$O$2:$O$301,MATCH($A101,Segmentation!$A$2:$A$301,0))</f>
        <v>4</v>
      </c>
      <c r="L101" s="2" t="n">
        <f aca="false">INDEX(Segmentation!$Q$2:$Q$301,MATCH($A101,Segmentation!$A$2:$A$301,0))</f>
        <v>4</v>
      </c>
      <c r="M101" s="2" t="n">
        <f aca="false">INDEX(Segmentation!$W$2:$W$301,MATCH($A101,Segmentation!$A$2:$A$301,0))</f>
        <v>2</v>
      </c>
      <c r="N101" s="2" t="str">
        <f aca="false">INDEX(Segmentation!$AF$2:$AF$301,MATCH($A101,Segmentation!$A$2:$A$301,0))</f>
        <v>Existing Customer</v>
      </c>
      <c r="O101" s="2" t="n">
        <f aca="false">INDEX(Segmentation!$R$2:$R$301,MATCH($A101,Segmentation!$A$2:$A$301,0))</f>
        <v>3</v>
      </c>
      <c r="P101" s="2" t="n">
        <v>4</v>
      </c>
      <c r="Q101" s="2" t="n">
        <f aca="false">INDEX(Segmentation!$S$2:$S$301,MATCH($A101,Segmentation!$A$2:$A$301,0))</f>
        <v>0</v>
      </c>
      <c r="R101" s="2" t="n">
        <v>1</v>
      </c>
      <c r="S101" s="2" t="n">
        <v>0</v>
      </c>
      <c r="T101" s="2" t="n">
        <v>0</v>
      </c>
      <c r="U101" s="2" t="n">
        <v>4</v>
      </c>
      <c r="V101" s="2" t="n">
        <v>100</v>
      </c>
      <c r="W101" s="2" t="str">
        <f aca="false">IF(V101=100,"Bundle-only",IF(V101=0,"Handpick-only","Mixed"))</f>
        <v>Bundle-only</v>
      </c>
      <c r="X101" s="17" t="n">
        <f aca="false">L101/K101</f>
        <v>1</v>
      </c>
      <c r="Y101" s="9" t="n">
        <f aca="false">J101/K101</f>
        <v>208.5</v>
      </c>
      <c r="Z101" s="10" t="b">
        <f aca="false">O101&gt;=Assumptions!$B$57</f>
        <v>0</v>
      </c>
      <c r="AA101" s="10" t="b">
        <f aca="false">P101&gt;=Assumptions!$B$58</f>
        <v>0</v>
      </c>
      <c r="AB101" s="10" t="b">
        <f aca="false">Q101&gt;=Assumptions!$B$59</f>
        <v>0</v>
      </c>
      <c r="AC101" s="2" t="n">
        <f aca="false">Z101*1+AA101*1+AB101*1</f>
        <v>0</v>
      </c>
      <c r="AD101" s="2" t="str">
        <f aca="false">IF(E101="Broker-Reliant","Broker-led, product-blind",IF(AND(I101="Low",F101&lt;&gt;"Tail",OR(G101="Declining",G101="Lapsed"),OR(O101&gt;=Assumptions!$B$60,P101&gt;=Assumptions!$B$61)),"Engaged but shrinking (Key/Core)",IF(AND(O101&gt;=Assumptions!$B$60,P101&gt;=Assumptions!$B$61,Q101&gt;=Assumptions!$B$62,K101&gt;=Assumptions!$B$63),"Independent browser-buyer",IF(AND(OR(O101&gt;=Assumptions!$B$60,P101&gt;=Assumptions!$B$61),K101&lt;=2),"Engaged, not converting",IF(AND(K101=1,O101&lt;Assumptions!$B$60,P101&lt;Assumptions!$B$61),"One-off low-touch buyer","Light-touch repeat buyer")))))</f>
        <v>Light-touch repeat buyer</v>
      </c>
      <c r="AE101" s="10" t="b">
        <f aca="false">INDEX(Segmentation!$AW$2:$AW$301,MATCH($A101,Segmentation!$A$2:$A$301,0))</f>
        <v>0</v>
      </c>
    </row>
    <row r="102" customFormat="false" ht="15" hidden="false" customHeight="false" outlineLevel="0" collapsed="false">
      <c r="A102" s="2" t="s">
        <v>644</v>
      </c>
      <c r="B102" s="2" t="s">
        <v>1571</v>
      </c>
      <c r="C102" s="2" t="s">
        <v>1640</v>
      </c>
      <c r="D102" s="2" t="s">
        <v>1657</v>
      </c>
      <c r="E102" s="2" t="str">
        <f aca="false">INDEX(Segmentation!$H$2:$H$301,MATCH($A102,Segmentation!$A$2:$A$301,0))</f>
        <v>AM-Owned / Self-Serving</v>
      </c>
      <c r="F102" s="2" t="str">
        <f aca="false">INDEX(Segmentation!$J$2:$J$301,MATCH($A102,Segmentation!$A$2:$A$301,0))</f>
        <v>Tail</v>
      </c>
      <c r="G102" s="2" t="str">
        <f aca="false">INDEX(Segmentation!$N$2:$N$301,MATCH($A102,Segmentation!$A$2:$A$301,0))</f>
        <v>H2 Active / No H1 GMV</v>
      </c>
      <c r="H102" s="2" t="str">
        <f aca="false">INDEX(Segmentation!$T$2:$T$301,MATCH($A102,Segmentation!$A$2:$A$301,0))</f>
        <v>9. Long-Tail Automated Nurture</v>
      </c>
      <c r="I102" s="2" t="str">
        <f aca="false">INDEX(Segmentation!$G$2:$G$301,MATCH($A102,Segmentation!$A$2:$A$301,0))</f>
        <v>Low</v>
      </c>
      <c r="J102" s="9" t="n">
        <f aca="false">INDEX(Segmentation!$I$2:$I$301,MATCH($A102,Segmentation!$A$2:$A$301,0))</f>
        <v>788</v>
      </c>
      <c r="K102" s="2" t="n">
        <f aca="false">INDEX(Segmentation!$O$2:$O$301,MATCH($A102,Segmentation!$A$2:$A$301,0))</f>
        <v>2</v>
      </c>
      <c r="L102" s="2" t="n">
        <f aca="false">INDEX(Segmentation!$Q$2:$Q$301,MATCH($A102,Segmentation!$A$2:$A$301,0))</f>
        <v>2</v>
      </c>
      <c r="M102" s="2" t="n">
        <f aca="false">INDEX(Segmentation!$W$2:$W$301,MATCH($A102,Segmentation!$A$2:$A$301,0))</f>
        <v>1</v>
      </c>
      <c r="N102" s="2" t="str">
        <f aca="false">INDEX(Segmentation!$AF$2:$AF$301,MATCH($A102,Segmentation!$A$2:$A$301,0))</f>
        <v>Returned Customer</v>
      </c>
      <c r="O102" s="2" t="n">
        <f aca="false">INDEX(Segmentation!$R$2:$R$301,MATCH($A102,Segmentation!$A$2:$A$301,0))</f>
        <v>19</v>
      </c>
      <c r="P102" s="2" t="n">
        <v>302</v>
      </c>
      <c r="Q102" s="2" t="n">
        <f aca="false">INDEX(Segmentation!$S$2:$S$301,MATCH($A102,Segmentation!$A$2:$A$301,0))</f>
        <v>5</v>
      </c>
      <c r="R102" s="2" t="n">
        <v>15</v>
      </c>
      <c r="S102" s="2" t="n">
        <v>0</v>
      </c>
      <c r="T102" s="2" t="n">
        <v>0</v>
      </c>
      <c r="U102" s="2" t="n">
        <v>2</v>
      </c>
      <c r="V102" s="2" t="n">
        <v>100</v>
      </c>
      <c r="W102" s="2" t="str">
        <f aca="false">IF(V102=100,"Bundle-only",IF(V102=0,"Handpick-only","Mixed"))</f>
        <v>Bundle-only</v>
      </c>
      <c r="X102" s="17" t="n">
        <f aca="false">L102/K102</f>
        <v>1</v>
      </c>
      <c r="Y102" s="9" t="n">
        <f aca="false">J102/K102</f>
        <v>394</v>
      </c>
      <c r="Z102" s="10" t="b">
        <f aca="false">O102&gt;=Assumptions!$B$57</f>
        <v>1</v>
      </c>
      <c r="AA102" s="10" t="b">
        <f aca="false">P102&gt;=Assumptions!$B$58</f>
        <v>1</v>
      </c>
      <c r="AB102" s="10" t="b">
        <f aca="false">Q102&gt;=Assumptions!$B$59</f>
        <v>1</v>
      </c>
      <c r="AC102" s="2" t="n">
        <f aca="false">Z102*1+AA102*1+AB102*1</f>
        <v>3</v>
      </c>
      <c r="AD102" s="2" t="str">
        <f aca="false">IF(E102="Broker-Reliant","Broker-led, product-blind",IF(AND(I102="Low",F102&lt;&gt;"Tail",OR(G102="Declining",G102="Lapsed"),OR(O102&gt;=Assumptions!$B$60,P102&gt;=Assumptions!$B$61)),"Engaged but shrinking (Key/Core)",IF(AND(O102&gt;=Assumptions!$B$60,P102&gt;=Assumptions!$B$61,Q102&gt;=Assumptions!$B$62,K102&gt;=Assumptions!$B$63),"Independent browser-buyer",IF(AND(OR(O102&gt;=Assumptions!$B$60,P102&gt;=Assumptions!$B$61),K102&lt;=2),"Engaged, not converting",IF(AND(K102=1,O102&lt;Assumptions!$B$60,P102&lt;Assumptions!$B$61),"One-off low-touch buyer","Light-touch repeat buyer")))))</f>
        <v>Engaged, not converting</v>
      </c>
      <c r="AE102" s="10" t="b">
        <f aca="false">INDEX(Segmentation!$AW$2:$AW$301,MATCH($A102,Segmentation!$A$2:$A$301,0))</f>
        <v>0</v>
      </c>
    </row>
    <row r="103" customFormat="false" ht="15" hidden="false" customHeight="false" outlineLevel="0" collapsed="false">
      <c r="A103" s="2" t="s">
        <v>647</v>
      </c>
      <c r="B103" s="2" t="s">
        <v>1571</v>
      </c>
      <c r="C103" s="2" t="s">
        <v>1640</v>
      </c>
      <c r="D103" s="2" t="s">
        <v>1657</v>
      </c>
      <c r="E103" s="2" t="str">
        <f aca="false">INDEX(Segmentation!$H$2:$H$301,MATCH($A103,Segmentation!$A$2:$A$301,0))</f>
        <v>AM-Owned / Self-Serving</v>
      </c>
      <c r="F103" s="2" t="str">
        <f aca="false">INDEX(Segmentation!$J$2:$J$301,MATCH($A103,Segmentation!$A$2:$A$301,0))</f>
        <v>Tail</v>
      </c>
      <c r="G103" s="2" t="str">
        <f aca="false">INDEX(Segmentation!$N$2:$N$301,MATCH($A103,Segmentation!$A$2:$A$301,0))</f>
        <v>Lapsed</v>
      </c>
      <c r="H103" s="2" t="str">
        <f aca="false">INDEX(Segmentation!$T$2:$T$301,MATCH($A103,Segmentation!$A$2:$A$301,0))</f>
        <v>9. Long-Tail Automated Nurture</v>
      </c>
      <c r="I103" s="2" t="str">
        <f aca="false">INDEX(Segmentation!$G$2:$G$301,MATCH($A103,Segmentation!$A$2:$A$301,0))</f>
        <v>Low</v>
      </c>
      <c r="J103" s="9" t="n">
        <f aca="false">INDEX(Segmentation!$I$2:$I$301,MATCH($A103,Segmentation!$A$2:$A$301,0))</f>
        <v>763</v>
      </c>
      <c r="K103" s="2" t="n">
        <f aca="false">INDEX(Segmentation!$O$2:$O$301,MATCH($A103,Segmentation!$A$2:$A$301,0))</f>
        <v>2</v>
      </c>
      <c r="L103" s="2" t="n">
        <f aca="false">INDEX(Segmentation!$Q$2:$Q$301,MATCH($A103,Segmentation!$A$2:$A$301,0))</f>
        <v>2</v>
      </c>
      <c r="M103" s="2" t="n">
        <f aca="false">INDEX(Segmentation!$W$2:$W$301,MATCH($A103,Segmentation!$A$2:$A$301,0))</f>
        <v>2</v>
      </c>
      <c r="N103" s="2" t="str">
        <f aca="false">INDEX(Segmentation!$AF$2:$AF$301,MATCH($A103,Segmentation!$A$2:$A$301,0))</f>
        <v>Existing Customer</v>
      </c>
      <c r="O103" s="2" t="n">
        <f aca="false">INDEX(Segmentation!$R$2:$R$301,MATCH($A103,Segmentation!$A$2:$A$301,0))</f>
        <v>15</v>
      </c>
      <c r="P103" s="2" t="n">
        <v>80</v>
      </c>
      <c r="Q103" s="2" t="n">
        <f aca="false">INDEX(Segmentation!$S$2:$S$301,MATCH($A103,Segmentation!$A$2:$A$301,0))</f>
        <v>0</v>
      </c>
      <c r="R103" s="2" t="n">
        <v>2</v>
      </c>
      <c r="S103" s="2" t="n">
        <v>0</v>
      </c>
      <c r="T103" s="2" t="n">
        <v>0</v>
      </c>
      <c r="U103" s="2" t="n">
        <v>2</v>
      </c>
      <c r="V103" s="2" t="n">
        <v>100</v>
      </c>
      <c r="W103" s="2" t="str">
        <f aca="false">IF(V103=100,"Bundle-only",IF(V103=0,"Handpick-only","Mixed"))</f>
        <v>Bundle-only</v>
      </c>
      <c r="X103" s="17" t="n">
        <f aca="false">L103/K103</f>
        <v>1</v>
      </c>
      <c r="Y103" s="9" t="n">
        <f aca="false">J103/K103</f>
        <v>381.5</v>
      </c>
      <c r="Z103" s="10" t="b">
        <f aca="false">O103&gt;=Assumptions!$B$57</f>
        <v>1</v>
      </c>
      <c r="AA103" s="10" t="b">
        <f aca="false">P103&gt;=Assumptions!$B$58</f>
        <v>1</v>
      </c>
      <c r="AB103" s="10" t="b">
        <f aca="false">Q103&gt;=Assumptions!$B$59</f>
        <v>0</v>
      </c>
      <c r="AC103" s="2" t="n">
        <f aca="false">Z103*1+AA103*1+AB103*1</f>
        <v>2</v>
      </c>
      <c r="AD103" s="2" t="str">
        <f aca="false">IF(E103="Broker-Reliant","Broker-led, product-blind",IF(AND(I103="Low",F103&lt;&gt;"Tail",OR(G103="Declining",G103="Lapsed"),OR(O103&gt;=Assumptions!$B$60,P103&gt;=Assumptions!$B$61)),"Engaged but shrinking (Key/Core)",IF(AND(O103&gt;=Assumptions!$B$60,P103&gt;=Assumptions!$B$61,Q103&gt;=Assumptions!$B$62,K103&gt;=Assumptions!$B$63),"Independent browser-buyer",IF(AND(OR(O103&gt;=Assumptions!$B$60,P103&gt;=Assumptions!$B$61),K103&lt;=2),"Engaged, not converting",IF(AND(K103=1,O103&lt;Assumptions!$B$60,P103&lt;Assumptions!$B$61),"One-off low-touch buyer","Light-touch repeat buyer")))))</f>
        <v>Light-touch repeat buyer</v>
      </c>
      <c r="AE103" s="10" t="b">
        <f aca="false">INDEX(Segmentation!$AW$2:$AW$301,MATCH($A103,Segmentation!$A$2:$A$301,0))</f>
        <v>0</v>
      </c>
    </row>
    <row r="104" customFormat="false" ht="15" hidden="false" customHeight="false" outlineLevel="0" collapsed="false">
      <c r="A104" s="2" t="s">
        <v>649</v>
      </c>
      <c r="B104" s="2" t="s">
        <v>1571</v>
      </c>
      <c r="C104" s="2" t="s">
        <v>1640</v>
      </c>
      <c r="D104" s="2" t="s">
        <v>1657</v>
      </c>
      <c r="E104" s="2" t="str">
        <f aca="false">INDEX(Segmentation!$H$2:$H$301,MATCH($A104,Segmentation!$A$2:$A$301,0))</f>
        <v>AM-Owned / Self-Serving</v>
      </c>
      <c r="F104" s="2" t="str">
        <f aca="false">INDEX(Segmentation!$J$2:$J$301,MATCH($A104,Segmentation!$A$2:$A$301,0))</f>
        <v>Tail</v>
      </c>
      <c r="G104" s="2" t="str">
        <f aca="false">INDEX(Segmentation!$N$2:$N$301,MATCH($A104,Segmentation!$A$2:$A$301,0))</f>
        <v>Lapsed</v>
      </c>
      <c r="H104" s="2" t="str">
        <f aca="false">INDEX(Segmentation!$T$2:$T$301,MATCH($A104,Segmentation!$A$2:$A$301,0))</f>
        <v>9. Long-Tail Automated Nurture</v>
      </c>
      <c r="I104" s="2" t="str">
        <f aca="false">INDEX(Segmentation!$G$2:$G$301,MATCH($A104,Segmentation!$A$2:$A$301,0))</f>
        <v>Low</v>
      </c>
      <c r="J104" s="9" t="n">
        <f aca="false">INDEX(Segmentation!$I$2:$I$301,MATCH($A104,Segmentation!$A$2:$A$301,0))</f>
        <v>757</v>
      </c>
      <c r="K104" s="2" t="n">
        <f aca="false">INDEX(Segmentation!$O$2:$O$301,MATCH($A104,Segmentation!$A$2:$A$301,0))</f>
        <v>1</v>
      </c>
      <c r="L104" s="2" t="n">
        <f aca="false">INDEX(Segmentation!$Q$2:$Q$301,MATCH($A104,Segmentation!$A$2:$A$301,0))</f>
        <v>1</v>
      </c>
      <c r="M104" s="2" t="n">
        <f aca="false">INDEX(Segmentation!$W$2:$W$301,MATCH($A104,Segmentation!$A$2:$A$301,0))</f>
        <v>1</v>
      </c>
      <c r="N104" s="2" t="str">
        <f aca="false">INDEX(Segmentation!$AF$2:$AF$301,MATCH($A104,Segmentation!$A$2:$A$301,0))</f>
        <v>Existing Customer</v>
      </c>
      <c r="O104" s="2" t="n">
        <f aca="false">INDEX(Segmentation!$R$2:$R$301,MATCH($A104,Segmentation!$A$2:$A$301,0))</f>
        <v>42</v>
      </c>
      <c r="P104" s="2" t="n">
        <v>329</v>
      </c>
      <c r="Q104" s="2" t="n">
        <f aca="false">INDEX(Segmentation!$S$2:$S$301,MATCH($A104,Segmentation!$A$2:$A$301,0))</f>
        <v>1</v>
      </c>
      <c r="R104" s="2" t="n">
        <v>96</v>
      </c>
      <c r="S104" s="2" t="n">
        <v>0</v>
      </c>
      <c r="T104" s="2" t="n">
        <v>1</v>
      </c>
      <c r="U104" s="2" t="n">
        <v>0</v>
      </c>
      <c r="V104" s="2" t="n">
        <v>0</v>
      </c>
      <c r="W104" s="2" t="str">
        <f aca="false">IF(V104=100,"Bundle-only",IF(V104=0,"Handpick-only","Mixed"))</f>
        <v>Handpick-only</v>
      </c>
      <c r="X104" s="17" t="n">
        <f aca="false">L104/K104</f>
        <v>1</v>
      </c>
      <c r="Y104" s="9" t="n">
        <f aca="false">J104/K104</f>
        <v>757</v>
      </c>
      <c r="Z104" s="10" t="b">
        <f aca="false">O104&gt;=Assumptions!$B$57</f>
        <v>1</v>
      </c>
      <c r="AA104" s="10" t="b">
        <f aca="false">P104&gt;=Assumptions!$B$58</f>
        <v>1</v>
      </c>
      <c r="AB104" s="10" t="b">
        <f aca="false">Q104&gt;=Assumptions!$B$59</f>
        <v>0</v>
      </c>
      <c r="AC104" s="2" t="n">
        <f aca="false">Z104*1+AA104*1+AB104*1</f>
        <v>2</v>
      </c>
      <c r="AD104" s="2" t="str">
        <f aca="false">IF(E104="Broker-Reliant","Broker-led, product-blind",IF(AND(I104="Low",F104&lt;&gt;"Tail",OR(G104="Declining",G104="Lapsed"),OR(O104&gt;=Assumptions!$B$60,P104&gt;=Assumptions!$B$61)),"Engaged but shrinking (Key/Core)",IF(AND(O104&gt;=Assumptions!$B$60,P104&gt;=Assumptions!$B$61,Q104&gt;=Assumptions!$B$62,K104&gt;=Assumptions!$B$63),"Independent browser-buyer",IF(AND(OR(O104&gt;=Assumptions!$B$60,P104&gt;=Assumptions!$B$61),K104&lt;=2),"Engaged, not converting",IF(AND(K104=1,O104&lt;Assumptions!$B$60,P104&lt;Assumptions!$B$61),"One-off low-touch buyer","Light-touch repeat buyer")))))</f>
        <v>Engaged, not converting</v>
      </c>
      <c r="AE104" s="10" t="b">
        <f aca="false">INDEX(Segmentation!$AW$2:$AW$301,MATCH($A104,Segmentation!$A$2:$A$301,0))</f>
        <v>0</v>
      </c>
    </row>
    <row r="105" customFormat="false" ht="15" hidden="false" customHeight="false" outlineLevel="0" collapsed="false">
      <c r="A105" s="2" t="s">
        <v>556</v>
      </c>
      <c r="B105" s="2" t="s">
        <v>1571</v>
      </c>
      <c r="C105" s="2" t="s">
        <v>1640</v>
      </c>
      <c r="D105" s="2" t="s">
        <v>1658</v>
      </c>
      <c r="E105" s="2" t="str">
        <f aca="false">INDEX(Segmentation!$H$2:$H$301,MATCH($A105,Segmentation!$A$2:$A$301,0))</f>
        <v>Broker-Reliant</v>
      </c>
      <c r="F105" s="2" t="str">
        <f aca="false">INDEX(Segmentation!$J$2:$J$301,MATCH($A105,Segmentation!$A$2:$A$301,0))</f>
        <v>Tail</v>
      </c>
      <c r="G105" s="2" t="str">
        <f aca="false">INDEX(Segmentation!$N$2:$N$301,MATCH($A105,Segmentation!$A$2:$A$301,0))</f>
        <v>Stable</v>
      </c>
      <c r="H105" s="2" t="str">
        <f aca="false">INDEX(Segmentation!$T$2:$T$301,MATCH($A105,Segmentation!$A$2:$A$301,0))</f>
        <v>5. Cost-to-Serve / Low-Touch</v>
      </c>
      <c r="I105" s="2" t="str">
        <f aca="false">INDEX(Segmentation!$G$2:$G$301,MATCH($A105,Segmentation!$A$2:$A$301,0))</f>
        <v>Medium</v>
      </c>
      <c r="J105" s="9" t="n">
        <f aca="false">INDEX(Segmentation!$I$2:$I$301,MATCH($A105,Segmentation!$A$2:$A$301,0))</f>
        <v>718</v>
      </c>
      <c r="K105" s="2" t="n">
        <f aca="false">INDEX(Segmentation!$O$2:$O$301,MATCH($A105,Segmentation!$A$2:$A$301,0))</f>
        <v>2</v>
      </c>
      <c r="L105" s="2" t="n">
        <f aca="false">INDEX(Segmentation!$Q$2:$Q$301,MATCH($A105,Segmentation!$A$2:$A$301,0))</f>
        <v>1</v>
      </c>
      <c r="M105" s="2" t="n">
        <f aca="false">INDEX(Segmentation!$W$2:$W$301,MATCH($A105,Segmentation!$A$2:$A$301,0))</f>
        <v>2</v>
      </c>
      <c r="N105" s="2" t="str">
        <f aca="false">INDEX(Segmentation!$AF$2:$AF$301,MATCH($A105,Segmentation!$A$2:$A$301,0))</f>
        <v>Existing Customer</v>
      </c>
      <c r="O105" s="2" t="n">
        <f aca="false">INDEX(Segmentation!$R$2:$R$301,MATCH($A105,Segmentation!$A$2:$A$301,0))</f>
        <v>3</v>
      </c>
      <c r="P105" s="2" t="n">
        <v>12</v>
      </c>
      <c r="Q105" s="2" t="n">
        <f aca="false">INDEX(Segmentation!$S$2:$S$301,MATCH($A105,Segmentation!$A$2:$A$301,0))</f>
        <v>2</v>
      </c>
      <c r="R105" s="2" t="n">
        <v>25</v>
      </c>
      <c r="S105" s="2" t="n">
        <v>0</v>
      </c>
      <c r="T105" s="2" t="n">
        <v>0</v>
      </c>
      <c r="U105" s="2" t="n">
        <v>2</v>
      </c>
      <c r="V105" s="2" t="n">
        <v>100</v>
      </c>
      <c r="W105" s="2" t="str">
        <f aca="false">IF(V105=100,"Bundle-only",IF(V105=0,"Handpick-only","Mixed"))</f>
        <v>Bundle-only</v>
      </c>
      <c r="X105" s="17" t="n">
        <f aca="false">L105/K105</f>
        <v>0.5</v>
      </c>
      <c r="Y105" s="9" t="n">
        <f aca="false">J105/K105</f>
        <v>359</v>
      </c>
      <c r="Z105" s="10" t="b">
        <f aca="false">O105&gt;=Assumptions!$B$57</f>
        <v>0</v>
      </c>
      <c r="AA105" s="10" t="b">
        <f aca="false">P105&gt;=Assumptions!$B$58</f>
        <v>0</v>
      </c>
      <c r="AB105" s="10" t="b">
        <f aca="false">Q105&gt;=Assumptions!$B$59</f>
        <v>0</v>
      </c>
      <c r="AC105" s="2" t="n">
        <f aca="false">Z105*1+AA105*1+AB105*1</f>
        <v>0</v>
      </c>
      <c r="AD105" s="2" t="str">
        <f aca="false">IF(E105="Broker-Reliant","Broker-led, product-blind",IF(AND(I105="Low",F105&lt;&gt;"Tail",OR(G105="Declining",G105="Lapsed"),OR(O105&gt;=Assumptions!$B$60,P105&gt;=Assumptions!$B$61)),"Engaged but shrinking (Key/Core)",IF(AND(O105&gt;=Assumptions!$B$60,P105&gt;=Assumptions!$B$61,Q105&gt;=Assumptions!$B$62,K105&gt;=Assumptions!$B$63),"Independent browser-buyer",IF(AND(OR(O105&gt;=Assumptions!$B$60,P105&gt;=Assumptions!$B$61),K105&lt;=2),"Engaged, not converting",IF(AND(K105=1,O105&lt;Assumptions!$B$60,P105&lt;Assumptions!$B$61),"One-off low-touch buyer","Light-touch repeat buyer")))))</f>
        <v>Broker-led, product-blind</v>
      </c>
      <c r="AE105" s="10" t="b">
        <f aca="false">INDEX(Segmentation!$AW$2:$AW$301,MATCH($A105,Segmentation!$A$2:$A$301,0))</f>
        <v>0</v>
      </c>
    </row>
    <row r="106" customFormat="false" ht="15" hidden="false" customHeight="false" outlineLevel="0" collapsed="false">
      <c r="A106" s="2" t="s">
        <v>651</v>
      </c>
      <c r="B106" s="2" t="s">
        <v>1571</v>
      </c>
      <c r="C106" s="2" t="s">
        <v>1640</v>
      </c>
      <c r="D106" s="2" t="s">
        <v>1655</v>
      </c>
      <c r="E106" s="2" t="str">
        <f aca="false">INDEX(Segmentation!$H$2:$H$301,MATCH($A106,Segmentation!$A$2:$A$301,0))</f>
        <v>Broker-Reliant</v>
      </c>
      <c r="F106" s="2" t="str">
        <f aca="false">INDEX(Segmentation!$J$2:$J$301,MATCH($A106,Segmentation!$A$2:$A$301,0))</f>
        <v>Tail</v>
      </c>
      <c r="G106" s="2" t="str">
        <f aca="false">INDEX(Segmentation!$N$2:$N$301,MATCH($A106,Segmentation!$A$2:$A$301,0))</f>
        <v>Lapsed</v>
      </c>
      <c r="H106" s="2" t="str">
        <f aca="false">INDEX(Segmentation!$T$2:$T$301,MATCH($A106,Segmentation!$A$2:$A$301,0))</f>
        <v>5. Cost-to-Serve / Low-Touch</v>
      </c>
      <c r="I106" s="2" t="str">
        <f aca="false">INDEX(Segmentation!$G$2:$G$301,MATCH($A106,Segmentation!$A$2:$A$301,0))</f>
        <v>High</v>
      </c>
      <c r="J106" s="9" t="n">
        <f aca="false">INDEX(Segmentation!$I$2:$I$301,MATCH($A106,Segmentation!$A$2:$A$301,0))</f>
        <v>710</v>
      </c>
      <c r="K106" s="2" t="n">
        <f aca="false">INDEX(Segmentation!$O$2:$O$301,MATCH($A106,Segmentation!$A$2:$A$301,0))</f>
        <v>1</v>
      </c>
      <c r="L106" s="2" t="n">
        <f aca="false">INDEX(Segmentation!$Q$2:$Q$301,MATCH($A106,Segmentation!$A$2:$A$301,0))</f>
        <v>0</v>
      </c>
      <c r="M106" s="2" t="n">
        <f aca="false">INDEX(Segmentation!$W$2:$W$301,MATCH($A106,Segmentation!$A$2:$A$301,0))</f>
        <v>1</v>
      </c>
      <c r="N106" s="2" t="str">
        <f aca="false">INDEX(Segmentation!$AF$2:$AF$301,MATCH($A106,Segmentation!$A$2:$A$301,0))</f>
        <v>Existing Customer</v>
      </c>
      <c r="O106" s="2" t="n">
        <f aca="false">INDEX(Segmentation!$R$2:$R$301,MATCH($A106,Segmentation!$A$2:$A$301,0))</f>
        <v>4</v>
      </c>
      <c r="P106" s="2" t="n">
        <v>5</v>
      </c>
      <c r="Q106" s="2" t="n">
        <f aca="false">INDEX(Segmentation!$S$2:$S$301,MATCH($A106,Segmentation!$A$2:$A$301,0))</f>
        <v>1</v>
      </c>
      <c r="R106" s="2" t="n">
        <v>2</v>
      </c>
      <c r="S106" s="2" t="n">
        <v>0</v>
      </c>
      <c r="T106" s="2" t="n">
        <v>0</v>
      </c>
      <c r="U106" s="2" t="n">
        <v>1</v>
      </c>
      <c r="V106" s="2" t="n">
        <v>100</v>
      </c>
      <c r="W106" s="2" t="str">
        <f aca="false">IF(V106=100,"Bundle-only",IF(V106=0,"Handpick-only","Mixed"))</f>
        <v>Bundle-only</v>
      </c>
      <c r="X106" s="17" t="n">
        <f aca="false">L106/K106</f>
        <v>0</v>
      </c>
      <c r="Y106" s="9" t="n">
        <f aca="false">J106/K106</f>
        <v>710</v>
      </c>
      <c r="Z106" s="10" t="b">
        <f aca="false">O106&gt;=Assumptions!$B$57</f>
        <v>0</v>
      </c>
      <c r="AA106" s="10" t="b">
        <f aca="false">P106&gt;=Assumptions!$B$58</f>
        <v>0</v>
      </c>
      <c r="AB106" s="10" t="b">
        <f aca="false">Q106&gt;=Assumptions!$B$59</f>
        <v>0</v>
      </c>
      <c r="AC106" s="2" t="n">
        <f aca="false">Z106*1+AA106*1+AB106*1</f>
        <v>0</v>
      </c>
      <c r="AD106" s="2" t="str">
        <f aca="false">IF(E106="Broker-Reliant","Broker-led, product-blind",IF(AND(I106="Low",F106&lt;&gt;"Tail",OR(G106="Declining",G106="Lapsed"),OR(O106&gt;=Assumptions!$B$60,P106&gt;=Assumptions!$B$61)),"Engaged but shrinking (Key/Core)",IF(AND(O106&gt;=Assumptions!$B$60,P106&gt;=Assumptions!$B$61,Q106&gt;=Assumptions!$B$62,K106&gt;=Assumptions!$B$63),"Independent browser-buyer",IF(AND(OR(O106&gt;=Assumptions!$B$60,P106&gt;=Assumptions!$B$61),K106&lt;=2),"Engaged, not converting",IF(AND(K106=1,O106&lt;Assumptions!$B$60,P106&lt;Assumptions!$B$61),"One-off low-touch buyer","Light-touch repeat buyer")))))</f>
        <v>Broker-led, product-blind</v>
      </c>
      <c r="AE106" s="10" t="b">
        <f aca="false">INDEX(Segmentation!$AW$2:$AW$301,MATCH($A106,Segmentation!$A$2:$A$301,0))</f>
        <v>0</v>
      </c>
    </row>
    <row r="107" customFormat="false" ht="15" hidden="false" customHeight="false" outlineLevel="0" collapsed="false">
      <c r="A107" s="2" t="s">
        <v>653</v>
      </c>
      <c r="B107" s="2" t="s">
        <v>1571</v>
      </c>
      <c r="C107" s="2" t="s">
        <v>1640</v>
      </c>
      <c r="D107" s="2" t="s">
        <v>1658</v>
      </c>
      <c r="E107" s="2" t="str">
        <f aca="false">INDEX(Segmentation!$H$2:$H$301,MATCH($A107,Segmentation!$A$2:$A$301,0))</f>
        <v>AM-Owned / Self-Serving</v>
      </c>
      <c r="F107" s="2" t="str">
        <f aca="false">INDEX(Segmentation!$J$2:$J$301,MATCH($A107,Segmentation!$A$2:$A$301,0))</f>
        <v>Tail</v>
      </c>
      <c r="G107" s="2" t="str">
        <f aca="false">INDEX(Segmentation!$N$2:$N$301,MATCH($A107,Segmentation!$A$2:$A$301,0))</f>
        <v>H2 Active / No H1 GMV</v>
      </c>
      <c r="H107" s="2" t="str">
        <f aca="false">INDEX(Segmentation!$T$2:$T$301,MATCH($A107,Segmentation!$A$2:$A$301,0))</f>
        <v>9. Long-Tail Automated Nurture</v>
      </c>
      <c r="I107" s="2" t="str">
        <f aca="false">INDEX(Segmentation!$G$2:$G$301,MATCH($A107,Segmentation!$A$2:$A$301,0))</f>
        <v>Low</v>
      </c>
      <c r="J107" s="9" t="n">
        <f aca="false">INDEX(Segmentation!$I$2:$I$301,MATCH($A107,Segmentation!$A$2:$A$301,0))</f>
        <v>680</v>
      </c>
      <c r="K107" s="2" t="n">
        <f aca="false">INDEX(Segmentation!$O$2:$O$301,MATCH($A107,Segmentation!$A$2:$A$301,0))</f>
        <v>1</v>
      </c>
      <c r="L107" s="2" t="n">
        <f aca="false">INDEX(Segmentation!$Q$2:$Q$301,MATCH($A107,Segmentation!$A$2:$A$301,0))</f>
        <v>1</v>
      </c>
      <c r="M107" s="2" t="n">
        <f aca="false">INDEX(Segmentation!$W$2:$W$301,MATCH($A107,Segmentation!$A$2:$A$301,0))</f>
        <v>1</v>
      </c>
      <c r="N107" s="2" t="str">
        <f aca="false">INDEX(Segmentation!$AF$2:$AF$301,MATCH($A107,Segmentation!$A$2:$A$301,0))</f>
        <v>Returned Customer</v>
      </c>
      <c r="O107" s="2" t="n">
        <f aca="false">INDEX(Segmentation!$R$2:$R$301,MATCH($A107,Segmentation!$A$2:$A$301,0))</f>
        <v>28</v>
      </c>
      <c r="P107" s="2" t="n">
        <v>119</v>
      </c>
      <c r="Q107" s="2" t="n">
        <f aca="false">INDEX(Segmentation!$S$2:$S$301,MATCH($A107,Segmentation!$A$2:$A$301,0))</f>
        <v>3</v>
      </c>
      <c r="R107" s="2" t="n">
        <v>96</v>
      </c>
      <c r="S107" s="2" t="n">
        <v>0</v>
      </c>
      <c r="T107" s="2" t="n">
        <v>1</v>
      </c>
      <c r="U107" s="2" t="n">
        <v>0</v>
      </c>
      <c r="V107" s="2" t="n">
        <v>0</v>
      </c>
      <c r="W107" s="2" t="str">
        <f aca="false">IF(V107=100,"Bundle-only",IF(V107=0,"Handpick-only","Mixed"))</f>
        <v>Handpick-only</v>
      </c>
      <c r="X107" s="17" t="n">
        <f aca="false">L107/K107</f>
        <v>1</v>
      </c>
      <c r="Y107" s="9" t="n">
        <f aca="false">J107/K107</f>
        <v>680</v>
      </c>
      <c r="Z107" s="10" t="b">
        <f aca="false">O107&gt;=Assumptions!$B$57</f>
        <v>1</v>
      </c>
      <c r="AA107" s="10" t="b">
        <f aca="false">P107&gt;=Assumptions!$B$58</f>
        <v>1</v>
      </c>
      <c r="AB107" s="10" t="b">
        <f aca="false">Q107&gt;=Assumptions!$B$59</f>
        <v>1</v>
      </c>
      <c r="AC107" s="2" t="n">
        <f aca="false">Z107*1+AA107*1+AB107*1</f>
        <v>3</v>
      </c>
      <c r="AD107" s="2" t="str">
        <f aca="false">IF(E107="Broker-Reliant","Broker-led, product-blind",IF(AND(I107="Low",F107&lt;&gt;"Tail",OR(G107="Declining",G107="Lapsed"),OR(O107&gt;=Assumptions!$B$60,P107&gt;=Assumptions!$B$61)),"Engaged but shrinking (Key/Core)",IF(AND(O107&gt;=Assumptions!$B$60,P107&gt;=Assumptions!$B$61,Q107&gt;=Assumptions!$B$62,K107&gt;=Assumptions!$B$63),"Independent browser-buyer",IF(AND(OR(O107&gt;=Assumptions!$B$60,P107&gt;=Assumptions!$B$61),K107&lt;=2),"Engaged, not converting",IF(AND(K107=1,O107&lt;Assumptions!$B$60,P107&lt;Assumptions!$B$61),"One-off low-touch buyer","Light-touch repeat buyer")))))</f>
        <v>Engaged, not converting</v>
      </c>
      <c r="AE107" s="10" t="b">
        <f aca="false">INDEX(Segmentation!$AW$2:$AW$301,MATCH($A107,Segmentation!$A$2:$A$301,0))</f>
        <v>0</v>
      </c>
    </row>
    <row r="108" customFormat="false" ht="15" hidden="false" customHeight="false" outlineLevel="0" collapsed="false">
      <c r="A108" s="2" t="s">
        <v>655</v>
      </c>
      <c r="B108" s="2" t="s">
        <v>1571</v>
      </c>
      <c r="C108" s="2" t="s">
        <v>1641</v>
      </c>
      <c r="D108" s="2" t="s">
        <v>1653</v>
      </c>
      <c r="E108" s="2" t="str">
        <f aca="false">INDEX(Segmentation!$H$2:$H$301,MATCH($A108,Segmentation!$A$2:$A$301,0))</f>
        <v>Broker-Reliant</v>
      </c>
      <c r="F108" s="2" t="str">
        <f aca="false">INDEX(Segmentation!$J$2:$J$301,MATCH($A108,Segmentation!$A$2:$A$301,0))</f>
        <v>Tail</v>
      </c>
      <c r="G108" s="2" t="str">
        <f aca="false">INDEX(Segmentation!$N$2:$N$301,MATCH($A108,Segmentation!$A$2:$A$301,0))</f>
        <v>Lapsed</v>
      </c>
      <c r="H108" s="2" t="str">
        <f aca="false">INDEX(Segmentation!$T$2:$T$301,MATCH($A108,Segmentation!$A$2:$A$301,0))</f>
        <v>5. Cost-to-Serve / Low-Touch</v>
      </c>
      <c r="I108" s="2" t="str">
        <f aca="false">INDEX(Segmentation!$G$2:$G$301,MATCH($A108,Segmentation!$A$2:$A$301,0))</f>
        <v>High</v>
      </c>
      <c r="J108" s="9" t="n">
        <f aca="false">INDEX(Segmentation!$I$2:$I$301,MATCH($A108,Segmentation!$A$2:$A$301,0))</f>
        <v>675</v>
      </c>
      <c r="K108" s="2" t="n">
        <f aca="false">INDEX(Segmentation!$O$2:$O$301,MATCH($A108,Segmentation!$A$2:$A$301,0))</f>
        <v>2</v>
      </c>
      <c r="L108" s="2" t="n">
        <f aca="false">INDEX(Segmentation!$Q$2:$Q$301,MATCH($A108,Segmentation!$A$2:$A$301,0))</f>
        <v>0</v>
      </c>
      <c r="M108" s="2" t="n">
        <f aca="false">INDEX(Segmentation!$W$2:$W$301,MATCH($A108,Segmentation!$A$2:$A$301,0))</f>
        <v>2</v>
      </c>
      <c r="N108" s="2" t="str">
        <f aca="false">INDEX(Segmentation!$AF$2:$AF$301,MATCH($A108,Segmentation!$A$2:$A$301,0))</f>
        <v>Existing Customer</v>
      </c>
      <c r="O108" s="2" t="n">
        <f aca="false">INDEX(Segmentation!$R$2:$R$301,MATCH($A108,Segmentation!$A$2:$A$301,0))</f>
        <v>2</v>
      </c>
      <c r="P108" s="2" t="n">
        <v>2</v>
      </c>
      <c r="Q108" s="2" t="n">
        <f aca="false">INDEX(Segmentation!$S$2:$S$301,MATCH($A108,Segmentation!$A$2:$A$301,0))</f>
        <v>2</v>
      </c>
      <c r="R108" s="2" t="n">
        <v>8</v>
      </c>
      <c r="S108" s="2" t="n">
        <v>1</v>
      </c>
      <c r="T108" s="2" t="n">
        <v>0</v>
      </c>
      <c r="U108" s="2" t="n">
        <v>2</v>
      </c>
      <c r="V108" s="2" t="n">
        <v>100</v>
      </c>
      <c r="W108" s="2" t="str">
        <f aca="false">IF(V108=100,"Bundle-only",IF(V108=0,"Handpick-only","Mixed"))</f>
        <v>Bundle-only</v>
      </c>
      <c r="X108" s="17" t="n">
        <f aca="false">L108/K108</f>
        <v>0</v>
      </c>
      <c r="Y108" s="9" t="n">
        <f aca="false">J108/K108</f>
        <v>337.5</v>
      </c>
      <c r="Z108" s="10" t="b">
        <f aca="false">O108&gt;=Assumptions!$B$57</f>
        <v>0</v>
      </c>
      <c r="AA108" s="10" t="b">
        <f aca="false">P108&gt;=Assumptions!$B$58</f>
        <v>0</v>
      </c>
      <c r="AB108" s="10" t="b">
        <f aca="false">Q108&gt;=Assumptions!$B$59</f>
        <v>0</v>
      </c>
      <c r="AC108" s="2" t="n">
        <f aca="false">Z108*1+AA108*1+AB108*1</f>
        <v>0</v>
      </c>
      <c r="AD108" s="2" t="str">
        <f aca="false">IF(E108="Broker-Reliant","Broker-led, product-blind",IF(AND(I108="Low",F108&lt;&gt;"Tail",OR(G108="Declining",G108="Lapsed"),OR(O108&gt;=Assumptions!$B$60,P108&gt;=Assumptions!$B$61)),"Engaged but shrinking (Key/Core)",IF(AND(O108&gt;=Assumptions!$B$60,P108&gt;=Assumptions!$B$61,Q108&gt;=Assumptions!$B$62,K108&gt;=Assumptions!$B$63),"Independent browser-buyer",IF(AND(OR(O108&gt;=Assumptions!$B$60,P108&gt;=Assumptions!$B$61),K108&lt;=2),"Engaged, not converting",IF(AND(K108=1,O108&lt;Assumptions!$B$60,P108&lt;Assumptions!$B$61),"One-off low-touch buyer","Light-touch repeat buyer")))))</f>
        <v>Broker-led, product-blind</v>
      </c>
      <c r="AE108" s="10" t="b">
        <f aca="false">INDEX(Segmentation!$AW$2:$AW$301,MATCH($A108,Segmentation!$A$2:$A$301,0))</f>
        <v>0</v>
      </c>
    </row>
    <row r="109" customFormat="false" ht="15" hidden="false" customHeight="false" outlineLevel="0" collapsed="false">
      <c r="A109" s="2" t="s">
        <v>657</v>
      </c>
      <c r="B109" s="2" t="s">
        <v>1571</v>
      </c>
      <c r="C109" s="2" t="s">
        <v>1640</v>
      </c>
      <c r="D109" s="2" t="s">
        <v>1653</v>
      </c>
      <c r="E109" s="2" t="str">
        <f aca="false">INDEX(Segmentation!$H$2:$H$301,MATCH($A109,Segmentation!$A$2:$A$301,0))</f>
        <v>AM-Owned / Self-Serving</v>
      </c>
      <c r="F109" s="2" t="str">
        <f aca="false">INDEX(Segmentation!$J$2:$J$301,MATCH($A109,Segmentation!$A$2:$A$301,0))</f>
        <v>Tail</v>
      </c>
      <c r="G109" s="2" t="str">
        <f aca="false">INDEX(Segmentation!$N$2:$N$301,MATCH($A109,Segmentation!$A$2:$A$301,0))</f>
        <v>Declining</v>
      </c>
      <c r="H109" s="2" t="str">
        <f aca="false">INDEX(Segmentation!$T$2:$T$301,MATCH($A109,Segmentation!$A$2:$A$301,0))</f>
        <v>9. Long-Tail Automated Nurture</v>
      </c>
      <c r="I109" s="2" t="str">
        <f aca="false">INDEX(Segmentation!$G$2:$G$301,MATCH($A109,Segmentation!$A$2:$A$301,0))</f>
        <v>Low</v>
      </c>
      <c r="J109" s="9" t="n">
        <f aca="false">INDEX(Segmentation!$I$2:$I$301,MATCH($A109,Segmentation!$A$2:$A$301,0))</f>
        <v>663</v>
      </c>
      <c r="K109" s="2" t="n">
        <f aca="false">INDEX(Segmentation!$O$2:$O$301,MATCH($A109,Segmentation!$A$2:$A$301,0))</f>
        <v>6</v>
      </c>
      <c r="L109" s="2" t="n">
        <f aca="false">INDEX(Segmentation!$Q$2:$Q$301,MATCH($A109,Segmentation!$A$2:$A$301,0))</f>
        <v>5</v>
      </c>
      <c r="M109" s="2" t="n">
        <f aca="false">INDEX(Segmentation!$W$2:$W$301,MATCH($A109,Segmentation!$A$2:$A$301,0))</f>
        <v>3</v>
      </c>
      <c r="N109" s="2" t="str">
        <f aca="false">INDEX(Segmentation!$AF$2:$AF$301,MATCH($A109,Segmentation!$A$2:$A$301,0))</f>
        <v>Existing Customer</v>
      </c>
      <c r="O109" s="2" t="n">
        <f aca="false">INDEX(Segmentation!$R$2:$R$301,MATCH($A109,Segmentation!$A$2:$A$301,0))</f>
        <v>19</v>
      </c>
      <c r="P109" s="2" t="n">
        <v>227</v>
      </c>
      <c r="Q109" s="2" t="n">
        <f aca="false">INDEX(Segmentation!$S$2:$S$301,MATCH($A109,Segmentation!$A$2:$A$301,0))</f>
        <v>5</v>
      </c>
      <c r="R109" s="2" t="n">
        <v>4</v>
      </c>
      <c r="S109" s="2" t="n">
        <v>0</v>
      </c>
      <c r="T109" s="2" t="n">
        <v>1</v>
      </c>
      <c r="U109" s="2" t="n">
        <v>5</v>
      </c>
      <c r="V109" s="2" t="n">
        <v>79</v>
      </c>
      <c r="W109" s="2" t="str">
        <f aca="false">IF(V109=100,"Bundle-only",IF(V109=0,"Handpick-only","Mixed"))</f>
        <v>Mixed</v>
      </c>
      <c r="X109" s="17" t="n">
        <f aca="false">L109/K109</f>
        <v>0.833333333333333</v>
      </c>
      <c r="Y109" s="9" t="n">
        <f aca="false">J109/K109</f>
        <v>110.5</v>
      </c>
      <c r="Z109" s="10" t="b">
        <f aca="false">O109&gt;=Assumptions!$B$57</f>
        <v>1</v>
      </c>
      <c r="AA109" s="10" t="b">
        <f aca="false">P109&gt;=Assumptions!$B$58</f>
        <v>1</v>
      </c>
      <c r="AB109" s="10" t="b">
        <f aca="false">Q109&gt;=Assumptions!$B$59</f>
        <v>1</v>
      </c>
      <c r="AC109" s="2" t="n">
        <f aca="false">Z109*1+AA109*1+AB109*1</f>
        <v>3</v>
      </c>
      <c r="AD109" s="2" t="str">
        <f aca="false">IF(E109="Broker-Reliant","Broker-led, product-blind",IF(AND(I109="Low",F109&lt;&gt;"Tail",OR(G109="Declining",G109="Lapsed"),OR(O109&gt;=Assumptions!$B$60,P109&gt;=Assumptions!$B$61)),"Engaged but shrinking (Key/Core)",IF(AND(O109&gt;=Assumptions!$B$60,P109&gt;=Assumptions!$B$61,Q109&gt;=Assumptions!$B$62,K109&gt;=Assumptions!$B$63),"Independent browser-buyer",IF(AND(OR(O109&gt;=Assumptions!$B$60,P109&gt;=Assumptions!$B$61),K109&lt;=2),"Engaged, not converting",IF(AND(K109=1,O109&lt;Assumptions!$B$60,P109&lt;Assumptions!$B$61),"One-off low-touch buyer","Light-touch repeat buyer")))))</f>
        <v>Light-touch repeat buyer</v>
      </c>
      <c r="AE109" s="10" t="b">
        <f aca="false">INDEX(Segmentation!$AW$2:$AW$301,MATCH($A109,Segmentation!$A$2:$A$301,0))</f>
        <v>0</v>
      </c>
    </row>
    <row r="110" customFormat="false" ht="15" hidden="false" customHeight="false" outlineLevel="0" collapsed="false">
      <c r="A110" s="2" t="s">
        <v>661</v>
      </c>
      <c r="B110" s="2" t="s">
        <v>1571</v>
      </c>
      <c r="C110" s="2" t="s">
        <v>1640</v>
      </c>
      <c r="D110" s="2" t="s">
        <v>1654</v>
      </c>
      <c r="E110" s="2" t="str">
        <f aca="false">INDEX(Segmentation!$H$2:$H$301,MATCH($A110,Segmentation!$A$2:$A$301,0))</f>
        <v>AM-Owned / Self-Serving</v>
      </c>
      <c r="F110" s="2" t="str">
        <f aca="false">INDEX(Segmentation!$J$2:$J$301,MATCH($A110,Segmentation!$A$2:$A$301,0))</f>
        <v>Tail</v>
      </c>
      <c r="G110" s="2" t="str">
        <f aca="false">INDEX(Segmentation!$N$2:$N$301,MATCH($A110,Segmentation!$A$2:$A$301,0))</f>
        <v>Growing</v>
      </c>
      <c r="H110" s="2" t="str">
        <f aca="false">INDEX(Segmentation!$T$2:$T$301,MATCH($A110,Segmentation!$A$2:$A$301,0))</f>
        <v>9. Long-Tail Automated Nurture</v>
      </c>
      <c r="I110" s="2" t="str">
        <f aca="false">INDEX(Segmentation!$G$2:$G$301,MATCH($A110,Segmentation!$A$2:$A$301,0))</f>
        <v>Low</v>
      </c>
      <c r="J110" s="9" t="n">
        <f aca="false">INDEX(Segmentation!$I$2:$I$301,MATCH($A110,Segmentation!$A$2:$A$301,0))</f>
        <v>607</v>
      </c>
      <c r="K110" s="2" t="n">
        <f aca="false">INDEX(Segmentation!$O$2:$O$301,MATCH($A110,Segmentation!$A$2:$A$301,0))</f>
        <v>2</v>
      </c>
      <c r="L110" s="2" t="n">
        <f aca="false">INDEX(Segmentation!$Q$2:$Q$301,MATCH($A110,Segmentation!$A$2:$A$301,0))</f>
        <v>2</v>
      </c>
      <c r="M110" s="2" t="n">
        <f aca="false">INDEX(Segmentation!$W$2:$W$301,MATCH($A110,Segmentation!$A$2:$A$301,0))</f>
        <v>2</v>
      </c>
      <c r="N110" s="2" t="str">
        <f aca="false">INDEX(Segmentation!$AF$2:$AF$301,MATCH($A110,Segmentation!$A$2:$A$301,0))</f>
        <v>Existing Customer</v>
      </c>
      <c r="O110" s="2" t="n">
        <f aca="false">INDEX(Segmentation!$R$2:$R$301,MATCH($A110,Segmentation!$A$2:$A$301,0))</f>
        <v>34</v>
      </c>
      <c r="P110" s="2" t="n">
        <v>479</v>
      </c>
      <c r="Q110" s="2" t="n">
        <f aca="false">INDEX(Segmentation!$S$2:$S$301,MATCH($A110,Segmentation!$A$2:$A$301,0))</f>
        <v>5</v>
      </c>
      <c r="R110" s="2" t="n">
        <v>20</v>
      </c>
      <c r="S110" s="2" t="n">
        <v>0</v>
      </c>
      <c r="T110" s="2" t="n">
        <v>1</v>
      </c>
      <c r="U110" s="2" t="n">
        <v>1</v>
      </c>
      <c r="V110" s="2" t="n">
        <v>40</v>
      </c>
      <c r="W110" s="2" t="str">
        <f aca="false">IF(V110=100,"Bundle-only",IF(V110=0,"Handpick-only","Mixed"))</f>
        <v>Mixed</v>
      </c>
      <c r="X110" s="17" t="n">
        <f aca="false">L110/K110</f>
        <v>1</v>
      </c>
      <c r="Y110" s="9" t="n">
        <f aca="false">J110/K110</f>
        <v>303.5</v>
      </c>
      <c r="Z110" s="10" t="b">
        <f aca="false">O110&gt;=Assumptions!$B$57</f>
        <v>1</v>
      </c>
      <c r="AA110" s="10" t="b">
        <f aca="false">P110&gt;=Assumptions!$B$58</f>
        <v>1</v>
      </c>
      <c r="AB110" s="10" t="b">
        <f aca="false">Q110&gt;=Assumptions!$B$59</f>
        <v>1</v>
      </c>
      <c r="AC110" s="2" t="n">
        <f aca="false">Z110*1+AA110*1+AB110*1</f>
        <v>3</v>
      </c>
      <c r="AD110" s="2" t="str">
        <f aca="false">IF(E110="Broker-Reliant","Broker-led, product-blind",IF(AND(I110="Low",F110&lt;&gt;"Tail",OR(G110="Declining",G110="Lapsed"),OR(O110&gt;=Assumptions!$B$60,P110&gt;=Assumptions!$B$61)),"Engaged but shrinking (Key/Core)",IF(AND(O110&gt;=Assumptions!$B$60,P110&gt;=Assumptions!$B$61,Q110&gt;=Assumptions!$B$62,K110&gt;=Assumptions!$B$63),"Independent browser-buyer",IF(AND(OR(O110&gt;=Assumptions!$B$60,P110&gt;=Assumptions!$B$61),K110&lt;=2),"Engaged, not converting",IF(AND(K110=1,O110&lt;Assumptions!$B$60,P110&lt;Assumptions!$B$61),"One-off low-touch buyer","Light-touch repeat buyer")))))</f>
        <v>Engaged, not converting</v>
      </c>
      <c r="AE110" s="10" t="b">
        <f aca="false">INDEX(Segmentation!$AW$2:$AW$301,MATCH($A110,Segmentation!$A$2:$A$301,0))</f>
        <v>0</v>
      </c>
    </row>
    <row r="111" customFormat="false" ht="15" hidden="false" customHeight="false" outlineLevel="0" collapsed="false">
      <c r="A111" s="2" t="s">
        <v>666</v>
      </c>
      <c r="B111" s="2" t="s">
        <v>1571</v>
      </c>
      <c r="C111" s="2" t="s">
        <v>1640</v>
      </c>
      <c r="D111" s="2" t="s">
        <v>1657</v>
      </c>
      <c r="E111" s="2" t="str">
        <f aca="false">INDEX(Segmentation!$H$2:$H$301,MATCH($A111,Segmentation!$A$2:$A$301,0))</f>
        <v>AM-Owned / Self-Serving</v>
      </c>
      <c r="F111" s="2" t="str">
        <f aca="false">INDEX(Segmentation!$J$2:$J$301,MATCH($A111,Segmentation!$A$2:$A$301,0))</f>
        <v>Tail</v>
      </c>
      <c r="G111" s="2" t="str">
        <f aca="false">INDEX(Segmentation!$N$2:$N$301,MATCH($A111,Segmentation!$A$2:$A$301,0))</f>
        <v>Lapsed</v>
      </c>
      <c r="H111" s="2" t="str">
        <f aca="false">INDEX(Segmentation!$T$2:$T$301,MATCH($A111,Segmentation!$A$2:$A$301,0))</f>
        <v>9. Long-Tail Automated Nurture</v>
      </c>
      <c r="I111" s="2" t="str">
        <f aca="false">INDEX(Segmentation!$G$2:$G$301,MATCH($A111,Segmentation!$A$2:$A$301,0))</f>
        <v>Low</v>
      </c>
      <c r="J111" s="9" t="n">
        <f aca="false">INDEX(Segmentation!$I$2:$I$301,MATCH($A111,Segmentation!$A$2:$A$301,0))</f>
        <v>594</v>
      </c>
      <c r="K111" s="2" t="n">
        <f aca="false">INDEX(Segmentation!$O$2:$O$301,MATCH($A111,Segmentation!$A$2:$A$301,0))</f>
        <v>2</v>
      </c>
      <c r="L111" s="2" t="n">
        <f aca="false">INDEX(Segmentation!$Q$2:$Q$301,MATCH($A111,Segmentation!$A$2:$A$301,0))</f>
        <v>2</v>
      </c>
      <c r="M111" s="2" t="n">
        <f aca="false">INDEX(Segmentation!$W$2:$W$301,MATCH($A111,Segmentation!$A$2:$A$301,0))</f>
        <v>1</v>
      </c>
      <c r="N111" s="2" t="str">
        <f aca="false">INDEX(Segmentation!$AF$2:$AF$301,MATCH($A111,Segmentation!$A$2:$A$301,0))</f>
        <v>Existing Customer</v>
      </c>
      <c r="O111" s="2" t="n">
        <f aca="false">INDEX(Segmentation!$R$2:$R$301,MATCH($A111,Segmentation!$A$2:$A$301,0))</f>
        <v>16</v>
      </c>
      <c r="P111" s="2" t="n">
        <v>154</v>
      </c>
      <c r="Q111" s="2" t="n">
        <f aca="false">INDEX(Segmentation!$S$2:$S$301,MATCH($A111,Segmentation!$A$2:$A$301,0))</f>
        <v>5</v>
      </c>
      <c r="R111" s="2" t="n">
        <v>10</v>
      </c>
      <c r="S111" s="2" t="n">
        <v>0</v>
      </c>
      <c r="T111" s="2" t="n">
        <v>2</v>
      </c>
      <c r="U111" s="2" t="n">
        <v>0</v>
      </c>
      <c r="V111" s="2" t="n">
        <v>0</v>
      </c>
      <c r="W111" s="2" t="str">
        <f aca="false">IF(V111=100,"Bundle-only",IF(V111=0,"Handpick-only","Mixed"))</f>
        <v>Handpick-only</v>
      </c>
      <c r="X111" s="17" t="n">
        <f aca="false">L111/K111</f>
        <v>1</v>
      </c>
      <c r="Y111" s="9" t="n">
        <f aca="false">J111/K111</f>
        <v>297</v>
      </c>
      <c r="Z111" s="10" t="b">
        <f aca="false">O111&gt;=Assumptions!$B$57</f>
        <v>1</v>
      </c>
      <c r="AA111" s="10" t="b">
        <f aca="false">P111&gt;=Assumptions!$B$58</f>
        <v>1</v>
      </c>
      <c r="AB111" s="10" t="b">
        <f aca="false">Q111&gt;=Assumptions!$B$59</f>
        <v>1</v>
      </c>
      <c r="AC111" s="2" t="n">
        <f aca="false">Z111*1+AA111*1+AB111*1</f>
        <v>3</v>
      </c>
      <c r="AD111" s="2" t="str">
        <f aca="false">IF(E111="Broker-Reliant","Broker-led, product-blind",IF(AND(I111="Low",F111&lt;&gt;"Tail",OR(G111="Declining",G111="Lapsed"),OR(O111&gt;=Assumptions!$B$60,P111&gt;=Assumptions!$B$61)),"Engaged but shrinking (Key/Core)",IF(AND(O111&gt;=Assumptions!$B$60,P111&gt;=Assumptions!$B$61,Q111&gt;=Assumptions!$B$62,K111&gt;=Assumptions!$B$63),"Independent browser-buyer",IF(AND(OR(O111&gt;=Assumptions!$B$60,P111&gt;=Assumptions!$B$61),K111&lt;=2),"Engaged, not converting",IF(AND(K111=1,O111&lt;Assumptions!$B$60,P111&lt;Assumptions!$B$61),"One-off low-touch buyer","Light-touch repeat buyer")))))</f>
        <v>Light-touch repeat buyer</v>
      </c>
      <c r="AE111" s="10" t="b">
        <f aca="false">INDEX(Segmentation!$AW$2:$AW$301,MATCH($A111,Segmentation!$A$2:$A$301,0))</f>
        <v>0</v>
      </c>
    </row>
    <row r="112" customFormat="false" ht="15" hidden="false" customHeight="false" outlineLevel="0" collapsed="false">
      <c r="A112" s="2" t="s">
        <v>560</v>
      </c>
      <c r="B112" s="2" t="s">
        <v>1571</v>
      </c>
      <c r="C112" s="2" t="s">
        <v>1640</v>
      </c>
      <c r="D112" s="2" t="s">
        <v>1655</v>
      </c>
      <c r="E112" s="2" t="str">
        <f aca="false">INDEX(Segmentation!$H$2:$H$301,MATCH($A112,Segmentation!$A$2:$A$301,0))</f>
        <v>AM-Owned / Self-Serving</v>
      </c>
      <c r="F112" s="2" t="str">
        <f aca="false">INDEX(Segmentation!$J$2:$J$301,MATCH($A112,Segmentation!$A$2:$A$301,0))</f>
        <v>Tail</v>
      </c>
      <c r="G112" s="2" t="str">
        <f aca="false">INDEX(Segmentation!$N$2:$N$301,MATCH($A112,Segmentation!$A$2:$A$301,0))</f>
        <v>Stable</v>
      </c>
      <c r="H112" s="2" t="str">
        <f aca="false">INDEX(Segmentation!$T$2:$T$301,MATCH($A112,Segmentation!$A$2:$A$301,0))</f>
        <v>9. Long-Tail Automated Nurture</v>
      </c>
      <c r="I112" s="2" t="str">
        <f aca="false">INDEX(Segmentation!$G$2:$G$301,MATCH($A112,Segmentation!$A$2:$A$301,0))</f>
        <v>Low</v>
      </c>
      <c r="J112" s="9" t="n">
        <f aca="false">INDEX(Segmentation!$I$2:$I$301,MATCH($A112,Segmentation!$A$2:$A$301,0))</f>
        <v>592</v>
      </c>
      <c r="K112" s="2" t="n">
        <f aca="false">INDEX(Segmentation!$O$2:$O$301,MATCH($A112,Segmentation!$A$2:$A$301,0))</f>
        <v>4</v>
      </c>
      <c r="L112" s="2" t="n">
        <f aca="false">INDEX(Segmentation!$Q$2:$Q$301,MATCH($A112,Segmentation!$A$2:$A$301,0))</f>
        <v>3</v>
      </c>
      <c r="M112" s="2" t="n">
        <f aca="false">INDEX(Segmentation!$W$2:$W$301,MATCH($A112,Segmentation!$A$2:$A$301,0))</f>
        <v>4</v>
      </c>
      <c r="N112" s="2" t="str">
        <f aca="false">INDEX(Segmentation!$AF$2:$AF$301,MATCH($A112,Segmentation!$A$2:$A$301,0))</f>
        <v>Existing Customer</v>
      </c>
      <c r="O112" s="2" t="n">
        <f aca="false">INDEX(Segmentation!$R$2:$R$301,MATCH($A112,Segmentation!$A$2:$A$301,0))</f>
        <v>29</v>
      </c>
      <c r="P112" s="2" t="n">
        <v>153</v>
      </c>
      <c r="Q112" s="2" t="n">
        <f aca="false">INDEX(Segmentation!$S$2:$S$301,MATCH($A112,Segmentation!$A$2:$A$301,0))</f>
        <v>0</v>
      </c>
      <c r="R112" s="2" t="n">
        <v>34</v>
      </c>
      <c r="S112" s="2" t="n">
        <v>0</v>
      </c>
      <c r="T112" s="2" t="n">
        <v>4</v>
      </c>
      <c r="U112" s="2" t="n">
        <v>0</v>
      </c>
      <c r="V112" s="2" t="n">
        <v>0</v>
      </c>
      <c r="W112" s="2" t="str">
        <f aca="false">IF(V112=100,"Bundle-only",IF(V112=0,"Handpick-only","Mixed"))</f>
        <v>Handpick-only</v>
      </c>
      <c r="X112" s="17" t="n">
        <f aca="false">L112/K112</f>
        <v>0.75</v>
      </c>
      <c r="Y112" s="9" t="n">
        <f aca="false">J112/K112</f>
        <v>148</v>
      </c>
      <c r="Z112" s="10" t="b">
        <f aca="false">O112&gt;=Assumptions!$B$57</f>
        <v>1</v>
      </c>
      <c r="AA112" s="10" t="b">
        <f aca="false">P112&gt;=Assumptions!$B$58</f>
        <v>1</v>
      </c>
      <c r="AB112" s="10" t="b">
        <f aca="false">Q112&gt;=Assumptions!$B$59</f>
        <v>0</v>
      </c>
      <c r="AC112" s="2" t="n">
        <f aca="false">Z112*1+AA112*1+AB112*1</f>
        <v>2</v>
      </c>
      <c r="AD112" s="2" t="str">
        <f aca="false">IF(E112="Broker-Reliant","Broker-led, product-blind",IF(AND(I112="Low",F112&lt;&gt;"Tail",OR(G112="Declining",G112="Lapsed"),OR(O112&gt;=Assumptions!$B$60,P112&gt;=Assumptions!$B$61)),"Engaged but shrinking (Key/Core)",IF(AND(O112&gt;=Assumptions!$B$60,P112&gt;=Assumptions!$B$61,Q112&gt;=Assumptions!$B$62,K112&gt;=Assumptions!$B$63),"Independent browser-buyer",IF(AND(OR(O112&gt;=Assumptions!$B$60,P112&gt;=Assumptions!$B$61),K112&lt;=2),"Engaged, not converting",IF(AND(K112=1,O112&lt;Assumptions!$B$60,P112&lt;Assumptions!$B$61),"One-off low-touch buyer","Light-touch repeat buyer")))))</f>
        <v>Light-touch repeat buyer</v>
      </c>
      <c r="AE112" s="10" t="b">
        <f aca="false">INDEX(Segmentation!$AW$2:$AW$301,MATCH($A112,Segmentation!$A$2:$A$301,0))</f>
        <v>0</v>
      </c>
    </row>
    <row r="113" customFormat="false" ht="15" hidden="false" customHeight="false" outlineLevel="0" collapsed="false">
      <c r="A113" s="2" t="s">
        <v>668</v>
      </c>
      <c r="B113" s="2" t="s">
        <v>1571</v>
      </c>
      <c r="C113" s="2" t="s">
        <v>1640</v>
      </c>
      <c r="D113" s="2" t="s">
        <v>1657</v>
      </c>
      <c r="E113" s="2" t="str">
        <f aca="false">INDEX(Segmentation!$H$2:$H$301,MATCH($A113,Segmentation!$A$2:$A$301,0))</f>
        <v>AM-Owned / Self-Serving</v>
      </c>
      <c r="F113" s="2" t="str">
        <f aca="false">INDEX(Segmentation!$J$2:$J$301,MATCH($A113,Segmentation!$A$2:$A$301,0))</f>
        <v>Tail</v>
      </c>
      <c r="G113" s="2" t="str">
        <f aca="false">INDEX(Segmentation!$N$2:$N$301,MATCH($A113,Segmentation!$A$2:$A$301,0))</f>
        <v>Lapsed</v>
      </c>
      <c r="H113" s="2" t="str">
        <f aca="false">INDEX(Segmentation!$T$2:$T$301,MATCH($A113,Segmentation!$A$2:$A$301,0))</f>
        <v>9. Long-Tail Automated Nurture</v>
      </c>
      <c r="I113" s="2" t="str">
        <f aca="false">INDEX(Segmentation!$G$2:$G$301,MATCH($A113,Segmentation!$A$2:$A$301,0))</f>
        <v>Low</v>
      </c>
      <c r="J113" s="9" t="n">
        <f aca="false">INDEX(Segmentation!$I$2:$I$301,MATCH($A113,Segmentation!$A$2:$A$301,0))</f>
        <v>586</v>
      </c>
      <c r="K113" s="2" t="n">
        <f aca="false">INDEX(Segmentation!$O$2:$O$301,MATCH($A113,Segmentation!$A$2:$A$301,0))</f>
        <v>1</v>
      </c>
      <c r="L113" s="2" t="n">
        <f aca="false">INDEX(Segmentation!$Q$2:$Q$301,MATCH($A113,Segmentation!$A$2:$A$301,0))</f>
        <v>1</v>
      </c>
      <c r="M113" s="2" t="n">
        <f aca="false">INDEX(Segmentation!$W$2:$W$301,MATCH($A113,Segmentation!$A$2:$A$301,0))</f>
        <v>1</v>
      </c>
      <c r="N113" s="2" t="str">
        <f aca="false">INDEX(Segmentation!$AF$2:$AF$301,MATCH($A113,Segmentation!$A$2:$A$301,0))</f>
        <v>Existing Customer</v>
      </c>
      <c r="O113" s="2" t="n">
        <f aca="false">INDEX(Segmentation!$R$2:$R$301,MATCH($A113,Segmentation!$A$2:$A$301,0))</f>
        <v>21</v>
      </c>
      <c r="P113" s="2" t="n">
        <v>213</v>
      </c>
      <c r="Q113" s="2" t="n">
        <f aca="false">INDEX(Segmentation!$S$2:$S$301,MATCH($A113,Segmentation!$A$2:$A$301,0))</f>
        <v>8</v>
      </c>
      <c r="R113" s="2" t="n">
        <v>16</v>
      </c>
      <c r="S113" s="2" t="n">
        <v>0</v>
      </c>
      <c r="T113" s="2" t="n">
        <v>0</v>
      </c>
      <c r="U113" s="2" t="n">
        <v>1</v>
      </c>
      <c r="V113" s="2" t="n">
        <v>100</v>
      </c>
      <c r="W113" s="2" t="str">
        <f aca="false">IF(V113=100,"Bundle-only",IF(V113=0,"Handpick-only","Mixed"))</f>
        <v>Bundle-only</v>
      </c>
      <c r="X113" s="17" t="n">
        <f aca="false">L113/K113</f>
        <v>1</v>
      </c>
      <c r="Y113" s="9" t="n">
        <f aca="false">J113/K113</f>
        <v>586</v>
      </c>
      <c r="Z113" s="10" t="b">
        <f aca="false">O113&gt;=Assumptions!$B$57</f>
        <v>1</v>
      </c>
      <c r="AA113" s="10" t="b">
        <f aca="false">P113&gt;=Assumptions!$B$58</f>
        <v>1</v>
      </c>
      <c r="AB113" s="10" t="b">
        <f aca="false">Q113&gt;=Assumptions!$B$59</f>
        <v>1</v>
      </c>
      <c r="AC113" s="2" t="n">
        <f aca="false">Z113*1+AA113*1+AB113*1</f>
        <v>3</v>
      </c>
      <c r="AD113" s="2" t="str">
        <f aca="false">IF(E113="Broker-Reliant","Broker-led, product-blind",IF(AND(I113="Low",F113&lt;&gt;"Tail",OR(G113="Declining",G113="Lapsed"),OR(O113&gt;=Assumptions!$B$60,P113&gt;=Assumptions!$B$61)),"Engaged but shrinking (Key/Core)",IF(AND(O113&gt;=Assumptions!$B$60,P113&gt;=Assumptions!$B$61,Q113&gt;=Assumptions!$B$62,K113&gt;=Assumptions!$B$63),"Independent browser-buyer",IF(AND(OR(O113&gt;=Assumptions!$B$60,P113&gt;=Assumptions!$B$61),K113&lt;=2),"Engaged, not converting",IF(AND(K113=1,O113&lt;Assumptions!$B$60,P113&lt;Assumptions!$B$61),"One-off low-touch buyer","Light-touch repeat buyer")))))</f>
        <v>Engaged, not converting</v>
      </c>
      <c r="AE113" s="10" t="b">
        <f aca="false">INDEX(Segmentation!$AW$2:$AW$301,MATCH($A113,Segmentation!$A$2:$A$301,0))</f>
        <v>0</v>
      </c>
    </row>
    <row r="114" customFormat="false" ht="15" hidden="false" customHeight="false" outlineLevel="0" collapsed="false">
      <c r="A114" s="2" t="s">
        <v>670</v>
      </c>
      <c r="B114" s="2" t="s">
        <v>1571</v>
      </c>
      <c r="C114" s="2" t="s">
        <v>1640</v>
      </c>
      <c r="D114" s="2" t="s">
        <v>1653</v>
      </c>
      <c r="E114" s="2" t="str">
        <f aca="false">INDEX(Segmentation!$H$2:$H$301,MATCH($A114,Segmentation!$A$2:$A$301,0))</f>
        <v>Broker-Reliant</v>
      </c>
      <c r="F114" s="2" t="str">
        <f aca="false">INDEX(Segmentation!$J$2:$J$301,MATCH($A114,Segmentation!$A$2:$A$301,0))</f>
        <v>Tail</v>
      </c>
      <c r="G114" s="2" t="str">
        <f aca="false">INDEX(Segmentation!$N$2:$N$301,MATCH($A114,Segmentation!$A$2:$A$301,0))</f>
        <v>Lapsed</v>
      </c>
      <c r="H114" s="2" t="str">
        <f aca="false">INDEX(Segmentation!$T$2:$T$301,MATCH($A114,Segmentation!$A$2:$A$301,0))</f>
        <v>5. Cost-to-Serve / Low-Touch</v>
      </c>
      <c r="I114" s="2" t="str">
        <f aca="false">INDEX(Segmentation!$G$2:$G$301,MATCH($A114,Segmentation!$A$2:$A$301,0))</f>
        <v>High</v>
      </c>
      <c r="J114" s="9" t="n">
        <f aca="false">INDEX(Segmentation!$I$2:$I$301,MATCH($A114,Segmentation!$A$2:$A$301,0))</f>
        <v>580</v>
      </c>
      <c r="K114" s="2" t="n">
        <f aca="false">INDEX(Segmentation!$O$2:$O$301,MATCH($A114,Segmentation!$A$2:$A$301,0))</f>
        <v>2</v>
      </c>
      <c r="L114" s="2" t="n">
        <f aca="false">INDEX(Segmentation!$Q$2:$Q$301,MATCH($A114,Segmentation!$A$2:$A$301,0))</f>
        <v>1</v>
      </c>
      <c r="M114" s="2" t="n">
        <f aca="false">INDEX(Segmentation!$W$2:$W$301,MATCH($A114,Segmentation!$A$2:$A$301,0))</f>
        <v>2</v>
      </c>
      <c r="N114" s="2" t="str">
        <f aca="false">INDEX(Segmentation!$AF$2:$AF$301,MATCH($A114,Segmentation!$A$2:$A$301,0))</f>
        <v>Existing Customer</v>
      </c>
      <c r="O114" s="2" t="n">
        <f aca="false">INDEX(Segmentation!$R$2:$R$301,MATCH($A114,Segmentation!$A$2:$A$301,0))</f>
        <v>3</v>
      </c>
      <c r="P114" s="2" t="n">
        <v>6</v>
      </c>
      <c r="Q114" s="2" t="n">
        <f aca="false">INDEX(Segmentation!$S$2:$S$301,MATCH($A114,Segmentation!$A$2:$A$301,0))</f>
        <v>2</v>
      </c>
      <c r="R114" s="2" t="n">
        <v>14</v>
      </c>
      <c r="S114" s="2" t="n">
        <v>0</v>
      </c>
      <c r="T114" s="2" t="n">
        <v>0</v>
      </c>
      <c r="U114" s="2" t="n">
        <v>2</v>
      </c>
      <c r="V114" s="2" t="n">
        <v>100</v>
      </c>
      <c r="W114" s="2" t="str">
        <f aca="false">IF(V114=100,"Bundle-only",IF(V114=0,"Handpick-only","Mixed"))</f>
        <v>Bundle-only</v>
      </c>
      <c r="X114" s="17" t="n">
        <f aca="false">L114/K114</f>
        <v>0.5</v>
      </c>
      <c r="Y114" s="9" t="n">
        <f aca="false">J114/K114</f>
        <v>290</v>
      </c>
      <c r="Z114" s="10" t="b">
        <f aca="false">O114&gt;=Assumptions!$B$57</f>
        <v>0</v>
      </c>
      <c r="AA114" s="10" t="b">
        <f aca="false">P114&gt;=Assumptions!$B$58</f>
        <v>0</v>
      </c>
      <c r="AB114" s="10" t="b">
        <f aca="false">Q114&gt;=Assumptions!$B$59</f>
        <v>0</v>
      </c>
      <c r="AC114" s="2" t="n">
        <f aca="false">Z114*1+AA114*1+AB114*1</f>
        <v>0</v>
      </c>
      <c r="AD114" s="2" t="str">
        <f aca="false">IF(E114="Broker-Reliant","Broker-led, product-blind",IF(AND(I114="Low",F114&lt;&gt;"Tail",OR(G114="Declining",G114="Lapsed"),OR(O114&gt;=Assumptions!$B$60,P114&gt;=Assumptions!$B$61)),"Engaged but shrinking (Key/Core)",IF(AND(O114&gt;=Assumptions!$B$60,P114&gt;=Assumptions!$B$61,Q114&gt;=Assumptions!$B$62,K114&gt;=Assumptions!$B$63),"Independent browser-buyer",IF(AND(OR(O114&gt;=Assumptions!$B$60,P114&gt;=Assumptions!$B$61),K114&lt;=2),"Engaged, not converting",IF(AND(K114=1,O114&lt;Assumptions!$B$60,P114&lt;Assumptions!$B$61),"One-off low-touch buyer","Light-touch repeat buyer")))))</f>
        <v>Broker-led, product-blind</v>
      </c>
      <c r="AE114" s="10" t="b">
        <f aca="false">INDEX(Segmentation!$AW$2:$AW$301,MATCH($A114,Segmentation!$A$2:$A$301,0))</f>
        <v>0</v>
      </c>
    </row>
    <row r="115" customFormat="false" ht="15" hidden="false" customHeight="false" outlineLevel="0" collapsed="false">
      <c r="A115" s="2" t="s">
        <v>672</v>
      </c>
      <c r="B115" s="2" t="s">
        <v>1571</v>
      </c>
      <c r="C115" s="2" t="s">
        <v>1640</v>
      </c>
      <c r="D115" s="2" t="s">
        <v>1653</v>
      </c>
      <c r="E115" s="2" t="str">
        <f aca="false">INDEX(Segmentation!$H$2:$H$301,MATCH($A115,Segmentation!$A$2:$A$301,0))</f>
        <v>Broker-Reliant</v>
      </c>
      <c r="F115" s="2" t="str">
        <f aca="false">INDEX(Segmentation!$J$2:$J$301,MATCH($A115,Segmentation!$A$2:$A$301,0))</f>
        <v>Tail</v>
      </c>
      <c r="G115" s="2" t="str">
        <f aca="false">INDEX(Segmentation!$N$2:$N$301,MATCH($A115,Segmentation!$A$2:$A$301,0))</f>
        <v>Lapsed</v>
      </c>
      <c r="H115" s="2" t="str">
        <f aca="false">INDEX(Segmentation!$T$2:$T$301,MATCH($A115,Segmentation!$A$2:$A$301,0))</f>
        <v>5. Cost-to-Serve / Low-Touch</v>
      </c>
      <c r="I115" s="2" t="str">
        <f aca="false">INDEX(Segmentation!$G$2:$G$301,MATCH($A115,Segmentation!$A$2:$A$301,0))</f>
        <v>High</v>
      </c>
      <c r="J115" s="9" t="n">
        <f aca="false">INDEX(Segmentation!$I$2:$I$301,MATCH($A115,Segmentation!$A$2:$A$301,0))</f>
        <v>576</v>
      </c>
      <c r="K115" s="2" t="n">
        <f aca="false">INDEX(Segmentation!$O$2:$O$301,MATCH($A115,Segmentation!$A$2:$A$301,0))</f>
        <v>2</v>
      </c>
      <c r="L115" s="2" t="n">
        <f aca="false">INDEX(Segmentation!$Q$2:$Q$301,MATCH($A115,Segmentation!$A$2:$A$301,0))</f>
        <v>1</v>
      </c>
      <c r="M115" s="2" t="n">
        <f aca="false">INDEX(Segmentation!$W$2:$W$301,MATCH($A115,Segmentation!$A$2:$A$301,0))</f>
        <v>2</v>
      </c>
      <c r="N115" s="2" t="str">
        <f aca="false">INDEX(Segmentation!$AF$2:$AF$301,MATCH($A115,Segmentation!$A$2:$A$301,0))</f>
        <v>Existing Customer</v>
      </c>
      <c r="O115" s="2" t="n">
        <f aca="false">INDEX(Segmentation!$R$2:$R$301,MATCH($A115,Segmentation!$A$2:$A$301,0))</f>
        <v>3</v>
      </c>
      <c r="P115" s="2" t="n">
        <v>4</v>
      </c>
      <c r="Q115" s="2" t="n">
        <f aca="false">INDEX(Segmentation!$S$2:$S$301,MATCH($A115,Segmentation!$A$2:$A$301,0))</f>
        <v>1</v>
      </c>
      <c r="R115" s="2" t="n">
        <v>1</v>
      </c>
      <c r="S115" s="2" t="n">
        <v>0</v>
      </c>
      <c r="T115" s="2" t="n">
        <v>1</v>
      </c>
      <c r="U115" s="2" t="n">
        <v>1</v>
      </c>
      <c r="V115" s="2" t="n">
        <v>94</v>
      </c>
      <c r="W115" s="2" t="str">
        <f aca="false">IF(V115=100,"Bundle-only",IF(V115=0,"Handpick-only","Mixed"))</f>
        <v>Mixed</v>
      </c>
      <c r="X115" s="17" t="n">
        <f aca="false">L115/K115</f>
        <v>0.5</v>
      </c>
      <c r="Y115" s="9" t="n">
        <f aca="false">J115/K115</f>
        <v>288</v>
      </c>
      <c r="Z115" s="10" t="b">
        <f aca="false">O115&gt;=Assumptions!$B$57</f>
        <v>0</v>
      </c>
      <c r="AA115" s="10" t="b">
        <f aca="false">P115&gt;=Assumptions!$B$58</f>
        <v>0</v>
      </c>
      <c r="AB115" s="10" t="b">
        <f aca="false">Q115&gt;=Assumptions!$B$59</f>
        <v>0</v>
      </c>
      <c r="AC115" s="2" t="n">
        <f aca="false">Z115*1+AA115*1+AB115*1</f>
        <v>0</v>
      </c>
      <c r="AD115" s="2" t="str">
        <f aca="false">IF(E115="Broker-Reliant","Broker-led, product-blind",IF(AND(I115="Low",F115&lt;&gt;"Tail",OR(G115="Declining",G115="Lapsed"),OR(O115&gt;=Assumptions!$B$60,P115&gt;=Assumptions!$B$61)),"Engaged but shrinking (Key/Core)",IF(AND(O115&gt;=Assumptions!$B$60,P115&gt;=Assumptions!$B$61,Q115&gt;=Assumptions!$B$62,K115&gt;=Assumptions!$B$63),"Independent browser-buyer",IF(AND(OR(O115&gt;=Assumptions!$B$60,P115&gt;=Assumptions!$B$61),K115&lt;=2),"Engaged, not converting",IF(AND(K115=1,O115&lt;Assumptions!$B$60,P115&lt;Assumptions!$B$61),"One-off low-touch buyer","Light-touch repeat buyer")))))</f>
        <v>Broker-led, product-blind</v>
      </c>
      <c r="AE115" s="10" t="b">
        <f aca="false">INDEX(Segmentation!$AW$2:$AW$301,MATCH($A115,Segmentation!$A$2:$A$301,0))</f>
        <v>0</v>
      </c>
    </row>
    <row r="116" customFormat="false" ht="15" hidden="false" customHeight="false" outlineLevel="0" collapsed="false">
      <c r="A116" s="2" t="s">
        <v>674</v>
      </c>
      <c r="B116" s="2" t="s">
        <v>1571</v>
      </c>
      <c r="C116" s="2" t="s">
        <v>1640</v>
      </c>
      <c r="D116" s="2" t="s">
        <v>1653</v>
      </c>
      <c r="E116" s="2" t="str">
        <f aca="false">INDEX(Segmentation!$H$2:$H$301,MATCH($A116,Segmentation!$A$2:$A$301,0))</f>
        <v>AM-Owned / Self-Serving</v>
      </c>
      <c r="F116" s="2" t="str">
        <f aca="false">INDEX(Segmentation!$J$2:$J$301,MATCH($A116,Segmentation!$A$2:$A$301,0))</f>
        <v>Tail</v>
      </c>
      <c r="G116" s="2" t="str">
        <f aca="false">INDEX(Segmentation!$N$2:$N$301,MATCH($A116,Segmentation!$A$2:$A$301,0))</f>
        <v>Lapsed</v>
      </c>
      <c r="H116" s="2" t="str">
        <f aca="false">INDEX(Segmentation!$T$2:$T$301,MATCH($A116,Segmentation!$A$2:$A$301,0))</f>
        <v>9. Long-Tail Automated Nurture</v>
      </c>
      <c r="I116" s="2" t="str">
        <f aca="false">INDEX(Segmentation!$G$2:$G$301,MATCH($A116,Segmentation!$A$2:$A$301,0))</f>
        <v>Low</v>
      </c>
      <c r="J116" s="9" t="n">
        <f aca="false">INDEX(Segmentation!$I$2:$I$301,MATCH($A116,Segmentation!$A$2:$A$301,0))</f>
        <v>574</v>
      </c>
      <c r="K116" s="2" t="n">
        <f aca="false">INDEX(Segmentation!$O$2:$O$301,MATCH($A116,Segmentation!$A$2:$A$301,0))</f>
        <v>1</v>
      </c>
      <c r="L116" s="2" t="n">
        <f aca="false">INDEX(Segmentation!$Q$2:$Q$301,MATCH($A116,Segmentation!$A$2:$A$301,0))</f>
        <v>1</v>
      </c>
      <c r="M116" s="2" t="n">
        <f aca="false">INDEX(Segmentation!$W$2:$W$301,MATCH($A116,Segmentation!$A$2:$A$301,0))</f>
        <v>1</v>
      </c>
      <c r="N116" s="2" t="str">
        <f aca="false">INDEX(Segmentation!$AF$2:$AF$301,MATCH($A116,Segmentation!$A$2:$A$301,0))</f>
        <v>Existing Customer</v>
      </c>
      <c r="O116" s="2" t="n">
        <f aca="false">INDEX(Segmentation!$R$2:$R$301,MATCH($A116,Segmentation!$A$2:$A$301,0))</f>
        <v>3</v>
      </c>
      <c r="P116" s="2" t="n">
        <v>4</v>
      </c>
      <c r="Q116" s="2" t="n">
        <f aca="false">INDEX(Segmentation!$S$2:$S$301,MATCH($A116,Segmentation!$A$2:$A$301,0))</f>
        <v>0</v>
      </c>
      <c r="R116" s="2" t="n">
        <v>0</v>
      </c>
      <c r="S116" s="2" t="n">
        <v>0</v>
      </c>
      <c r="T116" s="2" t="n">
        <v>0</v>
      </c>
      <c r="U116" s="2" t="n">
        <v>1</v>
      </c>
      <c r="V116" s="2" t="n">
        <v>100</v>
      </c>
      <c r="W116" s="2" t="str">
        <f aca="false">IF(V116=100,"Bundle-only",IF(V116=0,"Handpick-only","Mixed"))</f>
        <v>Bundle-only</v>
      </c>
      <c r="X116" s="17" t="n">
        <f aca="false">L116/K116</f>
        <v>1</v>
      </c>
      <c r="Y116" s="9" t="n">
        <f aca="false">J116/K116</f>
        <v>574</v>
      </c>
      <c r="Z116" s="10" t="b">
        <f aca="false">O116&gt;=Assumptions!$B$57</f>
        <v>0</v>
      </c>
      <c r="AA116" s="10" t="b">
        <f aca="false">P116&gt;=Assumptions!$B$58</f>
        <v>0</v>
      </c>
      <c r="AB116" s="10" t="b">
        <f aca="false">Q116&gt;=Assumptions!$B$59</f>
        <v>0</v>
      </c>
      <c r="AC116" s="2" t="n">
        <f aca="false">Z116*1+AA116*1+AB116*1</f>
        <v>0</v>
      </c>
      <c r="AD116" s="2" t="str">
        <f aca="false">IF(E116="Broker-Reliant","Broker-led, product-blind",IF(AND(I116="Low",F116&lt;&gt;"Tail",OR(G116="Declining",G116="Lapsed"),OR(O116&gt;=Assumptions!$B$60,P116&gt;=Assumptions!$B$61)),"Engaged but shrinking (Key/Core)",IF(AND(O116&gt;=Assumptions!$B$60,P116&gt;=Assumptions!$B$61,Q116&gt;=Assumptions!$B$62,K116&gt;=Assumptions!$B$63),"Independent browser-buyer",IF(AND(OR(O116&gt;=Assumptions!$B$60,P116&gt;=Assumptions!$B$61),K116&lt;=2),"Engaged, not converting",IF(AND(K116=1,O116&lt;Assumptions!$B$60,P116&lt;Assumptions!$B$61),"One-off low-touch buyer","Light-touch repeat buyer")))))</f>
        <v>One-off low-touch buyer</v>
      </c>
      <c r="AE116" s="10" t="b">
        <f aca="false">INDEX(Segmentation!$AW$2:$AW$301,MATCH($A116,Segmentation!$A$2:$A$301,0))</f>
        <v>0</v>
      </c>
    </row>
    <row r="117" customFormat="false" ht="15" hidden="false" customHeight="false" outlineLevel="0" collapsed="false">
      <c r="A117" s="2" t="s">
        <v>678</v>
      </c>
      <c r="B117" s="2" t="s">
        <v>1571</v>
      </c>
      <c r="C117" s="2" t="s">
        <v>1640</v>
      </c>
      <c r="D117" s="2" t="s">
        <v>1653</v>
      </c>
      <c r="E117" s="2" t="str">
        <f aca="false">INDEX(Segmentation!$H$2:$H$301,MATCH($A117,Segmentation!$A$2:$A$301,0))</f>
        <v>AM-Owned / Self-Serving</v>
      </c>
      <c r="F117" s="2" t="str">
        <f aca="false">INDEX(Segmentation!$J$2:$J$301,MATCH($A117,Segmentation!$A$2:$A$301,0))</f>
        <v>Tail</v>
      </c>
      <c r="G117" s="2" t="str">
        <f aca="false">INDEX(Segmentation!$N$2:$N$301,MATCH($A117,Segmentation!$A$2:$A$301,0))</f>
        <v>Lapsed</v>
      </c>
      <c r="H117" s="2" t="str">
        <f aca="false">INDEX(Segmentation!$T$2:$T$301,MATCH($A117,Segmentation!$A$2:$A$301,0))</f>
        <v>9. Long-Tail Automated Nurture</v>
      </c>
      <c r="I117" s="2" t="str">
        <f aca="false">INDEX(Segmentation!$G$2:$G$301,MATCH($A117,Segmentation!$A$2:$A$301,0))</f>
        <v>Low</v>
      </c>
      <c r="J117" s="9" t="n">
        <f aca="false">INDEX(Segmentation!$I$2:$I$301,MATCH($A117,Segmentation!$A$2:$A$301,0))</f>
        <v>523</v>
      </c>
      <c r="K117" s="2" t="n">
        <f aca="false">INDEX(Segmentation!$O$2:$O$301,MATCH($A117,Segmentation!$A$2:$A$301,0))</f>
        <v>5</v>
      </c>
      <c r="L117" s="2" t="n">
        <f aca="false">INDEX(Segmentation!$Q$2:$Q$301,MATCH($A117,Segmentation!$A$2:$A$301,0))</f>
        <v>5</v>
      </c>
      <c r="M117" s="2" t="n">
        <f aca="false">INDEX(Segmentation!$W$2:$W$301,MATCH($A117,Segmentation!$A$2:$A$301,0))</f>
        <v>2</v>
      </c>
      <c r="N117" s="2" t="str">
        <f aca="false">INDEX(Segmentation!$AF$2:$AF$301,MATCH($A117,Segmentation!$A$2:$A$301,0))</f>
        <v>Existing Customer</v>
      </c>
      <c r="O117" s="2" t="n">
        <f aca="false">INDEX(Segmentation!$R$2:$R$301,MATCH($A117,Segmentation!$A$2:$A$301,0))</f>
        <v>23</v>
      </c>
      <c r="P117" s="2" t="n">
        <v>182</v>
      </c>
      <c r="Q117" s="2" t="n">
        <f aca="false">INDEX(Segmentation!$S$2:$S$301,MATCH($A117,Segmentation!$A$2:$A$301,0))</f>
        <v>0</v>
      </c>
      <c r="R117" s="2" t="n">
        <v>1</v>
      </c>
      <c r="S117" s="2" t="n">
        <v>0</v>
      </c>
      <c r="T117" s="2" t="n">
        <v>1</v>
      </c>
      <c r="U117" s="2" t="n">
        <v>4</v>
      </c>
      <c r="V117" s="2" t="n">
        <v>93</v>
      </c>
      <c r="W117" s="2" t="str">
        <f aca="false">IF(V117=100,"Bundle-only",IF(V117=0,"Handpick-only","Mixed"))</f>
        <v>Mixed</v>
      </c>
      <c r="X117" s="17" t="n">
        <f aca="false">L117/K117</f>
        <v>1</v>
      </c>
      <c r="Y117" s="9" t="n">
        <f aca="false">J117/K117</f>
        <v>104.6</v>
      </c>
      <c r="Z117" s="10" t="b">
        <f aca="false">O117&gt;=Assumptions!$B$57</f>
        <v>1</v>
      </c>
      <c r="AA117" s="10" t="b">
        <f aca="false">P117&gt;=Assumptions!$B$58</f>
        <v>1</v>
      </c>
      <c r="AB117" s="10" t="b">
        <f aca="false">Q117&gt;=Assumptions!$B$59</f>
        <v>0</v>
      </c>
      <c r="AC117" s="2" t="n">
        <f aca="false">Z117*1+AA117*1+AB117*1</f>
        <v>2</v>
      </c>
      <c r="AD117" s="2" t="str">
        <f aca="false">IF(E117="Broker-Reliant","Broker-led, product-blind",IF(AND(I117="Low",F117&lt;&gt;"Tail",OR(G117="Declining",G117="Lapsed"),OR(O117&gt;=Assumptions!$B$60,P117&gt;=Assumptions!$B$61)),"Engaged but shrinking (Key/Core)",IF(AND(O117&gt;=Assumptions!$B$60,P117&gt;=Assumptions!$B$61,Q117&gt;=Assumptions!$B$62,K117&gt;=Assumptions!$B$63),"Independent browser-buyer",IF(AND(OR(O117&gt;=Assumptions!$B$60,P117&gt;=Assumptions!$B$61),K117&lt;=2),"Engaged, not converting",IF(AND(K117=1,O117&lt;Assumptions!$B$60,P117&lt;Assumptions!$B$61),"One-off low-touch buyer","Light-touch repeat buyer")))))</f>
        <v>Light-touch repeat buyer</v>
      </c>
      <c r="AE117" s="10" t="b">
        <f aca="false">INDEX(Segmentation!$AW$2:$AW$301,MATCH($A117,Segmentation!$A$2:$A$301,0))</f>
        <v>0</v>
      </c>
    </row>
    <row r="118" customFormat="false" ht="15" hidden="false" customHeight="false" outlineLevel="0" collapsed="false">
      <c r="A118" s="2" t="s">
        <v>680</v>
      </c>
      <c r="B118" s="2" t="s">
        <v>1571</v>
      </c>
      <c r="C118" s="2" t="s">
        <v>1640</v>
      </c>
      <c r="D118" s="2" t="s">
        <v>1657</v>
      </c>
      <c r="E118" s="2" t="str">
        <f aca="false">INDEX(Segmentation!$H$2:$H$301,MATCH($A118,Segmentation!$A$2:$A$301,0))</f>
        <v>AM-Owned / Self-Serving</v>
      </c>
      <c r="F118" s="2" t="str">
        <f aca="false">INDEX(Segmentation!$J$2:$J$301,MATCH($A118,Segmentation!$A$2:$A$301,0))</f>
        <v>Tail</v>
      </c>
      <c r="G118" s="2" t="str">
        <f aca="false">INDEX(Segmentation!$N$2:$N$301,MATCH($A118,Segmentation!$A$2:$A$301,0))</f>
        <v>H2 Active / No H1 GMV</v>
      </c>
      <c r="H118" s="2" t="str">
        <f aca="false">INDEX(Segmentation!$T$2:$T$301,MATCH($A118,Segmentation!$A$2:$A$301,0))</f>
        <v>9. Long-Tail Automated Nurture</v>
      </c>
      <c r="I118" s="2" t="str">
        <f aca="false">INDEX(Segmentation!$G$2:$G$301,MATCH($A118,Segmentation!$A$2:$A$301,0))</f>
        <v>Low</v>
      </c>
      <c r="J118" s="9" t="n">
        <f aca="false">INDEX(Segmentation!$I$2:$I$301,MATCH($A118,Segmentation!$A$2:$A$301,0))</f>
        <v>519</v>
      </c>
      <c r="K118" s="2" t="n">
        <f aca="false">INDEX(Segmentation!$O$2:$O$301,MATCH($A118,Segmentation!$A$2:$A$301,0))</f>
        <v>1</v>
      </c>
      <c r="L118" s="2" t="n">
        <f aca="false">INDEX(Segmentation!$Q$2:$Q$301,MATCH($A118,Segmentation!$A$2:$A$301,0))</f>
        <v>1</v>
      </c>
      <c r="M118" s="2" t="n">
        <f aca="false">INDEX(Segmentation!$W$2:$W$301,MATCH($A118,Segmentation!$A$2:$A$301,0))</f>
        <v>1</v>
      </c>
      <c r="N118" s="2" t="str">
        <f aca="false">INDEX(Segmentation!$AF$2:$AF$301,MATCH($A118,Segmentation!$A$2:$A$301,0))</f>
        <v>Returned Customer</v>
      </c>
      <c r="O118" s="2" t="n">
        <f aca="false">INDEX(Segmentation!$R$2:$R$301,MATCH($A118,Segmentation!$A$2:$A$301,0))</f>
        <v>20</v>
      </c>
      <c r="P118" s="2" t="n">
        <v>240</v>
      </c>
      <c r="Q118" s="2" t="n">
        <f aca="false">INDEX(Segmentation!$S$2:$S$301,MATCH($A118,Segmentation!$A$2:$A$301,0))</f>
        <v>3</v>
      </c>
      <c r="R118" s="2" t="n">
        <v>1</v>
      </c>
      <c r="S118" s="2" t="n">
        <v>0</v>
      </c>
      <c r="T118" s="2" t="n">
        <v>0</v>
      </c>
      <c r="U118" s="2" t="n">
        <v>1</v>
      </c>
      <c r="V118" s="2" t="n">
        <v>100</v>
      </c>
      <c r="W118" s="2" t="str">
        <f aca="false">IF(V118=100,"Bundle-only",IF(V118=0,"Handpick-only","Mixed"))</f>
        <v>Bundle-only</v>
      </c>
      <c r="X118" s="17" t="n">
        <f aca="false">L118/K118</f>
        <v>1</v>
      </c>
      <c r="Y118" s="9" t="n">
        <f aca="false">J118/K118</f>
        <v>519</v>
      </c>
      <c r="Z118" s="10" t="b">
        <f aca="false">O118&gt;=Assumptions!$B$57</f>
        <v>1</v>
      </c>
      <c r="AA118" s="10" t="b">
        <f aca="false">P118&gt;=Assumptions!$B$58</f>
        <v>1</v>
      </c>
      <c r="AB118" s="10" t="b">
        <f aca="false">Q118&gt;=Assumptions!$B$59</f>
        <v>1</v>
      </c>
      <c r="AC118" s="2" t="n">
        <f aca="false">Z118*1+AA118*1+AB118*1</f>
        <v>3</v>
      </c>
      <c r="AD118" s="2" t="str">
        <f aca="false">IF(E118="Broker-Reliant","Broker-led, product-blind",IF(AND(I118="Low",F118&lt;&gt;"Tail",OR(G118="Declining",G118="Lapsed"),OR(O118&gt;=Assumptions!$B$60,P118&gt;=Assumptions!$B$61)),"Engaged but shrinking (Key/Core)",IF(AND(O118&gt;=Assumptions!$B$60,P118&gt;=Assumptions!$B$61,Q118&gt;=Assumptions!$B$62,K118&gt;=Assumptions!$B$63),"Independent browser-buyer",IF(AND(OR(O118&gt;=Assumptions!$B$60,P118&gt;=Assumptions!$B$61),K118&lt;=2),"Engaged, not converting",IF(AND(K118=1,O118&lt;Assumptions!$B$60,P118&lt;Assumptions!$B$61),"One-off low-touch buyer","Light-touch repeat buyer")))))</f>
        <v>Engaged, not converting</v>
      </c>
      <c r="AE118" s="10" t="b">
        <f aca="false">INDEX(Segmentation!$AW$2:$AW$301,MATCH($A118,Segmentation!$A$2:$A$301,0))</f>
        <v>0</v>
      </c>
    </row>
    <row r="119" customFormat="false" ht="15" hidden="false" customHeight="false" outlineLevel="0" collapsed="false">
      <c r="A119" s="2" t="s">
        <v>686</v>
      </c>
      <c r="B119" s="2" t="s">
        <v>1571</v>
      </c>
      <c r="C119" s="2" t="s">
        <v>1641</v>
      </c>
      <c r="D119" s="2" t="s">
        <v>1655</v>
      </c>
      <c r="E119" s="2" t="str">
        <f aca="false">INDEX(Segmentation!$H$2:$H$301,MATCH($A119,Segmentation!$A$2:$A$301,0))</f>
        <v>AM-Owned / Self-Serving</v>
      </c>
      <c r="F119" s="2" t="str">
        <f aca="false">INDEX(Segmentation!$J$2:$J$301,MATCH($A119,Segmentation!$A$2:$A$301,0))</f>
        <v>Tail</v>
      </c>
      <c r="G119" s="2" t="str">
        <f aca="false">INDEX(Segmentation!$N$2:$N$301,MATCH($A119,Segmentation!$A$2:$A$301,0))</f>
        <v>Growing</v>
      </c>
      <c r="H119" s="2" t="str">
        <f aca="false">INDEX(Segmentation!$T$2:$T$301,MATCH($A119,Segmentation!$A$2:$A$301,0))</f>
        <v>9. Long-Tail Automated Nurture</v>
      </c>
      <c r="I119" s="2" t="str">
        <f aca="false">INDEX(Segmentation!$G$2:$G$301,MATCH($A119,Segmentation!$A$2:$A$301,0))</f>
        <v>Low</v>
      </c>
      <c r="J119" s="9" t="n">
        <f aca="false">INDEX(Segmentation!$I$2:$I$301,MATCH($A119,Segmentation!$A$2:$A$301,0))</f>
        <v>489</v>
      </c>
      <c r="K119" s="2" t="n">
        <f aca="false">INDEX(Segmentation!$O$2:$O$301,MATCH($A119,Segmentation!$A$2:$A$301,0))</f>
        <v>3</v>
      </c>
      <c r="L119" s="2" t="n">
        <f aca="false">INDEX(Segmentation!$Q$2:$Q$301,MATCH($A119,Segmentation!$A$2:$A$301,0))</f>
        <v>3</v>
      </c>
      <c r="M119" s="2" t="n">
        <f aca="false">INDEX(Segmentation!$W$2:$W$301,MATCH($A119,Segmentation!$A$2:$A$301,0))</f>
        <v>3</v>
      </c>
      <c r="N119" s="2" t="str">
        <f aca="false">INDEX(Segmentation!$AF$2:$AF$301,MATCH($A119,Segmentation!$A$2:$A$301,0))</f>
        <v>Existing Customer</v>
      </c>
      <c r="O119" s="2" t="n">
        <f aca="false">INDEX(Segmentation!$R$2:$R$301,MATCH($A119,Segmentation!$A$2:$A$301,0))</f>
        <v>11</v>
      </c>
      <c r="P119" s="2" t="n">
        <v>182</v>
      </c>
      <c r="Q119" s="2" t="n">
        <f aca="false">INDEX(Segmentation!$S$2:$S$301,MATCH($A119,Segmentation!$A$2:$A$301,0))</f>
        <v>4</v>
      </c>
      <c r="R119" s="2" t="n">
        <v>3</v>
      </c>
      <c r="S119" s="2" t="n">
        <v>0</v>
      </c>
      <c r="T119" s="2" t="n">
        <v>0</v>
      </c>
      <c r="U119" s="2" t="n">
        <v>3</v>
      </c>
      <c r="V119" s="2" t="n">
        <v>100</v>
      </c>
      <c r="W119" s="2" t="str">
        <f aca="false">IF(V119=100,"Bundle-only",IF(V119=0,"Handpick-only","Mixed"))</f>
        <v>Bundle-only</v>
      </c>
      <c r="X119" s="17" t="n">
        <f aca="false">L119/K119</f>
        <v>1</v>
      </c>
      <c r="Y119" s="9" t="n">
        <f aca="false">J119/K119</f>
        <v>163</v>
      </c>
      <c r="Z119" s="10" t="b">
        <f aca="false">O119&gt;=Assumptions!$B$57</f>
        <v>1</v>
      </c>
      <c r="AA119" s="10" t="b">
        <f aca="false">P119&gt;=Assumptions!$B$58</f>
        <v>1</v>
      </c>
      <c r="AB119" s="10" t="b">
        <f aca="false">Q119&gt;=Assumptions!$B$59</f>
        <v>1</v>
      </c>
      <c r="AC119" s="2" t="n">
        <f aca="false">Z119*1+AA119*1+AB119*1</f>
        <v>3</v>
      </c>
      <c r="AD119" s="2" t="str">
        <f aca="false">IF(E119="Broker-Reliant","Broker-led, product-blind",IF(AND(I119="Low",F119&lt;&gt;"Tail",OR(G119="Declining",G119="Lapsed"),OR(O119&gt;=Assumptions!$B$60,P119&gt;=Assumptions!$B$61)),"Engaged but shrinking (Key/Core)",IF(AND(O119&gt;=Assumptions!$B$60,P119&gt;=Assumptions!$B$61,Q119&gt;=Assumptions!$B$62,K119&gt;=Assumptions!$B$63),"Independent browser-buyer",IF(AND(OR(O119&gt;=Assumptions!$B$60,P119&gt;=Assumptions!$B$61),K119&lt;=2),"Engaged, not converting",IF(AND(K119=1,O119&lt;Assumptions!$B$60,P119&lt;Assumptions!$B$61),"One-off low-touch buyer","Light-touch repeat buyer")))))</f>
        <v>Light-touch repeat buyer</v>
      </c>
      <c r="AE119" s="10" t="b">
        <f aca="false">INDEX(Segmentation!$AW$2:$AW$301,MATCH($A119,Segmentation!$A$2:$A$301,0))</f>
        <v>0</v>
      </c>
    </row>
    <row r="120" customFormat="false" ht="15" hidden="false" customHeight="false" outlineLevel="0" collapsed="false">
      <c r="A120" s="2" t="s">
        <v>689</v>
      </c>
      <c r="B120" s="2" t="s">
        <v>1571</v>
      </c>
      <c r="C120" s="2" t="s">
        <v>1641</v>
      </c>
      <c r="D120" s="2" t="s">
        <v>1658</v>
      </c>
      <c r="E120" s="2" t="str">
        <f aca="false">INDEX(Segmentation!$H$2:$H$301,MATCH($A120,Segmentation!$A$2:$A$301,0))</f>
        <v>AM-Owned / Self-Serving</v>
      </c>
      <c r="F120" s="2" t="str">
        <f aca="false">INDEX(Segmentation!$J$2:$J$301,MATCH($A120,Segmentation!$A$2:$A$301,0))</f>
        <v>Tail</v>
      </c>
      <c r="G120" s="2" t="str">
        <f aca="false">INDEX(Segmentation!$N$2:$N$301,MATCH($A120,Segmentation!$A$2:$A$301,0))</f>
        <v>Lapsed</v>
      </c>
      <c r="H120" s="2" t="str">
        <f aca="false">INDEX(Segmentation!$T$2:$T$301,MATCH($A120,Segmentation!$A$2:$A$301,0))</f>
        <v>9. Long-Tail Automated Nurture</v>
      </c>
      <c r="I120" s="2" t="str">
        <f aca="false">INDEX(Segmentation!$G$2:$G$301,MATCH($A120,Segmentation!$A$2:$A$301,0))</f>
        <v>Low</v>
      </c>
      <c r="J120" s="9" t="n">
        <f aca="false">INDEX(Segmentation!$I$2:$I$301,MATCH($A120,Segmentation!$A$2:$A$301,0))</f>
        <v>489</v>
      </c>
      <c r="K120" s="2" t="n">
        <f aca="false">INDEX(Segmentation!$O$2:$O$301,MATCH($A120,Segmentation!$A$2:$A$301,0))</f>
        <v>2</v>
      </c>
      <c r="L120" s="2" t="n">
        <f aca="false">INDEX(Segmentation!$Q$2:$Q$301,MATCH($A120,Segmentation!$A$2:$A$301,0))</f>
        <v>2</v>
      </c>
      <c r="M120" s="2" t="n">
        <f aca="false">INDEX(Segmentation!$W$2:$W$301,MATCH($A120,Segmentation!$A$2:$A$301,0))</f>
        <v>1</v>
      </c>
      <c r="N120" s="2" t="str">
        <f aca="false">INDEX(Segmentation!$AF$2:$AF$301,MATCH($A120,Segmentation!$A$2:$A$301,0))</f>
        <v>Existing Customer</v>
      </c>
      <c r="O120" s="2" t="n">
        <f aca="false">INDEX(Segmentation!$R$2:$R$301,MATCH($A120,Segmentation!$A$2:$A$301,0))</f>
        <v>37</v>
      </c>
      <c r="P120" s="2" t="n">
        <v>371</v>
      </c>
      <c r="Q120" s="2" t="n">
        <f aca="false">INDEX(Segmentation!$S$2:$S$301,MATCH($A120,Segmentation!$A$2:$A$301,0))</f>
        <v>1</v>
      </c>
      <c r="R120" s="2" t="n">
        <v>3</v>
      </c>
      <c r="S120" s="2" t="n">
        <v>0</v>
      </c>
      <c r="T120" s="2" t="n">
        <v>0</v>
      </c>
      <c r="U120" s="2" t="n">
        <v>2</v>
      </c>
      <c r="V120" s="2" t="n">
        <v>100</v>
      </c>
      <c r="W120" s="2" t="str">
        <f aca="false">IF(V120=100,"Bundle-only",IF(V120=0,"Handpick-only","Mixed"))</f>
        <v>Bundle-only</v>
      </c>
      <c r="X120" s="17" t="n">
        <f aca="false">L120/K120</f>
        <v>1</v>
      </c>
      <c r="Y120" s="9" t="n">
        <f aca="false">J120/K120</f>
        <v>244.5</v>
      </c>
      <c r="Z120" s="10" t="b">
        <f aca="false">O120&gt;=Assumptions!$B$57</f>
        <v>1</v>
      </c>
      <c r="AA120" s="10" t="b">
        <f aca="false">P120&gt;=Assumptions!$B$58</f>
        <v>1</v>
      </c>
      <c r="AB120" s="10" t="b">
        <f aca="false">Q120&gt;=Assumptions!$B$59</f>
        <v>0</v>
      </c>
      <c r="AC120" s="2" t="n">
        <f aca="false">Z120*1+AA120*1+AB120*1</f>
        <v>2</v>
      </c>
      <c r="AD120" s="2" t="str">
        <f aca="false">IF(E120="Broker-Reliant","Broker-led, product-blind",IF(AND(I120="Low",F120&lt;&gt;"Tail",OR(G120="Declining",G120="Lapsed"),OR(O120&gt;=Assumptions!$B$60,P120&gt;=Assumptions!$B$61)),"Engaged but shrinking (Key/Core)",IF(AND(O120&gt;=Assumptions!$B$60,P120&gt;=Assumptions!$B$61,Q120&gt;=Assumptions!$B$62,K120&gt;=Assumptions!$B$63),"Independent browser-buyer",IF(AND(OR(O120&gt;=Assumptions!$B$60,P120&gt;=Assumptions!$B$61),K120&lt;=2),"Engaged, not converting",IF(AND(K120=1,O120&lt;Assumptions!$B$60,P120&lt;Assumptions!$B$61),"One-off low-touch buyer","Light-touch repeat buyer")))))</f>
        <v>Engaged, not converting</v>
      </c>
      <c r="AE120" s="10" t="b">
        <f aca="false">INDEX(Segmentation!$AW$2:$AW$301,MATCH($A120,Segmentation!$A$2:$A$301,0))</f>
        <v>0</v>
      </c>
    </row>
    <row r="121" customFormat="false" ht="15" hidden="false" customHeight="false" outlineLevel="0" collapsed="false">
      <c r="A121" s="2" t="s">
        <v>693</v>
      </c>
      <c r="B121" s="2" t="s">
        <v>1571</v>
      </c>
      <c r="C121" s="2" t="s">
        <v>1640</v>
      </c>
      <c r="D121" s="2" t="s">
        <v>1655</v>
      </c>
      <c r="E121" s="2" t="str">
        <f aca="false">INDEX(Segmentation!$H$2:$H$301,MATCH($A121,Segmentation!$A$2:$A$301,0))</f>
        <v>AM-Owned / Self-Serving</v>
      </c>
      <c r="F121" s="2" t="str">
        <f aca="false">INDEX(Segmentation!$J$2:$J$301,MATCH($A121,Segmentation!$A$2:$A$301,0))</f>
        <v>Tail</v>
      </c>
      <c r="G121" s="2" t="str">
        <f aca="false">INDEX(Segmentation!$N$2:$N$301,MATCH($A121,Segmentation!$A$2:$A$301,0))</f>
        <v>Lapsed</v>
      </c>
      <c r="H121" s="2" t="str">
        <f aca="false">INDEX(Segmentation!$T$2:$T$301,MATCH($A121,Segmentation!$A$2:$A$301,0))</f>
        <v>9. Long-Tail Automated Nurture</v>
      </c>
      <c r="I121" s="2" t="str">
        <f aca="false">INDEX(Segmentation!$G$2:$G$301,MATCH($A121,Segmentation!$A$2:$A$301,0))</f>
        <v>Low</v>
      </c>
      <c r="J121" s="9" t="n">
        <f aca="false">INDEX(Segmentation!$I$2:$I$301,MATCH($A121,Segmentation!$A$2:$A$301,0))</f>
        <v>471</v>
      </c>
      <c r="K121" s="2" t="n">
        <f aca="false">INDEX(Segmentation!$O$2:$O$301,MATCH($A121,Segmentation!$A$2:$A$301,0))</f>
        <v>3</v>
      </c>
      <c r="L121" s="2" t="n">
        <f aca="false">INDEX(Segmentation!$Q$2:$Q$301,MATCH($A121,Segmentation!$A$2:$A$301,0))</f>
        <v>2</v>
      </c>
      <c r="M121" s="2" t="n">
        <f aca="false">INDEX(Segmentation!$W$2:$W$301,MATCH($A121,Segmentation!$A$2:$A$301,0))</f>
        <v>2</v>
      </c>
      <c r="N121" s="2" t="str">
        <f aca="false">INDEX(Segmentation!$AF$2:$AF$301,MATCH($A121,Segmentation!$A$2:$A$301,0))</f>
        <v>Existing Customer</v>
      </c>
      <c r="O121" s="2" t="n">
        <f aca="false">INDEX(Segmentation!$R$2:$R$301,MATCH($A121,Segmentation!$A$2:$A$301,0))</f>
        <v>21</v>
      </c>
      <c r="P121" s="2" t="n">
        <v>216</v>
      </c>
      <c r="Q121" s="2" t="n">
        <f aca="false">INDEX(Segmentation!$S$2:$S$301,MATCH($A121,Segmentation!$A$2:$A$301,0))</f>
        <v>9</v>
      </c>
      <c r="R121" s="2" t="n">
        <v>25</v>
      </c>
      <c r="S121" s="2" t="n">
        <v>1</v>
      </c>
      <c r="T121" s="2" t="n">
        <v>3</v>
      </c>
      <c r="U121" s="2" t="n">
        <v>0</v>
      </c>
      <c r="V121" s="2" t="n">
        <v>0</v>
      </c>
      <c r="W121" s="2" t="str">
        <f aca="false">IF(V121=100,"Bundle-only",IF(V121=0,"Handpick-only","Mixed"))</f>
        <v>Handpick-only</v>
      </c>
      <c r="X121" s="17" t="n">
        <f aca="false">L121/K121</f>
        <v>0.666666666666667</v>
      </c>
      <c r="Y121" s="9" t="n">
        <f aca="false">J121/K121</f>
        <v>157</v>
      </c>
      <c r="Z121" s="10" t="b">
        <f aca="false">O121&gt;=Assumptions!$B$57</f>
        <v>1</v>
      </c>
      <c r="AA121" s="10" t="b">
        <f aca="false">P121&gt;=Assumptions!$B$58</f>
        <v>1</v>
      </c>
      <c r="AB121" s="10" t="b">
        <f aca="false">Q121&gt;=Assumptions!$B$59</f>
        <v>1</v>
      </c>
      <c r="AC121" s="2" t="n">
        <f aca="false">Z121*1+AA121*1+AB121*1</f>
        <v>3</v>
      </c>
      <c r="AD121" s="2" t="str">
        <f aca="false">IF(E121="Broker-Reliant","Broker-led, product-blind",IF(AND(I121="Low",F121&lt;&gt;"Tail",OR(G121="Declining",G121="Lapsed"),OR(O121&gt;=Assumptions!$B$60,P121&gt;=Assumptions!$B$61)),"Engaged but shrinking (Key/Core)",IF(AND(O121&gt;=Assumptions!$B$60,P121&gt;=Assumptions!$B$61,Q121&gt;=Assumptions!$B$62,K121&gt;=Assumptions!$B$63),"Independent browser-buyer",IF(AND(OR(O121&gt;=Assumptions!$B$60,P121&gt;=Assumptions!$B$61),K121&lt;=2),"Engaged, not converting",IF(AND(K121=1,O121&lt;Assumptions!$B$60,P121&lt;Assumptions!$B$61),"One-off low-touch buyer","Light-touch repeat buyer")))))</f>
        <v>Independent browser-buyer</v>
      </c>
      <c r="AE121" s="10" t="b">
        <f aca="false">INDEX(Segmentation!$AW$2:$AW$301,MATCH($A121,Segmentation!$A$2:$A$301,0))</f>
        <v>0</v>
      </c>
    </row>
    <row r="122" customFormat="false" ht="15" hidden="false" customHeight="false" outlineLevel="0" collapsed="false">
      <c r="A122" s="2" t="s">
        <v>695</v>
      </c>
      <c r="B122" s="2" t="s">
        <v>1571</v>
      </c>
      <c r="C122" s="2" t="s">
        <v>1640</v>
      </c>
      <c r="D122" s="2" t="s">
        <v>1656</v>
      </c>
      <c r="E122" s="2" t="str">
        <f aca="false">INDEX(Segmentation!$H$2:$H$301,MATCH($A122,Segmentation!$A$2:$A$301,0))</f>
        <v>AM-Owned / Self-Serving</v>
      </c>
      <c r="F122" s="2" t="str">
        <f aca="false">INDEX(Segmentation!$J$2:$J$301,MATCH($A122,Segmentation!$A$2:$A$301,0))</f>
        <v>Tail</v>
      </c>
      <c r="G122" s="2" t="str">
        <f aca="false">INDEX(Segmentation!$N$2:$N$301,MATCH($A122,Segmentation!$A$2:$A$301,0))</f>
        <v>Lapsed</v>
      </c>
      <c r="H122" s="2" t="str">
        <f aca="false">INDEX(Segmentation!$T$2:$T$301,MATCH($A122,Segmentation!$A$2:$A$301,0))</f>
        <v>9. Long-Tail Automated Nurture</v>
      </c>
      <c r="I122" s="2" t="str">
        <f aca="false">INDEX(Segmentation!$G$2:$G$301,MATCH($A122,Segmentation!$A$2:$A$301,0))</f>
        <v>Low</v>
      </c>
      <c r="J122" s="9" t="n">
        <f aca="false">INDEX(Segmentation!$I$2:$I$301,MATCH($A122,Segmentation!$A$2:$A$301,0))</f>
        <v>468</v>
      </c>
      <c r="K122" s="2" t="n">
        <f aca="false">INDEX(Segmentation!$O$2:$O$301,MATCH($A122,Segmentation!$A$2:$A$301,0))</f>
        <v>1</v>
      </c>
      <c r="L122" s="2" t="n">
        <f aca="false">INDEX(Segmentation!$Q$2:$Q$301,MATCH($A122,Segmentation!$A$2:$A$301,0))</f>
        <v>1</v>
      </c>
      <c r="M122" s="2" t="n">
        <f aca="false">INDEX(Segmentation!$W$2:$W$301,MATCH($A122,Segmentation!$A$2:$A$301,0))</f>
        <v>1</v>
      </c>
      <c r="N122" s="2" t="str">
        <f aca="false">INDEX(Segmentation!$AF$2:$AF$301,MATCH($A122,Segmentation!$A$2:$A$301,0))</f>
        <v>Existing Customer</v>
      </c>
      <c r="O122" s="2" t="n">
        <f aca="false">INDEX(Segmentation!$R$2:$R$301,MATCH($A122,Segmentation!$A$2:$A$301,0))</f>
        <v>2</v>
      </c>
      <c r="P122" s="2" t="n">
        <v>1</v>
      </c>
      <c r="Q122" s="2" t="n">
        <f aca="false">INDEX(Segmentation!$S$2:$S$301,MATCH($A122,Segmentation!$A$2:$A$301,0))</f>
        <v>0</v>
      </c>
      <c r="R122" s="2" t="n">
        <v>47</v>
      </c>
      <c r="S122" s="2" t="n">
        <v>2</v>
      </c>
      <c r="T122" s="2" t="n">
        <v>1</v>
      </c>
      <c r="U122" s="2" t="n">
        <v>0</v>
      </c>
      <c r="V122" s="2" t="n">
        <v>0</v>
      </c>
      <c r="W122" s="2" t="str">
        <f aca="false">IF(V122=100,"Bundle-only",IF(V122=0,"Handpick-only","Mixed"))</f>
        <v>Handpick-only</v>
      </c>
      <c r="X122" s="17" t="n">
        <f aca="false">L122/K122</f>
        <v>1</v>
      </c>
      <c r="Y122" s="9" t="n">
        <f aca="false">J122/K122</f>
        <v>468</v>
      </c>
      <c r="Z122" s="10" t="b">
        <f aca="false">O122&gt;=Assumptions!$B$57</f>
        <v>0</v>
      </c>
      <c r="AA122" s="10" t="b">
        <f aca="false">P122&gt;=Assumptions!$B$58</f>
        <v>0</v>
      </c>
      <c r="AB122" s="10" t="b">
        <f aca="false">Q122&gt;=Assumptions!$B$59</f>
        <v>0</v>
      </c>
      <c r="AC122" s="2" t="n">
        <f aca="false">Z122*1+AA122*1+AB122*1</f>
        <v>0</v>
      </c>
      <c r="AD122" s="2" t="str">
        <f aca="false">IF(E122="Broker-Reliant","Broker-led, product-blind",IF(AND(I122="Low",F122&lt;&gt;"Tail",OR(G122="Declining",G122="Lapsed"),OR(O122&gt;=Assumptions!$B$60,P122&gt;=Assumptions!$B$61)),"Engaged but shrinking (Key/Core)",IF(AND(O122&gt;=Assumptions!$B$60,P122&gt;=Assumptions!$B$61,Q122&gt;=Assumptions!$B$62,K122&gt;=Assumptions!$B$63),"Independent browser-buyer",IF(AND(OR(O122&gt;=Assumptions!$B$60,P122&gt;=Assumptions!$B$61),K122&lt;=2),"Engaged, not converting",IF(AND(K122=1,O122&lt;Assumptions!$B$60,P122&lt;Assumptions!$B$61),"One-off low-touch buyer","Light-touch repeat buyer")))))</f>
        <v>One-off low-touch buyer</v>
      </c>
      <c r="AE122" s="10" t="b">
        <f aca="false">INDEX(Segmentation!$AW$2:$AW$301,MATCH($A122,Segmentation!$A$2:$A$301,0))</f>
        <v>0</v>
      </c>
    </row>
    <row r="123" customFormat="false" ht="15" hidden="false" customHeight="false" outlineLevel="0" collapsed="false">
      <c r="A123" s="2" t="s">
        <v>699</v>
      </c>
      <c r="B123" s="2" t="s">
        <v>1571</v>
      </c>
      <c r="C123" s="2" t="s">
        <v>1640</v>
      </c>
      <c r="D123" s="2" t="s">
        <v>1653</v>
      </c>
      <c r="E123" s="2" t="str">
        <f aca="false">INDEX(Segmentation!$H$2:$H$301,MATCH($A123,Segmentation!$A$2:$A$301,0))</f>
        <v>AM-Owned / Self-Serving</v>
      </c>
      <c r="F123" s="2" t="str">
        <f aca="false">INDEX(Segmentation!$J$2:$J$301,MATCH($A123,Segmentation!$A$2:$A$301,0))</f>
        <v>Tail</v>
      </c>
      <c r="G123" s="2" t="str">
        <f aca="false">INDEX(Segmentation!$N$2:$N$301,MATCH($A123,Segmentation!$A$2:$A$301,0))</f>
        <v>Lapsed</v>
      </c>
      <c r="H123" s="2" t="str">
        <f aca="false">INDEX(Segmentation!$T$2:$T$301,MATCH($A123,Segmentation!$A$2:$A$301,0))</f>
        <v>9. Long-Tail Automated Nurture</v>
      </c>
      <c r="I123" s="2" t="str">
        <f aca="false">INDEX(Segmentation!$G$2:$G$301,MATCH($A123,Segmentation!$A$2:$A$301,0))</f>
        <v>Low</v>
      </c>
      <c r="J123" s="9" t="n">
        <f aca="false">INDEX(Segmentation!$I$2:$I$301,MATCH($A123,Segmentation!$A$2:$A$301,0))</f>
        <v>459</v>
      </c>
      <c r="K123" s="2" t="n">
        <f aca="false">INDEX(Segmentation!$O$2:$O$301,MATCH($A123,Segmentation!$A$2:$A$301,0))</f>
        <v>4</v>
      </c>
      <c r="L123" s="2" t="n">
        <f aca="false">INDEX(Segmentation!$Q$2:$Q$301,MATCH($A123,Segmentation!$A$2:$A$301,0))</f>
        <v>4</v>
      </c>
      <c r="M123" s="2" t="n">
        <f aca="false">INDEX(Segmentation!$W$2:$W$301,MATCH($A123,Segmentation!$A$2:$A$301,0))</f>
        <v>2</v>
      </c>
      <c r="N123" s="2" t="str">
        <f aca="false">INDEX(Segmentation!$AF$2:$AF$301,MATCH($A123,Segmentation!$A$2:$A$301,0))</f>
        <v>Existing Customer</v>
      </c>
      <c r="O123" s="2" t="n">
        <f aca="false">INDEX(Segmentation!$R$2:$R$301,MATCH($A123,Segmentation!$A$2:$A$301,0))</f>
        <v>26</v>
      </c>
      <c r="P123" s="2" t="n">
        <v>209</v>
      </c>
      <c r="Q123" s="2" t="n">
        <f aca="false">INDEX(Segmentation!$S$2:$S$301,MATCH($A123,Segmentation!$A$2:$A$301,0))</f>
        <v>9</v>
      </c>
      <c r="R123" s="2" t="n">
        <v>39</v>
      </c>
      <c r="S123" s="2" t="n">
        <v>3</v>
      </c>
      <c r="T123" s="2" t="n">
        <v>4</v>
      </c>
      <c r="U123" s="2" t="n">
        <v>0</v>
      </c>
      <c r="V123" s="2" t="n">
        <v>0</v>
      </c>
      <c r="W123" s="2" t="str">
        <f aca="false">IF(V123=100,"Bundle-only",IF(V123=0,"Handpick-only","Mixed"))</f>
        <v>Handpick-only</v>
      </c>
      <c r="X123" s="17" t="n">
        <f aca="false">L123/K123</f>
        <v>1</v>
      </c>
      <c r="Y123" s="9" t="n">
        <f aca="false">J123/K123</f>
        <v>114.75</v>
      </c>
      <c r="Z123" s="10" t="b">
        <f aca="false">O123&gt;=Assumptions!$B$57</f>
        <v>1</v>
      </c>
      <c r="AA123" s="10" t="b">
        <f aca="false">P123&gt;=Assumptions!$B$58</f>
        <v>1</v>
      </c>
      <c r="AB123" s="10" t="b">
        <f aca="false">Q123&gt;=Assumptions!$B$59</f>
        <v>1</v>
      </c>
      <c r="AC123" s="2" t="n">
        <f aca="false">Z123*1+AA123*1+AB123*1</f>
        <v>3</v>
      </c>
      <c r="AD123" s="2" t="str">
        <f aca="false">IF(E123="Broker-Reliant","Broker-led, product-blind",IF(AND(I123="Low",F123&lt;&gt;"Tail",OR(G123="Declining",G123="Lapsed"),OR(O123&gt;=Assumptions!$B$60,P123&gt;=Assumptions!$B$61)),"Engaged but shrinking (Key/Core)",IF(AND(O123&gt;=Assumptions!$B$60,P123&gt;=Assumptions!$B$61,Q123&gt;=Assumptions!$B$62,K123&gt;=Assumptions!$B$63),"Independent browser-buyer",IF(AND(OR(O123&gt;=Assumptions!$B$60,P123&gt;=Assumptions!$B$61),K123&lt;=2),"Engaged, not converting",IF(AND(K123=1,O123&lt;Assumptions!$B$60,P123&lt;Assumptions!$B$61),"One-off low-touch buyer","Light-touch repeat buyer")))))</f>
        <v>Independent browser-buyer</v>
      </c>
      <c r="AE123" s="10" t="b">
        <f aca="false">INDEX(Segmentation!$AW$2:$AW$301,MATCH($A123,Segmentation!$A$2:$A$301,0))</f>
        <v>0</v>
      </c>
    </row>
    <row r="124" customFormat="false" ht="15" hidden="false" customHeight="false" outlineLevel="0" collapsed="false">
      <c r="A124" s="2" t="s">
        <v>703</v>
      </c>
      <c r="B124" s="2" t="s">
        <v>1571</v>
      </c>
      <c r="C124" s="2" t="s">
        <v>1640</v>
      </c>
      <c r="D124" s="2" t="s">
        <v>1653</v>
      </c>
      <c r="E124" s="2" t="str">
        <f aca="false">INDEX(Segmentation!$H$2:$H$301,MATCH($A124,Segmentation!$A$2:$A$301,0))</f>
        <v>Broker-Reliant</v>
      </c>
      <c r="F124" s="2" t="str">
        <f aca="false">INDEX(Segmentation!$J$2:$J$301,MATCH($A124,Segmentation!$A$2:$A$301,0))</f>
        <v>Tail</v>
      </c>
      <c r="G124" s="2" t="str">
        <f aca="false">INDEX(Segmentation!$N$2:$N$301,MATCH($A124,Segmentation!$A$2:$A$301,0))</f>
        <v>H2 Active / No H1 GMV</v>
      </c>
      <c r="H124" s="2" t="str">
        <f aca="false">INDEX(Segmentation!$T$2:$T$301,MATCH($A124,Segmentation!$A$2:$A$301,0))</f>
        <v>5. Cost-to-Serve / Low-Touch</v>
      </c>
      <c r="I124" s="2" t="str">
        <f aca="false">INDEX(Segmentation!$G$2:$G$301,MATCH($A124,Segmentation!$A$2:$A$301,0))</f>
        <v>High</v>
      </c>
      <c r="J124" s="9" t="n">
        <f aca="false">INDEX(Segmentation!$I$2:$I$301,MATCH($A124,Segmentation!$A$2:$A$301,0))</f>
        <v>454</v>
      </c>
      <c r="K124" s="2" t="n">
        <f aca="false">INDEX(Segmentation!$O$2:$O$301,MATCH($A124,Segmentation!$A$2:$A$301,0))</f>
        <v>3</v>
      </c>
      <c r="L124" s="2" t="n">
        <f aca="false">INDEX(Segmentation!$Q$2:$Q$301,MATCH($A124,Segmentation!$A$2:$A$301,0))</f>
        <v>1</v>
      </c>
      <c r="M124" s="2" t="n">
        <f aca="false">INDEX(Segmentation!$W$2:$W$301,MATCH($A124,Segmentation!$A$2:$A$301,0))</f>
        <v>1</v>
      </c>
      <c r="N124" s="2" t="str">
        <f aca="false">INDEX(Segmentation!$AF$2:$AF$301,MATCH($A124,Segmentation!$A$2:$A$301,0))</f>
        <v>Returned Customer</v>
      </c>
      <c r="O124" s="2" t="n">
        <f aca="false">INDEX(Segmentation!$R$2:$R$301,MATCH($A124,Segmentation!$A$2:$A$301,0))</f>
        <v>4</v>
      </c>
      <c r="P124" s="2" t="n">
        <v>1</v>
      </c>
      <c r="Q124" s="2" t="n">
        <f aca="false">INDEX(Segmentation!$S$2:$S$301,MATCH($A124,Segmentation!$A$2:$A$301,0))</f>
        <v>1</v>
      </c>
      <c r="R124" s="2" t="n">
        <v>2</v>
      </c>
      <c r="S124" s="2" t="n">
        <v>0</v>
      </c>
      <c r="T124" s="2" t="n">
        <v>0</v>
      </c>
      <c r="U124" s="2" t="n">
        <v>3</v>
      </c>
      <c r="V124" s="2" t="n">
        <v>100</v>
      </c>
      <c r="W124" s="2" t="str">
        <f aca="false">IF(V124=100,"Bundle-only",IF(V124=0,"Handpick-only","Mixed"))</f>
        <v>Bundle-only</v>
      </c>
      <c r="X124" s="17" t="n">
        <f aca="false">L124/K124</f>
        <v>0.333333333333333</v>
      </c>
      <c r="Y124" s="9" t="n">
        <f aca="false">J124/K124</f>
        <v>151.333333333333</v>
      </c>
      <c r="Z124" s="10" t="b">
        <f aca="false">O124&gt;=Assumptions!$B$57</f>
        <v>0</v>
      </c>
      <c r="AA124" s="10" t="b">
        <f aca="false">P124&gt;=Assumptions!$B$58</f>
        <v>0</v>
      </c>
      <c r="AB124" s="10" t="b">
        <f aca="false">Q124&gt;=Assumptions!$B$59</f>
        <v>0</v>
      </c>
      <c r="AC124" s="2" t="n">
        <f aca="false">Z124*1+AA124*1+AB124*1</f>
        <v>0</v>
      </c>
      <c r="AD124" s="2" t="str">
        <f aca="false">IF(E124="Broker-Reliant","Broker-led, product-blind",IF(AND(I124="Low",F124&lt;&gt;"Tail",OR(G124="Declining",G124="Lapsed"),OR(O124&gt;=Assumptions!$B$60,P124&gt;=Assumptions!$B$61)),"Engaged but shrinking (Key/Core)",IF(AND(O124&gt;=Assumptions!$B$60,P124&gt;=Assumptions!$B$61,Q124&gt;=Assumptions!$B$62,K124&gt;=Assumptions!$B$63),"Independent browser-buyer",IF(AND(OR(O124&gt;=Assumptions!$B$60,P124&gt;=Assumptions!$B$61),K124&lt;=2),"Engaged, not converting",IF(AND(K124=1,O124&lt;Assumptions!$B$60,P124&lt;Assumptions!$B$61),"One-off low-touch buyer","Light-touch repeat buyer")))))</f>
        <v>Broker-led, product-blind</v>
      </c>
      <c r="AE124" s="10" t="b">
        <f aca="false">INDEX(Segmentation!$AW$2:$AW$301,MATCH($A124,Segmentation!$A$2:$A$301,0))</f>
        <v>0</v>
      </c>
    </row>
    <row r="125" customFormat="false" ht="15" hidden="false" customHeight="false" outlineLevel="0" collapsed="false">
      <c r="A125" s="2" t="s">
        <v>705</v>
      </c>
      <c r="B125" s="2" t="s">
        <v>1571</v>
      </c>
      <c r="C125" s="2" t="s">
        <v>1640</v>
      </c>
      <c r="D125" s="2" t="s">
        <v>1657</v>
      </c>
      <c r="E125" s="2" t="str">
        <f aca="false">INDEX(Segmentation!$H$2:$H$301,MATCH($A125,Segmentation!$A$2:$A$301,0))</f>
        <v>AM-Owned / Self-Serving</v>
      </c>
      <c r="F125" s="2" t="str">
        <f aca="false">INDEX(Segmentation!$J$2:$J$301,MATCH($A125,Segmentation!$A$2:$A$301,0))</f>
        <v>Tail</v>
      </c>
      <c r="G125" s="2" t="str">
        <f aca="false">INDEX(Segmentation!$N$2:$N$301,MATCH($A125,Segmentation!$A$2:$A$301,0))</f>
        <v>Lapsed</v>
      </c>
      <c r="H125" s="2" t="str">
        <f aca="false">INDEX(Segmentation!$T$2:$T$301,MATCH($A125,Segmentation!$A$2:$A$301,0))</f>
        <v>9. Long-Tail Automated Nurture</v>
      </c>
      <c r="I125" s="2" t="str">
        <f aca="false">INDEX(Segmentation!$G$2:$G$301,MATCH($A125,Segmentation!$A$2:$A$301,0))</f>
        <v>Low</v>
      </c>
      <c r="J125" s="9" t="n">
        <f aca="false">INDEX(Segmentation!$I$2:$I$301,MATCH($A125,Segmentation!$A$2:$A$301,0))</f>
        <v>447</v>
      </c>
      <c r="K125" s="2" t="n">
        <f aca="false">INDEX(Segmentation!$O$2:$O$301,MATCH($A125,Segmentation!$A$2:$A$301,0))</f>
        <v>1</v>
      </c>
      <c r="L125" s="2" t="n">
        <f aca="false">INDEX(Segmentation!$Q$2:$Q$301,MATCH($A125,Segmentation!$A$2:$A$301,0))</f>
        <v>1</v>
      </c>
      <c r="M125" s="2" t="n">
        <f aca="false">INDEX(Segmentation!$W$2:$W$301,MATCH($A125,Segmentation!$A$2:$A$301,0))</f>
        <v>1</v>
      </c>
      <c r="N125" s="2" t="str">
        <f aca="false">INDEX(Segmentation!$AF$2:$AF$301,MATCH($A125,Segmentation!$A$2:$A$301,0))</f>
        <v>Existing Customer</v>
      </c>
      <c r="O125" s="2" t="n">
        <f aca="false">INDEX(Segmentation!$R$2:$R$301,MATCH($A125,Segmentation!$A$2:$A$301,0))</f>
        <v>4</v>
      </c>
      <c r="P125" s="2" t="n">
        <v>29</v>
      </c>
      <c r="Q125" s="2" t="n">
        <f aca="false">INDEX(Segmentation!$S$2:$S$301,MATCH($A125,Segmentation!$A$2:$A$301,0))</f>
        <v>2</v>
      </c>
      <c r="R125" s="2" t="n">
        <v>4</v>
      </c>
      <c r="S125" s="2" t="n">
        <v>1</v>
      </c>
      <c r="T125" s="2" t="n">
        <v>0</v>
      </c>
      <c r="U125" s="2" t="n">
        <v>1</v>
      </c>
      <c r="V125" s="2" t="n">
        <v>100</v>
      </c>
      <c r="W125" s="2" t="str">
        <f aca="false">IF(V125=100,"Bundle-only",IF(V125=0,"Handpick-only","Mixed"))</f>
        <v>Bundle-only</v>
      </c>
      <c r="X125" s="17" t="n">
        <f aca="false">L125/K125</f>
        <v>1</v>
      </c>
      <c r="Y125" s="9" t="n">
        <f aca="false">J125/K125</f>
        <v>447</v>
      </c>
      <c r="Z125" s="10" t="b">
        <f aca="false">O125&gt;=Assumptions!$B$57</f>
        <v>0</v>
      </c>
      <c r="AA125" s="10" t="b">
        <f aca="false">P125&gt;=Assumptions!$B$58</f>
        <v>0</v>
      </c>
      <c r="AB125" s="10" t="b">
        <f aca="false">Q125&gt;=Assumptions!$B$59</f>
        <v>0</v>
      </c>
      <c r="AC125" s="2" t="n">
        <f aca="false">Z125*1+AA125*1+AB125*1</f>
        <v>0</v>
      </c>
      <c r="AD125" s="2" t="str">
        <f aca="false">IF(E125="Broker-Reliant","Broker-led, product-blind",IF(AND(I125="Low",F125&lt;&gt;"Tail",OR(G125="Declining",G125="Lapsed"),OR(O125&gt;=Assumptions!$B$60,P125&gt;=Assumptions!$B$61)),"Engaged but shrinking (Key/Core)",IF(AND(O125&gt;=Assumptions!$B$60,P125&gt;=Assumptions!$B$61,Q125&gt;=Assumptions!$B$62,K125&gt;=Assumptions!$B$63),"Independent browser-buyer",IF(AND(OR(O125&gt;=Assumptions!$B$60,P125&gt;=Assumptions!$B$61),K125&lt;=2),"Engaged, not converting",IF(AND(K125=1,O125&lt;Assumptions!$B$60,P125&lt;Assumptions!$B$61),"One-off low-touch buyer","Light-touch repeat buyer")))))</f>
        <v>One-off low-touch buyer</v>
      </c>
      <c r="AE125" s="10" t="b">
        <f aca="false">INDEX(Segmentation!$AW$2:$AW$301,MATCH($A125,Segmentation!$A$2:$A$301,0))</f>
        <v>0</v>
      </c>
    </row>
    <row r="126" customFormat="false" ht="15" hidden="false" customHeight="false" outlineLevel="0" collapsed="false">
      <c r="A126" s="2" t="s">
        <v>707</v>
      </c>
      <c r="B126" s="2" t="s">
        <v>1571</v>
      </c>
      <c r="C126" s="2" t="s">
        <v>1641</v>
      </c>
      <c r="D126" s="2" t="s">
        <v>1655</v>
      </c>
      <c r="E126" s="2" t="str">
        <f aca="false">INDEX(Segmentation!$H$2:$H$301,MATCH($A126,Segmentation!$A$2:$A$301,0))</f>
        <v>AM-Owned / Self-Serving</v>
      </c>
      <c r="F126" s="2" t="str">
        <f aca="false">INDEX(Segmentation!$J$2:$J$301,MATCH($A126,Segmentation!$A$2:$A$301,0))</f>
        <v>Tail</v>
      </c>
      <c r="G126" s="2" t="str">
        <f aca="false">INDEX(Segmentation!$N$2:$N$301,MATCH($A126,Segmentation!$A$2:$A$301,0))</f>
        <v>Lapsed</v>
      </c>
      <c r="H126" s="2" t="str">
        <f aca="false">INDEX(Segmentation!$T$2:$T$301,MATCH($A126,Segmentation!$A$2:$A$301,0))</f>
        <v>9. Long-Tail Automated Nurture</v>
      </c>
      <c r="I126" s="2" t="str">
        <f aca="false">INDEX(Segmentation!$G$2:$G$301,MATCH($A126,Segmentation!$A$2:$A$301,0))</f>
        <v>Low</v>
      </c>
      <c r="J126" s="9" t="n">
        <f aca="false">INDEX(Segmentation!$I$2:$I$301,MATCH($A126,Segmentation!$A$2:$A$301,0))</f>
        <v>446</v>
      </c>
      <c r="K126" s="2" t="n">
        <f aca="false">INDEX(Segmentation!$O$2:$O$301,MATCH($A126,Segmentation!$A$2:$A$301,0))</f>
        <v>2</v>
      </c>
      <c r="L126" s="2" t="n">
        <f aca="false">INDEX(Segmentation!$Q$2:$Q$301,MATCH($A126,Segmentation!$A$2:$A$301,0))</f>
        <v>2</v>
      </c>
      <c r="M126" s="2" t="n">
        <f aca="false">INDEX(Segmentation!$W$2:$W$301,MATCH($A126,Segmentation!$A$2:$A$301,0))</f>
        <v>1</v>
      </c>
      <c r="N126" s="2" t="str">
        <f aca="false">INDEX(Segmentation!$AF$2:$AF$301,MATCH($A126,Segmentation!$A$2:$A$301,0))</f>
        <v>Existing Customer</v>
      </c>
      <c r="O126" s="2" t="n">
        <f aca="false">INDEX(Segmentation!$R$2:$R$301,MATCH($A126,Segmentation!$A$2:$A$301,0))</f>
        <v>22</v>
      </c>
      <c r="P126" s="2" t="n">
        <v>210</v>
      </c>
      <c r="Q126" s="2" t="n">
        <f aca="false">INDEX(Segmentation!$S$2:$S$301,MATCH($A126,Segmentation!$A$2:$A$301,0))</f>
        <v>2</v>
      </c>
      <c r="R126" s="2" t="n">
        <v>3</v>
      </c>
      <c r="S126" s="2" t="n">
        <v>0</v>
      </c>
      <c r="T126" s="2" t="n">
        <v>0</v>
      </c>
      <c r="U126" s="2" t="n">
        <v>2</v>
      </c>
      <c r="V126" s="2" t="n">
        <v>100</v>
      </c>
      <c r="W126" s="2" t="str">
        <f aca="false">IF(V126=100,"Bundle-only",IF(V126=0,"Handpick-only","Mixed"))</f>
        <v>Bundle-only</v>
      </c>
      <c r="X126" s="17" t="n">
        <f aca="false">L126/K126</f>
        <v>1</v>
      </c>
      <c r="Y126" s="9" t="n">
        <f aca="false">J126/K126</f>
        <v>223</v>
      </c>
      <c r="Z126" s="10" t="b">
        <f aca="false">O126&gt;=Assumptions!$B$57</f>
        <v>1</v>
      </c>
      <c r="AA126" s="10" t="b">
        <f aca="false">P126&gt;=Assumptions!$B$58</f>
        <v>1</v>
      </c>
      <c r="AB126" s="10" t="b">
        <f aca="false">Q126&gt;=Assumptions!$B$59</f>
        <v>0</v>
      </c>
      <c r="AC126" s="2" t="n">
        <f aca="false">Z126*1+AA126*1+AB126*1</f>
        <v>2</v>
      </c>
      <c r="AD126" s="2" t="str">
        <f aca="false">IF(E126="Broker-Reliant","Broker-led, product-blind",IF(AND(I126="Low",F126&lt;&gt;"Tail",OR(G126="Declining",G126="Lapsed"),OR(O126&gt;=Assumptions!$B$60,P126&gt;=Assumptions!$B$61)),"Engaged but shrinking (Key/Core)",IF(AND(O126&gt;=Assumptions!$B$60,P126&gt;=Assumptions!$B$61,Q126&gt;=Assumptions!$B$62,K126&gt;=Assumptions!$B$63),"Independent browser-buyer",IF(AND(OR(O126&gt;=Assumptions!$B$60,P126&gt;=Assumptions!$B$61),K126&lt;=2),"Engaged, not converting",IF(AND(K126=1,O126&lt;Assumptions!$B$60,P126&lt;Assumptions!$B$61),"One-off low-touch buyer","Light-touch repeat buyer")))))</f>
        <v>Engaged, not converting</v>
      </c>
      <c r="AE126" s="10" t="b">
        <f aca="false">INDEX(Segmentation!$AW$2:$AW$301,MATCH($A126,Segmentation!$A$2:$A$301,0))</f>
        <v>0</v>
      </c>
    </row>
    <row r="127" customFormat="false" ht="15" hidden="false" customHeight="false" outlineLevel="0" collapsed="false">
      <c r="A127" s="2" t="s">
        <v>709</v>
      </c>
      <c r="B127" s="2" t="s">
        <v>1571</v>
      </c>
      <c r="C127" s="2" t="s">
        <v>1640</v>
      </c>
      <c r="D127" s="2" t="s">
        <v>1653</v>
      </c>
      <c r="E127" s="2" t="str">
        <f aca="false">INDEX(Segmentation!$H$2:$H$301,MATCH($A127,Segmentation!$A$2:$A$301,0))</f>
        <v>AM-Owned / Self-Serving</v>
      </c>
      <c r="F127" s="2" t="str">
        <f aca="false">INDEX(Segmentation!$J$2:$J$301,MATCH($A127,Segmentation!$A$2:$A$301,0))</f>
        <v>Tail</v>
      </c>
      <c r="G127" s="2" t="str">
        <f aca="false">INDEX(Segmentation!$N$2:$N$301,MATCH($A127,Segmentation!$A$2:$A$301,0))</f>
        <v>Lapsed</v>
      </c>
      <c r="H127" s="2" t="str">
        <f aca="false">INDEX(Segmentation!$T$2:$T$301,MATCH($A127,Segmentation!$A$2:$A$301,0))</f>
        <v>9. Long-Tail Automated Nurture</v>
      </c>
      <c r="I127" s="2" t="str">
        <f aca="false">INDEX(Segmentation!$G$2:$G$301,MATCH($A127,Segmentation!$A$2:$A$301,0))</f>
        <v>Low</v>
      </c>
      <c r="J127" s="9" t="n">
        <f aca="false">INDEX(Segmentation!$I$2:$I$301,MATCH($A127,Segmentation!$A$2:$A$301,0))</f>
        <v>443</v>
      </c>
      <c r="K127" s="2" t="n">
        <f aca="false">INDEX(Segmentation!$O$2:$O$301,MATCH($A127,Segmentation!$A$2:$A$301,0))</f>
        <v>1</v>
      </c>
      <c r="L127" s="2" t="n">
        <f aca="false">INDEX(Segmentation!$Q$2:$Q$301,MATCH($A127,Segmentation!$A$2:$A$301,0))</f>
        <v>1</v>
      </c>
      <c r="M127" s="2" t="n">
        <f aca="false">INDEX(Segmentation!$W$2:$W$301,MATCH($A127,Segmentation!$A$2:$A$301,0))</f>
        <v>1</v>
      </c>
      <c r="N127" s="2" t="str">
        <f aca="false">INDEX(Segmentation!$AF$2:$AF$301,MATCH($A127,Segmentation!$A$2:$A$301,0))</f>
        <v>Existing Customer</v>
      </c>
      <c r="O127" s="2" t="n">
        <f aca="false">INDEX(Segmentation!$R$2:$R$301,MATCH($A127,Segmentation!$A$2:$A$301,0))</f>
        <v>16</v>
      </c>
      <c r="P127" s="2" t="n">
        <v>63</v>
      </c>
      <c r="Q127" s="2" t="n">
        <f aca="false">INDEX(Segmentation!$S$2:$S$301,MATCH($A127,Segmentation!$A$2:$A$301,0))</f>
        <v>0</v>
      </c>
      <c r="R127" s="2" t="n">
        <v>14</v>
      </c>
      <c r="S127" s="2" t="n">
        <v>0</v>
      </c>
      <c r="T127" s="2" t="n">
        <v>1</v>
      </c>
      <c r="U127" s="2" t="n">
        <v>0</v>
      </c>
      <c r="V127" s="2" t="n">
        <v>0</v>
      </c>
      <c r="W127" s="2" t="str">
        <f aca="false">IF(V127=100,"Bundle-only",IF(V127=0,"Handpick-only","Mixed"))</f>
        <v>Handpick-only</v>
      </c>
      <c r="X127" s="17" t="n">
        <f aca="false">L127/K127</f>
        <v>1</v>
      </c>
      <c r="Y127" s="9" t="n">
        <f aca="false">J127/K127</f>
        <v>443</v>
      </c>
      <c r="Z127" s="10" t="b">
        <f aca="false">O127&gt;=Assumptions!$B$57</f>
        <v>1</v>
      </c>
      <c r="AA127" s="10" t="b">
        <f aca="false">P127&gt;=Assumptions!$B$58</f>
        <v>1</v>
      </c>
      <c r="AB127" s="10" t="b">
        <f aca="false">Q127&gt;=Assumptions!$B$59</f>
        <v>0</v>
      </c>
      <c r="AC127" s="2" t="n">
        <f aca="false">Z127*1+AA127*1+AB127*1</f>
        <v>2</v>
      </c>
      <c r="AD127" s="2" t="str">
        <f aca="false">IF(E127="Broker-Reliant","Broker-led, product-blind",IF(AND(I127="Low",F127&lt;&gt;"Tail",OR(G127="Declining",G127="Lapsed"),OR(O127&gt;=Assumptions!$B$60,P127&gt;=Assumptions!$B$61)),"Engaged but shrinking (Key/Core)",IF(AND(O127&gt;=Assumptions!$B$60,P127&gt;=Assumptions!$B$61,Q127&gt;=Assumptions!$B$62,K127&gt;=Assumptions!$B$63),"Independent browser-buyer",IF(AND(OR(O127&gt;=Assumptions!$B$60,P127&gt;=Assumptions!$B$61),K127&lt;=2),"Engaged, not converting",IF(AND(K127=1,O127&lt;Assumptions!$B$60,P127&lt;Assumptions!$B$61),"One-off low-touch buyer","Light-touch repeat buyer")))))</f>
        <v>One-off low-touch buyer</v>
      </c>
      <c r="AE127" s="10" t="b">
        <f aca="false">INDEX(Segmentation!$AW$2:$AW$301,MATCH($A127,Segmentation!$A$2:$A$301,0))</f>
        <v>0</v>
      </c>
    </row>
    <row r="128" customFormat="false" ht="15" hidden="false" customHeight="false" outlineLevel="0" collapsed="false">
      <c r="A128" s="2" t="s">
        <v>724</v>
      </c>
      <c r="B128" s="2" t="s">
        <v>1571</v>
      </c>
      <c r="C128" s="2" t="s">
        <v>1640</v>
      </c>
      <c r="D128" s="2" t="s">
        <v>1658</v>
      </c>
      <c r="E128" s="2" t="str">
        <f aca="false">INDEX(Segmentation!$H$2:$H$301,MATCH($A128,Segmentation!$A$2:$A$301,0))</f>
        <v>AM-Owned / Self-Serving</v>
      </c>
      <c r="F128" s="2" t="str">
        <f aca="false">INDEX(Segmentation!$J$2:$J$301,MATCH($A128,Segmentation!$A$2:$A$301,0))</f>
        <v>Tail</v>
      </c>
      <c r="G128" s="2" t="str">
        <f aca="false">INDEX(Segmentation!$N$2:$N$301,MATCH($A128,Segmentation!$A$2:$A$301,0))</f>
        <v>Lapsed</v>
      </c>
      <c r="H128" s="2" t="str">
        <f aca="false">INDEX(Segmentation!$T$2:$T$301,MATCH($A128,Segmentation!$A$2:$A$301,0))</f>
        <v>9. Long-Tail Automated Nurture</v>
      </c>
      <c r="I128" s="2" t="str">
        <f aca="false">INDEX(Segmentation!$G$2:$G$301,MATCH($A128,Segmentation!$A$2:$A$301,0))</f>
        <v>Low</v>
      </c>
      <c r="J128" s="9" t="n">
        <f aca="false">INDEX(Segmentation!$I$2:$I$301,MATCH($A128,Segmentation!$A$2:$A$301,0))</f>
        <v>392</v>
      </c>
      <c r="K128" s="2" t="n">
        <f aca="false">INDEX(Segmentation!$O$2:$O$301,MATCH($A128,Segmentation!$A$2:$A$301,0))</f>
        <v>1</v>
      </c>
      <c r="L128" s="2" t="n">
        <f aca="false">INDEX(Segmentation!$Q$2:$Q$301,MATCH($A128,Segmentation!$A$2:$A$301,0))</f>
        <v>1</v>
      </c>
      <c r="M128" s="2" t="n">
        <f aca="false">INDEX(Segmentation!$W$2:$W$301,MATCH($A128,Segmentation!$A$2:$A$301,0))</f>
        <v>1</v>
      </c>
      <c r="N128" s="2" t="str">
        <f aca="false">INDEX(Segmentation!$AF$2:$AF$301,MATCH($A128,Segmentation!$A$2:$A$301,0))</f>
        <v>Existing Customer</v>
      </c>
      <c r="O128" s="2" t="n">
        <f aca="false">INDEX(Segmentation!$R$2:$R$301,MATCH($A128,Segmentation!$A$2:$A$301,0))</f>
        <v>13</v>
      </c>
      <c r="P128" s="2" t="n">
        <v>55</v>
      </c>
      <c r="Q128" s="2" t="n">
        <f aca="false">INDEX(Segmentation!$S$2:$S$301,MATCH($A128,Segmentation!$A$2:$A$301,0))</f>
        <v>1</v>
      </c>
      <c r="R128" s="2" t="n">
        <v>37</v>
      </c>
      <c r="S128" s="2" t="n">
        <v>0</v>
      </c>
      <c r="T128" s="2" t="n">
        <v>0</v>
      </c>
      <c r="U128" s="2" t="n">
        <v>1</v>
      </c>
      <c r="V128" s="2" t="n">
        <v>100</v>
      </c>
      <c r="W128" s="2" t="str">
        <f aca="false">IF(V128=100,"Bundle-only",IF(V128=0,"Handpick-only","Mixed"))</f>
        <v>Bundle-only</v>
      </c>
      <c r="X128" s="17" t="n">
        <f aca="false">L128/K128</f>
        <v>1</v>
      </c>
      <c r="Y128" s="9" t="n">
        <f aca="false">J128/K128</f>
        <v>392</v>
      </c>
      <c r="Z128" s="10" t="b">
        <f aca="false">O128&gt;=Assumptions!$B$57</f>
        <v>1</v>
      </c>
      <c r="AA128" s="10" t="b">
        <f aca="false">P128&gt;=Assumptions!$B$58</f>
        <v>1</v>
      </c>
      <c r="AB128" s="10" t="b">
        <f aca="false">Q128&gt;=Assumptions!$B$59</f>
        <v>0</v>
      </c>
      <c r="AC128" s="2" t="n">
        <f aca="false">Z128*1+AA128*1+AB128*1</f>
        <v>2</v>
      </c>
      <c r="AD128" s="2" t="str">
        <f aca="false">IF(E128="Broker-Reliant","Broker-led, product-blind",IF(AND(I128="Low",F128&lt;&gt;"Tail",OR(G128="Declining",G128="Lapsed"),OR(O128&gt;=Assumptions!$B$60,P128&gt;=Assumptions!$B$61)),"Engaged but shrinking (Key/Core)",IF(AND(O128&gt;=Assumptions!$B$60,P128&gt;=Assumptions!$B$61,Q128&gt;=Assumptions!$B$62,K128&gt;=Assumptions!$B$63),"Independent browser-buyer",IF(AND(OR(O128&gt;=Assumptions!$B$60,P128&gt;=Assumptions!$B$61),K128&lt;=2),"Engaged, not converting",IF(AND(K128=1,O128&lt;Assumptions!$B$60,P128&lt;Assumptions!$B$61),"One-off low-touch buyer","Light-touch repeat buyer")))))</f>
        <v>One-off low-touch buyer</v>
      </c>
      <c r="AE128" s="10" t="b">
        <f aca="false">INDEX(Segmentation!$AW$2:$AW$301,MATCH($A128,Segmentation!$A$2:$A$301,0))</f>
        <v>0</v>
      </c>
    </row>
    <row r="129" customFormat="false" ht="15" hidden="false" customHeight="false" outlineLevel="0" collapsed="false">
      <c r="A129" s="2" t="s">
        <v>726</v>
      </c>
      <c r="B129" s="2" t="s">
        <v>1571</v>
      </c>
      <c r="C129" s="2" t="s">
        <v>1640</v>
      </c>
      <c r="D129" s="2" t="s">
        <v>1657</v>
      </c>
      <c r="E129" s="2" t="str">
        <f aca="false">INDEX(Segmentation!$H$2:$H$301,MATCH($A129,Segmentation!$A$2:$A$301,0))</f>
        <v>Broker-Reliant</v>
      </c>
      <c r="F129" s="2" t="str">
        <f aca="false">INDEX(Segmentation!$J$2:$J$301,MATCH($A129,Segmentation!$A$2:$A$301,0))</f>
        <v>Tail</v>
      </c>
      <c r="G129" s="2" t="str">
        <f aca="false">INDEX(Segmentation!$N$2:$N$301,MATCH($A129,Segmentation!$A$2:$A$301,0))</f>
        <v>Lapsed</v>
      </c>
      <c r="H129" s="2" t="str">
        <f aca="false">INDEX(Segmentation!$T$2:$T$301,MATCH($A129,Segmentation!$A$2:$A$301,0))</f>
        <v>5. Cost-to-Serve / Low-Touch</v>
      </c>
      <c r="I129" s="2" t="str">
        <f aca="false">INDEX(Segmentation!$G$2:$G$301,MATCH($A129,Segmentation!$A$2:$A$301,0))</f>
        <v>High</v>
      </c>
      <c r="J129" s="9" t="n">
        <f aca="false">INDEX(Segmentation!$I$2:$I$301,MATCH($A129,Segmentation!$A$2:$A$301,0))</f>
        <v>386</v>
      </c>
      <c r="K129" s="2" t="n">
        <f aca="false">INDEX(Segmentation!$O$2:$O$301,MATCH($A129,Segmentation!$A$2:$A$301,0))</f>
        <v>2</v>
      </c>
      <c r="L129" s="2" t="n">
        <f aca="false">INDEX(Segmentation!$Q$2:$Q$301,MATCH($A129,Segmentation!$A$2:$A$301,0))</f>
        <v>1</v>
      </c>
      <c r="M129" s="2" t="n">
        <f aca="false">INDEX(Segmentation!$W$2:$W$301,MATCH($A129,Segmentation!$A$2:$A$301,0))</f>
        <v>1</v>
      </c>
      <c r="N129" s="2" t="str">
        <f aca="false">INDEX(Segmentation!$AF$2:$AF$301,MATCH($A129,Segmentation!$A$2:$A$301,0))</f>
        <v>Existing Customer</v>
      </c>
      <c r="O129" s="2" t="n">
        <f aca="false">INDEX(Segmentation!$R$2:$R$301,MATCH($A129,Segmentation!$A$2:$A$301,0))</f>
        <v>7</v>
      </c>
      <c r="P129" s="2" t="n">
        <v>1</v>
      </c>
      <c r="Q129" s="2" t="n">
        <f aca="false">INDEX(Segmentation!$S$2:$S$301,MATCH($A129,Segmentation!$A$2:$A$301,0))</f>
        <v>1</v>
      </c>
      <c r="R129" s="2" t="n">
        <v>36</v>
      </c>
      <c r="S129" s="2" t="n">
        <v>6</v>
      </c>
      <c r="T129" s="2" t="n">
        <v>0</v>
      </c>
      <c r="U129" s="2" t="n">
        <v>2</v>
      </c>
      <c r="V129" s="2" t="n">
        <v>100</v>
      </c>
      <c r="W129" s="2" t="str">
        <f aca="false">IF(V129=100,"Bundle-only",IF(V129=0,"Handpick-only","Mixed"))</f>
        <v>Bundle-only</v>
      </c>
      <c r="X129" s="17" t="n">
        <f aca="false">L129/K129</f>
        <v>0.5</v>
      </c>
      <c r="Y129" s="9" t="n">
        <f aca="false">J129/K129</f>
        <v>193</v>
      </c>
      <c r="Z129" s="10" t="b">
        <f aca="false">O129&gt;=Assumptions!$B$57</f>
        <v>0</v>
      </c>
      <c r="AA129" s="10" t="b">
        <f aca="false">P129&gt;=Assumptions!$B$58</f>
        <v>0</v>
      </c>
      <c r="AB129" s="10" t="b">
        <f aca="false">Q129&gt;=Assumptions!$B$59</f>
        <v>0</v>
      </c>
      <c r="AC129" s="2" t="n">
        <f aca="false">Z129*1+AA129*1+AB129*1</f>
        <v>0</v>
      </c>
      <c r="AD129" s="2" t="str">
        <f aca="false">IF(E129="Broker-Reliant","Broker-led, product-blind",IF(AND(I129="Low",F129&lt;&gt;"Tail",OR(G129="Declining",G129="Lapsed"),OR(O129&gt;=Assumptions!$B$60,P129&gt;=Assumptions!$B$61)),"Engaged but shrinking (Key/Core)",IF(AND(O129&gt;=Assumptions!$B$60,P129&gt;=Assumptions!$B$61,Q129&gt;=Assumptions!$B$62,K129&gt;=Assumptions!$B$63),"Independent browser-buyer",IF(AND(OR(O129&gt;=Assumptions!$B$60,P129&gt;=Assumptions!$B$61),K129&lt;=2),"Engaged, not converting",IF(AND(K129=1,O129&lt;Assumptions!$B$60,P129&lt;Assumptions!$B$61),"One-off low-touch buyer","Light-touch repeat buyer")))))</f>
        <v>Broker-led, product-blind</v>
      </c>
      <c r="AE129" s="10" t="b">
        <f aca="false">INDEX(Segmentation!$AW$2:$AW$301,MATCH($A129,Segmentation!$A$2:$A$301,0))</f>
        <v>0</v>
      </c>
    </row>
    <row r="130" customFormat="false" ht="15" hidden="false" customHeight="false" outlineLevel="0" collapsed="false">
      <c r="A130" s="2" t="s">
        <v>730</v>
      </c>
      <c r="B130" s="2" t="s">
        <v>1571</v>
      </c>
      <c r="C130" s="2" t="s">
        <v>1640</v>
      </c>
      <c r="D130" s="2" t="s">
        <v>1657</v>
      </c>
      <c r="E130" s="2" t="str">
        <f aca="false">INDEX(Segmentation!$H$2:$H$301,MATCH($A130,Segmentation!$A$2:$A$301,0))</f>
        <v>Broker-Reliant</v>
      </c>
      <c r="F130" s="2" t="str">
        <f aca="false">INDEX(Segmentation!$J$2:$J$301,MATCH($A130,Segmentation!$A$2:$A$301,0))</f>
        <v>Tail</v>
      </c>
      <c r="G130" s="2" t="str">
        <f aca="false">INDEX(Segmentation!$N$2:$N$301,MATCH($A130,Segmentation!$A$2:$A$301,0))</f>
        <v>Lapsed</v>
      </c>
      <c r="H130" s="2" t="str">
        <f aca="false">INDEX(Segmentation!$T$2:$T$301,MATCH($A130,Segmentation!$A$2:$A$301,0))</f>
        <v>5. Cost-to-Serve / Low-Touch</v>
      </c>
      <c r="I130" s="2" t="str">
        <f aca="false">INDEX(Segmentation!$G$2:$G$301,MATCH($A130,Segmentation!$A$2:$A$301,0))</f>
        <v>High</v>
      </c>
      <c r="J130" s="9" t="n">
        <f aca="false">INDEX(Segmentation!$I$2:$I$301,MATCH($A130,Segmentation!$A$2:$A$301,0))</f>
        <v>379</v>
      </c>
      <c r="K130" s="2" t="n">
        <f aca="false">INDEX(Segmentation!$O$2:$O$301,MATCH($A130,Segmentation!$A$2:$A$301,0))</f>
        <v>2</v>
      </c>
      <c r="L130" s="2" t="n">
        <f aca="false">INDEX(Segmentation!$Q$2:$Q$301,MATCH($A130,Segmentation!$A$2:$A$301,0))</f>
        <v>1</v>
      </c>
      <c r="M130" s="2" t="n">
        <f aca="false">INDEX(Segmentation!$W$2:$W$301,MATCH($A130,Segmentation!$A$2:$A$301,0))</f>
        <v>2</v>
      </c>
      <c r="N130" s="2" t="str">
        <f aca="false">INDEX(Segmentation!$AF$2:$AF$301,MATCH($A130,Segmentation!$A$2:$A$301,0))</f>
        <v>Existing Customer</v>
      </c>
      <c r="O130" s="2" t="n">
        <f aca="false">INDEX(Segmentation!$R$2:$R$301,MATCH($A130,Segmentation!$A$2:$A$301,0))</f>
        <v>4</v>
      </c>
      <c r="P130" s="2" t="n">
        <v>6</v>
      </c>
      <c r="Q130" s="2" t="n">
        <f aca="false">INDEX(Segmentation!$S$2:$S$301,MATCH($A130,Segmentation!$A$2:$A$301,0))</f>
        <v>1</v>
      </c>
      <c r="R130" s="2" t="n">
        <v>0</v>
      </c>
      <c r="S130" s="2" t="n">
        <v>0</v>
      </c>
      <c r="T130" s="2" t="n">
        <v>0</v>
      </c>
      <c r="U130" s="2" t="n">
        <v>2</v>
      </c>
      <c r="V130" s="2" t="n">
        <v>100</v>
      </c>
      <c r="W130" s="2" t="str">
        <f aca="false">IF(V130=100,"Bundle-only",IF(V130=0,"Handpick-only","Mixed"))</f>
        <v>Bundle-only</v>
      </c>
      <c r="X130" s="17" t="n">
        <f aca="false">L130/K130</f>
        <v>0.5</v>
      </c>
      <c r="Y130" s="9" t="n">
        <f aca="false">J130/K130</f>
        <v>189.5</v>
      </c>
      <c r="Z130" s="10" t="b">
        <f aca="false">O130&gt;=Assumptions!$B$57</f>
        <v>0</v>
      </c>
      <c r="AA130" s="10" t="b">
        <f aca="false">P130&gt;=Assumptions!$B$58</f>
        <v>0</v>
      </c>
      <c r="AB130" s="10" t="b">
        <f aca="false">Q130&gt;=Assumptions!$B$59</f>
        <v>0</v>
      </c>
      <c r="AC130" s="2" t="n">
        <f aca="false">Z130*1+AA130*1+AB130*1</f>
        <v>0</v>
      </c>
      <c r="AD130" s="2" t="str">
        <f aca="false">IF(E130="Broker-Reliant","Broker-led, product-blind",IF(AND(I130="Low",F130&lt;&gt;"Tail",OR(G130="Declining",G130="Lapsed"),OR(O130&gt;=Assumptions!$B$60,P130&gt;=Assumptions!$B$61)),"Engaged but shrinking (Key/Core)",IF(AND(O130&gt;=Assumptions!$B$60,P130&gt;=Assumptions!$B$61,Q130&gt;=Assumptions!$B$62,K130&gt;=Assumptions!$B$63),"Independent browser-buyer",IF(AND(OR(O130&gt;=Assumptions!$B$60,P130&gt;=Assumptions!$B$61),K130&lt;=2),"Engaged, not converting",IF(AND(K130=1,O130&lt;Assumptions!$B$60,P130&lt;Assumptions!$B$61),"One-off low-touch buyer","Light-touch repeat buyer")))))</f>
        <v>Broker-led, product-blind</v>
      </c>
      <c r="AE130" s="10" t="b">
        <f aca="false">INDEX(Segmentation!$AW$2:$AW$301,MATCH($A130,Segmentation!$A$2:$A$301,0))</f>
        <v>0</v>
      </c>
    </row>
    <row r="131" customFormat="false" ht="15" hidden="false" customHeight="false" outlineLevel="0" collapsed="false">
      <c r="A131" s="2" t="s">
        <v>732</v>
      </c>
      <c r="B131" s="2" t="s">
        <v>1571</v>
      </c>
      <c r="C131" s="2" t="s">
        <v>1640</v>
      </c>
      <c r="D131" s="2" t="s">
        <v>1653</v>
      </c>
      <c r="E131" s="2" t="str">
        <f aca="false">INDEX(Segmentation!$H$2:$H$301,MATCH($A131,Segmentation!$A$2:$A$301,0))</f>
        <v>AM-Owned / Self-Serving</v>
      </c>
      <c r="F131" s="2" t="str">
        <f aca="false">INDEX(Segmentation!$J$2:$J$301,MATCH($A131,Segmentation!$A$2:$A$301,0))</f>
        <v>Tail</v>
      </c>
      <c r="G131" s="2" t="str">
        <f aca="false">INDEX(Segmentation!$N$2:$N$301,MATCH($A131,Segmentation!$A$2:$A$301,0))</f>
        <v>Lapsed</v>
      </c>
      <c r="H131" s="2" t="str">
        <f aca="false">INDEX(Segmentation!$T$2:$T$301,MATCH($A131,Segmentation!$A$2:$A$301,0))</f>
        <v>9. Long-Tail Automated Nurture</v>
      </c>
      <c r="I131" s="2" t="str">
        <f aca="false">INDEX(Segmentation!$G$2:$G$301,MATCH($A131,Segmentation!$A$2:$A$301,0))</f>
        <v>Low</v>
      </c>
      <c r="J131" s="9" t="n">
        <f aca="false">INDEX(Segmentation!$I$2:$I$301,MATCH($A131,Segmentation!$A$2:$A$301,0))</f>
        <v>377</v>
      </c>
      <c r="K131" s="2" t="n">
        <f aca="false">INDEX(Segmentation!$O$2:$O$301,MATCH($A131,Segmentation!$A$2:$A$301,0))</f>
        <v>1</v>
      </c>
      <c r="L131" s="2" t="n">
        <f aca="false">INDEX(Segmentation!$Q$2:$Q$301,MATCH($A131,Segmentation!$A$2:$A$301,0))</f>
        <v>1</v>
      </c>
      <c r="M131" s="2" t="n">
        <f aca="false">INDEX(Segmentation!$W$2:$W$301,MATCH($A131,Segmentation!$A$2:$A$301,0))</f>
        <v>1</v>
      </c>
      <c r="N131" s="2" t="str">
        <f aca="false">INDEX(Segmentation!$AF$2:$AF$301,MATCH($A131,Segmentation!$A$2:$A$301,0))</f>
        <v>Existing Customer</v>
      </c>
      <c r="O131" s="2" t="n">
        <f aca="false">INDEX(Segmentation!$R$2:$R$301,MATCH($A131,Segmentation!$A$2:$A$301,0))</f>
        <v>8</v>
      </c>
      <c r="P131" s="2" t="n">
        <v>29</v>
      </c>
      <c r="Q131" s="2" t="n">
        <f aca="false">INDEX(Segmentation!$S$2:$S$301,MATCH($A131,Segmentation!$A$2:$A$301,0))</f>
        <v>1</v>
      </c>
      <c r="R131" s="2" t="n">
        <v>5</v>
      </c>
      <c r="S131" s="2" t="n">
        <v>0</v>
      </c>
      <c r="T131" s="2" t="n">
        <v>1</v>
      </c>
      <c r="U131" s="2" t="n">
        <v>0</v>
      </c>
      <c r="V131" s="2" t="n">
        <v>0</v>
      </c>
      <c r="W131" s="2" t="str">
        <f aca="false">IF(V131=100,"Bundle-only",IF(V131=0,"Handpick-only","Mixed"))</f>
        <v>Handpick-only</v>
      </c>
      <c r="X131" s="17" t="n">
        <f aca="false">L131/K131</f>
        <v>1</v>
      </c>
      <c r="Y131" s="9" t="n">
        <f aca="false">J131/K131</f>
        <v>377</v>
      </c>
      <c r="Z131" s="10" t="b">
        <f aca="false">O131&gt;=Assumptions!$B$57</f>
        <v>0</v>
      </c>
      <c r="AA131" s="10" t="b">
        <f aca="false">P131&gt;=Assumptions!$B$58</f>
        <v>0</v>
      </c>
      <c r="AB131" s="10" t="b">
        <f aca="false">Q131&gt;=Assumptions!$B$59</f>
        <v>0</v>
      </c>
      <c r="AC131" s="2" t="n">
        <f aca="false">Z131*1+AA131*1+AB131*1</f>
        <v>0</v>
      </c>
      <c r="AD131" s="2" t="str">
        <f aca="false">IF(E131="Broker-Reliant","Broker-led, product-blind",IF(AND(I131="Low",F131&lt;&gt;"Tail",OR(G131="Declining",G131="Lapsed"),OR(O131&gt;=Assumptions!$B$60,P131&gt;=Assumptions!$B$61)),"Engaged but shrinking (Key/Core)",IF(AND(O131&gt;=Assumptions!$B$60,P131&gt;=Assumptions!$B$61,Q131&gt;=Assumptions!$B$62,K131&gt;=Assumptions!$B$63),"Independent browser-buyer",IF(AND(OR(O131&gt;=Assumptions!$B$60,P131&gt;=Assumptions!$B$61),K131&lt;=2),"Engaged, not converting",IF(AND(K131=1,O131&lt;Assumptions!$B$60,P131&lt;Assumptions!$B$61),"One-off low-touch buyer","Light-touch repeat buyer")))))</f>
        <v>One-off low-touch buyer</v>
      </c>
      <c r="AE131" s="10" t="b">
        <f aca="false">INDEX(Segmentation!$AW$2:$AW$301,MATCH($A131,Segmentation!$A$2:$A$301,0))</f>
        <v>0</v>
      </c>
    </row>
    <row r="132" customFormat="false" ht="15" hidden="false" customHeight="false" outlineLevel="0" collapsed="false">
      <c r="A132" s="2" t="s">
        <v>738</v>
      </c>
      <c r="B132" s="2" t="s">
        <v>1571</v>
      </c>
      <c r="C132" s="2" t="s">
        <v>1640</v>
      </c>
      <c r="D132" s="2" t="s">
        <v>1654</v>
      </c>
      <c r="E132" s="2" t="str">
        <f aca="false">INDEX(Segmentation!$H$2:$H$301,MATCH($A132,Segmentation!$A$2:$A$301,0))</f>
        <v>AM-Owned / Self-Serving</v>
      </c>
      <c r="F132" s="2" t="str">
        <f aca="false">INDEX(Segmentation!$J$2:$J$301,MATCH($A132,Segmentation!$A$2:$A$301,0))</f>
        <v>Tail</v>
      </c>
      <c r="G132" s="2" t="str">
        <f aca="false">INDEX(Segmentation!$N$2:$N$301,MATCH($A132,Segmentation!$A$2:$A$301,0))</f>
        <v>H2 Active / No H1 GMV</v>
      </c>
      <c r="H132" s="2" t="str">
        <f aca="false">INDEX(Segmentation!$T$2:$T$301,MATCH($A132,Segmentation!$A$2:$A$301,0))</f>
        <v>9. Long-Tail Automated Nurture</v>
      </c>
      <c r="I132" s="2" t="str">
        <f aca="false">INDEX(Segmentation!$G$2:$G$301,MATCH($A132,Segmentation!$A$2:$A$301,0))</f>
        <v>Low</v>
      </c>
      <c r="J132" s="9" t="n">
        <f aca="false">INDEX(Segmentation!$I$2:$I$301,MATCH($A132,Segmentation!$A$2:$A$301,0))</f>
        <v>363</v>
      </c>
      <c r="K132" s="2" t="n">
        <f aca="false">INDEX(Segmentation!$O$2:$O$301,MATCH($A132,Segmentation!$A$2:$A$301,0))</f>
        <v>1</v>
      </c>
      <c r="L132" s="2" t="n">
        <f aca="false">INDEX(Segmentation!$Q$2:$Q$301,MATCH($A132,Segmentation!$A$2:$A$301,0))</f>
        <v>1</v>
      </c>
      <c r="M132" s="2" t="n">
        <f aca="false">INDEX(Segmentation!$W$2:$W$301,MATCH($A132,Segmentation!$A$2:$A$301,0))</f>
        <v>1</v>
      </c>
      <c r="N132" s="2" t="str">
        <f aca="false">INDEX(Segmentation!$AF$2:$AF$301,MATCH($A132,Segmentation!$A$2:$A$301,0))</f>
        <v>Returned Customer</v>
      </c>
      <c r="O132" s="2" t="n">
        <f aca="false">INDEX(Segmentation!$R$2:$R$301,MATCH($A132,Segmentation!$A$2:$A$301,0))</f>
        <v>10</v>
      </c>
      <c r="P132" s="2" t="n">
        <v>113</v>
      </c>
      <c r="Q132" s="2" t="n">
        <f aca="false">INDEX(Segmentation!$S$2:$S$301,MATCH($A132,Segmentation!$A$2:$A$301,0))</f>
        <v>0</v>
      </c>
      <c r="R132" s="2" t="n">
        <v>24</v>
      </c>
      <c r="S132" s="2" t="n">
        <v>6</v>
      </c>
      <c r="T132" s="2" t="n">
        <v>1</v>
      </c>
      <c r="U132" s="2" t="n">
        <v>0</v>
      </c>
      <c r="V132" s="2" t="n">
        <v>0</v>
      </c>
      <c r="W132" s="2" t="str">
        <f aca="false">IF(V132=100,"Bundle-only",IF(V132=0,"Handpick-only","Mixed"))</f>
        <v>Handpick-only</v>
      </c>
      <c r="X132" s="17" t="n">
        <f aca="false">L132/K132</f>
        <v>1</v>
      </c>
      <c r="Y132" s="9" t="n">
        <f aca="false">J132/K132</f>
        <v>363</v>
      </c>
      <c r="Z132" s="10" t="b">
        <f aca="false">O132&gt;=Assumptions!$B$57</f>
        <v>1</v>
      </c>
      <c r="AA132" s="10" t="b">
        <f aca="false">P132&gt;=Assumptions!$B$58</f>
        <v>1</v>
      </c>
      <c r="AB132" s="10" t="b">
        <f aca="false">Q132&gt;=Assumptions!$B$59</f>
        <v>0</v>
      </c>
      <c r="AC132" s="2" t="n">
        <f aca="false">Z132*1+AA132*1+AB132*1</f>
        <v>2</v>
      </c>
      <c r="AD132" s="2" t="str">
        <f aca="false">IF(E132="Broker-Reliant","Broker-led, product-blind",IF(AND(I132="Low",F132&lt;&gt;"Tail",OR(G132="Declining",G132="Lapsed"),OR(O132&gt;=Assumptions!$B$60,P132&gt;=Assumptions!$B$61)),"Engaged but shrinking (Key/Core)",IF(AND(O132&gt;=Assumptions!$B$60,P132&gt;=Assumptions!$B$61,Q132&gt;=Assumptions!$B$62,K132&gt;=Assumptions!$B$63),"Independent browser-buyer",IF(AND(OR(O132&gt;=Assumptions!$B$60,P132&gt;=Assumptions!$B$61),K132&lt;=2),"Engaged, not converting",IF(AND(K132=1,O132&lt;Assumptions!$B$60,P132&lt;Assumptions!$B$61),"One-off low-touch buyer","Light-touch repeat buyer")))))</f>
        <v>One-off low-touch buyer</v>
      </c>
      <c r="AE132" s="10" t="b">
        <f aca="false">INDEX(Segmentation!$AW$2:$AW$301,MATCH($A132,Segmentation!$A$2:$A$301,0))</f>
        <v>0</v>
      </c>
    </row>
    <row r="133" customFormat="false" ht="15" hidden="false" customHeight="false" outlineLevel="0" collapsed="false">
      <c r="A133" s="2" t="s">
        <v>740</v>
      </c>
      <c r="B133" s="2" t="s">
        <v>1571</v>
      </c>
      <c r="C133" s="2" t="s">
        <v>1640</v>
      </c>
      <c r="D133" s="2" t="s">
        <v>1656</v>
      </c>
      <c r="E133" s="2" t="str">
        <f aca="false">INDEX(Segmentation!$H$2:$H$301,MATCH($A133,Segmentation!$A$2:$A$301,0))</f>
        <v>AM-Owned / Self-Serving</v>
      </c>
      <c r="F133" s="2" t="str">
        <f aca="false">INDEX(Segmentation!$J$2:$J$301,MATCH($A133,Segmentation!$A$2:$A$301,0))</f>
        <v>Tail</v>
      </c>
      <c r="G133" s="2" t="str">
        <f aca="false">INDEX(Segmentation!$N$2:$N$301,MATCH($A133,Segmentation!$A$2:$A$301,0))</f>
        <v>Lapsed</v>
      </c>
      <c r="H133" s="2" t="str">
        <f aca="false">INDEX(Segmentation!$T$2:$T$301,MATCH($A133,Segmentation!$A$2:$A$301,0))</f>
        <v>9. Long-Tail Automated Nurture</v>
      </c>
      <c r="I133" s="2" t="str">
        <f aca="false">INDEX(Segmentation!$G$2:$G$301,MATCH($A133,Segmentation!$A$2:$A$301,0))</f>
        <v>Low</v>
      </c>
      <c r="J133" s="9" t="n">
        <f aca="false">INDEX(Segmentation!$I$2:$I$301,MATCH($A133,Segmentation!$A$2:$A$301,0))</f>
        <v>360</v>
      </c>
      <c r="K133" s="2" t="n">
        <f aca="false">INDEX(Segmentation!$O$2:$O$301,MATCH($A133,Segmentation!$A$2:$A$301,0))</f>
        <v>1</v>
      </c>
      <c r="L133" s="2" t="n">
        <f aca="false">INDEX(Segmentation!$Q$2:$Q$301,MATCH($A133,Segmentation!$A$2:$A$301,0))</f>
        <v>1</v>
      </c>
      <c r="M133" s="2" t="n">
        <f aca="false">INDEX(Segmentation!$W$2:$W$301,MATCH($A133,Segmentation!$A$2:$A$301,0))</f>
        <v>1</v>
      </c>
      <c r="N133" s="2" t="str">
        <f aca="false">INDEX(Segmentation!$AF$2:$AF$301,MATCH($A133,Segmentation!$A$2:$A$301,0))</f>
        <v>Existing Customer</v>
      </c>
      <c r="O133" s="2" t="n">
        <f aca="false">INDEX(Segmentation!$R$2:$R$301,MATCH($A133,Segmentation!$A$2:$A$301,0))</f>
        <v>21</v>
      </c>
      <c r="P133" s="2" t="n">
        <v>144</v>
      </c>
      <c r="Q133" s="2" t="n">
        <f aca="false">INDEX(Segmentation!$S$2:$S$301,MATCH($A133,Segmentation!$A$2:$A$301,0))</f>
        <v>0</v>
      </c>
      <c r="R133" s="2" t="n">
        <v>47</v>
      </c>
      <c r="S133" s="2" t="n">
        <v>0</v>
      </c>
      <c r="T133" s="2" t="n">
        <v>0</v>
      </c>
      <c r="U133" s="2" t="n">
        <v>1</v>
      </c>
      <c r="V133" s="2" t="n">
        <v>100</v>
      </c>
      <c r="W133" s="2" t="str">
        <f aca="false">IF(V133=100,"Bundle-only",IF(V133=0,"Handpick-only","Mixed"))</f>
        <v>Bundle-only</v>
      </c>
      <c r="X133" s="17" t="n">
        <f aca="false">L133/K133</f>
        <v>1</v>
      </c>
      <c r="Y133" s="9" t="n">
        <f aca="false">J133/K133</f>
        <v>360</v>
      </c>
      <c r="Z133" s="10" t="b">
        <f aca="false">O133&gt;=Assumptions!$B$57</f>
        <v>1</v>
      </c>
      <c r="AA133" s="10" t="b">
        <f aca="false">P133&gt;=Assumptions!$B$58</f>
        <v>1</v>
      </c>
      <c r="AB133" s="10" t="b">
        <f aca="false">Q133&gt;=Assumptions!$B$59</f>
        <v>0</v>
      </c>
      <c r="AC133" s="2" t="n">
        <f aca="false">Z133*1+AA133*1+AB133*1</f>
        <v>2</v>
      </c>
      <c r="AD133" s="2" t="str">
        <f aca="false">IF(E133="Broker-Reliant","Broker-led, product-blind",IF(AND(I133="Low",F133&lt;&gt;"Tail",OR(G133="Declining",G133="Lapsed"),OR(O133&gt;=Assumptions!$B$60,P133&gt;=Assumptions!$B$61)),"Engaged but shrinking (Key/Core)",IF(AND(O133&gt;=Assumptions!$B$60,P133&gt;=Assumptions!$B$61,Q133&gt;=Assumptions!$B$62,K133&gt;=Assumptions!$B$63),"Independent browser-buyer",IF(AND(OR(O133&gt;=Assumptions!$B$60,P133&gt;=Assumptions!$B$61),K133&lt;=2),"Engaged, not converting",IF(AND(K133=1,O133&lt;Assumptions!$B$60,P133&lt;Assumptions!$B$61),"One-off low-touch buyer","Light-touch repeat buyer")))))</f>
        <v>Engaged, not converting</v>
      </c>
      <c r="AE133" s="10" t="b">
        <f aca="false">INDEX(Segmentation!$AW$2:$AW$301,MATCH($A133,Segmentation!$A$2:$A$301,0))</f>
        <v>0</v>
      </c>
    </row>
    <row r="134" customFormat="false" ht="15" hidden="false" customHeight="false" outlineLevel="0" collapsed="false">
      <c r="A134" s="2" t="s">
        <v>742</v>
      </c>
      <c r="B134" s="2" t="s">
        <v>1571</v>
      </c>
      <c r="C134" s="2" t="s">
        <v>1640</v>
      </c>
      <c r="D134" s="2" t="s">
        <v>1653</v>
      </c>
      <c r="E134" s="2" t="str">
        <f aca="false">INDEX(Segmentation!$H$2:$H$301,MATCH($A134,Segmentation!$A$2:$A$301,0))</f>
        <v>AM-Owned / Self-Serving</v>
      </c>
      <c r="F134" s="2" t="str">
        <f aca="false">INDEX(Segmentation!$J$2:$J$301,MATCH($A134,Segmentation!$A$2:$A$301,0))</f>
        <v>Tail</v>
      </c>
      <c r="G134" s="2" t="str">
        <f aca="false">INDEX(Segmentation!$N$2:$N$301,MATCH($A134,Segmentation!$A$2:$A$301,0))</f>
        <v>Lapsed</v>
      </c>
      <c r="H134" s="2" t="str">
        <f aca="false">INDEX(Segmentation!$T$2:$T$301,MATCH($A134,Segmentation!$A$2:$A$301,0))</f>
        <v>9. Long-Tail Automated Nurture</v>
      </c>
      <c r="I134" s="2" t="str">
        <f aca="false">INDEX(Segmentation!$G$2:$G$301,MATCH($A134,Segmentation!$A$2:$A$301,0))</f>
        <v>Low</v>
      </c>
      <c r="J134" s="9" t="n">
        <f aca="false">INDEX(Segmentation!$I$2:$I$301,MATCH($A134,Segmentation!$A$2:$A$301,0))</f>
        <v>356</v>
      </c>
      <c r="K134" s="2" t="n">
        <f aca="false">INDEX(Segmentation!$O$2:$O$301,MATCH($A134,Segmentation!$A$2:$A$301,0))</f>
        <v>1</v>
      </c>
      <c r="L134" s="2" t="n">
        <f aca="false">INDEX(Segmentation!$Q$2:$Q$301,MATCH($A134,Segmentation!$A$2:$A$301,0))</f>
        <v>1</v>
      </c>
      <c r="M134" s="2" t="n">
        <f aca="false">INDEX(Segmentation!$W$2:$W$301,MATCH($A134,Segmentation!$A$2:$A$301,0))</f>
        <v>1</v>
      </c>
      <c r="N134" s="2" t="str">
        <f aca="false">INDEX(Segmentation!$AF$2:$AF$301,MATCH($A134,Segmentation!$A$2:$A$301,0))</f>
        <v>Existing Customer</v>
      </c>
      <c r="O134" s="2" t="n">
        <f aca="false">INDEX(Segmentation!$R$2:$R$301,MATCH($A134,Segmentation!$A$2:$A$301,0))</f>
        <v>3</v>
      </c>
      <c r="P134" s="2" t="n">
        <v>65</v>
      </c>
      <c r="Q134" s="2" t="n">
        <f aca="false">INDEX(Segmentation!$S$2:$S$301,MATCH($A134,Segmentation!$A$2:$A$301,0))</f>
        <v>0</v>
      </c>
      <c r="R134" s="2" t="n">
        <v>0</v>
      </c>
      <c r="S134" s="2" t="n">
        <v>0</v>
      </c>
      <c r="T134" s="2" t="n">
        <v>0</v>
      </c>
      <c r="U134" s="2" t="n">
        <v>1</v>
      </c>
      <c r="V134" s="2" t="n">
        <v>100</v>
      </c>
      <c r="W134" s="2" t="str">
        <f aca="false">IF(V134=100,"Bundle-only",IF(V134=0,"Handpick-only","Mixed"))</f>
        <v>Bundle-only</v>
      </c>
      <c r="X134" s="17" t="n">
        <f aca="false">L134/K134</f>
        <v>1</v>
      </c>
      <c r="Y134" s="9" t="n">
        <f aca="false">J134/K134</f>
        <v>356</v>
      </c>
      <c r="Z134" s="10" t="b">
        <f aca="false">O134&gt;=Assumptions!$B$57</f>
        <v>0</v>
      </c>
      <c r="AA134" s="10" t="b">
        <f aca="false">P134&gt;=Assumptions!$B$58</f>
        <v>1</v>
      </c>
      <c r="AB134" s="10" t="b">
        <f aca="false">Q134&gt;=Assumptions!$B$59</f>
        <v>0</v>
      </c>
      <c r="AC134" s="2" t="n">
        <f aca="false">Z134*1+AA134*1+AB134*1</f>
        <v>1</v>
      </c>
      <c r="AD134" s="2" t="str">
        <f aca="false">IF(E134="Broker-Reliant","Broker-led, product-blind",IF(AND(I134="Low",F134&lt;&gt;"Tail",OR(G134="Declining",G134="Lapsed"),OR(O134&gt;=Assumptions!$B$60,P134&gt;=Assumptions!$B$61)),"Engaged but shrinking (Key/Core)",IF(AND(O134&gt;=Assumptions!$B$60,P134&gt;=Assumptions!$B$61,Q134&gt;=Assumptions!$B$62,K134&gt;=Assumptions!$B$63),"Independent browser-buyer",IF(AND(OR(O134&gt;=Assumptions!$B$60,P134&gt;=Assumptions!$B$61),K134&lt;=2),"Engaged, not converting",IF(AND(K134=1,O134&lt;Assumptions!$B$60,P134&lt;Assumptions!$B$61),"One-off low-touch buyer","Light-touch repeat buyer")))))</f>
        <v>One-off low-touch buyer</v>
      </c>
      <c r="AE134" s="10" t="b">
        <f aca="false">INDEX(Segmentation!$AW$2:$AW$301,MATCH($A134,Segmentation!$A$2:$A$301,0))</f>
        <v>0</v>
      </c>
    </row>
    <row r="135" customFormat="false" ht="15" hidden="false" customHeight="false" outlineLevel="0" collapsed="false">
      <c r="A135" s="2" t="s">
        <v>744</v>
      </c>
      <c r="B135" s="2" t="s">
        <v>1571</v>
      </c>
      <c r="C135" s="2" t="s">
        <v>1640</v>
      </c>
      <c r="D135" s="2" t="s">
        <v>1655</v>
      </c>
      <c r="E135" s="2" t="str">
        <f aca="false">INDEX(Segmentation!$H$2:$H$301,MATCH($A135,Segmentation!$A$2:$A$301,0))</f>
        <v>AM-Owned / Self-Serving</v>
      </c>
      <c r="F135" s="2" t="str">
        <f aca="false">INDEX(Segmentation!$J$2:$J$301,MATCH($A135,Segmentation!$A$2:$A$301,0))</f>
        <v>Tail</v>
      </c>
      <c r="G135" s="2" t="str">
        <f aca="false">INDEX(Segmentation!$N$2:$N$301,MATCH($A135,Segmentation!$A$2:$A$301,0))</f>
        <v>H2 Active / No H1 GMV</v>
      </c>
      <c r="H135" s="2" t="str">
        <f aca="false">INDEX(Segmentation!$T$2:$T$301,MATCH($A135,Segmentation!$A$2:$A$301,0))</f>
        <v>9. Long-Tail Automated Nurture</v>
      </c>
      <c r="I135" s="2" t="str">
        <f aca="false">INDEX(Segmentation!$G$2:$G$301,MATCH($A135,Segmentation!$A$2:$A$301,0))</f>
        <v>Low</v>
      </c>
      <c r="J135" s="9" t="n">
        <f aca="false">INDEX(Segmentation!$I$2:$I$301,MATCH($A135,Segmentation!$A$2:$A$301,0))</f>
        <v>355</v>
      </c>
      <c r="K135" s="2" t="n">
        <f aca="false">INDEX(Segmentation!$O$2:$O$301,MATCH($A135,Segmentation!$A$2:$A$301,0))</f>
        <v>1</v>
      </c>
      <c r="L135" s="2" t="n">
        <f aca="false">INDEX(Segmentation!$Q$2:$Q$301,MATCH($A135,Segmentation!$A$2:$A$301,0))</f>
        <v>1</v>
      </c>
      <c r="M135" s="2" t="n">
        <f aca="false">INDEX(Segmentation!$W$2:$W$301,MATCH($A135,Segmentation!$A$2:$A$301,0))</f>
        <v>1</v>
      </c>
      <c r="N135" s="2" t="str">
        <f aca="false">INDEX(Segmentation!$AF$2:$AF$301,MATCH($A135,Segmentation!$A$2:$A$301,0))</f>
        <v>Returned Customer</v>
      </c>
      <c r="O135" s="2" t="n">
        <f aca="false">INDEX(Segmentation!$R$2:$R$301,MATCH($A135,Segmentation!$A$2:$A$301,0))</f>
        <v>11</v>
      </c>
      <c r="P135" s="2" t="n">
        <v>268</v>
      </c>
      <c r="Q135" s="2" t="n">
        <f aca="false">INDEX(Segmentation!$S$2:$S$301,MATCH($A135,Segmentation!$A$2:$A$301,0))</f>
        <v>16</v>
      </c>
      <c r="R135" s="2" t="n">
        <v>3</v>
      </c>
      <c r="S135" s="2" t="n">
        <v>0</v>
      </c>
      <c r="T135" s="2" t="n">
        <v>0</v>
      </c>
      <c r="U135" s="2" t="n">
        <v>1</v>
      </c>
      <c r="V135" s="2" t="n">
        <v>100</v>
      </c>
      <c r="W135" s="2" t="str">
        <f aca="false">IF(V135=100,"Bundle-only",IF(V135=0,"Handpick-only","Mixed"))</f>
        <v>Bundle-only</v>
      </c>
      <c r="X135" s="17" t="n">
        <f aca="false">L135/K135</f>
        <v>1</v>
      </c>
      <c r="Y135" s="9" t="n">
        <f aca="false">J135/K135</f>
        <v>355</v>
      </c>
      <c r="Z135" s="10" t="b">
        <f aca="false">O135&gt;=Assumptions!$B$57</f>
        <v>1</v>
      </c>
      <c r="AA135" s="10" t="b">
        <f aca="false">P135&gt;=Assumptions!$B$58</f>
        <v>1</v>
      </c>
      <c r="AB135" s="10" t="b">
        <f aca="false">Q135&gt;=Assumptions!$B$59</f>
        <v>1</v>
      </c>
      <c r="AC135" s="2" t="n">
        <f aca="false">Z135*1+AA135*1+AB135*1</f>
        <v>3</v>
      </c>
      <c r="AD135" s="2" t="str">
        <f aca="false">IF(E135="Broker-Reliant","Broker-led, product-blind",IF(AND(I135="Low",F135&lt;&gt;"Tail",OR(G135="Declining",G135="Lapsed"),OR(O135&gt;=Assumptions!$B$60,P135&gt;=Assumptions!$B$61)),"Engaged but shrinking (Key/Core)",IF(AND(O135&gt;=Assumptions!$B$60,P135&gt;=Assumptions!$B$61,Q135&gt;=Assumptions!$B$62,K135&gt;=Assumptions!$B$63),"Independent browser-buyer",IF(AND(OR(O135&gt;=Assumptions!$B$60,P135&gt;=Assumptions!$B$61),K135&lt;=2),"Engaged, not converting",IF(AND(K135=1,O135&lt;Assumptions!$B$60,P135&lt;Assumptions!$B$61),"One-off low-touch buyer","Light-touch repeat buyer")))))</f>
        <v>Engaged, not converting</v>
      </c>
      <c r="AE135" s="10" t="b">
        <f aca="false">INDEX(Segmentation!$AW$2:$AW$301,MATCH($A135,Segmentation!$A$2:$A$301,0))</f>
        <v>0</v>
      </c>
    </row>
    <row r="136" customFormat="false" ht="15" hidden="false" customHeight="false" outlineLevel="0" collapsed="false">
      <c r="A136" s="2" t="s">
        <v>746</v>
      </c>
      <c r="B136" s="2" t="s">
        <v>1571</v>
      </c>
      <c r="C136" s="2" t="s">
        <v>1640</v>
      </c>
      <c r="D136" s="2" t="s">
        <v>1653</v>
      </c>
      <c r="E136" s="2" t="str">
        <f aca="false">INDEX(Segmentation!$H$2:$H$301,MATCH($A136,Segmentation!$A$2:$A$301,0))</f>
        <v>AM-Owned / Self-Serving</v>
      </c>
      <c r="F136" s="2" t="str">
        <f aca="false">INDEX(Segmentation!$J$2:$J$301,MATCH($A136,Segmentation!$A$2:$A$301,0))</f>
        <v>Tail</v>
      </c>
      <c r="G136" s="2" t="str">
        <f aca="false">INDEX(Segmentation!$N$2:$N$301,MATCH($A136,Segmentation!$A$2:$A$301,0))</f>
        <v>Lapsed</v>
      </c>
      <c r="H136" s="2" t="str">
        <f aca="false">INDEX(Segmentation!$T$2:$T$301,MATCH($A136,Segmentation!$A$2:$A$301,0))</f>
        <v>9. Long-Tail Automated Nurture</v>
      </c>
      <c r="I136" s="2" t="str">
        <f aca="false">INDEX(Segmentation!$G$2:$G$301,MATCH($A136,Segmentation!$A$2:$A$301,0))</f>
        <v>Low</v>
      </c>
      <c r="J136" s="9" t="n">
        <f aca="false">INDEX(Segmentation!$I$2:$I$301,MATCH($A136,Segmentation!$A$2:$A$301,0))</f>
        <v>353</v>
      </c>
      <c r="K136" s="2" t="n">
        <f aca="false">INDEX(Segmentation!$O$2:$O$301,MATCH($A136,Segmentation!$A$2:$A$301,0))</f>
        <v>2</v>
      </c>
      <c r="L136" s="2" t="n">
        <f aca="false">INDEX(Segmentation!$Q$2:$Q$301,MATCH($A136,Segmentation!$A$2:$A$301,0))</f>
        <v>2</v>
      </c>
      <c r="M136" s="2" t="n">
        <f aca="false">INDEX(Segmentation!$W$2:$W$301,MATCH($A136,Segmentation!$A$2:$A$301,0))</f>
        <v>2</v>
      </c>
      <c r="N136" s="2" t="str">
        <f aca="false">INDEX(Segmentation!$AF$2:$AF$301,MATCH($A136,Segmentation!$A$2:$A$301,0))</f>
        <v>Existing Customer</v>
      </c>
      <c r="O136" s="2" t="n">
        <f aca="false">INDEX(Segmentation!$R$2:$R$301,MATCH($A136,Segmentation!$A$2:$A$301,0))</f>
        <v>7</v>
      </c>
      <c r="P136" s="2" t="n">
        <v>62</v>
      </c>
      <c r="Q136" s="2" t="n">
        <f aca="false">INDEX(Segmentation!$S$2:$S$301,MATCH($A136,Segmentation!$A$2:$A$301,0))</f>
        <v>0</v>
      </c>
      <c r="R136" s="2" t="n">
        <v>1</v>
      </c>
      <c r="S136" s="2" t="n">
        <v>0</v>
      </c>
      <c r="T136" s="2" t="n">
        <v>0</v>
      </c>
      <c r="U136" s="2" t="n">
        <v>2</v>
      </c>
      <c r="V136" s="2" t="n">
        <v>100</v>
      </c>
      <c r="W136" s="2" t="str">
        <f aca="false">IF(V136=100,"Bundle-only",IF(V136=0,"Handpick-only","Mixed"))</f>
        <v>Bundle-only</v>
      </c>
      <c r="X136" s="17" t="n">
        <f aca="false">L136/K136</f>
        <v>1</v>
      </c>
      <c r="Y136" s="9" t="n">
        <f aca="false">J136/K136</f>
        <v>176.5</v>
      </c>
      <c r="Z136" s="10" t="b">
        <f aca="false">O136&gt;=Assumptions!$B$57</f>
        <v>0</v>
      </c>
      <c r="AA136" s="10" t="b">
        <f aca="false">P136&gt;=Assumptions!$B$58</f>
        <v>1</v>
      </c>
      <c r="AB136" s="10" t="b">
        <f aca="false">Q136&gt;=Assumptions!$B$59</f>
        <v>0</v>
      </c>
      <c r="AC136" s="2" t="n">
        <f aca="false">Z136*1+AA136*1+AB136*1</f>
        <v>1</v>
      </c>
      <c r="AD136" s="2" t="str">
        <f aca="false">IF(E136="Broker-Reliant","Broker-led, product-blind",IF(AND(I136="Low",F136&lt;&gt;"Tail",OR(G136="Declining",G136="Lapsed"),OR(O136&gt;=Assumptions!$B$60,P136&gt;=Assumptions!$B$61)),"Engaged but shrinking (Key/Core)",IF(AND(O136&gt;=Assumptions!$B$60,P136&gt;=Assumptions!$B$61,Q136&gt;=Assumptions!$B$62,K136&gt;=Assumptions!$B$63),"Independent browser-buyer",IF(AND(OR(O136&gt;=Assumptions!$B$60,P136&gt;=Assumptions!$B$61),K136&lt;=2),"Engaged, not converting",IF(AND(K136=1,O136&lt;Assumptions!$B$60,P136&lt;Assumptions!$B$61),"One-off low-touch buyer","Light-touch repeat buyer")))))</f>
        <v>Light-touch repeat buyer</v>
      </c>
      <c r="AE136" s="10" t="b">
        <f aca="false">INDEX(Segmentation!$AW$2:$AW$301,MATCH($A136,Segmentation!$A$2:$A$301,0))</f>
        <v>0</v>
      </c>
    </row>
    <row r="137" customFormat="false" ht="15" hidden="false" customHeight="false" outlineLevel="0" collapsed="false">
      <c r="A137" s="2" t="s">
        <v>750</v>
      </c>
      <c r="B137" s="2" t="s">
        <v>1571</v>
      </c>
      <c r="C137" s="2" t="s">
        <v>1640</v>
      </c>
      <c r="D137" s="2" t="s">
        <v>1653</v>
      </c>
      <c r="E137" s="2" t="str">
        <f aca="false">INDEX(Segmentation!$H$2:$H$301,MATCH($A137,Segmentation!$A$2:$A$301,0))</f>
        <v>Broker-Reliant</v>
      </c>
      <c r="F137" s="2" t="str">
        <f aca="false">INDEX(Segmentation!$J$2:$J$301,MATCH($A137,Segmentation!$A$2:$A$301,0))</f>
        <v>Tail</v>
      </c>
      <c r="G137" s="2" t="str">
        <f aca="false">INDEX(Segmentation!$N$2:$N$301,MATCH($A137,Segmentation!$A$2:$A$301,0))</f>
        <v>Lapsed</v>
      </c>
      <c r="H137" s="2" t="str">
        <f aca="false">INDEX(Segmentation!$T$2:$T$301,MATCH($A137,Segmentation!$A$2:$A$301,0))</f>
        <v>5. Cost-to-Serve / Low-Touch</v>
      </c>
      <c r="I137" s="2" t="str">
        <f aca="false">INDEX(Segmentation!$G$2:$G$301,MATCH($A137,Segmentation!$A$2:$A$301,0))</f>
        <v>High</v>
      </c>
      <c r="J137" s="9" t="n">
        <f aca="false">INDEX(Segmentation!$I$2:$I$301,MATCH($A137,Segmentation!$A$2:$A$301,0))</f>
        <v>345</v>
      </c>
      <c r="K137" s="2" t="n">
        <f aca="false">INDEX(Segmentation!$O$2:$O$301,MATCH($A137,Segmentation!$A$2:$A$301,0))</f>
        <v>2</v>
      </c>
      <c r="L137" s="2" t="n">
        <f aca="false">INDEX(Segmentation!$Q$2:$Q$301,MATCH($A137,Segmentation!$A$2:$A$301,0))</f>
        <v>1</v>
      </c>
      <c r="M137" s="2" t="n">
        <f aca="false">INDEX(Segmentation!$W$2:$W$301,MATCH($A137,Segmentation!$A$2:$A$301,0))</f>
        <v>1</v>
      </c>
      <c r="N137" s="2" t="str">
        <f aca="false">INDEX(Segmentation!$AF$2:$AF$301,MATCH($A137,Segmentation!$A$2:$A$301,0))</f>
        <v>Existing Customer</v>
      </c>
      <c r="O137" s="2" t="n">
        <f aca="false">INDEX(Segmentation!$R$2:$R$301,MATCH($A137,Segmentation!$A$2:$A$301,0))</f>
        <v>3</v>
      </c>
      <c r="P137" s="2" t="n">
        <v>9</v>
      </c>
      <c r="Q137" s="2" t="n">
        <f aca="false">INDEX(Segmentation!$S$2:$S$301,MATCH($A137,Segmentation!$A$2:$A$301,0))</f>
        <v>1</v>
      </c>
      <c r="R137" s="2" t="n">
        <v>2</v>
      </c>
      <c r="S137" s="2" t="n">
        <v>0</v>
      </c>
      <c r="T137" s="2" t="n">
        <v>0</v>
      </c>
      <c r="U137" s="2" t="n">
        <v>2</v>
      </c>
      <c r="V137" s="2" t="n">
        <v>100</v>
      </c>
      <c r="W137" s="2" t="str">
        <f aca="false">IF(V137=100,"Bundle-only",IF(V137=0,"Handpick-only","Mixed"))</f>
        <v>Bundle-only</v>
      </c>
      <c r="X137" s="17" t="n">
        <f aca="false">L137/K137</f>
        <v>0.5</v>
      </c>
      <c r="Y137" s="9" t="n">
        <f aca="false">J137/K137</f>
        <v>172.5</v>
      </c>
      <c r="Z137" s="10" t="b">
        <f aca="false">O137&gt;=Assumptions!$B$57</f>
        <v>0</v>
      </c>
      <c r="AA137" s="10" t="b">
        <f aca="false">P137&gt;=Assumptions!$B$58</f>
        <v>0</v>
      </c>
      <c r="AB137" s="10" t="b">
        <f aca="false">Q137&gt;=Assumptions!$B$59</f>
        <v>0</v>
      </c>
      <c r="AC137" s="2" t="n">
        <f aca="false">Z137*1+AA137*1+AB137*1</f>
        <v>0</v>
      </c>
      <c r="AD137" s="2" t="str">
        <f aca="false">IF(E137="Broker-Reliant","Broker-led, product-blind",IF(AND(I137="Low",F137&lt;&gt;"Tail",OR(G137="Declining",G137="Lapsed"),OR(O137&gt;=Assumptions!$B$60,P137&gt;=Assumptions!$B$61)),"Engaged but shrinking (Key/Core)",IF(AND(O137&gt;=Assumptions!$B$60,P137&gt;=Assumptions!$B$61,Q137&gt;=Assumptions!$B$62,K137&gt;=Assumptions!$B$63),"Independent browser-buyer",IF(AND(OR(O137&gt;=Assumptions!$B$60,P137&gt;=Assumptions!$B$61),K137&lt;=2),"Engaged, not converting",IF(AND(K137=1,O137&lt;Assumptions!$B$60,P137&lt;Assumptions!$B$61),"One-off low-touch buyer","Light-touch repeat buyer")))))</f>
        <v>Broker-led, product-blind</v>
      </c>
      <c r="AE137" s="10" t="b">
        <f aca="false">INDEX(Segmentation!$AW$2:$AW$301,MATCH($A137,Segmentation!$A$2:$A$301,0))</f>
        <v>0</v>
      </c>
    </row>
    <row r="138" customFormat="false" ht="15" hidden="false" customHeight="false" outlineLevel="0" collapsed="false">
      <c r="A138" s="2" t="s">
        <v>754</v>
      </c>
      <c r="B138" s="2" t="s">
        <v>1571</v>
      </c>
      <c r="C138" s="2" t="s">
        <v>1640</v>
      </c>
      <c r="D138" s="2" t="s">
        <v>1653</v>
      </c>
      <c r="E138" s="2" t="str">
        <f aca="false">INDEX(Segmentation!$H$2:$H$301,MATCH($A138,Segmentation!$A$2:$A$301,0))</f>
        <v>AM-Owned / Self-Serving</v>
      </c>
      <c r="F138" s="2" t="str">
        <f aca="false">INDEX(Segmentation!$J$2:$J$301,MATCH($A138,Segmentation!$A$2:$A$301,0))</f>
        <v>Tail</v>
      </c>
      <c r="G138" s="2" t="str">
        <f aca="false">INDEX(Segmentation!$N$2:$N$301,MATCH($A138,Segmentation!$A$2:$A$301,0))</f>
        <v>Declining</v>
      </c>
      <c r="H138" s="2" t="str">
        <f aca="false">INDEX(Segmentation!$T$2:$T$301,MATCH($A138,Segmentation!$A$2:$A$301,0))</f>
        <v>9. Long-Tail Automated Nurture</v>
      </c>
      <c r="I138" s="2" t="str">
        <f aca="false">INDEX(Segmentation!$G$2:$G$301,MATCH($A138,Segmentation!$A$2:$A$301,0))</f>
        <v>Low</v>
      </c>
      <c r="J138" s="9" t="n">
        <f aca="false">INDEX(Segmentation!$I$2:$I$301,MATCH($A138,Segmentation!$A$2:$A$301,0))</f>
        <v>344</v>
      </c>
      <c r="K138" s="2" t="n">
        <f aca="false">INDEX(Segmentation!$O$2:$O$301,MATCH($A138,Segmentation!$A$2:$A$301,0))</f>
        <v>2</v>
      </c>
      <c r="L138" s="2" t="n">
        <f aca="false">INDEX(Segmentation!$Q$2:$Q$301,MATCH($A138,Segmentation!$A$2:$A$301,0))</f>
        <v>2</v>
      </c>
      <c r="M138" s="2" t="n">
        <f aca="false">INDEX(Segmentation!$W$2:$W$301,MATCH($A138,Segmentation!$A$2:$A$301,0))</f>
        <v>2</v>
      </c>
      <c r="N138" s="2" t="str">
        <f aca="false">INDEX(Segmentation!$AF$2:$AF$301,MATCH($A138,Segmentation!$A$2:$A$301,0))</f>
        <v>Existing Customer</v>
      </c>
      <c r="O138" s="2" t="n">
        <f aca="false">INDEX(Segmentation!$R$2:$R$301,MATCH($A138,Segmentation!$A$2:$A$301,0))</f>
        <v>18</v>
      </c>
      <c r="P138" s="2" t="n">
        <v>310</v>
      </c>
      <c r="Q138" s="2" t="n">
        <f aca="false">INDEX(Segmentation!$S$2:$S$301,MATCH($A138,Segmentation!$A$2:$A$301,0))</f>
        <v>50</v>
      </c>
      <c r="R138" s="2" t="n">
        <v>181</v>
      </c>
      <c r="S138" s="2" t="n">
        <v>0</v>
      </c>
      <c r="T138" s="2" t="n">
        <v>2</v>
      </c>
      <c r="U138" s="2" t="n">
        <v>0</v>
      </c>
      <c r="V138" s="2" t="n">
        <v>0</v>
      </c>
      <c r="W138" s="2" t="str">
        <f aca="false">IF(V138=100,"Bundle-only",IF(V138=0,"Handpick-only","Mixed"))</f>
        <v>Handpick-only</v>
      </c>
      <c r="X138" s="17" t="n">
        <f aca="false">L138/K138</f>
        <v>1</v>
      </c>
      <c r="Y138" s="9" t="n">
        <f aca="false">J138/K138</f>
        <v>172</v>
      </c>
      <c r="Z138" s="10" t="b">
        <f aca="false">O138&gt;=Assumptions!$B$57</f>
        <v>1</v>
      </c>
      <c r="AA138" s="10" t="b">
        <f aca="false">P138&gt;=Assumptions!$B$58</f>
        <v>1</v>
      </c>
      <c r="AB138" s="10" t="b">
        <f aca="false">Q138&gt;=Assumptions!$B$59</f>
        <v>1</v>
      </c>
      <c r="AC138" s="2" t="n">
        <f aca="false">Z138*1+AA138*1+AB138*1</f>
        <v>3</v>
      </c>
      <c r="AD138" s="2" t="str">
        <f aca="false">IF(E138="Broker-Reliant","Broker-led, product-blind",IF(AND(I138="Low",F138&lt;&gt;"Tail",OR(G138="Declining",G138="Lapsed"),OR(O138&gt;=Assumptions!$B$60,P138&gt;=Assumptions!$B$61)),"Engaged but shrinking (Key/Core)",IF(AND(O138&gt;=Assumptions!$B$60,P138&gt;=Assumptions!$B$61,Q138&gt;=Assumptions!$B$62,K138&gt;=Assumptions!$B$63),"Independent browser-buyer",IF(AND(OR(O138&gt;=Assumptions!$B$60,P138&gt;=Assumptions!$B$61),K138&lt;=2),"Engaged, not converting",IF(AND(K138=1,O138&lt;Assumptions!$B$60,P138&lt;Assumptions!$B$61),"One-off low-touch buyer","Light-touch repeat buyer")))))</f>
        <v>Engaged, not converting</v>
      </c>
      <c r="AE138" s="10" t="b">
        <f aca="false">INDEX(Segmentation!$AW$2:$AW$301,MATCH($A138,Segmentation!$A$2:$A$301,0))</f>
        <v>0</v>
      </c>
    </row>
    <row r="139" customFormat="false" ht="15" hidden="false" customHeight="false" outlineLevel="0" collapsed="false">
      <c r="A139" s="2" t="s">
        <v>762</v>
      </c>
      <c r="B139" s="2" t="s">
        <v>1571</v>
      </c>
      <c r="C139" s="2" t="s">
        <v>1641</v>
      </c>
      <c r="D139" s="2" t="s">
        <v>1657</v>
      </c>
      <c r="E139" s="2" t="str">
        <f aca="false">INDEX(Segmentation!$H$2:$H$301,MATCH($A139,Segmentation!$A$2:$A$301,0))</f>
        <v>AM-Owned / Self-Serving</v>
      </c>
      <c r="F139" s="2" t="str">
        <f aca="false">INDEX(Segmentation!$J$2:$J$301,MATCH($A139,Segmentation!$A$2:$A$301,0))</f>
        <v>Tail</v>
      </c>
      <c r="G139" s="2" t="str">
        <f aca="false">INDEX(Segmentation!$N$2:$N$301,MATCH($A139,Segmentation!$A$2:$A$301,0))</f>
        <v>Lapsed</v>
      </c>
      <c r="H139" s="2" t="str">
        <f aca="false">INDEX(Segmentation!$T$2:$T$301,MATCH($A139,Segmentation!$A$2:$A$301,0))</f>
        <v>9. Long-Tail Automated Nurture</v>
      </c>
      <c r="I139" s="2" t="str">
        <f aca="false">INDEX(Segmentation!$G$2:$G$301,MATCH($A139,Segmentation!$A$2:$A$301,0))</f>
        <v>Low</v>
      </c>
      <c r="J139" s="9" t="n">
        <f aca="false">INDEX(Segmentation!$I$2:$I$301,MATCH($A139,Segmentation!$A$2:$A$301,0))</f>
        <v>329</v>
      </c>
      <c r="K139" s="2" t="n">
        <f aca="false">INDEX(Segmentation!$O$2:$O$301,MATCH($A139,Segmentation!$A$2:$A$301,0))</f>
        <v>2</v>
      </c>
      <c r="L139" s="2" t="n">
        <f aca="false">INDEX(Segmentation!$Q$2:$Q$301,MATCH($A139,Segmentation!$A$2:$A$301,0))</f>
        <v>2</v>
      </c>
      <c r="M139" s="2" t="n">
        <f aca="false">INDEX(Segmentation!$W$2:$W$301,MATCH($A139,Segmentation!$A$2:$A$301,0))</f>
        <v>2</v>
      </c>
      <c r="N139" s="2" t="str">
        <f aca="false">INDEX(Segmentation!$AF$2:$AF$301,MATCH($A139,Segmentation!$A$2:$A$301,0))</f>
        <v>Existing Customer</v>
      </c>
      <c r="O139" s="2" t="n">
        <f aca="false">INDEX(Segmentation!$R$2:$R$301,MATCH($A139,Segmentation!$A$2:$A$301,0))</f>
        <v>41</v>
      </c>
      <c r="P139" s="2" t="n">
        <v>454</v>
      </c>
      <c r="Q139" s="2" t="n">
        <f aca="false">INDEX(Segmentation!$S$2:$S$301,MATCH($A139,Segmentation!$A$2:$A$301,0))</f>
        <v>1</v>
      </c>
      <c r="R139" s="2" t="n">
        <v>2</v>
      </c>
      <c r="S139" s="2" t="n">
        <v>0</v>
      </c>
      <c r="T139" s="2" t="n">
        <v>0</v>
      </c>
      <c r="U139" s="2" t="n">
        <v>2</v>
      </c>
      <c r="V139" s="2" t="n">
        <v>100</v>
      </c>
      <c r="W139" s="2" t="str">
        <f aca="false">IF(V139=100,"Bundle-only",IF(V139=0,"Handpick-only","Mixed"))</f>
        <v>Bundle-only</v>
      </c>
      <c r="X139" s="17" t="n">
        <f aca="false">L139/K139</f>
        <v>1</v>
      </c>
      <c r="Y139" s="9" t="n">
        <f aca="false">J139/K139</f>
        <v>164.5</v>
      </c>
      <c r="Z139" s="10" t="b">
        <f aca="false">O139&gt;=Assumptions!$B$57</f>
        <v>1</v>
      </c>
      <c r="AA139" s="10" t="b">
        <f aca="false">P139&gt;=Assumptions!$B$58</f>
        <v>1</v>
      </c>
      <c r="AB139" s="10" t="b">
        <f aca="false">Q139&gt;=Assumptions!$B$59</f>
        <v>0</v>
      </c>
      <c r="AC139" s="2" t="n">
        <f aca="false">Z139*1+AA139*1+AB139*1</f>
        <v>2</v>
      </c>
      <c r="AD139" s="2" t="str">
        <f aca="false">IF(E139="Broker-Reliant","Broker-led, product-blind",IF(AND(I139="Low",F139&lt;&gt;"Tail",OR(G139="Declining",G139="Lapsed"),OR(O139&gt;=Assumptions!$B$60,P139&gt;=Assumptions!$B$61)),"Engaged but shrinking (Key/Core)",IF(AND(O139&gt;=Assumptions!$B$60,P139&gt;=Assumptions!$B$61,Q139&gt;=Assumptions!$B$62,K139&gt;=Assumptions!$B$63),"Independent browser-buyer",IF(AND(OR(O139&gt;=Assumptions!$B$60,P139&gt;=Assumptions!$B$61),K139&lt;=2),"Engaged, not converting",IF(AND(K139=1,O139&lt;Assumptions!$B$60,P139&lt;Assumptions!$B$61),"One-off low-touch buyer","Light-touch repeat buyer")))))</f>
        <v>Engaged, not converting</v>
      </c>
      <c r="AE139" s="10" t="b">
        <f aca="false">INDEX(Segmentation!$AW$2:$AW$301,MATCH($A139,Segmentation!$A$2:$A$301,0))</f>
        <v>0</v>
      </c>
    </row>
    <row r="140" customFormat="false" ht="15" hidden="false" customHeight="false" outlineLevel="0" collapsed="false">
      <c r="A140" s="2" t="s">
        <v>764</v>
      </c>
      <c r="B140" s="2" t="s">
        <v>1571</v>
      </c>
      <c r="C140" s="2" t="s">
        <v>1640</v>
      </c>
      <c r="D140" s="2" t="s">
        <v>1653</v>
      </c>
      <c r="E140" s="2" t="str">
        <f aca="false">INDEX(Segmentation!$H$2:$H$301,MATCH($A140,Segmentation!$A$2:$A$301,0))</f>
        <v>AM-Owned / Self-Serving</v>
      </c>
      <c r="F140" s="2" t="str">
        <f aca="false">INDEX(Segmentation!$J$2:$J$301,MATCH($A140,Segmentation!$A$2:$A$301,0))</f>
        <v>Tail</v>
      </c>
      <c r="G140" s="2" t="str">
        <f aca="false">INDEX(Segmentation!$N$2:$N$301,MATCH($A140,Segmentation!$A$2:$A$301,0))</f>
        <v>Lapsed</v>
      </c>
      <c r="H140" s="2" t="str">
        <f aca="false">INDEX(Segmentation!$T$2:$T$301,MATCH($A140,Segmentation!$A$2:$A$301,0))</f>
        <v>9. Long-Tail Automated Nurture</v>
      </c>
      <c r="I140" s="2" t="str">
        <f aca="false">INDEX(Segmentation!$G$2:$G$301,MATCH($A140,Segmentation!$A$2:$A$301,0))</f>
        <v>Low</v>
      </c>
      <c r="J140" s="9" t="n">
        <f aca="false">INDEX(Segmentation!$I$2:$I$301,MATCH($A140,Segmentation!$A$2:$A$301,0))</f>
        <v>322</v>
      </c>
      <c r="K140" s="2" t="n">
        <f aca="false">INDEX(Segmentation!$O$2:$O$301,MATCH($A140,Segmentation!$A$2:$A$301,0))</f>
        <v>1</v>
      </c>
      <c r="L140" s="2" t="n">
        <f aca="false">INDEX(Segmentation!$Q$2:$Q$301,MATCH($A140,Segmentation!$A$2:$A$301,0))</f>
        <v>1</v>
      </c>
      <c r="M140" s="2" t="n">
        <f aca="false">INDEX(Segmentation!$W$2:$W$301,MATCH($A140,Segmentation!$A$2:$A$301,0))</f>
        <v>1</v>
      </c>
      <c r="N140" s="2" t="str">
        <f aca="false">INDEX(Segmentation!$AF$2:$AF$301,MATCH($A140,Segmentation!$A$2:$A$301,0))</f>
        <v>Existing Customer</v>
      </c>
      <c r="O140" s="2" t="n">
        <f aca="false">INDEX(Segmentation!$R$2:$R$301,MATCH($A140,Segmentation!$A$2:$A$301,0))</f>
        <v>8</v>
      </c>
      <c r="P140" s="2" t="n">
        <v>93</v>
      </c>
      <c r="Q140" s="2" t="n">
        <f aca="false">INDEX(Segmentation!$S$2:$S$301,MATCH($A140,Segmentation!$A$2:$A$301,0))</f>
        <v>0</v>
      </c>
      <c r="R140" s="2" t="n">
        <v>2</v>
      </c>
      <c r="S140" s="2" t="n">
        <v>0</v>
      </c>
      <c r="T140" s="2" t="n">
        <v>0</v>
      </c>
      <c r="U140" s="2" t="n">
        <v>1</v>
      </c>
      <c r="V140" s="2" t="n">
        <v>100</v>
      </c>
      <c r="W140" s="2" t="str">
        <f aca="false">IF(V140=100,"Bundle-only",IF(V140=0,"Handpick-only","Mixed"))</f>
        <v>Bundle-only</v>
      </c>
      <c r="X140" s="17" t="n">
        <f aca="false">L140/K140</f>
        <v>1</v>
      </c>
      <c r="Y140" s="9" t="n">
        <f aca="false">J140/K140</f>
        <v>322</v>
      </c>
      <c r="Z140" s="10" t="b">
        <f aca="false">O140&gt;=Assumptions!$B$57</f>
        <v>0</v>
      </c>
      <c r="AA140" s="10" t="b">
        <f aca="false">P140&gt;=Assumptions!$B$58</f>
        <v>1</v>
      </c>
      <c r="AB140" s="10" t="b">
        <f aca="false">Q140&gt;=Assumptions!$B$59</f>
        <v>0</v>
      </c>
      <c r="AC140" s="2" t="n">
        <f aca="false">Z140*1+AA140*1+AB140*1</f>
        <v>1</v>
      </c>
      <c r="AD140" s="2" t="str">
        <f aca="false">IF(E140="Broker-Reliant","Broker-led, product-blind",IF(AND(I140="Low",F140&lt;&gt;"Tail",OR(G140="Declining",G140="Lapsed"),OR(O140&gt;=Assumptions!$B$60,P140&gt;=Assumptions!$B$61)),"Engaged but shrinking (Key/Core)",IF(AND(O140&gt;=Assumptions!$B$60,P140&gt;=Assumptions!$B$61,Q140&gt;=Assumptions!$B$62,K140&gt;=Assumptions!$B$63),"Independent browser-buyer",IF(AND(OR(O140&gt;=Assumptions!$B$60,P140&gt;=Assumptions!$B$61),K140&lt;=2),"Engaged, not converting",IF(AND(K140=1,O140&lt;Assumptions!$B$60,P140&lt;Assumptions!$B$61),"One-off low-touch buyer","Light-touch repeat buyer")))))</f>
        <v>One-off low-touch buyer</v>
      </c>
      <c r="AE140" s="10" t="b">
        <f aca="false">INDEX(Segmentation!$AW$2:$AW$301,MATCH($A140,Segmentation!$A$2:$A$301,0))</f>
        <v>0</v>
      </c>
    </row>
    <row r="141" customFormat="false" ht="15" hidden="false" customHeight="false" outlineLevel="0" collapsed="false">
      <c r="A141" s="2" t="s">
        <v>768</v>
      </c>
      <c r="B141" s="2" t="s">
        <v>1571</v>
      </c>
      <c r="C141" s="2" t="s">
        <v>1640</v>
      </c>
      <c r="D141" s="2" t="s">
        <v>1657</v>
      </c>
      <c r="E141" s="2" t="str">
        <f aca="false">INDEX(Segmentation!$H$2:$H$301,MATCH($A141,Segmentation!$A$2:$A$301,0))</f>
        <v>AM-Owned / Self-Serving</v>
      </c>
      <c r="F141" s="2" t="str">
        <f aca="false">INDEX(Segmentation!$J$2:$J$301,MATCH($A141,Segmentation!$A$2:$A$301,0))</f>
        <v>Tail</v>
      </c>
      <c r="G141" s="2" t="str">
        <f aca="false">INDEX(Segmentation!$N$2:$N$301,MATCH($A141,Segmentation!$A$2:$A$301,0))</f>
        <v>Lapsed</v>
      </c>
      <c r="H141" s="2" t="str">
        <f aca="false">INDEX(Segmentation!$T$2:$T$301,MATCH($A141,Segmentation!$A$2:$A$301,0))</f>
        <v>9. Long-Tail Automated Nurture</v>
      </c>
      <c r="I141" s="2" t="str">
        <f aca="false">INDEX(Segmentation!$G$2:$G$301,MATCH($A141,Segmentation!$A$2:$A$301,0))</f>
        <v>Low</v>
      </c>
      <c r="J141" s="9" t="n">
        <f aca="false">INDEX(Segmentation!$I$2:$I$301,MATCH($A141,Segmentation!$A$2:$A$301,0))</f>
        <v>320</v>
      </c>
      <c r="K141" s="2" t="n">
        <f aca="false">INDEX(Segmentation!$O$2:$O$301,MATCH($A141,Segmentation!$A$2:$A$301,0))</f>
        <v>1</v>
      </c>
      <c r="L141" s="2" t="n">
        <f aca="false">INDEX(Segmentation!$Q$2:$Q$301,MATCH($A141,Segmentation!$A$2:$A$301,0))</f>
        <v>1</v>
      </c>
      <c r="M141" s="2" t="n">
        <f aca="false">INDEX(Segmentation!$W$2:$W$301,MATCH($A141,Segmentation!$A$2:$A$301,0))</f>
        <v>1</v>
      </c>
      <c r="N141" s="2" t="str">
        <f aca="false">INDEX(Segmentation!$AF$2:$AF$301,MATCH($A141,Segmentation!$A$2:$A$301,0))</f>
        <v>Existing Customer</v>
      </c>
      <c r="O141" s="2" t="n">
        <f aca="false">INDEX(Segmentation!$R$2:$R$301,MATCH($A141,Segmentation!$A$2:$A$301,0))</f>
        <v>0</v>
      </c>
      <c r="P141" s="2" t="n">
        <v>0</v>
      </c>
      <c r="Q141" s="2" t="n">
        <f aca="false">INDEX(Segmentation!$S$2:$S$301,MATCH($A141,Segmentation!$A$2:$A$301,0))</f>
        <v>0</v>
      </c>
      <c r="R141" s="2" t="n">
        <v>0</v>
      </c>
      <c r="S141" s="2" t="n">
        <v>0</v>
      </c>
      <c r="T141" s="2" t="n">
        <v>0</v>
      </c>
      <c r="U141" s="2" t="n">
        <v>1</v>
      </c>
      <c r="V141" s="2" t="n">
        <v>100</v>
      </c>
      <c r="W141" s="2" t="str">
        <f aca="false">IF(V141=100,"Bundle-only",IF(V141=0,"Handpick-only","Mixed"))</f>
        <v>Bundle-only</v>
      </c>
      <c r="X141" s="17" t="n">
        <f aca="false">L141/K141</f>
        <v>1</v>
      </c>
      <c r="Y141" s="9" t="n">
        <f aca="false">J141/K141</f>
        <v>320</v>
      </c>
      <c r="Z141" s="10" t="b">
        <f aca="false">O141&gt;=Assumptions!$B$57</f>
        <v>0</v>
      </c>
      <c r="AA141" s="10" t="b">
        <f aca="false">P141&gt;=Assumptions!$B$58</f>
        <v>0</v>
      </c>
      <c r="AB141" s="10" t="b">
        <f aca="false">Q141&gt;=Assumptions!$B$59</f>
        <v>0</v>
      </c>
      <c r="AC141" s="2" t="n">
        <f aca="false">Z141*1+AA141*1+AB141*1</f>
        <v>0</v>
      </c>
      <c r="AD141" s="2" t="str">
        <f aca="false">IF(E141="Broker-Reliant","Broker-led, product-blind",IF(AND(I141="Low",F141&lt;&gt;"Tail",OR(G141="Declining",G141="Lapsed"),OR(O141&gt;=Assumptions!$B$60,P141&gt;=Assumptions!$B$61)),"Engaged but shrinking (Key/Core)",IF(AND(O141&gt;=Assumptions!$B$60,P141&gt;=Assumptions!$B$61,Q141&gt;=Assumptions!$B$62,K141&gt;=Assumptions!$B$63),"Independent browser-buyer",IF(AND(OR(O141&gt;=Assumptions!$B$60,P141&gt;=Assumptions!$B$61),K141&lt;=2),"Engaged, not converting",IF(AND(K141=1,O141&lt;Assumptions!$B$60,P141&lt;Assumptions!$B$61),"One-off low-touch buyer","Light-touch repeat buyer")))))</f>
        <v>One-off low-touch buyer</v>
      </c>
      <c r="AE141" s="10" t="b">
        <f aca="false">INDEX(Segmentation!$AW$2:$AW$301,MATCH($A141,Segmentation!$A$2:$A$301,0))</f>
        <v>0</v>
      </c>
    </row>
    <row r="142" customFormat="false" ht="15" hidden="false" customHeight="false" outlineLevel="0" collapsed="false">
      <c r="A142" s="2" t="s">
        <v>772</v>
      </c>
      <c r="B142" s="2" t="s">
        <v>1571</v>
      </c>
      <c r="C142" s="2" t="s">
        <v>1640</v>
      </c>
      <c r="D142" s="2" t="s">
        <v>1654</v>
      </c>
      <c r="E142" s="2" t="str">
        <f aca="false">INDEX(Segmentation!$H$2:$H$301,MATCH($A142,Segmentation!$A$2:$A$301,0))</f>
        <v>AM-Owned / Self-Serving</v>
      </c>
      <c r="F142" s="2" t="str">
        <f aca="false">INDEX(Segmentation!$J$2:$J$301,MATCH($A142,Segmentation!$A$2:$A$301,0))</f>
        <v>Tail</v>
      </c>
      <c r="G142" s="2" t="str">
        <f aca="false">INDEX(Segmentation!$N$2:$N$301,MATCH($A142,Segmentation!$A$2:$A$301,0))</f>
        <v>H2 Active / No H1 GMV</v>
      </c>
      <c r="H142" s="2" t="str">
        <f aca="false">INDEX(Segmentation!$T$2:$T$301,MATCH($A142,Segmentation!$A$2:$A$301,0))</f>
        <v>9. Long-Tail Automated Nurture</v>
      </c>
      <c r="I142" s="2" t="str">
        <f aca="false">INDEX(Segmentation!$G$2:$G$301,MATCH($A142,Segmentation!$A$2:$A$301,0))</f>
        <v>Low</v>
      </c>
      <c r="J142" s="9" t="n">
        <f aca="false">INDEX(Segmentation!$I$2:$I$301,MATCH($A142,Segmentation!$A$2:$A$301,0))</f>
        <v>313</v>
      </c>
      <c r="K142" s="2" t="n">
        <f aca="false">INDEX(Segmentation!$O$2:$O$301,MATCH($A142,Segmentation!$A$2:$A$301,0))</f>
        <v>1</v>
      </c>
      <c r="L142" s="2" t="n">
        <f aca="false">INDEX(Segmentation!$Q$2:$Q$301,MATCH($A142,Segmentation!$A$2:$A$301,0))</f>
        <v>1</v>
      </c>
      <c r="M142" s="2" t="n">
        <f aca="false">INDEX(Segmentation!$W$2:$W$301,MATCH($A142,Segmentation!$A$2:$A$301,0))</f>
        <v>1</v>
      </c>
      <c r="N142" s="2" t="str">
        <f aca="false">INDEX(Segmentation!$AF$2:$AF$301,MATCH($A142,Segmentation!$A$2:$A$301,0))</f>
        <v>Returned Customer</v>
      </c>
      <c r="O142" s="2" t="n">
        <f aca="false">INDEX(Segmentation!$R$2:$R$301,MATCH($A142,Segmentation!$A$2:$A$301,0))</f>
        <v>23</v>
      </c>
      <c r="P142" s="2" t="n">
        <v>338</v>
      </c>
      <c r="Q142" s="2" t="n">
        <f aca="false">INDEX(Segmentation!$S$2:$S$301,MATCH($A142,Segmentation!$A$2:$A$301,0))</f>
        <v>10</v>
      </c>
      <c r="R142" s="2" t="n">
        <v>5</v>
      </c>
      <c r="S142" s="2" t="n">
        <v>2</v>
      </c>
      <c r="T142" s="2" t="n">
        <v>0</v>
      </c>
      <c r="U142" s="2" t="n">
        <v>1</v>
      </c>
      <c r="V142" s="2" t="n">
        <v>100</v>
      </c>
      <c r="W142" s="2" t="str">
        <f aca="false">IF(V142=100,"Bundle-only",IF(V142=0,"Handpick-only","Mixed"))</f>
        <v>Bundle-only</v>
      </c>
      <c r="X142" s="17" t="n">
        <f aca="false">L142/K142</f>
        <v>1</v>
      </c>
      <c r="Y142" s="9" t="n">
        <f aca="false">J142/K142</f>
        <v>313</v>
      </c>
      <c r="Z142" s="10" t="b">
        <f aca="false">O142&gt;=Assumptions!$B$57</f>
        <v>1</v>
      </c>
      <c r="AA142" s="10" t="b">
        <f aca="false">P142&gt;=Assumptions!$B$58</f>
        <v>1</v>
      </c>
      <c r="AB142" s="10" t="b">
        <f aca="false">Q142&gt;=Assumptions!$B$59</f>
        <v>1</v>
      </c>
      <c r="AC142" s="2" t="n">
        <f aca="false">Z142*1+AA142*1+AB142*1</f>
        <v>3</v>
      </c>
      <c r="AD142" s="2" t="str">
        <f aca="false">IF(E142="Broker-Reliant","Broker-led, product-blind",IF(AND(I142="Low",F142&lt;&gt;"Tail",OR(G142="Declining",G142="Lapsed"),OR(O142&gt;=Assumptions!$B$60,P142&gt;=Assumptions!$B$61)),"Engaged but shrinking (Key/Core)",IF(AND(O142&gt;=Assumptions!$B$60,P142&gt;=Assumptions!$B$61,Q142&gt;=Assumptions!$B$62,K142&gt;=Assumptions!$B$63),"Independent browser-buyer",IF(AND(OR(O142&gt;=Assumptions!$B$60,P142&gt;=Assumptions!$B$61),K142&lt;=2),"Engaged, not converting",IF(AND(K142=1,O142&lt;Assumptions!$B$60,P142&lt;Assumptions!$B$61),"One-off low-touch buyer","Light-touch repeat buyer")))))</f>
        <v>Engaged, not converting</v>
      </c>
      <c r="AE142" s="10" t="b">
        <f aca="false">INDEX(Segmentation!$AW$2:$AW$301,MATCH($A142,Segmentation!$A$2:$A$301,0))</f>
        <v>0</v>
      </c>
    </row>
    <row r="143" customFormat="false" ht="15" hidden="false" customHeight="false" outlineLevel="0" collapsed="false">
      <c r="A143" s="2" t="s">
        <v>774</v>
      </c>
      <c r="B143" s="2" t="s">
        <v>1571</v>
      </c>
      <c r="C143" s="2" t="s">
        <v>1640</v>
      </c>
      <c r="D143" s="2" t="s">
        <v>1653</v>
      </c>
      <c r="E143" s="2" t="str">
        <f aca="false">INDEX(Segmentation!$H$2:$H$301,MATCH($A143,Segmentation!$A$2:$A$301,0))</f>
        <v>AM-Owned / Self-Serving</v>
      </c>
      <c r="F143" s="2" t="str">
        <f aca="false">INDEX(Segmentation!$J$2:$J$301,MATCH($A143,Segmentation!$A$2:$A$301,0))</f>
        <v>Tail</v>
      </c>
      <c r="G143" s="2" t="str">
        <f aca="false">INDEX(Segmentation!$N$2:$N$301,MATCH($A143,Segmentation!$A$2:$A$301,0))</f>
        <v>Lapsed</v>
      </c>
      <c r="H143" s="2" t="str">
        <f aca="false">INDEX(Segmentation!$T$2:$T$301,MATCH($A143,Segmentation!$A$2:$A$301,0))</f>
        <v>9. Long-Tail Automated Nurture</v>
      </c>
      <c r="I143" s="2" t="str">
        <f aca="false">INDEX(Segmentation!$G$2:$G$301,MATCH($A143,Segmentation!$A$2:$A$301,0))</f>
        <v>Low</v>
      </c>
      <c r="J143" s="9" t="n">
        <f aca="false">INDEX(Segmentation!$I$2:$I$301,MATCH($A143,Segmentation!$A$2:$A$301,0))</f>
        <v>312</v>
      </c>
      <c r="K143" s="2" t="n">
        <f aca="false">INDEX(Segmentation!$O$2:$O$301,MATCH($A143,Segmentation!$A$2:$A$301,0))</f>
        <v>1</v>
      </c>
      <c r="L143" s="2" t="n">
        <f aca="false">INDEX(Segmentation!$Q$2:$Q$301,MATCH($A143,Segmentation!$A$2:$A$301,0))</f>
        <v>1</v>
      </c>
      <c r="M143" s="2" t="n">
        <f aca="false">INDEX(Segmentation!$W$2:$W$301,MATCH($A143,Segmentation!$A$2:$A$301,0))</f>
        <v>1</v>
      </c>
      <c r="N143" s="2" t="str">
        <f aca="false">INDEX(Segmentation!$AF$2:$AF$301,MATCH($A143,Segmentation!$A$2:$A$301,0))</f>
        <v>Existing Customer</v>
      </c>
      <c r="O143" s="2" t="n">
        <f aca="false">INDEX(Segmentation!$R$2:$R$301,MATCH($A143,Segmentation!$A$2:$A$301,0))</f>
        <v>3</v>
      </c>
      <c r="P143" s="2" t="n">
        <v>8</v>
      </c>
      <c r="Q143" s="2" t="n">
        <f aca="false">INDEX(Segmentation!$S$2:$S$301,MATCH($A143,Segmentation!$A$2:$A$301,0))</f>
        <v>0</v>
      </c>
      <c r="R143" s="2" t="n">
        <v>1</v>
      </c>
      <c r="S143" s="2" t="n">
        <v>0</v>
      </c>
      <c r="T143" s="2" t="n">
        <v>1</v>
      </c>
      <c r="U143" s="2" t="n">
        <v>0</v>
      </c>
      <c r="V143" s="2" t="n">
        <v>0</v>
      </c>
      <c r="W143" s="2" t="str">
        <f aca="false">IF(V143=100,"Bundle-only",IF(V143=0,"Handpick-only","Mixed"))</f>
        <v>Handpick-only</v>
      </c>
      <c r="X143" s="17" t="n">
        <f aca="false">L143/K143</f>
        <v>1</v>
      </c>
      <c r="Y143" s="9" t="n">
        <f aca="false">J143/K143</f>
        <v>312</v>
      </c>
      <c r="Z143" s="10" t="b">
        <f aca="false">O143&gt;=Assumptions!$B$57</f>
        <v>0</v>
      </c>
      <c r="AA143" s="10" t="b">
        <f aca="false">P143&gt;=Assumptions!$B$58</f>
        <v>0</v>
      </c>
      <c r="AB143" s="10" t="b">
        <f aca="false">Q143&gt;=Assumptions!$B$59</f>
        <v>0</v>
      </c>
      <c r="AC143" s="2" t="n">
        <f aca="false">Z143*1+AA143*1+AB143*1</f>
        <v>0</v>
      </c>
      <c r="AD143" s="2" t="str">
        <f aca="false">IF(E143="Broker-Reliant","Broker-led, product-blind",IF(AND(I143="Low",F143&lt;&gt;"Tail",OR(G143="Declining",G143="Lapsed"),OR(O143&gt;=Assumptions!$B$60,P143&gt;=Assumptions!$B$61)),"Engaged but shrinking (Key/Core)",IF(AND(O143&gt;=Assumptions!$B$60,P143&gt;=Assumptions!$B$61,Q143&gt;=Assumptions!$B$62,K143&gt;=Assumptions!$B$63),"Independent browser-buyer",IF(AND(OR(O143&gt;=Assumptions!$B$60,P143&gt;=Assumptions!$B$61),K143&lt;=2),"Engaged, not converting",IF(AND(K143=1,O143&lt;Assumptions!$B$60,P143&lt;Assumptions!$B$61),"One-off low-touch buyer","Light-touch repeat buyer")))))</f>
        <v>One-off low-touch buyer</v>
      </c>
      <c r="AE143" s="10" t="b">
        <f aca="false">INDEX(Segmentation!$AW$2:$AW$301,MATCH($A143,Segmentation!$A$2:$A$301,0))</f>
        <v>0</v>
      </c>
    </row>
    <row r="144" customFormat="false" ht="15" hidden="false" customHeight="false" outlineLevel="0" collapsed="false">
      <c r="A144" s="2" t="s">
        <v>778</v>
      </c>
      <c r="B144" s="2" t="s">
        <v>1571</v>
      </c>
      <c r="C144" s="2" t="s">
        <v>1640</v>
      </c>
      <c r="D144" s="2" t="s">
        <v>1654</v>
      </c>
      <c r="E144" s="2" t="str">
        <f aca="false">INDEX(Segmentation!$H$2:$H$301,MATCH($A144,Segmentation!$A$2:$A$301,0))</f>
        <v>AM-Owned / Self-Serving</v>
      </c>
      <c r="F144" s="2" t="str">
        <f aca="false">INDEX(Segmentation!$J$2:$J$301,MATCH($A144,Segmentation!$A$2:$A$301,0))</f>
        <v>Tail</v>
      </c>
      <c r="G144" s="2" t="str">
        <f aca="false">INDEX(Segmentation!$N$2:$N$301,MATCH($A144,Segmentation!$A$2:$A$301,0))</f>
        <v>Lapsed</v>
      </c>
      <c r="H144" s="2" t="str">
        <f aca="false">INDEX(Segmentation!$T$2:$T$301,MATCH($A144,Segmentation!$A$2:$A$301,0))</f>
        <v>9. Long-Tail Automated Nurture</v>
      </c>
      <c r="I144" s="2" t="str">
        <f aca="false">INDEX(Segmentation!$G$2:$G$301,MATCH($A144,Segmentation!$A$2:$A$301,0))</f>
        <v>Low</v>
      </c>
      <c r="J144" s="9" t="n">
        <f aca="false">INDEX(Segmentation!$I$2:$I$301,MATCH($A144,Segmentation!$A$2:$A$301,0))</f>
        <v>308</v>
      </c>
      <c r="K144" s="2" t="n">
        <f aca="false">INDEX(Segmentation!$O$2:$O$301,MATCH($A144,Segmentation!$A$2:$A$301,0))</f>
        <v>1</v>
      </c>
      <c r="L144" s="2" t="n">
        <f aca="false">INDEX(Segmentation!$Q$2:$Q$301,MATCH($A144,Segmentation!$A$2:$A$301,0))</f>
        <v>1</v>
      </c>
      <c r="M144" s="2" t="n">
        <f aca="false">INDEX(Segmentation!$W$2:$W$301,MATCH($A144,Segmentation!$A$2:$A$301,0))</f>
        <v>1</v>
      </c>
      <c r="N144" s="2" t="str">
        <f aca="false">INDEX(Segmentation!$AF$2:$AF$301,MATCH($A144,Segmentation!$A$2:$A$301,0))</f>
        <v>Existing Customer</v>
      </c>
      <c r="O144" s="2" t="n">
        <f aca="false">INDEX(Segmentation!$R$2:$R$301,MATCH($A144,Segmentation!$A$2:$A$301,0))</f>
        <v>18</v>
      </c>
      <c r="P144" s="2" t="n">
        <v>96</v>
      </c>
      <c r="Q144" s="2" t="n">
        <f aca="false">INDEX(Segmentation!$S$2:$S$301,MATCH($A144,Segmentation!$A$2:$A$301,0))</f>
        <v>1</v>
      </c>
      <c r="R144" s="2" t="n">
        <v>8</v>
      </c>
      <c r="S144" s="2" t="n">
        <v>0</v>
      </c>
      <c r="T144" s="2" t="n">
        <v>0</v>
      </c>
      <c r="U144" s="2" t="n">
        <v>1</v>
      </c>
      <c r="V144" s="2" t="n">
        <v>100</v>
      </c>
      <c r="W144" s="2" t="str">
        <f aca="false">IF(V144=100,"Bundle-only",IF(V144=0,"Handpick-only","Mixed"))</f>
        <v>Bundle-only</v>
      </c>
      <c r="X144" s="17" t="n">
        <f aca="false">L144/K144</f>
        <v>1</v>
      </c>
      <c r="Y144" s="9" t="n">
        <f aca="false">J144/K144</f>
        <v>308</v>
      </c>
      <c r="Z144" s="10" t="b">
        <f aca="false">O144&gt;=Assumptions!$B$57</f>
        <v>1</v>
      </c>
      <c r="AA144" s="10" t="b">
        <f aca="false">P144&gt;=Assumptions!$B$58</f>
        <v>1</v>
      </c>
      <c r="AB144" s="10" t="b">
        <f aca="false">Q144&gt;=Assumptions!$B$59</f>
        <v>0</v>
      </c>
      <c r="AC144" s="2" t="n">
        <f aca="false">Z144*1+AA144*1+AB144*1</f>
        <v>2</v>
      </c>
      <c r="AD144" s="2" t="str">
        <f aca="false">IF(E144="Broker-Reliant","Broker-led, product-blind",IF(AND(I144="Low",F144&lt;&gt;"Tail",OR(G144="Declining",G144="Lapsed"),OR(O144&gt;=Assumptions!$B$60,P144&gt;=Assumptions!$B$61)),"Engaged but shrinking (Key/Core)",IF(AND(O144&gt;=Assumptions!$B$60,P144&gt;=Assumptions!$B$61,Q144&gt;=Assumptions!$B$62,K144&gt;=Assumptions!$B$63),"Independent browser-buyer",IF(AND(OR(O144&gt;=Assumptions!$B$60,P144&gt;=Assumptions!$B$61),K144&lt;=2),"Engaged, not converting",IF(AND(K144=1,O144&lt;Assumptions!$B$60,P144&lt;Assumptions!$B$61),"One-off low-touch buyer","Light-touch repeat buyer")))))</f>
        <v>One-off low-touch buyer</v>
      </c>
      <c r="AE144" s="10" t="b">
        <f aca="false">INDEX(Segmentation!$AW$2:$AW$301,MATCH($A144,Segmentation!$A$2:$A$301,0))</f>
        <v>0</v>
      </c>
    </row>
    <row r="145" customFormat="false" ht="15" hidden="false" customHeight="false" outlineLevel="0" collapsed="false">
      <c r="A145" s="2" t="s">
        <v>782</v>
      </c>
      <c r="B145" s="2" t="s">
        <v>1571</v>
      </c>
      <c r="C145" s="2" t="s">
        <v>1640</v>
      </c>
      <c r="D145" s="2" t="s">
        <v>1653</v>
      </c>
      <c r="E145" s="2" t="str">
        <f aca="false">INDEX(Segmentation!$H$2:$H$301,MATCH($A145,Segmentation!$A$2:$A$301,0))</f>
        <v>AM-Owned / Self-Serving</v>
      </c>
      <c r="F145" s="2" t="str">
        <f aca="false">INDEX(Segmentation!$J$2:$J$301,MATCH($A145,Segmentation!$A$2:$A$301,0))</f>
        <v>Tail</v>
      </c>
      <c r="G145" s="2" t="str">
        <f aca="false">INDEX(Segmentation!$N$2:$N$301,MATCH($A145,Segmentation!$A$2:$A$301,0))</f>
        <v>Lapsed</v>
      </c>
      <c r="H145" s="2" t="str">
        <f aca="false">INDEX(Segmentation!$T$2:$T$301,MATCH($A145,Segmentation!$A$2:$A$301,0))</f>
        <v>9. Long-Tail Automated Nurture</v>
      </c>
      <c r="I145" s="2" t="str">
        <f aca="false">INDEX(Segmentation!$G$2:$G$301,MATCH($A145,Segmentation!$A$2:$A$301,0))</f>
        <v>Low</v>
      </c>
      <c r="J145" s="9" t="n">
        <f aca="false">INDEX(Segmentation!$I$2:$I$301,MATCH($A145,Segmentation!$A$2:$A$301,0))</f>
        <v>306</v>
      </c>
      <c r="K145" s="2" t="n">
        <f aca="false">INDEX(Segmentation!$O$2:$O$301,MATCH($A145,Segmentation!$A$2:$A$301,0))</f>
        <v>1</v>
      </c>
      <c r="L145" s="2" t="n">
        <f aca="false">INDEX(Segmentation!$Q$2:$Q$301,MATCH($A145,Segmentation!$A$2:$A$301,0))</f>
        <v>1</v>
      </c>
      <c r="M145" s="2" t="n">
        <f aca="false">INDEX(Segmentation!$W$2:$W$301,MATCH($A145,Segmentation!$A$2:$A$301,0))</f>
        <v>1</v>
      </c>
      <c r="N145" s="2" t="str">
        <f aca="false">INDEX(Segmentation!$AF$2:$AF$301,MATCH($A145,Segmentation!$A$2:$A$301,0))</f>
        <v>Existing Customer</v>
      </c>
      <c r="O145" s="2" t="n">
        <f aca="false">INDEX(Segmentation!$R$2:$R$301,MATCH($A145,Segmentation!$A$2:$A$301,0))</f>
        <v>13</v>
      </c>
      <c r="P145" s="2" t="n">
        <v>169</v>
      </c>
      <c r="Q145" s="2" t="n">
        <f aca="false">INDEX(Segmentation!$S$2:$S$301,MATCH($A145,Segmentation!$A$2:$A$301,0))</f>
        <v>4</v>
      </c>
      <c r="R145" s="2" t="n">
        <v>1</v>
      </c>
      <c r="S145" s="2" t="n">
        <v>0</v>
      </c>
      <c r="T145" s="2" t="n">
        <v>0</v>
      </c>
      <c r="U145" s="2" t="n">
        <v>1</v>
      </c>
      <c r="V145" s="2" t="n">
        <v>100</v>
      </c>
      <c r="W145" s="2" t="str">
        <f aca="false">IF(V145=100,"Bundle-only",IF(V145=0,"Handpick-only","Mixed"))</f>
        <v>Bundle-only</v>
      </c>
      <c r="X145" s="17" t="n">
        <f aca="false">L145/K145</f>
        <v>1</v>
      </c>
      <c r="Y145" s="9" t="n">
        <f aca="false">J145/K145</f>
        <v>306</v>
      </c>
      <c r="Z145" s="10" t="b">
        <f aca="false">O145&gt;=Assumptions!$B$57</f>
        <v>1</v>
      </c>
      <c r="AA145" s="10" t="b">
        <f aca="false">P145&gt;=Assumptions!$B$58</f>
        <v>1</v>
      </c>
      <c r="AB145" s="10" t="b">
        <f aca="false">Q145&gt;=Assumptions!$B$59</f>
        <v>1</v>
      </c>
      <c r="AC145" s="2" t="n">
        <f aca="false">Z145*1+AA145*1+AB145*1</f>
        <v>3</v>
      </c>
      <c r="AD145" s="2" t="str">
        <f aca="false">IF(E145="Broker-Reliant","Broker-led, product-blind",IF(AND(I145="Low",F145&lt;&gt;"Tail",OR(G145="Declining",G145="Lapsed"),OR(O145&gt;=Assumptions!$B$60,P145&gt;=Assumptions!$B$61)),"Engaged but shrinking (Key/Core)",IF(AND(O145&gt;=Assumptions!$B$60,P145&gt;=Assumptions!$B$61,Q145&gt;=Assumptions!$B$62,K145&gt;=Assumptions!$B$63),"Independent browser-buyer",IF(AND(OR(O145&gt;=Assumptions!$B$60,P145&gt;=Assumptions!$B$61),K145&lt;=2),"Engaged, not converting",IF(AND(K145=1,O145&lt;Assumptions!$B$60,P145&lt;Assumptions!$B$61),"One-off low-touch buyer","Light-touch repeat buyer")))))</f>
        <v>One-off low-touch buyer</v>
      </c>
      <c r="AE145" s="10" t="b">
        <f aca="false">INDEX(Segmentation!$AW$2:$AW$301,MATCH($A145,Segmentation!$A$2:$A$301,0))</f>
        <v>0</v>
      </c>
    </row>
    <row r="146" customFormat="false" ht="15" hidden="false" customHeight="false" outlineLevel="0" collapsed="false">
      <c r="A146" s="2" t="s">
        <v>784</v>
      </c>
      <c r="B146" s="2" t="s">
        <v>1571</v>
      </c>
      <c r="C146" s="2" t="s">
        <v>1640</v>
      </c>
      <c r="D146" s="2" t="s">
        <v>1653</v>
      </c>
      <c r="E146" s="2" t="str">
        <f aca="false">INDEX(Segmentation!$H$2:$H$301,MATCH($A146,Segmentation!$A$2:$A$301,0))</f>
        <v>AM-Owned / Self-Serving</v>
      </c>
      <c r="F146" s="2" t="str">
        <f aca="false">INDEX(Segmentation!$J$2:$J$301,MATCH($A146,Segmentation!$A$2:$A$301,0))</f>
        <v>Tail</v>
      </c>
      <c r="G146" s="2" t="str">
        <f aca="false">INDEX(Segmentation!$N$2:$N$301,MATCH($A146,Segmentation!$A$2:$A$301,0))</f>
        <v>H2 Active / No H1 GMV</v>
      </c>
      <c r="H146" s="2" t="str">
        <f aca="false">INDEX(Segmentation!$T$2:$T$301,MATCH($A146,Segmentation!$A$2:$A$301,0))</f>
        <v>9. Long-Tail Automated Nurture</v>
      </c>
      <c r="I146" s="2" t="str">
        <f aca="false">INDEX(Segmentation!$G$2:$G$301,MATCH($A146,Segmentation!$A$2:$A$301,0))</f>
        <v>Low</v>
      </c>
      <c r="J146" s="9" t="n">
        <f aca="false">INDEX(Segmentation!$I$2:$I$301,MATCH($A146,Segmentation!$A$2:$A$301,0))</f>
        <v>305</v>
      </c>
      <c r="K146" s="2" t="n">
        <f aca="false">INDEX(Segmentation!$O$2:$O$301,MATCH($A146,Segmentation!$A$2:$A$301,0))</f>
        <v>1</v>
      </c>
      <c r="L146" s="2" t="n">
        <f aca="false">INDEX(Segmentation!$Q$2:$Q$301,MATCH($A146,Segmentation!$A$2:$A$301,0))</f>
        <v>1</v>
      </c>
      <c r="M146" s="2" t="n">
        <f aca="false">INDEX(Segmentation!$W$2:$W$301,MATCH($A146,Segmentation!$A$2:$A$301,0))</f>
        <v>1</v>
      </c>
      <c r="N146" s="2" t="str">
        <f aca="false">INDEX(Segmentation!$AF$2:$AF$301,MATCH($A146,Segmentation!$A$2:$A$301,0))</f>
        <v>Returned Customer</v>
      </c>
      <c r="O146" s="2" t="n">
        <f aca="false">INDEX(Segmentation!$R$2:$R$301,MATCH($A146,Segmentation!$A$2:$A$301,0))</f>
        <v>1</v>
      </c>
      <c r="P146" s="2" t="n">
        <v>0</v>
      </c>
      <c r="Q146" s="2" t="n">
        <f aca="false">INDEX(Segmentation!$S$2:$S$301,MATCH($A146,Segmentation!$A$2:$A$301,0))</f>
        <v>0</v>
      </c>
      <c r="R146" s="2" t="n">
        <v>0</v>
      </c>
      <c r="S146" s="2" t="n">
        <v>0</v>
      </c>
      <c r="T146" s="2" t="n">
        <v>0</v>
      </c>
      <c r="U146" s="2" t="n">
        <v>1</v>
      </c>
      <c r="V146" s="2" t="n">
        <v>100</v>
      </c>
      <c r="W146" s="2" t="str">
        <f aca="false">IF(V146=100,"Bundle-only",IF(V146=0,"Handpick-only","Mixed"))</f>
        <v>Bundle-only</v>
      </c>
      <c r="X146" s="17" t="n">
        <f aca="false">L146/K146</f>
        <v>1</v>
      </c>
      <c r="Y146" s="9" t="n">
        <f aca="false">J146/K146</f>
        <v>305</v>
      </c>
      <c r="Z146" s="10" t="b">
        <f aca="false">O146&gt;=Assumptions!$B$57</f>
        <v>0</v>
      </c>
      <c r="AA146" s="10" t="b">
        <f aca="false">P146&gt;=Assumptions!$B$58</f>
        <v>0</v>
      </c>
      <c r="AB146" s="10" t="b">
        <f aca="false">Q146&gt;=Assumptions!$B$59</f>
        <v>0</v>
      </c>
      <c r="AC146" s="2" t="n">
        <f aca="false">Z146*1+AA146*1+AB146*1</f>
        <v>0</v>
      </c>
      <c r="AD146" s="2" t="str">
        <f aca="false">IF(E146="Broker-Reliant","Broker-led, product-blind",IF(AND(I146="Low",F146&lt;&gt;"Tail",OR(G146="Declining",G146="Lapsed"),OR(O146&gt;=Assumptions!$B$60,P146&gt;=Assumptions!$B$61)),"Engaged but shrinking (Key/Core)",IF(AND(O146&gt;=Assumptions!$B$60,P146&gt;=Assumptions!$B$61,Q146&gt;=Assumptions!$B$62,K146&gt;=Assumptions!$B$63),"Independent browser-buyer",IF(AND(OR(O146&gt;=Assumptions!$B$60,P146&gt;=Assumptions!$B$61),K146&lt;=2),"Engaged, not converting",IF(AND(K146=1,O146&lt;Assumptions!$B$60,P146&lt;Assumptions!$B$61),"One-off low-touch buyer","Light-touch repeat buyer")))))</f>
        <v>One-off low-touch buyer</v>
      </c>
      <c r="AE146" s="10" t="b">
        <f aca="false">INDEX(Segmentation!$AW$2:$AW$301,MATCH($A146,Segmentation!$A$2:$A$301,0))</f>
        <v>0</v>
      </c>
    </row>
    <row r="147" customFormat="false" ht="15" hidden="false" customHeight="false" outlineLevel="0" collapsed="false">
      <c r="A147" s="2" t="s">
        <v>790</v>
      </c>
      <c r="B147" s="2" t="s">
        <v>1571</v>
      </c>
      <c r="C147" s="2" t="s">
        <v>1640</v>
      </c>
      <c r="D147" s="2" t="s">
        <v>1657</v>
      </c>
      <c r="E147" s="2" t="str">
        <f aca="false">INDEX(Segmentation!$H$2:$H$301,MATCH($A147,Segmentation!$A$2:$A$301,0))</f>
        <v>AM-Owned / Self-Serving</v>
      </c>
      <c r="F147" s="2" t="str">
        <f aca="false">INDEX(Segmentation!$J$2:$J$301,MATCH($A147,Segmentation!$A$2:$A$301,0))</f>
        <v>Tail</v>
      </c>
      <c r="G147" s="2" t="str">
        <f aca="false">INDEX(Segmentation!$N$2:$N$301,MATCH($A147,Segmentation!$A$2:$A$301,0))</f>
        <v>Lapsed</v>
      </c>
      <c r="H147" s="2" t="str">
        <f aca="false">INDEX(Segmentation!$T$2:$T$301,MATCH($A147,Segmentation!$A$2:$A$301,0))</f>
        <v>9. Long-Tail Automated Nurture</v>
      </c>
      <c r="I147" s="2" t="str">
        <f aca="false">INDEX(Segmentation!$G$2:$G$301,MATCH($A147,Segmentation!$A$2:$A$301,0))</f>
        <v>Low</v>
      </c>
      <c r="J147" s="9" t="n">
        <f aca="false">INDEX(Segmentation!$I$2:$I$301,MATCH($A147,Segmentation!$A$2:$A$301,0))</f>
        <v>298</v>
      </c>
      <c r="K147" s="2" t="n">
        <f aca="false">INDEX(Segmentation!$O$2:$O$301,MATCH($A147,Segmentation!$A$2:$A$301,0))</f>
        <v>3</v>
      </c>
      <c r="L147" s="2" t="n">
        <f aca="false">INDEX(Segmentation!$Q$2:$Q$301,MATCH($A147,Segmentation!$A$2:$A$301,0))</f>
        <v>3</v>
      </c>
      <c r="M147" s="2" t="n">
        <f aca="false">INDEX(Segmentation!$W$2:$W$301,MATCH($A147,Segmentation!$A$2:$A$301,0))</f>
        <v>3</v>
      </c>
      <c r="N147" s="2" t="str">
        <f aca="false">INDEX(Segmentation!$AF$2:$AF$301,MATCH($A147,Segmentation!$A$2:$A$301,0))</f>
        <v>Existing Customer</v>
      </c>
      <c r="O147" s="2" t="n">
        <f aca="false">INDEX(Segmentation!$R$2:$R$301,MATCH($A147,Segmentation!$A$2:$A$301,0))</f>
        <v>20</v>
      </c>
      <c r="P147" s="2" t="n">
        <v>279</v>
      </c>
      <c r="Q147" s="2" t="n">
        <f aca="false">INDEX(Segmentation!$S$2:$S$301,MATCH($A147,Segmentation!$A$2:$A$301,0))</f>
        <v>0</v>
      </c>
      <c r="R147" s="2" t="n">
        <v>0</v>
      </c>
      <c r="S147" s="2" t="n">
        <v>0</v>
      </c>
      <c r="T147" s="2" t="n">
        <v>0</v>
      </c>
      <c r="U147" s="2" t="n">
        <v>3</v>
      </c>
      <c r="V147" s="2" t="n">
        <v>100</v>
      </c>
      <c r="W147" s="2" t="str">
        <f aca="false">IF(V147=100,"Bundle-only",IF(V147=0,"Handpick-only","Mixed"))</f>
        <v>Bundle-only</v>
      </c>
      <c r="X147" s="17" t="n">
        <f aca="false">L147/K147</f>
        <v>1</v>
      </c>
      <c r="Y147" s="9" t="n">
        <f aca="false">J147/K147</f>
        <v>99.3333333333333</v>
      </c>
      <c r="Z147" s="10" t="b">
        <f aca="false">O147&gt;=Assumptions!$B$57</f>
        <v>1</v>
      </c>
      <c r="AA147" s="10" t="b">
        <f aca="false">P147&gt;=Assumptions!$B$58</f>
        <v>1</v>
      </c>
      <c r="AB147" s="10" t="b">
        <f aca="false">Q147&gt;=Assumptions!$B$59</f>
        <v>0</v>
      </c>
      <c r="AC147" s="2" t="n">
        <f aca="false">Z147*1+AA147*1+AB147*1</f>
        <v>2</v>
      </c>
      <c r="AD147" s="2" t="str">
        <f aca="false">IF(E147="Broker-Reliant","Broker-led, product-blind",IF(AND(I147="Low",F147&lt;&gt;"Tail",OR(G147="Declining",G147="Lapsed"),OR(O147&gt;=Assumptions!$B$60,P147&gt;=Assumptions!$B$61)),"Engaged but shrinking (Key/Core)",IF(AND(O147&gt;=Assumptions!$B$60,P147&gt;=Assumptions!$B$61,Q147&gt;=Assumptions!$B$62,K147&gt;=Assumptions!$B$63),"Independent browser-buyer",IF(AND(OR(O147&gt;=Assumptions!$B$60,P147&gt;=Assumptions!$B$61),K147&lt;=2),"Engaged, not converting",IF(AND(K147=1,O147&lt;Assumptions!$B$60,P147&lt;Assumptions!$B$61),"One-off low-touch buyer","Light-touch repeat buyer")))))</f>
        <v>Light-touch repeat buyer</v>
      </c>
      <c r="AE147" s="10" t="b">
        <f aca="false">INDEX(Segmentation!$AW$2:$AW$301,MATCH($A147,Segmentation!$A$2:$A$301,0))</f>
        <v>0</v>
      </c>
    </row>
    <row r="148" customFormat="false" ht="15" hidden="false" customHeight="false" outlineLevel="0" collapsed="false">
      <c r="A148" s="2" t="s">
        <v>794</v>
      </c>
      <c r="B148" s="2" t="s">
        <v>1571</v>
      </c>
      <c r="C148" s="2" t="s">
        <v>1640</v>
      </c>
      <c r="D148" s="2" t="s">
        <v>1653</v>
      </c>
      <c r="E148" s="2" t="str">
        <f aca="false">INDEX(Segmentation!$H$2:$H$301,MATCH($A148,Segmentation!$A$2:$A$301,0))</f>
        <v>AM-Owned / Self-Serving</v>
      </c>
      <c r="F148" s="2" t="str">
        <f aca="false">INDEX(Segmentation!$J$2:$J$301,MATCH($A148,Segmentation!$A$2:$A$301,0))</f>
        <v>Tail</v>
      </c>
      <c r="G148" s="2" t="str">
        <f aca="false">INDEX(Segmentation!$N$2:$N$301,MATCH($A148,Segmentation!$A$2:$A$301,0))</f>
        <v>Lapsed</v>
      </c>
      <c r="H148" s="2" t="str">
        <f aca="false">INDEX(Segmentation!$T$2:$T$301,MATCH($A148,Segmentation!$A$2:$A$301,0))</f>
        <v>9. Long-Tail Automated Nurture</v>
      </c>
      <c r="I148" s="2" t="str">
        <f aca="false">INDEX(Segmentation!$G$2:$G$301,MATCH($A148,Segmentation!$A$2:$A$301,0))</f>
        <v>Low</v>
      </c>
      <c r="J148" s="9" t="n">
        <f aca="false">INDEX(Segmentation!$I$2:$I$301,MATCH($A148,Segmentation!$A$2:$A$301,0))</f>
        <v>296</v>
      </c>
      <c r="K148" s="2" t="n">
        <f aca="false">INDEX(Segmentation!$O$2:$O$301,MATCH($A148,Segmentation!$A$2:$A$301,0))</f>
        <v>1</v>
      </c>
      <c r="L148" s="2" t="n">
        <f aca="false">INDEX(Segmentation!$Q$2:$Q$301,MATCH($A148,Segmentation!$A$2:$A$301,0))</f>
        <v>1</v>
      </c>
      <c r="M148" s="2" t="n">
        <f aca="false">INDEX(Segmentation!$W$2:$W$301,MATCH($A148,Segmentation!$A$2:$A$301,0))</f>
        <v>1</v>
      </c>
      <c r="N148" s="2" t="str">
        <f aca="false">INDEX(Segmentation!$AF$2:$AF$301,MATCH($A148,Segmentation!$A$2:$A$301,0))</f>
        <v>Existing Customer</v>
      </c>
      <c r="O148" s="2" t="n">
        <f aca="false">INDEX(Segmentation!$R$2:$R$301,MATCH($A148,Segmentation!$A$2:$A$301,0))</f>
        <v>1</v>
      </c>
      <c r="P148" s="2" t="n">
        <v>75</v>
      </c>
      <c r="Q148" s="2" t="n">
        <f aca="false">INDEX(Segmentation!$S$2:$S$301,MATCH($A148,Segmentation!$A$2:$A$301,0))</f>
        <v>6</v>
      </c>
      <c r="R148" s="2" t="n">
        <v>3</v>
      </c>
      <c r="S148" s="2" t="n">
        <v>0</v>
      </c>
      <c r="T148" s="2" t="n">
        <v>0</v>
      </c>
      <c r="U148" s="2" t="n">
        <v>1</v>
      </c>
      <c r="V148" s="2" t="n">
        <v>100</v>
      </c>
      <c r="W148" s="2" t="str">
        <f aca="false">IF(V148=100,"Bundle-only",IF(V148=0,"Handpick-only","Mixed"))</f>
        <v>Bundle-only</v>
      </c>
      <c r="X148" s="17" t="n">
        <f aca="false">L148/K148</f>
        <v>1</v>
      </c>
      <c r="Y148" s="9" t="n">
        <f aca="false">J148/K148</f>
        <v>296</v>
      </c>
      <c r="Z148" s="10" t="b">
        <f aca="false">O148&gt;=Assumptions!$B$57</f>
        <v>0</v>
      </c>
      <c r="AA148" s="10" t="b">
        <f aca="false">P148&gt;=Assumptions!$B$58</f>
        <v>1</v>
      </c>
      <c r="AB148" s="10" t="b">
        <f aca="false">Q148&gt;=Assumptions!$B$59</f>
        <v>1</v>
      </c>
      <c r="AC148" s="2" t="n">
        <f aca="false">Z148*1+AA148*1+AB148*1</f>
        <v>2</v>
      </c>
      <c r="AD148" s="2" t="str">
        <f aca="false">IF(E148="Broker-Reliant","Broker-led, product-blind",IF(AND(I148="Low",F148&lt;&gt;"Tail",OR(G148="Declining",G148="Lapsed"),OR(O148&gt;=Assumptions!$B$60,P148&gt;=Assumptions!$B$61)),"Engaged but shrinking (Key/Core)",IF(AND(O148&gt;=Assumptions!$B$60,P148&gt;=Assumptions!$B$61,Q148&gt;=Assumptions!$B$62,K148&gt;=Assumptions!$B$63),"Independent browser-buyer",IF(AND(OR(O148&gt;=Assumptions!$B$60,P148&gt;=Assumptions!$B$61),K148&lt;=2),"Engaged, not converting",IF(AND(K148=1,O148&lt;Assumptions!$B$60,P148&lt;Assumptions!$B$61),"One-off low-touch buyer","Light-touch repeat buyer")))))</f>
        <v>One-off low-touch buyer</v>
      </c>
      <c r="AE148" s="10" t="b">
        <f aca="false">INDEX(Segmentation!$AW$2:$AW$301,MATCH($A148,Segmentation!$A$2:$A$301,0))</f>
        <v>0</v>
      </c>
    </row>
    <row r="149" customFormat="false" ht="15" hidden="false" customHeight="false" outlineLevel="0" collapsed="false">
      <c r="A149" s="2" t="s">
        <v>798</v>
      </c>
      <c r="B149" s="2" t="s">
        <v>1571</v>
      </c>
      <c r="C149" s="2" t="s">
        <v>1640</v>
      </c>
      <c r="D149" s="2" t="s">
        <v>1655</v>
      </c>
      <c r="E149" s="2" t="str">
        <f aca="false">INDEX(Segmentation!$H$2:$H$301,MATCH($A149,Segmentation!$A$2:$A$301,0))</f>
        <v>AM-Owned / Self-Serving</v>
      </c>
      <c r="F149" s="2" t="str">
        <f aca="false">INDEX(Segmentation!$J$2:$J$301,MATCH($A149,Segmentation!$A$2:$A$301,0))</f>
        <v>Tail</v>
      </c>
      <c r="G149" s="2" t="str">
        <f aca="false">INDEX(Segmentation!$N$2:$N$301,MATCH($A149,Segmentation!$A$2:$A$301,0))</f>
        <v>Lapsed</v>
      </c>
      <c r="H149" s="2" t="str">
        <f aca="false">INDEX(Segmentation!$T$2:$T$301,MATCH($A149,Segmentation!$A$2:$A$301,0))</f>
        <v>9. Long-Tail Automated Nurture</v>
      </c>
      <c r="I149" s="2" t="str">
        <f aca="false">INDEX(Segmentation!$G$2:$G$301,MATCH($A149,Segmentation!$A$2:$A$301,0))</f>
        <v>Low</v>
      </c>
      <c r="J149" s="9" t="n">
        <f aca="false">INDEX(Segmentation!$I$2:$I$301,MATCH($A149,Segmentation!$A$2:$A$301,0))</f>
        <v>291</v>
      </c>
      <c r="K149" s="2" t="n">
        <f aca="false">INDEX(Segmentation!$O$2:$O$301,MATCH($A149,Segmentation!$A$2:$A$301,0))</f>
        <v>1</v>
      </c>
      <c r="L149" s="2" t="n">
        <f aca="false">INDEX(Segmentation!$Q$2:$Q$301,MATCH($A149,Segmentation!$A$2:$A$301,0))</f>
        <v>1</v>
      </c>
      <c r="M149" s="2" t="n">
        <f aca="false">INDEX(Segmentation!$W$2:$W$301,MATCH($A149,Segmentation!$A$2:$A$301,0))</f>
        <v>1</v>
      </c>
      <c r="N149" s="2" t="str">
        <f aca="false">INDEX(Segmentation!$AF$2:$AF$301,MATCH($A149,Segmentation!$A$2:$A$301,0))</f>
        <v>Existing Customer</v>
      </c>
      <c r="O149" s="2" t="n">
        <f aca="false">INDEX(Segmentation!$R$2:$R$301,MATCH($A149,Segmentation!$A$2:$A$301,0))</f>
        <v>6</v>
      </c>
      <c r="P149" s="2" t="n">
        <v>31</v>
      </c>
      <c r="Q149" s="2" t="n">
        <f aca="false">INDEX(Segmentation!$S$2:$S$301,MATCH($A149,Segmentation!$A$2:$A$301,0))</f>
        <v>1</v>
      </c>
      <c r="R149" s="2" t="n">
        <v>2</v>
      </c>
      <c r="S149" s="2" t="n">
        <v>0</v>
      </c>
      <c r="T149" s="2" t="n">
        <v>0</v>
      </c>
      <c r="U149" s="2" t="n">
        <v>1</v>
      </c>
      <c r="V149" s="2" t="n">
        <v>100</v>
      </c>
      <c r="W149" s="2" t="str">
        <f aca="false">IF(V149=100,"Bundle-only",IF(V149=0,"Handpick-only","Mixed"))</f>
        <v>Bundle-only</v>
      </c>
      <c r="X149" s="17" t="n">
        <f aca="false">L149/K149</f>
        <v>1</v>
      </c>
      <c r="Y149" s="9" t="n">
        <f aca="false">J149/K149</f>
        <v>291</v>
      </c>
      <c r="Z149" s="10" t="b">
        <f aca="false">O149&gt;=Assumptions!$B$57</f>
        <v>0</v>
      </c>
      <c r="AA149" s="10" t="b">
        <f aca="false">P149&gt;=Assumptions!$B$58</f>
        <v>0</v>
      </c>
      <c r="AB149" s="10" t="b">
        <f aca="false">Q149&gt;=Assumptions!$B$59</f>
        <v>0</v>
      </c>
      <c r="AC149" s="2" t="n">
        <f aca="false">Z149*1+AA149*1+AB149*1</f>
        <v>0</v>
      </c>
      <c r="AD149" s="2" t="str">
        <f aca="false">IF(E149="Broker-Reliant","Broker-led, product-blind",IF(AND(I149="Low",F149&lt;&gt;"Tail",OR(G149="Declining",G149="Lapsed"),OR(O149&gt;=Assumptions!$B$60,P149&gt;=Assumptions!$B$61)),"Engaged but shrinking (Key/Core)",IF(AND(O149&gt;=Assumptions!$B$60,P149&gt;=Assumptions!$B$61,Q149&gt;=Assumptions!$B$62,K149&gt;=Assumptions!$B$63),"Independent browser-buyer",IF(AND(OR(O149&gt;=Assumptions!$B$60,P149&gt;=Assumptions!$B$61),K149&lt;=2),"Engaged, not converting",IF(AND(K149=1,O149&lt;Assumptions!$B$60,P149&lt;Assumptions!$B$61),"One-off low-touch buyer","Light-touch repeat buyer")))))</f>
        <v>One-off low-touch buyer</v>
      </c>
      <c r="AE149" s="10" t="b">
        <f aca="false">INDEX(Segmentation!$AW$2:$AW$301,MATCH($A149,Segmentation!$A$2:$A$301,0))</f>
        <v>0</v>
      </c>
    </row>
    <row r="150" customFormat="false" ht="15" hidden="false" customHeight="false" outlineLevel="0" collapsed="false">
      <c r="A150" s="2" t="s">
        <v>800</v>
      </c>
      <c r="B150" s="2" t="s">
        <v>1571</v>
      </c>
      <c r="C150" s="2" t="s">
        <v>1640</v>
      </c>
      <c r="D150" s="2" t="s">
        <v>1654</v>
      </c>
      <c r="E150" s="2" t="str">
        <f aca="false">INDEX(Segmentation!$H$2:$H$301,MATCH($A150,Segmentation!$A$2:$A$301,0))</f>
        <v>AM-Owned / Self-Serving</v>
      </c>
      <c r="F150" s="2" t="str">
        <f aca="false">INDEX(Segmentation!$J$2:$J$301,MATCH($A150,Segmentation!$A$2:$A$301,0))</f>
        <v>Tail</v>
      </c>
      <c r="G150" s="2" t="str">
        <f aca="false">INDEX(Segmentation!$N$2:$N$301,MATCH($A150,Segmentation!$A$2:$A$301,0))</f>
        <v>Lapsed</v>
      </c>
      <c r="H150" s="2" t="str">
        <f aca="false">INDEX(Segmentation!$T$2:$T$301,MATCH($A150,Segmentation!$A$2:$A$301,0))</f>
        <v>9. Long-Tail Automated Nurture</v>
      </c>
      <c r="I150" s="2" t="str">
        <f aca="false">INDEX(Segmentation!$G$2:$G$301,MATCH($A150,Segmentation!$A$2:$A$301,0))</f>
        <v>Low</v>
      </c>
      <c r="J150" s="9" t="n">
        <f aca="false">INDEX(Segmentation!$I$2:$I$301,MATCH($A150,Segmentation!$A$2:$A$301,0))</f>
        <v>289</v>
      </c>
      <c r="K150" s="2" t="n">
        <f aca="false">INDEX(Segmentation!$O$2:$O$301,MATCH($A150,Segmentation!$A$2:$A$301,0))</f>
        <v>2</v>
      </c>
      <c r="L150" s="2" t="n">
        <f aca="false">INDEX(Segmentation!$Q$2:$Q$301,MATCH($A150,Segmentation!$A$2:$A$301,0))</f>
        <v>2</v>
      </c>
      <c r="M150" s="2" t="n">
        <f aca="false">INDEX(Segmentation!$W$2:$W$301,MATCH($A150,Segmentation!$A$2:$A$301,0))</f>
        <v>1</v>
      </c>
      <c r="N150" s="2" t="str">
        <f aca="false">INDEX(Segmentation!$AF$2:$AF$301,MATCH($A150,Segmentation!$A$2:$A$301,0))</f>
        <v>Existing Customer</v>
      </c>
      <c r="O150" s="2" t="n">
        <f aca="false">INDEX(Segmentation!$R$2:$R$301,MATCH($A150,Segmentation!$A$2:$A$301,0))</f>
        <v>7</v>
      </c>
      <c r="P150" s="2" t="n">
        <v>135</v>
      </c>
      <c r="Q150" s="2" t="n">
        <f aca="false">INDEX(Segmentation!$S$2:$S$301,MATCH($A150,Segmentation!$A$2:$A$301,0))</f>
        <v>9</v>
      </c>
      <c r="R150" s="2" t="n">
        <v>2</v>
      </c>
      <c r="S150" s="2" t="n">
        <v>0</v>
      </c>
      <c r="T150" s="2" t="n">
        <v>0</v>
      </c>
      <c r="U150" s="2" t="n">
        <v>2</v>
      </c>
      <c r="V150" s="2" t="n">
        <v>100</v>
      </c>
      <c r="W150" s="2" t="str">
        <f aca="false">IF(V150=100,"Bundle-only",IF(V150=0,"Handpick-only","Mixed"))</f>
        <v>Bundle-only</v>
      </c>
      <c r="X150" s="17" t="n">
        <f aca="false">L150/K150</f>
        <v>1</v>
      </c>
      <c r="Y150" s="9" t="n">
        <f aca="false">J150/K150</f>
        <v>144.5</v>
      </c>
      <c r="Z150" s="10" t="b">
        <f aca="false">O150&gt;=Assumptions!$B$57</f>
        <v>0</v>
      </c>
      <c r="AA150" s="10" t="b">
        <f aca="false">P150&gt;=Assumptions!$B$58</f>
        <v>1</v>
      </c>
      <c r="AB150" s="10" t="b">
        <f aca="false">Q150&gt;=Assumptions!$B$59</f>
        <v>1</v>
      </c>
      <c r="AC150" s="2" t="n">
        <f aca="false">Z150*1+AA150*1+AB150*1</f>
        <v>2</v>
      </c>
      <c r="AD150" s="2" t="str">
        <f aca="false">IF(E150="Broker-Reliant","Broker-led, product-blind",IF(AND(I150="Low",F150&lt;&gt;"Tail",OR(G150="Declining",G150="Lapsed"),OR(O150&gt;=Assumptions!$B$60,P150&gt;=Assumptions!$B$61)),"Engaged but shrinking (Key/Core)",IF(AND(O150&gt;=Assumptions!$B$60,P150&gt;=Assumptions!$B$61,Q150&gt;=Assumptions!$B$62,K150&gt;=Assumptions!$B$63),"Independent browser-buyer",IF(AND(OR(O150&gt;=Assumptions!$B$60,P150&gt;=Assumptions!$B$61),K150&lt;=2),"Engaged, not converting",IF(AND(K150=1,O150&lt;Assumptions!$B$60,P150&lt;Assumptions!$B$61),"One-off low-touch buyer","Light-touch repeat buyer")))))</f>
        <v>Light-touch repeat buyer</v>
      </c>
      <c r="AE150" s="10" t="b">
        <f aca="false">INDEX(Segmentation!$AW$2:$AW$301,MATCH($A150,Segmentation!$A$2:$A$301,0))</f>
        <v>0</v>
      </c>
    </row>
    <row r="151" customFormat="false" ht="15" hidden="false" customHeight="false" outlineLevel="0" collapsed="false">
      <c r="A151" s="2" t="s">
        <v>802</v>
      </c>
      <c r="B151" s="2" t="s">
        <v>1571</v>
      </c>
      <c r="C151" s="2" t="s">
        <v>1640</v>
      </c>
      <c r="D151" s="2" t="s">
        <v>1657</v>
      </c>
      <c r="E151" s="2" t="str">
        <f aca="false">INDEX(Segmentation!$H$2:$H$301,MATCH($A151,Segmentation!$A$2:$A$301,0))</f>
        <v>AM-Owned / Self-Serving</v>
      </c>
      <c r="F151" s="2" t="str">
        <f aca="false">INDEX(Segmentation!$J$2:$J$301,MATCH($A151,Segmentation!$A$2:$A$301,0))</f>
        <v>Tail</v>
      </c>
      <c r="G151" s="2" t="str">
        <f aca="false">INDEX(Segmentation!$N$2:$N$301,MATCH($A151,Segmentation!$A$2:$A$301,0))</f>
        <v>Lapsed</v>
      </c>
      <c r="H151" s="2" t="str">
        <f aca="false">INDEX(Segmentation!$T$2:$T$301,MATCH($A151,Segmentation!$A$2:$A$301,0))</f>
        <v>9. Long-Tail Automated Nurture</v>
      </c>
      <c r="I151" s="2" t="str">
        <f aca="false">INDEX(Segmentation!$G$2:$G$301,MATCH($A151,Segmentation!$A$2:$A$301,0))</f>
        <v>Low</v>
      </c>
      <c r="J151" s="9" t="n">
        <f aca="false">INDEX(Segmentation!$I$2:$I$301,MATCH($A151,Segmentation!$A$2:$A$301,0))</f>
        <v>284</v>
      </c>
      <c r="K151" s="2" t="n">
        <f aca="false">INDEX(Segmentation!$O$2:$O$301,MATCH($A151,Segmentation!$A$2:$A$301,0))</f>
        <v>1</v>
      </c>
      <c r="L151" s="2" t="n">
        <f aca="false">INDEX(Segmentation!$Q$2:$Q$301,MATCH($A151,Segmentation!$A$2:$A$301,0))</f>
        <v>1</v>
      </c>
      <c r="M151" s="2" t="n">
        <f aca="false">INDEX(Segmentation!$W$2:$W$301,MATCH($A151,Segmentation!$A$2:$A$301,0))</f>
        <v>1</v>
      </c>
      <c r="N151" s="2" t="str">
        <f aca="false">INDEX(Segmentation!$AF$2:$AF$301,MATCH($A151,Segmentation!$A$2:$A$301,0))</f>
        <v>Existing Customer</v>
      </c>
      <c r="O151" s="2" t="n">
        <f aca="false">INDEX(Segmentation!$R$2:$R$301,MATCH($A151,Segmentation!$A$2:$A$301,0))</f>
        <v>16</v>
      </c>
      <c r="P151" s="2" t="n">
        <v>140</v>
      </c>
      <c r="Q151" s="2" t="n">
        <f aca="false">INDEX(Segmentation!$S$2:$S$301,MATCH($A151,Segmentation!$A$2:$A$301,0))</f>
        <v>0</v>
      </c>
      <c r="R151" s="2" t="n">
        <v>0</v>
      </c>
      <c r="S151" s="2" t="n">
        <v>0</v>
      </c>
      <c r="T151" s="2" t="n">
        <v>0</v>
      </c>
      <c r="U151" s="2" t="n">
        <v>1</v>
      </c>
      <c r="V151" s="2" t="n">
        <v>100</v>
      </c>
      <c r="W151" s="2" t="str">
        <f aca="false">IF(V151=100,"Bundle-only",IF(V151=0,"Handpick-only","Mixed"))</f>
        <v>Bundle-only</v>
      </c>
      <c r="X151" s="17" t="n">
        <f aca="false">L151/K151</f>
        <v>1</v>
      </c>
      <c r="Y151" s="9" t="n">
        <f aca="false">J151/K151</f>
        <v>284</v>
      </c>
      <c r="Z151" s="10" t="b">
        <f aca="false">O151&gt;=Assumptions!$B$57</f>
        <v>1</v>
      </c>
      <c r="AA151" s="10" t="b">
        <f aca="false">P151&gt;=Assumptions!$B$58</f>
        <v>1</v>
      </c>
      <c r="AB151" s="10" t="b">
        <f aca="false">Q151&gt;=Assumptions!$B$59</f>
        <v>0</v>
      </c>
      <c r="AC151" s="2" t="n">
        <f aca="false">Z151*1+AA151*1+AB151*1</f>
        <v>2</v>
      </c>
      <c r="AD151" s="2" t="str">
        <f aca="false">IF(E151="Broker-Reliant","Broker-led, product-blind",IF(AND(I151="Low",F151&lt;&gt;"Tail",OR(G151="Declining",G151="Lapsed"),OR(O151&gt;=Assumptions!$B$60,P151&gt;=Assumptions!$B$61)),"Engaged but shrinking (Key/Core)",IF(AND(O151&gt;=Assumptions!$B$60,P151&gt;=Assumptions!$B$61,Q151&gt;=Assumptions!$B$62,K151&gt;=Assumptions!$B$63),"Independent browser-buyer",IF(AND(OR(O151&gt;=Assumptions!$B$60,P151&gt;=Assumptions!$B$61),K151&lt;=2),"Engaged, not converting",IF(AND(K151=1,O151&lt;Assumptions!$B$60,P151&lt;Assumptions!$B$61),"One-off low-touch buyer","Light-touch repeat buyer")))))</f>
        <v>One-off low-touch buyer</v>
      </c>
      <c r="AE151" s="10" t="b">
        <f aca="false">INDEX(Segmentation!$AW$2:$AW$301,MATCH($A151,Segmentation!$A$2:$A$301,0))</f>
        <v>0</v>
      </c>
    </row>
    <row r="152" customFormat="false" ht="15" hidden="false" customHeight="false" outlineLevel="0" collapsed="false">
      <c r="A152" s="2" t="s">
        <v>804</v>
      </c>
      <c r="B152" s="2" t="s">
        <v>1571</v>
      </c>
      <c r="C152" s="2" t="s">
        <v>1640</v>
      </c>
      <c r="D152" s="2" t="s">
        <v>1658</v>
      </c>
      <c r="E152" s="2" t="str">
        <f aca="false">INDEX(Segmentation!$H$2:$H$301,MATCH($A152,Segmentation!$A$2:$A$301,0))</f>
        <v>AM-Owned / Self-Serving</v>
      </c>
      <c r="F152" s="2" t="str">
        <f aca="false">INDEX(Segmentation!$J$2:$J$301,MATCH($A152,Segmentation!$A$2:$A$301,0))</f>
        <v>Tail</v>
      </c>
      <c r="G152" s="2" t="str">
        <f aca="false">INDEX(Segmentation!$N$2:$N$301,MATCH($A152,Segmentation!$A$2:$A$301,0))</f>
        <v>Lapsed</v>
      </c>
      <c r="H152" s="2" t="str">
        <f aca="false">INDEX(Segmentation!$T$2:$T$301,MATCH($A152,Segmentation!$A$2:$A$301,0))</f>
        <v>9. Long-Tail Automated Nurture</v>
      </c>
      <c r="I152" s="2" t="str">
        <f aca="false">INDEX(Segmentation!$G$2:$G$301,MATCH($A152,Segmentation!$A$2:$A$301,0))</f>
        <v>Low</v>
      </c>
      <c r="J152" s="9" t="n">
        <f aca="false">INDEX(Segmentation!$I$2:$I$301,MATCH($A152,Segmentation!$A$2:$A$301,0))</f>
        <v>282</v>
      </c>
      <c r="K152" s="2" t="n">
        <f aca="false">INDEX(Segmentation!$O$2:$O$301,MATCH($A152,Segmentation!$A$2:$A$301,0))</f>
        <v>1</v>
      </c>
      <c r="L152" s="2" t="n">
        <f aca="false">INDEX(Segmentation!$Q$2:$Q$301,MATCH($A152,Segmentation!$A$2:$A$301,0))</f>
        <v>1</v>
      </c>
      <c r="M152" s="2" t="n">
        <f aca="false">INDEX(Segmentation!$W$2:$W$301,MATCH($A152,Segmentation!$A$2:$A$301,0))</f>
        <v>1</v>
      </c>
      <c r="N152" s="2" t="str">
        <f aca="false">INDEX(Segmentation!$AF$2:$AF$301,MATCH($A152,Segmentation!$A$2:$A$301,0))</f>
        <v>Existing Customer</v>
      </c>
      <c r="O152" s="2" t="n">
        <f aca="false">INDEX(Segmentation!$R$2:$R$301,MATCH($A152,Segmentation!$A$2:$A$301,0))</f>
        <v>20</v>
      </c>
      <c r="P152" s="2" t="n">
        <v>160</v>
      </c>
      <c r="Q152" s="2" t="n">
        <f aca="false">INDEX(Segmentation!$S$2:$S$301,MATCH($A152,Segmentation!$A$2:$A$301,0))</f>
        <v>1</v>
      </c>
      <c r="R152" s="2" t="n">
        <v>1</v>
      </c>
      <c r="S152" s="2" t="n">
        <v>0</v>
      </c>
      <c r="T152" s="2" t="n">
        <v>0</v>
      </c>
      <c r="U152" s="2" t="n">
        <v>1</v>
      </c>
      <c r="V152" s="2" t="n">
        <v>100</v>
      </c>
      <c r="W152" s="2" t="str">
        <f aca="false">IF(V152=100,"Bundle-only",IF(V152=0,"Handpick-only","Mixed"))</f>
        <v>Bundle-only</v>
      </c>
      <c r="X152" s="17" t="n">
        <f aca="false">L152/K152</f>
        <v>1</v>
      </c>
      <c r="Y152" s="9" t="n">
        <f aca="false">J152/K152</f>
        <v>282</v>
      </c>
      <c r="Z152" s="10" t="b">
        <f aca="false">O152&gt;=Assumptions!$B$57</f>
        <v>1</v>
      </c>
      <c r="AA152" s="10" t="b">
        <f aca="false">P152&gt;=Assumptions!$B$58</f>
        <v>1</v>
      </c>
      <c r="AB152" s="10" t="b">
        <f aca="false">Q152&gt;=Assumptions!$B$59</f>
        <v>0</v>
      </c>
      <c r="AC152" s="2" t="n">
        <f aca="false">Z152*1+AA152*1+AB152*1</f>
        <v>2</v>
      </c>
      <c r="AD152" s="2" t="str">
        <f aca="false">IF(E152="Broker-Reliant","Broker-led, product-blind",IF(AND(I152="Low",F152&lt;&gt;"Tail",OR(G152="Declining",G152="Lapsed"),OR(O152&gt;=Assumptions!$B$60,P152&gt;=Assumptions!$B$61)),"Engaged but shrinking (Key/Core)",IF(AND(O152&gt;=Assumptions!$B$60,P152&gt;=Assumptions!$B$61,Q152&gt;=Assumptions!$B$62,K152&gt;=Assumptions!$B$63),"Independent browser-buyer",IF(AND(OR(O152&gt;=Assumptions!$B$60,P152&gt;=Assumptions!$B$61),K152&lt;=2),"Engaged, not converting",IF(AND(K152=1,O152&lt;Assumptions!$B$60,P152&lt;Assumptions!$B$61),"One-off low-touch buyer","Light-touch repeat buyer")))))</f>
        <v>Engaged, not converting</v>
      </c>
      <c r="AE152" s="10" t="b">
        <f aca="false">INDEX(Segmentation!$AW$2:$AW$301,MATCH($A152,Segmentation!$A$2:$A$301,0))</f>
        <v>0</v>
      </c>
    </row>
    <row r="153" customFormat="false" ht="15" hidden="false" customHeight="false" outlineLevel="0" collapsed="false">
      <c r="A153" s="2" t="s">
        <v>812</v>
      </c>
      <c r="B153" s="2" t="s">
        <v>1571</v>
      </c>
      <c r="C153" s="2" t="s">
        <v>1641</v>
      </c>
      <c r="D153" s="2" t="s">
        <v>1657</v>
      </c>
      <c r="E153" s="2" t="str">
        <f aca="false">INDEX(Segmentation!$H$2:$H$301,MATCH($A153,Segmentation!$A$2:$A$301,0))</f>
        <v>AM-Owned / Self-Serving</v>
      </c>
      <c r="F153" s="2" t="str">
        <f aca="false">INDEX(Segmentation!$J$2:$J$301,MATCH($A153,Segmentation!$A$2:$A$301,0))</f>
        <v>Tail</v>
      </c>
      <c r="G153" s="2" t="str">
        <f aca="false">INDEX(Segmentation!$N$2:$N$301,MATCH($A153,Segmentation!$A$2:$A$301,0))</f>
        <v>Lapsed</v>
      </c>
      <c r="H153" s="2" t="str">
        <f aca="false">INDEX(Segmentation!$T$2:$T$301,MATCH($A153,Segmentation!$A$2:$A$301,0))</f>
        <v>9. Long-Tail Automated Nurture</v>
      </c>
      <c r="I153" s="2" t="str">
        <f aca="false">INDEX(Segmentation!$G$2:$G$301,MATCH($A153,Segmentation!$A$2:$A$301,0))</f>
        <v>Low</v>
      </c>
      <c r="J153" s="9" t="n">
        <f aca="false">INDEX(Segmentation!$I$2:$I$301,MATCH($A153,Segmentation!$A$2:$A$301,0))</f>
        <v>273</v>
      </c>
      <c r="K153" s="2" t="n">
        <f aca="false">INDEX(Segmentation!$O$2:$O$301,MATCH($A153,Segmentation!$A$2:$A$301,0))</f>
        <v>1</v>
      </c>
      <c r="L153" s="2" t="n">
        <f aca="false">INDEX(Segmentation!$Q$2:$Q$301,MATCH($A153,Segmentation!$A$2:$A$301,0))</f>
        <v>1</v>
      </c>
      <c r="M153" s="2" t="n">
        <f aca="false">INDEX(Segmentation!$W$2:$W$301,MATCH($A153,Segmentation!$A$2:$A$301,0))</f>
        <v>1</v>
      </c>
      <c r="N153" s="2" t="str">
        <f aca="false">INDEX(Segmentation!$AF$2:$AF$301,MATCH($A153,Segmentation!$A$2:$A$301,0))</f>
        <v>Existing Customer</v>
      </c>
      <c r="O153" s="2" t="n">
        <f aca="false">INDEX(Segmentation!$R$2:$R$301,MATCH($A153,Segmentation!$A$2:$A$301,0))</f>
        <v>26</v>
      </c>
      <c r="P153" s="2" t="n">
        <v>297</v>
      </c>
      <c r="Q153" s="2" t="n">
        <f aca="false">INDEX(Segmentation!$S$2:$S$301,MATCH($A153,Segmentation!$A$2:$A$301,0))</f>
        <v>1</v>
      </c>
      <c r="R153" s="2" t="n">
        <v>1</v>
      </c>
      <c r="S153" s="2" t="n">
        <v>0</v>
      </c>
      <c r="T153" s="2" t="n">
        <v>0</v>
      </c>
      <c r="U153" s="2" t="n">
        <v>1</v>
      </c>
      <c r="V153" s="2" t="n">
        <v>100</v>
      </c>
      <c r="W153" s="2" t="str">
        <f aca="false">IF(V153=100,"Bundle-only",IF(V153=0,"Handpick-only","Mixed"))</f>
        <v>Bundle-only</v>
      </c>
      <c r="X153" s="17" t="n">
        <f aca="false">L153/K153</f>
        <v>1</v>
      </c>
      <c r="Y153" s="9" t="n">
        <f aca="false">J153/K153</f>
        <v>273</v>
      </c>
      <c r="Z153" s="10" t="b">
        <f aca="false">O153&gt;=Assumptions!$B$57</f>
        <v>1</v>
      </c>
      <c r="AA153" s="10" t="b">
        <f aca="false">P153&gt;=Assumptions!$B$58</f>
        <v>1</v>
      </c>
      <c r="AB153" s="10" t="b">
        <f aca="false">Q153&gt;=Assumptions!$B$59</f>
        <v>0</v>
      </c>
      <c r="AC153" s="2" t="n">
        <f aca="false">Z153*1+AA153*1+AB153*1</f>
        <v>2</v>
      </c>
      <c r="AD153" s="2" t="str">
        <f aca="false">IF(E153="Broker-Reliant","Broker-led, product-blind",IF(AND(I153="Low",F153&lt;&gt;"Tail",OR(G153="Declining",G153="Lapsed"),OR(O153&gt;=Assumptions!$B$60,P153&gt;=Assumptions!$B$61)),"Engaged but shrinking (Key/Core)",IF(AND(O153&gt;=Assumptions!$B$60,P153&gt;=Assumptions!$B$61,Q153&gt;=Assumptions!$B$62,K153&gt;=Assumptions!$B$63),"Independent browser-buyer",IF(AND(OR(O153&gt;=Assumptions!$B$60,P153&gt;=Assumptions!$B$61),K153&lt;=2),"Engaged, not converting",IF(AND(K153=1,O153&lt;Assumptions!$B$60,P153&lt;Assumptions!$B$61),"One-off low-touch buyer","Light-touch repeat buyer")))))</f>
        <v>Engaged, not converting</v>
      </c>
      <c r="AE153" s="10" t="b">
        <f aca="false">INDEX(Segmentation!$AW$2:$AW$301,MATCH($A153,Segmentation!$A$2:$A$301,0))</f>
        <v>0</v>
      </c>
    </row>
    <row r="154" customFormat="false" ht="15" hidden="false" customHeight="false" outlineLevel="0" collapsed="false">
      <c r="A154" s="2" t="s">
        <v>814</v>
      </c>
      <c r="B154" s="2" t="s">
        <v>1571</v>
      </c>
      <c r="C154" s="2" t="s">
        <v>1640</v>
      </c>
      <c r="D154" s="2" t="s">
        <v>1657</v>
      </c>
      <c r="E154" s="2" t="str">
        <f aca="false">INDEX(Segmentation!$H$2:$H$301,MATCH($A154,Segmentation!$A$2:$A$301,0))</f>
        <v>AM-Owned / Self-Serving</v>
      </c>
      <c r="F154" s="2" t="str">
        <f aca="false">INDEX(Segmentation!$J$2:$J$301,MATCH($A154,Segmentation!$A$2:$A$301,0))</f>
        <v>Tail</v>
      </c>
      <c r="G154" s="2" t="str">
        <f aca="false">INDEX(Segmentation!$N$2:$N$301,MATCH($A154,Segmentation!$A$2:$A$301,0))</f>
        <v>Lapsed</v>
      </c>
      <c r="H154" s="2" t="str">
        <f aca="false">INDEX(Segmentation!$T$2:$T$301,MATCH($A154,Segmentation!$A$2:$A$301,0))</f>
        <v>9. Long-Tail Automated Nurture</v>
      </c>
      <c r="I154" s="2" t="str">
        <f aca="false">INDEX(Segmentation!$G$2:$G$301,MATCH($A154,Segmentation!$A$2:$A$301,0))</f>
        <v>Low</v>
      </c>
      <c r="J154" s="9" t="n">
        <f aca="false">INDEX(Segmentation!$I$2:$I$301,MATCH($A154,Segmentation!$A$2:$A$301,0))</f>
        <v>272</v>
      </c>
      <c r="K154" s="2" t="n">
        <f aca="false">INDEX(Segmentation!$O$2:$O$301,MATCH($A154,Segmentation!$A$2:$A$301,0))</f>
        <v>1</v>
      </c>
      <c r="L154" s="2" t="n">
        <f aca="false">INDEX(Segmentation!$Q$2:$Q$301,MATCH($A154,Segmentation!$A$2:$A$301,0))</f>
        <v>1</v>
      </c>
      <c r="M154" s="2" t="n">
        <f aca="false">INDEX(Segmentation!$W$2:$W$301,MATCH($A154,Segmentation!$A$2:$A$301,0))</f>
        <v>1</v>
      </c>
      <c r="N154" s="2" t="str">
        <f aca="false">INDEX(Segmentation!$AF$2:$AF$301,MATCH($A154,Segmentation!$A$2:$A$301,0))</f>
        <v>Existing Customer</v>
      </c>
      <c r="O154" s="2" t="n">
        <f aca="false">INDEX(Segmentation!$R$2:$R$301,MATCH($A154,Segmentation!$A$2:$A$301,0))</f>
        <v>11</v>
      </c>
      <c r="P154" s="2" t="n">
        <v>132</v>
      </c>
      <c r="Q154" s="2" t="n">
        <f aca="false">INDEX(Segmentation!$S$2:$S$301,MATCH($A154,Segmentation!$A$2:$A$301,0))</f>
        <v>0</v>
      </c>
      <c r="R154" s="2" t="n">
        <v>0</v>
      </c>
      <c r="S154" s="2" t="n">
        <v>0</v>
      </c>
      <c r="T154" s="2" t="n">
        <v>0</v>
      </c>
      <c r="U154" s="2" t="n">
        <v>0</v>
      </c>
      <c r="V154" s="2" t="n">
        <v>0</v>
      </c>
      <c r="W154" s="2" t="str">
        <f aca="false">IF(V154=100,"Bundle-only",IF(V154=0,"Handpick-only","Mixed"))</f>
        <v>Handpick-only</v>
      </c>
      <c r="X154" s="17" t="n">
        <f aca="false">L154/K154</f>
        <v>1</v>
      </c>
      <c r="Y154" s="9" t="n">
        <f aca="false">J154/K154</f>
        <v>272</v>
      </c>
      <c r="Z154" s="10" t="b">
        <f aca="false">O154&gt;=Assumptions!$B$57</f>
        <v>1</v>
      </c>
      <c r="AA154" s="10" t="b">
        <f aca="false">P154&gt;=Assumptions!$B$58</f>
        <v>1</v>
      </c>
      <c r="AB154" s="10" t="b">
        <f aca="false">Q154&gt;=Assumptions!$B$59</f>
        <v>0</v>
      </c>
      <c r="AC154" s="2" t="n">
        <f aca="false">Z154*1+AA154*1+AB154*1</f>
        <v>2</v>
      </c>
      <c r="AD154" s="2" t="str">
        <f aca="false">IF(E154="Broker-Reliant","Broker-led, product-blind",IF(AND(I154="Low",F154&lt;&gt;"Tail",OR(G154="Declining",G154="Lapsed"),OR(O154&gt;=Assumptions!$B$60,P154&gt;=Assumptions!$B$61)),"Engaged but shrinking (Key/Core)",IF(AND(O154&gt;=Assumptions!$B$60,P154&gt;=Assumptions!$B$61,Q154&gt;=Assumptions!$B$62,K154&gt;=Assumptions!$B$63),"Independent browser-buyer",IF(AND(OR(O154&gt;=Assumptions!$B$60,P154&gt;=Assumptions!$B$61),K154&lt;=2),"Engaged, not converting",IF(AND(K154=1,O154&lt;Assumptions!$B$60,P154&lt;Assumptions!$B$61),"One-off low-touch buyer","Light-touch repeat buyer")))))</f>
        <v>One-off low-touch buyer</v>
      </c>
      <c r="AE154" s="10" t="b">
        <f aca="false">INDEX(Segmentation!$AW$2:$AW$301,MATCH($A154,Segmentation!$A$2:$A$301,0))</f>
        <v>0</v>
      </c>
    </row>
    <row r="155" customFormat="false" ht="15" hidden="false" customHeight="false" outlineLevel="0" collapsed="false">
      <c r="A155" s="2" t="s">
        <v>818</v>
      </c>
      <c r="B155" s="2" t="s">
        <v>1571</v>
      </c>
      <c r="C155" s="2" t="s">
        <v>1640</v>
      </c>
      <c r="D155" s="2" t="s">
        <v>1657</v>
      </c>
      <c r="E155" s="2" t="str">
        <f aca="false">INDEX(Segmentation!$H$2:$H$301,MATCH($A155,Segmentation!$A$2:$A$301,0))</f>
        <v>AM-Owned / Self-Serving</v>
      </c>
      <c r="F155" s="2" t="str">
        <f aca="false">INDEX(Segmentation!$J$2:$J$301,MATCH($A155,Segmentation!$A$2:$A$301,0))</f>
        <v>Tail</v>
      </c>
      <c r="G155" s="2" t="str">
        <f aca="false">INDEX(Segmentation!$N$2:$N$301,MATCH($A155,Segmentation!$A$2:$A$301,0))</f>
        <v>Lapsed</v>
      </c>
      <c r="H155" s="2" t="str">
        <f aca="false">INDEX(Segmentation!$T$2:$T$301,MATCH($A155,Segmentation!$A$2:$A$301,0))</f>
        <v>9. Long-Tail Automated Nurture</v>
      </c>
      <c r="I155" s="2" t="str">
        <f aca="false">INDEX(Segmentation!$G$2:$G$301,MATCH($A155,Segmentation!$A$2:$A$301,0))</f>
        <v>Low</v>
      </c>
      <c r="J155" s="9" t="n">
        <f aca="false">INDEX(Segmentation!$I$2:$I$301,MATCH($A155,Segmentation!$A$2:$A$301,0))</f>
        <v>269</v>
      </c>
      <c r="K155" s="2" t="n">
        <f aca="false">INDEX(Segmentation!$O$2:$O$301,MATCH($A155,Segmentation!$A$2:$A$301,0))</f>
        <v>1</v>
      </c>
      <c r="L155" s="2" t="n">
        <f aca="false">INDEX(Segmentation!$Q$2:$Q$301,MATCH($A155,Segmentation!$A$2:$A$301,0))</f>
        <v>1</v>
      </c>
      <c r="M155" s="2" t="n">
        <f aca="false">INDEX(Segmentation!$W$2:$W$301,MATCH($A155,Segmentation!$A$2:$A$301,0))</f>
        <v>1</v>
      </c>
      <c r="N155" s="2" t="str">
        <f aca="false">INDEX(Segmentation!$AF$2:$AF$301,MATCH($A155,Segmentation!$A$2:$A$301,0))</f>
        <v>Existing Customer</v>
      </c>
      <c r="O155" s="2" t="n">
        <f aca="false">INDEX(Segmentation!$R$2:$R$301,MATCH($A155,Segmentation!$A$2:$A$301,0))</f>
        <v>12</v>
      </c>
      <c r="P155" s="2" t="n">
        <v>173</v>
      </c>
      <c r="Q155" s="2" t="n">
        <f aca="false">INDEX(Segmentation!$S$2:$S$301,MATCH($A155,Segmentation!$A$2:$A$301,0))</f>
        <v>0</v>
      </c>
      <c r="R155" s="2" t="n">
        <v>0</v>
      </c>
      <c r="S155" s="2" t="n">
        <v>0</v>
      </c>
      <c r="T155" s="2" t="n">
        <v>0</v>
      </c>
      <c r="U155" s="2" t="n">
        <v>1</v>
      </c>
      <c r="V155" s="2" t="n">
        <v>100</v>
      </c>
      <c r="W155" s="2" t="str">
        <f aca="false">IF(V155=100,"Bundle-only",IF(V155=0,"Handpick-only","Mixed"))</f>
        <v>Bundle-only</v>
      </c>
      <c r="X155" s="17" t="n">
        <f aca="false">L155/K155</f>
        <v>1</v>
      </c>
      <c r="Y155" s="9" t="n">
        <f aca="false">J155/K155</f>
        <v>269</v>
      </c>
      <c r="Z155" s="10" t="b">
        <f aca="false">O155&gt;=Assumptions!$B$57</f>
        <v>1</v>
      </c>
      <c r="AA155" s="10" t="b">
        <f aca="false">P155&gt;=Assumptions!$B$58</f>
        <v>1</v>
      </c>
      <c r="AB155" s="10" t="b">
        <f aca="false">Q155&gt;=Assumptions!$B$59</f>
        <v>0</v>
      </c>
      <c r="AC155" s="2" t="n">
        <f aca="false">Z155*1+AA155*1+AB155*1</f>
        <v>2</v>
      </c>
      <c r="AD155" s="2" t="str">
        <f aca="false">IF(E155="Broker-Reliant","Broker-led, product-blind",IF(AND(I155="Low",F155&lt;&gt;"Tail",OR(G155="Declining",G155="Lapsed"),OR(O155&gt;=Assumptions!$B$60,P155&gt;=Assumptions!$B$61)),"Engaged but shrinking (Key/Core)",IF(AND(O155&gt;=Assumptions!$B$60,P155&gt;=Assumptions!$B$61,Q155&gt;=Assumptions!$B$62,K155&gt;=Assumptions!$B$63),"Independent browser-buyer",IF(AND(OR(O155&gt;=Assumptions!$B$60,P155&gt;=Assumptions!$B$61),K155&lt;=2),"Engaged, not converting",IF(AND(K155=1,O155&lt;Assumptions!$B$60,P155&lt;Assumptions!$B$61),"One-off low-touch buyer","Light-touch repeat buyer")))))</f>
        <v>One-off low-touch buyer</v>
      </c>
      <c r="AE155" s="10" t="b">
        <f aca="false">INDEX(Segmentation!$AW$2:$AW$301,MATCH($A155,Segmentation!$A$2:$A$301,0))</f>
        <v>0</v>
      </c>
    </row>
    <row r="156" customFormat="false" ht="15" hidden="false" customHeight="false" outlineLevel="0" collapsed="false">
      <c r="A156" s="2" t="s">
        <v>822</v>
      </c>
      <c r="B156" s="2" t="s">
        <v>1571</v>
      </c>
      <c r="C156" s="2" t="s">
        <v>1640</v>
      </c>
      <c r="D156" s="2" t="s">
        <v>1657</v>
      </c>
      <c r="E156" s="2" t="str">
        <f aca="false">INDEX(Segmentation!$H$2:$H$301,MATCH($A156,Segmentation!$A$2:$A$301,0))</f>
        <v>AM-Owned / Self-Serving</v>
      </c>
      <c r="F156" s="2" t="str">
        <f aca="false">INDEX(Segmentation!$J$2:$J$301,MATCH($A156,Segmentation!$A$2:$A$301,0))</f>
        <v>Tail</v>
      </c>
      <c r="G156" s="2" t="str">
        <f aca="false">INDEX(Segmentation!$N$2:$N$301,MATCH($A156,Segmentation!$A$2:$A$301,0))</f>
        <v>Lapsed</v>
      </c>
      <c r="H156" s="2" t="str">
        <f aca="false">INDEX(Segmentation!$T$2:$T$301,MATCH($A156,Segmentation!$A$2:$A$301,0))</f>
        <v>9. Long-Tail Automated Nurture</v>
      </c>
      <c r="I156" s="2" t="str">
        <f aca="false">INDEX(Segmentation!$G$2:$G$301,MATCH($A156,Segmentation!$A$2:$A$301,0))</f>
        <v>Low</v>
      </c>
      <c r="J156" s="9" t="n">
        <f aca="false">INDEX(Segmentation!$I$2:$I$301,MATCH($A156,Segmentation!$A$2:$A$301,0))</f>
        <v>261</v>
      </c>
      <c r="K156" s="2" t="n">
        <f aca="false">INDEX(Segmentation!$O$2:$O$301,MATCH($A156,Segmentation!$A$2:$A$301,0))</f>
        <v>1</v>
      </c>
      <c r="L156" s="2" t="n">
        <f aca="false">INDEX(Segmentation!$Q$2:$Q$301,MATCH($A156,Segmentation!$A$2:$A$301,0))</f>
        <v>1</v>
      </c>
      <c r="M156" s="2" t="n">
        <f aca="false">INDEX(Segmentation!$W$2:$W$301,MATCH($A156,Segmentation!$A$2:$A$301,0))</f>
        <v>1</v>
      </c>
      <c r="N156" s="2" t="str">
        <f aca="false">INDEX(Segmentation!$AF$2:$AF$301,MATCH($A156,Segmentation!$A$2:$A$301,0))</f>
        <v>Existing Customer</v>
      </c>
      <c r="O156" s="2" t="n">
        <f aca="false">INDEX(Segmentation!$R$2:$R$301,MATCH($A156,Segmentation!$A$2:$A$301,0))</f>
        <v>5</v>
      </c>
      <c r="P156" s="2" t="n">
        <v>60</v>
      </c>
      <c r="Q156" s="2" t="n">
        <f aca="false">INDEX(Segmentation!$S$2:$S$301,MATCH($A156,Segmentation!$A$2:$A$301,0))</f>
        <v>3</v>
      </c>
      <c r="R156" s="2" t="n">
        <v>1</v>
      </c>
      <c r="S156" s="2" t="n">
        <v>0</v>
      </c>
      <c r="T156" s="2" t="n">
        <v>0</v>
      </c>
      <c r="U156" s="2" t="n">
        <v>1</v>
      </c>
      <c r="V156" s="2" t="n">
        <v>100</v>
      </c>
      <c r="W156" s="2" t="str">
        <f aca="false">IF(V156=100,"Bundle-only",IF(V156=0,"Handpick-only","Mixed"))</f>
        <v>Bundle-only</v>
      </c>
      <c r="X156" s="17" t="n">
        <f aca="false">L156/K156</f>
        <v>1</v>
      </c>
      <c r="Y156" s="9" t="n">
        <f aca="false">J156/K156</f>
        <v>261</v>
      </c>
      <c r="Z156" s="10" t="b">
        <f aca="false">O156&gt;=Assumptions!$B$57</f>
        <v>0</v>
      </c>
      <c r="AA156" s="10" t="b">
        <f aca="false">P156&gt;=Assumptions!$B$58</f>
        <v>1</v>
      </c>
      <c r="AB156" s="10" t="b">
        <f aca="false">Q156&gt;=Assumptions!$B$59</f>
        <v>1</v>
      </c>
      <c r="AC156" s="2" t="n">
        <f aca="false">Z156*1+AA156*1+AB156*1</f>
        <v>2</v>
      </c>
      <c r="AD156" s="2" t="str">
        <f aca="false">IF(E156="Broker-Reliant","Broker-led, product-blind",IF(AND(I156="Low",F156&lt;&gt;"Tail",OR(G156="Declining",G156="Lapsed"),OR(O156&gt;=Assumptions!$B$60,P156&gt;=Assumptions!$B$61)),"Engaged but shrinking (Key/Core)",IF(AND(O156&gt;=Assumptions!$B$60,P156&gt;=Assumptions!$B$61,Q156&gt;=Assumptions!$B$62,K156&gt;=Assumptions!$B$63),"Independent browser-buyer",IF(AND(OR(O156&gt;=Assumptions!$B$60,P156&gt;=Assumptions!$B$61),K156&lt;=2),"Engaged, not converting",IF(AND(K156=1,O156&lt;Assumptions!$B$60,P156&lt;Assumptions!$B$61),"One-off low-touch buyer","Light-touch repeat buyer")))))</f>
        <v>One-off low-touch buyer</v>
      </c>
      <c r="AE156" s="10" t="b">
        <f aca="false">INDEX(Segmentation!$AW$2:$AW$301,MATCH($A156,Segmentation!$A$2:$A$301,0))</f>
        <v>0</v>
      </c>
    </row>
    <row r="157" customFormat="false" ht="15" hidden="false" customHeight="false" outlineLevel="0" collapsed="false">
      <c r="A157" s="2" t="s">
        <v>826</v>
      </c>
      <c r="B157" s="2" t="s">
        <v>1571</v>
      </c>
      <c r="C157" s="2" t="s">
        <v>1641</v>
      </c>
      <c r="D157" s="2" t="s">
        <v>1657</v>
      </c>
      <c r="E157" s="2" t="str">
        <f aca="false">INDEX(Segmentation!$H$2:$H$301,MATCH($A157,Segmentation!$A$2:$A$301,0))</f>
        <v>AM-Owned / Self-Serving</v>
      </c>
      <c r="F157" s="2" t="str">
        <f aca="false">INDEX(Segmentation!$J$2:$J$301,MATCH($A157,Segmentation!$A$2:$A$301,0))</f>
        <v>Tail</v>
      </c>
      <c r="G157" s="2" t="str">
        <f aca="false">INDEX(Segmentation!$N$2:$N$301,MATCH($A157,Segmentation!$A$2:$A$301,0))</f>
        <v>H2 Active / No H1 GMV</v>
      </c>
      <c r="H157" s="2" t="str">
        <f aca="false">INDEX(Segmentation!$T$2:$T$301,MATCH($A157,Segmentation!$A$2:$A$301,0))</f>
        <v>9. Long-Tail Automated Nurture</v>
      </c>
      <c r="I157" s="2" t="str">
        <f aca="false">INDEX(Segmentation!$G$2:$G$301,MATCH($A157,Segmentation!$A$2:$A$301,0))</f>
        <v>Low</v>
      </c>
      <c r="J157" s="9" t="n">
        <f aca="false">INDEX(Segmentation!$I$2:$I$301,MATCH($A157,Segmentation!$A$2:$A$301,0))</f>
        <v>255</v>
      </c>
      <c r="K157" s="2" t="n">
        <f aca="false">INDEX(Segmentation!$O$2:$O$301,MATCH($A157,Segmentation!$A$2:$A$301,0))</f>
        <v>1</v>
      </c>
      <c r="L157" s="2" t="n">
        <f aca="false">INDEX(Segmentation!$Q$2:$Q$301,MATCH($A157,Segmentation!$A$2:$A$301,0))</f>
        <v>1</v>
      </c>
      <c r="M157" s="2" t="n">
        <f aca="false">INDEX(Segmentation!$W$2:$W$301,MATCH($A157,Segmentation!$A$2:$A$301,0))</f>
        <v>1</v>
      </c>
      <c r="N157" s="2" t="str">
        <f aca="false">INDEX(Segmentation!$AF$2:$AF$301,MATCH($A157,Segmentation!$A$2:$A$301,0))</f>
        <v>Returned Customer</v>
      </c>
      <c r="O157" s="2" t="n">
        <f aca="false">INDEX(Segmentation!$R$2:$R$301,MATCH($A157,Segmentation!$A$2:$A$301,0))</f>
        <v>8</v>
      </c>
      <c r="P157" s="2" t="n">
        <v>26</v>
      </c>
      <c r="Q157" s="2" t="n">
        <f aca="false">INDEX(Segmentation!$S$2:$S$301,MATCH($A157,Segmentation!$A$2:$A$301,0))</f>
        <v>3</v>
      </c>
      <c r="R157" s="2" t="n">
        <v>100</v>
      </c>
      <c r="S157" s="2" t="n">
        <v>0</v>
      </c>
      <c r="T157" s="2" t="n">
        <v>0</v>
      </c>
      <c r="U157" s="2" t="n">
        <v>1</v>
      </c>
      <c r="V157" s="2" t="n">
        <v>100</v>
      </c>
      <c r="W157" s="2" t="str">
        <f aca="false">IF(V157=100,"Bundle-only",IF(V157=0,"Handpick-only","Mixed"))</f>
        <v>Bundle-only</v>
      </c>
      <c r="X157" s="17" t="n">
        <f aca="false">L157/K157</f>
        <v>1</v>
      </c>
      <c r="Y157" s="9" t="n">
        <f aca="false">J157/K157</f>
        <v>255</v>
      </c>
      <c r="Z157" s="10" t="b">
        <f aca="false">O157&gt;=Assumptions!$B$57</f>
        <v>0</v>
      </c>
      <c r="AA157" s="10" t="b">
        <f aca="false">P157&gt;=Assumptions!$B$58</f>
        <v>0</v>
      </c>
      <c r="AB157" s="10" t="b">
        <f aca="false">Q157&gt;=Assumptions!$B$59</f>
        <v>1</v>
      </c>
      <c r="AC157" s="2" t="n">
        <f aca="false">Z157*1+AA157*1+AB157*1</f>
        <v>1</v>
      </c>
      <c r="AD157" s="2" t="str">
        <f aca="false">IF(E157="Broker-Reliant","Broker-led, product-blind",IF(AND(I157="Low",F157&lt;&gt;"Tail",OR(G157="Declining",G157="Lapsed"),OR(O157&gt;=Assumptions!$B$60,P157&gt;=Assumptions!$B$61)),"Engaged but shrinking (Key/Core)",IF(AND(O157&gt;=Assumptions!$B$60,P157&gt;=Assumptions!$B$61,Q157&gt;=Assumptions!$B$62,K157&gt;=Assumptions!$B$63),"Independent browser-buyer",IF(AND(OR(O157&gt;=Assumptions!$B$60,P157&gt;=Assumptions!$B$61),K157&lt;=2),"Engaged, not converting",IF(AND(K157=1,O157&lt;Assumptions!$B$60,P157&lt;Assumptions!$B$61),"One-off low-touch buyer","Light-touch repeat buyer")))))</f>
        <v>One-off low-touch buyer</v>
      </c>
      <c r="AE157" s="10" t="b">
        <f aca="false">INDEX(Segmentation!$AW$2:$AW$301,MATCH($A157,Segmentation!$A$2:$A$301,0))</f>
        <v>0</v>
      </c>
    </row>
    <row r="158" customFormat="false" ht="15" hidden="false" customHeight="false" outlineLevel="0" collapsed="false">
      <c r="A158" s="2" t="s">
        <v>828</v>
      </c>
      <c r="B158" s="2" t="s">
        <v>1571</v>
      </c>
      <c r="C158" s="2" t="s">
        <v>1640</v>
      </c>
      <c r="D158" s="2" t="s">
        <v>1657</v>
      </c>
      <c r="E158" s="2" t="str">
        <f aca="false">INDEX(Segmentation!$H$2:$H$301,MATCH($A158,Segmentation!$A$2:$A$301,0))</f>
        <v>AM-Owned / Self-Serving</v>
      </c>
      <c r="F158" s="2" t="str">
        <f aca="false">INDEX(Segmentation!$J$2:$J$301,MATCH($A158,Segmentation!$A$2:$A$301,0))</f>
        <v>Tail</v>
      </c>
      <c r="G158" s="2" t="str">
        <f aca="false">INDEX(Segmentation!$N$2:$N$301,MATCH($A158,Segmentation!$A$2:$A$301,0))</f>
        <v>Lapsed</v>
      </c>
      <c r="H158" s="2" t="str">
        <f aca="false">INDEX(Segmentation!$T$2:$T$301,MATCH($A158,Segmentation!$A$2:$A$301,0))</f>
        <v>9. Long-Tail Automated Nurture</v>
      </c>
      <c r="I158" s="2" t="str">
        <f aca="false">INDEX(Segmentation!$G$2:$G$301,MATCH($A158,Segmentation!$A$2:$A$301,0))</f>
        <v>Low</v>
      </c>
      <c r="J158" s="9" t="n">
        <f aca="false">INDEX(Segmentation!$I$2:$I$301,MATCH($A158,Segmentation!$A$2:$A$301,0))</f>
        <v>254</v>
      </c>
      <c r="K158" s="2" t="n">
        <f aca="false">INDEX(Segmentation!$O$2:$O$301,MATCH($A158,Segmentation!$A$2:$A$301,0))</f>
        <v>1</v>
      </c>
      <c r="L158" s="2" t="n">
        <f aca="false">INDEX(Segmentation!$Q$2:$Q$301,MATCH($A158,Segmentation!$A$2:$A$301,0))</f>
        <v>1</v>
      </c>
      <c r="M158" s="2" t="n">
        <f aca="false">INDEX(Segmentation!$W$2:$W$301,MATCH($A158,Segmentation!$A$2:$A$301,0))</f>
        <v>1</v>
      </c>
      <c r="N158" s="2" t="str">
        <f aca="false">INDEX(Segmentation!$AF$2:$AF$301,MATCH($A158,Segmentation!$A$2:$A$301,0))</f>
        <v>Existing Customer</v>
      </c>
      <c r="O158" s="2" t="n">
        <f aca="false">INDEX(Segmentation!$R$2:$R$301,MATCH($A158,Segmentation!$A$2:$A$301,0))</f>
        <v>70</v>
      </c>
      <c r="P158" s="2" t="n">
        <v>509</v>
      </c>
      <c r="Q158" s="2" t="n">
        <f aca="false">INDEX(Segmentation!$S$2:$S$301,MATCH($A158,Segmentation!$A$2:$A$301,0))</f>
        <v>1</v>
      </c>
      <c r="R158" s="2" t="n">
        <v>101</v>
      </c>
      <c r="S158" s="2" t="n">
        <v>2</v>
      </c>
      <c r="T158" s="2" t="n">
        <v>1</v>
      </c>
      <c r="U158" s="2" t="n">
        <v>0</v>
      </c>
      <c r="V158" s="2" t="n">
        <v>0</v>
      </c>
      <c r="W158" s="2" t="str">
        <f aca="false">IF(V158=100,"Bundle-only",IF(V158=0,"Handpick-only","Mixed"))</f>
        <v>Handpick-only</v>
      </c>
      <c r="X158" s="17" t="n">
        <f aca="false">L158/K158</f>
        <v>1</v>
      </c>
      <c r="Y158" s="9" t="n">
        <f aca="false">J158/K158</f>
        <v>254</v>
      </c>
      <c r="Z158" s="10" t="b">
        <f aca="false">O158&gt;=Assumptions!$B$57</f>
        <v>1</v>
      </c>
      <c r="AA158" s="10" t="b">
        <f aca="false">P158&gt;=Assumptions!$B$58</f>
        <v>1</v>
      </c>
      <c r="AB158" s="10" t="b">
        <f aca="false">Q158&gt;=Assumptions!$B$59</f>
        <v>0</v>
      </c>
      <c r="AC158" s="2" t="n">
        <f aca="false">Z158*1+AA158*1+AB158*1</f>
        <v>2</v>
      </c>
      <c r="AD158" s="2" t="str">
        <f aca="false">IF(E158="Broker-Reliant","Broker-led, product-blind",IF(AND(I158="Low",F158&lt;&gt;"Tail",OR(G158="Declining",G158="Lapsed"),OR(O158&gt;=Assumptions!$B$60,P158&gt;=Assumptions!$B$61)),"Engaged but shrinking (Key/Core)",IF(AND(O158&gt;=Assumptions!$B$60,P158&gt;=Assumptions!$B$61,Q158&gt;=Assumptions!$B$62,K158&gt;=Assumptions!$B$63),"Independent browser-buyer",IF(AND(OR(O158&gt;=Assumptions!$B$60,P158&gt;=Assumptions!$B$61),K158&lt;=2),"Engaged, not converting",IF(AND(K158=1,O158&lt;Assumptions!$B$60,P158&lt;Assumptions!$B$61),"One-off low-touch buyer","Light-touch repeat buyer")))))</f>
        <v>Engaged, not converting</v>
      </c>
      <c r="AE158" s="10" t="b">
        <f aca="false">INDEX(Segmentation!$AW$2:$AW$301,MATCH($A158,Segmentation!$A$2:$A$301,0))</f>
        <v>0</v>
      </c>
    </row>
    <row r="159" customFormat="false" ht="15" hidden="false" customHeight="false" outlineLevel="0" collapsed="false">
      <c r="A159" s="2" t="s">
        <v>830</v>
      </c>
      <c r="B159" s="2" t="s">
        <v>1571</v>
      </c>
      <c r="C159" s="2" t="s">
        <v>1640</v>
      </c>
      <c r="D159" s="2" t="s">
        <v>1657</v>
      </c>
      <c r="E159" s="2" t="str">
        <f aca="false">INDEX(Segmentation!$H$2:$H$301,MATCH($A159,Segmentation!$A$2:$A$301,0))</f>
        <v>AM-Owned / Self-Serving</v>
      </c>
      <c r="F159" s="2" t="str">
        <f aca="false">INDEX(Segmentation!$J$2:$J$301,MATCH($A159,Segmentation!$A$2:$A$301,0))</f>
        <v>Tail</v>
      </c>
      <c r="G159" s="2" t="str">
        <f aca="false">INDEX(Segmentation!$N$2:$N$301,MATCH($A159,Segmentation!$A$2:$A$301,0))</f>
        <v>Lapsed</v>
      </c>
      <c r="H159" s="2" t="str">
        <f aca="false">INDEX(Segmentation!$T$2:$T$301,MATCH($A159,Segmentation!$A$2:$A$301,0))</f>
        <v>9. Long-Tail Automated Nurture</v>
      </c>
      <c r="I159" s="2" t="str">
        <f aca="false">INDEX(Segmentation!$G$2:$G$301,MATCH($A159,Segmentation!$A$2:$A$301,0))</f>
        <v>Low</v>
      </c>
      <c r="J159" s="9" t="n">
        <f aca="false">INDEX(Segmentation!$I$2:$I$301,MATCH($A159,Segmentation!$A$2:$A$301,0))</f>
        <v>254</v>
      </c>
      <c r="K159" s="2" t="n">
        <f aca="false">INDEX(Segmentation!$O$2:$O$301,MATCH($A159,Segmentation!$A$2:$A$301,0))</f>
        <v>1</v>
      </c>
      <c r="L159" s="2" t="n">
        <f aca="false">INDEX(Segmentation!$Q$2:$Q$301,MATCH($A159,Segmentation!$A$2:$A$301,0))</f>
        <v>1</v>
      </c>
      <c r="M159" s="2" t="n">
        <f aca="false">INDEX(Segmentation!$W$2:$W$301,MATCH($A159,Segmentation!$A$2:$A$301,0))</f>
        <v>1</v>
      </c>
      <c r="N159" s="2" t="str">
        <f aca="false">INDEX(Segmentation!$AF$2:$AF$301,MATCH($A159,Segmentation!$A$2:$A$301,0))</f>
        <v>Existing Customer</v>
      </c>
      <c r="O159" s="2" t="n">
        <f aca="false">INDEX(Segmentation!$R$2:$R$301,MATCH($A159,Segmentation!$A$2:$A$301,0))</f>
        <v>6</v>
      </c>
      <c r="P159" s="2" t="n">
        <v>27</v>
      </c>
      <c r="Q159" s="2" t="n">
        <f aca="false">INDEX(Segmentation!$S$2:$S$301,MATCH($A159,Segmentation!$A$2:$A$301,0))</f>
        <v>0</v>
      </c>
      <c r="R159" s="2" t="n">
        <v>1</v>
      </c>
      <c r="S159" s="2" t="n">
        <v>0</v>
      </c>
      <c r="T159" s="2" t="n">
        <v>0</v>
      </c>
      <c r="U159" s="2" t="n">
        <v>1</v>
      </c>
      <c r="V159" s="2" t="n">
        <v>100</v>
      </c>
      <c r="W159" s="2" t="str">
        <f aca="false">IF(V159=100,"Bundle-only",IF(V159=0,"Handpick-only","Mixed"))</f>
        <v>Bundle-only</v>
      </c>
      <c r="X159" s="17" t="n">
        <f aca="false">L159/K159</f>
        <v>1</v>
      </c>
      <c r="Y159" s="9" t="n">
        <f aca="false">J159/K159</f>
        <v>254</v>
      </c>
      <c r="Z159" s="10" t="b">
        <f aca="false">O159&gt;=Assumptions!$B$57</f>
        <v>0</v>
      </c>
      <c r="AA159" s="10" t="b">
        <f aca="false">P159&gt;=Assumptions!$B$58</f>
        <v>0</v>
      </c>
      <c r="AB159" s="10" t="b">
        <f aca="false">Q159&gt;=Assumptions!$B$59</f>
        <v>0</v>
      </c>
      <c r="AC159" s="2" t="n">
        <f aca="false">Z159*1+AA159*1+AB159*1</f>
        <v>0</v>
      </c>
      <c r="AD159" s="2" t="str">
        <f aca="false">IF(E159="Broker-Reliant","Broker-led, product-blind",IF(AND(I159="Low",F159&lt;&gt;"Tail",OR(G159="Declining",G159="Lapsed"),OR(O159&gt;=Assumptions!$B$60,P159&gt;=Assumptions!$B$61)),"Engaged but shrinking (Key/Core)",IF(AND(O159&gt;=Assumptions!$B$60,P159&gt;=Assumptions!$B$61,Q159&gt;=Assumptions!$B$62,K159&gt;=Assumptions!$B$63),"Independent browser-buyer",IF(AND(OR(O159&gt;=Assumptions!$B$60,P159&gt;=Assumptions!$B$61),K159&lt;=2),"Engaged, not converting",IF(AND(K159=1,O159&lt;Assumptions!$B$60,P159&lt;Assumptions!$B$61),"One-off low-touch buyer","Light-touch repeat buyer")))))</f>
        <v>One-off low-touch buyer</v>
      </c>
      <c r="AE159" s="10" t="b">
        <f aca="false">INDEX(Segmentation!$AW$2:$AW$301,MATCH($A159,Segmentation!$A$2:$A$301,0))</f>
        <v>0</v>
      </c>
    </row>
    <row r="160" customFormat="false" ht="15" hidden="false" customHeight="false" outlineLevel="0" collapsed="false">
      <c r="A160" s="2" t="s">
        <v>832</v>
      </c>
      <c r="B160" s="2" t="s">
        <v>1571</v>
      </c>
      <c r="C160" s="2" t="s">
        <v>1640</v>
      </c>
      <c r="D160" s="2" t="s">
        <v>1653</v>
      </c>
      <c r="E160" s="2" t="str">
        <f aca="false">INDEX(Segmentation!$H$2:$H$301,MATCH($A160,Segmentation!$A$2:$A$301,0))</f>
        <v>AM-Owned / Self-Serving</v>
      </c>
      <c r="F160" s="2" t="str">
        <f aca="false">INDEX(Segmentation!$J$2:$J$301,MATCH($A160,Segmentation!$A$2:$A$301,0))</f>
        <v>Tail</v>
      </c>
      <c r="G160" s="2" t="str">
        <f aca="false">INDEX(Segmentation!$N$2:$N$301,MATCH($A160,Segmentation!$A$2:$A$301,0))</f>
        <v>Lapsed</v>
      </c>
      <c r="H160" s="2" t="str">
        <f aca="false">INDEX(Segmentation!$T$2:$T$301,MATCH($A160,Segmentation!$A$2:$A$301,0))</f>
        <v>9. Long-Tail Automated Nurture</v>
      </c>
      <c r="I160" s="2" t="str">
        <f aca="false">INDEX(Segmentation!$G$2:$G$301,MATCH($A160,Segmentation!$A$2:$A$301,0))</f>
        <v>Low</v>
      </c>
      <c r="J160" s="9" t="n">
        <f aca="false">INDEX(Segmentation!$I$2:$I$301,MATCH($A160,Segmentation!$A$2:$A$301,0))</f>
        <v>253</v>
      </c>
      <c r="K160" s="2" t="n">
        <f aca="false">INDEX(Segmentation!$O$2:$O$301,MATCH($A160,Segmentation!$A$2:$A$301,0))</f>
        <v>1</v>
      </c>
      <c r="L160" s="2" t="n">
        <f aca="false">INDEX(Segmentation!$Q$2:$Q$301,MATCH($A160,Segmentation!$A$2:$A$301,0))</f>
        <v>1</v>
      </c>
      <c r="M160" s="2" t="n">
        <f aca="false">INDEX(Segmentation!$W$2:$W$301,MATCH($A160,Segmentation!$A$2:$A$301,0))</f>
        <v>1</v>
      </c>
      <c r="N160" s="2" t="str">
        <f aca="false">INDEX(Segmentation!$AF$2:$AF$301,MATCH($A160,Segmentation!$A$2:$A$301,0))</f>
        <v>Existing Customer</v>
      </c>
      <c r="O160" s="2" t="n">
        <f aca="false">INDEX(Segmentation!$R$2:$R$301,MATCH($A160,Segmentation!$A$2:$A$301,0))</f>
        <v>7</v>
      </c>
      <c r="P160" s="2" t="n">
        <v>115</v>
      </c>
      <c r="Q160" s="2" t="n">
        <f aca="false">INDEX(Segmentation!$S$2:$S$301,MATCH($A160,Segmentation!$A$2:$A$301,0))</f>
        <v>0</v>
      </c>
      <c r="R160" s="2" t="n">
        <v>0</v>
      </c>
      <c r="S160" s="2" t="n">
        <v>0</v>
      </c>
      <c r="T160" s="2" t="n">
        <v>0</v>
      </c>
      <c r="U160" s="2" t="n">
        <v>1</v>
      </c>
      <c r="V160" s="2" t="n">
        <v>100</v>
      </c>
      <c r="W160" s="2" t="str">
        <f aca="false">IF(V160=100,"Bundle-only",IF(V160=0,"Handpick-only","Mixed"))</f>
        <v>Bundle-only</v>
      </c>
      <c r="X160" s="17" t="n">
        <f aca="false">L160/K160</f>
        <v>1</v>
      </c>
      <c r="Y160" s="9" t="n">
        <f aca="false">J160/K160</f>
        <v>253</v>
      </c>
      <c r="Z160" s="10" t="b">
        <f aca="false">O160&gt;=Assumptions!$B$57</f>
        <v>0</v>
      </c>
      <c r="AA160" s="10" t="b">
        <f aca="false">P160&gt;=Assumptions!$B$58</f>
        <v>1</v>
      </c>
      <c r="AB160" s="10" t="b">
        <f aca="false">Q160&gt;=Assumptions!$B$59</f>
        <v>0</v>
      </c>
      <c r="AC160" s="2" t="n">
        <f aca="false">Z160*1+AA160*1+AB160*1</f>
        <v>1</v>
      </c>
      <c r="AD160" s="2" t="str">
        <f aca="false">IF(E160="Broker-Reliant","Broker-led, product-blind",IF(AND(I160="Low",F160&lt;&gt;"Tail",OR(G160="Declining",G160="Lapsed"),OR(O160&gt;=Assumptions!$B$60,P160&gt;=Assumptions!$B$61)),"Engaged but shrinking (Key/Core)",IF(AND(O160&gt;=Assumptions!$B$60,P160&gt;=Assumptions!$B$61,Q160&gt;=Assumptions!$B$62,K160&gt;=Assumptions!$B$63),"Independent browser-buyer",IF(AND(OR(O160&gt;=Assumptions!$B$60,P160&gt;=Assumptions!$B$61),K160&lt;=2),"Engaged, not converting",IF(AND(K160=1,O160&lt;Assumptions!$B$60,P160&lt;Assumptions!$B$61),"One-off low-touch buyer","Light-touch repeat buyer")))))</f>
        <v>One-off low-touch buyer</v>
      </c>
      <c r="AE160" s="10" t="b">
        <f aca="false">INDEX(Segmentation!$AW$2:$AW$301,MATCH($A160,Segmentation!$A$2:$A$301,0))</f>
        <v>0</v>
      </c>
    </row>
    <row r="161" customFormat="false" ht="15" hidden="false" customHeight="false" outlineLevel="0" collapsed="false">
      <c r="A161" s="2" t="s">
        <v>566</v>
      </c>
      <c r="B161" s="2" t="s">
        <v>1571</v>
      </c>
      <c r="C161" s="2" t="s">
        <v>1640</v>
      </c>
      <c r="D161" s="2" t="s">
        <v>1657</v>
      </c>
      <c r="E161" s="2" t="str">
        <f aca="false">INDEX(Segmentation!$H$2:$H$301,MATCH($A161,Segmentation!$A$2:$A$301,0))</f>
        <v>AM-Owned / Self-Serving</v>
      </c>
      <c r="F161" s="2" t="str">
        <f aca="false">INDEX(Segmentation!$J$2:$J$301,MATCH($A161,Segmentation!$A$2:$A$301,0))</f>
        <v>Tail</v>
      </c>
      <c r="G161" s="2" t="str">
        <f aca="false">INDEX(Segmentation!$N$2:$N$301,MATCH($A161,Segmentation!$A$2:$A$301,0))</f>
        <v>Growing</v>
      </c>
      <c r="H161" s="2" t="str">
        <f aca="false">INDEX(Segmentation!$T$2:$T$301,MATCH($A161,Segmentation!$A$2:$A$301,0))</f>
        <v>9. Long-Tail Automated Nurture</v>
      </c>
      <c r="I161" s="2" t="str">
        <f aca="false">INDEX(Segmentation!$G$2:$G$301,MATCH($A161,Segmentation!$A$2:$A$301,0))</f>
        <v>Low</v>
      </c>
      <c r="J161" s="9" t="n">
        <f aca="false">INDEX(Segmentation!$I$2:$I$301,MATCH($A161,Segmentation!$A$2:$A$301,0))</f>
        <v>249</v>
      </c>
      <c r="K161" s="2" t="n">
        <f aca="false">INDEX(Segmentation!$O$2:$O$301,MATCH($A161,Segmentation!$A$2:$A$301,0))</f>
        <v>2</v>
      </c>
      <c r="L161" s="2" t="n">
        <f aca="false">INDEX(Segmentation!$Q$2:$Q$301,MATCH($A161,Segmentation!$A$2:$A$301,0))</f>
        <v>2</v>
      </c>
      <c r="M161" s="2" t="n">
        <f aca="false">INDEX(Segmentation!$W$2:$W$301,MATCH($A161,Segmentation!$A$2:$A$301,0))</f>
        <v>2</v>
      </c>
      <c r="N161" s="2" t="str">
        <f aca="false">INDEX(Segmentation!$AF$2:$AF$301,MATCH($A161,Segmentation!$A$2:$A$301,0))</f>
        <v>Existing Customer</v>
      </c>
      <c r="O161" s="2" t="n">
        <f aca="false">INDEX(Segmentation!$R$2:$R$301,MATCH($A161,Segmentation!$A$2:$A$301,0))</f>
        <v>5</v>
      </c>
      <c r="P161" s="2" t="n">
        <v>76</v>
      </c>
      <c r="Q161" s="2" t="n">
        <f aca="false">INDEX(Segmentation!$S$2:$S$301,MATCH($A161,Segmentation!$A$2:$A$301,0))</f>
        <v>0</v>
      </c>
      <c r="R161" s="2" t="n">
        <v>8</v>
      </c>
      <c r="S161" s="2" t="n">
        <v>0</v>
      </c>
      <c r="T161" s="2" t="n">
        <v>0</v>
      </c>
      <c r="U161" s="2" t="n">
        <v>2</v>
      </c>
      <c r="V161" s="2" t="n">
        <v>100</v>
      </c>
      <c r="W161" s="2" t="str">
        <f aca="false">IF(V161=100,"Bundle-only",IF(V161=0,"Handpick-only","Mixed"))</f>
        <v>Bundle-only</v>
      </c>
      <c r="X161" s="17" t="n">
        <f aca="false">L161/K161</f>
        <v>1</v>
      </c>
      <c r="Y161" s="9" t="n">
        <f aca="false">J161/K161</f>
        <v>124.5</v>
      </c>
      <c r="Z161" s="10" t="b">
        <f aca="false">O161&gt;=Assumptions!$B$57</f>
        <v>0</v>
      </c>
      <c r="AA161" s="10" t="b">
        <f aca="false">P161&gt;=Assumptions!$B$58</f>
        <v>1</v>
      </c>
      <c r="AB161" s="10" t="b">
        <f aca="false">Q161&gt;=Assumptions!$B$59</f>
        <v>0</v>
      </c>
      <c r="AC161" s="2" t="n">
        <f aca="false">Z161*1+AA161*1+AB161*1</f>
        <v>1</v>
      </c>
      <c r="AD161" s="2" t="str">
        <f aca="false">IF(E161="Broker-Reliant","Broker-led, product-blind",IF(AND(I161="Low",F161&lt;&gt;"Tail",OR(G161="Declining",G161="Lapsed"),OR(O161&gt;=Assumptions!$B$60,P161&gt;=Assumptions!$B$61)),"Engaged but shrinking (Key/Core)",IF(AND(O161&gt;=Assumptions!$B$60,P161&gt;=Assumptions!$B$61,Q161&gt;=Assumptions!$B$62,K161&gt;=Assumptions!$B$63),"Independent browser-buyer",IF(AND(OR(O161&gt;=Assumptions!$B$60,P161&gt;=Assumptions!$B$61),K161&lt;=2),"Engaged, not converting",IF(AND(K161=1,O161&lt;Assumptions!$B$60,P161&lt;Assumptions!$B$61),"One-off low-touch buyer","Light-touch repeat buyer")))))</f>
        <v>Light-touch repeat buyer</v>
      </c>
      <c r="AE161" s="10" t="b">
        <f aca="false">INDEX(Segmentation!$AW$2:$AW$301,MATCH($A161,Segmentation!$A$2:$A$301,0))</f>
        <v>0</v>
      </c>
    </row>
    <row r="162" customFormat="false" ht="15" hidden="false" customHeight="false" outlineLevel="0" collapsed="false">
      <c r="A162" s="2" t="s">
        <v>834</v>
      </c>
      <c r="B162" s="2" t="s">
        <v>1571</v>
      </c>
      <c r="C162" s="2" t="s">
        <v>1640</v>
      </c>
      <c r="D162" s="2" t="s">
        <v>1658</v>
      </c>
      <c r="E162" s="2" t="str">
        <f aca="false">INDEX(Segmentation!$H$2:$H$301,MATCH($A162,Segmentation!$A$2:$A$301,0))</f>
        <v>AM-Owned / Self-Serving</v>
      </c>
      <c r="F162" s="2" t="str">
        <f aca="false">INDEX(Segmentation!$J$2:$J$301,MATCH($A162,Segmentation!$A$2:$A$301,0))</f>
        <v>Tail</v>
      </c>
      <c r="G162" s="2" t="str">
        <f aca="false">INDEX(Segmentation!$N$2:$N$301,MATCH($A162,Segmentation!$A$2:$A$301,0))</f>
        <v>Lapsed</v>
      </c>
      <c r="H162" s="2" t="str">
        <f aca="false">INDEX(Segmentation!$T$2:$T$301,MATCH($A162,Segmentation!$A$2:$A$301,0))</f>
        <v>9. Long-Tail Automated Nurture</v>
      </c>
      <c r="I162" s="2" t="str">
        <f aca="false">INDEX(Segmentation!$G$2:$G$301,MATCH($A162,Segmentation!$A$2:$A$301,0))</f>
        <v>Low</v>
      </c>
      <c r="J162" s="9" t="n">
        <f aca="false">INDEX(Segmentation!$I$2:$I$301,MATCH($A162,Segmentation!$A$2:$A$301,0))</f>
        <v>248</v>
      </c>
      <c r="K162" s="2" t="n">
        <f aca="false">INDEX(Segmentation!$O$2:$O$301,MATCH($A162,Segmentation!$A$2:$A$301,0))</f>
        <v>1</v>
      </c>
      <c r="L162" s="2" t="n">
        <f aca="false">INDEX(Segmentation!$Q$2:$Q$301,MATCH($A162,Segmentation!$A$2:$A$301,0))</f>
        <v>1</v>
      </c>
      <c r="M162" s="2" t="n">
        <f aca="false">INDEX(Segmentation!$W$2:$W$301,MATCH($A162,Segmentation!$A$2:$A$301,0))</f>
        <v>1</v>
      </c>
      <c r="N162" s="2" t="str">
        <f aca="false">INDEX(Segmentation!$AF$2:$AF$301,MATCH($A162,Segmentation!$A$2:$A$301,0))</f>
        <v>Existing Customer</v>
      </c>
      <c r="O162" s="2" t="n">
        <f aca="false">INDEX(Segmentation!$R$2:$R$301,MATCH($A162,Segmentation!$A$2:$A$301,0))</f>
        <v>17</v>
      </c>
      <c r="P162" s="2" t="n">
        <v>159</v>
      </c>
      <c r="Q162" s="2" t="n">
        <f aca="false">INDEX(Segmentation!$S$2:$S$301,MATCH($A162,Segmentation!$A$2:$A$301,0))</f>
        <v>0</v>
      </c>
      <c r="R162" s="2" t="n">
        <v>14</v>
      </c>
      <c r="S162" s="2" t="n">
        <v>0</v>
      </c>
      <c r="T162" s="2" t="n">
        <v>1</v>
      </c>
      <c r="U162" s="2" t="n">
        <v>0</v>
      </c>
      <c r="V162" s="2" t="n">
        <v>0</v>
      </c>
      <c r="W162" s="2" t="str">
        <f aca="false">IF(V162=100,"Bundle-only",IF(V162=0,"Handpick-only","Mixed"))</f>
        <v>Handpick-only</v>
      </c>
      <c r="X162" s="17" t="n">
        <f aca="false">L162/K162</f>
        <v>1</v>
      </c>
      <c r="Y162" s="9" t="n">
        <f aca="false">J162/K162</f>
        <v>248</v>
      </c>
      <c r="Z162" s="10" t="b">
        <f aca="false">O162&gt;=Assumptions!$B$57</f>
        <v>1</v>
      </c>
      <c r="AA162" s="10" t="b">
        <f aca="false">P162&gt;=Assumptions!$B$58</f>
        <v>1</v>
      </c>
      <c r="AB162" s="10" t="b">
        <f aca="false">Q162&gt;=Assumptions!$B$59</f>
        <v>0</v>
      </c>
      <c r="AC162" s="2" t="n">
        <f aca="false">Z162*1+AA162*1+AB162*1</f>
        <v>2</v>
      </c>
      <c r="AD162" s="2" t="str">
        <f aca="false">IF(E162="Broker-Reliant","Broker-led, product-blind",IF(AND(I162="Low",F162&lt;&gt;"Tail",OR(G162="Declining",G162="Lapsed"),OR(O162&gt;=Assumptions!$B$60,P162&gt;=Assumptions!$B$61)),"Engaged but shrinking (Key/Core)",IF(AND(O162&gt;=Assumptions!$B$60,P162&gt;=Assumptions!$B$61,Q162&gt;=Assumptions!$B$62,K162&gt;=Assumptions!$B$63),"Independent browser-buyer",IF(AND(OR(O162&gt;=Assumptions!$B$60,P162&gt;=Assumptions!$B$61),K162&lt;=2),"Engaged, not converting",IF(AND(K162=1,O162&lt;Assumptions!$B$60,P162&lt;Assumptions!$B$61),"One-off low-touch buyer","Light-touch repeat buyer")))))</f>
        <v>One-off low-touch buyer</v>
      </c>
      <c r="AE162" s="10" t="b">
        <f aca="false">INDEX(Segmentation!$AW$2:$AW$301,MATCH($A162,Segmentation!$A$2:$A$301,0))</f>
        <v>0</v>
      </c>
    </row>
    <row r="163" customFormat="false" ht="15" hidden="false" customHeight="false" outlineLevel="0" collapsed="false">
      <c r="A163" s="2" t="s">
        <v>838</v>
      </c>
      <c r="B163" s="2" t="s">
        <v>1571</v>
      </c>
      <c r="C163" s="2" t="s">
        <v>1641</v>
      </c>
      <c r="D163" s="2" t="s">
        <v>1653</v>
      </c>
      <c r="E163" s="2" t="str">
        <f aca="false">INDEX(Segmentation!$H$2:$H$301,MATCH($A163,Segmentation!$A$2:$A$301,0))</f>
        <v>AM-Owned / Self-Serving</v>
      </c>
      <c r="F163" s="2" t="str">
        <f aca="false">INDEX(Segmentation!$J$2:$J$301,MATCH($A163,Segmentation!$A$2:$A$301,0))</f>
        <v>Tail</v>
      </c>
      <c r="G163" s="2" t="str">
        <f aca="false">INDEX(Segmentation!$N$2:$N$301,MATCH($A163,Segmentation!$A$2:$A$301,0))</f>
        <v>Lapsed</v>
      </c>
      <c r="H163" s="2" t="str">
        <f aca="false">INDEX(Segmentation!$T$2:$T$301,MATCH($A163,Segmentation!$A$2:$A$301,0))</f>
        <v>9. Long-Tail Automated Nurture</v>
      </c>
      <c r="I163" s="2" t="str">
        <f aca="false">INDEX(Segmentation!$G$2:$G$301,MATCH($A163,Segmentation!$A$2:$A$301,0))</f>
        <v>Low</v>
      </c>
      <c r="J163" s="9" t="n">
        <f aca="false">INDEX(Segmentation!$I$2:$I$301,MATCH($A163,Segmentation!$A$2:$A$301,0))</f>
        <v>242</v>
      </c>
      <c r="K163" s="2" t="n">
        <f aca="false">INDEX(Segmentation!$O$2:$O$301,MATCH($A163,Segmentation!$A$2:$A$301,0))</f>
        <v>1</v>
      </c>
      <c r="L163" s="2" t="n">
        <f aca="false">INDEX(Segmentation!$Q$2:$Q$301,MATCH($A163,Segmentation!$A$2:$A$301,0))</f>
        <v>1</v>
      </c>
      <c r="M163" s="2" t="n">
        <f aca="false">INDEX(Segmentation!$W$2:$W$301,MATCH($A163,Segmentation!$A$2:$A$301,0))</f>
        <v>1</v>
      </c>
      <c r="N163" s="2" t="str">
        <f aca="false">INDEX(Segmentation!$AF$2:$AF$301,MATCH($A163,Segmentation!$A$2:$A$301,0))</f>
        <v>Existing Customer</v>
      </c>
      <c r="O163" s="2" t="n">
        <f aca="false">INDEX(Segmentation!$R$2:$R$301,MATCH($A163,Segmentation!$A$2:$A$301,0))</f>
        <v>7</v>
      </c>
      <c r="P163" s="2" t="n">
        <v>28</v>
      </c>
      <c r="Q163" s="2" t="n">
        <f aca="false">INDEX(Segmentation!$S$2:$S$301,MATCH($A163,Segmentation!$A$2:$A$301,0))</f>
        <v>1</v>
      </c>
      <c r="R163" s="2" t="n">
        <v>1</v>
      </c>
      <c r="S163" s="2" t="n">
        <v>0</v>
      </c>
      <c r="T163" s="2" t="n">
        <v>0</v>
      </c>
      <c r="U163" s="2" t="n">
        <v>1</v>
      </c>
      <c r="V163" s="2" t="n">
        <v>100</v>
      </c>
      <c r="W163" s="2" t="str">
        <f aca="false">IF(V163=100,"Bundle-only",IF(V163=0,"Handpick-only","Mixed"))</f>
        <v>Bundle-only</v>
      </c>
      <c r="X163" s="17" t="n">
        <f aca="false">L163/K163</f>
        <v>1</v>
      </c>
      <c r="Y163" s="9" t="n">
        <f aca="false">J163/K163</f>
        <v>242</v>
      </c>
      <c r="Z163" s="10" t="b">
        <f aca="false">O163&gt;=Assumptions!$B$57</f>
        <v>0</v>
      </c>
      <c r="AA163" s="10" t="b">
        <f aca="false">P163&gt;=Assumptions!$B$58</f>
        <v>0</v>
      </c>
      <c r="AB163" s="10" t="b">
        <f aca="false">Q163&gt;=Assumptions!$B$59</f>
        <v>0</v>
      </c>
      <c r="AC163" s="2" t="n">
        <f aca="false">Z163*1+AA163*1+AB163*1</f>
        <v>0</v>
      </c>
      <c r="AD163" s="2" t="str">
        <f aca="false">IF(E163="Broker-Reliant","Broker-led, product-blind",IF(AND(I163="Low",F163&lt;&gt;"Tail",OR(G163="Declining",G163="Lapsed"),OR(O163&gt;=Assumptions!$B$60,P163&gt;=Assumptions!$B$61)),"Engaged but shrinking (Key/Core)",IF(AND(O163&gt;=Assumptions!$B$60,P163&gt;=Assumptions!$B$61,Q163&gt;=Assumptions!$B$62,K163&gt;=Assumptions!$B$63),"Independent browser-buyer",IF(AND(OR(O163&gt;=Assumptions!$B$60,P163&gt;=Assumptions!$B$61),K163&lt;=2),"Engaged, not converting",IF(AND(K163=1,O163&lt;Assumptions!$B$60,P163&lt;Assumptions!$B$61),"One-off low-touch buyer","Light-touch repeat buyer")))))</f>
        <v>One-off low-touch buyer</v>
      </c>
      <c r="AE163" s="10" t="b">
        <f aca="false">INDEX(Segmentation!$AW$2:$AW$301,MATCH($A163,Segmentation!$A$2:$A$301,0))</f>
        <v>0</v>
      </c>
    </row>
    <row r="164" customFormat="false" ht="15" hidden="false" customHeight="false" outlineLevel="0" collapsed="false">
      <c r="A164" s="2" t="s">
        <v>842</v>
      </c>
      <c r="B164" s="2" t="s">
        <v>1571</v>
      </c>
      <c r="C164" s="2" t="s">
        <v>1640</v>
      </c>
      <c r="D164" s="2" t="s">
        <v>1653</v>
      </c>
      <c r="E164" s="2" t="str">
        <f aca="false">INDEX(Segmentation!$H$2:$H$301,MATCH($A164,Segmentation!$A$2:$A$301,0))</f>
        <v>AM-Owned / Self-Serving</v>
      </c>
      <c r="F164" s="2" t="str">
        <f aca="false">INDEX(Segmentation!$J$2:$J$301,MATCH($A164,Segmentation!$A$2:$A$301,0))</f>
        <v>Tail</v>
      </c>
      <c r="G164" s="2" t="str">
        <f aca="false">INDEX(Segmentation!$N$2:$N$301,MATCH($A164,Segmentation!$A$2:$A$301,0))</f>
        <v>Lapsed</v>
      </c>
      <c r="H164" s="2" t="str">
        <f aca="false">INDEX(Segmentation!$T$2:$T$301,MATCH($A164,Segmentation!$A$2:$A$301,0))</f>
        <v>9. Long-Tail Automated Nurture</v>
      </c>
      <c r="I164" s="2" t="str">
        <f aca="false">INDEX(Segmentation!$G$2:$G$301,MATCH($A164,Segmentation!$A$2:$A$301,0))</f>
        <v>Low</v>
      </c>
      <c r="J164" s="9" t="n">
        <f aca="false">INDEX(Segmentation!$I$2:$I$301,MATCH($A164,Segmentation!$A$2:$A$301,0))</f>
        <v>240</v>
      </c>
      <c r="K164" s="2" t="n">
        <f aca="false">INDEX(Segmentation!$O$2:$O$301,MATCH($A164,Segmentation!$A$2:$A$301,0))</f>
        <v>1</v>
      </c>
      <c r="L164" s="2" t="n">
        <f aca="false">INDEX(Segmentation!$Q$2:$Q$301,MATCH($A164,Segmentation!$A$2:$A$301,0))</f>
        <v>1</v>
      </c>
      <c r="M164" s="2" t="n">
        <f aca="false">INDEX(Segmentation!$W$2:$W$301,MATCH($A164,Segmentation!$A$2:$A$301,0))</f>
        <v>1</v>
      </c>
      <c r="N164" s="2" t="str">
        <f aca="false">INDEX(Segmentation!$AF$2:$AF$301,MATCH($A164,Segmentation!$A$2:$A$301,0))</f>
        <v>Existing Customer</v>
      </c>
      <c r="O164" s="2" t="n">
        <f aca="false">INDEX(Segmentation!$R$2:$R$301,MATCH($A164,Segmentation!$A$2:$A$301,0))</f>
        <v>9</v>
      </c>
      <c r="P164" s="2" t="n">
        <v>94</v>
      </c>
      <c r="Q164" s="2" t="n">
        <f aca="false">INDEX(Segmentation!$S$2:$S$301,MATCH($A164,Segmentation!$A$2:$A$301,0))</f>
        <v>1</v>
      </c>
      <c r="R164" s="2" t="n">
        <v>0</v>
      </c>
      <c r="S164" s="2" t="n">
        <v>0</v>
      </c>
      <c r="T164" s="2" t="n">
        <v>0</v>
      </c>
      <c r="U164" s="2" t="n">
        <v>1</v>
      </c>
      <c r="V164" s="2" t="n">
        <v>100</v>
      </c>
      <c r="W164" s="2" t="str">
        <f aca="false">IF(V164=100,"Bundle-only",IF(V164=0,"Handpick-only","Mixed"))</f>
        <v>Bundle-only</v>
      </c>
      <c r="X164" s="17" t="n">
        <f aca="false">L164/K164</f>
        <v>1</v>
      </c>
      <c r="Y164" s="9" t="n">
        <f aca="false">J164/K164</f>
        <v>240</v>
      </c>
      <c r="Z164" s="10" t="b">
        <f aca="false">O164&gt;=Assumptions!$B$57</f>
        <v>0</v>
      </c>
      <c r="AA164" s="10" t="b">
        <f aca="false">P164&gt;=Assumptions!$B$58</f>
        <v>1</v>
      </c>
      <c r="AB164" s="10" t="b">
        <f aca="false">Q164&gt;=Assumptions!$B$59</f>
        <v>0</v>
      </c>
      <c r="AC164" s="2" t="n">
        <f aca="false">Z164*1+AA164*1+AB164*1</f>
        <v>1</v>
      </c>
      <c r="AD164" s="2" t="str">
        <f aca="false">IF(E164="Broker-Reliant","Broker-led, product-blind",IF(AND(I164="Low",F164&lt;&gt;"Tail",OR(G164="Declining",G164="Lapsed"),OR(O164&gt;=Assumptions!$B$60,P164&gt;=Assumptions!$B$61)),"Engaged but shrinking (Key/Core)",IF(AND(O164&gt;=Assumptions!$B$60,P164&gt;=Assumptions!$B$61,Q164&gt;=Assumptions!$B$62,K164&gt;=Assumptions!$B$63),"Independent browser-buyer",IF(AND(OR(O164&gt;=Assumptions!$B$60,P164&gt;=Assumptions!$B$61),K164&lt;=2),"Engaged, not converting",IF(AND(K164=1,O164&lt;Assumptions!$B$60,P164&lt;Assumptions!$B$61),"One-off low-touch buyer","Light-touch repeat buyer")))))</f>
        <v>One-off low-touch buyer</v>
      </c>
      <c r="AE164" s="10" t="b">
        <f aca="false">INDEX(Segmentation!$AW$2:$AW$301,MATCH($A164,Segmentation!$A$2:$A$301,0))</f>
        <v>0</v>
      </c>
    </row>
    <row r="165" customFormat="false" ht="15" hidden="false" customHeight="false" outlineLevel="0" collapsed="false">
      <c r="A165" s="2" t="s">
        <v>844</v>
      </c>
      <c r="B165" s="2" t="s">
        <v>1571</v>
      </c>
      <c r="C165" s="2" t="s">
        <v>1640</v>
      </c>
      <c r="D165" s="2" t="s">
        <v>1657</v>
      </c>
      <c r="E165" s="2" t="str">
        <f aca="false">INDEX(Segmentation!$H$2:$H$301,MATCH($A165,Segmentation!$A$2:$A$301,0))</f>
        <v>AM-Owned / Self-Serving</v>
      </c>
      <c r="F165" s="2" t="str">
        <f aca="false">INDEX(Segmentation!$J$2:$J$301,MATCH($A165,Segmentation!$A$2:$A$301,0))</f>
        <v>Tail</v>
      </c>
      <c r="G165" s="2" t="str">
        <f aca="false">INDEX(Segmentation!$N$2:$N$301,MATCH($A165,Segmentation!$A$2:$A$301,0))</f>
        <v>Lapsed</v>
      </c>
      <c r="H165" s="2" t="str">
        <f aca="false">INDEX(Segmentation!$T$2:$T$301,MATCH($A165,Segmentation!$A$2:$A$301,0))</f>
        <v>9. Long-Tail Automated Nurture</v>
      </c>
      <c r="I165" s="2" t="str">
        <f aca="false">INDEX(Segmentation!$G$2:$G$301,MATCH($A165,Segmentation!$A$2:$A$301,0))</f>
        <v>Low</v>
      </c>
      <c r="J165" s="9" t="n">
        <f aca="false">INDEX(Segmentation!$I$2:$I$301,MATCH($A165,Segmentation!$A$2:$A$301,0))</f>
        <v>230</v>
      </c>
      <c r="K165" s="2" t="n">
        <f aca="false">INDEX(Segmentation!$O$2:$O$301,MATCH($A165,Segmentation!$A$2:$A$301,0))</f>
        <v>1</v>
      </c>
      <c r="L165" s="2" t="n">
        <f aca="false">INDEX(Segmentation!$Q$2:$Q$301,MATCH($A165,Segmentation!$A$2:$A$301,0))</f>
        <v>1</v>
      </c>
      <c r="M165" s="2" t="n">
        <f aca="false">INDEX(Segmentation!$W$2:$W$301,MATCH($A165,Segmentation!$A$2:$A$301,0))</f>
        <v>1</v>
      </c>
      <c r="N165" s="2" t="str">
        <f aca="false">INDEX(Segmentation!$AF$2:$AF$301,MATCH($A165,Segmentation!$A$2:$A$301,0))</f>
        <v>Existing Customer</v>
      </c>
      <c r="O165" s="2" t="n">
        <f aca="false">INDEX(Segmentation!$R$2:$R$301,MATCH($A165,Segmentation!$A$2:$A$301,0))</f>
        <v>20</v>
      </c>
      <c r="P165" s="2" t="n">
        <v>443</v>
      </c>
      <c r="Q165" s="2" t="n">
        <f aca="false">INDEX(Segmentation!$S$2:$S$301,MATCH($A165,Segmentation!$A$2:$A$301,0))</f>
        <v>0</v>
      </c>
      <c r="R165" s="2" t="n">
        <v>3</v>
      </c>
      <c r="S165" s="2" t="n">
        <v>1</v>
      </c>
      <c r="T165" s="2" t="n">
        <v>0</v>
      </c>
      <c r="U165" s="2" t="n">
        <v>1</v>
      </c>
      <c r="V165" s="2" t="n">
        <v>100</v>
      </c>
      <c r="W165" s="2" t="str">
        <f aca="false">IF(V165=100,"Bundle-only",IF(V165=0,"Handpick-only","Mixed"))</f>
        <v>Bundle-only</v>
      </c>
      <c r="X165" s="17" t="n">
        <f aca="false">L165/K165</f>
        <v>1</v>
      </c>
      <c r="Y165" s="9" t="n">
        <f aca="false">J165/K165</f>
        <v>230</v>
      </c>
      <c r="Z165" s="10" t="b">
        <f aca="false">O165&gt;=Assumptions!$B$57</f>
        <v>1</v>
      </c>
      <c r="AA165" s="10" t="b">
        <f aca="false">P165&gt;=Assumptions!$B$58</f>
        <v>1</v>
      </c>
      <c r="AB165" s="10" t="b">
        <f aca="false">Q165&gt;=Assumptions!$B$59</f>
        <v>0</v>
      </c>
      <c r="AC165" s="2" t="n">
        <f aca="false">Z165*1+AA165*1+AB165*1</f>
        <v>2</v>
      </c>
      <c r="AD165" s="2" t="str">
        <f aca="false">IF(E165="Broker-Reliant","Broker-led, product-blind",IF(AND(I165="Low",F165&lt;&gt;"Tail",OR(G165="Declining",G165="Lapsed"),OR(O165&gt;=Assumptions!$B$60,P165&gt;=Assumptions!$B$61)),"Engaged but shrinking (Key/Core)",IF(AND(O165&gt;=Assumptions!$B$60,P165&gt;=Assumptions!$B$61,Q165&gt;=Assumptions!$B$62,K165&gt;=Assumptions!$B$63),"Independent browser-buyer",IF(AND(OR(O165&gt;=Assumptions!$B$60,P165&gt;=Assumptions!$B$61),K165&lt;=2),"Engaged, not converting",IF(AND(K165=1,O165&lt;Assumptions!$B$60,P165&lt;Assumptions!$B$61),"One-off low-touch buyer","Light-touch repeat buyer")))))</f>
        <v>Engaged, not converting</v>
      </c>
      <c r="AE165" s="10" t="b">
        <f aca="false">INDEX(Segmentation!$AW$2:$AW$301,MATCH($A165,Segmentation!$A$2:$A$301,0))</f>
        <v>0</v>
      </c>
    </row>
    <row r="166" customFormat="false" ht="15" hidden="false" customHeight="false" outlineLevel="0" collapsed="false">
      <c r="A166" s="2" t="s">
        <v>846</v>
      </c>
      <c r="B166" s="2" t="s">
        <v>1571</v>
      </c>
      <c r="C166" s="2" t="s">
        <v>1640</v>
      </c>
      <c r="D166" s="2" t="s">
        <v>1653</v>
      </c>
      <c r="E166" s="2" t="str">
        <f aca="false">INDEX(Segmentation!$H$2:$H$301,MATCH($A166,Segmentation!$A$2:$A$301,0))</f>
        <v>AM-Owned / Self-Serving</v>
      </c>
      <c r="F166" s="2" t="str">
        <f aca="false">INDEX(Segmentation!$J$2:$J$301,MATCH($A166,Segmentation!$A$2:$A$301,0))</f>
        <v>Tail</v>
      </c>
      <c r="G166" s="2" t="str">
        <f aca="false">INDEX(Segmentation!$N$2:$N$301,MATCH($A166,Segmentation!$A$2:$A$301,0))</f>
        <v>Lapsed</v>
      </c>
      <c r="H166" s="2" t="str">
        <f aca="false">INDEX(Segmentation!$T$2:$T$301,MATCH($A166,Segmentation!$A$2:$A$301,0))</f>
        <v>9. Long-Tail Automated Nurture</v>
      </c>
      <c r="I166" s="2" t="str">
        <f aca="false">INDEX(Segmentation!$G$2:$G$301,MATCH($A166,Segmentation!$A$2:$A$301,0))</f>
        <v>Low</v>
      </c>
      <c r="J166" s="9" t="n">
        <f aca="false">INDEX(Segmentation!$I$2:$I$301,MATCH($A166,Segmentation!$A$2:$A$301,0))</f>
        <v>222</v>
      </c>
      <c r="K166" s="2" t="n">
        <f aca="false">INDEX(Segmentation!$O$2:$O$301,MATCH($A166,Segmentation!$A$2:$A$301,0))</f>
        <v>2</v>
      </c>
      <c r="L166" s="2" t="n">
        <f aca="false">INDEX(Segmentation!$Q$2:$Q$301,MATCH($A166,Segmentation!$A$2:$A$301,0))</f>
        <v>2</v>
      </c>
      <c r="M166" s="2" t="n">
        <f aca="false">INDEX(Segmentation!$W$2:$W$301,MATCH($A166,Segmentation!$A$2:$A$301,0))</f>
        <v>2</v>
      </c>
      <c r="N166" s="2" t="str">
        <f aca="false">INDEX(Segmentation!$AF$2:$AF$301,MATCH($A166,Segmentation!$A$2:$A$301,0))</f>
        <v>Existing Customer</v>
      </c>
      <c r="O166" s="2" t="n">
        <f aca="false">INDEX(Segmentation!$R$2:$R$301,MATCH($A166,Segmentation!$A$2:$A$301,0))</f>
        <v>54</v>
      </c>
      <c r="P166" s="2" t="n">
        <v>390</v>
      </c>
      <c r="Q166" s="2" t="n">
        <f aca="false">INDEX(Segmentation!$S$2:$S$301,MATCH($A166,Segmentation!$A$2:$A$301,0))</f>
        <v>3</v>
      </c>
      <c r="R166" s="2" t="n">
        <v>3</v>
      </c>
      <c r="S166" s="2" t="n">
        <v>0</v>
      </c>
      <c r="T166" s="2" t="n">
        <v>1</v>
      </c>
      <c r="U166" s="2" t="n">
        <v>1</v>
      </c>
      <c r="V166" s="2" t="n">
        <v>50</v>
      </c>
      <c r="W166" s="2" t="str">
        <f aca="false">IF(V166=100,"Bundle-only",IF(V166=0,"Handpick-only","Mixed"))</f>
        <v>Mixed</v>
      </c>
      <c r="X166" s="17" t="n">
        <f aca="false">L166/K166</f>
        <v>1</v>
      </c>
      <c r="Y166" s="9" t="n">
        <f aca="false">J166/K166</f>
        <v>111</v>
      </c>
      <c r="Z166" s="10" t="b">
        <f aca="false">O166&gt;=Assumptions!$B$57</f>
        <v>1</v>
      </c>
      <c r="AA166" s="10" t="b">
        <f aca="false">P166&gt;=Assumptions!$B$58</f>
        <v>1</v>
      </c>
      <c r="AB166" s="10" t="b">
        <f aca="false">Q166&gt;=Assumptions!$B$59</f>
        <v>1</v>
      </c>
      <c r="AC166" s="2" t="n">
        <f aca="false">Z166*1+AA166*1+AB166*1</f>
        <v>3</v>
      </c>
      <c r="AD166" s="2" t="str">
        <f aca="false">IF(E166="Broker-Reliant","Broker-led, product-blind",IF(AND(I166="Low",F166&lt;&gt;"Tail",OR(G166="Declining",G166="Lapsed"),OR(O166&gt;=Assumptions!$B$60,P166&gt;=Assumptions!$B$61)),"Engaged but shrinking (Key/Core)",IF(AND(O166&gt;=Assumptions!$B$60,P166&gt;=Assumptions!$B$61,Q166&gt;=Assumptions!$B$62,K166&gt;=Assumptions!$B$63),"Independent browser-buyer",IF(AND(OR(O166&gt;=Assumptions!$B$60,P166&gt;=Assumptions!$B$61),K166&lt;=2),"Engaged, not converting",IF(AND(K166=1,O166&lt;Assumptions!$B$60,P166&lt;Assumptions!$B$61),"One-off low-touch buyer","Light-touch repeat buyer")))))</f>
        <v>Engaged, not converting</v>
      </c>
      <c r="AE166" s="10" t="b">
        <f aca="false">INDEX(Segmentation!$AW$2:$AW$301,MATCH($A166,Segmentation!$A$2:$A$301,0))</f>
        <v>0</v>
      </c>
    </row>
    <row r="167" customFormat="false" ht="15" hidden="false" customHeight="false" outlineLevel="0" collapsed="false">
      <c r="A167" s="2" t="s">
        <v>848</v>
      </c>
      <c r="B167" s="2" t="s">
        <v>1571</v>
      </c>
      <c r="C167" s="2" t="s">
        <v>1640</v>
      </c>
      <c r="D167" s="2" t="s">
        <v>1653</v>
      </c>
      <c r="E167" s="2" t="str">
        <f aca="false">INDEX(Segmentation!$H$2:$H$301,MATCH($A167,Segmentation!$A$2:$A$301,0))</f>
        <v>AM-Owned / Self-Serving</v>
      </c>
      <c r="F167" s="2" t="str">
        <f aca="false">INDEX(Segmentation!$J$2:$J$301,MATCH($A167,Segmentation!$A$2:$A$301,0))</f>
        <v>Tail</v>
      </c>
      <c r="G167" s="2" t="str">
        <f aca="false">INDEX(Segmentation!$N$2:$N$301,MATCH($A167,Segmentation!$A$2:$A$301,0))</f>
        <v>Lapsed</v>
      </c>
      <c r="H167" s="2" t="str">
        <f aca="false">INDEX(Segmentation!$T$2:$T$301,MATCH($A167,Segmentation!$A$2:$A$301,0))</f>
        <v>9. Long-Tail Automated Nurture</v>
      </c>
      <c r="I167" s="2" t="str">
        <f aca="false">INDEX(Segmentation!$G$2:$G$301,MATCH($A167,Segmentation!$A$2:$A$301,0))</f>
        <v>Low</v>
      </c>
      <c r="J167" s="9" t="n">
        <f aca="false">INDEX(Segmentation!$I$2:$I$301,MATCH($A167,Segmentation!$A$2:$A$301,0))</f>
        <v>217</v>
      </c>
      <c r="K167" s="2" t="n">
        <f aca="false">INDEX(Segmentation!$O$2:$O$301,MATCH($A167,Segmentation!$A$2:$A$301,0))</f>
        <v>2</v>
      </c>
      <c r="L167" s="2" t="n">
        <f aca="false">INDEX(Segmentation!$Q$2:$Q$301,MATCH($A167,Segmentation!$A$2:$A$301,0))</f>
        <v>2</v>
      </c>
      <c r="M167" s="2" t="n">
        <f aca="false">INDEX(Segmentation!$W$2:$W$301,MATCH($A167,Segmentation!$A$2:$A$301,0))</f>
        <v>2</v>
      </c>
      <c r="N167" s="2" t="str">
        <f aca="false">INDEX(Segmentation!$AF$2:$AF$301,MATCH($A167,Segmentation!$A$2:$A$301,0))</f>
        <v>Existing Customer</v>
      </c>
      <c r="O167" s="2" t="n">
        <f aca="false">INDEX(Segmentation!$R$2:$R$301,MATCH($A167,Segmentation!$A$2:$A$301,0))</f>
        <v>7</v>
      </c>
      <c r="P167" s="2" t="n">
        <v>68</v>
      </c>
      <c r="Q167" s="2" t="n">
        <f aca="false">INDEX(Segmentation!$S$2:$S$301,MATCH($A167,Segmentation!$A$2:$A$301,0))</f>
        <v>0</v>
      </c>
      <c r="R167" s="2" t="n">
        <v>1</v>
      </c>
      <c r="S167" s="2" t="n">
        <v>0</v>
      </c>
      <c r="T167" s="2" t="n">
        <v>0</v>
      </c>
      <c r="U167" s="2" t="n">
        <v>2</v>
      </c>
      <c r="V167" s="2" t="n">
        <v>100</v>
      </c>
      <c r="W167" s="2" t="str">
        <f aca="false">IF(V167=100,"Bundle-only",IF(V167=0,"Handpick-only","Mixed"))</f>
        <v>Bundle-only</v>
      </c>
      <c r="X167" s="17" t="n">
        <f aca="false">L167/K167</f>
        <v>1</v>
      </c>
      <c r="Y167" s="9" t="n">
        <f aca="false">J167/K167</f>
        <v>108.5</v>
      </c>
      <c r="Z167" s="10" t="b">
        <f aca="false">O167&gt;=Assumptions!$B$57</f>
        <v>0</v>
      </c>
      <c r="AA167" s="10" t="b">
        <f aca="false">P167&gt;=Assumptions!$B$58</f>
        <v>1</v>
      </c>
      <c r="AB167" s="10" t="b">
        <f aca="false">Q167&gt;=Assumptions!$B$59</f>
        <v>0</v>
      </c>
      <c r="AC167" s="2" t="n">
        <f aca="false">Z167*1+AA167*1+AB167*1</f>
        <v>1</v>
      </c>
      <c r="AD167" s="2" t="str">
        <f aca="false">IF(E167="Broker-Reliant","Broker-led, product-blind",IF(AND(I167="Low",F167&lt;&gt;"Tail",OR(G167="Declining",G167="Lapsed"),OR(O167&gt;=Assumptions!$B$60,P167&gt;=Assumptions!$B$61)),"Engaged but shrinking (Key/Core)",IF(AND(O167&gt;=Assumptions!$B$60,P167&gt;=Assumptions!$B$61,Q167&gt;=Assumptions!$B$62,K167&gt;=Assumptions!$B$63),"Independent browser-buyer",IF(AND(OR(O167&gt;=Assumptions!$B$60,P167&gt;=Assumptions!$B$61),K167&lt;=2),"Engaged, not converting",IF(AND(K167=1,O167&lt;Assumptions!$B$60,P167&lt;Assumptions!$B$61),"One-off low-touch buyer","Light-touch repeat buyer")))))</f>
        <v>Light-touch repeat buyer</v>
      </c>
      <c r="AE167" s="10" t="b">
        <f aca="false">INDEX(Segmentation!$AW$2:$AW$301,MATCH($A167,Segmentation!$A$2:$A$301,0))</f>
        <v>0</v>
      </c>
    </row>
    <row r="168" customFormat="false" ht="15" hidden="false" customHeight="false" outlineLevel="0" collapsed="false">
      <c r="A168" s="2" t="s">
        <v>858</v>
      </c>
      <c r="B168" s="2" t="s">
        <v>1571</v>
      </c>
      <c r="C168" s="2" t="s">
        <v>1640</v>
      </c>
      <c r="D168" s="2" t="s">
        <v>1653</v>
      </c>
      <c r="E168" s="2" t="str">
        <f aca="false">INDEX(Segmentation!$H$2:$H$301,MATCH($A168,Segmentation!$A$2:$A$301,0))</f>
        <v>AM-Owned / Self-Serving</v>
      </c>
      <c r="F168" s="2" t="str">
        <f aca="false">INDEX(Segmentation!$J$2:$J$301,MATCH($A168,Segmentation!$A$2:$A$301,0))</f>
        <v>Tail</v>
      </c>
      <c r="G168" s="2" t="str">
        <f aca="false">INDEX(Segmentation!$N$2:$N$301,MATCH($A168,Segmentation!$A$2:$A$301,0))</f>
        <v>Lapsed</v>
      </c>
      <c r="H168" s="2" t="str">
        <f aca="false">INDEX(Segmentation!$T$2:$T$301,MATCH($A168,Segmentation!$A$2:$A$301,0))</f>
        <v>9. Long-Tail Automated Nurture</v>
      </c>
      <c r="I168" s="2" t="str">
        <f aca="false">INDEX(Segmentation!$G$2:$G$301,MATCH($A168,Segmentation!$A$2:$A$301,0))</f>
        <v>Low</v>
      </c>
      <c r="J168" s="9" t="n">
        <f aca="false">INDEX(Segmentation!$I$2:$I$301,MATCH($A168,Segmentation!$A$2:$A$301,0))</f>
        <v>209</v>
      </c>
      <c r="K168" s="2" t="n">
        <f aca="false">INDEX(Segmentation!$O$2:$O$301,MATCH($A168,Segmentation!$A$2:$A$301,0))</f>
        <v>1</v>
      </c>
      <c r="L168" s="2" t="n">
        <f aca="false">INDEX(Segmentation!$Q$2:$Q$301,MATCH($A168,Segmentation!$A$2:$A$301,0))</f>
        <v>1</v>
      </c>
      <c r="M168" s="2" t="n">
        <f aca="false">INDEX(Segmentation!$W$2:$W$301,MATCH($A168,Segmentation!$A$2:$A$301,0))</f>
        <v>1</v>
      </c>
      <c r="N168" s="2" t="str">
        <f aca="false">INDEX(Segmentation!$AF$2:$AF$301,MATCH($A168,Segmentation!$A$2:$A$301,0))</f>
        <v>Existing Customer</v>
      </c>
      <c r="O168" s="2" t="n">
        <f aca="false">INDEX(Segmentation!$R$2:$R$301,MATCH($A168,Segmentation!$A$2:$A$301,0))</f>
        <v>9</v>
      </c>
      <c r="P168" s="2" t="n">
        <v>76</v>
      </c>
      <c r="Q168" s="2" t="n">
        <f aca="false">INDEX(Segmentation!$S$2:$S$301,MATCH($A168,Segmentation!$A$2:$A$301,0))</f>
        <v>5</v>
      </c>
      <c r="R168" s="2" t="n">
        <v>4</v>
      </c>
      <c r="S168" s="2" t="n">
        <v>0</v>
      </c>
      <c r="T168" s="2" t="n">
        <v>0</v>
      </c>
      <c r="U168" s="2" t="n">
        <v>1</v>
      </c>
      <c r="V168" s="2" t="n">
        <v>100</v>
      </c>
      <c r="W168" s="2" t="str">
        <f aca="false">IF(V168=100,"Bundle-only",IF(V168=0,"Handpick-only","Mixed"))</f>
        <v>Bundle-only</v>
      </c>
      <c r="X168" s="17" t="n">
        <f aca="false">L168/K168</f>
        <v>1</v>
      </c>
      <c r="Y168" s="9" t="n">
        <f aca="false">J168/K168</f>
        <v>209</v>
      </c>
      <c r="Z168" s="10" t="b">
        <f aca="false">O168&gt;=Assumptions!$B$57</f>
        <v>0</v>
      </c>
      <c r="AA168" s="10" t="b">
        <f aca="false">P168&gt;=Assumptions!$B$58</f>
        <v>1</v>
      </c>
      <c r="AB168" s="10" t="b">
        <f aca="false">Q168&gt;=Assumptions!$B$59</f>
        <v>1</v>
      </c>
      <c r="AC168" s="2" t="n">
        <f aca="false">Z168*1+AA168*1+AB168*1</f>
        <v>2</v>
      </c>
      <c r="AD168" s="2" t="str">
        <f aca="false">IF(E168="Broker-Reliant","Broker-led, product-blind",IF(AND(I168="Low",F168&lt;&gt;"Tail",OR(G168="Declining",G168="Lapsed"),OR(O168&gt;=Assumptions!$B$60,P168&gt;=Assumptions!$B$61)),"Engaged but shrinking (Key/Core)",IF(AND(O168&gt;=Assumptions!$B$60,P168&gt;=Assumptions!$B$61,Q168&gt;=Assumptions!$B$62,K168&gt;=Assumptions!$B$63),"Independent browser-buyer",IF(AND(OR(O168&gt;=Assumptions!$B$60,P168&gt;=Assumptions!$B$61),K168&lt;=2),"Engaged, not converting",IF(AND(K168=1,O168&lt;Assumptions!$B$60,P168&lt;Assumptions!$B$61),"One-off low-touch buyer","Light-touch repeat buyer")))))</f>
        <v>One-off low-touch buyer</v>
      </c>
      <c r="AE168" s="10" t="b">
        <f aca="false">INDEX(Segmentation!$AW$2:$AW$301,MATCH($A168,Segmentation!$A$2:$A$301,0))</f>
        <v>0</v>
      </c>
    </row>
    <row r="169" customFormat="false" ht="15" hidden="false" customHeight="false" outlineLevel="0" collapsed="false">
      <c r="A169" s="2" t="s">
        <v>862</v>
      </c>
      <c r="B169" s="2" t="s">
        <v>1571</v>
      </c>
      <c r="C169" s="2" t="s">
        <v>1640</v>
      </c>
      <c r="D169" s="2" t="s">
        <v>1653</v>
      </c>
      <c r="E169" s="2" t="str">
        <f aca="false">INDEX(Segmentation!$H$2:$H$301,MATCH($A169,Segmentation!$A$2:$A$301,0))</f>
        <v>AM-Owned / Self-Serving</v>
      </c>
      <c r="F169" s="2" t="str">
        <f aca="false">INDEX(Segmentation!$J$2:$J$301,MATCH($A169,Segmentation!$A$2:$A$301,0))</f>
        <v>Tail</v>
      </c>
      <c r="G169" s="2" t="str">
        <f aca="false">INDEX(Segmentation!$N$2:$N$301,MATCH($A169,Segmentation!$A$2:$A$301,0))</f>
        <v>Lapsed</v>
      </c>
      <c r="H169" s="2" t="str">
        <f aca="false">INDEX(Segmentation!$T$2:$T$301,MATCH($A169,Segmentation!$A$2:$A$301,0))</f>
        <v>9. Long-Tail Automated Nurture</v>
      </c>
      <c r="I169" s="2" t="str">
        <f aca="false">INDEX(Segmentation!$G$2:$G$301,MATCH($A169,Segmentation!$A$2:$A$301,0))</f>
        <v>Low</v>
      </c>
      <c r="J169" s="9" t="n">
        <f aca="false">INDEX(Segmentation!$I$2:$I$301,MATCH($A169,Segmentation!$A$2:$A$301,0))</f>
        <v>200</v>
      </c>
      <c r="K169" s="2" t="n">
        <f aca="false">INDEX(Segmentation!$O$2:$O$301,MATCH($A169,Segmentation!$A$2:$A$301,0))</f>
        <v>1</v>
      </c>
      <c r="L169" s="2" t="n">
        <f aca="false">INDEX(Segmentation!$Q$2:$Q$301,MATCH($A169,Segmentation!$A$2:$A$301,0))</f>
        <v>1</v>
      </c>
      <c r="M169" s="2" t="n">
        <f aca="false">INDEX(Segmentation!$W$2:$W$301,MATCH($A169,Segmentation!$A$2:$A$301,0))</f>
        <v>1</v>
      </c>
      <c r="N169" s="2" t="str">
        <f aca="false">INDEX(Segmentation!$AF$2:$AF$301,MATCH($A169,Segmentation!$A$2:$A$301,0))</f>
        <v>Existing Customer</v>
      </c>
      <c r="O169" s="2" t="n">
        <f aca="false">INDEX(Segmentation!$R$2:$R$301,MATCH($A169,Segmentation!$A$2:$A$301,0))</f>
        <v>8</v>
      </c>
      <c r="P169" s="2" t="n">
        <v>66</v>
      </c>
      <c r="Q169" s="2" t="n">
        <f aca="false">INDEX(Segmentation!$S$2:$S$301,MATCH($A169,Segmentation!$A$2:$A$301,0))</f>
        <v>0</v>
      </c>
      <c r="R169" s="2" t="n">
        <v>1</v>
      </c>
      <c r="S169" s="2" t="n">
        <v>0</v>
      </c>
      <c r="T169" s="2" t="n">
        <v>0</v>
      </c>
      <c r="U169" s="2" t="n">
        <v>1</v>
      </c>
      <c r="V169" s="2" t="n">
        <v>100</v>
      </c>
      <c r="W169" s="2" t="str">
        <f aca="false">IF(V169=100,"Bundle-only",IF(V169=0,"Handpick-only","Mixed"))</f>
        <v>Bundle-only</v>
      </c>
      <c r="X169" s="17" t="n">
        <f aca="false">L169/K169</f>
        <v>1</v>
      </c>
      <c r="Y169" s="9" t="n">
        <f aca="false">J169/K169</f>
        <v>200</v>
      </c>
      <c r="Z169" s="10" t="b">
        <f aca="false">O169&gt;=Assumptions!$B$57</f>
        <v>0</v>
      </c>
      <c r="AA169" s="10" t="b">
        <f aca="false">P169&gt;=Assumptions!$B$58</f>
        <v>1</v>
      </c>
      <c r="AB169" s="10" t="b">
        <f aca="false">Q169&gt;=Assumptions!$B$59</f>
        <v>0</v>
      </c>
      <c r="AC169" s="2" t="n">
        <f aca="false">Z169*1+AA169*1+AB169*1</f>
        <v>1</v>
      </c>
      <c r="AD169" s="2" t="str">
        <f aca="false">IF(E169="Broker-Reliant","Broker-led, product-blind",IF(AND(I169="Low",F169&lt;&gt;"Tail",OR(G169="Declining",G169="Lapsed"),OR(O169&gt;=Assumptions!$B$60,P169&gt;=Assumptions!$B$61)),"Engaged but shrinking (Key/Core)",IF(AND(O169&gt;=Assumptions!$B$60,P169&gt;=Assumptions!$B$61,Q169&gt;=Assumptions!$B$62,K169&gt;=Assumptions!$B$63),"Independent browser-buyer",IF(AND(OR(O169&gt;=Assumptions!$B$60,P169&gt;=Assumptions!$B$61),K169&lt;=2),"Engaged, not converting",IF(AND(K169=1,O169&lt;Assumptions!$B$60,P169&lt;Assumptions!$B$61),"One-off low-touch buyer","Light-touch repeat buyer")))))</f>
        <v>One-off low-touch buyer</v>
      </c>
      <c r="AE169" s="10" t="b">
        <f aca="false">INDEX(Segmentation!$AW$2:$AW$301,MATCH($A169,Segmentation!$A$2:$A$301,0))</f>
        <v>0</v>
      </c>
    </row>
    <row r="170" customFormat="false" ht="15" hidden="false" customHeight="false" outlineLevel="0" collapsed="false">
      <c r="A170" s="2" t="s">
        <v>864</v>
      </c>
      <c r="B170" s="2" t="s">
        <v>1571</v>
      </c>
      <c r="C170" s="2" t="s">
        <v>1641</v>
      </c>
      <c r="D170" s="2" t="s">
        <v>1653</v>
      </c>
      <c r="E170" s="2" t="str">
        <f aca="false">INDEX(Segmentation!$H$2:$H$301,MATCH($A170,Segmentation!$A$2:$A$301,0))</f>
        <v>AM-Owned / Self-Serving</v>
      </c>
      <c r="F170" s="2" t="str">
        <f aca="false">INDEX(Segmentation!$J$2:$J$301,MATCH($A170,Segmentation!$A$2:$A$301,0))</f>
        <v>Tail</v>
      </c>
      <c r="G170" s="2" t="str">
        <f aca="false">INDEX(Segmentation!$N$2:$N$301,MATCH($A170,Segmentation!$A$2:$A$301,0))</f>
        <v>Lapsed</v>
      </c>
      <c r="H170" s="2" t="str">
        <f aca="false">INDEX(Segmentation!$T$2:$T$301,MATCH($A170,Segmentation!$A$2:$A$301,0))</f>
        <v>9. Long-Tail Automated Nurture</v>
      </c>
      <c r="I170" s="2" t="str">
        <f aca="false">INDEX(Segmentation!$G$2:$G$301,MATCH($A170,Segmentation!$A$2:$A$301,0))</f>
        <v>Low</v>
      </c>
      <c r="J170" s="9" t="n">
        <f aca="false">INDEX(Segmentation!$I$2:$I$301,MATCH($A170,Segmentation!$A$2:$A$301,0))</f>
        <v>200</v>
      </c>
      <c r="K170" s="2" t="n">
        <f aca="false">INDEX(Segmentation!$O$2:$O$301,MATCH($A170,Segmentation!$A$2:$A$301,0))</f>
        <v>1</v>
      </c>
      <c r="L170" s="2" t="n">
        <f aca="false">INDEX(Segmentation!$Q$2:$Q$301,MATCH($A170,Segmentation!$A$2:$A$301,0))</f>
        <v>1</v>
      </c>
      <c r="M170" s="2" t="n">
        <f aca="false">INDEX(Segmentation!$W$2:$W$301,MATCH($A170,Segmentation!$A$2:$A$301,0))</f>
        <v>1</v>
      </c>
      <c r="N170" s="2" t="str">
        <f aca="false">INDEX(Segmentation!$AF$2:$AF$301,MATCH($A170,Segmentation!$A$2:$A$301,0))</f>
        <v>Existing Customer</v>
      </c>
      <c r="O170" s="2" t="n">
        <f aca="false">INDEX(Segmentation!$R$2:$R$301,MATCH($A170,Segmentation!$A$2:$A$301,0))</f>
        <v>6</v>
      </c>
      <c r="P170" s="2" t="n">
        <v>254</v>
      </c>
      <c r="Q170" s="2" t="n">
        <f aca="false">INDEX(Segmentation!$S$2:$S$301,MATCH($A170,Segmentation!$A$2:$A$301,0))</f>
        <v>0</v>
      </c>
      <c r="R170" s="2" t="n">
        <v>0</v>
      </c>
      <c r="S170" s="2" t="n">
        <v>0</v>
      </c>
      <c r="T170" s="2" t="n">
        <v>0</v>
      </c>
      <c r="U170" s="2" t="n">
        <v>1</v>
      </c>
      <c r="V170" s="2" t="n">
        <v>100</v>
      </c>
      <c r="W170" s="2" t="str">
        <f aca="false">IF(V170=100,"Bundle-only",IF(V170=0,"Handpick-only","Mixed"))</f>
        <v>Bundle-only</v>
      </c>
      <c r="X170" s="17" t="n">
        <f aca="false">L170/K170</f>
        <v>1</v>
      </c>
      <c r="Y170" s="9" t="n">
        <f aca="false">J170/K170</f>
        <v>200</v>
      </c>
      <c r="Z170" s="10" t="b">
        <f aca="false">O170&gt;=Assumptions!$B$57</f>
        <v>0</v>
      </c>
      <c r="AA170" s="10" t="b">
        <f aca="false">P170&gt;=Assumptions!$B$58</f>
        <v>1</v>
      </c>
      <c r="AB170" s="10" t="b">
        <f aca="false">Q170&gt;=Assumptions!$B$59</f>
        <v>0</v>
      </c>
      <c r="AC170" s="2" t="n">
        <f aca="false">Z170*1+AA170*1+AB170*1</f>
        <v>1</v>
      </c>
      <c r="AD170" s="2" t="str">
        <f aca="false">IF(E170="Broker-Reliant","Broker-led, product-blind",IF(AND(I170="Low",F170&lt;&gt;"Tail",OR(G170="Declining",G170="Lapsed"),OR(O170&gt;=Assumptions!$B$60,P170&gt;=Assumptions!$B$61)),"Engaged but shrinking (Key/Core)",IF(AND(O170&gt;=Assumptions!$B$60,P170&gt;=Assumptions!$B$61,Q170&gt;=Assumptions!$B$62,K170&gt;=Assumptions!$B$63),"Independent browser-buyer",IF(AND(OR(O170&gt;=Assumptions!$B$60,P170&gt;=Assumptions!$B$61),K170&lt;=2),"Engaged, not converting",IF(AND(K170=1,O170&lt;Assumptions!$B$60,P170&lt;Assumptions!$B$61),"One-off low-touch buyer","Light-touch repeat buyer")))))</f>
        <v>Engaged, not converting</v>
      </c>
      <c r="AE170" s="10" t="b">
        <f aca="false">INDEX(Segmentation!$AW$2:$AW$301,MATCH($A170,Segmentation!$A$2:$A$301,0))</f>
        <v>0</v>
      </c>
    </row>
    <row r="171" customFormat="false" ht="15" hidden="false" customHeight="false" outlineLevel="0" collapsed="false">
      <c r="A171" s="2" t="s">
        <v>866</v>
      </c>
      <c r="B171" s="2" t="s">
        <v>1571</v>
      </c>
      <c r="C171" s="2" t="s">
        <v>1640</v>
      </c>
      <c r="D171" s="2" t="s">
        <v>1657</v>
      </c>
      <c r="E171" s="2" t="str">
        <f aca="false">INDEX(Segmentation!$H$2:$H$301,MATCH($A171,Segmentation!$A$2:$A$301,0))</f>
        <v>AM-Owned / Self-Serving</v>
      </c>
      <c r="F171" s="2" t="str">
        <f aca="false">INDEX(Segmentation!$J$2:$J$301,MATCH($A171,Segmentation!$A$2:$A$301,0))</f>
        <v>Tail</v>
      </c>
      <c r="G171" s="2" t="str">
        <f aca="false">INDEX(Segmentation!$N$2:$N$301,MATCH($A171,Segmentation!$A$2:$A$301,0))</f>
        <v>Lapsed</v>
      </c>
      <c r="H171" s="2" t="str">
        <f aca="false">INDEX(Segmentation!$T$2:$T$301,MATCH($A171,Segmentation!$A$2:$A$301,0))</f>
        <v>9. Long-Tail Automated Nurture</v>
      </c>
      <c r="I171" s="2" t="str">
        <f aca="false">INDEX(Segmentation!$G$2:$G$301,MATCH($A171,Segmentation!$A$2:$A$301,0))</f>
        <v>Low</v>
      </c>
      <c r="J171" s="9" t="n">
        <f aca="false">INDEX(Segmentation!$I$2:$I$301,MATCH($A171,Segmentation!$A$2:$A$301,0))</f>
        <v>196</v>
      </c>
      <c r="K171" s="2" t="n">
        <f aca="false">INDEX(Segmentation!$O$2:$O$301,MATCH($A171,Segmentation!$A$2:$A$301,0))</f>
        <v>1</v>
      </c>
      <c r="L171" s="2" t="n">
        <f aca="false">INDEX(Segmentation!$Q$2:$Q$301,MATCH($A171,Segmentation!$A$2:$A$301,0))</f>
        <v>1</v>
      </c>
      <c r="M171" s="2" t="n">
        <f aca="false">INDEX(Segmentation!$W$2:$W$301,MATCH($A171,Segmentation!$A$2:$A$301,0))</f>
        <v>1</v>
      </c>
      <c r="N171" s="2" t="str">
        <f aca="false">INDEX(Segmentation!$AF$2:$AF$301,MATCH($A171,Segmentation!$A$2:$A$301,0))</f>
        <v>Existing Customer</v>
      </c>
      <c r="O171" s="2" t="n">
        <f aca="false">INDEX(Segmentation!$R$2:$R$301,MATCH($A171,Segmentation!$A$2:$A$301,0))</f>
        <v>5</v>
      </c>
      <c r="P171" s="2" t="n">
        <v>94</v>
      </c>
      <c r="Q171" s="2" t="n">
        <f aca="false">INDEX(Segmentation!$S$2:$S$301,MATCH($A171,Segmentation!$A$2:$A$301,0))</f>
        <v>0</v>
      </c>
      <c r="R171" s="2" t="n">
        <v>1</v>
      </c>
      <c r="S171" s="2" t="n">
        <v>0</v>
      </c>
      <c r="T171" s="2" t="n">
        <v>1</v>
      </c>
      <c r="U171" s="2" t="n">
        <v>0</v>
      </c>
      <c r="V171" s="2" t="n">
        <v>0</v>
      </c>
      <c r="W171" s="2" t="str">
        <f aca="false">IF(V171=100,"Bundle-only",IF(V171=0,"Handpick-only","Mixed"))</f>
        <v>Handpick-only</v>
      </c>
      <c r="X171" s="17" t="n">
        <f aca="false">L171/K171</f>
        <v>1</v>
      </c>
      <c r="Y171" s="9" t="n">
        <f aca="false">J171/K171</f>
        <v>196</v>
      </c>
      <c r="Z171" s="10" t="b">
        <f aca="false">O171&gt;=Assumptions!$B$57</f>
        <v>0</v>
      </c>
      <c r="AA171" s="10" t="b">
        <f aca="false">P171&gt;=Assumptions!$B$58</f>
        <v>1</v>
      </c>
      <c r="AB171" s="10" t="b">
        <f aca="false">Q171&gt;=Assumptions!$B$59</f>
        <v>0</v>
      </c>
      <c r="AC171" s="2" t="n">
        <f aca="false">Z171*1+AA171*1+AB171*1</f>
        <v>1</v>
      </c>
      <c r="AD171" s="2" t="str">
        <f aca="false">IF(E171="Broker-Reliant","Broker-led, product-blind",IF(AND(I171="Low",F171&lt;&gt;"Tail",OR(G171="Declining",G171="Lapsed"),OR(O171&gt;=Assumptions!$B$60,P171&gt;=Assumptions!$B$61)),"Engaged but shrinking (Key/Core)",IF(AND(O171&gt;=Assumptions!$B$60,P171&gt;=Assumptions!$B$61,Q171&gt;=Assumptions!$B$62,K171&gt;=Assumptions!$B$63),"Independent browser-buyer",IF(AND(OR(O171&gt;=Assumptions!$B$60,P171&gt;=Assumptions!$B$61),K171&lt;=2),"Engaged, not converting",IF(AND(K171=1,O171&lt;Assumptions!$B$60,P171&lt;Assumptions!$B$61),"One-off low-touch buyer","Light-touch repeat buyer")))))</f>
        <v>One-off low-touch buyer</v>
      </c>
      <c r="AE171" s="10" t="b">
        <f aca="false">INDEX(Segmentation!$AW$2:$AW$301,MATCH($A171,Segmentation!$A$2:$A$301,0))</f>
        <v>0</v>
      </c>
    </row>
    <row r="172" customFormat="false" ht="15" hidden="false" customHeight="false" outlineLevel="0" collapsed="false">
      <c r="A172" s="2" t="s">
        <v>870</v>
      </c>
      <c r="B172" s="2" t="s">
        <v>1571</v>
      </c>
      <c r="C172" s="2" t="s">
        <v>1640</v>
      </c>
      <c r="D172" s="2" t="s">
        <v>1653</v>
      </c>
      <c r="E172" s="2" t="str">
        <f aca="false">INDEX(Segmentation!$H$2:$H$301,MATCH($A172,Segmentation!$A$2:$A$301,0))</f>
        <v>AM-Owned / Self-Serving</v>
      </c>
      <c r="F172" s="2" t="str">
        <f aca="false">INDEX(Segmentation!$J$2:$J$301,MATCH($A172,Segmentation!$A$2:$A$301,0))</f>
        <v>Tail</v>
      </c>
      <c r="G172" s="2" t="str">
        <f aca="false">INDEX(Segmentation!$N$2:$N$301,MATCH($A172,Segmentation!$A$2:$A$301,0))</f>
        <v>Lapsed</v>
      </c>
      <c r="H172" s="2" t="str">
        <f aca="false">INDEX(Segmentation!$T$2:$T$301,MATCH($A172,Segmentation!$A$2:$A$301,0))</f>
        <v>9. Long-Tail Automated Nurture</v>
      </c>
      <c r="I172" s="2" t="str">
        <f aca="false">INDEX(Segmentation!$G$2:$G$301,MATCH($A172,Segmentation!$A$2:$A$301,0))</f>
        <v>Low</v>
      </c>
      <c r="J172" s="9" t="n">
        <f aca="false">INDEX(Segmentation!$I$2:$I$301,MATCH($A172,Segmentation!$A$2:$A$301,0))</f>
        <v>192</v>
      </c>
      <c r="K172" s="2" t="n">
        <f aca="false">INDEX(Segmentation!$O$2:$O$301,MATCH($A172,Segmentation!$A$2:$A$301,0))</f>
        <v>1</v>
      </c>
      <c r="L172" s="2" t="n">
        <f aca="false">INDEX(Segmentation!$Q$2:$Q$301,MATCH($A172,Segmentation!$A$2:$A$301,0))</f>
        <v>1</v>
      </c>
      <c r="M172" s="2" t="n">
        <f aca="false">INDEX(Segmentation!$W$2:$W$301,MATCH($A172,Segmentation!$A$2:$A$301,0))</f>
        <v>1</v>
      </c>
      <c r="N172" s="2" t="str">
        <f aca="false">INDEX(Segmentation!$AF$2:$AF$301,MATCH($A172,Segmentation!$A$2:$A$301,0))</f>
        <v>Existing Customer</v>
      </c>
      <c r="O172" s="2" t="n">
        <f aca="false">INDEX(Segmentation!$R$2:$R$301,MATCH($A172,Segmentation!$A$2:$A$301,0))</f>
        <v>3</v>
      </c>
      <c r="P172" s="2" t="n">
        <v>226</v>
      </c>
      <c r="Q172" s="2" t="n">
        <f aca="false">INDEX(Segmentation!$S$2:$S$301,MATCH($A172,Segmentation!$A$2:$A$301,0))</f>
        <v>0</v>
      </c>
      <c r="R172" s="2" t="n">
        <v>0</v>
      </c>
      <c r="S172" s="2" t="n">
        <v>0</v>
      </c>
      <c r="T172" s="2" t="n">
        <v>0</v>
      </c>
      <c r="U172" s="2" t="n">
        <v>1</v>
      </c>
      <c r="V172" s="2" t="n">
        <v>100</v>
      </c>
      <c r="W172" s="2" t="str">
        <f aca="false">IF(V172=100,"Bundle-only",IF(V172=0,"Handpick-only","Mixed"))</f>
        <v>Bundle-only</v>
      </c>
      <c r="X172" s="17" t="n">
        <f aca="false">L172/K172</f>
        <v>1</v>
      </c>
      <c r="Y172" s="9" t="n">
        <f aca="false">J172/K172</f>
        <v>192</v>
      </c>
      <c r="Z172" s="10" t="b">
        <f aca="false">O172&gt;=Assumptions!$B$57</f>
        <v>0</v>
      </c>
      <c r="AA172" s="10" t="b">
        <f aca="false">P172&gt;=Assumptions!$B$58</f>
        <v>1</v>
      </c>
      <c r="AB172" s="10" t="b">
        <f aca="false">Q172&gt;=Assumptions!$B$59</f>
        <v>0</v>
      </c>
      <c r="AC172" s="2" t="n">
        <f aca="false">Z172*1+AA172*1+AB172*1</f>
        <v>1</v>
      </c>
      <c r="AD172" s="2" t="str">
        <f aca="false">IF(E172="Broker-Reliant","Broker-led, product-blind",IF(AND(I172="Low",F172&lt;&gt;"Tail",OR(G172="Declining",G172="Lapsed"),OR(O172&gt;=Assumptions!$B$60,P172&gt;=Assumptions!$B$61)),"Engaged but shrinking (Key/Core)",IF(AND(O172&gt;=Assumptions!$B$60,P172&gt;=Assumptions!$B$61,Q172&gt;=Assumptions!$B$62,K172&gt;=Assumptions!$B$63),"Independent browser-buyer",IF(AND(OR(O172&gt;=Assumptions!$B$60,P172&gt;=Assumptions!$B$61),K172&lt;=2),"Engaged, not converting",IF(AND(K172=1,O172&lt;Assumptions!$B$60,P172&lt;Assumptions!$B$61),"One-off low-touch buyer","Light-touch repeat buyer")))))</f>
        <v>Engaged, not converting</v>
      </c>
      <c r="AE172" s="10" t="b">
        <f aca="false">INDEX(Segmentation!$AW$2:$AW$301,MATCH($A172,Segmentation!$A$2:$A$301,0))</f>
        <v>0</v>
      </c>
    </row>
    <row r="173" customFormat="false" ht="15" hidden="false" customHeight="false" outlineLevel="0" collapsed="false">
      <c r="A173" s="2" t="s">
        <v>874</v>
      </c>
      <c r="B173" s="2" t="s">
        <v>1571</v>
      </c>
      <c r="C173" s="2" t="s">
        <v>1640</v>
      </c>
      <c r="D173" s="2" t="s">
        <v>1657</v>
      </c>
      <c r="E173" s="2" t="str">
        <f aca="false">INDEX(Segmentation!$H$2:$H$301,MATCH($A173,Segmentation!$A$2:$A$301,0))</f>
        <v>AM-Owned / Self-Serving</v>
      </c>
      <c r="F173" s="2" t="str">
        <f aca="false">INDEX(Segmentation!$J$2:$J$301,MATCH($A173,Segmentation!$A$2:$A$301,0))</f>
        <v>Tail</v>
      </c>
      <c r="G173" s="2" t="str">
        <f aca="false">INDEX(Segmentation!$N$2:$N$301,MATCH($A173,Segmentation!$A$2:$A$301,0))</f>
        <v>Lapsed</v>
      </c>
      <c r="H173" s="2" t="str">
        <f aca="false">INDEX(Segmentation!$T$2:$T$301,MATCH($A173,Segmentation!$A$2:$A$301,0))</f>
        <v>9. Long-Tail Automated Nurture</v>
      </c>
      <c r="I173" s="2" t="str">
        <f aca="false">INDEX(Segmentation!$G$2:$G$301,MATCH($A173,Segmentation!$A$2:$A$301,0))</f>
        <v>Low</v>
      </c>
      <c r="J173" s="9" t="n">
        <f aca="false">INDEX(Segmentation!$I$2:$I$301,MATCH($A173,Segmentation!$A$2:$A$301,0))</f>
        <v>186</v>
      </c>
      <c r="K173" s="2" t="n">
        <f aca="false">INDEX(Segmentation!$O$2:$O$301,MATCH($A173,Segmentation!$A$2:$A$301,0))</f>
        <v>1</v>
      </c>
      <c r="L173" s="2" t="n">
        <f aca="false">INDEX(Segmentation!$Q$2:$Q$301,MATCH($A173,Segmentation!$A$2:$A$301,0))</f>
        <v>1</v>
      </c>
      <c r="M173" s="2" t="n">
        <f aca="false">INDEX(Segmentation!$W$2:$W$301,MATCH($A173,Segmentation!$A$2:$A$301,0))</f>
        <v>1</v>
      </c>
      <c r="N173" s="2" t="str">
        <f aca="false">INDEX(Segmentation!$AF$2:$AF$301,MATCH($A173,Segmentation!$A$2:$A$301,0))</f>
        <v>Existing Customer</v>
      </c>
      <c r="O173" s="2" t="n">
        <f aca="false">INDEX(Segmentation!$R$2:$R$301,MATCH($A173,Segmentation!$A$2:$A$301,0))</f>
        <v>3</v>
      </c>
      <c r="P173" s="2" t="n">
        <v>40</v>
      </c>
      <c r="Q173" s="2" t="n">
        <f aca="false">INDEX(Segmentation!$S$2:$S$301,MATCH($A173,Segmentation!$A$2:$A$301,0))</f>
        <v>1</v>
      </c>
      <c r="R173" s="2" t="n">
        <v>0</v>
      </c>
      <c r="S173" s="2" t="n">
        <v>0</v>
      </c>
      <c r="T173" s="2" t="n">
        <v>0</v>
      </c>
      <c r="U173" s="2" t="n">
        <v>1</v>
      </c>
      <c r="V173" s="2" t="n">
        <v>100</v>
      </c>
      <c r="W173" s="2" t="str">
        <f aca="false">IF(V173=100,"Bundle-only",IF(V173=0,"Handpick-only","Mixed"))</f>
        <v>Bundle-only</v>
      </c>
      <c r="X173" s="17" t="n">
        <f aca="false">L173/K173</f>
        <v>1</v>
      </c>
      <c r="Y173" s="9" t="n">
        <f aca="false">J173/K173</f>
        <v>186</v>
      </c>
      <c r="Z173" s="10" t="b">
        <f aca="false">O173&gt;=Assumptions!$B$57</f>
        <v>0</v>
      </c>
      <c r="AA173" s="10" t="b">
        <f aca="false">P173&gt;=Assumptions!$B$58</f>
        <v>0</v>
      </c>
      <c r="AB173" s="10" t="b">
        <f aca="false">Q173&gt;=Assumptions!$B$59</f>
        <v>0</v>
      </c>
      <c r="AC173" s="2" t="n">
        <f aca="false">Z173*1+AA173*1+AB173*1</f>
        <v>0</v>
      </c>
      <c r="AD173" s="2" t="str">
        <f aca="false">IF(E173="Broker-Reliant","Broker-led, product-blind",IF(AND(I173="Low",F173&lt;&gt;"Tail",OR(G173="Declining",G173="Lapsed"),OR(O173&gt;=Assumptions!$B$60,P173&gt;=Assumptions!$B$61)),"Engaged but shrinking (Key/Core)",IF(AND(O173&gt;=Assumptions!$B$60,P173&gt;=Assumptions!$B$61,Q173&gt;=Assumptions!$B$62,K173&gt;=Assumptions!$B$63),"Independent browser-buyer",IF(AND(OR(O173&gt;=Assumptions!$B$60,P173&gt;=Assumptions!$B$61),K173&lt;=2),"Engaged, not converting",IF(AND(K173=1,O173&lt;Assumptions!$B$60,P173&lt;Assumptions!$B$61),"One-off low-touch buyer","Light-touch repeat buyer")))))</f>
        <v>One-off low-touch buyer</v>
      </c>
      <c r="AE173" s="10" t="b">
        <f aca="false">INDEX(Segmentation!$AW$2:$AW$301,MATCH($A173,Segmentation!$A$2:$A$301,0))</f>
        <v>0</v>
      </c>
    </row>
    <row r="174" customFormat="false" ht="15" hidden="false" customHeight="false" outlineLevel="0" collapsed="false">
      <c r="A174" s="2" t="s">
        <v>878</v>
      </c>
      <c r="B174" s="2" t="s">
        <v>1571</v>
      </c>
      <c r="C174" s="2" t="s">
        <v>1640</v>
      </c>
      <c r="D174" s="2" t="s">
        <v>1657</v>
      </c>
      <c r="E174" s="2" t="str">
        <f aca="false">INDEX(Segmentation!$H$2:$H$301,MATCH($A174,Segmentation!$A$2:$A$301,0))</f>
        <v>AM-Owned / Self-Serving</v>
      </c>
      <c r="F174" s="2" t="str">
        <f aca="false">INDEX(Segmentation!$J$2:$J$301,MATCH($A174,Segmentation!$A$2:$A$301,0))</f>
        <v>Tail</v>
      </c>
      <c r="G174" s="2" t="str">
        <f aca="false">INDEX(Segmentation!$N$2:$N$301,MATCH($A174,Segmentation!$A$2:$A$301,0))</f>
        <v>H2 Active / No H1 GMV</v>
      </c>
      <c r="H174" s="2" t="str">
        <f aca="false">INDEX(Segmentation!$T$2:$T$301,MATCH($A174,Segmentation!$A$2:$A$301,0))</f>
        <v>9. Long-Tail Automated Nurture</v>
      </c>
      <c r="I174" s="2" t="str">
        <f aca="false">INDEX(Segmentation!$G$2:$G$301,MATCH($A174,Segmentation!$A$2:$A$301,0))</f>
        <v>Low</v>
      </c>
      <c r="J174" s="9" t="n">
        <f aca="false">INDEX(Segmentation!$I$2:$I$301,MATCH($A174,Segmentation!$A$2:$A$301,0))</f>
        <v>185</v>
      </c>
      <c r="K174" s="2" t="n">
        <f aca="false">INDEX(Segmentation!$O$2:$O$301,MATCH($A174,Segmentation!$A$2:$A$301,0))</f>
        <v>1</v>
      </c>
      <c r="L174" s="2" t="n">
        <f aca="false">INDEX(Segmentation!$Q$2:$Q$301,MATCH($A174,Segmentation!$A$2:$A$301,0))</f>
        <v>1</v>
      </c>
      <c r="M174" s="2" t="n">
        <f aca="false">INDEX(Segmentation!$W$2:$W$301,MATCH($A174,Segmentation!$A$2:$A$301,0))</f>
        <v>1</v>
      </c>
      <c r="N174" s="2" t="str">
        <f aca="false">INDEX(Segmentation!$AF$2:$AF$301,MATCH($A174,Segmentation!$A$2:$A$301,0))</f>
        <v>Returned Customer</v>
      </c>
      <c r="O174" s="2" t="n">
        <f aca="false">INDEX(Segmentation!$R$2:$R$301,MATCH($A174,Segmentation!$A$2:$A$301,0))</f>
        <v>6</v>
      </c>
      <c r="P174" s="2" t="n">
        <v>34</v>
      </c>
      <c r="Q174" s="2" t="n">
        <f aca="false">INDEX(Segmentation!$S$2:$S$301,MATCH($A174,Segmentation!$A$2:$A$301,0))</f>
        <v>0</v>
      </c>
      <c r="R174" s="2" t="n">
        <v>2</v>
      </c>
      <c r="S174" s="2" t="n">
        <v>1</v>
      </c>
      <c r="T174" s="2" t="n">
        <v>0</v>
      </c>
      <c r="U174" s="2" t="n">
        <v>1</v>
      </c>
      <c r="V174" s="2" t="n">
        <v>100</v>
      </c>
      <c r="W174" s="2" t="str">
        <f aca="false">IF(V174=100,"Bundle-only",IF(V174=0,"Handpick-only","Mixed"))</f>
        <v>Bundle-only</v>
      </c>
      <c r="X174" s="17" t="n">
        <f aca="false">L174/K174</f>
        <v>1</v>
      </c>
      <c r="Y174" s="9" t="n">
        <f aca="false">J174/K174</f>
        <v>185</v>
      </c>
      <c r="Z174" s="10" t="b">
        <f aca="false">O174&gt;=Assumptions!$B$57</f>
        <v>0</v>
      </c>
      <c r="AA174" s="10" t="b">
        <f aca="false">P174&gt;=Assumptions!$B$58</f>
        <v>0</v>
      </c>
      <c r="AB174" s="10" t="b">
        <f aca="false">Q174&gt;=Assumptions!$B$59</f>
        <v>0</v>
      </c>
      <c r="AC174" s="2" t="n">
        <f aca="false">Z174*1+AA174*1+AB174*1</f>
        <v>0</v>
      </c>
      <c r="AD174" s="2" t="str">
        <f aca="false">IF(E174="Broker-Reliant","Broker-led, product-blind",IF(AND(I174="Low",F174&lt;&gt;"Tail",OR(G174="Declining",G174="Lapsed"),OR(O174&gt;=Assumptions!$B$60,P174&gt;=Assumptions!$B$61)),"Engaged but shrinking (Key/Core)",IF(AND(O174&gt;=Assumptions!$B$60,P174&gt;=Assumptions!$B$61,Q174&gt;=Assumptions!$B$62,K174&gt;=Assumptions!$B$63),"Independent browser-buyer",IF(AND(OR(O174&gt;=Assumptions!$B$60,P174&gt;=Assumptions!$B$61),K174&lt;=2),"Engaged, not converting",IF(AND(K174=1,O174&lt;Assumptions!$B$60,P174&lt;Assumptions!$B$61),"One-off low-touch buyer","Light-touch repeat buyer")))))</f>
        <v>One-off low-touch buyer</v>
      </c>
      <c r="AE174" s="10" t="b">
        <f aca="false">INDEX(Segmentation!$AW$2:$AW$301,MATCH($A174,Segmentation!$A$2:$A$301,0))</f>
        <v>0</v>
      </c>
    </row>
    <row r="175" customFormat="false" ht="15" hidden="false" customHeight="false" outlineLevel="0" collapsed="false">
      <c r="A175" s="2" t="s">
        <v>886</v>
      </c>
      <c r="B175" s="2" t="s">
        <v>1571</v>
      </c>
      <c r="C175" s="2" t="s">
        <v>1640</v>
      </c>
      <c r="D175" s="2" t="s">
        <v>1653</v>
      </c>
      <c r="E175" s="2" t="str">
        <f aca="false">INDEX(Segmentation!$H$2:$H$301,MATCH($A175,Segmentation!$A$2:$A$301,0))</f>
        <v>AM-Owned / Self-Serving</v>
      </c>
      <c r="F175" s="2" t="str">
        <f aca="false">INDEX(Segmentation!$J$2:$J$301,MATCH($A175,Segmentation!$A$2:$A$301,0))</f>
        <v>Tail</v>
      </c>
      <c r="G175" s="2" t="str">
        <f aca="false">INDEX(Segmentation!$N$2:$N$301,MATCH($A175,Segmentation!$A$2:$A$301,0))</f>
        <v>Lapsed</v>
      </c>
      <c r="H175" s="2" t="str">
        <f aca="false">INDEX(Segmentation!$T$2:$T$301,MATCH($A175,Segmentation!$A$2:$A$301,0))</f>
        <v>9. Long-Tail Automated Nurture</v>
      </c>
      <c r="I175" s="2" t="str">
        <f aca="false">INDEX(Segmentation!$G$2:$G$301,MATCH($A175,Segmentation!$A$2:$A$301,0))</f>
        <v>Low</v>
      </c>
      <c r="J175" s="9" t="n">
        <f aca="false">INDEX(Segmentation!$I$2:$I$301,MATCH($A175,Segmentation!$A$2:$A$301,0))</f>
        <v>176</v>
      </c>
      <c r="K175" s="2" t="n">
        <f aca="false">INDEX(Segmentation!$O$2:$O$301,MATCH($A175,Segmentation!$A$2:$A$301,0))</f>
        <v>1</v>
      </c>
      <c r="L175" s="2" t="n">
        <f aca="false">INDEX(Segmentation!$Q$2:$Q$301,MATCH($A175,Segmentation!$A$2:$A$301,0))</f>
        <v>1</v>
      </c>
      <c r="M175" s="2" t="n">
        <f aca="false">INDEX(Segmentation!$W$2:$W$301,MATCH($A175,Segmentation!$A$2:$A$301,0))</f>
        <v>1</v>
      </c>
      <c r="N175" s="2" t="str">
        <f aca="false">INDEX(Segmentation!$AF$2:$AF$301,MATCH($A175,Segmentation!$A$2:$A$301,0))</f>
        <v>Existing Customer</v>
      </c>
      <c r="O175" s="2" t="n">
        <f aca="false">INDEX(Segmentation!$R$2:$R$301,MATCH($A175,Segmentation!$A$2:$A$301,0))</f>
        <v>3</v>
      </c>
      <c r="P175" s="2" t="n">
        <v>47</v>
      </c>
      <c r="Q175" s="2" t="n">
        <f aca="false">INDEX(Segmentation!$S$2:$S$301,MATCH($A175,Segmentation!$A$2:$A$301,0))</f>
        <v>0</v>
      </c>
      <c r="R175" s="2" t="n">
        <v>0</v>
      </c>
      <c r="S175" s="2" t="n">
        <v>0</v>
      </c>
      <c r="T175" s="2" t="n">
        <v>0</v>
      </c>
      <c r="U175" s="2" t="n">
        <v>1</v>
      </c>
      <c r="V175" s="2" t="n">
        <v>100</v>
      </c>
      <c r="W175" s="2" t="str">
        <f aca="false">IF(V175=100,"Bundle-only",IF(V175=0,"Handpick-only","Mixed"))</f>
        <v>Bundle-only</v>
      </c>
      <c r="X175" s="17" t="n">
        <f aca="false">L175/K175</f>
        <v>1</v>
      </c>
      <c r="Y175" s="9" t="n">
        <f aca="false">J175/K175</f>
        <v>176</v>
      </c>
      <c r="Z175" s="10" t="b">
        <f aca="false">O175&gt;=Assumptions!$B$57</f>
        <v>0</v>
      </c>
      <c r="AA175" s="10" t="b">
        <f aca="false">P175&gt;=Assumptions!$B$58</f>
        <v>0</v>
      </c>
      <c r="AB175" s="10" t="b">
        <f aca="false">Q175&gt;=Assumptions!$B$59</f>
        <v>0</v>
      </c>
      <c r="AC175" s="2" t="n">
        <f aca="false">Z175*1+AA175*1+AB175*1</f>
        <v>0</v>
      </c>
      <c r="AD175" s="2" t="str">
        <f aca="false">IF(E175="Broker-Reliant","Broker-led, product-blind",IF(AND(I175="Low",F175&lt;&gt;"Tail",OR(G175="Declining",G175="Lapsed"),OR(O175&gt;=Assumptions!$B$60,P175&gt;=Assumptions!$B$61)),"Engaged but shrinking (Key/Core)",IF(AND(O175&gt;=Assumptions!$B$60,P175&gt;=Assumptions!$B$61,Q175&gt;=Assumptions!$B$62,K175&gt;=Assumptions!$B$63),"Independent browser-buyer",IF(AND(OR(O175&gt;=Assumptions!$B$60,P175&gt;=Assumptions!$B$61),K175&lt;=2),"Engaged, not converting",IF(AND(K175=1,O175&lt;Assumptions!$B$60,P175&lt;Assumptions!$B$61),"One-off low-touch buyer","Light-touch repeat buyer")))))</f>
        <v>One-off low-touch buyer</v>
      </c>
      <c r="AE175" s="10" t="b">
        <f aca="false">INDEX(Segmentation!$AW$2:$AW$301,MATCH($A175,Segmentation!$A$2:$A$301,0))</f>
        <v>0</v>
      </c>
    </row>
    <row r="176" customFormat="false" ht="15" hidden="false" customHeight="false" outlineLevel="0" collapsed="false">
      <c r="A176" s="2" t="s">
        <v>890</v>
      </c>
      <c r="B176" s="2" t="s">
        <v>1571</v>
      </c>
      <c r="C176" s="2" t="s">
        <v>1640</v>
      </c>
      <c r="D176" s="2" t="s">
        <v>1653</v>
      </c>
      <c r="E176" s="2" t="str">
        <f aca="false">INDEX(Segmentation!$H$2:$H$301,MATCH($A176,Segmentation!$A$2:$A$301,0))</f>
        <v>AM-Owned / Self-Serving</v>
      </c>
      <c r="F176" s="2" t="str">
        <f aca="false">INDEX(Segmentation!$J$2:$J$301,MATCH($A176,Segmentation!$A$2:$A$301,0))</f>
        <v>Tail</v>
      </c>
      <c r="G176" s="2" t="str">
        <f aca="false">INDEX(Segmentation!$N$2:$N$301,MATCH($A176,Segmentation!$A$2:$A$301,0))</f>
        <v>Lapsed</v>
      </c>
      <c r="H176" s="2" t="str">
        <f aca="false">INDEX(Segmentation!$T$2:$T$301,MATCH($A176,Segmentation!$A$2:$A$301,0))</f>
        <v>9. Long-Tail Automated Nurture</v>
      </c>
      <c r="I176" s="2" t="str">
        <f aca="false">INDEX(Segmentation!$G$2:$G$301,MATCH($A176,Segmentation!$A$2:$A$301,0))</f>
        <v>Low</v>
      </c>
      <c r="J176" s="9" t="n">
        <f aca="false">INDEX(Segmentation!$I$2:$I$301,MATCH($A176,Segmentation!$A$2:$A$301,0))</f>
        <v>172</v>
      </c>
      <c r="K176" s="2" t="n">
        <f aca="false">INDEX(Segmentation!$O$2:$O$301,MATCH($A176,Segmentation!$A$2:$A$301,0))</f>
        <v>1</v>
      </c>
      <c r="L176" s="2" t="n">
        <f aca="false">INDEX(Segmentation!$Q$2:$Q$301,MATCH($A176,Segmentation!$A$2:$A$301,0))</f>
        <v>1</v>
      </c>
      <c r="M176" s="2" t="n">
        <f aca="false">INDEX(Segmentation!$W$2:$W$301,MATCH($A176,Segmentation!$A$2:$A$301,0))</f>
        <v>1</v>
      </c>
      <c r="N176" s="2" t="str">
        <f aca="false">INDEX(Segmentation!$AF$2:$AF$301,MATCH($A176,Segmentation!$A$2:$A$301,0))</f>
        <v>Existing Customer</v>
      </c>
      <c r="O176" s="2" t="n">
        <f aca="false">INDEX(Segmentation!$R$2:$R$301,MATCH($A176,Segmentation!$A$2:$A$301,0))</f>
        <v>6</v>
      </c>
      <c r="P176" s="2" t="n">
        <v>130</v>
      </c>
      <c r="Q176" s="2" t="n">
        <f aca="false">INDEX(Segmentation!$S$2:$S$301,MATCH($A176,Segmentation!$A$2:$A$301,0))</f>
        <v>1</v>
      </c>
      <c r="R176" s="2" t="n">
        <v>1</v>
      </c>
      <c r="S176" s="2" t="n">
        <v>0</v>
      </c>
      <c r="T176" s="2" t="n">
        <v>0</v>
      </c>
      <c r="U176" s="2" t="n">
        <v>1</v>
      </c>
      <c r="V176" s="2" t="n">
        <v>100</v>
      </c>
      <c r="W176" s="2" t="str">
        <f aca="false">IF(V176=100,"Bundle-only",IF(V176=0,"Handpick-only","Mixed"))</f>
        <v>Bundle-only</v>
      </c>
      <c r="X176" s="17" t="n">
        <f aca="false">L176/K176</f>
        <v>1</v>
      </c>
      <c r="Y176" s="9" t="n">
        <f aca="false">J176/K176</f>
        <v>172</v>
      </c>
      <c r="Z176" s="10" t="b">
        <f aca="false">O176&gt;=Assumptions!$B$57</f>
        <v>0</v>
      </c>
      <c r="AA176" s="10" t="b">
        <f aca="false">P176&gt;=Assumptions!$B$58</f>
        <v>1</v>
      </c>
      <c r="AB176" s="10" t="b">
        <f aca="false">Q176&gt;=Assumptions!$B$59</f>
        <v>0</v>
      </c>
      <c r="AC176" s="2" t="n">
        <f aca="false">Z176*1+AA176*1+AB176*1</f>
        <v>1</v>
      </c>
      <c r="AD176" s="2" t="str">
        <f aca="false">IF(E176="Broker-Reliant","Broker-led, product-blind",IF(AND(I176="Low",F176&lt;&gt;"Tail",OR(G176="Declining",G176="Lapsed"),OR(O176&gt;=Assumptions!$B$60,P176&gt;=Assumptions!$B$61)),"Engaged but shrinking (Key/Core)",IF(AND(O176&gt;=Assumptions!$B$60,P176&gt;=Assumptions!$B$61,Q176&gt;=Assumptions!$B$62,K176&gt;=Assumptions!$B$63),"Independent browser-buyer",IF(AND(OR(O176&gt;=Assumptions!$B$60,P176&gt;=Assumptions!$B$61),K176&lt;=2),"Engaged, not converting",IF(AND(K176=1,O176&lt;Assumptions!$B$60,P176&lt;Assumptions!$B$61),"One-off low-touch buyer","Light-touch repeat buyer")))))</f>
        <v>One-off low-touch buyer</v>
      </c>
      <c r="AE176" s="10" t="b">
        <f aca="false">INDEX(Segmentation!$AW$2:$AW$301,MATCH($A176,Segmentation!$A$2:$A$301,0))</f>
        <v>0</v>
      </c>
    </row>
    <row r="177" customFormat="false" ht="15" hidden="false" customHeight="false" outlineLevel="0" collapsed="false">
      <c r="A177" s="2" t="s">
        <v>894</v>
      </c>
      <c r="B177" s="2" t="s">
        <v>1571</v>
      </c>
      <c r="C177" s="2" t="s">
        <v>1640</v>
      </c>
      <c r="D177" s="2" t="s">
        <v>1653</v>
      </c>
      <c r="E177" s="2" t="str">
        <f aca="false">INDEX(Segmentation!$H$2:$H$301,MATCH($A177,Segmentation!$A$2:$A$301,0))</f>
        <v>AM-Owned / Self-Serving</v>
      </c>
      <c r="F177" s="2" t="str">
        <f aca="false">INDEX(Segmentation!$J$2:$J$301,MATCH($A177,Segmentation!$A$2:$A$301,0))</f>
        <v>Tail</v>
      </c>
      <c r="G177" s="2" t="str">
        <f aca="false">INDEX(Segmentation!$N$2:$N$301,MATCH($A177,Segmentation!$A$2:$A$301,0))</f>
        <v>Lapsed</v>
      </c>
      <c r="H177" s="2" t="str">
        <f aca="false">INDEX(Segmentation!$T$2:$T$301,MATCH($A177,Segmentation!$A$2:$A$301,0))</f>
        <v>9. Long-Tail Automated Nurture</v>
      </c>
      <c r="I177" s="2" t="str">
        <f aca="false">INDEX(Segmentation!$G$2:$G$301,MATCH($A177,Segmentation!$A$2:$A$301,0))</f>
        <v>Low</v>
      </c>
      <c r="J177" s="9" t="n">
        <f aca="false">INDEX(Segmentation!$I$2:$I$301,MATCH($A177,Segmentation!$A$2:$A$301,0))</f>
        <v>164</v>
      </c>
      <c r="K177" s="2" t="n">
        <f aca="false">INDEX(Segmentation!$O$2:$O$301,MATCH($A177,Segmentation!$A$2:$A$301,0))</f>
        <v>1</v>
      </c>
      <c r="L177" s="2" t="n">
        <f aca="false">INDEX(Segmentation!$Q$2:$Q$301,MATCH($A177,Segmentation!$A$2:$A$301,0))</f>
        <v>1</v>
      </c>
      <c r="M177" s="2" t="n">
        <f aca="false">INDEX(Segmentation!$W$2:$W$301,MATCH($A177,Segmentation!$A$2:$A$301,0))</f>
        <v>1</v>
      </c>
      <c r="N177" s="2" t="str">
        <f aca="false">INDEX(Segmentation!$AF$2:$AF$301,MATCH($A177,Segmentation!$A$2:$A$301,0))</f>
        <v>Existing Customer</v>
      </c>
      <c r="O177" s="2" t="n">
        <f aca="false">INDEX(Segmentation!$R$2:$R$301,MATCH($A177,Segmentation!$A$2:$A$301,0))</f>
        <v>11</v>
      </c>
      <c r="P177" s="2" t="n">
        <v>29</v>
      </c>
      <c r="Q177" s="2" t="n">
        <f aca="false">INDEX(Segmentation!$S$2:$S$301,MATCH($A177,Segmentation!$A$2:$A$301,0))</f>
        <v>3</v>
      </c>
      <c r="R177" s="2" t="n">
        <v>2</v>
      </c>
      <c r="S177" s="2" t="n">
        <v>0</v>
      </c>
      <c r="T177" s="2" t="n">
        <v>0</v>
      </c>
      <c r="U177" s="2" t="n">
        <v>1</v>
      </c>
      <c r="V177" s="2" t="n">
        <v>100</v>
      </c>
      <c r="W177" s="2" t="str">
        <f aca="false">IF(V177=100,"Bundle-only",IF(V177=0,"Handpick-only","Mixed"))</f>
        <v>Bundle-only</v>
      </c>
      <c r="X177" s="17" t="n">
        <f aca="false">L177/K177</f>
        <v>1</v>
      </c>
      <c r="Y177" s="9" t="n">
        <f aca="false">J177/K177</f>
        <v>164</v>
      </c>
      <c r="Z177" s="10" t="b">
        <f aca="false">O177&gt;=Assumptions!$B$57</f>
        <v>1</v>
      </c>
      <c r="AA177" s="10" t="b">
        <f aca="false">P177&gt;=Assumptions!$B$58</f>
        <v>0</v>
      </c>
      <c r="AB177" s="10" t="b">
        <f aca="false">Q177&gt;=Assumptions!$B$59</f>
        <v>1</v>
      </c>
      <c r="AC177" s="2" t="n">
        <f aca="false">Z177*1+AA177*1+AB177*1</f>
        <v>2</v>
      </c>
      <c r="AD177" s="2" t="str">
        <f aca="false">IF(E177="Broker-Reliant","Broker-led, product-blind",IF(AND(I177="Low",F177&lt;&gt;"Tail",OR(G177="Declining",G177="Lapsed"),OR(O177&gt;=Assumptions!$B$60,P177&gt;=Assumptions!$B$61)),"Engaged but shrinking (Key/Core)",IF(AND(O177&gt;=Assumptions!$B$60,P177&gt;=Assumptions!$B$61,Q177&gt;=Assumptions!$B$62,K177&gt;=Assumptions!$B$63),"Independent browser-buyer",IF(AND(OR(O177&gt;=Assumptions!$B$60,P177&gt;=Assumptions!$B$61),K177&lt;=2),"Engaged, not converting",IF(AND(K177=1,O177&lt;Assumptions!$B$60,P177&lt;Assumptions!$B$61),"One-off low-touch buyer","Light-touch repeat buyer")))))</f>
        <v>One-off low-touch buyer</v>
      </c>
      <c r="AE177" s="10" t="b">
        <f aca="false">INDEX(Segmentation!$AW$2:$AW$301,MATCH($A177,Segmentation!$A$2:$A$301,0))</f>
        <v>0</v>
      </c>
    </row>
    <row r="178" customFormat="false" ht="15" hidden="false" customHeight="false" outlineLevel="0" collapsed="false">
      <c r="A178" s="2" t="s">
        <v>896</v>
      </c>
      <c r="B178" s="2" t="s">
        <v>1571</v>
      </c>
      <c r="C178" s="2" t="s">
        <v>1640</v>
      </c>
      <c r="D178" s="2" t="s">
        <v>1653</v>
      </c>
      <c r="E178" s="2" t="str">
        <f aca="false">INDEX(Segmentation!$H$2:$H$301,MATCH($A178,Segmentation!$A$2:$A$301,0))</f>
        <v>AM-Owned / Self-Serving</v>
      </c>
      <c r="F178" s="2" t="str">
        <f aca="false">INDEX(Segmentation!$J$2:$J$301,MATCH($A178,Segmentation!$A$2:$A$301,0))</f>
        <v>Tail</v>
      </c>
      <c r="G178" s="2" t="str">
        <f aca="false">INDEX(Segmentation!$N$2:$N$301,MATCH($A178,Segmentation!$A$2:$A$301,0))</f>
        <v>H2 Active / No H1 GMV</v>
      </c>
      <c r="H178" s="2" t="str">
        <f aca="false">INDEX(Segmentation!$T$2:$T$301,MATCH($A178,Segmentation!$A$2:$A$301,0))</f>
        <v>9. Long-Tail Automated Nurture</v>
      </c>
      <c r="I178" s="2" t="str">
        <f aca="false">INDEX(Segmentation!$G$2:$G$301,MATCH($A178,Segmentation!$A$2:$A$301,0))</f>
        <v>Low</v>
      </c>
      <c r="J178" s="9" t="n">
        <f aca="false">INDEX(Segmentation!$I$2:$I$301,MATCH($A178,Segmentation!$A$2:$A$301,0))</f>
        <v>164</v>
      </c>
      <c r="K178" s="2" t="n">
        <f aca="false">INDEX(Segmentation!$O$2:$O$301,MATCH($A178,Segmentation!$A$2:$A$301,0))</f>
        <v>1</v>
      </c>
      <c r="L178" s="2" t="n">
        <f aca="false">INDEX(Segmentation!$Q$2:$Q$301,MATCH($A178,Segmentation!$A$2:$A$301,0))</f>
        <v>1</v>
      </c>
      <c r="M178" s="2" t="n">
        <f aca="false">INDEX(Segmentation!$W$2:$W$301,MATCH($A178,Segmentation!$A$2:$A$301,0))</f>
        <v>1</v>
      </c>
      <c r="N178" s="2" t="str">
        <f aca="false">INDEX(Segmentation!$AF$2:$AF$301,MATCH($A178,Segmentation!$A$2:$A$301,0))</f>
        <v>Returned Customer</v>
      </c>
      <c r="O178" s="2" t="n">
        <f aca="false">INDEX(Segmentation!$R$2:$R$301,MATCH($A178,Segmentation!$A$2:$A$301,0))</f>
        <v>10</v>
      </c>
      <c r="P178" s="2" t="n">
        <v>18</v>
      </c>
      <c r="Q178" s="2" t="n">
        <f aca="false">INDEX(Segmentation!$S$2:$S$301,MATCH($A178,Segmentation!$A$2:$A$301,0))</f>
        <v>0</v>
      </c>
      <c r="R178" s="2" t="n">
        <v>1</v>
      </c>
      <c r="S178" s="2" t="n">
        <v>0</v>
      </c>
      <c r="T178" s="2" t="n">
        <v>0</v>
      </c>
      <c r="U178" s="2" t="n">
        <v>1</v>
      </c>
      <c r="V178" s="2" t="n">
        <v>100</v>
      </c>
      <c r="W178" s="2" t="str">
        <f aca="false">IF(V178=100,"Bundle-only",IF(V178=0,"Handpick-only","Mixed"))</f>
        <v>Bundle-only</v>
      </c>
      <c r="X178" s="17" t="n">
        <f aca="false">L178/K178</f>
        <v>1</v>
      </c>
      <c r="Y178" s="9" t="n">
        <f aca="false">J178/K178</f>
        <v>164</v>
      </c>
      <c r="Z178" s="10" t="b">
        <f aca="false">O178&gt;=Assumptions!$B$57</f>
        <v>1</v>
      </c>
      <c r="AA178" s="10" t="b">
        <f aca="false">P178&gt;=Assumptions!$B$58</f>
        <v>0</v>
      </c>
      <c r="AB178" s="10" t="b">
        <f aca="false">Q178&gt;=Assumptions!$B$59</f>
        <v>0</v>
      </c>
      <c r="AC178" s="2" t="n">
        <f aca="false">Z178*1+AA178*1+AB178*1</f>
        <v>1</v>
      </c>
      <c r="AD178" s="2" t="str">
        <f aca="false">IF(E178="Broker-Reliant","Broker-led, product-blind",IF(AND(I178="Low",F178&lt;&gt;"Tail",OR(G178="Declining",G178="Lapsed"),OR(O178&gt;=Assumptions!$B$60,P178&gt;=Assumptions!$B$61)),"Engaged but shrinking (Key/Core)",IF(AND(O178&gt;=Assumptions!$B$60,P178&gt;=Assumptions!$B$61,Q178&gt;=Assumptions!$B$62,K178&gt;=Assumptions!$B$63),"Independent browser-buyer",IF(AND(OR(O178&gt;=Assumptions!$B$60,P178&gt;=Assumptions!$B$61),K178&lt;=2),"Engaged, not converting",IF(AND(K178=1,O178&lt;Assumptions!$B$60,P178&lt;Assumptions!$B$61),"One-off low-touch buyer","Light-touch repeat buyer")))))</f>
        <v>One-off low-touch buyer</v>
      </c>
      <c r="AE178" s="10" t="b">
        <f aca="false">INDEX(Segmentation!$AW$2:$AW$301,MATCH($A178,Segmentation!$A$2:$A$301,0))</f>
        <v>0</v>
      </c>
    </row>
    <row r="179" customFormat="false" ht="15" hidden="false" customHeight="false" outlineLevel="0" collapsed="false">
      <c r="A179" s="2" t="s">
        <v>898</v>
      </c>
      <c r="B179" s="2" t="s">
        <v>1571</v>
      </c>
      <c r="C179" s="2" t="s">
        <v>1640</v>
      </c>
      <c r="D179" s="2" t="s">
        <v>1653</v>
      </c>
      <c r="E179" s="2" t="str">
        <f aca="false">INDEX(Segmentation!$H$2:$H$301,MATCH($A179,Segmentation!$A$2:$A$301,0))</f>
        <v>AM-Owned / Self-Serving</v>
      </c>
      <c r="F179" s="2" t="str">
        <f aca="false">INDEX(Segmentation!$J$2:$J$301,MATCH($A179,Segmentation!$A$2:$A$301,0))</f>
        <v>Tail</v>
      </c>
      <c r="G179" s="2" t="str">
        <f aca="false">INDEX(Segmentation!$N$2:$N$301,MATCH($A179,Segmentation!$A$2:$A$301,0))</f>
        <v>Lapsed</v>
      </c>
      <c r="H179" s="2" t="str">
        <f aca="false">INDEX(Segmentation!$T$2:$T$301,MATCH($A179,Segmentation!$A$2:$A$301,0))</f>
        <v>9. Long-Tail Automated Nurture</v>
      </c>
      <c r="I179" s="2" t="str">
        <f aca="false">INDEX(Segmentation!$G$2:$G$301,MATCH($A179,Segmentation!$A$2:$A$301,0))</f>
        <v>Low</v>
      </c>
      <c r="J179" s="9" t="n">
        <f aca="false">INDEX(Segmentation!$I$2:$I$301,MATCH($A179,Segmentation!$A$2:$A$301,0))</f>
        <v>156</v>
      </c>
      <c r="K179" s="2" t="n">
        <f aca="false">INDEX(Segmentation!$O$2:$O$301,MATCH($A179,Segmentation!$A$2:$A$301,0))</f>
        <v>1</v>
      </c>
      <c r="L179" s="2" t="n">
        <f aca="false">INDEX(Segmentation!$Q$2:$Q$301,MATCH($A179,Segmentation!$A$2:$A$301,0))</f>
        <v>1</v>
      </c>
      <c r="M179" s="2" t="n">
        <f aca="false">INDEX(Segmentation!$W$2:$W$301,MATCH($A179,Segmentation!$A$2:$A$301,0))</f>
        <v>1</v>
      </c>
      <c r="N179" s="2" t="str">
        <f aca="false">INDEX(Segmentation!$AF$2:$AF$301,MATCH($A179,Segmentation!$A$2:$A$301,0))</f>
        <v>Existing Customer</v>
      </c>
      <c r="O179" s="2" t="n">
        <f aca="false">INDEX(Segmentation!$R$2:$R$301,MATCH($A179,Segmentation!$A$2:$A$301,0))</f>
        <v>10</v>
      </c>
      <c r="P179" s="2" t="n">
        <v>65</v>
      </c>
      <c r="Q179" s="2" t="n">
        <f aca="false">INDEX(Segmentation!$S$2:$S$301,MATCH($A179,Segmentation!$A$2:$A$301,0))</f>
        <v>0</v>
      </c>
      <c r="R179" s="2" t="n">
        <v>17</v>
      </c>
      <c r="S179" s="2" t="n">
        <v>0</v>
      </c>
      <c r="T179" s="2" t="n">
        <v>1</v>
      </c>
      <c r="U179" s="2" t="n">
        <v>0</v>
      </c>
      <c r="V179" s="2" t="n">
        <v>0</v>
      </c>
      <c r="W179" s="2" t="str">
        <f aca="false">IF(V179=100,"Bundle-only",IF(V179=0,"Handpick-only","Mixed"))</f>
        <v>Handpick-only</v>
      </c>
      <c r="X179" s="17" t="n">
        <f aca="false">L179/K179</f>
        <v>1</v>
      </c>
      <c r="Y179" s="9" t="n">
        <f aca="false">J179/K179</f>
        <v>156</v>
      </c>
      <c r="Z179" s="10" t="b">
        <f aca="false">O179&gt;=Assumptions!$B$57</f>
        <v>1</v>
      </c>
      <c r="AA179" s="10" t="b">
        <f aca="false">P179&gt;=Assumptions!$B$58</f>
        <v>1</v>
      </c>
      <c r="AB179" s="10" t="b">
        <f aca="false">Q179&gt;=Assumptions!$B$59</f>
        <v>0</v>
      </c>
      <c r="AC179" s="2" t="n">
        <f aca="false">Z179*1+AA179*1+AB179*1</f>
        <v>2</v>
      </c>
      <c r="AD179" s="2" t="str">
        <f aca="false">IF(E179="Broker-Reliant","Broker-led, product-blind",IF(AND(I179="Low",F179&lt;&gt;"Tail",OR(G179="Declining",G179="Lapsed"),OR(O179&gt;=Assumptions!$B$60,P179&gt;=Assumptions!$B$61)),"Engaged but shrinking (Key/Core)",IF(AND(O179&gt;=Assumptions!$B$60,P179&gt;=Assumptions!$B$61,Q179&gt;=Assumptions!$B$62,K179&gt;=Assumptions!$B$63),"Independent browser-buyer",IF(AND(OR(O179&gt;=Assumptions!$B$60,P179&gt;=Assumptions!$B$61),K179&lt;=2),"Engaged, not converting",IF(AND(K179=1,O179&lt;Assumptions!$B$60,P179&lt;Assumptions!$B$61),"One-off low-touch buyer","Light-touch repeat buyer")))))</f>
        <v>One-off low-touch buyer</v>
      </c>
      <c r="AE179" s="10" t="b">
        <f aca="false">INDEX(Segmentation!$AW$2:$AW$301,MATCH($A179,Segmentation!$A$2:$A$301,0))</f>
        <v>0</v>
      </c>
    </row>
    <row r="180" customFormat="false" ht="15" hidden="false" customHeight="false" outlineLevel="0" collapsed="false">
      <c r="A180" s="2" t="s">
        <v>902</v>
      </c>
      <c r="B180" s="2" t="s">
        <v>1571</v>
      </c>
      <c r="C180" s="2" t="s">
        <v>1640</v>
      </c>
      <c r="D180" s="2" t="s">
        <v>1653</v>
      </c>
      <c r="E180" s="2" t="str">
        <f aca="false">INDEX(Segmentation!$H$2:$H$301,MATCH($A180,Segmentation!$A$2:$A$301,0))</f>
        <v>AM-Owned / Self-Serving</v>
      </c>
      <c r="F180" s="2" t="str">
        <f aca="false">INDEX(Segmentation!$J$2:$J$301,MATCH($A180,Segmentation!$A$2:$A$301,0))</f>
        <v>Tail</v>
      </c>
      <c r="G180" s="2" t="str">
        <f aca="false">INDEX(Segmentation!$N$2:$N$301,MATCH($A180,Segmentation!$A$2:$A$301,0))</f>
        <v>Lapsed</v>
      </c>
      <c r="H180" s="2" t="str">
        <f aca="false">INDEX(Segmentation!$T$2:$T$301,MATCH($A180,Segmentation!$A$2:$A$301,0))</f>
        <v>9. Long-Tail Automated Nurture</v>
      </c>
      <c r="I180" s="2" t="str">
        <f aca="false">INDEX(Segmentation!$G$2:$G$301,MATCH($A180,Segmentation!$A$2:$A$301,0))</f>
        <v>Low</v>
      </c>
      <c r="J180" s="9" t="n">
        <f aca="false">INDEX(Segmentation!$I$2:$I$301,MATCH($A180,Segmentation!$A$2:$A$301,0))</f>
        <v>153</v>
      </c>
      <c r="K180" s="2" t="n">
        <f aca="false">INDEX(Segmentation!$O$2:$O$301,MATCH($A180,Segmentation!$A$2:$A$301,0))</f>
        <v>1</v>
      </c>
      <c r="L180" s="2" t="n">
        <f aca="false">INDEX(Segmentation!$Q$2:$Q$301,MATCH($A180,Segmentation!$A$2:$A$301,0))</f>
        <v>1</v>
      </c>
      <c r="M180" s="2" t="n">
        <f aca="false">INDEX(Segmentation!$W$2:$W$301,MATCH($A180,Segmentation!$A$2:$A$301,0))</f>
        <v>1</v>
      </c>
      <c r="N180" s="2" t="str">
        <f aca="false">INDEX(Segmentation!$AF$2:$AF$301,MATCH($A180,Segmentation!$A$2:$A$301,0))</f>
        <v>Existing Customer</v>
      </c>
      <c r="O180" s="2" t="n">
        <f aca="false">INDEX(Segmentation!$R$2:$R$301,MATCH($A180,Segmentation!$A$2:$A$301,0))</f>
        <v>19</v>
      </c>
      <c r="P180" s="2" t="n">
        <v>122</v>
      </c>
      <c r="Q180" s="2" t="n">
        <f aca="false">INDEX(Segmentation!$S$2:$S$301,MATCH($A180,Segmentation!$A$2:$A$301,0))</f>
        <v>3</v>
      </c>
      <c r="R180" s="2" t="n">
        <v>3</v>
      </c>
      <c r="S180" s="2" t="n">
        <v>0</v>
      </c>
      <c r="T180" s="2" t="n">
        <v>0</v>
      </c>
      <c r="U180" s="2" t="n">
        <v>1</v>
      </c>
      <c r="V180" s="2" t="n">
        <v>100</v>
      </c>
      <c r="W180" s="2" t="str">
        <f aca="false">IF(V180=100,"Bundle-only",IF(V180=0,"Handpick-only","Mixed"))</f>
        <v>Bundle-only</v>
      </c>
      <c r="X180" s="17" t="n">
        <f aca="false">L180/K180</f>
        <v>1</v>
      </c>
      <c r="Y180" s="9" t="n">
        <f aca="false">J180/K180</f>
        <v>153</v>
      </c>
      <c r="Z180" s="10" t="b">
        <f aca="false">O180&gt;=Assumptions!$B$57</f>
        <v>1</v>
      </c>
      <c r="AA180" s="10" t="b">
        <f aca="false">P180&gt;=Assumptions!$B$58</f>
        <v>1</v>
      </c>
      <c r="AB180" s="10" t="b">
        <f aca="false">Q180&gt;=Assumptions!$B$59</f>
        <v>1</v>
      </c>
      <c r="AC180" s="2" t="n">
        <f aca="false">Z180*1+AA180*1+AB180*1</f>
        <v>3</v>
      </c>
      <c r="AD180" s="2" t="str">
        <f aca="false">IF(E180="Broker-Reliant","Broker-led, product-blind",IF(AND(I180="Low",F180&lt;&gt;"Tail",OR(G180="Declining",G180="Lapsed"),OR(O180&gt;=Assumptions!$B$60,P180&gt;=Assumptions!$B$61)),"Engaged but shrinking (Key/Core)",IF(AND(O180&gt;=Assumptions!$B$60,P180&gt;=Assumptions!$B$61,Q180&gt;=Assumptions!$B$62,K180&gt;=Assumptions!$B$63),"Independent browser-buyer",IF(AND(OR(O180&gt;=Assumptions!$B$60,P180&gt;=Assumptions!$B$61),K180&lt;=2),"Engaged, not converting",IF(AND(K180=1,O180&lt;Assumptions!$B$60,P180&lt;Assumptions!$B$61),"One-off low-touch buyer","Light-touch repeat buyer")))))</f>
        <v>One-off low-touch buyer</v>
      </c>
      <c r="AE180" s="10" t="b">
        <f aca="false">INDEX(Segmentation!$AW$2:$AW$301,MATCH($A180,Segmentation!$A$2:$A$301,0))</f>
        <v>0</v>
      </c>
    </row>
    <row r="181" customFormat="false" ht="15" hidden="false" customHeight="false" outlineLevel="0" collapsed="false">
      <c r="A181" s="2" t="s">
        <v>904</v>
      </c>
      <c r="B181" s="2" t="s">
        <v>1571</v>
      </c>
      <c r="C181" s="2" t="s">
        <v>1640</v>
      </c>
      <c r="D181" s="2" t="s">
        <v>1655</v>
      </c>
      <c r="E181" s="2" t="str">
        <f aca="false">INDEX(Segmentation!$H$2:$H$301,MATCH($A181,Segmentation!$A$2:$A$301,0))</f>
        <v>AM-Owned / Self-Serving</v>
      </c>
      <c r="F181" s="2" t="str">
        <f aca="false">INDEX(Segmentation!$J$2:$J$301,MATCH($A181,Segmentation!$A$2:$A$301,0))</f>
        <v>Tail</v>
      </c>
      <c r="G181" s="2" t="str">
        <f aca="false">INDEX(Segmentation!$N$2:$N$301,MATCH($A181,Segmentation!$A$2:$A$301,0))</f>
        <v>H2 Active / No H1 GMV</v>
      </c>
      <c r="H181" s="2" t="str">
        <f aca="false">INDEX(Segmentation!$T$2:$T$301,MATCH($A181,Segmentation!$A$2:$A$301,0))</f>
        <v>9. Long-Tail Automated Nurture</v>
      </c>
      <c r="I181" s="2" t="str">
        <f aca="false">INDEX(Segmentation!$G$2:$G$301,MATCH($A181,Segmentation!$A$2:$A$301,0))</f>
        <v>Low</v>
      </c>
      <c r="J181" s="9" t="n">
        <f aca="false">INDEX(Segmentation!$I$2:$I$301,MATCH($A181,Segmentation!$A$2:$A$301,0))</f>
        <v>152</v>
      </c>
      <c r="K181" s="2" t="n">
        <f aca="false">INDEX(Segmentation!$O$2:$O$301,MATCH($A181,Segmentation!$A$2:$A$301,0))</f>
        <v>1</v>
      </c>
      <c r="L181" s="2" t="n">
        <f aca="false">INDEX(Segmentation!$Q$2:$Q$301,MATCH($A181,Segmentation!$A$2:$A$301,0))</f>
        <v>1</v>
      </c>
      <c r="M181" s="2" t="n">
        <f aca="false">INDEX(Segmentation!$W$2:$W$301,MATCH($A181,Segmentation!$A$2:$A$301,0))</f>
        <v>1</v>
      </c>
      <c r="N181" s="2" t="str">
        <f aca="false">INDEX(Segmentation!$AF$2:$AF$301,MATCH($A181,Segmentation!$A$2:$A$301,0))</f>
        <v>Returned Customer</v>
      </c>
      <c r="O181" s="2" t="n">
        <f aca="false">INDEX(Segmentation!$R$2:$R$301,MATCH($A181,Segmentation!$A$2:$A$301,0))</f>
        <v>7</v>
      </c>
      <c r="P181" s="2" t="n">
        <v>52</v>
      </c>
      <c r="Q181" s="2" t="n">
        <f aca="false">INDEX(Segmentation!$S$2:$S$301,MATCH($A181,Segmentation!$A$2:$A$301,0))</f>
        <v>4</v>
      </c>
      <c r="R181" s="2" t="n">
        <v>5</v>
      </c>
      <c r="S181" s="2" t="n">
        <v>0</v>
      </c>
      <c r="T181" s="2" t="n">
        <v>0</v>
      </c>
      <c r="U181" s="2" t="n">
        <v>1</v>
      </c>
      <c r="V181" s="2" t="n">
        <v>100</v>
      </c>
      <c r="W181" s="2" t="str">
        <f aca="false">IF(V181=100,"Bundle-only",IF(V181=0,"Handpick-only","Mixed"))</f>
        <v>Bundle-only</v>
      </c>
      <c r="X181" s="17" t="n">
        <f aca="false">L181/K181</f>
        <v>1</v>
      </c>
      <c r="Y181" s="9" t="n">
        <f aca="false">J181/K181</f>
        <v>152</v>
      </c>
      <c r="Z181" s="10" t="b">
        <f aca="false">O181&gt;=Assumptions!$B$57</f>
        <v>0</v>
      </c>
      <c r="AA181" s="10" t="b">
        <f aca="false">P181&gt;=Assumptions!$B$58</f>
        <v>1</v>
      </c>
      <c r="AB181" s="10" t="b">
        <f aca="false">Q181&gt;=Assumptions!$B$59</f>
        <v>1</v>
      </c>
      <c r="AC181" s="2" t="n">
        <f aca="false">Z181*1+AA181*1+AB181*1</f>
        <v>2</v>
      </c>
      <c r="AD181" s="2" t="str">
        <f aca="false">IF(E181="Broker-Reliant","Broker-led, product-blind",IF(AND(I181="Low",F181&lt;&gt;"Tail",OR(G181="Declining",G181="Lapsed"),OR(O181&gt;=Assumptions!$B$60,P181&gt;=Assumptions!$B$61)),"Engaged but shrinking (Key/Core)",IF(AND(O181&gt;=Assumptions!$B$60,P181&gt;=Assumptions!$B$61,Q181&gt;=Assumptions!$B$62,K181&gt;=Assumptions!$B$63),"Independent browser-buyer",IF(AND(OR(O181&gt;=Assumptions!$B$60,P181&gt;=Assumptions!$B$61),K181&lt;=2),"Engaged, not converting",IF(AND(K181=1,O181&lt;Assumptions!$B$60,P181&lt;Assumptions!$B$61),"One-off low-touch buyer","Light-touch repeat buyer")))))</f>
        <v>One-off low-touch buyer</v>
      </c>
      <c r="AE181" s="10" t="b">
        <f aca="false">INDEX(Segmentation!$AW$2:$AW$301,MATCH($A181,Segmentation!$A$2:$A$301,0))</f>
        <v>0</v>
      </c>
    </row>
    <row r="182" customFormat="false" ht="15" hidden="false" customHeight="false" outlineLevel="0" collapsed="false">
      <c r="A182" s="2" t="s">
        <v>906</v>
      </c>
      <c r="B182" s="2" t="s">
        <v>1571</v>
      </c>
      <c r="C182" s="2" t="s">
        <v>1640</v>
      </c>
      <c r="D182" s="2" t="s">
        <v>1653</v>
      </c>
      <c r="E182" s="2" t="str">
        <f aca="false">INDEX(Segmentation!$H$2:$H$301,MATCH($A182,Segmentation!$A$2:$A$301,0))</f>
        <v>AM-Owned / Self-Serving</v>
      </c>
      <c r="F182" s="2" t="str">
        <f aca="false">INDEX(Segmentation!$J$2:$J$301,MATCH($A182,Segmentation!$A$2:$A$301,0))</f>
        <v>Tail</v>
      </c>
      <c r="G182" s="2" t="str">
        <f aca="false">INDEX(Segmentation!$N$2:$N$301,MATCH($A182,Segmentation!$A$2:$A$301,0))</f>
        <v>Lapsed</v>
      </c>
      <c r="H182" s="2" t="str">
        <f aca="false">INDEX(Segmentation!$T$2:$T$301,MATCH($A182,Segmentation!$A$2:$A$301,0))</f>
        <v>9. Long-Tail Automated Nurture</v>
      </c>
      <c r="I182" s="2" t="str">
        <f aca="false">INDEX(Segmentation!$G$2:$G$301,MATCH($A182,Segmentation!$A$2:$A$301,0))</f>
        <v>Low</v>
      </c>
      <c r="J182" s="9" t="n">
        <f aca="false">INDEX(Segmentation!$I$2:$I$301,MATCH($A182,Segmentation!$A$2:$A$301,0))</f>
        <v>149</v>
      </c>
      <c r="K182" s="2" t="n">
        <f aca="false">INDEX(Segmentation!$O$2:$O$301,MATCH($A182,Segmentation!$A$2:$A$301,0))</f>
        <v>1</v>
      </c>
      <c r="L182" s="2" t="n">
        <f aca="false">INDEX(Segmentation!$Q$2:$Q$301,MATCH($A182,Segmentation!$A$2:$A$301,0))</f>
        <v>1</v>
      </c>
      <c r="M182" s="2" t="n">
        <f aca="false">INDEX(Segmentation!$W$2:$W$301,MATCH($A182,Segmentation!$A$2:$A$301,0))</f>
        <v>1</v>
      </c>
      <c r="N182" s="2" t="str">
        <f aca="false">INDEX(Segmentation!$AF$2:$AF$301,MATCH($A182,Segmentation!$A$2:$A$301,0))</f>
        <v>Existing Customer</v>
      </c>
      <c r="O182" s="2" t="n">
        <f aca="false">INDEX(Segmentation!$R$2:$R$301,MATCH($A182,Segmentation!$A$2:$A$301,0))</f>
        <v>3</v>
      </c>
      <c r="P182" s="2" t="n">
        <v>29</v>
      </c>
      <c r="Q182" s="2" t="n">
        <f aca="false">INDEX(Segmentation!$S$2:$S$301,MATCH($A182,Segmentation!$A$2:$A$301,0))</f>
        <v>0</v>
      </c>
      <c r="R182" s="2" t="n">
        <v>1</v>
      </c>
      <c r="S182" s="2" t="n">
        <v>0</v>
      </c>
      <c r="T182" s="2" t="n">
        <v>0</v>
      </c>
      <c r="U182" s="2" t="n">
        <v>1</v>
      </c>
      <c r="V182" s="2" t="n">
        <v>100</v>
      </c>
      <c r="W182" s="2" t="str">
        <f aca="false">IF(V182=100,"Bundle-only",IF(V182=0,"Handpick-only","Mixed"))</f>
        <v>Bundle-only</v>
      </c>
      <c r="X182" s="17" t="n">
        <f aca="false">L182/K182</f>
        <v>1</v>
      </c>
      <c r="Y182" s="9" t="n">
        <f aca="false">J182/K182</f>
        <v>149</v>
      </c>
      <c r="Z182" s="10" t="b">
        <f aca="false">O182&gt;=Assumptions!$B$57</f>
        <v>0</v>
      </c>
      <c r="AA182" s="10" t="b">
        <f aca="false">P182&gt;=Assumptions!$B$58</f>
        <v>0</v>
      </c>
      <c r="AB182" s="10" t="b">
        <f aca="false">Q182&gt;=Assumptions!$B$59</f>
        <v>0</v>
      </c>
      <c r="AC182" s="2" t="n">
        <f aca="false">Z182*1+AA182*1+AB182*1</f>
        <v>0</v>
      </c>
      <c r="AD182" s="2" t="str">
        <f aca="false">IF(E182="Broker-Reliant","Broker-led, product-blind",IF(AND(I182="Low",F182&lt;&gt;"Tail",OR(G182="Declining",G182="Lapsed"),OR(O182&gt;=Assumptions!$B$60,P182&gt;=Assumptions!$B$61)),"Engaged but shrinking (Key/Core)",IF(AND(O182&gt;=Assumptions!$B$60,P182&gt;=Assumptions!$B$61,Q182&gt;=Assumptions!$B$62,K182&gt;=Assumptions!$B$63),"Independent browser-buyer",IF(AND(OR(O182&gt;=Assumptions!$B$60,P182&gt;=Assumptions!$B$61),K182&lt;=2),"Engaged, not converting",IF(AND(K182=1,O182&lt;Assumptions!$B$60,P182&lt;Assumptions!$B$61),"One-off low-touch buyer","Light-touch repeat buyer")))))</f>
        <v>One-off low-touch buyer</v>
      </c>
      <c r="AE182" s="10" t="b">
        <f aca="false">INDEX(Segmentation!$AW$2:$AW$301,MATCH($A182,Segmentation!$A$2:$A$301,0))</f>
        <v>0</v>
      </c>
    </row>
    <row r="183" customFormat="false" ht="15" hidden="false" customHeight="false" outlineLevel="0" collapsed="false">
      <c r="A183" s="2" t="s">
        <v>910</v>
      </c>
      <c r="B183" s="2" t="s">
        <v>1571</v>
      </c>
      <c r="C183" s="2" t="s">
        <v>1641</v>
      </c>
      <c r="D183" s="2" t="s">
        <v>1657</v>
      </c>
      <c r="E183" s="2" t="str">
        <f aca="false">INDEX(Segmentation!$H$2:$H$301,MATCH($A183,Segmentation!$A$2:$A$301,0))</f>
        <v>AM-Owned / Self-Serving</v>
      </c>
      <c r="F183" s="2" t="str">
        <f aca="false">INDEX(Segmentation!$J$2:$J$301,MATCH($A183,Segmentation!$A$2:$A$301,0))</f>
        <v>Tail</v>
      </c>
      <c r="G183" s="2" t="str">
        <f aca="false">INDEX(Segmentation!$N$2:$N$301,MATCH($A183,Segmentation!$A$2:$A$301,0))</f>
        <v>Lapsed</v>
      </c>
      <c r="H183" s="2" t="str">
        <f aca="false">INDEX(Segmentation!$T$2:$T$301,MATCH($A183,Segmentation!$A$2:$A$301,0))</f>
        <v>9. Long-Tail Automated Nurture</v>
      </c>
      <c r="I183" s="2" t="str">
        <f aca="false">INDEX(Segmentation!$G$2:$G$301,MATCH($A183,Segmentation!$A$2:$A$301,0))</f>
        <v>Low</v>
      </c>
      <c r="J183" s="9" t="n">
        <f aca="false">INDEX(Segmentation!$I$2:$I$301,MATCH($A183,Segmentation!$A$2:$A$301,0))</f>
        <v>146</v>
      </c>
      <c r="K183" s="2" t="n">
        <f aca="false">INDEX(Segmentation!$O$2:$O$301,MATCH($A183,Segmentation!$A$2:$A$301,0))</f>
        <v>1</v>
      </c>
      <c r="L183" s="2" t="n">
        <f aca="false">INDEX(Segmentation!$Q$2:$Q$301,MATCH($A183,Segmentation!$A$2:$A$301,0))</f>
        <v>1</v>
      </c>
      <c r="M183" s="2" t="n">
        <f aca="false">INDEX(Segmentation!$W$2:$W$301,MATCH($A183,Segmentation!$A$2:$A$301,0))</f>
        <v>1</v>
      </c>
      <c r="N183" s="2" t="str">
        <f aca="false">INDEX(Segmentation!$AF$2:$AF$301,MATCH($A183,Segmentation!$A$2:$A$301,0))</f>
        <v>Existing Customer</v>
      </c>
      <c r="O183" s="2" t="n">
        <f aca="false">INDEX(Segmentation!$R$2:$R$301,MATCH($A183,Segmentation!$A$2:$A$301,0))</f>
        <v>15</v>
      </c>
      <c r="P183" s="2" t="n">
        <v>57</v>
      </c>
      <c r="Q183" s="2" t="n">
        <f aca="false">INDEX(Segmentation!$S$2:$S$301,MATCH($A183,Segmentation!$A$2:$A$301,0))</f>
        <v>0</v>
      </c>
      <c r="R183" s="2" t="n">
        <v>0</v>
      </c>
      <c r="S183" s="2" t="n">
        <v>0</v>
      </c>
      <c r="T183" s="2" t="n">
        <v>0</v>
      </c>
      <c r="U183" s="2" t="n">
        <v>1</v>
      </c>
      <c r="V183" s="2" t="n">
        <v>100</v>
      </c>
      <c r="W183" s="2" t="str">
        <f aca="false">IF(V183=100,"Bundle-only",IF(V183=0,"Handpick-only","Mixed"))</f>
        <v>Bundle-only</v>
      </c>
      <c r="X183" s="17" t="n">
        <f aca="false">L183/K183</f>
        <v>1</v>
      </c>
      <c r="Y183" s="9" t="n">
        <f aca="false">J183/K183</f>
        <v>146</v>
      </c>
      <c r="Z183" s="10" t="b">
        <f aca="false">O183&gt;=Assumptions!$B$57</f>
        <v>1</v>
      </c>
      <c r="AA183" s="10" t="b">
        <f aca="false">P183&gt;=Assumptions!$B$58</f>
        <v>1</v>
      </c>
      <c r="AB183" s="10" t="b">
        <f aca="false">Q183&gt;=Assumptions!$B$59</f>
        <v>0</v>
      </c>
      <c r="AC183" s="2" t="n">
        <f aca="false">Z183*1+AA183*1+AB183*1</f>
        <v>2</v>
      </c>
      <c r="AD183" s="2" t="str">
        <f aca="false">IF(E183="Broker-Reliant","Broker-led, product-blind",IF(AND(I183="Low",F183&lt;&gt;"Tail",OR(G183="Declining",G183="Lapsed"),OR(O183&gt;=Assumptions!$B$60,P183&gt;=Assumptions!$B$61)),"Engaged but shrinking (Key/Core)",IF(AND(O183&gt;=Assumptions!$B$60,P183&gt;=Assumptions!$B$61,Q183&gt;=Assumptions!$B$62,K183&gt;=Assumptions!$B$63),"Independent browser-buyer",IF(AND(OR(O183&gt;=Assumptions!$B$60,P183&gt;=Assumptions!$B$61),K183&lt;=2),"Engaged, not converting",IF(AND(K183=1,O183&lt;Assumptions!$B$60,P183&lt;Assumptions!$B$61),"One-off low-touch buyer","Light-touch repeat buyer")))))</f>
        <v>One-off low-touch buyer</v>
      </c>
      <c r="AE183" s="10" t="b">
        <f aca="false">INDEX(Segmentation!$AW$2:$AW$301,MATCH($A183,Segmentation!$A$2:$A$301,0))</f>
        <v>0</v>
      </c>
    </row>
    <row r="184" customFormat="false" ht="15" hidden="false" customHeight="false" outlineLevel="0" collapsed="false">
      <c r="A184" s="2" t="s">
        <v>912</v>
      </c>
      <c r="B184" s="2" t="s">
        <v>1571</v>
      </c>
      <c r="C184" s="2" t="s">
        <v>1640</v>
      </c>
      <c r="D184" s="2" t="s">
        <v>1657</v>
      </c>
      <c r="E184" s="2" t="str">
        <f aca="false">INDEX(Segmentation!$H$2:$H$301,MATCH($A184,Segmentation!$A$2:$A$301,0))</f>
        <v>AM-Owned / Self-Serving</v>
      </c>
      <c r="F184" s="2" t="str">
        <f aca="false">INDEX(Segmentation!$J$2:$J$301,MATCH($A184,Segmentation!$A$2:$A$301,0))</f>
        <v>Tail</v>
      </c>
      <c r="G184" s="2" t="str">
        <f aca="false">INDEX(Segmentation!$N$2:$N$301,MATCH($A184,Segmentation!$A$2:$A$301,0))</f>
        <v>Lapsed</v>
      </c>
      <c r="H184" s="2" t="str">
        <f aca="false">INDEX(Segmentation!$T$2:$T$301,MATCH($A184,Segmentation!$A$2:$A$301,0))</f>
        <v>9. Long-Tail Automated Nurture</v>
      </c>
      <c r="I184" s="2" t="str">
        <f aca="false">INDEX(Segmentation!$G$2:$G$301,MATCH($A184,Segmentation!$A$2:$A$301,0))</f>
        <v>Low</v>
      </c>
      <c r="J184" s="9" t="n">
        <f aca="false">INDEX(Segmentation!$I$2:$I$301,MATCH($A184,Segmentation!$A$2:$A$301,0))</f>
        <v>145</v>
      </c>
      <c r="K184" s="2" t="n">
        <f aca="false">INDEX(Segmentation!$O$2:$O$301,MATCH($A184,Segmentation!$A$2:$A$301,0))</f>
        <v>1</v>
      </c>
      <c r="L184" s="2" t="n">
        <f aca="false">INDEX(Segmentation!$Q$2:$Q$301,MATCH($A184,Segmentation!$A$2:$A$301,0))</f>
        <v>1</v>
      </c>
      <c r="M184" s="2" t="n">
        <f aca="false">INDEX(Segmentation!$W$2:$W$301,MATCH($A184,Segmentation!$A$2:$A$301,0))</f>
        <v>1</v>
      </c>
      <c r="N184" s="2" t="str">
        <f aca="false">INDEX(Segmentation!$AF$2:$AF$301,MATCH($A184,Segmentation!$A$2:$A$301,0))</f>
        <v>Existing Customer</v>
      </c>
      <c r="O184" s="2" t="n">
        <f aca="false">INDEX(Segmentation!$R$2:$R$301,MATCH($A184,Segmentation!$A$2:$A$301,0))</f>
        <v>2</v>
      </c>
      <c r="P184" s="2" t="n">
        <v>5</v>
      </c>
      <c r="Q184" s="2" t="n">
        <f aca="false">INDEX(Segmentation!$S$2:$S$301,MATCH($A184,Segmentation!$A$2:$A$301,0))</f>
        <v>0</v>
      </c>
      <c r="R184" s="2" t="n">
        <v>3</v>
      </c>
      <c r="S184" s="2" t="n">
        <v>0</v>
      </c>
      <c r="T184" s="2" t="n">
        <v>0</v>
      </c>
      <c r="U184" s="2" t="n">
        <v>1</v>
      </c>
      <c r="V184" s="2" t="n">
        <v>100</v>
      </c>
      <c r="W184" s="2" t="str">
        <f aca="false">IF(V184=100,"Bundle-only",IF(V184=0,"Handpick-only","Mixed"))</f>
        <v>Bundle-only</v>
      </c>
      <c r="X184" s="17" t="n">
        <f aca="false">L184/K184</f>
        <v>1</v>
      </c>
      <c r="Y184" s="9" t="n">
        <f aca="false">J184/K184</f>
        <v>145</v>
      </c>
      <c r="Z184" s="10" t="b">
        <f aca="false">O184&gt;=Assumptions!$B$57</f>
        <v>0</v>
      </c>
      <c r="AA184" s="10" t="b">
        <f aca="false">P184&gt;=Assumptions!$B$58</f>
        <v>0</v>
      </c>
      <c r="AB184" s="10" t="b">
        <f aca="false">Q184&gt;=Assumptions!$B$59</f>
        <v>0</v>
      </c>
      <c r="AC184" s="2" t="n">
        <f aca="false">Z184*1+AA184*1+AB184*1</f>
        <v>0</v>
      </c>
      <c r="AD184" s="2" t="str">
        <f aca="false">IF(E184="Broker-Reliant","Broker-led, product-blind",IF(AND(I184="Low",F184&lt;&gt;"Tail",OR(G184="Declining",G184="Lapsed"),OR(O184&gt;=Assumptions!$B$60,P184&gt;=Assumptions!$B$61)),"Engaged but shrinking (Key/Core)",IF(AND(O184&gt;=Assumptions!$B$60,P184&gt;=Assumptions!$B$61,Q184&gt;=Assumptions!$B$62,K184&gt;=Assumptions!$B$63),"Independent browser-buyer",IF(AND(OR(O184&gt;=Assumptions!$B$60,P184&gt;=Assumptions!$B$61),K184&lt;=2),"Engaged, not converting",IF(AND(K184=1,O184&lt;Assumptions!$B$60,P184&lt;Assumptions!$B$61),"One-off low-touch buyer","Light-touch repeat buyer")))))</f>
        <v>One-off low-touch buyer</v>
      </c>
      <c r="AE184" s="10" t="b">
        <f aca="false">INDEX(Segmentation!$AW$2:$AW$301,MATCH($A184,Segmentation!$A$2:$A$301,0))</f>
        <v>0</v>
      </c>
    </row>
    <row r="185" customFormat="false" ht="15" hidden="false" customHeight="false" outlineLevel="0" collapsed="false">
      <c r="A185" s="2" t="s">
        <v>922</v>
      </c>
      <c r="B185" s="2" t="s">
        <v>1571</v>
      </c>
      <c r="C185" s="2" t="s">
        <v>1640</v>
      </c>
      <c r="D185" s="2" t="s">
        <v>1653</v>
      </c>
      <c r="E185" s="2" t="str">
        <f aca="false">INDEX(Segmentation!$H$2:$H$301,MATCH($A185,Segmentation!$A$2:$A$301,0))</f>
        <v>AM-Owned / Self-Serving</v>
      </c>
      <c r="F185" s="2" t="str">
        <f aca="false">INDEX(Segmentation!$J$2:$J$301,MATCH($A185,Segmentation!$A$2:$A$301,0))</f>
        <v>Tail</v>
      </c>
      <c r="G185" s="2" t="str">
        <f aca="false">INDEX(Segmentation!$N$2:$N$301,MATCH($A185,Segmentation!$A$2:$A$301,0))</f>
        <v>Lapsed</v>
      </c>
      <c r="H185" s="2" t="str">
        <f aca="false">INDEX(Segmentation!$T$2:$T$301,MATCH($A185,Segmentation!$A$2:$A$301,0))</f>
        <v>9. Long-Tail Automated Nurture</v>
      </c>
      <c r="I185" s="2" t="str">
        <f aca="false">INDEX(Segmentation!$G$2:$G$301,MATCH($A185,Segmentation!$A$2:$A$301,0))</f>
        <v>Low</v>
      </c>
      <c r="J185" s="9" t="n">
        <f aca="false">INDEX(Segmentation!$I$2:$I$301,MATCH($A185,Segmentation!$A$2:$A$301,0))</f>
        <v>134</v>
      </c>
      <c r="K185" s="2" t="n">
        <f aca="false">INDEX(Segmentation!$O$2:$O$301,MATCH($A185,Segmentation!$A$2:$A$301,0))</f>
        <v>1</v>
      </c>
      <c r="L185" s="2" t="n">
        <f aca="false">INDEX(Segmentation!$Q$2:$Q$301,MATCH($A185,Segmentation!$A$2:$A$301,0))</f>
        <v>1</v>
      </c>
      <c r="M185" s="2" t="n">
        <f aca="false">INDEX(Segmentation!$W$2:$W$301,MATCH($A185,Segmentation!$A$2:$A$301,0))</f>
        <v>1</v>
      </c>
      <c r="N185" s="2" t="str">
        <f aca="false">INDEX(Segmentation!$AF$2:$AF$301,MATCH($A185,Segmentation!$A$2:$A$301,0))</f>
        <v>Existing Customer</v>
      </c>
      <c r="O185" s="2" t="n">
        <f aca="false">INDEX(Segmentation!$R$2:$R$301,MATCH($A185,Segmentation!$A$2:$A$301,0))</f>
        <v>9</v>
      </c>
      <c r="P185" s="2" t="n">
        <v>58</v>
      </c>
      <c r="Q185" s="2" t="n">
        <f aca="false">INDEX(Segmentation!$S$2:$S$301,MATCH($A185,Segmentation!$A$2:$A$301,0))</f>
        <v>1</v>
      </c>
      <c r="R185" s="2" t="n">
        <v>1</v>
      </c>
      <c r="S185" s="2" t="n">
        <v>0</v>
      </c>
      <c r="T185" s="2" t="n">
        <v>0</v>
      </c>
      <c r="U185" s="2" t="n">
        <v>1</v>
      </c>
      <c r="V185" s="2" t="n">
        <v>100</v>
      </c>
      <c r="W185" s="2" t="str">
        <f aca="false">IF(V185=100,"Bundle-only",IF(V185=0,"Handpick-only","Mixed"))</f>
        <v>Bundle-only</v>
      </c>
      <c r="X185" s="17" t="n">
        <f aca="false">L185/K185</f>
        <v>1</v>
      </c>
      <c r="Y185" s="9" t="n">
        <f aca="false">J185/K185</f>
        <v>134</v>
      </c>
      <c r="Z185" s="10" t="b">
        <f aca="false">O185&gt;=Assumptions!$B$57</f>
        <v>0</v>
      </c>
      <c r="AA185" s="10" t="b">
        <f aca="false">P185&gt;=Assumptions!$B$58</f>
        <v>1</v>
      </c>
      <c r="AB185" s="10" t="b">
        <f aca="false">Q185&gt;=Assumptions!$B$59</f>
        <v>0</v>
      </c>
      <c r="AC185" s="2" t="n">
        <f aca="false">Z185*1+AA185*1+AB185*1</f>
        <v>1</v>
      </c>
      <c r="AD185" s="2" t="str">
        <f aca="false">IF(E185="Broker-Reliant","Broker-led, product-blind",IF(AND(I185="Low",F185&lt;&gt;"Tail",OR(G185="Declining",G185="Lapsed"),OR(O185&gt;=Assumptions!$B$60,P185&gt;=Assumptions!$B$61)),"Engaged but shrinking (Key/Core)",IF(AND(O185&gt;=Assumptions!$B$60,P185&gt;=Assumptions!$B$61,Q185&gt;=Assumptions!$B$62,K185&gt;=Assumptions!$B$63),"Independent browser-buyer",IF(AND(OR(O185&gt;=Assumptions!$B$60,P185&gt;=Assumptions!$B$61),K185&lt;=2),"Engaged, not converting",IF(AND(K185=1,O185&lt;Assumptions!$B$60,P185&lt;Assumptions!$B$61),"One-off low-touch buyer","Light-touch repeat buyer")))))</f>
        <v>One-off low-touch buyer</v>
      </c>
      <c r="AE185" s="10" t="b">
        <f aca="false">INDEX(Segmentation!$AW$2:$AW$301,MATCH($A185,Segmentation!$A$2:$A$301,0))</f>
        <v>0</v>
      </c>
    </row>
    <row r="186" customFormat="false" ht="15" hidden="false" customHeight="false" outlineLevel="0" collapsed="false">
      <c r="A186" s="2" t="s">
        <v>926</v>
      </c>
      <c r="B186" s="2" t="s">
        <v>1571</v>
      </c>
      <c r="C186" s="2" t="s">
        <v>1640</v>
      </c>
      <c r="D186" s="2" t="s">
        <v>1653</v>
      </c>
      <c r="E186" s="2" t="str">
        <f aca="false">INDEX(Segmentation!$H$2:$H$301,MATCH($A186,Segmentation!$A$2:$A$301,0))</f>
        <v>AM-Owned / Self-Serving</v>
      </c>
      <c r="F186" s="2" t="str">
        <f aca="false">INDEX(Segmentation!$J$2:$J$301,MATCH($A186,Segmentation!$A$2:$A$301,0))</f>
        <v>Tail</v>
      </c>
      <c r="G186" s="2" t="str">
        <f aca="false">INDEX(Segmentation!$N$2:$N$301,MATCH($A186,Segmentation!$A$2:$A$301,0))</f>
        <v>H2 Active / No H1 GMV</v>
      </c>
      <c r="H186" s="2" t="str">
        <f aca="false">INDEX(Segmentation!$T$2:$T$301,MATCH($A186,Segmentation!$A$2:$A$301,0))</f>
        <v>9. Long-Tail Automated Nurture</v>
      </c>
      <c r="I186" s="2" t="str">
        <f aca="false">INDEX(Segmentation!$G$2:$G$301,MATCH($A186,Segmentation!$A$2:$A$301,0))</f>
        <v>Low</v>
      </c>
      <c r="J186" s="9" t="n">
        <f aca="false">INDEX(Segmentation!$I$2:$I$301,MATCH($A186,Segmentation!$A$2:$A$301,0))</f>
        <v>123</v>
      </c>
      <c r="K186" s="2" t="n">
        <f aca="false">INDEX(Segmentation!$O$2:$O$301,MATCH($A186,Segmentation!$A$2:$A$301,0))</f>
        <v>1</v>
      </c>
      <c r="L186" s="2" t="n">
        <f aca="false">INDEX(Segmentation!$Q$2:$Q$301,MATCH($A186,Segmentation!$A$2:$A$301,0))</f>
        <v>1</v>
      </c>
      <c r="M186" s="2" t="n">
        <f aca="false">INDEX(Segmentation!$W$2:$W$301,MATCH($A186,Segmentation!$A$2:$A$301,0))</f>
        <v>1</v>
      </c>
      <c r="N186" s="2" t="str">
        <f aca="false">INDEX(Segmentation!$AF$2:$AF$301,MATCH($A186,Segmentation!$A$2:$A$301,0))</f>
        <v>Returned Customer</v>
      </c>
      <c r="O186" s="2" t="n">
        <f aca="false">INDEX(Segmentation!$R$2:$R$301,MATCH($A186,Segmentation!$A$2:$A$301,0))</f>
        <v>7</v>
      </c>
      <c r="P186" s="2" t="n">
        <v>107</v>
      </c>
      <c r="Q186" s="2" t="n">
        <f aca="false">INDEX(Segmentation!$S$2:$S$301,MATCH($A186,Segmentation!$A$2:$A$301,0))</f>
        <v>16</v>
      </c>
      <c r="R186" s="2" t="n">
        <v>3</v>
      </c>
      <c r="S186" s="2" t="n">
        <v>0</v>
      </c>
      <c r="T186" s="2" t="n">
        <v>0</v>
      </c>
      <c r="U186" s="2" t="n">
        <v>1</v>
      </c>
      <c r="V186" s="2" t="n">
        <v>100</v>
      </c>
      <c r="W186" s="2" t="str">
        <f aca="false">IF(V186=100,"Bundle-only",IF(V186=0,"Handpick-only","Mixed"))</f>
        <v>Bundle-only</v>
      </c>
      <c r="X186" s="17" t="n">
        <f aca="false">L186/K186</f>
        <v>1</v>
      </c>
      <c r="Y186" s="9" t="n">
        <f aca="false">J186/K186</f>
        <v>123</v>
      </c>
      <c r="Z186" s="10" t="b">
        <f aca="false">O186&gt;=Assumptions!$B$57</f>
        <v>0</v>
      </c>
      <c r="AA186" s="10" t="b">
        <f aca="false">P186&gt;=Assumptions!$B$58</f>
        <v>1</v>
      </c>
      <c r="AB186" s="10" t="b">
        <f aca="false">Q186&gt;=Assumptions!$B$59</f>
        <v>1</v>
      </c>
      <c r="AC186" s="2" t="n">
        <f aca="false">Z186*1+AA186*1+AB186*1</f>
        <v>2</v>
      </c>
      <c r="AD186" s="2" t="str">
        <f aca="false">IF(E186="Broker-Reliant","Broker-led, product-blind",IF(AND(I186="Low",F186&lt;&gt;"Tail",OR(G186="Declining",G186="Lapsed"),OR(O186&gt;=Assumptions!$B$60,P186&gt;=Assumptions!$B$61)),"Engaged but shrinking (Key/Core)",IF(AND(O186&gt;=Assumptions!$B$60,P186&gt;=Assumptions!$B$61,Q186&gt;=Assumptions!$B$62,K186&gt;=Assumptions!$B$63),"Independent browser-buyer",IF(AND(OR(O186&gt;=Assumptions!$B$60,P186&gt;=Assumptions!$B$61),K186&lt;=2),"Engaged, not converting",IF(AND(K186=1,O186&lt;Assumptions!$B$60,P186&lt;Assumptions!$B$61),"One-off low-touch buyer","Light-touch repeat buyer")))))</f>
        <v>One-off low-touch buyer</v>
      </c>
      <c r="AE186" s="10" t="b">
        <f aca="false">INDEX(Segmentation!$AW$2:$AW$301,MATCH($A186,Segmentation!$A$2:$A$301,0))</f>
        <v>0</v>
      </c>
    </row>
    <row r="187" customFormat="false" ht="15" hidden="false" customHeight="false" outlineLevel="0" collapsed="false">
      <c r="A187" s="2" t="s">
        <v>930</v>
      </c>
      <c r="B187" s="2" t="s">
        <v>1571</v>
      </c>
      <c r="C187" s="2" t="s">
        <v>1640</v>
      </c>
      <c r="D187" s="2" t="s">
        <v>1653</v>
      </c>
      <c r="E187" s="2" t="str">
        <f aca="false">INDEX(Segmentation!$H$2:$H$301,MATCH($A187,Segmentation!$A$2:$A$301,0))</f>
        <v>AM-Owned / Self-Serving</v>
      </c>
      <c r="F187" s="2" t="str">
        <f aca="false">INDEX(Segmentation!$J$2:$J$301,MATCH($A187,Segmentation!$A$2:$A$301,0))</f>
        <v>Tail</v>
      </c>
      <c r="G187" s="2" t="str">
        <f aca="false">INDEX(Segmentation!$N$2:$N$301,MATCH($A187,Segmentation!$A$2:$A$301,0))</f>
        <v>Lapsed</v>
      </c>
      <c r="H187" s="2" t="str">
        <f aca="false">INDEX(Segmentation!$T$2:$T$301,MATCH($A187,Segmentation!$A$2:$A$301,0))</f>
        <v>9. Long-Tail Automated Nurture</v>
      </c>
      <c r="I187" s="2" t="str">
        <f aca="false">INDEX(Segmentation!$G$2:$G$301,MATCH($A187,Segmentation!$A$2:$A$301,0))</f>
        <v>Low</v>
      </c>
      <c r="J187" s="9" t="n">
        <f aca="false">INDEX(Segmentation!$I$2:$I$301,MATCH($A187,Segmentation!$A$2:$A$301,0))</f>
        <v>121</v>
      </c>
      <c r="K187" s="2" t="n">
        <f aca="false">INDEX(Segmentation!$O$2:$O$301,MATCH($A187,Segmentation!$A$2:$A$301,0))</f>
        <v>1</v>
      </c>
      <c r="L187" s="2" t="n">
        <f aca="false">INDEX(Segmentation!$Q$2:$Q$301,MATCH($A187,Segmentation!$A$2:$A$301,0))</f>
        <v>1</v>
      </c>
      <c r="M187" s="2" t="n">
        <f aca="false">INDEX(Segmentation!$W$2:$W$301,MATCH($A187,Segmentation!$A$2:$A$301,0))</f>
        <v>1</v>
      </c>
      <c r="N187" s="2" t="str">
        <f aca="false">INDEX(Segmentation!$AF$2:$AF$301,MATCH($A187,Segmentation!$A$2:$A$301,0))</f>
        <v>Existing Customer</v>
      </c>
      <c r="O187" s="2" t="n">
        <f aca="false">INDEX(Segmentation!$R$2:$R$301,MATCH($A187,Segmentation!$A$2:$A$301,0))</f>
        <v>6</v>
      </c>
      <c r="P187" s="2" t="n">
        <v>147</v>
      </c>
      <c r="Q187" s="2" t="n">
        <f aca="false">INDEX(Segmentation!$S$2:$S$301,MATCH($A187,Segmentation!$A$2:$A$301,0))</f>
        <v>1</v>
      </c>
      <c r="R187" s="2" t="n">
        <v>2</v>
      </c>
      <c r="S187" s="2" t="n">
        <v>0</v>
      </c>
      <c r="T187" s="2" t="n">
        <v>0</v>
      </c>
      <c r="U187" s="2" t="n">
        <v>1</v>
      </c>
      <c r="V187" s="2" t="n">
        <v>100</v>
      </c>
      <c r="W187" s="2" t="str">
        <f aca="false">IF(V187=100,"Bundle-only",IF(V187=0,"Handpick-only","Mixed"))</f>
        <v>Bundle-only</v>
      </c>
      <c r="X187" s="17" t="n">
        <f aca="false">L187/K187</f>
        <v>1</v>
      </c>
      <c r="Y187" s="9" t="n">
        <f aca="false">J187/K187</f>
        <v>121</v>
      </c>
      <c r="Z187" s="10" t="b">
        <f aca="false">O187&gt;=Assumptions!$B$57</f>
        <v>0</v>
      </c>
      <c r="AA187" s="10" t="b">
        <f aca="false">P187&gt;=Assumptions!$B$58</f>
        <v>1</v>
      </c>
      <c r="AB187" s="10" t="b">
        <f aca="false">Q187&gt;=Assumptions!$B$59</f>
        <v>0</v>
      </c>
      <c r="AC187" s="2" t="n">
        <f aca="false">Z187*1+AA187*1+AB187*1</f>
        <v>1</v>
      </c>
      <c r="AD187" s="2" t="str">
        <f aca="false">IF(E187="Broker-Reliant","Broker-led, product-blind",IF(AND(I187="Low",F187&lt;&gt;"Tail",OR(G187="Declining",G187="Lapsed"),OR(O187&gt;=Assumptions!$B$60,P187&gt;=Assumptions!$B$61)),"Engaged but shrinking (Key/Core)",IF(AND(O187&gt;=Assumptions!$B$60,P187&gt;=Assumptions!$B$61,Q187&gt;=Assumptions!$B$62,K187&gt;=Assumptions!$B$63),"Independent browser-buyer",IF(AND(OR(O187&gt;=Assumptions!$B$60,P187&gt;=Assumptions!$B$61),K187&lt;=2),"Engaged, not converting",IF(AND(K187=1,O187&lt;Assumptions!$B$60,P187&lt;Assumptions!$B$61),"One-off low-touch buyer","Light-touch repeat buyer")))))</f>
        <v>One-off low-touch buyer</v>
      </c>
      <c r="AE187" s="10" t="b">
        <f aca="false">INDEX(Segmentation!$AW$2:$AW$301,MATCH($A187,Segmentation!$A$2:$A$301,0))</f>
        <v>0</v>
      </c>
    </row>
    <row r="188" customFormat="false" ht="15" hidden="false" customHeight="false" outlineLevel="0" collapsed="false">
      <c r="A188" s="2" t="s">
        <v>936</v>
      </c>
      <c r="B188" s="2" t="s">
        <v>1571</v>
      </c>
      <c r="C188" s="2" t="s">
        <v>1640</v>
      </c>
      <c r="D188" s="2" t="s">
        <v>1653</v>
      </c>
      <c r="E188" s="2" t="str">
        <f aca="false">INDEX(Segmentation!$H$2:$H$301,MATCH($A188,Segmentation!$A$2:$A$301,0))</f>
        <v>AM-Owned / Self-Serving</v>
      </c>
      <c r="F188" s="2" t="str">
        <f aca="false">INDEX(Segmentation!$J$2:$J$301,MATCH($A188,Segmentation!$A$2:$A$301,0))</f>
        <v>Tail</v>
      </c>
      <c r="G188" s="2" t="str">
        <f aca="false">INDEX(Segmentation!$N$2:$N$301,MATCH($A188,Segmentation!$A$2:$A$301,0))</f>
        <v>H2 Active / No H1 GMV</v>
      </c>
      <c r="H188" s="2" t="str">
        <f aca="false">INDEX(Segmentation!$T$2:$T$301,MATCH($A188,Segmentation!$A$2:$A$301,0))</f>
        <v>9. Long-Tail Automated Nurture</v>
      </c>
      <c r="I188" s="2" t="str">
        <f aca="false">INDEX(Segmentation!$G$2:$G$301,MATCH($A188,Segmentation!$A$2:$A$301,0))</f>
        <v>Low</v>
      </c>
      <c r="J188" s="9" t="n">
        <f aca="false">INDEX(Segmentation!$I$2:$I$301,MATCH($A188,Segmentation!$A$2:$A$301,0))</f>
        <v>117</v>
      </c>
      <c r="K188" s="2" t="n">
        <f aca="false">INDEX(Segmentation!$O$2:$O$301,MATCH($A188,Segmentation!$A$2:$A$301,0))</f>
        <v>1</v>
      </c>
      <c r="L188" s="2" t="n">
        <f aca="false">INDEX(Segmentation!$Q$2:$Q$301,MATCH($A188,Segmentation!$A$2:$A$301,0))</f>
        <v>1</v>
      </c>
      <c r="M188" s="2" t="n">
        <f aca="false">INDEX(Segmentation!$W$2:$W$301,MATCH($A188,Segmentation!$A$2:$A$301,0))</f>
        <v>1</v>
      </c>
      <c r="N188" s="2" t="str">
        <f aca="false">INDEX(Segmentation!$AF$2:$AF$301,MATCH($A188,Segmentation!$A$2:$A$301,0))</f>
        <v>Returned Customer</v>
      </c>
      <c r="O188" s="2" t="n">
        <f aca="false">INDEX(Segmentation!$R$2:$R$301,MATCH($A188,Segmentation!$A$2:$A$301,0))</f>
        <v>7</v>
      </c>
      <c r="P188" s="2" t="n">
        <v>80</v>
      </c>
      <c r="Q188" s="2" t="n">
        <f aca="false">INDEX(Segmentation!$S$2:$S$301,MATCH($A188,Segmentation!$A$2:$A$301,0))</f>
        <v>6</v>
      </c>
      <c r="R188" s="2" t="n">
        <v>22</v>
      </c>
      <c r="S188" s="2" t="n">
        <v>1</v>
      </c>
      <c r="T188" s="2" t="n">
        <v>0</v>
      </c>
      <c r="U188" s="2" t="n">
        <v>1</v>
      </c>
      <c r="V188" s="2" t="n">
        <v>100</v>
      </c>
      <c r="W188" s="2" t="str">
        <f aca="false">IF(V188=100,"Bundle-only",IF(V188=0,"Handpick-only","Mixed"))</f>
        <v>Bundle-only</v>
      </c>
      <c r="X188" s="17" t="n">
        <f aca="false">L188/K188</f>
        <v>1</v>
      </c>
      <c r="Y188" s="9" t="n">
        <f aca="false">J188/K188</f>
        <v>117</v>
      </c>
      <c r="Z188" s="10" t="b">
        <f aca="false">O188&gt;=Assumptions!$B$57</f>
        <v>0</v>
      </c>
      <c r="AA188" s="10" t="b">
        <f aca="false">P188&gt;=Assumptions!$B$58</f>
        <v>1</v>
      </c>
      <c r="AB188" s="10" t="b">
        <f aca="false">Q188&gt;=Assumptions!$B$59</f>
        <v>1</v>
      </c>
      <c r="AC188" s="2" t="n">
        <f aca="false">Z188*1+AA188*1+AB188*1</f>
        <v>2</v>
      </c>
      <c r="AD188" s="2" t="str">
        <f aca="false">IF(E188="Broker-Reliant","Broker-led, product-blind",IF(AND(I188="Low",F188&lt;&gt;"Tail",OR(G188="Declining",G188="Lapsed"),OR(O188&gt;=Assumptions!$B$60,P188&gt;=Assumptions!$B$61)),"Engaged but shrinking (Key/Core)",IF(AND(O188&gt;=Assumptions!$B$60,P188&gt;=Assumptions!$B$61,Q188&gt;=Assumptions!$B$62,K188&gt;=Assumptions!$B$63),"Independent browser-buyer",IF(AND(OR(O188&gt;=Assumptions!$B$60,P188&gt;=Assumptions!$B$61),K188&lt;=2),"Engaged, not converting",IF(AND(K188=1,O188&lt;Assumptions!$B$60,P188&lt;Assumptions!$B$61),"One-off low-touch buyer","Light-touch repeat buyer")))))</f>
        <v>One-off low-touch buyer</v>
      </c>
      <c r="AE188" s="10" t="b">
        <f aca="false">INDEX(Segmentation!$AW$2:$AW$301,MATCH($A188,Segmentation!$A$2:$A$301,0))</f>
        <v>0</v>
      </c>
    </row>
    <row r="189" customFormat="false" ht="15" hidden="false" customHeight="false" outlineLevel="0" collapsed="false">
      <c r="A189" s="2" t="s">
        <v>938</v>
      </c>
      <c r="B189" s="2" t="s">
        <v>1571</v>
      </c>
      <c r="C189" s="2" t="s">
        <v>1640</v>
      </c>
      <c r="D189" s="2" t="s">
        <v>1657</v>
      </c>
      <c r="E189" s="2" t="str">
        <f aca="false">INDEX(Segmentation!$H$2:$H$301,MATCH($A189,Segmentation!$A$2:$A$301,0))</f>
        <v>AM-Owned / Self-Serving</v>
      </c>
      <c r="F189" s="2" t="str">
        <f aca="false">INDEX(Segmentation!$J$2:$J$301,MATCH($A189,Segmentation!$A$2:$A$301,0))</f>
        <v>Tail</v>
      </c>
      <c r="G189" s="2" t="str">
        <f aca="false">INDEX(Segmentation!$N$2:$N$301,MATCH($A189,Segmentation!$A$2:$A$301,0))</f>
        <v>Lapsed</v>
      </c>
      <c r="H189" s="2" t="str">
        <f aca="false">INDEX(Segmentation!$T$2:$T$301,MATCH($A189,Segmentation!$A$2:$A$301,0))</f>
        <v>9. Long-Tail Automated Nurture</v>
      </c>
      <c r="I189" s="2" t="str">
        <f aca="false">INDEX(Segmentation!$G$2:$G$301,MATCH($A189,Segmentation!$A$2:$A$301,0))</f>
        <v>Low</v>
      </c>
      <c r="J189" s="9" t="n">
        <f aca="false">INDEX(Segmentation!$I$2:$I$301,MATCH($A189,Segmentation!$A$2:$A$301,0))</f>
        <v>116</v>
      </c>
      <c r="K189" s="2" t="n">
        <f aca="false">INDEX(Segmentation!$O$2:$O$301,MATCH($A189,Segmentation!$A$2:$A$301,0))</f>
        <v>1</v>
      </c>
      <c r="L189" s="2" t="n">
        <f aca="false">INDEX(Segmentation!$Q$2:$Q$301,MATCH($A189,Segmentation!$A$2:$A$301,0))</f>
        <v>1</v>
      </c>
      <c r="M189" s="2" t="n">
        <f aca="false">INDEX(Segmentation!$W$2:$W$301,MATCH($A189,Segmentation!$A$2:$A$301,0))</f>
        <v>1</v>
      </c>
      <c r="N189" s="2" t="str">
        <f aca="false">INDEX(Segmentation!$AF$2:$AF$301,MATCH($A189,Segmentation!$A$2:$A$301,0))</f>
        <v>Existing Customer</v>
      </c>
      <c r="O189" s="2" t="n">
        <f aca="false">INDEX(Segmentation!$R$2:$R$301,MATCH($A189,Segmentation!$A$2:$A$301,0))</f>
        <v>4</v>
      </c>
      <c r="P189" s="2" t="n">
        <v>33</v>
      </c>
      <c r="Q189" s="2" t="n">
        <f aca="false">INDEX(Segmentation!$S$2:$S$301,MATCH($A189,Segmentation!$A$2:$A$301,0))</f>
        <v>0</v>
      </c>
      <c r="R189" s="2" t="n">
        <v>0</v>
      </c>
      <c r="S189" s="2" t="n">
        <v>0</v>
      </c>
      <c r="T189" s="2" t="n">
        <v>0</v>
      </c>
      <c r="U189" s="2" t="n">
        <v>1</v>
      </c>
      <c r="V189" s="2" t="n">
        <v>100</v>
      </c>
      <c r="W189" s="2" t="str">
        <f aca="false">IF(V189=100,"Bundle-only",IF(V189=0,"Handpick-only","Mixed"))</f>
        <v>Bundle-only</v>
      </c>
      <c r="X189" s="17" t="n">
        <f aca="false">L189/K189</f>
        <v>1</v>
      </c>
      <c r="Y189" s="9" t="n">
        <f aca="false">J189/K189</f>
        <v>116</v>
      </c>
      <c r="Z189" s="10" t="b">
        <f aca="false">O189&gt;=Assumptions!$B$57</f>
        <v>0</v>
      </c>
      <c r="AA189" s="10" t="b">
        <f aca="false">P189&gt;=Assumptions!$B$58</f>
        <v>0</v>
      </c>
      <c r="AB189" s="10" t="b">
        <f aca="false">Q189&gt;=Assumptions!$B$59</f>
        <v>0</v>
      </c>
      <c r="AC189" s="2" t="n">
        <f aca="false">Z189*1+AA189*1+AB189*1</f>
        <v>0</v>
      </c>
      <c r="AD189" s="2" t="str">
        <f aca="false">IF(E189="Broker-Reliant","Broker-led, product-blind",IF(AND(I189="Low",F189&lt;&gt;"Tail",OR(G189="Declining",G189="Lapsed"),OR(O189&gt;=Assumptions!$B$60,P189&gt;=Assumptions!$B$61)),"Engaged but shrinking (Key/Core)",IF(AND(O189&gt;=Assumptions!$B$60,P189&gt;=Assumptions!$B$61,Q189&gt;=Assumptions!$B$62,K189&gt;=Assumptions!$B$63),"Independent browser-buyer",IF(AND(OR(O189&gt;=Assumptions!$B$60,P189&gt;=Assumptions!$B$61),K189&lt;=2),"Engaged, not converting",IF(AND(K189=1,O189&lt;Assumptions!$B$60,P189&lt;Assumptions!$B$61),"One-off low-touch buyer","Light-touch repeat buyer")))))</f>
        <v>One-off low-touch buyer</v>
      </c>
      <c r="AE189" s="10" t="b">
        <f aca="false">INDEX(Segmentation!$AW$2:$AW$301,MATCH($A189,Segmentation!$A$2:$A$301,0))</f>
        <v>0</v>
      </c>
    </row>
    <row r="190" customFormat="false" ht="15" hidden="false" customHeight="false" outlineLevel="0" collapsed="false">
      <c r="A190" s="2" t="s">
        <v>940</v>
      </c>
      <c r="B190" s="2" t="s">
        <v>1571</v>
      </c>
      <c r="C190" s="2" t="s">
        <v>1640</v>
      </c>
      <c r="D190" s="2" t="s">
        <v>1658</v>
      </c>
      <c r="E190" s="2" t="str">
        <f aca="false">INDEX(Segmentation!$H$2:$H$301,MATCH($A190,Segmentation!$A$2:$A$301,0))</f>
        <v>AM-Owned / Self-Serving</v>
      </c>
      <c r="F190" s="2" t="str">
        <f aca="false">INDEX(Segmentation!$J$2:$J$301,MATCH($A190,Segmentation!$A$2:$A$301,0))</f>
        <v>Tail</v>
      </c>
      <c r="G190" s="2" t="str">
        <f aca="false">INDEX(Segmentation!$N$2:$N$301,MATCH($A190,Segmentation!$A$2:$A$301,0))</f>
        <v>Lapsed</v>
      </c>
      <c r="H190" s="2" t="str">
        <f aca="false">INDEX(Segmentation!$T$2:$T$301,MATCH($A190,Segmentation!$A$2:$A$301,0))</f>
        <v>9. Long-Tail Automated Nurture</v>
      </c>
      <c r="I190" s="2" t="str">
        <f aca="false">INDEX(Segmentation!$G$2:$G$301,MATCH($A190,Segmentation!$A$2:$A$301,0))</f>
        <v>Low</v>
      </c>
      <c r="J190" s="9" t="n">
        <f aca="false">INDEX(Segmentation!$I$2:$I$301,MATCH($A190,Segmentation!$A$2:$A$301,0))</f>
        <v>116</v>
      </c>
      <c r="K190" s="2" t="n">
        <f aca="false">INDEX(Segmentation!$O$2:$O$301,MATCH($A190,Segmentation!$A$2:$A$301,0))</f>
        <v>1</v>
      </c>
      <c r="L190" s="2" t="n">
        <f aca="false">INDEX(Segmentation!$Q$2:$Q$301,MATCH($A190,Segmentation!$A$2:$A$301,0))</f>
        <v>1</v>
      </c>
      <c r="M190" s="2" t="n">
        <f aca="false">INDEX(Segmentation!$W$2:$W$301,MATCH($A190,Segmentation!$A$2:$A$301,0))</f>
        <v>1</v>
      </c>
      <c r="N190" s="2" t="str">
        <f aca="false">INDEX(Segmentation!$AF$2:$AF$301,MATCH($A190,Segmentation!$A$2:$A$301,0))</f>
        <v>Existing Customer</v>
      </c>
      <c r="O190" s="2" t="n">
        <f aca="false">INDEX(Segmentation!$R$2:$R$301,MATCH($A190,Segmentation!$A$2:$A$301,0))</f>
        <v>12</v>
      </c>
      <c r="P190" s="2" t="n">
        <v>255</v>
      </c>
      <c r="Q190" s="2" t="n">
        <f aca="false">INDEX(Segmentation!$S$2:$S$301,MATCH($A190,Segmentation!$A$2:$A$301,0))</f>
        <v>0</v>
      </c>
      <c r="R190" s="2" t="n">
        <v>9</v>
      </c>
      <c r="S190" s="2" t="n">
        <v>0</v>
      </c>
      <c r="T190" s="2" t="n">
        <v>0</v>
      </c>
      <c r="U190" s="2" t="n">
        <v>1</v>
      </c>
      <c r="V190" s="2" t="n">
        <v>100</v>
      </c>
      <c r="W190" s="2" t="str">
        <f aca="false">IF(V190=100,"Bundle-only",IF(V190=0,"Handpick-only","Mixed"))</f>
        <v>Bundle-only</v>
      </c>
      <c r="X190" s="17" t="n">
        <f aca="false">L190/K190</f>
        <v>1</v>
      </c>
      <c r="Y190" s="9" t="n">
        <f aca="false">J190/K190</f>
        <v>116</v>
      </c>
      <c r="Z190" s="10" t="b">
        <f aca="false">O190&gt;=Assumptions!$B$57</f>
        <v>1</v>
      </c>
      <c r="AA190" s="10" t="b">
        <f aca="false">P190&gt;=Assumptions!$B$58</f>
        <v>1</v>
      </c>
      <c r="AB190" s="10" t="b">
        <f aca="false">Q190&gt;=Assumptions!$B$59</f>
        <v>0</v>
      </c>
      <c r="AC190" s="2" t="n">
        <f aca="false">Z190*1+AA190*1+AB190*1</f>
        <v>2</v>
      </c>
      <c r="AD190" s="2" t="str">
        <f aca="false">IF(E190="Broker-Reliant","Broker-led, product-blind",IF(AND(I190="Low",F190&lt;&gt;"Tail",OR(G190="Declining",G190="Lapsed"),OR(O190&gt;=Assumptions!$B$60,P190&gt;=Assumptions!$B$61)),"Engaged but shrinking (Key/Core)",IF(AND(O190&gt;=Assumptions!$B$60,P190&gt;=Assumptions!$B$61,Q190&gt;=Assumptions!$B$62,K190&gt;=Assumptions!$B$63),"Independent browser-buyer",IF(AND(OR(O190&gt;=Assumptions!$B$60,P190&gt;=Assumptions!$B$61),K190&lt;=2),"Engaged, not converting",IF(AND(K190=1,O190&lt;Assumptions!$B$60,P190&lt;Assumptions!$B$61),"One-off low-touch buyer","Light-touch repeat buyer")))))</f>
        <v>Engaged, not converting</v>
      </c>
      <c r="AE190" s="10" t="b">
        <f aca="false">INDEX(Segmentation!$AW$2:$AW$301,MATCH($A190,Segmentation!$A$2:$A$301,0))</f>
        <v>0</v>
      </c>
    </row>
    <row r="191" customFormat="false" ht="15" hidden="false" customHeight="false" outlineLevel="0" collapsed="false">
      <c r="A191" s="2" t="s">
        <v>942</v>
      </c>
      <c r="B191" s="2" t="s">
        <v>1571</v>
      </c>
      <c r="C191" s="2" t="s">
        <v>1640</v>
      </c>
      <c r="D191" s="2" t="s">
        <v>1653</v>
      </c>
      <c r="E191" s="2" t="str">
        <f aca="false">INDEX(Segmentation!$H$2:$H$301,MATCH($A191,Segmentation!$A$2:$A$301,0))</f>
        <v>AM-Owned / Self-Serving</v>
      </c>
      <c r="F191" s="2" t="str">
        <f aca="false">INDEX(Segmentation!$J$2:$J$301,MATCH($A191,Segmentation!$A$2:$A$301,0))</f>
        <v>Tail</v>
      </c>
      <c r="G191" s="2" t="str">
        <f aca="false">INDEX(Segmentation!$N$2:$N$301,MATCH($A191,Segmentation!$A$2:$A$301,0))</f>
        <v>Lapsed</v>
      </c>
      <c r="H191" s="2" t="str">
        <f aca="false">INDEX(Segmentation!$T$2:$T$301,MATCH($A191,Segmentation!$A$2:$A$301,0))</f>
        <v>9. Long-Tail Automated Nurture</v>
      </c>
      <c r="I191" s="2" t="str">
        <f aca="false">INDEX(Segmentation!$G$2:$G$301,MATCH($A191,Segmentation!$A$2:$A$301,0))</f>
        <v>Low</v>
      </c>
      <c r="J191" s="9" t="n">
        <f aca="false">INDEX(Segmentation!$I$2:$I$301,MATCH($A191,Segmentation!$A$2:$A$301,0))</f>
        <v>113</v>
      </c>
      <c r="K191" s="2" t="n">
        <f aca="false">INDEX(Segmentation!$O$2:$O$301,MATCH($A191,Segmentation!$A$2:$A$301,0))</f>
        <v>1</v>
      </c>
      <c r="L191" s="2" t="n">
        <f aca="false">INDEX(Segmentation!$Q$2:$Q$301,MATCH($A191,Segmentation!$A$2:$A$301,0))</f>
        <v>1</v>
      </c>
      <c r="M191" s="2" t="n">
        <f aca="false">INDEX(Segmentation!$W$2:$W$301,MATCH($A191,Segmentation!$A$2:$A$301,0))</f>
        <v>1</v>
      </c>
      <c r="N191" s="2" t="str">
        <f aca="false">INDEX(Segmentation!$AF$2:$AF$301,MATCH($A191,Segmentation!$A$2:$A$301,0))</f>
        <v>Existing Customer</v>
      </c>
      <c r="O191" s="2" t="n">
        <f aca="false">INDEX(Segmentation!$R$2:$R$301,MATCH($A191,Segmentation!$A$2:$A$301,0))</f>
        <v>2</v>
      </c>
      <c r="P191" s="2" t="n">
        <v>13</v>
      </c>
      <c r="Q191" s="2" t="n">
        <f aca="false">INDEX(Segmentation!$S$2:$S$301,MATCH($A191,Segmentation!$A$2:$A$301,0))</f>
        <v>0</v>
      </c>
      <c r="R191" s="2" t="n">
        <v>2</v>
      </c>
      <c r="S191" s="2" t="n">
        <v>0</v>
      </c>
      <c r="T191" s="2" t="n">
        <v>0</v>
      </c>
      <c r="U191" s="2" t="n">
        <v>1</v>
      </c>
      <c r="V191" s="2" t="n">
        <v>100</v>
      </c>
      <c r="W191" s="2" t="str">
        <f aca="false">IF(V191=100,"Bundle-only",IF(V191=0,"Handpick-only","Mixed"))</f>
        <v>Bundle-only</v>
      </c>
      <c r="X191" s="17" t="n">
        <f aca="false">L191/K191</f>
        <v>1</v>
      </c>
      <c r="Y191" s="9" t="n">
        <f aca="false">J191/K191</f>
        <v>113</v>
      </c>
      <c r="Z191" s="10" t="b">
        <f aca="false">O191&gt;=Assumptions!$B$57</f>
        <v>0</v>
      </c>
      <c r="AA191" s="10" t="b">
        <f aca="false">P191&gt;=Assumptions!$B$58</f>
        <v>0</v>
      </c>
      <c r="AB191" s="10" t="b">
        <f aca="false">Q191&gt;=Assumptions!$B$59</f>
        <v>0</v>
      </c>
      <c r="AC191" s="2" t="n">
        <f aca="false">Z191*1+AA191*1+AB191*1</f>
        <v>0</v>
      </c>
      <c r="AD191" s="2" t="str">
        <f aca="false">IF(E191="Broker-Reliant","Broker-led, product-blind",IF(AND(I191="Low",F191&lt;&gt;"Tail",OR(G191="Declining",G191="Lapsed"),OR(O191&gt;=Assumptions!$B$60,P191&gt;=Assumptions!$B$61)),"Engaged but shrinking (Key/Core)",IF(AND(O191&gt;=Assumptions!$B$60,P191&gt;=Assumptions!$B$61,Q191&gt;=Assumptions!$B$62,K191&gt;=Assumptions!$B$63),"Independent browser-buyer",IF(AND(OR(O191&gt;=Assumptions!$B$60,P191&gt;=Assumptions!$B$61),K191&lt;=2),"Engaged, not converting",IF(AND(K191=1,O191&lt;Assumptions!$B$60,P191&lt;Assumptions!$B$61),"One-off low-touch buyer","Light-touch repeat buyer")))))</f>
        <v>One-off low-touch buyer</v>
      </c>
      <c r="AE191" s="10" t="b">
        <f aca="false">INDEX(Segmentation!$AW$2:$AW$301,MATCH($A191,Segmentation!$A$2:$A$301,0))</f>
        <v>0</v>
      </c>
    </row>
    <row r="192" customFormat="false" ht="15" hidden="false" customHeight="false" outlineLevel="0" collapsed="false">
      <c r="A192" s="2" t="s">
        <v>946</v>
      </c>
      <c r="B192" s="2" t="s">
        <v>1571</v>
      </c>
      <c r="C192" s="2" t="s">
        <v>1640</v>
      </c>
      <c r="D192" s="2" t="s">
        <v>1653</v>
      </c>
      <c r="E192" s="2" t="str">
        <f aca="false">INDEX(Segmentation!$H$2:$H$301,MATCH($A192,Segmentation!$A$2:$A$301,0))</f>
        <v>AM-Owned / Self-Serving</v>
      </c>
      <c r="F192" s="2" t="str">
        <f aca="false">INDEX(Segmentation!$J$2:$J$301,MATCH($A192,Segmentation!$A$2:$A$301,0))</f>
        <v>Tail</v>
      </c>
      <c r="G192" s="2" t="str">
        <f aca="false">INDEX(Segmentation!$N$2:$N$301,MATCH($A192,Segmentation!$A$2:$A$301,0))</f>
        <v>Lapsed</v>
      </c>
      <c r="H192" s="2" t="str">
        <f aca="false">INDEX(Segmentation!$T$2:$T$301,MATCH($A192,Segmentation!$A$2:$A$301,0))</f>
        <v>9. Long-Tail Automated Nurture</v>
      </c>
      <c r="I192" s="2" t="str">
        <f aca="false">INDEX(Segmentation!$G$2:$G$301,MATCH($A192,Segmentation!$A$2:$A$301,0))</f>
        <v>Low</v>
      </c>
      <c r="J192" s="9" t="n">
        <f aca="false">INDEX(Segmentation!$I$2:$I$301,MATCH($A192,Segmentation!$A$2:$A$301,0))</f>
        <v>109</v>
      </c>
      <c r="K192" s="2" t="n">
        <f aca="false">INDEX(Segmentation!$O$2:$O$301,MATCH($A192,Segmentation!$A$2:$A$301,0))</f>
        <v>1</v>
      </c>
      <c r="L192" s="2" t="n">
        <f aca="false">INDEX(Segmentation!$Q$2:$Q$301,MATCH($A192,Segmentation!$A$2:$A$301,0))</f>
        <v>1</v>
      </c>
      <c r="M192" s="2" t="n">
        <f aca="false">INDEX(Segmentation!$W$2:$W$301,MATCH($A192,Segmentation!$A$2:$A$301,0))</f>
        <v>1</v>
      </c>
      <c r="N192" s="2" t="str">
        <f aca="false">INDEX(Segmentation!$AF$2:$AF$301,MATCH($A192,Segmentation!$A$2:$A$301,0))</f>
        <v>Existing Customer</v>
      </c>
      <c r="O192" s="2" t="n">
        <f aca="false">INDEX(Segmentation!$R$2:$R$301,MATCH($A192,Segmentation!$A$2:$A$301,0))</f>
        <v>25</v>
      </c>
      <c r="P192" s="2" t="n">
        <v>235</v>
      </c>
      <c r="Q192" s="2" t="n">
        <f aca="false">INDEX(Segmentation!$S$2:$S$301,MATCH($A192,Segmentation!$A$2:$A$301,0))</f>
        <v>0</v>
      </c>
      <c r="R192" s="2" t="n">
        <v>0</v>
      </c>
      <c r="S192" s="2" t="n">
        <v>0</v>
      </c>
      <c r="T192" s="2" t="n">
        <v>0</v>
      </c>
      <c r="U192" s="2" t="n">
        <v>1</v>
      </c>
      <c r="V192" s="2" t="n">
        <v>100</v>
      </c>
      <c r="W192" s="2" t="str">
        <f aca="false">IF(V192=100,"Bundle-only",IF(V192=0,"Handpick-only","Mixed"))</f>
        <v>Bundle-only</v>
      </c>
      <c r="X192" s="17" t="n">
        <f aca="false">L192/K192</f>
        <v>1</v>
      </c>
      <c r="Y192" s="9" t="n">
        <f aca="false">J192/K192</f>
        <v>109</v>
      </c>
      <c r="Z192" s="10" t="b">
        <f aca="false">O192&gt;=Assumptions!$B$57</f>
        <v>1</v>
      </c>
      <c r="AA192" s="10" t="b">
        <f aca="false">P192&gt;=Assumptions!$B$58</f>
        <v>1</v>
      </c>
      <c r="AB192" s="10" t="b">
        <f aca="false">Q192&gt;=Assumptions!$B$59</f>
        <v>0</v>
      </c>
      <c r="AC192" s="2" t="n">
        <f aca="false">Z192*1+AA192*1+AB192*1</f>
        <v>2</v>
      </c>
      <c r="AD192" s="2" t="str">
        <f aca="false">IF(E192="Broker-Reliant","Broker-led, product-blind",IF(AND(I192="Low",F192&lt;&gt;"Tail",OR(G192="Declining",G192="Lapsed"),OR(O192&gt;=Assumptions!$B$60,P192&gt;=Assumptions!$B$61)),"Engaged but shrinking (Key/Core)",IF(AND(O192&gt;=Assumptions!$B$60,P192&gt;=Assumptions!$B$61,Q192&gt;=Assumptions!$B$62,K192&gt;=Assumptions!$B$63),"Independent browser-buyer",IF(AND(OR(O192&gt;=Assumptions!$B$60,P192&gt;=Assumptions!$B$61),K192&lt;=2),"Engaged, not converting",IF(AND(K192=1,O192&lt;Assumptions!$B$60,P192&lt;Assumptions!$B$61),"One-off low-touch buyer","Light-touch repeat buyer")))))</f>
        <v>Engaged, not converting</v>
      </c>
      <c r="AE192" s="10" t="b">
        <f aca="false">INDEX(Segmentation!$AW$2:$AW$301,MATCH($A192,Segmentation!$A$2:$A$301,0))</f>
        <v>0</v>
      </c>
    </row>
    <row r="193" customFormat="false" ht="15" hidden="false" customHeight="false" outlineLevel="0" collapsed="false">
      <c r="A193" s="2" t="s">
        <v>948</v>
      </c>
      <c r="B193" s="2" t="s">
        <v>1571</v>
      </c>
      <c r="C193" s="2" t="s">
        <v>1640</v>
      </c>
      <c r="D193" s="2" t="s">
        <v>1655</v>
      </c>
      <c r="E193" s="2" t="str">
        <f aca="false">INDEX(Segmentation!$H$2:$H$301,MATCH($A193,Segmentation!$A$2:$A$301,0))</f>
        <v>AM-Owned / Self-Serving</v>
      </c>
      <c r="F193" s="2" t="str">
        <f aca="false">INDEX(Segmentation!$J$2:$J$301,MATCH($A193,Segmentation!$A$2:$A$301,0))</f>
        <v>Tail</v>
      </c>
      <c r="G193" s="2" t="str">
        <f aca="false">INDEX(Segmentation!$N$2:$N$301,MATCH($A193,Segmentation!$A$2:$A$301,0))</f>
        <v>H2 Active / No H1 GMV</v>
      </c>
      <c r="H193" s="2" t="str">
        <f aca="false">INDEX(Segmentation!$T$2:$T$301,MATCH($A193,Segmentation!$A$2:$A$301,0))</f>
        <v>9. Long-Tail Automated Nurture</v>
      </c>
      <c r="I193" s="2" t="str">
        <f aca="false">INDEX(Segmentation!$G$2:$G$301,MATCH($A193,Segmentation!$A$2:$A$301,0))</f>
        <v>Low</v>
      </c>
      <c r="J193" s="9" t="n">
        <f aca="false">INDEX(Segmentation!$I$2:$I$301,MATCH($A193,Segmentation!$A$2:$A$301,0))</f>
        <v>107</v>
      </c>
      <c r="K193" s="2" t="n">
        <f aca="false">INDEX(Segmentation!$O$2:$O$301,MATCH($A193,Segmentation!$A$2:$A$301,0))</f>
        <v>1</v>
      </c>
      <c r="L193" s="2" t="n">
        <f aca="false">INDEX(Segmentation!$Q$2:$Q$301,MATCH($A193,Segmentation!$A$2:$A$301,0))</f>
        <v>1</v>
      </c>
      <c r="M193" s="2" t="n">
        <f aca="false">INDEX(Segmentation!$W$2:$W$301,MATCH($A193,Segmentation!$A$2:$A$301,0))</f>
        <v>1</v>
      </c>
      <c r="N193" s="2" t="str">
        <f aca="false">INDEX(Segmentation!$AF$2:$AF$301,MATCH($A193,Segmentation!$A$2:$A$301,0))</f>
        <v>Returned Customer</v>
      </c>
      <c r="O193" s="2" t="n">
        <f aca="false">INDEX(Segmentation!$R$2:$R$301,MATCH($A193,Segmentation!$A$2:$A$301,0))</f>
        <v>1</v>
      </c>
      <c r="P193" s="2" t="n">
        <v>6</v>
      </c>
      <c r="Q193" s="2" t="n">
        <f aca="false">INDEX(Segmentation!$S$2:$S$301,MATCH($A193,Segmentation!$A$2:$A$301,0))</f>
        <v>1</v>
      </c>
      <c r="R193" s="2" t="n">
        <v>0</v>
      </c>
      <c r="S193" s="2" t="n">
        <v>0</v>
      </c>
      <c r="T193" s="2" t="n">
        <v>0</v>
      </c>
      <c r="U193" s="2" t="n">
        <v>1</v>
      </c>
      <c r="V193" s="2" t="n">
        <v>100</v>
      </c>
      <c r="W193" s="2" t="str">
        <f aca="false">IF(V193=100,"Bundle-only",IF(V193=0,"Handpick-only","Mixed"))</f>
        <v>Bundle-only</v>
      </c>
      <c r="X193" s="17" t="n">
        <f aca="false">L193/K193</f>
        <v>1</v>
      </c>
      <c r="Y193" s="9" t="n">
        <f aca="false">J193/K193</f>
        <v>107</v>
      </c>
      <c r="Z193" s="10" t="b">
        <f aca="false">O193&gt;=Assumptions!$B$57</f>
        <v>0</v>
      </c>
      <c r="AA193" s="10" t="b">
        <f aca="false">P193&gt;=Assumptions!$B$58</f>
        <v>0</v>
      </c>
      <c r="AB193" s="10" t="b">
        <f aca="false">Q193&gt;=Assumptions!$B$59</f>
        <v>0</v>
      </c>
      <c r="AC193" s="2" t="n">
        <f aca="false">Z193*1+AA193*1+AB193*1</f>
        <v>0</v>
      </c>
      <c r="AD193" s="2" t="str">
        <f aca="false">IF(E193="Broker-Reliant","Broker-led, product-blind",IF(AND(I193="Low",F193&lt;&gt;"Tail",OR(G193="Declining",G193="Lapsed"),OR(O193&gt;=Assumptions!$B$60,P193&gt;=Assumptions!$B$61)),"Engaged but shrinking (Key/Core)",IF(AND(O193&gt;=Assumptions!$B$60,P193&gt;=Assumptions!$B$61,Q193&gt;=Assumptions!$B$62,K193&gt;=Assumptions!$B$63),"Independent browser-buyer",IF(AND(OR(O193&gt;=Assumptions!$B$60,P193&gt;=Assumptions!$B$61),K193&lt;=2),"Engaged, not converting",IF(AND(K193=1,O193&lt;Assumptions!$B$60,P193&lt;Assumptions!$B$61),"One-off low-touch buyer","Light-touch repeat buyer")))))</f>
        <v>One-off low-touch buyer</v>
      </c>
      <c r="AE193" s="10" t="b">
        <f aca="false">INDEX(Segmentation!$AW$2:$AW$301,MATCH($A193,Segmentation!$A$2:$A$301,0))</f>
        <v>0</v>
      </c>
    </row>
    <row r="194" customFormat="false" ht="15" hidden="false" customHeight="false" outlineLevel="0" collapsed="false">
      <c r="A194" s="2" t="s">
        <v>950</v>
      </c>
      <c r="B194" s="2" t="s">
        <v>1571</v>
      </c>
      <c r="C194" s="2" t="s">
        <v>1640</v>
      </c>
      <c r="D194" s="2" t="s">
        <v>1656</v>
      </c>
      <c r="E194" s="2" t="str">
        <f aca="false">INDEX(Segmentation!$H$2:$H$301,MATCH($A194,Segmentation!$A$2:$A$301,0))</f>
        <v>AM-Owned / Self-Serving</v>
      </c>
      <c r="F194" s="2" t="str">
        <f aca="false">INDEX(Segmentation!$J$2:$J$301,MATCH($A194,Segmentation!$A$2:$A$301,0))</f>
        <v>Tail</v>
      </c>
      <c r="G194" s="2" t="str">
        <f aca="false">INDEX(Segmentation!$N$2:$N$301,MATCH($A194,Segmentation!$A$2:$A$301,0))</f>
        <v>Lapsed</v>
      </c>
      <c r="H194" s="2" t="str">
        <f aca="false">INDEX(Segmentation!$T$2:$T$301,MATCH($A194,Segmentation!$A$2:$A$301,0))</f>
        <v>9. Long-Tail Automated Nurture</v>
      </c>
      <c r="I194" s="2" t="str">
        <f aca="false">INDEX(Segmentation!$G$2:$G$301,MATCH($A194,Segmentation!$A$2:$A$301,0))</f>
        <v>Low</v>
      </c>
      <c r="J194" s="9" t="n">
        <f aca="false">INDEX(Segmentation!$I$2:$I$301,MATCH($A194,Segmentation!$A$2:$A$301,0))</f>
        <v>106</v>
      </c>
      <c r="K194" s="2" t="n">
        <f aca="false">INDEX(Segmentation!$O$2:$O$301,MATCH($A194,Segmentation!$A$2:$A$301,0))</f>
        <v>1</v>
      </c>
      <c r="L194" s="2" t="n">
        <f aca="false">INDEX(Segmentation!$Q$2:$Q$301,MATCH($A194,Segmentation!$A$2:$A$301,0))</f>
        <v>1</v>
      </c>
      <c r="M194" s="2" t="n">
        <f aca="false">INDEX(Segmentation!$W$2:$W$301,MATCH($A194,Segmentation!$A$2:$A$301,0))</f>
        <v>1</v>
      </c>
      <c r="N194" s="2" t="str">
        <f aca="false">INDEX(Segmentation!$AF$2:$AF$301,MATCH($A194,Segmentation!$A$2:$A$301,0))</f>
        <v>Existing Customer</v>
      </c>
      <c r="O194" s="2" t="n">
        <f aca="false">INDEX(Segmentation!$R$2:$R$301,MATCH($A194,Segmentation!$A$2:$A$301,0))</f>
        <v>13</v>
      </c>
      <c r="P194" s="2" t="n">
        <v>69</v>
      </c>
      <c r="Q194" s="2" t="n">
        <f aca="false">INDEX(Segmentation!$S$2:$S$301,MATCH($A194,Segmentation!$A$2:$A$301,0))</f>
        <v>0</v>
      </c>
      <c r="R194" s="2" t="n">
        <v>1</v>
      </c>
      <c r="S194" s="2" t="n">
        <v>0</v>
      </c>
      <c r="T194" s="2" t="n">
        <v>0</v>
      </c>
      <c r="U194" s="2" t="n">
        <v>1</v>
      </c>
      <c r="V194" s="2" t="n">
        <v>100</v>
      </c>
      <c r="W194" s="2" t="str">
        <f aca="false">IF(V194=100,"Bundle-only",IF(V194=0,"Handpick-only","Mixed"))</f>
        <v>Bundle-only</v>
      </c>
      <c r="X194" s="17" t="n">
        <f aca="false">L194/K194</f>
        <v>1</v>
      </c>
      <c r="Y194" s="9" t="n">
        <f aca="false">J194/K194</f>
        <v>106</v>
      </c>
      <c r="Z194" s="10" t="b">
        <f aca="false">O194&gt;=Assumptions!$B$57</f>
        <v>1</v>
      </c>
      <c r="AA194" s="10" t="b">
        <f aca="false">P194&gt;=Assumptions!$B$58</f>
        <v>1</v>
      </c>
      <c r="AB194" s="10" t="b">
        <f aca="false">Q194&gt;=Assumptions!$B$59</f>
        <v>0</v>
      </c>
      <c r="AC194" s="2" t="n">
        <f aca="false">Z194*1+AA194*1+AB194*1</f>
        <v>2</v>
      </c>
      <c r="AD194" s="2" t="str">
        <f aca="false">IF(E194="Broker-Reliant","Broker-led, product-blind",IF(AND(I194="Low",F194&lt;&gt;"Tail",OR(G194="Declining",G194="Lapsed"),OR(O194&gt;=Assumptions!$B$60,P194&gt;=Assumptions!$B$61)),"Engaged but shrinking (Key/Core)",IF(AND(O194&gt;=Assumptions!$B$60,P194&gt;=Assumptions!$B$61,Q194&gt;=Assumptions!$B$62,K194&gt;=Assumptions!$B$63),"Independent browser-buyer",IF(AND(OR(O194&gt;=Assumptions!$B$60,P194&gt;=Assumptions!$B$61),K194&lt;=2),"Engaged, not converting",IF(AND(K194=1,O194&lt;Assumptions!$B$60,P194&lt;Assumptions!$B$61),"One-off low-touch buyer","Light-touch repeat buyer")))))</f>
        <v>One-off low-touch buyer</v>
      </c>
      <c r="AE194" s="10" t="b">
        <f aca="false">INDEX(Segmentation!$AW$2:$AW$301,MATCH($A194,Segmentation!$A$2:$A$301,0))</f>
        <v>0</v>
      </c>
    </row>
    <row r="195" customFormat="false" ht="15" hidden="false" customHeight="false" outlineLevel="0" collapsed="false">
      <c r="A195" s="2" t="s">
        <v>952</v>
      </c>
      <c r="B195" s="2" t="s">
        <v>1571</v>
      </c>
      <c r="C195" s="2" t="s">
        <v>1640</v>
      </c>
      <c r="D195" s="2" t="s">
        <v>1658</v>
      </c>
      <c r="E195" s="2" t="str">
        <f aca="false">INDEX(Segmentation!$H$2:$H$301,MATCH($A195,Segmentation!$A$2:$A$301,0))</f>
        <v>AM-Owned / Self-Serving</v>
      </c>
      <c r="F195" s="2" t="str">
        <f aca="false">INDEX(Segmentation!$J$2:$J$301,MATCH($A195,Segmentation!$A$2:$A$301,0))</f>
        <v>Tail</v>
      </c>
      <c r="G195" s="2" t="str">
        <f aca="false">INDEX(Segmentation!$N$2:$N$301,MATCH($A195,Segmentation!$A$2:$A$301,0))</f>
        <v>H2 Active / No H1 GMV</v>
      </c>
      <c r="H195" s="2" t="str">
        <f aca="false">INDEX(Segmentation!$T$2:$T$301,MATCH($A195,Segmentation!$A$2:$A$301,0))</f>
        <v>9. Long-Tail Automated Nurture</v>
      </c>
      <c r="I195" s="2" t="str">
        <f aca="false">INDEX(Segmentation!$G$2:$G$301,MATCH($A195,Segmentation!$A$2:$A$301,0))</f>
        <v>Low</v>
      </c>
      <c r="J195" s="9" t="n">
        <f aca="false">INDEX(Segmentation!$I$2:$I$301,MATCH($A195,Segmentation!$A$2:$A$301,0))</f>
        <v>106</v>
      </c>
      <c r="K195" s="2" t="n">
        <f aca="false">INDEX(Segmentation!$O$2:$O$301,MATCH($A195,Segmentation!$A$2:$A$301,0))</f>
        <v>1</v>
      </c>
      <c r="L195" s="2" t="n">
        <f aca="false">INDEX(Segmentation!$Q$2:$Q$301,MATCH($A195,Segmentation!$A$2:$A$301,0))</f>
        <v>1</v>
      </c>
      <c r="M195" s="2" t="n">
        <f aca="false">INDEX(Segmentation!$W$2:$W$301,MATCH($A195,Segmentation!$A$2:$A$301,0))</f>
        <v>1</v>
      </c>
      <c r="N195" s="2" t="str">
        <f aca="false">INDEX(Segmentation!$AF$2:$AF$301,MATCH($A195,Segmentation!$A$2:$A$301,0))</f>
        <v>Returned Customer</v>
      </c>
      <c r="O195" s="2" t="n">
        <f aca="false">INDEX(Segmentation!$R$2:$R$301,MATCH($A195,Segmentation!$A$2:$A$301,0))</f>
        <v>60</v>
      </c>
      <c r="P195" s="2" t="n">
        <v>248</v>
      </c>
      <c r="Q195" s="2" t="n">
        <f aca="false">INDEX(Segmentation!$S$2:$S$301,MATCH($A195,Segmentation!$A$2:$A$301,0))</f>
        <v>1</v>
      </c>
      <c r="R195" s="2" t="n">
        <v>34</v>
      </c>
      <c r="S195" s="2" t="n">
        <v>1</v>
      </c>
      <c r="T195" s="2" t="n">
        <v>0</v>
      </c>
      <c r="U195" s="2" t="n">
        <v>1</v>
      </c>
      <c r="V195" s="2" t="n">
        <v>100</v>
      </c>
      <c r="W195" s="2" t="str">
        <f aca="false">IF(V195=100,"Bundle-only",IF(V195=0,"Handpick-only","Mixed"))</f>
        <v>Bundle-only</v>
      </c>
      <c r="X195" s="17" t="n">
        <f aca="false">L195/K195</f>
        <v>1</v>
      </c>
      <c r="Y195" s="9" t="n">
        <f aca="false">J195/K195</f>
        <v>106</v>
      </c>
      <c r="Z195" s="10" t="b">
        <f aca="false">O195&gt;=Assumptions!$B$57</f>
        <v>1</v>
      </c>
      <c r="AA195" s="10" t="b">
        <f aca="false">P195&gt;=Assumptions!$B$58</f>
        <v>1</v>
      </c>
      <c r="AB195" s="10" t="b">
        <f aca="false">Q195&gt;=Assumptions!$B$59</f>
        <v>0</v>
      </c>
      <c r="AC195" s="2" t="n">
        <f aca="false">Z195*1+AA195*1+AB195*1</f>
        <v>2</v>
      </c>
      <c r="AD195" s="2" t="str">
        <f aca="false">IF(E195="Broker-Reliant","Broker-led, product-blind",IF(AND(I195="Low",F195&lt;&gt;"Tail",OR(G195="Declining",G195="Lapsed"),OR(O195&gt;=Assumptions!$B$60,P195&gt;=Assumptions!$B$61)),"Engaged but shrinking (Key/Core)",IF(AND(O195&gt;=Assumptions!$B$60,P195&gt;=Assumptions!$B$61,Q195&gt;=Assumptions!$B$62,K195&gt;=Assumptions!$B$63),"Independent browser-buyer",IF(AND(OR(O195&gt;=Assumptions!$B$60,P195&gt;=Assumptions!$B$61),K195&lt;=2),"Engaged, not converting",IF(AND(K195=1,O195&lt;Assumptions!$B$60,P195&lt;Assumptions!$B$61),"One-off low-touch buyer","Light-touch repeat buyer")))))</f>
        <v>Engaged, not converting</v>
      </c>
      <c r="AE195" s="10" t="b">
        <f aca="false">INDEX(Segmentation!$AW$2:$AW$301,MATCH($A195,Segmentation!$A$2:$A$301,0))</f>
        <v>0</v>
      </c>
    </row>
    <row r="196" customFormat="false" ht="15" hidden="false" customHeight="false" outlineLevel="0" collapsed="false">
      <c r="A196" s="2" t="s">
        <v>956</v>
      </c>
      <c r="B196" s="2" t="s">
        <v>1571</v>
      </c>
      <c r="C196" s="2" t="s">
        <v>1640</v>
      </c>
      <c r="D196" s="2" t="s">
        <v>1657</v>
      </c>
      <c r="E196" s="2" t="str">
        <f aca="false">INDEX(Segmentation!$H$2:$H$301,MATCH($A196,Segmentation!$A$2:$A$301,0))</f>
        <v>AM-Owned / Self-Serving</v>
      </c>
      <c r="F196" s="2" t="str">
        <f aca="false">INDEX(Segmentation!$J$2:$J$301,MATCH($A196,Segmentation!$A$2:$A$301,0))</f>
        <v>Tail</v>
      </c>
      <c r="G196" s="2" t="str">
        <f aca="false">INDEX(Segmentation!$N$2:$N$301,MATCH($A196,Segmentation!$A$2:$A$301,0))</f>
        <v>Lapsed</v>
      </c>
      <c r="H196" s="2" t="str">
        <f aca="false">INDEX(Segmentation!$T$2:$T$301,MATCH($A196,Segmentation!$A$2:$A$301,0))</f>
        <v>9. Long-Tail Automated Nurture</v>
      </c>
      <c r="I196" s="2" t="str">
        <f aca="false">INDEX(Segmentation!$G$2:$G$301,MATCH($A196,Segmentation!$A$2:$A$301,0))</f>
        <v>Low</v>
      </c>
      <c r="J196" s="9" t="n">
        <f aca="false">INDEX(Segmentation!$I$2:$I$301,MATCH($A196,Segmentation!$A$2:$A$301,0))</f>
        <v>103</v>
      </c>
      <c r="K196" s="2" t="n">
        <f aca="false">INDEX(Segmentation!$O$2:$O$301,MATCH($A196,Segmentation!$A$2:$A$301,0))</f>
        <v>1</v>
      </c>
      <c r="L196" s="2" t="n">
        <f aca="false">INDEX(Segmentation!$Q$2:$Q$301,MATCH($A196,Segmentation!$A$2:$A$301,0))</f>
        <v>1</v>
      </c>
      <c r="M196" s="2" t="n">
        <f aca="false">INDEX(Segmentation!$W$2:$W$301,MATCH($A196,Segmentation!$A$2:$A$301,0))</f>
        <v>1</v>
      </c>
      <c r="N196" s="2" t="str">
        <f aca="false">INDEX(Segmentation!$AF$2:$AF$301,MATCH($A196,Segmentation!$A$2:$A$301,0))</f>
        <v>Existing Customer</v>
      </c>
      <c r="O196" s="2" t="n">
        <f aca="false">INDEX(Segmentation!$R$2:$R$301,MATCH($A196,Segmentation!$A$2:$A$301,0))</f>
        <v>0</v>
      </c>
      <c r="P196" s="2" t="n">
        <v>0</v>
      </c>
      <c r="Q196" s="2" t="n">
        <f aca="false">INDEX(Segmentation!$S$2:$S$301,MATCH($A196,Segmentation!$A$2:$A$301,0))</f>
        <v>0</v>
      </c>
      <c r="R196" s="2" t="n">
        <v>0</v>
      </c>
      <c r="S196" s="2" t="n">
        <v>0</v>
      </c>
      <c r="T196" s="2" t="n">
        <v>0</v>
      </c>
      <c r="U196" s="2" t="n">
        <v>1</v>
      </c>
      <c r="V196" s="2" t="n">
        <v>100</v>
      </c>
      <c r="W196" s="2" t="str">
        <f aca="false">IF(V196=100,"Bundle-only",IF(V196=0,"Handpick-only","Mixed"))</f>
        <v>Bundle-only</v>
      </c>
      <c r="X196" s="17" t="n">
        <f aca="false">L196/K196</f>
        <v>1</v>
      </c>
      <c r="Y196" s="9" t="n">
        <f aca="false">J196/K196</f>
        <v>103</v>
      </c>
      <c r="Z196" s="10" t="b">
        <f aca="false">O196&gt;=Assumptions!$B$57</f>
        <v>0</v>
      </c>
      <c r="AA196" s="10" t="b">
        <f aca="false">P196&gt;=Assumptions!$B$58</f>
        <v>0</v>
      </c>
      <c r="AB196" s="10" t="b">
        <f aca="false">Q196&gt;=Assumptions!$B$59</f>
        <v>0</v>
      </c>
      <c r="AC196" s="2" t="n">
        <f aca="false">Z196*1+AA196*1+AB196*1</f>
        <v>0</v>
      </c>
      <c r="AD196" s="2" t="str">
        <f aca="false">IF(E196="Broker-Reliant","Broker-led, product-blind",IF(AND(I196="Low",F196&lt;&gt;"Tail",OR(G196="Declining",G196="Lapsed"),OR(O196&gt;=Assumptions!$B$60,P196&gt;=Assumptions!$B$61)),"Engaged but shrinking (Key/Core)",IF(AND(O196&gt;=Assumptions!$B$60,P196&gt;=Assumptions!$B$61,Q196&gt;=Assumptions!$B$62,K196&gt;=Assumptions!$B$63),"Independent browser-buyer",IF(AND(OR(O196&gt;=Assumptions!$B$60,P196&gt;=Assumptions!$B$61),K196&lt;=2),"Engaged, not converting",IF(AND(K196=1,O196&lt;Assumptions!$B$60,P196&lt;Assumptions!$B$61),"One-off low-touch buyer","Light-touch repeat buyer")))))</f>
        <v>One-off low-touch buyer</v>
      </c>
      <c r="AE196" s="10" t="b">
        <f aca="false">INDEX(Segmentation!$AW$2:$AW$301,MATCH($A196,Segmentation!$A$2:$A$301,0))</f>
        <v>0</v>
      </c>
    </row>
    <row r="197" customFormat="false" ht="15" hidden="false" customHeight="false" outlineLevel="0" collapsed="false">
      <c r="A197" s="2" t="s">
        <v>958</v>
      </c>
      <c r="B197" s="2" t="s">
        <v>1571</v>
      </c>
      <c r="C197" s="2" t="s">
        <v>1640</v>
      </c>
      <c r="D197" s="2" t="s">
        <v>1653</v>
      </c>
      <c r="E197" s="2" t="str">
        <f aca="false">INDEX(Segmentation!$H$2:$H$301,MATCH($A197,Segmentation!$A$2:$A$301,0))</f>
        <v>AM-Owned / Self-Serving</v>
      </c>
      <c r="F197" s="2" t="str">
        <f aca="false">INDEX(Segmentation!$J$2:$J$301,MATCH($A197,Segmentation!$A$2:$A$301,0))</f>
        <v>Tail</v>
      </c>
      <c r="G197" s="2" t="str">
        <f aca="false">INDEX(Segmentation!$N$2:$N$301,MATCH($A197,Segmentation!$A$2:$A$301,0))</f>
        <v>Lapsed</v>
      </c>
      <c r="H197" s="2" t="str">
        <f aca="false">INDEX(Segmentation!$T$2:$T$301,MATCH($A197,Segmentation!$A$2:$A$301,0))</f>
        <v>9. Long-Tail Automated Nurture</v>
      </c>
      <c r="I197" s="2" t="str">
        <f aca="false">INDEX(Segmentation!$G$2:$G$301,MATCH($A197,Segmentation!$A$2:$A$301,0))</f>
        <v>Low</v>
      </c>
      <c r="J197" s="9" t="n">
        <f aca="false">INDEX(Segmentation!$I$2:$I$301,MATCH($A197,Segmentation!$A$2:$A$301,0))</f>
        <v>101</v>
      </c>
      <c r="K197" s="2" t="n">
        <f aca="false">INDEX(Segmentation!$O$2:$O$301,MATCH($A197,Segmentation!$A$2:$A$301,0))</f>
        <v>1</v>
      </c>
      <c r="L197" s="2" t="n">
        <f aca="false">INDEX(Segmentation!$Q$2:$Q$301,MATCH($A197,Segmentation!$A$2:$A$301,0))</f>
        <v>1</v>
      </c>
      <c r="M197" s="2" t="n">
        <f aca="false">INDEX(Segmentation!$W$2:$W$301,MATCH($A197,Segmentation!$A$2:$A$301,0))</f>
        <v>1</v>
      </c>
      <c r="N197" s="2" t="str">
        <f aca="false">INDEX(Segmentation!$AF$2:$AF$301,MATCH($A197,Segmentation!$A$2:$A$301,0))</f>
        <v>Existing Customer</v>
      </c>
      <c r="O197" s="2" t="n">
        <f aca="false">INDEX(Segmentation!$R$2:$R$301,MATCH($A197,Segmentation!$A$2:$A$301,0))</f>
        <v>11</v>
      </c>
      <c r="P197" s="2" t="n">
        <v>46</v>
      </c>
      <c r="Q197" s="2" t="n">
        <f aca="false">INDEX(Segmentation!$S$2:$S$301,MATCH($A197,Segmentation!$A$2:$A$301,0))</f>
        <v>0</v>
      </c>
      <c r="R197" s="2" t="n">
        <v>0</v>
      </c>
      <c r="S197" s="2" t="n">
        <v>0</v>
      </c>
      <c r="T197" s="2" t="n">
        <v>0</v>
      </c>
      <c r="U197" s="2" t="n">
        <v>1</v>
      </c>
      <c r="V197" s="2" t="n">
        <v>100</v>
      </c>
      <c r="W197" s="2" t="str">
        <f aca="false">IF(V197=100,"Bundle-only",IF(V197=0,"Handpick-only","Mixed"))</f>
        <v>Bundle-only</v>
      </c>
      <c r="X197" s="17" t="n">
        <f aca="false">L197/K197</f>
        <v>1</v>
      </c>
      <c r="Y197" s="9" t="n">
        <f aca="false">J197/K197</f>
        <v>101</v>
      </c>
      <c r="Z197" s="10" t="b">
        <f aca="false">O197&gt;=Assumptions!$B$57</f>
        <v>1</v>
      </c>
      <c r="AA197" s="10" t="b">
        <f aca="false">P197&gt;=Assumptions!$B$58</f>
        <v>0</v>
      </c>
      <c r="AB197" s="10" t="b">
        <f aca="false">Q197&gt;=Assumptions!$B$59</f>
        <v>0</v>
      </c>
      <c r="AC197" s="2" t="n">
        <f aca="false">Z197*1+AA197*1+AB197*1</f>
        <v>1</v>
      </c>
      <c r="AD197" s="2" t="str">
        <f aca="false">IF(E197="Broker-Reliant","Broker-led, product-blind",IF(AND(I197="Low",F197&lt;&gt;"Tail",OR(G197="Declining",G197="Lapsed"),OR(O197&gt;=Assumptions!$B$60,P197&gt;=Assumptions!$B$61)),"Engaged but shrinking (Key/Core)",IF(AND(O197&gt;=Assumptions!$B$60,P197&gt;=Assumptions!$B$61,Q197&gt;=Assumptions!$B$62,K197&gt;=Assumptions!$B$63),"Independent browser-buyer",IF(AND(OR(O197&gt;=Assumptions!$B$60,P197&gt;=Assumptions!$B$61),K197&lt;=2),"Engaged, not converting",IF(AND(K197=1,O197&lt;Assumptions!$B$60,P197&lt;Assumptions!$B$61),"One-off low-touch buyer","Light-touch repeat buyer")))))</f>
        <v>One-off low-touch buyer</v>
      </c>
      <c r="AE197" s="10" t="b">
        <f aca="false">INDEX(Segmentation!$AW$2:$AW$301,MATCH($A197,Segmentation!$A$2:$A$301,0))</f>
        <v>0</v>
      </c>
    </row>
    <row r="198" customFormat="false" ht="15" hidden="false" customHeight="false" outlineLevel="0" collapsed="false">
      <c r="A198" s="2" t="s">
        <v>962</v>
      </c>
      <c r="B198" s="2" t="s">
        <v>1571</v>
      </c>
      <c r="C198" s="2" t="s">
        <v>1640</v>
      </c>
      <c r="D198" s="2" t="s">
        <v>1653</v>
      </c>
      <c r="E198" s="2" t="str">
        <f aca="false">INDEX(Segmentation!$H$2:$H$301,MATCH($A198,Segmentation!$A$2:$A$301,0))</f>
        <v>AM-Owned / Self-Serving</v>
      </c>
      <c r="F198" s="2" t="str">
        <f aca="false">INDEX(Segmentation!$J$2:$J$301,MATCH($A198,Segmentation!$A$2:$A$301,0))</f>
        <v>Tail</v>
      </c>
      <c r="G198" s="2" t="str">
        <f aca="false">INDEX(Segmentation!$N$2:$N$301,MATCH($A198,Segmentation!$A$2:$A$301,0))</f>
        <v>Lapsed</v>
      </c>
      <c r="H198" s="2" t="str">
        <f aca="false">INDEX(Segmentation!$T$2:$T$301,MATCH($A198,Segmentation!$A$2:$A$301,0))</f>
        <v>9. Long-Tail Automated Nurture</v>
      </c>
      <c r="I198" s="2" t="str">
        <f aca="false">INDEX(Segmentation!$G$2:$G$301,MATCH($A198,Segmentation!$A$2:$A$301,0))</f>
        <v>Low</v>
      </c>
      <c r="J198" s="9" t="n">
        <f aca="false">INDEX(Segmentation!$I$2:$I$301,MATCH($A198,Segmentation!$A$2:$A$301,0))</f>
        <v>97</v>
      </c>
      <c r="K198" s="2" t="n">
        <f aca="false">INDEX(Segmentation!$O$2:$O$301,MATCH($A198,Segmentation!$A$2:$A$301,0))</f>
        <v>1</v>
      </c>
      <c r="L198" s="2" t="n">
        <f aca="false">INDEX(Segmentation!$Q$2:$Q$301,MATCH($A198,Segmentation!$A$2:$A$301,0))</f>
        <v>1</v>
      </c>
      <c r="M198" s="2" t="n">
        <f aca="false">INDEX(Segmentation!$W$2:$W$301,MATCH($A198,Segmentation!$A$2:$A$301,0))</f>
        <v>1</v>
      </c>
      <c r="N198" s="2" t="str">
        <f aca="false">INDEX(Segmentation!$AF$2:$AF$301,MATCH($A198,Segmentation!$A$2:$A$301,0))</f>
        <v>Existing Customer</v>
      </c>
      <c r="O198" s="2" t="n">
        <f aca="false">INDEX(Segmentation!$R$2:$R$301,MATCH($A198,Segmentation!$A$2:$A$301,0))</f>
        <v>11</v>
      </c>
      <c r="P198" s="2" t="n">
        <v>195</v>
      </c>
      <c r="Q198" s="2" t="n">
        <f aca="false">INDEX(Segmentation!$S$2:$S$301,MATCH($A198,Segmentation!$A$2:$A$301,0))</f>
        <v>0</v>
      </c>
      <c r="R198" s="2" t="n">
        <v>4</v>
      </c>
      <c r="S198" s="2" t="n">
        <v>0</v>
      </c>
      <c r="T198" s="2" t="n">
        <v>0</v>
      </c>
      <c r="U198" s="2" t="n">
        <v>1</v>
      </c>
      <c r="V198" s="2" t="n">
        <v>100</v>
      </c>
      <c r="W198" s="2" t="str">
        <f aca="false">IF(V198=100,"Bundle-only",IF(V198=0,"Handpick-only","Mixed"))</f>
        <v>Bundle-only</v>
      </c>
      <c r="X198" s="17" t="n">
        <f aca="false">L198/K198</f>
        <v>1</v>
      </c>
      <c r="Y198" s="9" t="n">
        <f aca="false">J198/K198</f>
        <v>97</v>
      </c>
      <c r="Z198" s="10" t="b">
        <f aca="false">O198&gt;=Assumptions!$B$57</f>
        <v>1</v>
      </c>
      <c r="AA198" s="10" t="b">
        <f aca="false">P198&gt;=Assumptions!$B$58</f>
        <v>1</v>
      </c>
      <c r="AB198" s="10" t="b">
        <f aca="false">Q198&gt;=Assumptions!$B$59</f>
        <v>0</v>
      </c>
      <c r="AC198" s="2" t="n">
        <f aca="false">Z198*1+AA198*1+AB198*1</f>
        <v>2</v>
      </c>
      <c r="AD198" s="2" t="str">
        <f aca="false">IF(E198="Broker-Reliant","Broker-led, product-blind",IF(AND(I198="Low",F198&lt;&gt;"Tail",OR(G198="Declining",G198="Lapsed"),OR(O198&gt;=Assumptions!$B$60,P198&gt;=Assumptions!$B$61)),"Engaged but shrinking (Key/Core)",IF(AND(O198&gt;=Assumptions!$B$60,P198&gt;=Assumptions!$B$61,Q198&gt;=Assumptions!$B$62,K198&gt;=Assumptions!$B$63),"Independent browser-buyer",IF(AND(OR(O198&gt;=Assumptions!$B$60,P198&gt;=Assumptions!$B$61),K198&lt;=2),"Engaged, not converting",IF(AND(K198=1,O198&lt;Assumptions!$B$60,P198&lt;Assumptions!$B$61),"One-off low-touch buyer","Light-touch repeat buyer")))))</f>
        <v>One-off low-touch buyer</v>
      </c>
      <c r="AE198" s="10" t="b">
        <f aca="false">INDEX(Segmentation!$AW$2:$AW$301,MATCH($A198,Segmentation!$A$2:$A$301,0))</f>
        <v>0</v>
      </c>
    </row>
    <row r="199" customFormat="false" ht="15" hidden="false" customHeight="false" outlineLevel="0" collapsed="false">
      <c r="A199" s="2" t="s">
        <v>964</v>
      </c>
      <c r="B199" s="2" t="s">
        <v>1571</v>
      </c>
      <c r="C199" s="2" t="s">
        <v>1640</v>
      </c>
      <c r="D199" s="2" t="s">
        <v>1655</v>
      </c>
      <c r="E199" s="2" t="str">
        <f aca="false">INDEX(Segmentation!$H$2:$H$301,MATCH($A199,Segmentation!$A$2:$A$301,0))</f>
        <v>AM-Owned / Self-Serving</v>
      </c>
      <c r="F199" s="2" t="str">
        <f aca="false">INDEX(Segmentation!$J$2:$J$301,MATCH($A199,Segmentation!$A$2:$A$301,0))</f>
        <v>Tail</v>
      </c>
      <c r="G199" s="2" t="str">
        <f aca="false">INDEX(Segmentation!$N$2:$N$301,MATCH($A199,Segmentation!$A$2:$A$301,0))</f>
        <v>Lapsed</v>
      </c>
      <c r="H199" s="2" t="str">
        <f aca="false">INDEX(Segmentation!$T$2:$T$301,MATCH($A199,Segmentation!$A$2:$A$301,0))</f>
        <v>9. Long-Tail Automated Nurture</v>
      </c>
      <c r="I199" s="2" t="str">
        <f aca="false">INDEX(Segmentation!$G$2:$G$301,MATCH($A199,Segmentation!$A$2:$A$301,0))</f>
        <v>Low</v>
      </c>
      <c r="J199" s="9" t="n">
        <f aca="false">INDEX(Segmentation!$I$2:$I$301,MATCH($A199,Segmentation!$A$2:$A$301,0))</f>
        <v>96</v>
      </c>
      <c r="K199" s="2" t="n">
        <f aca="false">INDEX(Segmentation!$O$2:$O$301,MATCH($A199,Segmentation!$A$2:$A$301,0))</f>
        <v>1</v>
      </c>
      <c r="L199" s="2" t="n">
        <f aca="false">INDEX(Segmentation!$Q$2:$Q$301,MATCH($A199,Segmentation!$A$2:$A$301,0))</f>
        <v>1</v>
      </c>
      <c r="M199" s="2" t="n">
        <f aca="false">INDEX(Segmentation!$W$2:$W$301,MATCH($A199,Segmentation!$A$2:$A$301,0))</f>
        <v>1</v>
      </c>
      <c r="N199" s="2" t="str">
        <f aca="false">INDEX(Segmentation!$AF$2:$AF$301,MATCH($A199,Segmentation!$A$2:$A$301,0))</f>
        <v>Existing Customer</v>
      </c>
      <c r="O199" s="2" t="n">
        <f aca="false">INDEX(Segmentation!$R$2:$R$301,MATCH($A199,Segmentation!$A$2:$A$301,0))</f>
        <v>4</v>
      </c>
      <c r="P199" s="2" t="n">
        <v>11</v>
      </c>
      <c r="Q199" s="2" t="n">
        <f aca="false">INDEX(Segmentation!$S$2:$S$301,MATCH($A199,Segmentation!$A$2:$A$301,0))</f>
        <v>0</v>
      </c>
      <c r="R199" s="2" t="n">
        <v>0</v>
      </c>
      <c r="S199" s="2" t="n">
        <v>0</v>
      </c>
      <c r="T199" s="2" t="n">
        <v>0</v>
      </c>
      <c r="U199" s="2" t="n">
        <v>1</v>
      </c>
      <c r="V199" s="2" t="n">
        <v>100</v>
      </c>
      <c r="W199" s="2" t="str">
        <f aca="false">IF(V199=100,"Bundle-only",IF(V199=0,"Handpick-only","Mixed"))</f>
        <v>Bundle-only</v>
      </c>
      <c r="X199" s="17" t="n">
        <f aca="false">L199/K199</f>
        <v>1</v>
      </c>
      <c r="Y199" s="9" t="n">
        <f aca="false">J199/K199</f>
        <v>96</v>
      </c>
      <c r="Z199" s="10" t="b">
        <f aca="false">O199&gt;=Assumptions!$B$57</f>
        <v>0</v>
      </c>
      <c r="AA199" s="10" t="b">
        <f aca="false">P199&gt;=Assumptions!$B$58</f>
        <v>0</v>
      </c>
      <c r="AB199" s="10" t="b">
        <f aca="false">Q199&gt;=Assumptions!$B$59</f>
        <v>0</v>
      </c>
      <c r="AC199" s="2" t="n">
        <f aca="false">Z199*1+AA199*1+AB199*1</f>
        <v>0</v>
      </c>
      <c r="AD199" s="2" t="str">
        <f aca="false">IF(E199="Broker-Reliant","Broker-led, product-blind",IF(AND(I199="Low",F199&lt;&gt;"Tail",OR(G199="Declining",G199="Lapsed"),OR(O199&gt;=Assumptions!$B$60,P199&gt;=Assumptions!$B$61)),"Engaged but shrinking (Key/Core)",IF(AND(O199&gt;=Assumptions!$B$60,P199&gt;=Assumptions!$B$61,Q199&gt;=Assumptions!$B$62,K199&gt;=Assumptions!$B$63),"Independent browser-buyer",IF(AND(OR(O199&gt;=Assumptions!$B$60,P199&gt;=Assumptions!$B$61),K199&lt;=2),"Engaged, not converting",IF(AND(K199=1,O199&lt;Assumptions!$B$60,P199&lt;Assumptions!$B$61),"One-off low-touch buyer","Light-touch repeat buyer")))))</f>
        <v>One-off low-touch buyer</v>
      </c>
      <c r="AE199" s="10" t="b">
        <f aca="false">INDEX(Segmentation!$AW$2:$AW$301,MATCH($A199,Segmentation!$A$2:$A$301,0))</f>
        <v>0</v>
      </c>
    </row>
    <row r="200" customFormat="false" ht="15" hidden="false" customHeight="false" outlineLevel="0" collapsed="false">
      <c r="A200" s="2" t="s">
        <v>966</v>
      </c>
      <c r="B200" s="2" t="s">
        <v>1571</v>
      </c>
      <c r="C200" s="2" t="s">
        <v>1640</v>
      </c>
      <c r="D200" s="2" t="s">
        <v>1658</v>
      </c>
      <c r="E200" s="2" t="str">
        <f aca="false">INDEX(Segmentation!$H$2:$H$301,MATCH($A200,Segmentation!$A$2:$A$301,0))</f>
        <v>AM-Owned / Self-Serving</v>
      </c>
      <c r="F200" s="2" t="str">
        <f aca="false">INDEX(Segmentation!$J$2:$J$301,MATCH($A200,Segmentation!$A$2:$A$301,0))</f>
        <v>Tail</v>
      </c>
      <c r="G200" s="2" t="str">
        <f aca="false">INDEX(Segmentation!$N$2:$N$301,MATCH($A200,Segmentation!$A$2:$A$301,0))</f>
        <v>Lapsed</v>
      </c>
      <c r="H200" s="2" t="str">
        <f aca="false">INDEX(Segmentation!$T$2:$T$301,MATCH($A200,Segmentation!$A$2:$A$301,0))</f>
        <v>9. Long-Tail Automated Nurture</v>
      </c>
      <c r="I200" s="2" t="str">
        <f aca="false">INDEX(Segmentation!$G$2:$G$301,MATCH($A200,Segmentation!$A$2:$A$301,0))</f>
        <v>Low</v>
      </c>
      <c r="J200" s="9" t="n">
        <f aca="false">INDEX(Segmentation!$I$2:$I$301,MATCH($A200,Segmentation!$A$2:$A$301,0))</f>
        <v>96</v>
      </c>
      <c r="K200" s="2" t="n">
        <f aca="false">INDEX(Segmentation!$O$2:$O$301,MATCH($A200,Segmentation!$A$2:$A$301,0))</f>
        <v>1</v>
      </c>
      <c r="L200" s="2" t="n">
        <f aca="false">INDEX(Segmentation!$Q$2:$Q$301,MATCH($A200,Segmentation!$A$2:$A$301,0))</f>
        <v>1</v>
      </c>
      <c r="M200" s="2" t="n">
        <f aca="false">INDEX(Segmentation!$W$2:$W$301,MATCH($A200,Segmentation!$A$2:$A$301,0))</f>
        <v>1</v>
      </c>
      <c r="N200" s="2" t="str">
        <f aca="false">INDEX(Segmentation!$AF$2:$AF$301,MATCH($A200,Segmentation!$A$2:$A$301,0))</f>
        <v>Existing Customer</v>
      </c>
      <c r="O200" s="2" t="n">
        <f aca="false">INDEX(Segmentation!$R$2:$R$301,MATCH($A200,Segmentation!$A$2:$A$301,0))</f>
        <v>5</v>
      </c>
      <c r="P200" s="2" t="n">
        <v>32</v>
      </c>
      <c r="Q200" s="2" t="n">
        <f aca="false">INDEX(Segmentation!$S$2:$S$301,MATCH($A200,Segmentation!$A$2:$A$301,0))</f>
        <v>0</v>
      </c>
      <c r="R200" s="2" t="n">
        <v>0</v>
      </c>
      <c r="S200" s="2" t="n">
        <v>0</v>
      </c>
      <c r="T200" s="2" t="n">
        <v>0</v>
      </c>
      <c r="U200" s="2" t="n">
        <v>1</v>
      </c>
      <c r="V200" s="2" t="n">
        <v>100</v>
      </c>
      <c r="W200" s="2" t="str">
        <f aca="false">IF(V200=100,"Bundle-only",IF(V200=0,"Handpick-only","Mixed"))</f>
        <v>Bundle-only</v>
      </c>
      <c r="X200" s="17" t="n">
        <f aca="false">L200/K200</f>
        <v>1</v>
      </c>
      <c r="Y200" s="9" t="n">
        <f aca="false">J200/K200</f>
        <v>96</v>
      </c>
      <c r="Z200" s="10" t="b">
        <f aca="false">O200&gt;=Assumptions!$B$57</f>
        <v>0</v>
      </c>
      <c r="AA200" s="10" t="b">
        <f aca="false">P200&gt;=Assumptions!$B$58</f>
        <v>0</v>
      </c>
      <c r="AB200" s="10" t="b">
        <f aca="false">Q200&gt;=Assumptions!$B$59</f>
        <v>0</v>
      </c>
      <c r="AC200" s="2" t="n">
        <f aca="false">Z200*1+AA200*1+AB200*1</f>
        <v>0</v>
      </c>
      <c r="AD200" s="2" t="str">
        <f aca="false">IF(E200="Broker-Reliant","Broker-led, product-blind",IF(AND(I200="Low",F200&lt;&gt;"Tail",OR(G200="Declining",G200="Lapsed"),OR(O200&gt;=Assumptions!$B$60,P200&gt;=Assumptions!$B$61)),"Engaged but shrinking (Key/Core)",IF(AND(O200&gt;=Assumptions!$B$60,P200&gt;=Assumptions!$B$61,Q200&gt;=Assumptions!$B$62,K200&gt;=Assumptions!$B$63),"Independent browser-buyer",IF(AND(OR(O200&gt;=Assumptions!$B$60,P200&gt;=Assumptions!$B$61),K200&lt;=2),"Engaged, not converting",IF(AND(K200=1,O200&lt;Assumptions!$B$60,P200&lt;Assumptions!$B$61),"One-off low-touch buyer","Light-touch repeat buyer")))))</f>
        <v>One-off low-touch buyer</v>
      </c>
      <c r="AE200" s="10" t="b">
        <f aca="false">INDEX(Segmentation!$AW$2:$AW$301,MATCH($A200,Segmentation!$A$2:$A$301,0))</f>
        <v>0</v>
      </c>
    </row>
    <row r="201" customFormat="false" ht="15" hidden="false" customHeight="false" outlineLevel="0" collapsed="false">
      <c r="A201" s="2" t="s">
        <v>970</v>
      </c>
      <c r="B201" s="2" t="s">
        <v>1571</v>
      </c>
      <c r="C201" s="2" t="s">
        <v>1640</v>
      </c>
      <c r="D201" s="2" t="s">
        <v>1657</v>
      </c>
      <c r="E201" s="2" t="str">
        <f aca="false">INDEX(Segmentation!$H$2:$H$301,MATCH($A201,Segmentation!$A$2:$A$301,0))</f>
        <v>AM-Owned / Self-Serving</v>
      </c>
      <c r="F201" s="2" t="str">
        <f aca="false">INDEX(Segmentation!$J$2:$J$301,MATCH($A201,Segmentation!$A$2:$A$301,0))</f>
        <v>Tail</v>
      </c>
      <c r="G201" s="2" t="str">
        <f aca="false">INDEX(Segmentation!$N$2:$N$301,MATCH($A201,Segmentation!$A$2:$A$301,0))</f>
        <v>Lapsed</v>
      </c>
      <c r="H201" s="2" t="str">
        <f aca="false">INDEX(Segmentation!$T$2:$T$301,MATCH($A201,Segmentation!$A$2:$A$301,0))</f>
        <v>9. Long-Tail Automated Nurture</v>
      </c>
      <c r="I201" s="2" t="str">
        <f aca="false">INDEX(Segmentation!$G$2:$G$301,MATCH($A201,Segmentation!$A$2:$A$301,0))</f>
        <v>Low</v>
      </c>
      <c r="J201" s="9" t="n">
        <f aca="false">INDEX(Segmentation!$I$2:$I$301,MATCH($A201,Segmentation!$A$2:$A$301,0))</f>
        <v>94</v>
      </c>
      <c r="K201" s="2" t="n">
        <f aca="false">INDEX(Segmentation!$O$2:$O$301,MATCH($A201,Segmentation!$A$2:$A$301,0))</f>
        <v>1</v>
      </c>
      <c r="L201" s="2" t="n">
        <f aca="false">INDEX(Segmentation!$Q$2:$Q$301,MATCH($A201,Segmentation!$A$2:$A$301,0))</f>
        <v>1</v>
      </c>
      <c r="M201" s="2" t="n">
        <f aca="false">INDEX(Segmentation!$W$2:$W$301,MATCH($A201,Segmentation!$A$2:$A$301,0))</f>
        <v>1</v>
      </c>
      <c r="N201" s="2" t="str">
        <f aca="false">INDEX(Segmentation!$AF$2:$AF$301,MATCH($A201,Segmentation!$A$2:$A$301,0))</f>
        <v>Existing Customer</v>
      </c>
      <c r="O201" s="2" t="n">
        <f aca="false">INDEX(Segmentation!$R$2:$R$301,MATCH($A201,Segmentation!$A$2:$A$301,0))</f>
        <v>13</v>
      </c>
      <c r="P201" s="2" t="n">
        <v>137</v>
      </c>
      <c r="Q201" s="2" t="n">
        <f aca="false">INDEX(Segmentation!$S$2:$S$301,MATCH($A201,Segmentation!$A$2:$A$301,0))</f>
        <v>7</v>
      </c>
      <c r="R201" s="2" t="n">
        <v>2</v>
      </c>
      <c r="S201" s="2" t="n">
        <v>0</v>
      </c>
      <c r="T201" s="2" t="n">
        <v>0</v>
      </c>
      <c r="U201" s="2" t="n">
        <v>1</v>
      </c>
      <c r="V201" s="2" t="n">
        <v>100</v>
      </c>
      <c r="W201" s="2" t="str">
        <f aca="false">IF(V201=100,"Bundle-only",IF(V201=0,"Handpick-only","Mixed"))</f>
        <v>Bundle-only</v>
      </c>
      <c r="X201" s="17" t="n">
        <f aca="false">L201/K201</f>
        <v>1</v>
      </c>
      <c r="Y201" s="9" t="n">
        <f aca="false">J201/K201</f>
        <v>94</v>
      </c>
      <c r="Z201" s="10" t="b">
        <f aca="false">O201&gt;=Assumptions!$B$57</f>
        <v>1</v>
      </c>
      <c r="AA201" s="10" t="b">
        <f aca="false">P201&gt;=Assumptions!$B$58</f>
        <v>1</v>
      </c>
      <c r="AB201" s="10" t="b">
        <f aca="false">Q201&gt;=Assumptions!$B$59</f>
        <v>1</v>
      </c>
      <c r="AC201" s="2" t="n">
        <f aca="false">Z201*1+AA201*1+AB201*1</f>
        <v>3</v>
      </c>
      <c r="AD201" s="2" t="str">
        <f aca="false">IF(E201="Broker-Reliant","Broker-led, product-blind",IF(AND(I201="Low",F201&lt;&gt;"Tail",OR(G201="Declining",G201="Lapsed"),OR(O201&gt;=Assumptions!$B$60,P201&gt;=Assumptions!$B$61)),"Engaged but shrinking (Key/Core)",IF(AND(O201&gt;=Assumptions!$B$60,P201&gt;=Assumptions!$B$61,Q201&gt;=Assumptions!$B$62,K201&gt;=Assumptions!$B$63),"Independent browser-buyer",IF(AND(OR(O201&gt;=Assumptions!$B$60,P201&gt;=Assumptions!$B$61),K201&lt;=2),"Engaged, not converting",IF(AND(K201=1,O201&lt;Assumptions!$B$60,P201&lt;Assumptions!$B$61),"One-off low-touch buyer","Light-touch repeat buyer")))))</f>
        <v>One-off low-touch buyer</v>
      </c>
      <c r="AE201" s="10" t="b">
        <f aca="false">INDEX(Segmentation!$AW$2:$AW$301,MATCH($A201,Segmentation!$A$2:$A$301,0))</f>
        <v>0</v>
      </c>
    </row>
    <row r="202" customFormat="false" ht="15" hidden="false" customHeight="false" outlineLevel="0" collapsed="false">
      <c r="A202" s="2" t="s">
        <v>974</v>
      </c>
      <c r="B202" s="2" t="s">
        <v>1571</v>
      </c>
      <c r="C202" s="2" t="s">
        <v>1640</v>
      </c>
      <c r="D202" s="2" t="s">
        <v>1657</v>
      </c>
      <c r="E202" s="2" t="str">
        <f aca="false">INDEX(Segmentation!$H$2:$H$301,MATCH($A202,Segmentation!$A$2:$A$301,0))</f>
        <v>AM-Owned / Self-Serving</v>
      </c>
      <c r="F202" s="2" t="str">
        <f aca="false">INDEX(Segmentation!$J$2:$J$301,MATCH($A202,Segmentation!$A$2:$A$301,0))</f>
        <v>Tail</v>
      </c>
      <c r="G202" s="2" t="str">
        <f aca="false">INDEX(Segmentation!$N$2:$N$301,MATCH($A202,Segmentation!$A$2:$A$301,0))</f>
        <v>Lapsed</v>
      </c>
      <c r="H202" s="2" t="str">
        <f aca="false">INDEX(Segmentation!$T$2:$T$301,MATCH($A202,Segmentation!$A$2:$A$301,0))</f>
        <v>9. Long-Tail Automated Nurture</v>
      </c>
      <c r="I202" s="2" t="str">
        <f aca="false">INDEX(Segmentation!$G$2:$G$301,MATCH($A202,Segmentation!$A$2:$A$301,0))</f>
        <v>Low</v>
      </c>
      <c r="J202" s="9" t="n">
        <f aca="false">INDEX(Segmentation!$I$2:$I$301,MATCH($A202,Segmentation!$A$2:$A$301,0))</f>
        <v>88</v>
      </c>
      <c r="K202" s="2" t="n">
        <f aca="false">INDEX(Segmentation!$O$2:$O$301,MATCH($A202,Segmentation!$A$2:$A$301,0))</f>
        <v>1</v>
      </c>
      <c r="L202" s="2" t="n">
        <f aca="false">INDEX(Segmentation!$Q$2:$Q$301,MATCH($A202,Segmentation!$A$2:$A$301,0))</f>
        <v>1</v>
      </c>
      <c r="M202" s="2" t="n">
        <f aca="false">INDEX(Segmentation!$W$2:$W$301,MATCH($A202,Segmentation!$A$2:$A$301,0))</f>
        <v>1</v>
      </c>
      <c r="N202" s="2" t="str">
        <f aca="false">INDEX(Segmentation!$AF$2:$AF$301,MATCH($A202,Segmentation!$A$2:$A$301,0))</f>
        <v>Existing Customer</v>
      </c>
      <c r="O202" s="2" t="n">
        <f aca="false">INDEX(Segmentation!$R$2:$R$301,MATCH($A202,Segmentation!$A$2:$A$301,0))</f>
        <v>11</v>
      </c>
      <c r="P202" s="2" t="n">
        <v>118</v>
      </c>
      <c r="Q202" s="2" t="n">
        <f aca="false">INDEX(Segmentation!$S$2:$S$301,MATCH($A202,Segmentation!$A$2:$A$301,0))</f>
        <v>0</v>
      </c>
      <c r="R202" s="2" t="n">
        <v>0</v>
      </c>
      <c r="S202" s="2" t="n">
        <v>0</v>
      </c>
      <c r="T202" s="2" t="n">
        <v>0</v>
      </c>
      <c r="U202" s="2" t="n">
        <v>1</v>
      </c>
      <c r="V202" s="2" t="n">
        <v>100</v>
      </c>
      <c r="W202" s="2" t="str">
        <f aca="false">IF(V202=100,"Bundle-only",IF(V202=0,"Handpick-only","Mixed"))</f>
        <v>Bundle-only</v>
      </c>
      <c r="X202" s="17" t="n">
        <f aca="false">L202/K202</f>
        <v>1</v>
      </c>
      <c r="Y202" s="9" t="n">
        <f aca="false">J202/K202</f>
        <v>88</v>
      </c>
      <c r="Z202" s="10" t="b">
        <f aca="false">O202&gt;=Assumptions!$B$57</f>
        <v>1</v>
      </c>
      <c r="AA202" s="10" t="b">
        <f aca="false">P202&gt;=Assumptions!$B$58</f>
        <v>1</v>
      </c>
      <c r="AB202" s="10" t="b">
        <f aca="false">Q202&gt;=Assumptions!$B$59</f>
        <v>0</v>
      </c>
      <c r="AC202" s="2" t="n">
        <f aca="false">Z202*1+AA202*1+AB202*1</f>
        <v>2</v>
      </c>
      <c r="AD202" s="2" t="str">
        <f aca="false">IF(E202="Broker-Reliant","Broker-led, product-blind",IF(AND(I202="Low",F202&lt;&gt;"Tail",OR(G202="Declining",G202="Lapsed"),OR(O202&gt;=Assumptions!$B$60,P202&gt;=Assumptions!$B$61)),"Engaged but shrinking (Key/Core)",IF(AND(O202&gt;=Assumptions!$B$60,P202&gt;=Assumptions!$B$61,Q202&gt;=Assumptions!$B$62,K202&gt;=Assumptions!$B$63),"Independent browser-buyer",IF(AND(OR(O202&gt;=Assumptions!$B$60,P202&gt;=Assumptions!$B$61),K202&lt;=2),"Engaged, not converting",IF(AND(K202=1,O202&lt;Assumptions!$B$60,P202&lt;Assumptions!$B$61),"One-off low-touch buyer","Light-touch repeat buyer")))))</f>
        <v>One-off low-touch buyer</v>
      </c>
      <c r="AE202" s="10" t="b">
        <f aca="false">INDEX(Segmentation!$AW$2:$AW$301,MATCH($A202,Segmentation!$A$2:$A$301,0))</f>
        <v>0</v>
      </c>
    </row>
    <row r="203" customFormat="false" ht="15" hidden="false" customHeight="false" outlineLevel="0" collapsed="false">
      <c r="A203" s="2" t="s">
        <v>982</v>
      </c>
      <c r="B203" s="2" t="s">
        <v>1571</v>
      </c>
      <c r="C203" s="2" t="s">
        <v>1641</v>
      </c>
      <c r="D203" s="2" t="s">
        <v>1653</v>
      </c>
      <c r="E203" s="2" t="str">
        <f aca="false">INDEX(Segmentation!$H$2:$H$301,MATCH($A203,Segmentation!$A$2:$A$301,0))</f>
        <v>AM-Owned / Self-Serving</v>
      </c>
      <c r="F203" s="2" t="str">
        <f aca="false">INDEX(Segmentation!$J$2:$J$301,MATCH($A203,Segmentation!$A$2:$A$301,0))</f>
        <v>Tail</v>
      </c>
      <c r="G203" s="2" t="str">
        <f aca="false">INDEX(Segmentation!$N$2:$N$301,MATCH($A203,Segmentation!$A$2:$A$301,0))</f>
        <v>Lapsed</v>
      </c>
      <c r="H203" s="2" t="str">
        <f aca="false">INDEX(Segmentation!$T$2:$T$301,MATCH($A203,Segmentation!$A$2:$A$301,0))</f>
        <v>9. Long-Tail Automated Nurture</v>
      </c>
      <c r="I203" s="2" t="str">
        <f aca="false">INDEX(Segmentation!$G$2:$G$301,MATCH($A203,Segmentation!$A$2:$A$301,0))</f>
        <v>Low</v>
      </c>
      <c r="J203" s="9" t="n">
        <f aca="false">INDEX(Segmentation!$I$2:$I$301,MATCH($A203,Segmentation!$A$2:$A$301,0))</f>
        <v>85</v>
      </c>
      <c r="K203" s="2" t="n">
        <f aca="false">INDEX(Segmentation!$O$2:$O$301,MATCH($A203,Segmentation!$A$2:$A$301,0))</f>
        <v>1</v>
      </c>
      <c r="L203" s="2" t="n">
        <f aca="false">INDEX(Segmentation!$Q$2:$Q$301,MATCH($A203,Segmentation!$A$2:$A$301,0))</f>
        <v>1</v>
      </c>
      <c r="M203" s="2" t="n">
        <f aca="false">INDEX(Segmentation!$W$2:$W$301,MATCH($A203,Segmentation!$A$2:$A$301,0))</f>
        <v>1</v>
      </c>
      <c r="N203" s="2" t="str">
        <f aca="false">INDEX(Segmentation!$AF$2:$AF$301,MATCH($A203,Segmentation!$A$2:$A$301,0))</f>
        <v>Existing Customer</v>
      </c>
      <c r="O203" s="2" t="n">
        <f aca="false">INDEX(Segmentation!$R$2:$R$301,MATCH($A203,Segmentation!$A$2:$A$301,0))</f>
        <v>13</v>
      </c>
      <c r="P203" s="2" t="n">
        <v>206</v>
      </c>
      <c r="Q203" s="2" t="n">
        <f aca="false">INDEX(Segmentation!$S$2:$S$301,MATCH($A203,Segmentation!$A$2:$A$301,0))</f>
        <v>4</v>
      </c>
      <c r="R203" s="2" t="n">
        <v>2</v>
      </c>
      <c r="S203" s="2" t="n">
        <v>0</v>
      </c>
      <c r="T203" s="2" t="n">
        <v>0</v>
      </c>
      <c r="U203" s="2" t="n">
        <v>1</v>
      </c>
      <c r="V203" s="2" t="n">
        <v>100</v>
      </c>
      <c r="W203" s="2" t="str">
        <f aca="false">IF(V203=100,"Bundle-only",IF(V203=0,"Handpick-only","Mixed"))</f>
        <v>Bundle-only</v>
      </c>
      <c r="X203" s="17" t="n">
        <f aca="false">L203/K203</f>
        <v>1</v>
      </c>
      <c r="Y203" s="9" t="n">
        <f aca="false">J203/K203</f>
        <v>85</v>
      </c>
      <c r="Z203" s="10" t="b">
        <f aca="false">O203&gt;=Assumptions!$B$57</f>
        <v>1</v>
      </c>
      <c r="AA203" s="10" t="b">
        <f aca="false">P203&gt;=Assumptions!$B$58</f>
        <v>1</v>
      </c>
      <c r="AB203" s="10" t="b">
        <f aca="false">Q203&gt;=Assumptions!$B$59</f>
        <v>1</v>
      </c>
      <c r="AC203" s="2" t="n">
        <f aca="false">Z203*1+AA203*1+AB203*1</f>
        <v>3</v>
      </c>
      <c r="AD203" s="2" t="str">
        <f aca="false">IF(E203="Broker-Reliant","Broker-led, product-blind",IF(AND(I203="Low",F203&lt;&gt;"Tail",OR(G203="Declining",G203="Lapsed"),OR(O203&gt;=Assumptions!$B$60,P203&gt;=Assumptions!$B$61)),"Engaged but shrinking (Key/Core)",IF(AND(O203&gt;=Assumptions!$B$60,P203&gt;=Assumptions!$B$61,Q203&gt;=Assumptions!$B$62,K203&gt;=Assumptions!$B$63),"Independent browser-buyer",IF(AND(OR(O203&gt;=Assumptions!$B$60,P203&gt;=Assumptions!$B$61),K203&lt;=2),"Engaged, not converting",IF(AND(K203=1,O203&lt;Assumptions!$B$60,P203&lt;Assumptions!$B$61),"One-off low-touch buyer","Light-touch repeat buyer")))))</f>
        <v>Engaged, not converting</v>
      </c>
      <c r="AE203" s="10" t="b">
        <f aca="false">INDEX(Segmentation!$AW$2:$AW$301,MATCH($A203,Segmentation!$A$2:$A$301,0))</f>
        <v>0</v>
      </c>
    </row>
    <row r="204" customFormat="false" ht="15" hidden="false" customHeight="false" outlineLevel="0" collapsed="false">
      <c r="A204" s="2" t="s">
        <v>984</v>
      </c>
      <c r="B204" s="2" t="s">
        <v>1571</v>
      </c>
      <c r="C204" s="2" t="s">
        <v>1640</v>
      </c>
      <c r="D204" s="2" t="s">
        <v>1653</v>
      </c>
      <c r="E204" s="2" t="str">
        <f aca="false">INDEX(Segmentation!$H$2:$H$301,MATCH($A204,Segmentation!$A$2:$A$301,0))</f>
        <v>AM-Owned / Self-Serving</v>
      </c>
      <c r="F204" s="2" t="str">
        <f aca="false">INDEX(Segmentation!$J$2:$J$301,MATCH($A204,Segmentation!$A$2:$A$301,0))</f>
        <v>Tail</v>
      </c>
      <c r="G204" s="2" t="str">
        <f aca="false">INDEX(Segmentation!$N$2:$N$301,MATCH($A204,Segmentation!$A$2:$A$301,0))</f>
        <v>Lapsed</v>
      </c>
      <c r="H204" s="2" t="str">
        <f aca="false">INDEX(Segmentation!$T$2:$T$301,MATCH($A204,Segmentation!$A$2:$A$301,0))</f>
        <v>9. Long-Tail Automated Nurture</v>
      </c>
      <c r="I204" s="2" t="str">
        <f aca="false">INDEX(Segmentation!$G$2:$G$301,MATCH($A204,Segmentation!$A$2:$A$301,0))</f>
        <v>Low</v>
      </c>
      <c r="J204" s="9" t="n">
        <f aca="false">INDEX(Segmentation!$I$2:$I$301,MATCH($A204,Segmentation!$A$2:$A$301,0))</f>
        <v>84</v>
      </c>
      <c r="K204" s="2" t="n">
        <f aca="false">INDEX(Segmentation!$O$2:$O$301,MATCH($A204,Segmentation!$A$2:$A$301,0))</f>
        <v>1</v>
      </c>
      <c r="L204" s="2" t="n">
        <f aca="false">INDEX(Segmentation!$Q$2:$Q$301,MATCH($A204,Segmentation!$A$2:$A$301,0))</f>
        <v>1</v>
      </c>
      <c r="M204" s="2" t="n">
        <f aca="false">INDEX(Segmentation!$W$2:$W$301,MATCH($A204,Segmentation!$A$2:$A$301,0))</f>
        <v>1</v>
      </c>
      <c r="N204" s="2" t="str">
        <f aca="false">INDEX(Segmentation!$AF$2:$AF$301,MATCH($A204,Segmentation!$A$2:$A$301,0))</f>
        <v>Existing Customer</v>
      </c>
      <c r="O204" s="2" t="n">
        <f aca="false">INDEX(Segmentation!$R$2:$R$301,MATCH($A204,Segmentation!$A$2:$A$301,0))</f>
        <v>7</v>
      </c>
      <c r="P204" s="2" t="n">
        <v>34</v>
      </c>
      <c r="Q204" s="2" t="n">
        <f aca="false">INDEX(Segmentation!$S$2:$S$301,MATCH($A204,Segmentation!$A$2:$A$301,0))</f>
        <v>0</v>
      </c>
      <c r="R204" s="2" t="n">
        <v>0</v>
      </c>
      <c r="S204" s="2" t="n">
        <v>0</v>
      </c>
      <c r="T204" s="2" t="n">
        <v>0</v>
      </c>
      <c r="U204" s="2" t="n">
        <v>1</v>
      </c>
      <c r="V204" s="2" t="n">
        <v>100</v>
      </c>
      <c r="W204" s="2" t="str">
        <f aca="false">IF(V204=100,"Bundle-only",IF(V204=0,"Handpick-only","Mixed"))</f>
        <v>Bundle-only</v>
      </c>
      <c r="X204" s="17" t="n">
        <f aca="false">L204/K204</f>
        <v>1</v>
      </c>
      <c r="Y204" s="9" t="n">
        <f aca="false">J204/K204</f>
        <v>84</v>
      </c>
      <c r="Z204" s="10" t="b">
        <f aca="false">O204&gt;=Assumptions!$B$57</f>
        <v>0</v>
      </c>
      <c r="AA204" s="10" t="b">
        <f aca="false">P204&gt;=Assumptions!$B$58</f>
        <v>0</v>
      </c>
      <c r="AB204" s="10" t="b">
        <f aca="false">Q204&gt;=Assumptions!$B$59</f>
        <v>0</v>
      </c>
      <c r="AC204" s="2" t="n">
        <f aca="false">Z204*1+AA204*1+AB204*1</f>
        <v>0</v>
      </c>
      <c r="AD204" s="2" t="str">
        <f aca="false">IF(E204="Broker-Reliant","Broker-led, product-blind",IF(AND(I204="Low",F204&lt;&gt;"Tail",OR(G204="Declining",G204="Lapsed"),OR(O204&gt;=Assumptions!$B$60,P204&gt;=Assumptions!$B$61)),"Engaged but shrinking (Key/Core)",IF(AND(O204&gt;=Assumptions!$B$60,P204&gt;=Assumptions!$B$61,Q204&gt;=Assumptions!$B$62,K204&gt;=Assumptions!$B$63),"Independent browser-buyer",IF(AND(OR(O204&gt;=Assumptions!$B$60,P204&gt;=Assumptions!$B$61),K204&lt;=2),"Engaged, not converting",IF(AND(K204=1,O204&lt;Assumptions!$B$60,P204&lt;Assumptions!$B$61),"One-off low-touch buyer","Light-touch repeat buyer")))))</f>
        <v>One-off low-touch buyer</v>
      </c>
      <c r="AE204" s="10" t="b">
        <f aca="false">INDEX(Segmentation!$AW$2:$AW$301,MATCH($A204,Segmentation!$A$2:$A$301,0))</f>
        <v>0</v>
      </c>
    </row>
    <row r="205" customFormat="false" ht="15" hidden="false" customHeight="false" outlineLevel="0" collapsed="false">
      <c r="A205" s="2" t="s">
        <v>986</v>
      </c>
      <c r="B205" s="2" t="s">
        <v>1571</v>
      </c>
      <c r="C205" s="2" t="s">
        <v>1640</v>
      </c>
      <c r="D205" s="2" t="s">
        <v>1653</v>
      </c>
      <c r="E205" s="2" t="str">
        <f aca="false">INDEX(Segmentation!$H$2:$H$301,MATCH($A205,Segmentation!$A$2:$A$301,0))</f>
        <v>AM-Owned / Self-Serving</v>
      </c>
      <c r="F205" s="2" t="str">
        <f aca="false">INDEX(Segmentation!$J$2:$J$301,MATCH($A205,Segmentation!$A$2:$A$301,0))</f>
        <v>Tail</v>
      </c>
      <c r="G205" s="2" t="str">
        <f aca="false">INDEX(Segmentation!$N$2:$N$301,MATCH($A205,Segmentation!$A$2:$A$301,0))</f>
        <v>Lapsed</v>
      </c>
      <c r="H205" s="2" t="str">
        <f aca="false">INDEX(Segmentation!$T$2:$T$301,MATCH($A205,Segmentation!$A$2:$A$301,0))</f>
        <v>9. Long-Tail Automated Nurture</v>
      </c>
      <c r="I205" s="2" t="str">
        <f aca="false">INDEX(Segmentation!$G$2:$G$301,MATCH($A205,Segmentation!$A$2:$A$301,0))</f>
        <v>Low</v>
      </c>
      <c r="J205" s="9" t="n">
        <f aca="false">INDEX(Segmentation!$I$2:$I$301,MATCH($A205,Segmentation!$A$2:$A$301,0))</f>
        <v>84</v>
      </c>
      <c r="K205" s="2" t="n">
        <f aca="false">INDEX(Segmentation!$O$2:$O$301,MATCH($A205,Segmentation!$A$2:$A$301,0))</f>
        <v>1</v>
      </c>
      <c r="L205" s="2" t="n">
        <f aca="false">INDEX(Segmentation!$Q$2:$Q$301,MATCH($A205,Segmentation!$A$2:$A$301,0))</f>
        <v>1</v>
      </c>
      <c r="M205" s="2" t="n">
        <f aca="false">INDEX(Segmentation!$W$2:$W$301,MATCH($A205,Segmentation!$A$2:$A$301,0))</f>
        <v>1</v>
      </c>
      <c r="N205" s="2" t="str">
        <f aca="false">INDEX(Segmentation!$AF$2:$AF$301,MATCH($A205,Segmentation!$A$2:$A$301,0))</f>
        <v>Existing Customer</v>
      </c>
      <c r="O205" s="2" t="n">
        <f aca="false">INDEX(Segmentation!$R$2:$R$301,MATCH($A205,Segmentation!$A$2:$A$301,0))</f>
        <v>4</v>
      </c>
      <c r="P205" s="2" t="n">
        <v>37</v>
      </c>
      <c r="Q205" s="2" t="n">
        <f aca="false">INDEX(Segmentation!$S$2:$S$301,MATCH($A205,Segmentation!$A$2:$A$301,0))</f>
        <v>0</v>
      </c>
      <c r="R205" s="2" t="n">
        <v>0</v>
      </c>
      <c r="S205" s="2" t="n">
        <v>0</v>
      </c>
      <c r="T205" s="2" t="n">
        <v>0</v>
      </c>
      <c r="U205" s="2" t="n">
        <v>1</v>
      </c>
      <c r="V205" s="2" t="n">
        <v>100</v>
      </c>
      <c r="W205" s="2" t="str">
        <f aca="false">IF(V205=100,"Bundle-only",IF(V205=0,"Handpick-only","Mixed"))</f>
        <v>Bundle-only</v>
      </c>
      <c r="X205" s="17" t="n">
        <f aca="false">L205/K205</f>
        <v>1</v>
      </c>
      <c r="Y205" s="9" t="n">
        <f aca="false">J205/K205</f>
        <v>84</v>
      </c>
      <c r="Z205" s="10" t="b">
        <f aca="false">O205&gt;=Assumptions!$B$57</f>
        <v>0</v>
      </c>
      <c r="AA205" s="10" t="b">
        <f aca="false">P205&gt;=Assumptions!$B$58</f>
        <v>0</v>
      </c>
      <c r="AB205" s="10" t="b">
        <f aca="false">Q205&gt;=Assumptions!$B$59</f>
        <v>0</v>
      </c>
      <c r="AC205" s="2" t="n">
        <f aca="false">Z205*1+AA205*1+AB205*1</f>
        <v>0</v>
      </c>
      <c r="AD205" s="2" t="str">
        <f aca="false">IF(E205="Broker-Reliant","Broker-led, product-blind",IF(AND(I205="Low",F205&lt;&gt;"Tail",OR(G205="Declining",G205="Lapsed"),OR(O205&gt;=Assumptions!$B$60,P205&gt;=Assumptions!$B$61)),"Engaged but shrinking (Key/Core)",IF(AND(O205&gt;=Assumptions!$B$60,P205&gt;=Assumptions!$B$61,Q205&gt;=Assumptions!$B$62,K205&gt;=Assumptions!$B$63),"Independent browser-buyer",IF(AND(OR(O205&gt;=Assumptions!$B$60,P205&gt;=Assumptions!$B$61),K205&lt;=2),"Engaged, not converting",IF(AND(K205=1,O205&lt;Assumptions!$B$60,P205&lt;Assumptions!$B$61),"One-off low-touch buyer","Light-touch repeat buyer")))))</f>
        <v>One-off low-touch buyer</v>
      </c>
      <c r="AE205" s="10" t="b">
        <f aca="false">INDEX(Segmentation!$AW$2:$AW$301,MATCH($A205,Segmentation!$A$2:$A$301,0))</f>
        <v>0</v>
      </c>
    </row>
    <row r="206" customFormat="false" ht="15" hidden="false" customHeight="false" outlineLevel="0" collapsed="false">
      <c r="A206" s="2" t="s">
        <v>988</v>
      </c>
      <c r="B206" s="2" t="s">
        <v>1571</v>
      </c>
      <c r="C206" s="2" t="s">
        <v>1640</v>
      </c>
      <c r="D206" s="2" t="s">
        <v>1658</v>
      </c>
      <c r="E206" s="2" t="str">
        <f aca="false">INDEX(Segmentation!$H$2:$H$301,MATCH($A206,Segmentation!$A$2:$A$301,0))</f>
        <v>AM-Owned / Self-Serving</v>
      </c>
      <c r="F206" s="2" t="str">
        <f aca="false">INDEX(Segmentation!$J$2:$J$301,MATCH($A206,Segmentation!$A$2:$A$301,0))</f>
        <v>Tail</v>
      </c>
      <c r="G206" s="2" t="str">
        <f aca="false">INDEX(Segmentation!$N$2:$N$301,MATCH($A206,Segmentation!$A$2:$A$301,0))</f>
        <v>Lapsed</v>
      </c>
      <c r="H206" s="2" t="str">
        <f aca="false">INDEX(Segmentation!$T$2:$T$301,MATCH($A206,Segmentation!$A$2:$A$301,0))</f>
        <v>9. Long-Tail Automated Nurture</v>
      </c>
      <c r="I206" s="2" t="str">
        <f aca="false">INDEX(Segmentation!$G$2:$G$301,MATCH($A206,Segmentation!$A$2:$A$301,0))</f>
        <v>Low</v>
      </c>
      <c r="J206" s="9" t="n">
        <f aca="false">INDEX(Segmentation!$I$2:$I$301,MATCH($A206,Segmentation!$A$2:$A$301,0))</f>
        <v>84</v>
      </c>
      <c r="K206" s="2" t="n">
        <f aca="false">INDEX(Segmentation!$O$2:$O$301,MATCH($A206,Segmentation!$A$2:$A$301,0))</f>
        <v>1</v>
      </c>
      <c r="L206" s="2" t="n">
        <f aca="false">INDEX(Segmentation!$Q$2:$Q$301,MATCH($A206,Segmentation!$A$2:$A$301,0))</f>
        <v>1</v>
      </c>
      <c r="M206" s="2" t="n">
        <f aca="false">INDEX(Segmentation!$W$2:$W$301,MATCH($A206,Segmentation!$A$2:$A$301,0))</f>
        <v>1</v>
      </c>
      <c r="N206" s="2" t="str">
        <f aca="false">INDEX(Segmentation!$AF$2:$AF$301,MATCH($A206,Segmentation!$A$2:$A$301,0))</f>
        <v>Existing Customer</v>
      </c>
      <c r="O206" s="2" t="n">
        <f aca="false">INDEX(Segmentation!$R$2:$R$301,MATCH($A206,Segmentation!$A$2:$A$301,0))</f>
        <v>6</v>
      </c>
      <c r="P206" s="2" t="n">
        <v>45</v>
      </c>
      <c r="Q206" s="2" t="n">
        <f aca="false">INDEX(Segmentation!$S$2:$S$301,MATCH($A206,Segmentation!$A$2:$A$301,0))</f>
        <v>0</v>
      </c>
      <c r="R206" s="2" t="n">
        <v>1</v>
      </c>
      <c r="S206" s="2" t="n">
        <v>1</v>
      </c>
      <c r="T206" s="2" t="n">
        <v>0</v>
      </c>
      <c r="U206" s="2" t="n">
        <v>1</v>
      </c>
      <c r="V206" s="2" t="n">
        <v>100</v>
      </c>
      <c r="W206" s="2" t="str">
        <f aca="false">IF(V206=100,"Bundle-only",IF(V206=0,"Handpick-only","Mixed"))</f>
        <v>Bundle-only</v>
      </c>
      <c r="X206" s="17" t="n">
        <f aca="false">L206/K206</f>
        <v>1</v>
      </c>
      <c r="Y206" s="9" t="n">
        <f aca="false">J206/K206</f>
        <v>84</v>
      </c>
      <c r="Z206" s="10" t="b">
        <f aca="false">O206&gt;=Assumptions!$B$57</f>
        <v>0</v>
      </c>
      <c r="AA206" s="10" t="b">
        <f aca="false">P206&gt;=Assumptions!$B$58</f>
        <v>0</v>
      </c>
      <c r="AB206" s="10" t="b">
        <f aca="false">Q206&gt;=Assumptions!$B$59</f>
        <v>0</v>
      </c>
      <c r="AC206" s="2" t="n">
        <f aca="false">Z206*1+AA206*1+AB206*1</f>
        <v>0</v>
      </c>
      <c r="AD206" s="2" t="str">
        <f aca="false">IF(E206="Broker-Reliant","Broker-led, product-blind",IF(AND(I206="Low",F206&lt;&gt;"Tail",OR(G206="Declining",G206="Lapsed"),OR(O206&gt;=Assumptions!$B$60,P206&gt;=Assumptions!$B$61)),"Engaged but shrinking (Key/Core)",IF(AND(O206&gt;=Assumptions!$B$60,P206&gt;=Assumptions!$B$61,Q206&gt;=Assumptions!$B$62,K206&gt;=Assumptions!$B$63),"Independent browser-buyer",IF(AND(OR(O206&gt;=Assumptions!$B$60,P206&gt;=Assumptions!$B$61),K206&lt;=2),"Engaged, not converting",IF(AND(K206=1,O206&lt;Assumptions!$B$60,P206&lt;Assumptions!$B$61),"One-off low-touch buyer","Light-touch repeat buyer")))))</f>
        <v>One-off low-touch buyer</v>
      </c>
      <c r="AE206" s="10" t="b">
        <f aca="false">INDEX(Segmentation!$AW$2:$AW$301,MATCH($A206,Segmentation!$A$2:$A$301,0))</f>
        <v>0</v>
      </c>
    </row>
    <row r="207" customFormat="false" ht="15" hidden="false" customHeight="false" outlineLevel="0" collapsed="false">
      <c r="A207" s="2" t="s">
        <v>996</v>
      </c>
      <c r="B207" s="2" t="s">
        <v>1571</v>
      </c>
      <c r="C207" s="2" t="s">
        <v>1640</v>
      </c>
      <c r="D207" s="2" t="s">
        <v>1653</v>
      </c>
      <c r="E207" s="2" t="str">
        <f aca="false">INDEX(Segmentation!$H$2:$H$301,MATCH($A207,Segmentation!$A$2:$A$301,0))</f>
        <v>AM-Owned / Self-Serving</v>
      </c>
      <c r="F207" s="2" t="str">
        <f aca="false">INDEX(Segmentation!$J$2:$J$301,MATCH($A207,Segmentation!$A$2:$A$301,0))</f>
        <v>Tail</v>
      </c>
      <c r="G207" s="2" t="str">
        <f aca="false">INDEX(Segmentation!$N$2:$N$301,MATCH($A207,Segmentation!$A$2:$A$301,0))</f>
        <v>Lapsed</v>
      </c>
      <c r="H207" s="2" t="str">
        <f aca="false">INDEX(Segmentation!$T$2:$T$301,MATCH($A207,Segmentation!$A$2:$A$301,0))</f>
        <v>9. Long-Tail Automated Nurture</v>
      </c>
      <c r="I207" s="2" t="str">
        <f aca="false">INDEX(Segmentation!$G$2:$G$301,MATCH($A207,Segmentation!$A$2:$A$301,0))</f>
        <v>Low</v>
      </c>
      <c r="J207" s="9" t="n">
        <f aca="false">INDEX(Segmentation!$I$2:$I$301,MATCH($A207,Segmentation!$A$2:$A$301,0))</f>
        <v>80</v>
      </c>
      <c r="K207" s="2" t="n">
        <f aca="false">INDEX(Segmentation!$O$2:$O$301,MATCH($A207,Segmentation!$A$2:$A$301,0))</f>
        <v>1</v>
      </c>
      <c r="L207" s="2" t="n">
        <f aca="false">INDEX(Segmentation!$Q$2:$Q$301,MATCH($A207,Segmentation!$A$2:$A$301,0))</f>
        <v>1</v>
      </c>
      <c r="M207" s="2" t="n">
        <f aca="false">INDEX(Segmentation!$W$2:$W$301,MATCH($A207,Segmentation!$A$2:$A$301,0))</f>
        <v>1</v>
      </c>
      <c r="N207" s="2" t="str">
        <f aca="false">INDEX(Segmentation!$AF$2:$AF$301,MATCH($A207,Segmentation!$A$2:$A$301,0))</f>
        <v>Existing Customer</v>
      </c>
      <c r="O207" s="2" t="n">
        <f aca="false">INDEX(Segmentation!$R$2:$R$301,MATCH($A207,Segmentation!$A$2:$A$301,0))</f>
        <v>7</v>
      </c>
      <c r="P207" s="2" t="n">
        <v>36</v>
      </c>
      <c r="Q207" s="2" t="n">
        <f aca="false">INDEX(Segmentation!$S$2:$S$301,MATCH($A207,Segmentation!$A$2:$A$301,0))</f>
        <v>1</v>
      </c>
      <c r="R207" s="2" t="n">
        <v>5</v>
      </c>
      <c r="S207" s="2" t="n">
        <v>0</v>
      </c>
      <c r="T207" s="2" t="n">
        <v>0</v>
      </c>
      <c r="U207" s="2" t="n">
        <v>1</v>
      </c>
      <c r="V207" s="2" t="n">
        <v>100</v>
      </c>
      <c r="W207" s="2" t="str">
        <f aca="false">IF(V207=100,"Bundle-only",IF(V207=0,"Handpick-only","Mixed"))</f>
        <v>Bundle-only</v>
      </c>
      <c r="X207" s="17" t="n">
        <f aca="false">L207/K207</f>
        <v>1</v>
      </c>
      <c r="Y207" s="9" t="n">
        <f aca="false">J207/K207</f>
        <v>80</v>
      </c>
      <c r="Z207" s="10" t="b">
        <f aca="false">O207&gt;=Assumptions!$B$57</f>
        <v>0</v>
      </c>
      <c r="AA207" s="10" t="b">
        <f aca="false">P207&gt;=Assumptions!$B$58</f>
        <v>0</v>
      </c>
      <c r="AB207" s="10" t="b">
        <f aca="false">Q207&gt;=Assumptions!$B$59</f>
        <v>0</v>
      </c>
      <c r="AC207" s="2" t="n">
        <f aca="false">Z207*1+AA207*1+AB207*1</f>
        <v>0</v>
      </c>
      <c r="AD207" s="2" t="str">
        <f aca="false">IF(E207="Broker-Reliant","Broker-led, product-blind",IF(AND(I207="Low",F207&lt;&gt;"Tail",OR(G207="Declining",G207="Lapsed"),OR(O207&gt;=Assumptions!$B$60,P207&gt;=Assumptions!$B$61)),"Engaged but shrinking (Key/Core)",IF(AND(O207&gt;=Assumptions!$B$60,P207&gt;=Assumptions!$B$61,Q207&gt;=Assumptions!$B$62,K207&gt;=Assumptions!$B$63),"Independent browser-buyer",IF(AND(OR(O207&gt;=Assumptions!$B$60,P207&gt;=Assumptions!$B$61),K207&lt;=2),"Engaged, not converting",IF(AND(K207=1,O207&lt;Assumptions!$B$60,P207&lt;Assumptions!$B$61),"One-off low-touch buyer","Light-touch repeat buyer")))))</f>
        <v>One-off low-touch buyer</v>
      </c>
      <c r="AE207" s="10" t="b">
        <f aca="false">INDEX(Segmentation!$AW$2:$AW$301,MATCH($A207,Segmentation!$A$2:$A$301,0))</f>
        <v>0</v>
      </c>
    </row>
    <row r="208" customFormat="false" ht="15" hidden="false" customHeight="false" outlineLevel="0" collapsed="false">
      <c r="A208" s="2" t="s">
        <v>1000</v>
      </c>
      <c r="B208" s="2" t="s">
        <v>1571</v>
      </c>
      <c r="C208" s="2" t="s">
        <v>1640</v>
      </c>
      <c r="D208" s="2" t="s">
        <v>1653</v>
      </c>
      <c r="E208" s="2" t="str">
        <f aca="false">INDEX(Segmentation!$H$2:$H$301,MATCH($A208,Segmentation!$A$2:$A$301,0))</f>
        <v>AM-Owned / Self-Serving</v>
      </c>
      <c r="F208" s="2" t="str">
        <f aca="false">INDEX(Segmentation!$J$2:$J$301,MATCH($A208,Segmentation!$A$2:$A$301,0))</f>
        <v>Tail</v>
      </c>
      <c r="G208" s="2" t="str">
        <f aca="false">INDEX(Segmentation!$N$2:$N$301,MATCH($A208,Segmentation!$A$2:$A$301,0))</f>
        <v>Lapsed</v>
      </c>
      <c r="H208" s="2" t="str">
        <f aca="false">INDEX(Segmentation!$T$2:$T$301,MATCH($A208,Segmentation!$A$2:$A$301,0))</f>
        <v>9. Long-Tail Automated Nurture</v>
      </c>
      <c r="I208" s="2" t="str">
        <f aca="false">INDEX(Segmentation!$G$2:$G$301,MATCH($A208,Segmentation!$A$2:$A$301,0))</f>
        <v>Low</v>
      </c>
      <c r="J208" s="9" t="n">
        <f aca="false">INDEX(Segmentation!$I$2:$I$301,MATCH($A208,Segmentation!$A$2:$A$301,0))</f>
        <v>77</v>
      </c>
      <c r="K208" s="2" t="n">
        <f aca="false">INDEX(Segmentation!$O$2:$O$301,MATCH($A208,Segmentation!$A$2:$A$301,0))</f>
        <v>1</v>
      </c>
      <c r="L208" s="2" t="n">
        <f aca="false">INDEX(Segmentation!$Q$2:$Q$301,MATCH($A208,Segmentation!$A$2:$A$301,0))</f>
        <v>1</v>
      </c>
      <c r="M208" s="2" t="n">
        <f aca="false">INDEX(Segmentation!$W$2:$W$301,MATCH($A208,Segmentation!$A$2:$A$301,0))</f>
        <v>1</v>
      </c>
      <c r="N208" s="2" t="str">
        <f aca="false">INDEX(Segmentation!$AF$2:$AF$301,MATCH($A208,Segmentation!$A$2:$A$301,0))</f>
        <v>Existing Customer</v>
      </c>
      <c r="O208" s="2" t="n">
        <f aca="false">INDEX(Segmentation!$R$2:$R$301,MATCH($A208,Segmentation!$A$2:$A$301,0))</f>
        <v>11</v>
      </c>
      <c r="P208" s="2" t="n">
        <v>191</v>
      </c>
      <c r="Q208" s="2" t="n">
        <f aca="false">INDEX(Segmentation!$S$2:$S$301,MATCH($A208,Segmentation!$A$2:$A$301,0))</f>
        <v>8</v>
      </c>
      <c r="R208" s="2" t="n">
        <v>4</v>
      </c>
      <c r="S208" s="2" t="n">
        <v>0</v>
      </c>
      <c r="T208" s="2" t="n">
        <v>0</v>
      </c>
      <c r="U208" s="2" t="n">
        <v>1</v>
      </c>
      <c r="V208" s="2" t="n">
        <v>100</v>
      </c>
      <c r="W208" s="2" t="str">
        <f aca="false">IF(V208=100,"Bundle-only",IF(V208=0,"Handpick-only","Mixed"))</f>
        <v>Bundle-only</v>
      </c>
      <c r="X208" s="17" t="n">
        <f aca="false">L208/K208</f>
        <v>1</v>
      </c>
      <c r="Y208" s="9" t="n">
        <f aca="false">J208/K208</f>
        <v>77</v>
      </c>
      <c r="Z208" s="10" t="b">
        <f aca="false">O208&gt;=Assumptions!$B$57</f>
        <v>1</v>
      </c>
      <c r="AA208" s="10" t="b">
        <f aca="false">P208&gt;=Assumptions!$B$58</f>
        <v>1</v>
      </c>
      <c r="AB208" s="10" t="b">
        <f aca="false">Q208&gt;=Assumptions!$B$59</f>
        <v>1</v>
      </c>
      <c r="AC208" s="2" t="n">
        <f aca="false">Z208*1+AA208*1+AB208*1</f>
        <v>3</v>
      </c>
      <c r="AD208" s="2" t="str">
        <f aca="false">IF(E208="Broker-Reliant","Broker-led, product-blind",IF(AND(I208="Low",F208&lt;&gt;"Tail",OR(G208="Declining",G208="Lapsed"),OR(O208&gt;=Assumptions!$B$60,P208&gt;=Assumptions!$B$61)),"Engaged but shrinking (Key/Core)",IF(AND(O208&gt;=Assumptions!$B$60,P208&gt;=Assumptions!$B$61,Q208&gt;=Assumptions!$B$62,K208&gt;=Assumptions!$B$63),"Independent browser-buyer",IF(AND(OR(O208&gt;=Assumptions!$B$60,P208&gt;=Assumptions!$B$61),K208&lt;=2),"Engaged, not converting",IF(AND(K208=1,O208&lt;Assumptions!$B$60,P208&lt;Assumptions!$B$61),"One-off low-touch buyer","Light-touch repeat buyer")))))</f>
        <v>One-off low-touch buyer</v>
      </c>
      <c r="AE208" s="10" t="b">
        <f aca="false">INDEX(Segmentation!$AW$2:$AW$301,MATCH($A208,Segmentation!$A$2:$A$301,0))</f>
        <v>0</v>
      </c>
    </row>
    <row r="209" customFormat="false" ht="15" hidden="false" customHeight="false" outlineLevel="0" collapsed="false">
      <c r="A209" s="2" t="s">
        <v>1012</v>
      </c>
      <c r="B209" s="2" t="s">
        <v>1571</v>
      </c>
      <c r="C209" s="2" t="s">
        <v>1640</v>
      </c>
      <c r="D209" s="2" t="s">
        <v>1653</v>
      </c>
      <c r="E209" s="2" t="str">
        <f aca="false">INDEX(Segmentation!$H$2:$H$301,MATCH($A209,Segmentation!$A$2:$A$301,0))</f>
        <v>AM-Owned / Self-Serving</v>
      </c>
      <c r="F209" s="2" t="str">
        <f aca="false">INDEX(Segmentation!$J$2:$J$301,MATCH($A209,Segmentation!$A$2:$A$301,0))</f>
        <v>Tail</v>
      </c>
      <c r="G209" s="2" t="str">
        <f aca="false">INDEX(Segmentation!$N$2:$N$301,MATCH($A209,Segmentation!$A$2:$A$301,0))</f>
        <v>Lapsed</v>
      </c>
      <c r="H209" s="2" t="str">
        <f aca="false">INDEX(Segmentation!$T$2:$T$301,MATCH($A209,Segmentation!$A$2:$A$301,0))</f>
        <v>9. Long-Tail Automated Nurture</v>
      </c>
      <c r="I209" s="2" t="str">
        <f aca="false">INDEX(Segmentation!$G$2:$G$301,MATCH($A209,Segmentation!$A$2:$A$301,0))</f>
        <v>Low</v>
      </c>
      <c r="J209" s="9" t="n">
        <f aca="false">INDEX(Segmentation!$I$2:$I$301,MATCH($A209,Segmentation!$A$2:$A$301,0))</f>
        <v>53</v>
      </c>
      <c r="K209" s="2" t="n">
        <f aca="false">INDEX(Segmentation!$O$2:$O$301,MATCH($A209,Segmentation!$A$2:$A$301,0))</f>
        <v>1</v>
      </c>
      <c r="L209" s="2" t="n">
        <f aca="false">INDEX(Segmentation!$Q$2:$Q$301,MATCH($A209,Segmentation!$A$2:$A$301,0))</f>
        <v>1</v>
      </c>
      <c r="M209" s="2" t="n">
        <f aca="false">INDEX(Segmentation!$W$2:$W$301,MATCH($A209,Segmentation!$A$2:$A$301,0))</f>
        <v>1</v>
      </c>
      <c r="N209" s="2" t="str">
        <f aca="false">INDEX(Segmentation!$AF$2:$AF$301,MATCH($A209,Segmentation!$A$2:$A$301,0))</f>
        <v>Existing Customer</v>
      </c>
      <c r="O209" s="2" t="n">
        <f aca="false">INDEX(Segmentation!$R$2:$R$301,MATCH($A209,Segmentation!$A$2:$A$301,0))</f>
        <v>4</v>
      </c>
      <c r="P209" s="2" t="n">
        <v>10</v>
      </c>
      <c r="Q209" s="2" t="n">
        <f aca="false">INDEX(Segmentation!$S$2:$S$301,MATCH($A209,Segmentation!$A$2:$A$301,0))</f>
        <v>1</v>
      </c>
      <c r="R209" s="2" t="n">
        <v>0</v>
      </c>
      <c r="S209" s="2" t="n">
        <v>0</v>
      </c>
      <c r="T209" s="2" t="n">
        <v>0</v>
      </c>
      <c r="U209" s="2" t="n">
        <v>1</v>
      </c>
      <c r="V209" s="2" t="n">
        <v>100</v>
      </c>
      <c r="W209" s="2" t="str">
        <f aca="false">IF(V209=100,"Bundle-only",IF(V209=0,"Handpick-only","Mixed"))</f>
        <v>Bundle-only</v>
      </c>
      <c r="X209" s="17" t="n">
        <f aca="false">L209/K209</f>
        <v>1</v>
      </c>
      <c r="Y209" s="9" t="n">
        <f aca="false">J209/K209</f>
        <v>53</v>
      </c>
      <c r="Z209" s="10" t="b">
        <f aca="false">O209&gt;=Assumptions!$B$57</f>
        <v>0</v>
      </c>
      <c r="AA209" s="10" t="b">
        <f aca="false">P209&gt;=Assumptions!$B$58</f>
        <v>0</v>
      </c>
      <c r="AB209" s="10" t="b">
        <f aca="false">Q209&gt;=Assumptions!$B$59</f>
        <v>0</v>
      </c>
      <c r="AC209" s="2" t="n">
        <f aca="false">Z209*1+AA209*1+AB209*1</f>
        <v>0</v>
      </c>
      <c r="AD209" s="2" t="str">
        <f aca="false">IF(E209="Broker-Reliant","Broker-led, product-blind",IF(AND(I209="Low",F209&lt;&gt;"Tail",OR(G209="Declining",G209="Lapsed"),OR(O209&gt;=Assumptions!$B$60,P209&gt;=Assumptions!$B$61)),"Engaged but shrinking (Key/Core)",IF(AND(O209&gt;=Assumptions!$B$60,P209&gt;=Assumptions!$B$61,Q209&gt;=Assumptions!$B$62,K209&gt;=Assumptions!$B$63),"Independent browser-buyer",IF(AND(OR(O209&gt;=Assumptions!$B$60,P209&gt;=Assumptions!$B$61),K209&lt;=2),"Engaged, not converting",IF(AND(K209=1,O209&lt;Assumptions!$B$60,P209&lt;Assumptions!$B$61),"One-off low-touch buyer","Light-touch repeat buyer")))))</f>
        <v>One-off low-touch buyer</v>
      </c>
      <c r="AE209" s="10" t="b">
        <f aca="false">INDEX(Segmentation!$AW$2:$AW$301,MATCH($A209,Segmentation!$A$2:$A$301,0))</f>
        <v>0</v>
      </c>
    </row>
    <row r="210" customFormat="false" ht="15" hidden="false" customHeight="false" outlineLevel="0" collapsed="false">
      <c r="A210" s="2" t="s">
        <v>1014</v>
      </c>
      <c r="B210" s="2" t="s">
        <v>1571</v>
      </c>
      <c r="C210" s="2" t="s">
        <v>1640</v>
      </c>
      <c r="D210" s="2" t="s">
        <v>1653</v>
      </c>
      <c r="E210" s="2" t="str">
        <f aca="false">INDEX(Segmentation!$H$2:$H$301,MATCH($A210,Segmentation!$A$2:$A$301,0))</f>
        <v>AM-Owned / Self-Serving</v>
      </c>
      <c r="F210" s="2" t="str">
        <f aca="false">INDEX(Segmentation!$J$2:$J$301,MATCH($A210,Segmentation!$A$2:$A$301,0))</f>
        <v>Tail</v>
      </c>
      <c r="G210" s="2" t="str">
        <f aca="false">INDEX(Segmentation!$N$2:$N$301,MATCH($A210,Segmentation!$A$2:$A$301,0))</f>
        <v>H2 Active / No H1 GMV</v>
      </c>
      <c r="H210" s="2" t="str">
        <f aca="false">INDEX(Segmentation!$T$2:$T$301,MATCH($A210,Segmentation!$A$2:$A$301,0))</f>
        <v>9. Long-Tail Automated Nurture</v>
      </c>
      <c r="I210" s="2" t="str">
        <f aca="false">INDEX(Segmentation!$G$2:$G$301,MATCH($A210,Segmentation!$A$2:$A$301,0))</f>
        <v>Low</v>
      </c>
      <c r="J210" s="9" t="n">
        <f aca="false">INDEX(Segmentation!$I$2:$I$301,MATCH($A210,Segmentation!$A$2:$A$301,0))</f>
        <v>49</v>
      </c>
      <c r="K210" s="2" t="n">
        <f aca="false">INDEX(Segmentation!$O$2:$O$301,MATCH($A210,Segmentation!$A$2:$A$301,0))</f>
        <v>1</v>
      </c>
      <c r="L210" s="2" t="n">
        <f aca="false">INDEX(Segmentation!$Q$2:$Q$301,MATCH($A210,Segmentation!$A$2:$A$301,0))</f>
        <v>1</v>
      </c>
      <c r="M210" s="2" t="n">
        <f aca="false">INDEX(Segmentation!$W$2:$W$301,MATCH($A210,Segmentation!$A$2:$A$301,0))</f>
        <v>1</v>
      </c>
      <c r="N210" s="2" t="str">
        <f aca="false">INDEX(Segmentation!$AF$2:$AF$301,MATCH($A210,Segmentation!$A$2:$A$301,0))</f>
        <v>Returned Customer</v>
      </c>
      <c r="O210" s="2" t="n">
        <f aca="false">INDEX(Segmentation!$R$2:$R$301,MATCH($A210,Segmentation!$A$2:$A$301,0))</f>
        <v>9</v>
      </c>
      <c r="P210" s="2" t="n">
        <v>90</v>
      </c>
      <c r="Q210" s="2" t="n">
        <f aca="false">INDEX(Segmentation!$S$2:$S$301,MATCH($A210,Segmentation!$A$2:$A$301,0))</f>
        <v>2</v>
      </c>
      <c r="R210" s="2" t="n">
        <v>2</v>
      </c>
      <c r="S210" s="2" t="n">
        <v>0</v>
      </c>
      <c r="T210" s="2" t="n">
        <v>0</v>
      </c>
      <c r="U210" s="2" t="n">
        <v>1</v>
      </c>
      <c r="V210" s="2" t="n">
        <v>100</v>
      </c>
      <c r="W210" s="2" t="str">
        <f aca="false">IF(V210=100,"Bundle-only",IF(V210=0,"Handpick-only","Mixed"))</f>
        <v>Bundle-only</v>
      </c>
      <c r="X210" s="17" t="n">
        <f aca="false">L210/K210</f>
        <v>1</v>
      </c>
      <c r="Y210" s="9" t="n">
        <f aca="false">J210/K210</f>
        <v>49</v>
      </c>
      <c r="Z210" s="10" t="b">
        <f aca="false">O210&gt;=Assumptions!$B$57</f>
        <v>0</v>
      </c>
      <c r="AA210" s="10" t="b">
        <f aca="false">P210&gt;=Assumptions!$B$58</f>
        <v>1</v>
      </c>
      <c r="AB210" s="10" t="b">
        <f aca="false">Q210&gt;=Assumptions!$B$59</f>
        <v>0</v>
      </c>
      <c r="AC210" s="2" t="n">
        <f aca="false">Z210*1+AA210*1+AB210*1</f>
        <v>1</v>
      </c>
      <c r="AD210" s="2" t="str">
        <f aca="false">IF(E210="Broker-Reliant","Broker-led, product-blind",IF(AND(I210="Low",F210&lt;&gt;"Tail",OR(G210="Declining",G210="Lapsed"),OR(O210&gt;=Assumptions!$B$60,P210&gt;=Assumptions!$B$61)),"Engaged but shrinking (Key/Core)",IF(AND(O210&gt;=Assumptions!$B$60,P210&gt;=Assumptions!$B$61,Q210&gt;=Assumptions!$B$62,K210&gt;=Assumptions!$B$63),"Independent browser-buyer",IF(AND(OR(O210&gt;=Assumptions!$B$60,P210&gt;=Assumptions!$B$61),K210&lt;=2),"Engaged, not converting",IF(AND(K210=1,O210&lt;Assumptions!$B$60,P210&lt;Assumptions!$B$61),"One-off low-touch buyer","Light-touch repeat buyer")))))</f>
        <v>One-off low-touch buyer</v>
      </c>
      <c r="AE210" s="10" t="b">
        <f aca="false">INDEX(Segmentation!$AW$2:$AW$301,MATCH($A210,Segmentation!$A$2:$A$301,0))</f>
        <v>0</v>
      </c>
    </row>
    <row r="211" customFormat="false" ht="15" hidden="false" customHeight="false" outlineLevel="0" collapsed="false">
      <c r="A211" s="2" t="s">
        <v>1018</v>
      </c>
      <c r="B211" s="2" t="s">
        <v>1571</v>
      </c>
      <c r="C211" s="2" t="s">
        <v>1640</v>
      </c>
      <c r="D211" s="2" t="s">
        <v>1653</v>
      </c>
      <c r="E211" s="2" t="str">
        <f aca="false">INDEX(Segmentation!$H$2:$H$301,MATCH($A211,Segmentation!$A$2:$A$301,0))</f>
        <v>AM-Owned / Self-Serving</v>
      </c>
      <c r="F211" s="2" t="str">
        <f aca="false">INDEX(Segmentation!$J$2:$J$301,MATCH($A211,Segmentation!$A$2:$A$301,0))</f>
        <v>Tail</v>
      </c>
      <c r="G211" s="2" t="str">
        <f aca="false">INDEX(Segmentation!$N$2:$N$301,MATCH($A211,Segmentation!$A$2:$A$301,0))</f>
        <v>Lapsed</v>
      </c>
      <c r="H211" s="2" t="str">
        <f aca="false">INDEX(Segmentation!$T$2:$T$301,MATCH($A211,Segmentation!$A$2:$A$301,0))</f>
        <v>9. Long-Tail Automated Nurture</v>
      </c>
      <c r="I211" s="2" t="str">
        <f aca="false">INDEX(Segmentation!$G$2:$G$301,MATCH($A211,Segmentation!$A$2:$A$301,0))</f>
        <v>Low</v>
      </c>
      <c r="J211" s="9" t="n">
        <f aca="false">INDEX(Segmentation!$I$2:$I$301,MATCH($A211,Segmentation!$A$2:$A$301,0))</f>
        <v>7</v>
      </c>
      <c r="K211" s="2" t="n">
        <f aca="false">INDEX(Segmentation!$O$2:$O$301,MATCH($A211,Segmentation!$A$2:$A$301,0))</f>
        <v>1</v>
      </c>
      <c r="L211" s="2" t="n">
        <f aca="false">INDEX(Segmentation!$Q$2:$Q$301,MATCH($A211,Segmentation!$A$2:$A$301,0))</f>
        <v>1</v>
      </c>
      <c r="M211" s="2" t="n">
        <f aca="false">INDEX(Segmentation!$W$2:$W$301,MATCH($A211,Segmentation!$A$2:$A$301,0))</f>
        <v>1</v>
      </c>
      <c r="N211" s="2" t="str">
        <f aca="false">INDEX(Segmentation!$AF$2:$AF$301,MATCH($A211,Segmentation!$A$2:$A$301,0))</f>
        <v>Existing Customer</v>
      </c>
      <c r="O211" s="2" t="n">
        <f aca="false">INDEX(Segmentation!$R$2:$R$301,MATCH($A211,Segmentation!$A$2:$A$301,0))</f>
        <v>2</v>
      </c>
      <c r="P211" s="2" t="n">
        <v>9</v>
      </c>
      <c r="Q211" s="2" t="n">
        <f aca="false">INDEX(Segmentation!$S$2:$S$301,MATCH($A211,Segmentation!$A$2:$A$301,0))</f>
        <v>0</v>
      </c>
      <c r="R211" s="2" t="n">
        <v>0</v>
      </c>
      <c r="S211" s="2" t="n">
        <v>0</v>
      </c>
      <c r="T211" s="2" t="n">
        <v>0</v>
      </c>
      <c r="U211" s="2" t="n">
        <v>1</v>
      </c>
      <c r="V211" s="2" t="n">
        <v>100</v>
      </c>
      <c r="W211" s="2" t="str">
        <f aca="false">IF(V211=100,"Bundle-only",IF(V211=0,"Handpick-only","Mixed"))</f>
        <v>Bundle-only</v>
      </c>
      <c r="X211" s="17" t="n">
        <f aca="false">L211/K211</f>
        <v>1</v>
      </c>
      <c r="Y211" s="9" t="n">
        <f aca="false">J211/K211</f>
        <v>7</v>
      </c>
      <c r="Z211" s="10" t="b">
        <f aca="false">O211&gt;=Assumptions!$B$57</f>
        <v>0</v>
      </c>
      <c r="AA211" s="10" t="b">
        <f aca="false">P211&gt;=Assumptions!$B$58</f>
        <v>0</v>
      </c>
      <c r="AB211" s="10" t="b">
        <f aca="false">Q211&gt;=Assumptions!$B$59</f>
        <v>0</v>
      </c>
      <c r="AC211" s="2" t="n">
        <f aca="false">Z211*1+AA211*1+AB211*1</f>
        <v>0</v>
      </c>
      <c r="AD211" s="2" t="str">
        <f aca="false">IF(E211="Broker-Reliant","Broker-led, product-blind",IF(AND(I211="Low",F211&lt;&gt;"Tail",OR(G211="Declining",G211="Lapsed"),OR(O211&gt;=Assumptions!$B$60,P211&gt;=Assumptions!$B$61)),"Engaged but shrinking (Key/Core)",IF(AND(O211&gt;=Assumptions!$B$60,P211&gt;=Assumptions!$B$61,Q211&gt;=Assumptions!$B$62,K211&gt;=Assumptions!$B$63),"Independent browser-buyer",IF(AND(OR(O211&gt;=Assumptions!$B$60,P211&gt;=Assumptions!$B$61),K211&lt;=2),"Engaged, not converting",IF(AND(K211=1,O211&lt;Assumptions!$B$60,P211&lt;Assumptions!$B$61),"One-off low-touch buyer","Light-touch repeat buyer")))))</f>
        <v>One-off low-touch buyer</v>
      </c>
      <c r="AE211" s="10" t="b">
        <f aca="false">INDEX(Segmentation!$AW$2:$AW$301,MATCH($A211,Segmentation!$A$2:$A$301,0))</f>
        <v>0</v>
      </c>
    </row>
    <row r="212" customFormat="false" ht="15" hidden="false" customHeight="false" outlineLevel="0" collapsed="false">
      <c r="A212" s="2" t="s">
        <v>178</v>
      </c>
      <c r="B212" s="2" t="s">
        <v>1574</v>
      </c>
      <c r="C212" s="2" t="s">
        <v>1640</v>
      </c>
      <c r="D212" s="2" t="s">
        <v>1658</v>
      </c>
      <c r="E212" s="2" t="str">
        <f aca="false">INDEX(Segmentation!$H$2:$H$301,MATCH($A212,Segmentation!$A$2:$A$301,0))</f>
        <v>Self-Serve</v>
      </c>
      <c r="F212" s="2" t="str">
        <f aca="false">INDEX(Segmentation!$J$2:$J$301,MATCH($A212,Segmentation!$A$2:$A$301,0))</f>
        <v>Key</v>
      </c>
      <c r="G212" s="2" t="str">
        <f aca="false">INDEX(Segmentation!$N$2:$N$301,MATCH($A212,Segmentation!$A$2:$A$301,0))</f>
        <v>Declining</v>
      </c>
      <c r="H212" s="2" t="str">
        <f aca="false">INDEX(Segmentation!$T$2:$T$301,MATCH($A212,Segmentation!$A$2:$A$301,0))</f>
        <v>8. Retention / Reactivation</v>
      </c>
      <c r="I212" s="2" t="str">
        <f aca="false">INDEX(Segmentation!$G$2:$G$301,MATCH($A212,Segmentation!$A$2:$A$301,0))</f>
        <v>Low</v>
      </c>
      <c r="J212" s="9" t="n">
        <f aca="false">INDEX(Segmentation!$I$2:$I$301,MATCH($A212,Segmentation!$A$2:$A$301,0))</f>
        <v>13412</v>
      </c>
      <c r="K212" s="2" t="n">
        <f aca="false">INDEX(Segmentation!$O$2:$O$301,MATCH($A212,Segmentation!$A$2:$A$301,0))</f>
        <v>15</v>
      </c>
      <c r="L212" s="2" t="n">
        <f aca="false">INDEX(Segmentation!$Q$2:$Q$301,MATCH($A212,Segmentation!$A$2:$A$301,0))</f>
        <v>15</v>
      </c>
      <c r="M212" s="2" t="n">
        <f aca="false">INDEX(Segmentation!$W$2:$W$301,MATCH($A212,Segmentation!$A$2:$A$301,0))</f>
        <v>3</v>
      </c>
      <c r="N212" s="2" t="str">
        <f aca="false">INDEX(Segmentation!$AF$2:$AF$301,MATCH($A212,Segmentation!$A$2:$A$301,0))</f>
        <v>Existing Customer</v>
      </c>
      <c r="O212" s="2" t="n">
        <f aca="false">INDEX(Segmentation!$R$2:$R$301,MATCH($A212,Segmentation!$A$2:$A$301,0))</f>
        <v>100</v>
      </c>
      <c r="P212" s="2" t="n">
        <v>6665</v>
      </c>
      <c r="Q212" s="2" t="n">
        <f aca="false">INDEX(Segmentation!$S$2:$S$301,MATCH($A212,Segmentation!$A$2:$A$301,0))</f>
        <v>71</v>
      </c>
      <c r="R212" s="2" t="n">
        <v>18</v>
      </c>
      <c r="S212" s="2" t="n">
        <v>0</v>
      </c>
      <c r="T212" s="2" t="n">
        <v>1</v>
      </c>
      <c r="U212" s="2" t="n">
        <v>14</v>
      </c>
      <c r="V212" s="2" t="n">
        <v>84</v>
      </c>
      <c r="W212" s="2" t="str">
        <f aca="false">IF(V212=100,"Bundle-only",IF(V212=0,"Handpick-only","Mixed"))</f>
        <v>Mixed</v>
      </c>
      <c r="X212" s="17" t="n">
        <f aca="false">L212/K212</f>
        <v>1</v>
      </c>
      <c r="Y212" s="9" t="n">
        <f aca="false">J212/K212</f>
        <v>894.133333333333</v>
      </c>
      <c r="Z212" s="10" t="b">
        <f aca="false">O212&gt;=Assumptions!$B$57</f>
        <v>1</v>
      </c>
      <c r="AA212" s="10" t="b">
        <f aca="false">P212&gt;=Assumptions!$B$58</f>
        <v>1</v>
      </c>
      <c r="AB212" s="10" t="b">
        <f aca="false">Q212&gt;=Assumptions!$B$59</f>
        <v>1</v>
      </c>
      <c r="AC212" s="2" t="n">
        <f aca="false">Z212*1+AA212*1+AB212*1</f>
        <v>3</v>
      </c>
      <c r="AD212" s="2" t="str">
        <f aca="false">IF(E212="Broker-Reliant","Broker-led, product-blind",IF(AND(I212="Low",F212&lt;&gt;"Tail",OR(G212="Declining",G212="Lapsed"),OR(O212&gt;=Assumptions!$B$60,P212&gt;=Assumptions!$B$61)),"Engaged but shrinking (Key/Core)",IF(AND(O212&gt;=Assumptions!$B$60,P212&gt;=Assumptions!$B$61,Q212&gt;=Assumptions!$B$62,K212&gt;=Assumptions!$B$63),"Independent browser-buyer",IF(AND(OR(O212&gt;=Assumptions!$B$60,P212&gt;=Assumptions!$B$61),K212&lt;=2),"Engaged, not converting",IF(AND(K212=1,O212&lt;Assumptions!$B$60,P212&lt;Assumptions!$B$61),"One-off low-touch buyer","Light-touch repeat buyer")))))</f>
        <v>Engaged but shrinking (Key/Core)</v>
      </c>
      <c r="AE212" s="10" t="b">
        <f aca="false">INDEX(Segmentation!$AW$2:$AW$301,MATCH($A212,Segmentation!$A$2:$A$301,0))</f>
        <v>0</v>
      </c>
    </row>
    <row r="213" customFormat="false" ht="15" hidden="false" customHeight="false" outlineLevel="0" collapsed="false">
      <c r="A213" s="2" t="s">
        <v>365</v>
      </c>
      <c r="B213" s="2" t="s">
        <v>1574</v>
      </c>
      <c r="C213" s="2" t="s">
        <v>1640</v>
      </c>
      <c r="D213" s="2" t="s">
        <v>1655</v>
      </c>
      <c r="E213" s="2" t="str">
        <f aca="false">INDEX(Segmentation!$H$2:$H$301,MATCH($A213,Segmentation!$A$2:$A$301,0))</f>
        <v>Self-Serve</v>
      </c>
      <c r="F213" s="2" t="str">
        <f aca="false">INDEX(Segmentation!$J$2:$J$301,MATCH($A213,Segmentation!$A$2:$A$301,0))</f>
        <v>Core</v>
      </c>
      <c r="G213" s="2" t="str">
        <f aca="false">INDEX(Segmentation!$N$2:$N$301,MATCH($A213,Segmentation!$A$2:$A$301,0))</f>
        <v>Growing</v>
      </c>
      <c r="H213" s="2" t="str">
        <f aca="false">INDEX(Segmentation!$T$2:$T$301,MATCH($A213,Segmentation!$A$2:$A$301,0))</f>
        <v>6. Growth Opportunity</v>
      </c>
      <c r="I213" s="2" t="str">
        <f aca="false">INDEX(Segmentation!$G$2:$G$301,MATCH($A213,Segmentation!$A$2:$A$301,0))</f>
        <v>Low</v>
      </c>
      <c r="J213" s="9" t="n">
        <f aca="false">INDEX(Segmentation!$I$2:$I$301,MATCH($A213,Segmentation!$A$2:$A$301,0))</f>
        <v>8581</v>
      </c>
      <c r="K213" s="2" t="n">
        <f aca="false">INDEX(Segmentation!$O$2:$O$301,MATCH($A213,Segmentation!$A$2:$A$301,0))</f>
        <v>8</v>
      </c>
      <c r="L213" s="2" t="n">
        <f aca="false">INDEX(Segmentation!$Q$2:$Q$301,MATCH($A213,Segmentation!$A$2:$A$301,0))</f>
        <v>8</v>
      </c>
      <c r="M213" s="2" t="n">
        <f aca="false">INDEX(Segmentation!$W$2:$W$301,MATCH($A213,Segmentation!$A$2:$A$301,0))</f>
        <v>4</v>
      </c>
      <c r="N213" s="2" t="str">
        <f aca="false">INDEX(Segmentation!$AF$2:$AF$301,MATCH($A213,Segmentation!$A$2:$A$301,0))</f>
        <v>Existing Customer</v>
      </c>
      <c r="O213" s="2" t="n">
        <f aca="false">INDEX(Segmentation!$R$2:$R$301,MATCH($A213,Segmentation!$A$2:$A$301,0))</f>
        <v>78</v>
      </c>
      <c r="P213" s="2" t="n">
        <v>612</v>
      </c>
      <c r="Q213" s="2" t="n">
        <f aca="false">INDEX(Segmentation!$S$2:$S$301,MATCH($A213,Segmentation!$A$2:$A$301,0))</f>
        <v>5</v>
      </c>
      <c r="R213" s="2" t="n">
        <v>48</v>
      </c>
      <c r="S213" s="2" t="n">
        <v>1</v>
      </c>
      <c r="T213" s="2" t="n">
        <v>3</v>
      </c>
      <c r="U213" s="2" t="n">
        <v>5</v>
      </c>
      <c r="V213" s="2" t="n">
        <v>63</v>
      </c>
      <c r="W213" s="2" t="str">
        <f aca="false">IF(V213=100,"Bundle-only",IF(V213=0,"Handpick-only","Mixed"))</f>
        <v>Mixed</v>
      </c>
      <c r="X213" s="17" t="n">
        <f aca="false">L213/K213</f>
        <v>1</v>
      </c>
      <c r="Y213" s="9" t="n">
        <f aca="false">J213/K213</f>
        <v>1072.625</v>
      </c>
      <c r="Z213" s="10" t="b">
        <f aca="false">O213&gt;=Assumptions!$B$57</f>
        <v>1</v>
      </c>
      <c r="AA213" s="10" t="b">
        <f aca="false">P213&gt;=Assumptions!$B$58</f>
        <v>1</v>
      </c>
      <c r="AB213" s="10" t="b">
        <f aca="false">Q213&gt;=Assumptions!$B$59</f>
        <v>1</v>
      </c>
      <c r="AC213" s="2" t="n">
        <f aca="false">Z213*1+AA213*1+AB213*1</f>
        <v>3</v>
      </c>
      <c r="AD213" s="2" t="str">
        <f aca="false">IF(E213="Broker-Reliant","Broker-led, product-blind",IF(AND(I213="Low",F213&lt;&gt;"Tail",OR(G213="Declining",G213="Lapsed"),OR(O213&gt;=Assumptions!$B$60,P213&gt;=Assumptions!$B$61)),"Engaged but shrinking (Key/Core)",IF(AND(O213&gt;=Assumptions!$B$60,P213&gt;=Assumptions!$B$61,Q213&gt;=Assumptions!$B$62,K213&gt;=Assumptions!$B$63),"Independent browser-buyer",IF(AND(OR(O213&gt;=Assumptions!$B$60,P213&gt;=Assumptions!$B$61),K213&lt;=2),"Engaged, not converting",IF(AND(K213=1,O213&lt;Assumptions!$B$60,P213&lt;Assumptions!$B$61),"One-off low-touch buyer","Light-touch repeat buyer")))))</f>
        <v>Independent browser-buyer</v>
      </c>
      <c r="AE213" s="10" t="b">
        <f aca="false">INDEX(Segmentation!$AW$2:$AW$301,MATCH($A213,Segmentation!$A$2:$A$301,0))</f>
        <v>0</v>
      </c>
    </row>
    <row r="214" customFormat="false" ht="15" hidden="false" customHeight="false" outlineLevel="0" collapsed="false">
      <c r="A214" s="2" t="s">
        <v>405</v>
      </c>
      <c r="B214" s="2" t="s">
        <v>1574</v>
      </c>
      <c r="C214" s="2" t="s">
        <v>1640</v>
      </c>
      <c r="D214" s="2" t="s">
        <v>1658</v>
      </c>
      <c r="E214" s="2" t="str">
        <f aca="false">INDEX(Segmentation!$H$2:$H$301,MATCH($A214,Segmentation!$A$2:$A$301,0))</f>
        <v>Self-Serve</v>
      </c>
      <c r="F214" s="2" t="str">
        <f aca="false">INDEX(Segmentation!$J$2:$J$301,MATCH($A214,Segmentation!$A$2:$A$301,0))</f>
        <v>Core</v>
      </c>
      <c r="G214" s="2" t="str">
        <f aca="false">INDEX(Segmentation!$N$2:$N$301,MATCH($A214,Segmentation!$A$2:$A$301,0))</f>
        <v>Growing</v>
      </c>
      <c r="H214" s="2" t="str">
        <f aca="false">INDEX(Segmentation!$T$2:$T$301,MATCH($A214,Segmentation!$A$2:$A$301,0))</f>
        <v>6. Growth Opportunity</v>
      </c>
      <c r="I214" s="2" t="str">
        <f aca="false">INDEX(Segmentation!$G$2:$G$301,MATCH($A214,Segmentation!$A$2:$A$301,0))</f>
        <v>Low</v>
      </c>
      <c r="J214" s="9" t="n">
        <f aca="false">INDEX(Segmentation!$I$2:$I$301,MATCH($A214,Segmentation!$A$2:$A$301,0))</f>
        <v>4899</v>
      </c>
      <c r="K214" s="2" t="n">
        <f aca="false">INDEX(Segmentation!$O$2:$O$301,MATCH($A214,Segmentation!$A$2:$A$301,0))</f>
        <v>8</v>
      </c>
      <c r="L214" s="2" t="n">
        <f aca="false">INDEX(Segmentation!$Q$2:$Q$301,MATCH($A214,Segmentation!$A$2:$A$301,0))</f>
        <v>8</v>
      </c>
      <c r="M214" s="2" t="n">
        <f aca="false">INDEX(Segmentation!$W$2:$W$301,MATCH($A214,Segmentation!$A$2:$A$301,0))</f>
        <v>4</v>
      </c>
      <c r="N214" s="2" t="str">
        <f aca="false">INDEX(Segmentation!$AF$2:$AF$301,MATCH($A214,Segmentation!$A$2:$A$301,0))</f>
        <v>Existing Customer</v>
      </c>
      <c r="O214" s="2" t="n">
        <f aca="false">INDEX(Segmentation!$R$2:$R$301,MATCH($A214,Segmentation!$A$2:$A$301,0))</f>
        <v>29</v>
      </c>
      <c r="P214" s="2" t="n">
        <v>70</v>
      </c>
      <c r="Q214" s="2" t="n">
        <f aca="false">INDEX(Segmentation!$S$2:$S$301,MATCH($A214,Segmentation!$A$2:$A$301,0))</f>
        <v>37</v>
      </c>
      <c r="R214" s="2" t="n">
        <v>18</v>
      </c>
      <c r="S214" s="2" t="n">
        <v>0</v>
      </c>
      <c r="T214" s="2" t="n">
        <v>1</v>
      </c>
      <c r="U214" s="2" t="n">
        <v>7</v>
      </c>
      <c r="V214" s="2" t="n">
        <v>89</v>
      </c>
      <c r="W214" s="2" t="str">
        <f aca="false">IF(V214=100,"Bundle-only",IF(V214=0,"Handpick-only","Mixed"))</f>
        <v>Mixed</v>
      </c>
      <c r="X214" s="17" t="n">
        <f aca="false">L214/K214</f>
        <v>1</v>
      </c>
      <c r="Y214" s="9" t="n">
        <f aca="false">J214/K214</f>
        <v>612.375</v>
      </c>
      <c r="Z214" s="10" t="b">
        <f aca="false">O214&gt;=Assumptions!$B$57</f>
        <v>1</v>
      </c>
      <c r="AA214" s="10" t="b">
        <f aca="false">P214&gt;=Assumptions!$B$58</f>
        <v>1</v>
      </c>
      <c r="AB214" s="10" t="b">
        <f aca="false">Q214&gt;=Assumptions!$B$59</f>
        <v>1</v>
      </c>
      <c r="AC214" s="2" t="n">
        <f aca="false">Z214*1+AA214*1+AB214*1</f>
        <v>3</v>
      </c>
      <c r="AD214" s="2" t="str">
        <f aca="false">IF(E214="Broker-Reliant","Broker-led, product-blind",IF(AND(I214="Low",F214&lt;&gt;"Tail",OR(G214="Declining",G214="Lapsed"),OR(O214&gt;=Assumptions!$B$60,P214&gt;=Assumptions!$B$61)),"Engaged but shrinking (Key/Core)",IF(AND(O214&gt;=Assumptions!$B$60,P214&gt;=Assumptions!$B$61,Q214&gt;=Assumptions!$B$62,K214&gt;=Assumptions!$B$63),"Independent browser-buyer",IF(AND(OR(O214&gt;=Assumptions!$B$60,P214&gt;=Assumptions!$B$61),K214&lt;=2),"Engaged, not converting",IF(AND(K214=1,O214&lt;Assumptions!$B$60,P214&lt;Assumptions!$B$61),"One-off low-touch buyer","Light-touch repeat buyer")))))</f>
        <v>Light-touch repeat buyer</v>
      </c>
      <c r="AE214" s="10" t="b">
        <f aca="false">INDEX(Segmentation!$AW$2:$AW$301,MATCH($A214,Segmentation!$A$2:$A$301,0))</f>
        <v>0</v>
      </c>
    </row>
    <row r="215" customFormat="false" ht="15" hidden="false" customHeight="false" outlineLevel="0" collapsed="false">
      <c r="A215" s="2" t="s">
        <v>226</v>
      </c>
      <c r="B215" s="2" t="s">
        <v>1574</v>
      </c>
      <c r="C215" s="2" t="s">
        <v>1640</v>
      </c>
      <c r="D215" s="2" t="s">
        <v>1653</v>
      </c>
      <c r="E215" s="2" t="str">
        <f aca="false">INDEX(Segmentation!$H$2:$H$301,MATCH($A215,Segmentation!$A$2:$A$301,0))</f>
        <v>Self-Serve</v>
      </c>
      <c r="F215" s="2" t="str">
        <f aca="false">INDEX(Segmentation!$J$2:$J$301,MATCH($A215,Segmentation!$A$2:$A$301,0))</f>
        <v>Core</v>
      </c>
      <c r="G215" s="2" t="str">
        <f aca="false">INDEX(Segmentation!$N$2:$N$301,MATCH($A215,Segmentation!$A$2:$A$301,0))</f>
        <v>Declining</v>
      </c>
      <c r="H215" s="2" t="str">
        <f aca="false">INDEX(Segmentation!$T$2:$T$301,MATCH($A215,Segmentation!$A$2:$A$301,0))</f>
        <v>8. Retention / Reactivation</v>
      </c>
      <c r="I215" s="2" t="str">
        <f aca="false">INDEX(Segmentation!$G$2:$G$301,MATCH($A215,Segmentation!$A$2:$A$301,0))</f>
        <v>Low</v>
      </c>
      <c r="J215" s="9" t="n">
        <f aca="false">INDEX(Segmentation!$I$2:$I$301,MATCH($A215,Segmentation!$A$2:$A$301,0))</f>
        <v>4632</v>
      </c>
      <c r="K215" s="2" t="n">
        <f aca="false">INDEX(Segmentation!$O$2:$O$301,MATCH($A215,Segmentation!$A$2:$A$301,0))</f>
        <v>12</v>
      </c>
      <c r="L215" s="2" t="n">
        <f aca="false">INDEX(Segmentation!$Q$2:$Q$301,MATCH($A215,Segmentation!$A$2:$A$301,0))</f>
        <v>12</v>
      </c>
      <c r="M215" s="2" t="n">
        <f aca="false">INDEX(Segmentation!$W$2:$W$301,MATCH($A215,Segmentation!$A$2:$A$301,0))</f>
        <v>3</v>
      </c>
      <c r="N215" s="2" t="str">
        <f aca="false">INDEX(Segmentation!$AF$2:$AF$301,MATCH($A215,Segmentation!$A$2:$A$301,0))</f>
        <v>Existing Customer</v>
      </c>
      <c r="O215" s="2" t="n">
        <f aca="false">INDEX(Segmentation!$R$2:$R$301,MATCH($A215,Segmentation!$A$2:$A$301,0))</f>
        <v>74</v>
      </c>
      <c r="P215" s="2" t="n">
        <v>665</v>
      </c>
      <c r="Q215" s="2" t="n">
        <f aca="false">INDEX(Segmentation!$S$2:$S$301,MATCH($A215,Segmentation!$A$2:$A$301,0))</f>
        <v>53</v>
      </c>
      <c r="R215" s="2" t="n">
        <v>70</v>
      </c>
      <c r="S215" s="2" t="n">
        <v>1</v>
      </c>
      <c r="T215" s="2" t="n">
        <v>4</v>
      </c>
      <c r="U215" s="2" t="n">
        <v>8</v>
      </c>
      <c r="V215" s="2" t="n">
        <v>60</v>
      </c>
      <c r="W215" s="2" t="str">
        <f aca="false">IF(V215=100,"Bundle-only",IF(V215=0,"Handpick-only","Mixed"))</f>
        <v>Mixed</v>
      </c>
      <c r="X215" s="17" t="n">
        <f aca="false">L215/K215</f>
        <v>1</v>
      </c>
      <c r="Y215" s="9" t="n">
        <f aca="false">J215/K215</f>
        <v>386</v>
      </c>
      <c r="Z215" s="10" t="b">
        <f aca="false">O215&gt;=Assumptions!$B$57</f>
        <v>1</v>
      </c>
      <c r="AA215" s="10" t="b">
        <f aca="false">P215&gt;=Assumptions!$B$58</f>
        <v>1</v>
      </c>
      <c r="AB215" s="10" t="b">
        <f aca="false">Q215&gt;=Assumptions!$B$59</f>
        <v>1</v>
      </c>
      <c r="AC215" s="2" t="n">
        <f aca="false">Z215*1+AA215*1+AB215*1</f>
        <v>3</v>
      </c>
      <c r="AD215" s="2" t="str">
        <f aca="false">IF(E215="Broker-Reliant","Broker-led, product-blind",IF(AND(I215="Low",F215&lt;&gt;"Tail",OR(G215="Declining",G215="Lapsed"),OR(O215&gt;=Assumptions!$B$60,P215&gt;=Assumptions!$B$61)),"Engaged but shrinking (Key/Core)",IF(AND(O215&gt;=Assumptions!$B$60,P215&gt;=Assumptions!$B$61,Q215&gt;=Assumptions!$B$62,K215&gt;=Assumptions!$B$63),"Independent browser-buyer",IF(AND(OR(O215&gt;=Assumptions!$B$60,P215&gt;=Assumptions!$B$61),K215&lt;=2),"Engaged, not converting",IF(AND(K215=1,O215&lt;Assumptions!$B$60,P215&lt;Assumptions!$B$61),"One-off low-touch buyer","Light-touch repeat buyer")))))</f>
        <v>Engaged but shrinking (Key/Core)</v>
      </c>
      <c r="AE215" s="10" t="b">
        <f aca="false">INDEX(Segmentation!$AW$2:$AW$301,MATCH($A215,Segmentation!$A$2:$A$301,0))</f>
        <v>0</v>
      </c>
    </row>
    <row r="216" customFormat="false" ht="15" hidden="false" customHeight="false" outlineLevel="0" collapsed="false">
      <c r="A216" s="2" t="s">
        <v>232</v>
      </c>
      <c r="B216" s="2" t="s">
        <v>1574</v>
      </c>
      <c r="C216" s="2" t="s">
        <v>1640</v>
      </c>
      <c r="D216" s="2" t="s">
        <v>1654</v>
      </c>
      <c r="E216" s="2" t="str">
        <f aca="false">INDEX(Segmentation!$H$2:$H$301,MATCH($A216,Segmentation!$A$2:$A$301,0))</f>
        <v>Self-Serve</v>
      </c>
      <c r="F216" s="2" t="str">
        <f aca="false">INDEX(Segmentation!$J$2:$J$301,MATCH($A216,Segmentation!$A$2:$A$301,0))</f>
        <v>Core</v>
      </c>
      <c r="G216" s="2" t="str">
        <f aca="false">INDEX(Segmentation!$N$2:$N$301,MATCH($A216,Segmentation!$A$2:$A$301,0))</f>
        <v>Lapsed</v>
      </c>
      <c r="H216" s="2" t="str">
        <f aca="false">INDEX(Segmentation!$T$2:$T$301,MATCH($A216,Segmentation!$A$2:$A$301,0))</f>
        <v>8. Retention / Reactivation</v>
      </c>
      <c r="I216" s="2" t="str">
        <f aca="false">INDEX(Segmentation!$G$2:$G$301,MATCH($A216,Segmentation!$A$2:$A$301,0))</f>
        <v>Low</v>
      </c>
      <c r="J216" s="9" t="n">
        <f aca="false">INDEX(Segmentation!$I$2:$I$301,MATCH($A216,Segmentation!$A$2:$A$301,0))</f>
        <v>3907</v>
      </c>
      <c r="K216" s="2" t="n">
        <f aca="false">INDEX(Segmentation!$O$2:$O$301,MATCH($A216,Segmentation!$A$2:$A$301,0))</f>
        <v>1</v>
      </c>
      <c r="L216" s="2" t="n">
        <f aca="false">INDEX(Segmentation!$Q$2:$Q$301,MATCH($A216,Segmentation!$A$2:$A$301,0))</f>
        <v>1</v>
      </c>
      <c r="M216" s="2" t="n">
        <f aca="false">INDEX(Segmentation!$W$2:$W$301,MATCH($A216,Segmentation!$A$2:$A$301,0))</f>
        <v>1</v>
      </c>
      <c r="N216" s="2" t="str">
        <f aca="false">INDEX(Segmentation!$AF$2:$AF$301,MATCH($A216,Segmentation!$A$2:$A$301,0))</f>
        <v>Existing Customer</v>
      </c>
      <c r="O216" s="2" t="n">
        <f aca="false">INDEX(Segmentation!$R$2:$R$301,MATCH($A216,Segmentation!$A$2:$A$301,0))</f>
        <v>14</v>
      </c>
      <c r="P216" s="2" t="n">
        <v>76</v>
      </c>
      <c r="Q216" s="2" t="n">
        <f aca="false">INDEX(Segmentation!$S$2:$S$301,MATCH($A216,Segmentation!$A$2:$A$301,0))</f>
        <v>0</v>
      </c>
      <c r="R216" s="2" t="n">
        <v>3</v>
      </c>
      <c r="S216" s="2" t="n">
        <v>0</v>
      </c>
      <c r="T216" s="2" t="n">
        <v>1</v>
      </c>
      <c r="U216" s="2" t="n">
        <v>0</v>
      </c>
      <c r="V216" s="2" t="n">
        <v>0</v>
      </c>
      <c r="W216" s="2" t="str">
        <f aca="false">IF(V216=100,"Bundle-only",IF(V216=0,"Handpick-only","Mixed"))</f>
        <v>Handpick-only</v>
      </c>
      <c r="X216" s="17" t="n">
        <f aca="false">L216/K216</f>
        <v>1</v>
      </c>
      <c r="Y216" s="9" t="n">
        <f aca="false">J216/K216</f>
        <v>3907</v>
      </c>
      <c r="Z216" s="10" t="b">
        <f aca="false">O216&gt;=Assumptions!$B$57</f>
        <v>1</v>
      </c>
      <c r="AA216" s="10" t="b">
        <f aca="false">P216&gt;=Assumptions!$B$58</f>
        <v>1</v>
      </c>
      <c r="AB216" s="10" t="b">
        <f aca="false">Q216&gt;=Assumptions!$B$59</f>
        <v>0</v>
      </c>
      <c r="AC216" s="2" t="n">
        <f aca="false">Z216*1+AA216*1+AB216*1</f>
        <v>2</v>
      </c>
      <c r="AD216" s="2" t="str">
        <f aca="false">IF(E216="Broker-Reliant","Broker-led, product-blind",IF(AND(I216="Low",F216&lt;&gt;"Tail",OR(G216="Declining",G216="Lapsed"),OR(O216&gt;=Assumptions!$B$60,P216&gt;=Assumptions!$B$61)),"Engaged but shrinking (Key/Core)",IF(AND(O216&gt;=Assumptions!$B$60,P216&gt;=Assumptions!$B$61,Q216&gt;=Assumptions!$B$62,K216&gt;=Assumptions!$B$63),"Independent browser-buyer",IF(AND(OR(O216&gt;=Assumptions!$B$60,P216&gt;=Assumptions!$B$61),K216&lt;=2),"Engaged, not converting",IF(AND(K216=1,O216&lt;Assumptions!$B$60,P216&lt;Assumptions!$B$61),"One-off low-touch buyer","Light-touch repeat buyer")))))</f>
        <v>One-off low-touch buyer</v>
      </c>
      <c r="AE216" s="10" t="b">
        <f aca="false">INDEX(Segmentation!$AW$2:$AW$301,MATCH($A216,Segmentation!$A$2:$A$301,0))</f>
        <v>0</v>
      </c>
    </row>
    <row r="217" customFormat="false" ht="15" hidden="false" customHeight="false" outlineLevel="0" collapsed="false">
      <c r="A217" s="2" t="s">
        <v>252</v>
      </c>
      <c r="B217" s="2" t="s">
        <v>1574</v>
      </c>
      <c r="C217" s="2" t="s">
        <v>1640</v>
      </c>
      <c r="D217" s="2" t="s">
        <v>1658</v>
      </c>
      <c r="E217" s="2" t="str">
        <f aca="false">INDEX(Segmentation!$H$2:$H$301,MATCH($A217,Segmentation!$A$2:$A$301,0))</f>
        <v>Self-Serve</v>
      </c>
      <c r="F217" s="2" t="str">
        <f aca="false">INDEX(Segmentation!$J$2:$J$301,MATCH($A217,Segmentation!$A$2:$A$301,0))</f>
        <v>Core</v>
      </c>
      <c r="G217" s="2" t="str">
        <f aca="false">INDEX(Segmentation!$N$2:$N$301,MATCH($A217,Segmentation!$A$2:$A$301,0))</f>
        <v>Growing</v>
      </c>
      <c r="H217" s="2" t="str">
        <f aca="false">INDEX(Segmentation!$T$2:$T$301,MATCH($A217,Segmentation!$A$2:$A$301,0))</f>
        <v>6. Growth Opportunity</v>
      </c>
      <c r="I217" s="2" t="str">
        <f aca="false">INDEX(Segmentation!$G$2:$G$301,MATCH($A217,Segmentation!$A$2:$A$301,0))</f>
        <v>Low</v>
      </c>
      <c r="J217" s="9" t="n">
        <f aca="false">INDEX(Segmentation!$I$2:$I$301,MATCH($A217,Segmentation!$A$2:$A$301,0))</f>
        <v>3497</v>
      </c>
      <c r="K217" s="2" t="n">
        <f aca="false">INDEX(Segmentation!$O$2:$O$301,MATCH($A217,Segmentation!$A$2:$A$301,0))</f>
        <v>11</v>
      </c>
      <c r="L217" s="2" t="n">
        <f aca="false">INDEX(Segmentation!$Q$2:$Q$301,MATCH($A217,Segmentation!$A$2:$A$301,0))</f>
        <v>11</v>
      </c>
      <c r="M217" s="2" t="n">
        <f aca="false">INDEX(Segmentation!$W$2:$W$301,MATCH($A217,Segmentation!$A$2:$A$301,0))</f>
        <v>3</v>
      </c>
      <c r="N217" s="2" t="str">
        <f aca="false">INDEX(Segmentation!$AF$2:$AF$301,MATCH($A217,Segmentation!$A$2:$A$301,0))</f>
        <v>Existing Customer</v>
      </c>
      <c r="O217" s="2" t="n">
        <f aca="false">INDEX(Segmentation!$R$2:$R$301,MATCH($A217,Segmentation!$A$2:$A$301,0))</f>
        <v>50</v>
      </c>
      <c r="P217" s="2" t="n">
        <v>1416</v>
      </c>
      <c r="Q217" s="2" t="n">
        <f aca="false">INDEX(Segmentation!$S$2:$S$301,MATCH($A217,Segmentation!$A$2:$A$301,0))</f>
        <v>13</v>
      </c>
      <c r="R217" s="2" t="n">
        <v>16</v>
      </c>
      <c r="S217" s="2" t="n">
        <v>0</v>
      </c>
      <c r="T217" s="2" t="n">
        <v>0</v>
      </c>
      <c r="U217" s="2" t="n">
        <v>11</v>
      </c>
      <c r="V217" s="2" t="n">
        <v>100</v>
      </c>
      <c r="W217" s="2" t="str">
        <f aca="false">IF(V217=100,"Bundle-only",IF(V217=0,"Handpick-only","Mixed"))</f>
        <v>Bundle-only</v>
      </c>
      <c r="X217" s="17" t="n">
        <f aca="false">L217/K217</f>
        <v>1</v>
      </c>
      <c r="Y217" s="9" t="n">
        <f aca="false">J217/K217</f>
        <v>317.909090909091</v>
      </c>
      <c r="Z217" s="10" t="b">
        <f aca="false">O217&gt;=Assumptions!$B$57</f>
        <v>1</v>
      </c>
      <c r="AA217" s="10" t="b">
        <f aca="false">P217&gt;=Assumptions!$B$58</f>
        <v>1</v>
      </c>
      <c r="AB217" s="10" t="b">
        <f aca="false">Q217&gt;=Assumptions!$B$59</f>
        <v>1</v>
      </c>
      <c r="AC217" s="2" t="n">
        <f aca="false">Z217*1+AA217*1+AB217*1</f>
        <v>3</v>
      </c>
      <c r="AD217" s="2" t="str">
        <f aca="false">IF(E217="Broker-Reliant","Broker-led, product-blind",IF(AND(I217="Low",F217&lt;&gt;"Tail",OR(G217="Declining",G217="Lapsed"),OR(O217&gt;=Assumptions!$B$60,P217&gt;=Assumptions!$B$61)),"Engaged but shrinking (Key/Core)",IF(AND(O217&gt;=Assumptions!$B$60,P217&gt;=Assumptions!$B$61,Q217&gt;=Assumptions!$B$62,K217&gt;=Assumptions!$B$63),"Independent browser-buyer",IF(AND(OR(O217&gt;=Assumptions!$B$60,P217&gt;=Assumptions!$B$61),K217&lt;=2),"Engaged, not converting",IF(AND(K217=1,O217&lt;Assumptions!$B$60,P217&lt;Assumptions!$B$61),"One-off low-touch buyer","Light-touch repeat buyer")))))</f>
        <v>Independent browser-buyer</v>
      </c>
      <c r="AE217" s="10" t="b">
        <f aca="false">INDEX(Segmentation!$AW$2:$AW$301,MATCH($A217,Segmentation!$A$2:$A$301,0))</f>
        <v>0</v>
      </c>
    </row>
    <row r="218" customFormat="false" ht="15" hidden="false" customHeight="false" outlineLevel="0" collapsed="false">
      <c r="A218" s="2" t="s">
        <v>435</v>
      </c>
      <c r="B218" s="2" t="s">
        <v>1574</v>
      </c>
      <c r="C218" s="2" t="s">
        <v>1640</v>
      </c>
      <c r="D218" s="2" t="s">
        <v>1654</v>
      </c>
      <c r="E218" s="2" t="str">
        <f aca="false">INDEX(Segmentation!$H$2:$H$301,MATCH($A218,Segmentation!$A$2:$A$301,0))</f>
        <v>Self-Serve</v>
      </c>
      <c r="F218" s="2" t="str">
        <f aca="false">INDEX(Segmentation!$J$2:$J$301,MATCH($A218,Segmentation!$A$2:$A$301,0))</f>
        <v>Core</v>
      </c>
      <c r="G218" s="2" t="str">
        <f aca="false">INDEX(Segmentation!$N$2:$N$301,MATCH($A218,Segmentation!$A$2:$A$301,0))</f>
        <v>H2 Active / No H1 GMV</v>
      </c>
      <c r="H218" s="2" t="str">
        <f aca="false">INDEX(Segmentation!$T$2:$T$301,MATCH($A218,Segmentation!$A$2:$A$301,0))</f>
        <v>7. Onboard / Re-engage / Learn</v>
      </c>
      <c r="I218" s="2" t="str">
        <f aca="false">INDEX(Segmentation!$G$2:$G$301,MATCH($A218,Segmentation!$A$2:$A$301,0))</f>
        <v>Low</v>
      </c>
      <c r="J218" s="9" t="n">
        <f aca="false">INDEX(Segmentation!$I$2:$I$301,MATCH($A218,Segmentation!$A$2:$A$301,0))</f>
        <v>2402</v>
      </c>
      <c r="K218" s="2" t="n">
        <f aca="false">INDEX(Segmentation!$O$2:$O$301,MATCH($A218,Segmentation!$A$2:$A$301,0))</f>
        <v>9</v>
      </c>
      <c r="L218" s="2" t="n">
        <f aca="false">INDEX(Segmentation!$Q$2:$Q$301,MATCH($A218,Segmentation!$A$2:$A$301,0))</f>
        <v>9</v>
      </c>
      <c r="M218" s="2" t="n">
        <f aca="false">INDEX(Segmentation!$W$2:$W$301,MATCH($A218,Segmentation!$A$2:$A$301,0))</f>
        <v>3</v>
      </c>
      <c r="N218" s="2" t="str">
        <f aca="false">INDEX(Segmentation!$AF$2:$AF$301,MATCH($A218,Segmentation!$A$2:$A$301,0))</f>
        <v>New Customer</v>
      </c>
      <c r="O218" s="2" t="n">
        <f aca="false">INDEX(Segmentation!$R$2:$R$301,MATCH($A218,Segmentation!$A$2:$A$301,0))</f>
        <v>21</v>
      </c>
      <c r="P218" s="2" t="n">
        <v>482</v>
      </c>
      <c r="Q218" s="2" t="n">
        <f aca="false">INDEX(Segmentation!$S$2:$S$301,MATCH($A218,Segmentation!$A$2:$A$301,0))</f>
        <v>0</v>
      </c>
      <c r="R218" s="2" t="n">
        <v>0</v>
      </c>
      <c r="S218" s="2" t="n">
        <v>0</v>
      </c>
      <c r="T218" s="2" t="n">
        <v>0</v>
      </c>
      <c r="U218" s="2" t="n">
        <v>9</v>
      </c>
      <c r="V218" s="2" t="n">
        <v>100</v>
      </c>
      <c r="W218" s="2" t="str">
        <f aca="false">IF(V218=100,"Bundle-only",IF(V218=0,"Handpick-only","Mixed"))</f>
        <v>Bundle-only</v>
      </c>
      <c r="X218" s="17" t="n">
        <f aca="false">L218/K218</f>
        <v>1</v>
      </c>
      <c r="Y218" s="9" t="n">
        <f aca="false">J218/K218</f>
        <v>266.888888888889</v>
      </c>
      <c r="Z218" s="10" t="b">
        <f aca="false">O218&gt;=Assumptions!$B$57</f>
        <v>1</v>
      </c>
      <c r="AA218" s="10" t="b">
        <f aca="false">P218&gt;=Assumptions!$B$58</f>
        <v>1</v>
      </c>
      <c r="AB218" s="10" t="b">
        <f aca="false">Q218&gt;=Assumptions!$B$59</f>
        <v>0</v>
      </c>
      <c r="AC218" s="2" t="n">
        <f aca="false">Z218*1+AA218*1+AB218*1</f>
        <v>2</v>
      </c>
      <c r="AD218" s="2" t="str">
        <f aca="false">IF(E218="Broker-Reliant","Broker-led, product-blind",IF(AND(I218="Low",F218&lt;&gt;"Tail",OR(G218="Declining",G218="Lapsed"),OR(O218&gt;=Assumptions!$B$60,P218&gt;=Assumptions!$B$61)),"Engaged but shrinking (Key/Core)",IF(AND(O218&gt;=Assumptions!$B$60,P218&gt;=Assumptions!$B$61,Q218&gt;=Assumptions!$B$62,K218&gt;=Assumptions!$B$63),"Independent browser-buyer",IF(AND(OR(O218&gt;=Assumptions!$B$60,P218&gt;=Assumptions!$B$61),K218&lt;=2),"Engaged, not converting",IF(AND(K218=1,O218&lt;Assumptions!$B$60,P218&lt;Assumptions!$B$61),"One-off low-touch buyer","Light-touch repeat buyer")))))</f>
        <v>Light-touch repeat buyer</v>
      </c>
      <c r="AE218" s="10" t="b">
        <f aca="false">INDEX(Segmentation!$AW$2:$AW$301,MATCH($A218,Segmentation!$A$2:$A$301,0))</f>
        <v>0</v>
      </c>
    </row>
    <row r="219" customFormat="false" ht="15" hidden="false" customHeight="false" outlineLevel="0" collapsed="false">
      <c r="A219" s="2" t="s">
        <v>601</v>
      </c>
      <c r="B219" s="2" t="s">
        <v>1574</v>
      </c>
      <c r="C219" s="2" t="s">
        <v>1640</v>
      </c>
      <c r="D219" s="2" t="s">
        <v>1653</v>
      </c>
      <c r="E219" s="2" t="str">
        <f aca="false">INDEX(Segmentation!$H$2:$H$301,MATCH($A219,Segmentation!$A$2:$A$301,0))</f>
        <v>Self-Serve</v>
      </c>
      <c r="F219" s="2" t="str">
        <f aca="false">INDEX(Segmentation!$J$2:$J$301,MATCH($A219,Segmentation!$A$2:$A$301,0))</f>
        <v>Tail</v>
      </c>
      <c r="G219" s="2" t="str">
        <f aca="false">INDEX(Segmentation!$N$2:$N$301,MATCH($A219,Segmentation!$A$2:$A$301,0))</f>
        <v>Lapsed</v>
      </c>
      <c r="H219" s="2" t="str">
        <f aca="false">INDEX(Segmentation!$T$2:$T$301,MATCH($A219,Segmentation!$A$2:$A$301,0))</f>
        <v>9. Long-Tail Automated Nurture</v>
      </c>
      <c r="I219" s="2" t="str">
        <f aca="false">INDEX(Segmentation!$G$2:$G$301,MATCH($A219,Segmentation!$A$2:$A$301,0))</f>
        <v>Low</v>
      </c>
      <c r="J219" s="9" t="n">
        <f aca="false">INDEX(Segmentation!$I$2:$I$301,MATCH($A219,Segmentation!$A$2:$A$301,0))</f>
        <v>1219</v>
      </c>
      <c r="K219" s="2" t="n">
        <f aca="false">INDEX(Segmentation!$O$2:$O$301,MATCH($A219,Segmentation!$A$2:$A$301,0))</f>
        <v>4</v>
      </c>
      <c r="L219" s="2" t="n">
        <f aca="false">INDEX(Segmentation!$Q$2:$Q$301,MATCH($A219,Segmentation!$A$2:$A$301,0))</f>
        <v>4</v>
      </c>
      <c r="M219" s="2" t="n">
        <f aca="false">INDEX(Segmentation!$W$2:$W$301,MATCH($A219,Segmentation!$A$2:$A$301,0))</f>
        <v>1</v>
      </c>
      <c r="N219" s="2" t="str">
        <f aca="false">INDEX(Segmentation!$AF$2:$AF$301,MATCH($A219,Segmentation!$A$2:$A$301,0))</f>
        <v>Existing Customer</v>
      </c>
      <c r="O219" s="2" t="n">
        <f aca="false">INDEX(Segmentation!$R$2:$R$301,MATCH($A219,Segmentation!$A$2:$A$301,0))</f>
        <v>0</v>
      </c>
      <c r="P219" s="2" t="n">
        <v>0</v>
      </c>
      <c r="Q219" s="2" t="n">
        <f aca="false">INDEX(Segmentation!$S$2:$S$301,MATCH($A219,Segmentation!$A$2:$A$301,0))</f>
        <v>0</v>
      </c>
      <c r="R219" s="2" t="n">
        <v>0</v>
      </c>
      <c r="S219" s="2" t="n">
        <v>0</v>
      </c>
      <c r="T219" s="2" t="n">
        <v>0</v>
      </c>
      <c r="U219" s="2" t="n">
        <v>4</v>
      </c>
      <c r="V219" s="2" t="n">
        <v>100</v>
      </c>
      <c r="W219" s="2" t="str">
        <f aca="false">IF(V219=100,"Bundle-only",IF(V219=0,"Handpick-only","Mixed"))</f>
        <v>Bundle-only</v>
      </c>
      <c r="X219" s="17" t="n">
        <f aca="false">L219/K219</f>
        <v>1</v>
      </c>
      <c r="Y219" s="9" t="n">
        <f aca="false">J219/K219</f>
        <v>304.75</v>
      </c>
      <c r="Z219" s="10" t="b">
        <f aca="false">O219&gt;=Assumptions!$B$57</f>
        <v>0</v>
      </c>
      <c r="AA219" s="10" t="b">
        <f aca="false">P219&gt;=Assumptions!$B$58</f>
        <v>0</v>
      </c>
      <c r="AB219" s="10" t="b">
        <f aca="false">Q219&gt;=Assumptions!$B$59</f>
        <v>0</v>
      </c>
      <c r="AC219" s="2" t="n">
        <f aca="false">Z219*1+AA219*1+AB219*1</f>
        <v>0</v>
      </c>
      <c r="AD219" s="2" t="str">
        <f aca="false">IF(E219="Broker-Reliant","Broker-led, product-blind",IF(AND(I219="Low",F219&lt;&gt;"Tail",OR(G219="Declining",G219="Lapsed"),OR(O219&gt;=Assumptions!$B$60,P219&gt;=Assumptions!$B$61)),"Engaged but shrinking (Key/Core)",IF(AND(O219&gt;=Assumptions!$B$60,P219&gt;=Assumptions!$B$61,Q219&gt;=Assumptions!$B$62,K219&gt;=Assumptions!$B$63),"Independent browser-buyer",IF(AND(OR(O219&gt;=Assumptions!$B$60,P219&gt;=Assumptions!$B$61),K219&lt;=2),"Engaged, not converting",IF(AND(K219=1,O219&lt;Assumptions!$B$60,P219&lt;Assumptions!$B$61),"One-off low-touch buyer","Light-touch repeat buyer")))))</f>
        <v>Light-touch repeat buyer</v>
      </c>
      <c r="AE219" s="10" t="b">
        <f aca="false">INDEX(Segmentation!$AW$2:$AW$301,MATCH($A219,Segmentation!$A$2:$A$301,0))</f>
        <v>0</v>
      </c>
    </row>
    <row r="220" customFormat="false" ht="15" hidden="false" customHeight="false" outlineLevel="0" collapsed="false">
      <c r="A220" s="2" t="s">
        <v>541</v>
      </c>
      <c r="B220" s="2" t="s">
        <v>1574</v>
      </c>
      <c r="C220" s="2" t="s">
        <v>1640</v>
      </c>
      <c r="D220" s="2" t="s">
        <v>1653</v>
      </c>
      <c r="E220" s="2" t="str">
        <f aca="false">INDEX(Segmentation!$H$2:$H$301,MATCH($A220,Segmentation!$A$2:$A$301,0))</f>
        <v>Self-Serve</v>
      </c>
      <c r="F220" s="2" t="str">
        <f aca="false">INDEX(Segmentation!$J$2:$J$301,MATCH($A220,Segmentation!$A$2:$A$301,0))</f>
        <v>Tail</v>
      </c>
      <c r="G220" s="2" t="str">
        <f aca="false">INDEX(Segmentation!$N$2:$N$301,MATCH($A220,Segmentation!$A$2:$A$301,0))</f>
        <v>H2 Active / No H1 GMV</v>
      </c>
      <c r="H220" s="2" t="str">
        <f aca="false">INDEX(Segmentation!$T$2:$T$301,MATCH($A220,Segmentation!$A$2:$A$301,0))</f>
        <v>9. Long-Tail Automated Nurture</v>
      </c>
      <c r="I220" s="2" t="str">
        <f aca="false">INDEX(Segmentation!$G$2:$G$301,MATCH($A220,Segmentation!$A$2:$A$301,0))</f>
        <v>Low</v>
      </c>
      <c r="J220" s="9" t="n">
        <f aca="false">INDEX(Segmentation!$I$2:$I$301,MATCH($A220,Segmentation!$A$2:$A$301,0))</f>
        <v>1166</v>
      </c>
      <c r="K220" s="2" t="n">
        <f aca="false">INDEX(Segmentation!$O$2:$O$301,MATCH($A220,Segmentation!$A$2:$A$301,0))</f>
        <v>5</v>
      </c>
      <c r="L220" s="2" t="n">
        <f aca="false">INDEX(Segmentation!$Q$2:$Q$301,MATCH($A220,Segmentation!$A$2:$A$301,0))</f>
        <v>5</v>
      </c>
      <c r="M220" s="2" t="n">
        <f aca="false">INDEX(Segmentation!$W$2:$W$301,MATCH($A220,Segmentation!$A$2:$A$301,0))</f>
        <v>3</v>
      </c>
      <c r="N220" s="2" t="str">
        <f aca="false">INDEX(Segmentation!$AF$2:$AF$301,MATCH($A220,Segmentation!$A$2:$A$301,0))</f>
        <v>New Customer</v>
      </c>
      <c r="O220" s="2" t="n">
        <f aca="false">INDEX(Segmentation!$R$2:$R$301,MATCH($A220,Segmentation!$A$2:$A$301,0))</f>
        <v>39</v>
      </c>
      <c r="P220" s="2" t="n">
        <v>548</v>
      </c>
      <c r="Q220" s="2" t="n">
        <f aca="false">INDEX(Segmentation!$S$2:$S$301,MATCH($A220,Segmentation!$A$2:$A$301,0))</f>
        <v>2</v>
      </c>
      <c r="R220" s="2" t="n">
        <v>7</v>
      </c>
      <c r="S220" s="2" t="n">
        <v>0</v>
      </c>
      <c r="T220" s="2" t="n">
        <v>2</v>
      </c>
      <c r="U220" s="2" t="n">
        <v>3</v>
      </c>
      <c r="V220" s="2" t="n">
        <v>73</v>
      </c>
      <c r="W220" s="2" t="str">
        <f aca="false">IF(V220=100,"Bundle-only",IF(V220=0,"Handpick-only","Mixed"))</f>
        <v>Mixed</v>
      </c>
      <c r="X220" s="17" t="n">
        <f aca="false">L220/K220</f>
        <v>1</v>
      </c>
      <c r="Y220" s="9" t="n">
        <f aca="false">J220/K220</f>
        <v>233.2</v>
      </c>
      <c r="Z220" s="10" t="b">
        <f aca="false">O220&gt;=Assumptions!$B$57</f>
        <v>1</v>
      </c>
      <c r="AA220" s="10" t="b">
        <f aca="false">P220&gt;=Assumptions!$B$58</f>
        <v>1</v>
      </c>
      <c r="AB220" s="10" t="b">
        <f aca="false">Q220&gt;=Assumptions!$B$59</f>
        <v>0</v>
      </c>
      <c r="AC220" s="2" t="n">
        <f aca="false">Z220*1+AA220*1+AB220*1</f>
        <v>2</v>
      </c>
      <c r="AD220" s="2" t="str">
        <f aca="false">IF(E220="Broker-Reliant","Broker-led, product-blind",IF(AND(I220="Low",F220&lt;&gt;"Tail",OR(G220="Declining",G220="Lapsed"),OR(O220&gt;=Assumptions!$B$60,P220&gt;=Assumptions!$B$61)),"Engaged but shrinking (Key/Core)",IF(AND(O220&gt;=Assumptions!$B$60,P220&gt;=Assumptions!$B$61,Q220&gt;=Assumptions!$B$62,K220&gt;=Assumptions!$B$63),"Independent browser-buyer",IF(AND(OR(O220&gt;=Assumptions!$B$60,P220&gt;=Assumptions!$B$61),K220&lt;=2),"Engaged, not converting",IF(AND(K220=1,O220&lt;Assumptions!$B$60,P220&lt;Assumptions!$B$61),"One-off low-touch buyer","Light-touch repeat buyer")))))</f>
        <v>Light-touch repeat buyer</v>
      </c>
      <c r="AE220" s="10" t="b">
        <f aca="false">INDEX(Segmentation!$AW$2:$AW$301,MATCH($A220,Segmentation!$A$2:$A$301,0))</f>
        <v>1</v>
      </c>
    </row>
    <row r="221" customFormat="false" ht="15" hidden="false" customHeight="false" outlineLevel="0" collapsed="false">
      <c r="A221" s="2" t="s">
        <v>605</v>
      </c>
      <c r="B221" s="2" t="s">
        <v>1574</v>
      </c>
      <c r="C221" s="2" t="s">
        <v>1640</v>
      </c>
      <c r="D221" s="2" t="s">
        <v>1653</v>
      </c>
      <c r="E221" s="2" t="str">
        <f aca="false">INDEX(Segmentation!$H$2:$H$301,MATCH($A221,Segmentation!$A$2:$A$301,0))</f>
        <v>Self-Serve</v>
      </c>
      <c r="F221" s="2" t="str">
        <f aca="false">INDEX(Segmentation!$J$2:$J$301,MATCH($A221,Segmentation!$A$2:$A$301,0))</f>
        <v>Tail</v>
      </c>
      <c r="G221" s="2" t="str">
        <f aca="false">INDEX(Segmentation!$N$2:$N$301,MATCH($A221,Segmentation!$A$2:$A$301,0))</f>
        <v>H2 Active / No H1 GMV</v>
      </c>
      <c r="H221" s="2" t="str">
        <f aca="false">INDEX(Segmentation!$T$2:$T$301,MATCH($A221,Segmentation!$A$2:$A$301,0))</f>
        <v>9. Long-Tail Automated Nurture</v>
      </c>
      <c r="I221" s="2" t="str">
        <f aca="false">INDEX(Segmentation!$G$2:$G$301,MATCH($A221,Segmentation!$A$2:$A$301,0))</f>
        <v>Low</v>
      </c>
      <c r="J221" s="9" t="n">
        <f aca="false">INDEX(Segmentation!$I$2:$I$301,MATCH($A221,Segmentation!$A$2:$A$301,0))</f>
        <v>1119</v>
      </c>
      <c r="K221" s="2" t="n">
        <f aca="false">INDEX(Segmentation!$O$2:$O$301,MATCH($A221,Segmentation!$A$2:$A$301,0))</f>
        <v>1</v>
      </c>
      <c r="L221" s="2" t="n">
        <f aca="false">INDEX(Segmentation!$Q$2:$Q$301,MATCH($A221,Segmentation!$A$2:$A$301,0))</f>
        <v>1</v>
      </c>
      <c r="M221" s="2" t="n">
        <f aca="false">INDEX(Segmentation!$W$2:$W$301,MATCH($A221,Segmentation!$A$2:$A$301,0))</f>
        <v>1</v>
      </c>
      <c r="N221" s="2" t="str">
        <f aca="false">INDEX(Segmentation!$AF$2:$AF$301,MATCH($A221,Segmentation!$A$2:$A$301,0))</f>
        <v>New Customer</v>
      </c>
      <c r="O221" s="2" t="n">
        <f aca="false">INDEX(Segmentation!$R$2:$R$301,MATCH($A221,Segmentation!$A$2:$A$301,0))</f>
        <v>8</v>
      </c>
      <c r="P221" s="2" t="n">
        <v>59</v>
      </c>
      <c r="Q221" s="2" t="n">
        <f aca="false">INDEX(Segmentation!$S$2:$S$301,MATCH($A221,Segmentation!$A$2:$A$301,0))</f>
        <v>0</v>
      </c>
      <c r="R221" s="2" t="n">
        <v>0</v>
      </c>
      <c r="S221" s="2" t="n">
        <v>0</v>
      </c>
      <c r="T221" s="2" t="n">
        <v>0</v>
      </c>
      <c r="U221" s="2" t="n">
        <v>1</v>
      </c>
      <c r="V221" s="2" t="n">
        <v>100</v>
      </c>
      <c r="W221" s="2" t="str">
        <f aca="false">IF(V221=100,"Bundle-only",IF(V221=0,"Handpick-only","Mixed"))</f>
        <v>Bundle-only</v>
      </c>
      <c r="X221" s="17" t="n">
        <f aca="false">L221/K221</f>
        <v>1</v>
      </c>
      <c r="Y221" s="9" t="n">
        <f aca="false">J221/K221</f>
        <v>1119</v>
      </c>
      <c r="Z221" s="10" t="b">
        <f aca="false">O221&gt;=Assumptions!$B$57</f>
        <v>0</v>
      </c>
      <c r="AA221" s="10" t="b">
        <f aca="false">P221&gt;=Assumptions!$B$58</f>
        <v>1</v>
      </c>
      <c r="AB221" s="10" t="b">
        <f aca="false">Q221&gt;=Assumptions!$B$59</f>
        <v>0</v>
      </c>
      <c r="AC221" s="2" t="n">
        <f aca="false">Z221*1+AA221*1+AB221*1</f>
        <v>1</v>
      </c>
      <c r="AD221" s="2" t="str">
        <f aca="false">IF(E221="Broker-Reliant","Broker-led, product-blind",IF(AND(I221="Low",F221&lt;&gt;"Tail",OR(G221="Declining",G221="Lapsed"),OR(O221&gt;=Assumptions!$B$60,P221&gt;=Assumptions!$B$61)),"Engaged but shrinking (Key/Core)",IF(AND(O221&gt;=Assumptions!$B$60,P221&gt;=Assumptions!$B$61,Q221&gt;=Assumptions!$B$62,K221&gt;=Assumptions!$B$63),"Independent browser-buyer",IF(AND(OR(O221&gt;=Assumptions!$B$60,P221&gt;=Assumptions!$B$61),K221&lt;=2),"Engaged, not converting",IF(AND(K221=1,O221&lt;Assumptions!$B$60,P221&lt;Assumptions!$B$61),"One-off low-touch buyer","Light-touch repeat buyer")))))</f>
        <v>One-off low-touch buyer</v>
      </c>
      <c r="AE221" s="10" t="b">
        <f aca="false">INDEX(Segmentation!$AW$2:$AW$301,MATCH($A221,Segmentation!$A$2:$A$301,0))</f>
        <v>0</v>
      </c>
    </row>
    <row r="222" customFormat="false" ht="15" hidden="false" customHeight="false" outlineLevel="0" collapsed="false">
      <c r="A222" s="2" t="s">
        <v>622</v>
      </c>
      <c r="B222" s="2" t="s">
        <v>1574</v>
      </c>
      <c r="C222" s="2" t="s">
        <v>1640</v>
      </c>
      <c r="D222" s="2" t="s">
        <v>1654</v>
      </c>
      <c r="E222" s="2" t="str">
        <f aca="false">INDEX(Segmentation!$H$2:$H$301,MATCH($A222,Segmentation!$A$2:$A$301,0))</f>
        <v>Self-Serve</v>
      </c>
      <c r="F222" s="2" t="str">
        <f aca="false">INDEX(Segmentation!$J$2:$J$301,MATCH($A222,Segmentation!$A$2:$A$301,0))</f>
        <v>Tail</v>
      </c>
      <c r="G222" s="2" t="str">
        <f aca="false">INDEX(Segmentation!$N$2:$N$301,MATCH($A222,Segmentation!$A$2:$A$301,0))</f>
        <v>H2 Active / No H1 GMV</v>
      </c>
      <c r="H222" s="2" t="str">
        <f aca="false">INDEX(Segmentation!$T$2:$T$301,MATCH($A222,Segmentation!$A$2:$A$301,0))</f>
        <v>9. Long-Tail Automated Nurture</v>
      </c>
      <c r="I222" s="2" t="str">
        <f aca="false">INDEX(Segmentation!$G$2:$G$301,MATCH($A222,Segmentation!$A$2:$A$301,0))</f>
        <v>Low</v>
      </c>
      <c r="J222" s="9" t="n">
        <f aca="false">INDEX(Segmentation!$I$2:$I$301,MATCH($A222,Segmentation!$A$2:$A$301,0))</f>
        <v>925</v>
      </c>
      <c r="K222" s="2" t="n">
        <f aca="false">INDEX(Segmentation!$O$2:$O$301,MATCH($A222,Segmentation!$A$2:$A$301,0))</f>
        <v>4</v>
      </c>
      <c r="L222" s="2" t="n">
        <f aca="false">INDEX(Segmentation!$Q$2:$Q$301,MATCH($A222,Segmentation!$A$2:$A$301,0))</f>
        <v>4</v>
      </c>
      <c r="M222" s="2" t="n">
        <f aca="false">INDEX(Segmentation!$W$2:$W$301,MATCH($A222,Segmentation!$A$2:$A$301,0))</f>
        <v>3</v>
      </c>
      <c r="N222" s="2" t="str">
        <f aca="false">INDEX(Segmentation!$AF$2:$AF$301,MATCH($A222,Segmentation!$A$2:$A$301,0))</f>
        <v>New Customer</v>
      </c>
      <c r="O222" s="2" t="n">
        <f aca="false">INDEX(Segmentation!$R$2:$R$301,MATCH($A222,Segmentation!$A$2:$A$301,0))</f>
        <v>21</v>
      </c>
      <c r="P222" s="2" t="n">
        <v>110</v>
      </c>
      <c r="Q222" s="2" t="n">
        <f aca="false">INDEX(Segmentation!$S$2:$S$301,MATCH($A222,Segmentation!$A$2:$A$301,0))</f>
        <v>13</v>
      </c>
      <c r="R222" s="2" t="n">
        <v>8</v>
      </c>
      <c r="S222" s="2" t="n">
        <v>1</v>
      </c>
      <c r="T222" s="2" t="n">
        <v>2</v>
      </c>
      <c r="U222" s="2" t="n">
        <v>2</v>
      </c>
      <c r="V222" s="2" t="n">
        <v>23</v>
      </c>
      <c r="W222" s="2" t="str">
        <f aca="false">IF(V222=100,"Bundle-only",IF(V222=0,"Handpick-only","Mixed"))</f>
        <v>Mixed</v>
      </c>
      <c r="X222" s="17" t="n">
        <f aca="false">L222/K222</f>
        <v>1</v>
      </c>
      <c r="Y222" s="9" t="n">
        <f aca="false">J222/K222</f>
        <v>231.25</v>
      </c>
      <c r="Z222" s="10" t="b">
        <f aca="false">O222&gt;=Assumptions!$B$57</f>
        <v>1</v>
      </c>
      <c r="AA222" s="10" t="b">
        <f aca="false">P222&gt;=Assumptions!$B$58</f>
        <v>1</v>
      </c>
      <c r="AB222" s="10" t="b">
        <f aca="false">Q222&gt;=Assumptions!$B$59</f>
        <v>1</v>
      </c>
      <c r="AC222" s="2" t="n">
        <f aca="false">Z222*1+AA222*1+AB222*1</f>
        <v>3</v>
      </c>
      <c r="AD222" s="2" t="str">
        <f aca="false">IF(E222="Broker-Reliant","Broker-led, product-blind",IF(AND(I222="Low",F222&lt;&gt;"Tail",OR(G222="Declining",G222="Lapsed"),OR(O222&gt;=Assumptions!$B$60,P222&gt;=Assumptions!$B$61)),"Engaged but shrinking (Key/Core)",IF(AND(O222&gt;=Assumptions!$B$60,P222&gt;=Assumptions!$B$61,Q222&gt;=Assumptions!$B$62,K222&gt;=Assumptions!$B$63),"Independent browser-buyer",IF(AND(OR(O222&gt;=Assumptions!$B$60,P222&gt;=Assumptions!$B$61),K222&lt;=2),"Engaged, not converting",IF(AND(K222=1,O222&lt;Assumptions!$B$60,P222&lt;Assumptions!$B$61),"One-off low-touch buyer","Light-touch repeat buyer")))))</f>
        <v>Light-touch repeat buyer</v>
      </c>
      <c r="AE222" s="10" t="b">
        <f aca="false">INDEX(Segmentation!$AW$2:$AW$301,MATCH($A222,Segmentation!$A$2:$A$301,0))</f>
        <v>0</v>
      </c>
    </row>
    <row r="223" customFormat="false" ht="15" hidden="false" customHeight="false" outlineLevel="0" collapsed="false">
      <c r="A223" s="2" t="s">
        <v>631</v>
      </c>
      <c r="B223" s="2" t="s">
        <v>1574</v>
      </c>
      <c r="C223" s="2" t="s">
        <v>1640</v>
      </c>
      <c r="D223" s="2" t="s">
        <v>1654</v>
      </c>
      <c r="E223" s="2" t="str">
        <f aca="false">INDEX(Segmentation!$H$2:$H$301,MATCH($A223,Segmentation!$A$2:$A$301,0))</f>
        <v>Self-Serve</v>
      </c>
      <c r="F223" s="2" t="str">
        <f aca="false">INDEX(Segmentation!$J$2:$J$301,MATCH($A223,Segmentation!$A$2:$A$301,0))</f>
        <v>Tail</v>
      </c>
      <c r="G223" s="2" t="str">
        <f aca="false">INDEX(Segmentation!$N$2:$N$301,MATCH($A223,Segmentation!$A$2:$A$301,0))</f>
        <v>H2 Active / No H1 GMV</v>
      </c>
      <c r="H223" s="2" t="str">
        <f aca="false">INDEX(Segmentation!$T$2:$T$301,MATCH($A223,Segmentation!$A$2:$A$301,0))</f>
        <v>9. Long-Tail Automated Nurture</v>
      </c>
      <c r="I223" s="2" t="str">
        <f aca="false">INDEX(Segmentation!$G$2:$G$301,MATCH($A223,Segmentation!$A$2:$A$301,0))</f>
        <v>Low</v>
      </c>
      <c r="J223" s="9" t="n">
        <f aca="false">INDEX(Segmentation!$I$2:$I$301,MATCH($A223,Segmentation!$A$2:$A$301,0))</f>
        <v>880</v>
      </c>
      <c r="K223" s="2" t="n">
        <f aca="false">INDEX(Segmentation!$O$2:$O$301,MATCH($A223,Segmentation!$A$2:$A$301,0))</f>
        <v>1</v>
      </c>
      <c r="L223" s="2" t="n">
        <f aca="false">INDEX(Segmentation!$Q$2:$Q$301,MATCH($A223,Segmentation!$A$2:$A$301,0))</f>
        <v>1</v>
      </c>
      <c r="M223" s="2" t="n">
        <f aca="false">INDEX(Segmentation!$W$2:$W$301,MATCH($A223,Segmentation!$A$2:$A$301,0))</f>
        <v>1</v>
      </c>
      <c r="N223" s="2" t="str">
        <f aca="false">INDEX(Segmentation!$AF$2:$AF$301,MATCH($A223,Segmentation!$A$2:$A$301,0))</f>
        <v>New Customer</v>
      </c>
      <c r="O223" s="2" t="n">
        <f aca="false">INDEX(Segmentation!$R$2:$R$301,MATCH($A223,Segmentation!$A$2:$A$301,0))</f>
        <v>2</v>
      </c>
      <c r="P223" s="2" t="n">
        <v>0</v>
      </c>
      <c r="Q223" s="2" t="n">
        <f aca="false">INDEX(Segmentation!$S$2:$S$301,MATCH($A223,Segmentation!$A$2:$A$301,0))</f>
        <v>7</v>
      </c>
      <c r="R223" s="2" t="n">
        <v>0</v>
      </c>
      <c r="S223" s="2" t="n">
        <v>0</v>
      </c>
      <c r="T223" s="2" t="n">
        <v>0</v>
      </c>
      <c r="U223" s="2" t="n">
        <v>1</v>
      </c>
      <c r="V223" s="2" t="n">
        <v>100</v>
      </c>
      <c r="W223" s="2" t="str">
        <f aca="false">IF(V223=100,"Bundle-only",IF(V223=0,"Handpick-only","Mixed"))</f>
        <v>Bundle-only</v>
      </c>
      <c r="X223" s="17" t="n">
        <f aca="false">L223/K223</f>
        <v>1</v>
      </c>
      <c r="Y223" s="9" t="n">
        <f aca="false">J223/K223</f>
        <v>880</v>
      </c>
      <c r="Z223" s="10" t="b">
        <f aca="false">O223&gt;=Assumptions!$B$57</f>
        <v>0</v>
      </c>
      <c r="AA223" s="10" t="b">
        <f aca="false">P223&gt;=Assumptions!$B$58</f>
        <v>0</v>
      </c>
      <c r="AB223" s="10" t="b">
        <f aca="false">Q223&gt;=Assumptions!$B$59</f>
        <v>1</v>
      </c>
      <c r="AC223" s="2" t="n">
        <f aca="false">Z223*1+AA223*1+AB223*1</f>
        <v>1</v>
      </c>
      <c r="AD223" s="2" t="str">
        <f aca="false">IF(E223="Broker-Reliant","Broker-led, product-blind",IF(AND(I223="Low",F223&lt;&gt;"Tail",OR(G223="Declining",G223="Lapsed"),OR(O223&gt;=Assumptions!$B$60,P223&gt;=Assumptions!$B$61)),"Engaged but shrinking (Key/Core)",IF(AND(O223&gt;=Assumptions!$B$60,P223&gt;=Assumptions!$B$61,Q223&gt;=Assumptions!$B$62,K223&gt;=Assumptions!$B$63),"Independent browser-buyer",IF(AND(OR(O223&gt;=Assumptions!$B$60,P223&gt;=Assumptions!$B$61),K223&lt;=2),"Engaged, not converting",IF(AND(K223=1,O223&lt;Assumptions!$B$60,P223&lt;Assumptions!$B$61),"One-off low-touch buyer","Light-touch repeat buyer")))))</f>
        <v>One-off low-touch buyer</v>
      </c>
      <c r="AE223" s="10" t="b">
        <f aca="false">INDEX(Segmentation!$AW$2:$AW$301,MATCH($A223,Segmentation!$A$2:$A$301,0))</f>
        <v>0</v>
      </c>
    </row>
    <row r="224" customFormat="false" ht="15" hidden="false" customHeight="false" outlineLevel="0" collapsed="false">
      <c r="A224" s="2" t="s">
        <v>676</v>
      </c>
      <c r="B224" s="2" t="s">
        <v>1574</v>
      </c>
      <c r="C224" s="2" t="s">
        <v>1640</v>
      </c>
      <c r="D224" s="2" t="s">
        <v>1657</v>
      </c>
      <c r="E224" s="2" t="str">
        <f aca="false">INDEX(Segmentation!$H$2:$H$301,MATCH($A224,Segmentation!$A$2:$A$301,0))</f>
        <v>Self-Serve</v>
      </c>
      <c r="F224" s="2" t="str">
        <f aca="false">INDEX(Segmentation!$J$2:$J$301,MATCH($A224,Segmentation!$A$2:$A$301,0))</f>
        <v>Tail</v>
      </c>
      <c r="G224" s="2" t="str">
        <f aca="false">INDEX(Segmentation!$N$2:$N$301,MATCH($A224,Segmentation!$A$2:$A$301,0))</f>
        <v>Lapsed</v>
      </c>
      <c r="H224" s="2" t="str">
        <f aca="false">INDEX(Segmentation!$T$2:$T$301,MATCH($A224,Segmentation!$A$2:$A$301,0))</f>
        <v>9. Long-Tail Automated Nurture</v>
      </c>
      <c r="I224" s="2" t="str">
        <f aca="false">INDEX(Segmentation!$G$2:$G$301,MATCH($A224,Segmentation!$A$2:$A$301,0))</f>
        <v>Low</v>
      </c>
      <c r="J224" s="9" t="n">
        <f aca="false">INDEX(Segmentation!$I$2:$I$301,MATCH($A224,Segmentation!$A$2:$A$301,0))</f>
        <v>550</v>
      </c>
      <c r="K224" s="2" t="n">
        <f aca="false">INDEX(Segmentation!$O$2:$O$301,MATCH($A224,Segmentation!$A$2:$A$301,0))</f>
        <v>2</v>
      </c>
      <c r="L224" s="2" t="n">
        <f aca="false">INDEX(Segmentation!$Q$2:$Q$301,MATCH($A224,Segmentation!$A$2:$A$301,0))</f>
        <v>2</v>
      </c>
      <c r="M224" s="2" t="n">
        <f aca="false">INDEX(Segmentation!$W$2:$W$301,MATCH($A224,Segmentation!$A$2:$A$301,0))</f>
        <v>2</v>
      </c>
      <c r="N224" s="2" t="str">
        <f aca="false">INDEX(Segmentation!$AF$2:$AF$301,MATCH($A224,Segmentation!$A$2:$A$301,0))</f>
        <v>Existing Customer</v>
      </c>
      <c r="O224" s="2" t="n">
        <f aca="false">INDEX(Segmentation!$R$2:$R$301,MATCH($A224,Segmentation!$A$2:$A$301,0))</f>
        <v>23</v>
      </c>
      <c r="P224" s="2" t="n">
        <v>128</v>
      </c>
      <c r="Q224" s="2" t="n">
        <f aca="false">INDEX(Segmentation!$S$2:$S$301,MATCH($A224,Segmentation!$A$2:$A$301,0))</f>
        <v>0</v>
      </c>
      <c r="R224" s="2" t="n">
        <v>4</v>
      </c>
      <c r="S224" s="2" t="n">
        <v>2</v>
      </c>
      <c r="T224" s="2" t="n">
        <v>0</v>
      </c>
      <c r="U224" s="2" t="n">
        <v>2</v>
      </c>
      <c r="V224" s="2" t="n">
        <v>100</v>
      </c>
      <c r="W224" s="2" t="str">
        <f aca="false">IF(V224=100,"Bundle-only",IF(V224=0,"Handpick-only","Mixed"))</f>
        <v>Bundle-only</v>
      </c>
      <c r="X224" s="17" t="n">
        <f aca="false">L224/K224</f>
        <v>1</v>
      </c>
      <c r="Y224" s="9" t="n">
        <f aca="false">J224/K224</f>
        <v>275</v>
      </c>
      <c r="Z224" s="10" t="b">
        <f aca="false">O224&gt;=Assumptions!$B$57</f>
        <v>1</v>
      </c>
      <c r="AA224" s="10" t="b">
        <f aca="false">P224&gt;=Assumptions!$B$58</f>
        <v>1</v>
      </c>
      <c r="AB224" s="10" t="b">
        <f aca="false">Q224&gt;=Assumptions!$B$59</f>
        <v>0</v>
      </c>
      <c r="AC224" s="2" t="n">
        <f aca="false">Z224*1+AA224*1+AB224*1</f>
        <v>2</v>
      </c>
      <c r="AD224" s="2" t="str">
        <f aca="false">IF(E224="Broker-Reliant","Broker-led, product-blind",IF(AND(I224="Low",F224&lt;&gt;"Tail",OR(G224="Declining",G224="Lapsed"),OR(O224&gt;=Assumptions!$B$60,P224&gt;=Assumptions!$B$61)),"Engaged but shrinking (Key/Core)",IF(AND(O224&gt;=Assumptions!$B$60,P224&gt;=Assumptions!$B$61,Q224&gt;=Assumptions!$B$62,K224&gt;=Assumptions!$B$63),"Independent browser-buyer",IF(AND(OR(O224&gt;=Assumptions!$B$60,P224&gt;=Assumptions!$B$61),K224&lt;=2),"Engaged, not converting",IF(AND(K224=1,O224&lt;Assumptions!$B$60,P224&lt;Assumptions!$B$61),"One-off low-touch buyer","Light-touch repeat buyer")))))</f>
        <v>Engaged, not converting</v>
      </c>
      <c r="AE224" s="10" t="b">
        <f aca="false">INDEX(Segmentation!$AW$2:$AW$301,MATCH($A224,Segmentation!$A$2:$A$301,0))</f>
        <v>0</v>
      </c>
    </row>
    <row r="225" customFormat="false" ht="15" hidden="false" customHeight="false" outlineLevel="0" collapsed="false">
      <c r="A225" s="2" t="s">
        <v>682</v>
      </c>
      <c r="B225" s="2" t="s">
        <v>1574</v>
      </c>
      <c r="C225" s="2" t="s">
        <v>1640</v>
      </c>
      <c r="D225" s="2" t="s">
        <v>1653</v>
      </c>
      <c r="E225" s="2" t="str">
        <f aca="false">INDEX(Segmentation!$H$2:$H$301,MATCH($A225,Segmentation!$A$2:$A$301,0))</f>
        <v>Self-Serve</v>
      </c>
      <c r="F225" s="2" t="str">
        <f aca="false">INDEX(Segmentation!$J$2:$J$301,MATCH($A225,Segmentation!$A$2:$A$301,0))</f>
        <v>Tail</v>
      </c>
      <c r="G225" s="2" t="str">
        <f aca="false">INDEX(Segmentation!$N$2:$N$301,MATCH($A225,Segmentation!$A$2:$A$301,0))</f>
        <v>H2 Active / No H1 GMV</v>
      </c>
      <c r="H225" s="2" t="str">
        <f aca="false">INDEX(Segmentation!$T$2:$T$301,MATCH($A225,Segmentation!$A$2:$A$301,0))</f>
        <v>9. Long-Tail Automated Nurture</v>
      </c>
      <c r="I225" s="2" t="str">
        <f aca="false">INDEX(Segmentation!$G$2:$G$301,MATCH($A225,Segmentation!$A$2:$A$301,0))</f>
        <v>Low</v>
      </c>
      <c r="J225" s="9" t="n">
        <f aca="false">INDEX(Segmentation!$I$2:$I$301,MATCH($A225,Segmentation!$A$2:$A$301,0))</f>
        <v>501</v>
      </c>
      <c r="K225" s="2" t="n">
        <f aca="false">INDEX(Segmentation!$O$2:$O$301,MATCH($A225,Segmentation!$A$2:$A$301,0))</f>
        <v>1</v>
      </c>
      <c r="L225" s="2" t="n">
        <f aca="false">INDEX(Segmentation!$Q$2:$Q$301,MATCH($A225,Segmentation!$A$2:$A$301,0))</f>
        <v>1</v>
      </c>
      <c r="M225" s="2" t="n">
        <f aca="false">INDEX(Segmentation!$W$2:$W$301,MATCH($A225,Segmentation!$A$2:$A$301,0))</f>
        <v>1</v>
      </c>
      <c r="N225" s="2" t="str">
        <f aca="false">INDEX(Segmentation!$AF$2:$AF$301,MATCH($A225,Segmentation!$A$2:$A$301,0))</f>
        <v>New Customer</v>
      </c>
      <c r="O225" s="2" t="n">
        <f aca="false">INDEX(Segmentation!$R$2:$R$301,MATCH($A225,Segmentation!$A$2:$A$301,0))</f>
        <v>4</v>
      </c>
      <c r="P225" s="2" t="n">
        <v>47</v>
      </c>
      <c r="Q225" s="2" t="n">
        <f aca="false">INDEX(Segmentation!$S$2:$S$301,MATCH($A225,Segmentation!$A$2:$A$301,0))</f>
        <v>1</v>
      </c>
      <c r="R225" s="2" t="n">
        <v>1</v>
      </c>
      <c r="S225" s="2" t="n">
        <v>0</v>
      </c>
      <c r="T225" s="2" t="n">
        <v>0</v>
      </c>
      <c r="U225" s="2" t="n">
        <v>1</v>
      </c>
      <c r="V225" s="2" t="n">
        <v>100</v>
      </c>
      <c r="W225" s="2" t="str">
        <f aca="false">IF(V225=100,"Bundle-only",IF(V225=0,"Handpick-only","Mixed"))</f>
        <v>Bundle-only</v>
      </c>
      <c r="X225" s="17" t="n">
        <f aca="false">L225/K225</f>
        <v>1</v>
      </c>
      <c r="Y225" s="9" t="n">
        <f aca="false">J225/K225</f>
        <v>501</v>
      </c>
      <c r="Z225" s="10" t="b">
        <f aca="false">O225&gt;=Assumptions!$B$57</f>
        <v>0</v>
      </c>
      <c r="AA225" s="10" t="b">
        <f aca="false">P225&gt;=Assumptions!$B$58</f>
        <v>0</v>
      </c>
      <c r="AB225" s="10" t="b">
        <f aca="false">Q225&gt;=Assumptions!$B$59</f>
        <v>0</v>
      </c>
      <c r="AC225" s="2" t="n">
        <f aca="false">Z225*1+AA225*1+AB225*1</f>
        <v>0</v>
      </c>
      <c r="AD225" s="2" t="str">
        <f aca="false">IF(E225="Broker-Reliant","Broker-led, product-blind",IF(AND(I225="Low",F225&lt;&gt;"Tail",OR(G225="Declining",G225="Lapsed"),OR(O225&gt;=Assumptions!$B$60,P225&gt;=Assumptions!$B$61)),"Engaged but shrinking (Key/Core)",IF(AND(O225&gt;=Assumptions!$B$60,P225&gt;=Assumptions!$B$61,Q225&gt;=Assumptions!$B$62,K225&gt;=Assumptions!$B$63),"Independent browser-buyer",IF(AND(OR(O225&gt;=Assumptions!$B$60,P225&gt;=Assumptions!$B$61),K225&lt;=2),"Engaged, not converting",IF(AND(K225=1,O225&lt;Assumptions!$B$60,P225&lt;Assumptions!$B$61),"One-off low-touch buyer","Light-touch repeat buyer")))))</f>
        <v>One-off low-touch buyer</v>
      </c>
      <c r="AE225" s="10" t="b">
        <f aca="false">INDEX(Segmentation!$AW$2:$AW$301,MATCH($A225,Segmentation!$A$2:$A$301,0))</f>
        <v>0</v>
      </c>
    </row>
    <row r="226" customFormat="false" ht="15" hidden="false" customHeight="false" outlineLevel="0" collapsed="false">
      <c r="A226" s="2" t="s">
        <v>684</v>
      </c>
      <c r="B226" s="2" t="s">
        <v>1574</v>
      </c>
      <c r="C226" s="2" t="s">
        <v>1640</v>
      </c>
      <c r="D226" s="2" t="s">
        <v>1653</v>
      </c>
      <c r="E226" s="2" t="str">
        <f aca="false">INDEX(Segmentation!$H$2:$H$301,MATCH($A226,Segmentation!$A$2:$A$301,0))</f>
        <v>Self-Serve</v>
      </c>
      <c r="F226" s="2" t="str">
        <f aca="false">INDEX(Segmentation!$J$2:$J$301,MATCH($A226,Segmentation!$A$2:$A$301,0))</f>
        <v>Tail</v>
      </c>
      <c r="G226" s="2" t="str">
        <f aca="false">INDEX(Segmentation!$N$2:$N$301,MATCH($A226,Segmentation!$A$2:$A$301,0))</f>
        <v>Lapsed</v>
      </c>
      <c r="H226" s="2" t="str">
        <f aca="false">INDEX(Segmentation!$T$2:$T$301,MATCH($A226,Segmentation!$A$2:$A$301,0))</f>
        <v>9. Long-Tail Automated Nurture</v>
      </c>
      <c r="I226" s="2" t="str">
        <f aca="false">INDEX(Segmentation!$G$2:$G$301,MATCH($A226,Segmentation!$A$2:$A$301,0))</f>
        <v>Low</v>
      </c>
      <c r="J226" s="9" t="n">
        <f aca="false">INDEX(Segmentation!$I$2:$I$301,MATCH($A226,Segmentation!$A$2:$A$301,0))</f>
        <v>493</v>
      </c>
      <c r="K226" s="2" t="n">
        <f aca="false">INDEX(Segmentation!$O$2:$O$301,MATCH($A226,Segmentation!$A$2:$A$301,0))</f>
        <v>3</v>
      </c>
      <c r="L226" s="2" t="n">
        <f aca="false">INDEX(Segmentation!$Q$2:$Q$301,MATCH($A226,Segmentation!$A$2:$A$301,0))</f>
        <v>3</v>
      </c>
      <c r="M226" s="2" t="n">
        <f aca="false">INDEX(Segmentation!$W$2:$W$301,MATCH($A226,Segmentation!$A$2:$A$301,0))</f>
        <v>3</v>
      </c>
      <c r="N226" s="2" t="str">
        <f aca="false">INDEX(Segmentation!$AF$2:$AF$301,MATCH($A226,Segmentation!$A$2:$A$301,0))</f>
        <v>Existing Customer</v>
      </c>
      <c r="O226" s="2" t="n">
        <f aca="false">INDEX(Segmentation!$R$2:$R$301,MATCH($A226,Segmentation!$A$2:$A$301,0))</f>
        <v>35</v>
      </c>
      <c r="P226" s="2" t="n">
        <v>479</v>
      </c>
      <c r="Q226" s="2" t="n">
        <f aca="false">INDEX(Segmentation!$S$2:$S$301,MATCH($A226,Segmentation!$A$2:$A$301,0))</f>
        <v>2</v>
      </c>
      <c r="R226" s="2" t="n">
        <v>5</v>
      </c>
      <c r="S226" s="2" t="n">
        <v>0</v>
      </c>
      <c r="T226" s="2" t="n">
        <v>1</v>
      </c>
      <c r="U226" s="2" t="n">
        <v>2</v>
      </c>
      <c r="V226" s="2" t="n">
        <v>95</v>
      </c>
      <c r="W226" s="2" t="str">
        <f aca="false">IF(V226=100,"Bundle-only",IF(V226=0,"Handpick-only","Mixed"))</f>
        <v>Mixed</v>
      </c>
      <c r="X226" s="17" t="n">
        <f aca="false">L226/K226</f>
        <v>1</v>
      </c>
      <c r="Y226" s="9" t="n">
        <f aca="false">J226/K226</f>
        <v>164.333333333333</v>
      </c>
      <c r="Z226" s="10" t="b">
        <f aca="false">O226&gt;=Assumptions!$B$57</f>
        <v>1</v>
      </c>
      <c r="AA226" s="10" t="b">
        <f aca="false">P226&gt;=Assumptions!$B$58</f>
        <v>1</v>
      </c>
      <c r="AB226" s="10" t="b">
        <f aca="false">Q226&gt;=Assumptions!$B$59</f>
        <v>0</v>
      </c>
      <c r="AC226" s="2" t="n">
        <f aca="false">Z226*1+AA226*1+AB226*1</f>
        <v>2</v>
      </c>
      <c r="AD226" s="2" t="str">
        <f aca="false">IF(E226="Broker-Reliant","Broker-led, product-blind",IF(AND(I226="Low",F226&lt;&gt;"Tail",OR(G226="Declining",G226="Lapsed"),OR(O226&gt;=Assumptions!$B$60,P226&gt;=Assumptions!$B$61)),"Engaged but shrinking (Key/Core)",IF(AND(O226&gt;=Assumptions!$B$60,P226&gt;=Assumptions!$B$61,Q226&gt;=Assumptions!$B$62,K226&gt;=Assumptions!$B$63),"Independent browser-buyer",IF(AND(OR(O226&gt;=Assumptions!$B$60,P226&gt;=Assumptions!$B$61),K226&lt;=2),"Engaged, not converting",IF(AND(K226=1,O226&lt;Assumptions!$B$60,P226&lt;Assumptions!$B$61),"One-off low-touch buyer","Light-touch repeat buyer")))))</f>
        <v>Light-touch repeat buyer</v>
      </c>
      <c r="AE226" s="10" t="b">
        <f aca="false">INDEX(Segmentation!$AW$2:$AW$301,MATCH($A226,Segmentation!$A$2:$A$301,0))</f>
        <v>0</v>
      </c>
    </row>
    <row r="227" customFormat="false" ht="15" hidden="false" customHeight="false" outlineLevel="0" collapsed="false">
      <c r="A227" s="2" t="s">
        <v>691</v>
      </c>
      <c r="B227" s="2" t="s">
        <v>1574</v>
      </c>
      <c r="C227" s="2" t="s">
        <v>1640</v>
      </c>
      <c r="D227" s="2" t="s">
        <v>1657</v>
      </c>
      <c r="E227" s="2" t="str">
        <f aca="false">INDEX(Segmentation!$H$2:$H$301,MATCH($A227,Segmentation!$A$2:$A$301,0))</f>
        <v>Self-Serve</v>
      </c>
      <c r="F227" s="2" t="str">
        <f aca="false">INDEX(Segmentation!$J$2:$J$301,MATCH($A227,Segmentation!$A$2:$A$301,0))</f>
        <v>Tail</v>
      </c>
      <c r="G227" s="2" t="str">
        <f aca="false">INDEX(Segmentation!$N$2:$N$301,MATCH($A227,Segmentation!$A$2:$A$301,0))</f>
        <v>Lapsed</v>
      </c>
      <c r="H227" s="2" t="str">
        <f aca="false">INDEX(Segmentation!$T$2:$T$301,MATCH($A227,Segmentation!$A$2:$A$301,0))</f>
        <v>9. Long-Tail Automated Nurture</v>
      </c>
      <c r="I227" s="2" t="str">
        <f aca="false">INDEX(Segmentation!$G$2:$G$301,MATCH($A227,Segmentation!$A$2:$A$301,0))</f>
        <v>Low</v>
      </c>
      <c r="J227" s="9" t="n">
        <f aca="false">INDEX(Segmentation!$I$2:$I$301,MATCH($A227,Segmentation!$A$2:$A$301,0))</f>
        <v>486</v>
      </c>
      <c r="K227" s="2" t="n">
        <f aca="false">INDEX(Segmentation!$O$2:$O$301,MATCH($A227,Segmentation!$A$2:$A$301,0))</f>
        <v>2</v>
      </c>
      <c r="L227" s="2" t="n">
        <f aca="false">INDEX(Segmentation!$Q$2:$Q$301,MATCH($A227,Segmentation!$A$2:$A$301,0))</f>
        <v>2</v>
      </c>
      <c r="M227" s="2" t="n">
        <f aca="false">INDEX(Segmentation!$W$2:$W$301,MATCH($A227,Segmentation!$A$2:$A$301,0))</f>
        <v>1</v>
      </c>
      <c r="N227" s="2" t="str">
        <f aca="false">INDEX(Segmentation!$AF$2:$AF$301,MATCH($A227,Segmentation!$A$2:$A$301,0))</f>
        <v>Existing Customer</v>
      </c>
      <c r="O227" s="2" t="n">
        <f aca="false">INDEX(Segmentation!$R$2:$R$301,MATCH($A227,Segmentation!$A$2:$A$301,0))</f>
        <v>39</v>
      </c>
      <c r="P227" s="2" t="n">
        <v>1305</v>
      </c>
      <c r="Q227" s="2" t="n">
        <f aca="false">INDEX(Segmentation!$S$2:$S$301,MATCH($A227,Segmentation!$A$2:$A$301,0))</f>
        <v>17</v>
      </c>
      <c r="R227" s="2" t="n">
        <v>13</v>
      </c>
      <c r="S227" s="2" t="n">
        <v>0</v>
      </c>
      <c r="T227" s="2" t="n">
        <v>0</v>
      </c>
      <c r="U227" s="2" t="n">
        <v>2</v>
      </c>
      <c r="V227" s="2" t="n">
        <v>100</v>
      </c>
      <c r="W227" s="2" t="str">
        <f aca="false">IF(V227=100,"Bundle-only",IF(V227=0,"Handpick-only","Mixed"))</f>
        <v>Bundle-only</v>
      </c>
      <c r="X227" s="17" t="n">
        <f aca="false">L227/K227</f>
        <v>1</v>
      </c>
      <c r="Y227" s="9" t="n">
        <f aca="false">J227/K227</f>
        <v>243</v>
      </c>
      <c r="Z227" s="10" t="b">
        <f aca="false">O227&gt;=Assumptions!$B$57</f>
        <v>1</v>
      </c>
      <c r="AA227" s="10" t="b">
        <f aca="false">P227&gt;=Assumptions!$B$58</f>
        <v>1</v>
      </c>
      <c r="AB227" s="10" t="b">
        <f aca="false">Q227&gt;=Assumptions!$B$59</f>
        <v>1</v>
      </c>
      <c r="AC227" s="2" t="n">
        <f aca="false">Z227*1+AA227*1+AB227*1</f>
        <v>3</v>
      </c>
      <c r="AD227" s="2" t="str">
        <f aca="false">IF(E227="Broker-Reliant","Broker-led, product-blind",IF(AND(I227="Low",F227&lt;&gt;"Tail",OR(G227="Declining",G227="Lapsed"),OR(O227&gt;=Assumptions!$B$60,P227&gt;=Assumptions!$B$61)),"Engaged but shrinking (Key/Core)",IF(AND(O227&gt;=Assumptions!$B$60,P227&gt;=Assumptions!$B$61,Q227&gt;=Assumptions!$B$62,K227&gt;=Assumptions!$B$63),"Independent browser-buyer",IF(AND(OR(O227&gt;=Assumptions!$B$60,P227&gt;=Assumptions!$B$61),K227&lt;=2),"Engaged, not converting",IF(AND(K227=1,O227&lt;Assumptions!$B$60,P227&lt;Assumptions!$B$61),"One-off low-touch buyer","Light-touch repeat buyer")))))</f>
        <v>Engaged, not converting</v>
      </c>
      <c r="AE227" s="10" t="b">
        <f aca="false">INDEX(Segmentation!$AW$2:$AW$301,MATCH($A227,Segmentation!$A$2:$A$301,0))</f>
        <v>0</v>
      </c>
    </row>
    <row r="228" customFormat="false" ht="15" hidden="false" customHeight="false" outlineLevel="0" collapsed="false">
      <c r="A228" s="2" t="s">
        <v>697</v>
      </c>
      <c r="B228" s="2" t="s">
        <v>1574</v>
      </c>
      <c r="C228" s="2" t="s">
        <v>1640</v>
      </c>
      <c r="D228" s="2" t="s">
        <v>1655</v>
      </c>
      <c r="E228" s="2" t="str">
        <f aca="false">INDEX(Segmentation!$H$2:$H$301,MATCH($A228,Segmentation!$A$2:$A$301,0))</f>
        <v>Self-Serve</v>
      </c>
      <c r="F228" s="2" t="str">
        <f aca="false">INDEX(Segmentation!$J$2:$J$301,MATCH($A228,Segmentation!$A$2:$A$301,0))</f>
        <v>Tail</v>
      </c>
      <c r="G228" s="2" t="str">
        <f aca="false">INDEX(Segmentation!$N$2:$N$301,MATCH($A228,Segmentation!$A$2:$A$301,0))</f>
        <v>H2 Active / No H1 GMV</v>
      </c>
      <c r="H228" s="2" t="str">
        <f aca="false">INDEX(Segmentation!$T$2:$T$301,MATCH($A228,Segmentation!$A$2:$A$301,0))</f>
        <v>9. Long-Tail Automated Nurture</v>
      </c>
      <c r="I228" s="2" t="str">
        <f aca="false">INDEX(Segmentation!$G$2:$G$301,MATCH($A228,Segmentation!$A$2:$A$301,0))</f>
        <v>Low</v>
      </c>
      <c r="J228" s="9" t="n">
        <f aca="false">INDEX(Segmentation!$I$2:$I$301,MATCH($A228,Segmentation!$A$2:$A$301,0))</f>
        <v>461</v>
      </c>
      <c r="K228" s="2" t="n">
        <f aca="false">INDEX(Segmentation!$O$2:$O$301,MATCH($A228,Segmentation!$A$2:$A$301,0))</f>
        <v>1</v>
      </c>
      <c r="L228" s="2" t="n">
        <f aca="false">INDEX(Segmentation!$Q$2:$Q$301,MATCH($A228,Segmentation!$A$2:$A$301,0))</f>
        <v>1</v>
      </c>
      <c r="M228" s="2" t="n">
        <f aca="false">INDEX(Segmentation!$W$2:$W$301,MATCH($A228,Segmentation!$A$2:$A$301,0))</f>
        <v>1</v>
      </c>
      <c r="N228" s="2" t="str">
        <f aca="false">INDEX(Segmentation!$AF$2:$AF$301,MATCH($A228,Segmentation!$A$2:$A$301,0))</f>
        <v>New Customer</v>
      </c>
      <c r="O228" s="2" t="n">
        <f aca="false">INDEX(Segmentation!$R$2:$R$301,MATCH($A228,Segmentation!$A$2:$A$301,0))</f>
        <v>9</v>
      </c>
      <c r="P228" s="2" t="n">
        <v>48</v>
      </c>
      <c r="Q228" s="2" t="n">
        <f aca="false">INDEX(Segmentation!$S$2:$S$301,MATCH($A228,Segmentation!$A$2:$A$301,0))</f>
        <v>0</v>
      </c>
      <c r="R228" s="2" t="n">
        <v>0</v>
      </c>
      <c r="S228" s="2" t="n">
        <v>0</v>
      </c>
      <c r="T228" s="2" t="n">
        <v>0</v>
      </c>
      <c r="U228" s="2" t="n">
        <v>1</v>
      </c>
      <c r="V228" s="2" t="n">
        <v>100</v>
      </c>
      <c r="W228" s="2" t="str">
        <f aca="false">IF(V228=100,"Bundle-only",IF(V228=0,"Handpick-only","Mixed"))</f>
        <v>Bundle-only</v>
      </c>
      <c r="X228" s="17" t="n">
        <f aca="false">L228/K228</f>
        <v>1</v>
      </c>
      <c r="Y228" s="9" t="n">
        <f aca="false">J228/K228</f>
        <v>461</v>
      </c>
      <c r="Z228" s="10" t="b">
        <f aca="false">O228&gt;=Assumptions!$B$57</f>
        <v>0</v>
      </c>
      <c r="AA228" s="10" t="b">
        <f aca="false">P228&gt;=Assumptions!$B$58</f>
        <v>0</v>
      </c>
      <c r="AB228" s="10" t="b">
        <f aca="false">Q228&gt;=Assumptions!$B$59</f>
        <v>0</v>
      </c>
      <c r="AC228" s="2" t="n">
        <f aca="false">Z228*1+AA228*1+AB228*1</f>
        <v>0</v>
      </c>
      <c r="AD228" s="2" t="str">
        <f aca="false">IF(E228="Broker-Reliant","Broker-led, product-blind",IF(AND(I228="Low",F228&lt;&gt;"Tail",OR(G228="Declining",G228="Lapsed"),OR(O228&gt;=Assumptions!$B$60,P228&gt;=Assumptions!$B$61)),"Engaged but shrinking (Key/Core)",IF(AND(O228&gt;=Assumptions!$B$60,P228&gt;=Assumptions!$B$61,Q228&gt;=Assumptions!$B$62,K228&gt;=Assumptions!$B$63),"Independent browser-buyer",IF(AND(OR(O228&gt;=Assumptions!$B$60,P228&gt;=Assumptions!$B$61),K228&lt;=2),"Engaged, not converting",IF(AND(K228=1,O228&lt;Assumptions!$B$60,P228&lt;Assumptions!$B$61),"One-off low-touch buyer","Light-touch repeat buyer")))))</f>
        <v>One-off low-touch buyer</v>
      </c>
      <c r="AE228" s="10" t="b">
        <f aca="false">INDEX(Segmentation!$AW$2:$AW$301,MATCH($A228,Segmentation!$A$2:$A$301,0))</f>
        <v>0</v>
      </c>
    </row>
    <row r="229" customFormat="false" ht="15" hidden="false" customHeight="false" outlineLevel="0" collapsed="false">
      <c r="A229" s="2" t="s">
        <v>701</v>
      </c>
      <c r="B229" s="2" t="s">
        <v>1574</v>
      </c>
      <c r="C229" s="2" t="s">
        <v>1640</v>
      </c>
      <c r="D229" s="2" t="s">
        <v>1653</v>
      </c>
      <c r="E229" s="2" t="str">
        <f aca="false">INDEX(Segmentation!$H$2:$H$301,MATCH($A229,Segmentation!$A$2:$A$301,0))</f>
        <v>Self-Serve</v>
      </c>
      <c r="F229" s="2" t="str">
        <f aca="false">INDEX(Segmentation!$J$2:$J$301,MATCH($A229,Segmentation!$A$2:$A$301,0))</f>
        <v>Tail</v>
      </c>
      <c r="G229" s="2" t="str">
        <f aca="false">INDEX(Segmentation!$N$2:$N$301,MATCH($A229,Segmentation!$A$2:$A$301,0))</f>
        <v>H2 Active / No H1 GMV</v>
      </c>
      <c r="H229" s="2" t="str">
        <f aca="false">INDEX(Segmentation!$T$2:$T$301,MATCH($A229,Segmentation!$A$2:$A$301,0))</f>
        <v>9. Long-Tail Automated Nurture</v>
      </c>
      <c r="I229" s="2" t="str">
        <f aca="false">INDEX(Segmentation!$G$2:$G$301,MATCH($A229,Segmentation!$A$2:$A$301,0))</f>
        <v>Low</v>
      </c>
      <c r="J229" s="9" t="n">
        <f aca="false">INDEX(Segmentation!$I$2:$I$301,MATCH($A229,Segmentation!$A$2:$A$301,0))</f>
        <v>457</v>
      </c>
      <c r="K229" s="2" t="n">
        <f aca="false">INDEX(Segmentation!$O$2:$O$301,MATCH($A229,Segmentation!$A$2:$A$301,0))</f>
        <v>1</v>
      </c>
      <c r="L229" s="2" t="n">
        <f aca="false">INDEX(Segmentation!$Q$2:$Q$301,MATCH($A229,Segmentation!$A$2:$A$301,0))</f>
        <v>1</v>
      </c>
      <c r="M229" s="2" t="n">
        <f aca="false">INDEX(Segmentation!$W$2:$W$301,MATCH($A229,Segmentation!$A$2:$A$301,0))</f>
        <v>1</v>
      </c>
      <c r="N229" s="2" t="str">
        <f aca="false">INDEX(Segmentation!$AF$2:$AF$301,MATCH($A229,Segmentation!$A$2:$A$301,0))</f>
        <v>New Customer</v>
      </c>
      <c r="O229" s="2" t="n">
        <f aca="false">INDEX(Segmentation!$R$2:$R$301,MATCH($A229,Segmentation!$A$2:$A$301,0))</f>
        <v>5</v>
      </c>
      <c r="P229" s="2" t="n">
        <v>9</v>
      </c>
      <c r="Q229" s="2" t="n">
        <f aca="false">INDEX(Segmentation!$S$2:$S$301,MATCH($A229,Segmentation!$A$2:$A$301,0))</f>
        <v>3</v>
      </c>
      <c r="R229" s="2" t="n">
        <v>0</v>
      </c>
      <c r="S229" s="2" t="n">
        <v>0</v>
      </c>
      <c r="T229" s="2" t="n">
        <v>0</v>
      </c>
      <c r="U229" s="2" t="n">
        <v>1</v>
      </c>
      <c r="V229" s="2" t="n">
        <v>100</v>
      </c>
      <c r="W229" s="2" t="str">
        <f aca="false">IF(V229=100,"Bundle-only",IF(V229=0,"Handpick-only","Mixed"))</f>
        <v>Bundle-only</v>
      </c>
      <c r="X229" s="17" t="n">
        <f aca="false">L229/K229</f>
        <v>1</v>
      </c>
      <c r="Y229" s="9" t="n">
        <f aca="false">J229/K229</f>
        <v>457</v>
      </c>
      <c r="Z229" s="10" t="b">
        <f aca="false">O229&gt;=Assumptions!$B$57</f>
        <v>0</v>
      </c>
      <c r="AA229" s="10" t="b">
        <f aca="false">P229&gt;=Assumptions!$B$58</f>
        <v>0</v>
      </c>
      <c r="AB229" s="10" t="b">
        <f aca="false">Q229&gt;=Assumptions!$B$59</f>
        <v>1</v>
      </c>
      <c r="AC229" s="2" t="n">
        <f aca="false">Z229*1+AA229*1+AB229*1</f>
        <v>1</v>
      </c>
      <c r="AD229" s="2" t="str">
        <f aca="false">IF(E229="Broker-Reliant","Broker-led, product-blind",IF(AND(I229="Low",F229&lt;&gt;"Tail",OR(G229="Declining",G229="Lapsed"),OR(O229&gt;=Assumptions!$B$60,P229&gt;=Assumptions!$B$61)),"Engaged but shrinking (Key/Core)",IF(AND(O229&gt;=Assumptions!$B$60,P229&gt;=Assumptions!$B$61,Q229&gt;=Assumptions!$B$62,K229&gt;=Assumptions!$B$63),"Independent browser-buyer",IF(AND(OR(O229&gt;=Assumptions!$B$60,P229&gt;=Assumptions!$B$61),K229&lt;=2),"Engaged, not converting",IF(AND(K229=1,O229&lt;Assumptions!$B$60,P229&lt;Assumptions!$B$61),"One-off low-touch buyer","Light-touch repeat buyer")))))</f>
        <v>One-off low-touch buyer</v>
      </c>
      <c r="AE229" s="10" t="b">
        <f aca="false">INDEX(Segmentation!$AW$2:$AW$301,MATCH($A229,Segmentation!$A$2:$A$301,0))</f>
        <v>0</v>
      </c>
    </row>
    <row r="230" customFormat="false" ht="15" hidden="false" customHeight="false" outlineLevel="0" collapsed="false">
      <c r="A230" s="2" t="s">
        <v>711</v>
      </c>
      <c r="B230" s="2" t="s">
        <v>1574</v>
      </c>
      <c r="C230" s="2" t="s">
        <v>1640</v>
      </c>
      <c r="D230" s="2" t="s">
        <v>1657</v>
      </c>
      <c r="E230" s="2" t="str">
        <f aca="false">INDEX(Segmentation!$H$2:$H$301,MATCH($A230,Segmentation!$A$2:$A$301,0))</f>
        <v>Self-Serve</v>
      </c>
      <c r="F230" s="2" t="str">
        <f aca="false">INDEX(Segmentation!$J$2:$J$301,MATCH($A230,Segmentation!$A$2:$A$301,0))</f>
        <v>Tail</v>
      </c>
      <c r="G230" s="2" t="str">
        <f aca="false">INDEX(Segmentation!$N$2:$N$301,MATCH($A230,Segmentation!$A$2:$A$301,0))</f>
        <v>H2 Active / No H1 GMV</v>
      </c>
      <c r="H230" s="2" t="str">
        <f aca="false">INDEX(Segmentation!$T$2:$T$301,MATCH($A230,Segmentation!$A$2:$A$301,0))</f>
        <v>9. Long-Tail Automated Nurture</v>
      </c>
      <c r="I230" s="2" t="str">
        <f aca="false">INDEX(Segmentation!$G$2:$G$301,MATCH($A230,Segmentation!$A$2:$A$301,0))</f>
        <v>Low</v>
      </c>
      <c r="J230" s="9" t="n">
        <f aca="false">INDEX(Segmentation!$I$2:$I$301,MATCH($A230,Segmentation!$A$2:$A$301,0))</f>
        <v>442</v>
      </c>
      <c r="K230" s="2" t="n">
        <f aca="false">INDEX(Segmentation!$O$2:$O$301,MATCH($A230,Segmentation!$A$2:$A$301,0))</f>
        <v>1</v>
      </c>
      <c r="L230" s="2" t="n">
        <f aca="false">INDEX(Segmentation!$Q$2:$Q$301,MATCH($A230,Segmentation!$A$2:$A$301,0))</f>
        <v>1</v>
      </c>
      <c r="M230" s="2" t="n">
        <f aca="false">INDEX(Segmentation!$W$2:$W$301,MATCH($A230,Segmentation!$A$2:$A$301,0))</f>
        <v>1</v>
      </c>
      <c r="N230" s="2" t="str">
        <f aca="false">INDEX(Segmentation!$AF$2:$AF$301,MATCH($A230,Segmentation!$A$2:$A$301,0))</f>
        <v>New Customer</v>
      </c>
      <c r="O230" s="2" t="n">
        <f aca="false">INDEX(Segmentation!$R$2:$R$301,MATCH($A230,Segmentation!$A$2:$A$301,0))</f>
        <v>3</v>
      </c>
      <c r="P230" s="2" t="n">
        <v>39</v>
      </c>
      <c r="Q230" s="2" t="n">
        <f aca="false">INDEX(Segmentation!$S$2:$S$301,MATCH($A230,Segmentation!$A$2:$A$301,0))</f>
        <v>0</v>
      </c>
      <c r="R230" s="2" t="n">
        <v>1</v>
      </c>
      <c r="S230" s="2" t="n">
        <v>0</v>
      </c>
      <c r="T230" s="2" t="n">
        <v>0</v>
      </c>
      <c r="U230" s="2" t="n">
        <v>1</v>
      </c>
      <c r="V230" s="2" t="n">
        <v>100</v>
      </c>
      <c r="W230" s="2" t="str">
        <f aca="false">IF(V230=100,"Bundle-only",IF(V230=0,"Handpick-only","Mixed"))</f>
        <v>Bundle-only</v>
      </c>
      <c r="X230" s="17" t="n">
        <f aca="false">L230/K230</f>
        <v>1</v>
      </c>
      <c r="Y230" s="9" t="n">
        <f aca="false">J230/K230</f>
        <v>442</v>
      </c>
      <c r="Z230" s="10" t="b">
        <f aca="false">O230&gt;=Assumptions!$B$57</f>
        <v>0</v>
      </c>
      <c r="AA230" s="10" t="b">
        <f aca="false">P230&gt;=Assumptions!$B$58</f>
        <v>0</v>
      </c>
      <c r="AB230" s="10" t="b">
        <f aca="false">Q230&gt;=Assumptions!$B$59</f>
        <v>0</v>
      </c>
      <c r="AC230" s="2" t="n">
        <f aca="false">Z230*1+AA230*1+AB230*1</f>
        <v>0</v>
      </c>
      <c r="AD230" s="2" t="str">
        <f aca="false">IF(E230="Broker-Reliant","Broker-led, product-blind",IF(AND(I230="Low",F230&lt;&gt;"Tail",OR(G230="Declining",G230="Lapsed"),OR(O230&gt;=Assumptions!$B$60,P230&gt;=Assumptions!$B$61)),"Engaged but shrinking (Key/Core)",IF(AND(O230&gt;=Assumptions!$B$60,P230&gt;=Assumptions!$B$61,Q230&gt;=Assumptions!$B$62,K230&gt;=Assumptions!$B$63),"Independent browser-buyer",IF(AND(OR(O230&gt;=Assumptions!$B$60,P230&gt;=Assumptions!$B$61),K230&lt;=2),"Engaged, not converting",IF(AND(K230=1,O230&lt;Assumptions!$B$60,P230&lt;Assumptions!$B$61),"One-off low-touch buyer","Light-touch repeat buyer")))))</f>
        <v>One-off low-touch buyer</v>
      </c>
      <c r="AE230" s="10" t="b">
        <f aca="false">INDEX(Segmentation!$AW$2:$AW$301,MATCH($A230,Segmentation!$A$2:$A$301,0))</f>
        <v>0</v>
      </c>
    </row>
    <row r="231" customFormat="false" ht="15" hidden="false" customHeight="false" outlineLevel="0" collapsed="false">
      <c r="A231" s="2" t="s">
        <v>713</v>
      </c>
      <c r="B231" s="2" t="s">
        <v>1574</v>
      </c>
      <c r="C231" s="2" t="s">
        <v>1640</v>
      </c>
      <c r="D231" s="2" t="s">
        <v>1657</v>
      </c>
      <c r="E231" s="2" t="str">
        <f aca="false">INDEX(Segmentation!$H$2:$H$301,MATCH($A231,Segmentation!$A$2:$A$301,0))</f>
        <v>Self-Serve</v>
      </c>
      <c r="F231" s="2" t="str">
        <f aca="false">INDEX(Segmentation!$J$2:$J$301,MATCH($A231,Segmentation!$A$2:$A$301,0))</f>
        <v>Tail</v>
      </c>
      <c r="G231" s="2" t="str">
        <f aca="false">INDEX(Segmentation!$N$2:$N$301,MATCH($A231,Segmentation!$A$2:$A$301,0))</f>
        <v>Growing</v>
      </c>
      <c r="H231" s="2" t="str">
        <f aca="false">INDEX(Segmentation!$T$2:$T$301,MATCH($A231,Segmentation!$A$2:$A$301,0))</f>
        <v>9. Long-Tail Automated Nurture</v>
      </c>
      <c r="I231" s="2" t="str">
        <f aca="false">INDEX(Segmentation!$G$2:$G$301,MATCH($A231,Segmentation!$A$2:$A$301,0))</f>
        <v>Low</v>
      </c>
      <c r="J231" s="9" t="n">
        <f aca="false">INDEX(Segmentation!$I$2:$I$301,MATCH($A231,Segmentation!$A$2:$A$301,0))</f>
        <v>422</v>
      </c>
      <c r="K231" s="2" t="n">
        <f aca="false">INDEX(Segmentation!$O$2:$O$301,MATCH($A231,Segmentation!$A$2:$A$301,0))</f>
        <v>3</v>
      </c>
      <c r="L231" s="2" t="n">
        <f aca="false">INDEX(Segmentation!$Q$2:$Q$301,MATCH($A231,Segmentation!$A$2:$A$301,0))</f>
        <v>3</v>
      </c>
      <c r="M231" s="2" t="n">
        <f aca="false">INDEX(Segmentation!$W$2:$W$301,MATCH($A231,Segmentation!$A$2:$A$301,0))</f>
        <v>3</v>
      </c>
      <c r="N231" s="2" t="str">
        <f aca="false">INDEX(Segmentation!$AF$2:$AF$301,MATCH($A231,Segmentation!$A$2:$A$301,0))</f>
        <v>Existing Customer</v>
      </c>
      <c r="O231" s="2" t="n">
        <f aca="false">INDEX(Segmentation!$R$2:$R$301,MATCH($A231,Segmentation!$A$2:$A$301,0))</f>
        <v>0</v>
      </c>
      <c r="P231" s="2" t="n">
        <v>0</v>
      </c>
      <c r="Q231" s="2" t="n">
        <f aca="false">INDEX(Segmentation!$S$2:$S$301,MATCH($A231,Segmentation!$A$2:$A$301,0))</f>
        <v>0</v>
      </c>
      <c r="R231" s="2" t="n">
        <v>0</v>
      </c>
      <c r="S231" s="2" t="n">
        <v>0</v>
      </c>
      <c r="T231" s="2" t="n">
        <v>0</v>
      </c>
      <c r="U231" s="2" t="n">
        <v>3</v>
      </c>
      <c r="V231" s="2" t="n">
        <v>100</v>
      </c>
      <c r="W231" s="2" t="str">
        <f aca="false">IF(V231=100,"Bundle-only",IF(V231=0,"Handpick-only","Mixed"))</f>
        <v>Bundle-only</v>
      </c>
      <c r="X231" s="17" t="n">
        <f aca="false">L231/K231</f>
        <v>1</v>
      </c>
      <c r="Y231" s="9" t="n">
        <f aca="false">J231/K231</f>
        <v>140.666666666667</v>
      </c>
      <c r="Z231" s="10" t="b">
        <f aca="false">O231&gt;=Assumptions!$B$57</f>
        <v>0</v>
      </c>
      <c r="AA231" s="10" t="b">
        <f aca="false">P231&gt;=Assumptions!$B$58</f>
        <v>0</v>
      </c>
      <c r="AB231" s="10" t="b">
        <f aca="false">Q231&gt;=Assumptions!$B$59</f>
        <v>0</v>
      </c>
      <c r="AC231" s="2" t="n">
        <f aca="false">Z231*1+AA231*1+AB231*1</f>
        <v>0</v>
      </c>
      <c r="AD231" s="2" t="str">
        <f aca="false">IF(E231="Broker-Reliant","Broker-led, product-blind",IF(AND(I231="Low",F231&lt;&gt;"Tail",OR(G231="Declining",G231="Lapsed"),OR(O231&gt;=Assumptions!$B$60,P231&gt;=Assumptions!$B$61)),"Engaged but shrinking (Key/Core)",IF(AND(O231&gt;=Assumptions!$B$60,P231&gt;=Assumptions!$B$61,Q231&gt;=Assumptions!$B$62,K231&gt;=Assumptions!$B$63),"Independent browser-buyer",IF(AND(OR(O231&gt;=Assumptions!$B$60,P231&gt;=Assumptions!$B$61),K231&lt;=2),"Engaged, not converting",IF(AND(K231=1,O231&lt;Assumptions!$B$60,P231&lt;Assumptions!$B$61),"One-off low-touch buyer","Light-touch repeat buyer")))))</f>
        <v>Light-touch repeat buyer</v>
      </c>
      <c r="AE231" s="10" t="b">
        <f aca="false">INDEX(Segmentation!$AW$2:$AW$301,MATCH($A231,Segmentation!$A$2:$A$301,0))</f>
        <v>0</v>
      </c>
    </row>
    <row r="232" customFormat="false" ht="15" hidden="false" customHeight="false" outlineLevel="0" collapsed="false">
      <c r="A232" s="2" t="s">
        <v>716</v>
      </c>
      <c r="B232" s="2" t="s">
        <v>1574</v>
      </c>
      <c r="C232" s="2" t="s">
        <v>1640</v>
      </c>
      <c r="D232" s="2" t="s">
        <v>1657</v>
      </c>
      <c r="E232" s="2" t="str">
        <f aca="false">INDEX(Segmentation!$H$2:$H$301,MATCH($A232,Segmentation!$A$2:$A$301,0))</f>
        <v>Self-Serve</v>
      </c>
      <c r="F232" s="2" t="str">
        <f aca="false">INDEX(Segmentation!$J$2:$J$301,MATCH($A232,Segmentation!$A$2:$A$301,0))</f>
        <v>Tail</v>
      </c>
      <c r="G232" s="2" t="str">
        <f aca="false">INDEX(Segmentation!$N$2:$N$301,MATCH($A232,Segmentation!$A$2:$A$301,0))</f>
        <v>Growing</v>
      </c>
      <c r="H232" s="2" t="str">
        <f aca="false">INDEX(Segmentation!$T$2:$T$301,MATCH($A232,Segmentation!$A$2:$A$301,0))</f>
        <v>9. Long-Tail Automated Nurture</v>
      </c>
      <c r="I232" s="2" t="str">
        <f aca="false">INDEX(Segmentation!$G$2:$G$301,MATCH($A232,Segmentation!$A$2:$A$301,0))</f>
        <v>Low</v>
      </c>
      <c r="J232" s="9" t="n">
        <f aca="false">INDEX(Segmentation!$I$2:$I$301,MATCH($A232,Segmentation!$A$2:$A$301,0))</f>
        <v>416</v>
      </c>
      <c r="K232" s="2" t="n">
        <f aca="false">INDEX(Segmentation!$O$2:$O$301,MATCH($A232,Segmentation!$A$2:$A$301,0))</f>
        <v>2</v>
      </c>
      <c r="L232" s="2" t="n">
        <f aca="false">INDEX(Segmentation!$Q$2:$Q$301,MATCH($A232,Segmentation!$A$2:$A$301,0))</f>
        <v>2</v>
      </c>
      <c r="M232" s="2" t="n">
        <f aca="false">INDEX(Segmentation!$W$2:$W$301,MATCH($A232,Segmentation!$A$2:$A$301,0))</f>
        <v>2</v>
      </c>
      <c r="N232" s="2" t="str">
        <f aca="false">INDEX(Segmentation!$AF$2:$AF$301,MATCH($A232,Segmentation!$A$2:$A$301,0))</f>
        <v>Existing Customer</v>
      </c>
      <c r="O232" s="2" t="n">
        <f aca="false">INDEX(Segmentation!$R$2:$R$301,MATCH($A232,Segmentation!$A$2:$A$301,0))</f>
        <v>15</v>
      </c>
      <c r="P232" s="2" t="n">
        <v>124</v>
      </c>
      <c r="Q232" s="2" t="n">
        <f aca="false">INDEX(Segmentation!$S$2:$S$301,MATCH($A232,Segmentation!$A$2:$A$301,0))</f>
        <v>2</v>
      </c>
      <c r="R232" s="2" t="n">
        <v>2</v>
      </c>
      <c r="S232" s="2" t="n">
        <v>0</v>
      </c>
      <c r="T232" s="2" t="n">
        <v>0</v>
      </c>
      <c r="U232" s="2" t="n">
        <v>2</v>
      </c>
      <c r="V232" s="2" t="n">
        <v>100</v>
      </c>
      <c r="W232" s="2" t="str">
        <f aca="false">IF(V232=100,"Bundle-only",IF(V232=0,"Handpick-only","Mixed"))</f>
        <v>Bundle-only</v>
      </c>
      <c r="X232" s="17" t="n">
        <f aca="false">L232/K232</f>
        <v>1</v>
      </c>
      <c r="Y232" s="9" t="n">
        <f aca="false">J232/K232</f>
        <v>208</v>
      </c>
      <c r="Z232" s="10" t="b">
        <f aca="false">O232&gt;=Assumptions!$B$57</f>
        <v>1</v>
      </c>
      <c r="AA232" s="10" t="b">
        <f aca="false">P232&gt;=Assumptions!$B$58</f>
        <v>1</v>
      </c>
      <c r="AB232" s="10" t="b">
        <f aca="false">Q232&gt;=Assumptions!$B$59</f>
        <v>0</v>
      </c>
      <c r="AC232" s="2" t="n">
        <f aca="false">Z232*1+AA232*1+AB232*1</f>
        <v>2</v>
      </c>
      <c r="AD232" s="2" t="str">
        <f aca="false">IF(E232="Broker-Reliant","Broker-led, product-blind",IF(AND(I232="Low",F232&lt;&gt;"Tail",OR(G232="Declining",G232="Lapsed"),OR(O232&gt;=Assumptions!$B$60,P232&gt;=Assumptions!$B$61)),"Engaged but shrinking (Key/Core)",IF(AND(O232&gt;=Assumptions!$B$60,P232&gt;=Assumptions!$B$61,Q232&gt;=Assumptions!$B$62,K232&gt;=Assumptions!$B$63),"Independent browser-buyer",IF(AND(OR(O232&gt;=Assumptions!$B$60,P232&gt;=Assumptions!$B$61),K232&lt;=2),"Engaged, not converting",IF(AND(K232=1,O232&lt;Assumptions!$B$60,P232&lt;Assumptions!$B$61),"One-off low-touch buyer","Light-touch repeat buyer")))))</f>
        <v>Light-touch repeat buyer</v>
      </c>
      <c r="AE232" s="10" t="b">
        <f aca="false">INDEX(Segmentation!$AW$2:$AW$301,MATCH($A232,Segmentation!$A$2:$A$301,0))</f>
        <v>0</v>
      </c>
    </row>
    <row r="233" customFormat="false" ht="15" hidden="false" customHeight="false" outlineLevel="0" collapsed="false">
      <c r="A233" s="2" t="s">
        <v>718</v>
      </c>
      <c r="B233" s="2" t="s">
        <v>1574</v>
      </c>
      <c r="C233" s="2" t="s">
        <v>1640</v>
      </c>
      <c r="D233" s="2" t="s">
        <v>1653</v>
      </c>
      <c r="E233" s="2" t="str">
        <f aca="false">INDEX(Segmentation!$H$2:$H$301,MATCH($A233,Segmentation!$A$2:$A$301,0))</f>
        <v>Self-Serve</v>
      </c>
      <c r="F233" s="2" t="str">
        <f aca="false">INDEX(Segmentation!$J$2:$J$301,MATCH($A233,Segmentation!$A$2:$A$301,0))</f>
        <v>Tail</v>
      </c>
      <c r="G233" s="2" t="str">
        <f aca="false">INDEX(Segmentation!$N$2:$N$301,MATCH($A233,Segmentation!$A$2:$A$301,0))</f>
        <v>Lapsed</v>
      </c>
      <c r="H233" s="2" t="str">
        <f aca="false">INDEX(Segmentation!$T$2:$T$301,MATCH($A233,Segmentation!$A$2:$A$301,0))</f>
        <v>9. Long-Tail Automated Nurture</v>
      </c>
      <c r="I233" s="2" t="str">
        <f aca="false">INDEX(Segmentation!$G$2:$G$301,MATCH($A233,Segmentation!$A$2:$A$301,0))</f>
        <v>Low</v>
      </c>
      <c r="J233" s="9" t="n">
        <f aca="false">INDEX(Segmentation!$I$2:$I$301,MATCH($A233,Segmentation!$A$2:$A$301,0))</f>
        <v>399</v>
      </c>
      <c r="K233" s="2" t="n">
        <f aca="false">INDEX(Segmentation!$O$2:$O$301,MATCH($A233,Segmentation!$A$2:$A$301,0))</f>
        <v>1</v>
      </c>
      <c r="L233" s="2" t="n">
        <f aca="false">INDEX(Segmentation!$Q$2:$Q$301,MATCH($A233,Segmentation!$A$2:$A$301,0))</f>
        <v>1</v>
      </c>
      <c r="M233" s="2" t="n">
        <f aca="false">INDEX(Segmentation!$W$2:$W$301,MATCH($A233,Segmentation!$A$2:$A$301,0))</f>
        <v>1</v>
      </c>
      <c r="N233" s="2" t="str">
        <f aca="false">INDEX(Segmentation!$AF$2:$AF$301,MATCH($A233,Segmentation!$A$2:$A$301,0))</f>
        <v>Existing Customer</v>
      </c>
      <c r="O233" s="2" t="n">
        <f aca="false">INDEX(Segmentation!$R$2:$R$301,MATCH($A233,Segmentation!$A$2:$A$301,0))</f>
        <v>8</v>
      </c>
      <c r="P233" s="2" t="n">
        <v>25</v>
      </c>
      <c r="Q233" s="2" t="n">
        <f aca="false">INDEX(Segmentation!$S$2:$S$301,MATCH($A233,Segmentation!$A$2:$A$301,0))</f>
        <v>0</v>
      </c>
      <c r="R233" s="2" t="n">
        <v>0</v>
      </c>
      <c r="S233" s="2" t="n">
        <v>0</v>
      </c>
      <c r="T233" s="2" t="n">
        <v>0</v>
      </c>
      <c r="U233" s="2" t="n">
        <v>1</v>
      </c>
      <c r="V233" s="2" t="n">
        <v>100</v>
      </c>
      <c r="W233" s="2" t="str">
        <f aca="false">IF(V233=100,"Bundle-only",IF(V233=0,"Handpick-only","Mixed"))</f>
        <v>Bundle-only</v>
      </c>
      <c r="X233" s="17" t="n">
        <f aca="false">L233/K233</f>
        <v>1</v>
      </c>
      <c r="Y233" s="9" t="n">
        <f aca="false">J233/K233</f>
        <v>399</v>
      </c>
      <c r="Z233" s="10" t="b">
        <f aca="false">O233&gt;=Assumptions!$B$57</f>
        <v>0</v>
      </c>
      <c r="AA233" s="10" t="b">
        <f aca="false">P233&gt;=Assumptions!$B$58</f>
        <v>0</v>
      </c>
      <c r="AB233" s="10" t="b">
        <f aca="false">Q233&gt;=Assumptions!$B$59</f>
        <v>0</v>
      </c>
      <c r="AC233" s="2" t="n">
        <f aca="false">Z233*1+AA233*1+AB233*1</f>
        <v>0</v>
      </c>
      <c r="AD233" s="2" t="str">
        <f aca="false">IF(E233="Broker-Reliant","Broker-led, product-blind",IF(AND(I233="Low",F233&lt;&gt;"Tail",OR(G233="Declining",G233="Lapsed"),OR(O233&gt;=Assumptions!$B$60,P233&gt;=Assumptions!$B$61)),"Engaged but shrinking (Key/Core)",IF(AND(O233&gt;=Assumptions!$B$60,P233&gt;=Assumptions!$B$61,Q233&gt;=Assumptions!$B$62,K233&gt;=Assumptions!$B$63),"Independent browser-buyer",IF(AND(OR(O233&gt;=Assumptions!$B$60,P233&gt;=Assumptions!$B$61),K233&lt;=2),"Engaged, not converting",IF(AND(K233=1,O233&lt;Assumptions!$B$60,P233&lt;Assumptions!$B$61),"One-off low-touch buyer","Light-touch repeat buyer")))))</f>
        <v>One-off low-touch buyer</v>
      </c>
      <c r="AE233" s="10" t="b">
        <f aca="false">INDEX(Segmentation!$AW$2:$AW$301,MATCH($A233,Segmentation!$A$2:$A$301,0))</f>
        <v>0</v>
      </c>
    </row>
    <row r="234" customFormat="false" ht="15" hidden="false" customHeight="false" outlineLevel="0" collapsed="false">
      <c r="A234" s="2" t="s">
        <v>720</v>
      </c>
      <c r="B234" s="2" t="s">
        <v>1574</v>
      </c>
      <c r="C234" s="2" t="s">
        <v>1640</v>
      </c>
      <c r="D234" s="2" t="s">
        <v>1658</v>
      </c>
      <c r="E234" s="2" t="str">
        <f aca="false">INDEX(Segmentation!$H$2:$H$301,MATCH($A234,Segmentation!$A$2:$A$301,0))</f>
        <v>Self-Serve</v>
      </c>
      <c r="F234" s="2" t="str">
        <f aca="false">INDEX(Segmentation!$J$2:$J$301,MATCH($A234,Segmentation!$A$2:$A$301,0))</f>
        <v>Tail</v>
      </c>
      <c r="G234" s="2" t="str">
        <f aca="false">INDEX(Segmentation!$N$2:$N$301,MATCH($A234,Segmentation!$A$2:$A$301,0))</f>
        <v>Declining</v>
      </c>
      <c r="H234" s="2" t="str">
        <f aca="false">INDEX(Segmentation!$T$2:$T$301,MATCH($A234,Segmentation!$A$2:$A$301,0))</f>
        <v>9. Long-Tail Automated Nurture</v>
      </c>
      <c r="I234" s="2" t="str">
        <f aca="false">INDEX(Segmentation!$G$2:$G$301,MATCH($A234,Segmentation!$A$2:$A$301,0))</f>
        <v>Low</v>
      </c>
      <c r="J234" s="9" t="n">
        <f aca="false">INDEX(Segmentation!$I$2:$I$301,MATCH($A234,Segmentation!$A$2:$A$301,0))</f>
        <v>395</v>
      </c>
      <c r="K234" s="2" t="n">
        <f aca="false">INDEX(Segmentation!$O$2:$O$301,MATCH($A234,Segmentation!$A$2:$A$301,0))</f>
        <v>2</v>
      </c>
      <c r="L234" s="2" t="n">
        <f aca="false">INDEX(Segmentation!$Q$2:$Q$301,MATCH($A234,Segmentation!$A$2:$A$301,0))</f>
        <v>2</v>
      </c>
      <c r="M234" s="2" t="n">
        <f aca="false">INDEX(Segmentation!$W$2:$W$301,MATCH($A234,Segmentation!$A$2:$A$301,0))</f>
        <v>2</v>
      </c>
      <c r="N234" s="2" t="str">
        <f aca="false">INDEX(Segmentation!$AF$2:$AF$301,MATCH($A234,Segmentation!$A$2:$A$301,0))</f>
        <v>Existing Customer</v>
      </c>
      <c r="O234" s="2" t="n">
        <f aca="false">INDEX(Segmentation!$R$2:$R$301,MATCH($A234,Segmentation!$A$2:$A$301,0))</f>
        <v>54</v>
      </c>
      <c r="P234" s="2" t="n">
        <v>475</v>
      </c>
      <c r="Q234" s="2" t="n">
        <f aca="false">INDEX(Segmentation!$S$2:$S$301,MATCH($A234,Segmentation!$A$2:$A$301,0))</f>
        <v>5</v>
      </c>
      <c r="R234" s="2" t="n">
        <v>17</v>
      </c>
      <c r="S234" s="2" t="n">
        <v>0</v>
      </c>
      <c r="T234" s="2" t="n">
        <v>2</v>
      </c>
      <c r="U234" s="2" t="n">
        <v>0</v>
      </c>
      <c r="V234" s="2" t="n">
        <v>0</v>
      </c>
      <c r="W234" s="2" t="str">
        <f aca="false">IF(V234=100,"Bundle-only",IF(V234=0,"Handpick-only","Mixed"))</f>
        <v>Handpick-only</v>
      </c>
      <c r="X234" s="17" t="n">
        <f aca="false">L234/K234</f>
        <v>1</v>
      </c>
      <c r="Y234" s="9" t="n">
        <f aca="false">J234/K234</f>
        <v>197.5</v>
      </c>
      <c r="Z234" s="10" t="b">
        <f aca="false">O234&gt;=Assumptions!$B$57</f>
        <v>1</v>
      </c>
      <c r="AA234" s="10" t="b">
        <f aca="false">P234&gt;=Assumptions!$B$58</f>
        <v>1</v>
      </c>
      <c r="AB234" s="10" t="b">
        <f aca="false">Q234&gt;=Assumptions!$B$59</f>
        <v>1</v>
      </c>
      <c r="AC234" s="2" t="n">
        <f aca="false">Z234*1+AA234*1+AB234*1</f>
        <v>3</v>
      </c>
      <c r="AD234" s="2" t="str">
        <f aca="false">IF(E234="Broker-Reliant","Broker-led, product-blind",IF(AND(I234="Low",F234&lt;&gt;"Tail",OR(G234="Declining",G234="Lapsed"),OR(O234&gt;=Assumptions!$B$60,P234&gt;=Assumptions!$B$61)),"Engaged but shrinking (Key/Core)",IF(AND(O234&gt;=Assumptions!$B$60,P234&gt;=Assumptions!$B$61,Q234&gt;=Assumptions!$B$62,K234&gt;=Assumptions!$B$63),"Independent browser-buyer",IF(AND(OR(O234&gt;=Assumptions!$B$60,P234&gt;=Assumptions!$B$61),K234&lt;=2),"Engaged, not converting",IF(AND(K234=1,O234&lt;Assumptions!$B$60,P234&lt;Assumptions!$B$61),"One-off low-touch buyer","Light-touch repeat buyer")))))</f>
        <v>Engaged, not converting</v>
      </c>
      <c r="AE234" s="10" t="b">
        <f aca="false">INDEX(Segmentation!$AW$2:$AW$301,MATCH($A234,Segmentation!$A$2:$A$301,0))</f>
        <v>0</v>
      </c>
    </row>
    <row r="235" customFormat="false" ht="15" hidden="false" customHeight="false" outlineLevel="0" collapsed="false">
      <c r="A235" s="2" t="s">
        <v>722</v>
      </c>
      <c r="B235" s="2" t="s">
        <v>1574</v>
      </c>
      <c r="C235" s="2" t="s">
        <v>1640</v>
      </c>
      <c r="D235" s="2" t="s">
        <v>1653</v>
      </c>
      <c r="E235" s="2" t="str">
        <f aca="false">INDEX(Segmentation!$H$2:$H$301,MATCH($A235,Segmentation!$A$2:$A$301,0))</f>
        <v>Self-Serve</v>
      </c>
      <c r="F235" s="2" t="str">
        <f aca="false">INDEX(Segmentation!$J$2:$J$301,MATCH($A235,Segmentation!$A$2:$A$301,0))</f>
        <v>Tail</v>
      </c>
      <c r="G235" s="2" t="str">
        <f aca="false">INDEX(Segmentation!$N$2:$N$301,MATCH($A235,Segmentation!$A$2:$A$301,0))</f>
        <v>H2 Active / No H1 GMV</v>
      </c>
      <c r="H235" s="2" t="str">
        <f aca="false">INDEX(Segmentation!$T$2:$T$301,MATCH($A235,Segmentation!$A$2:$A$301,0))</f>
        <v>9. Long-Tail Automated Nurture</v>
      </c>
      <c r="I235" s="2" t="str">
        <f aca="false">INDEX(Segmentation!$G$2:$G$301,MATCH($A235,Segmentation!$A$2:$A$301,0))</f>
        <v>Low</v>
      </c>
      <c r="J235" s="9" t="n">
        <f aca="false">INDEX(Segmentation!$I$2:$I$301,MATCH($A235,Segmentation!$A$2:$A$301,0))</f>
        <v>393</v>
      </c>
      <c r="K235" s="2" t="n">
        <f aca="false">INDEX(Segmentation!$O$2:$O$301,MATCH($A235,Segmentation!$A$2:$A$301,0))</f>
        <v>1</v>
      </c>
      <c r="L235" s="2" t="n">
        <f aca="false">INDEX(Segmentation!$Q$2:$Q$301,MATCH($A235,Segmentation!$A$2:$A$301,0))</f>
        <v>1</v>
      </c>
      <c r="M235" s="2" t="n">
        <f aca="false">INDEX(Segmentation!$W$2:$W$301,MATCH($A235,Segmentation!$A$2:$A$301,0))</f>
        <v>1</v>
      </c>
      <c r="N235" s="2" t="str">
        <f aca="false">INDEX(Segmentation!$AF$2:$AF$301,MATCH($A235,Segmentation!$A$2:$A$301,0))</f>
        <v>New Customer</v>
      </c>
      <c r="O235" s="2" t="n">
        <f aca="false">INDEX(Segmentation!$R$2:$R$301,MATCH($A235,Segmentation!$A$2:$A$301,0))</f>
        <v>1</v>
      </c>
      <c r="P235" s="2" t="n">
        <v>0</v>
      </c>
      <c r="Q235" s="2" t="n">
        <f aca="false">INDEX(Segmentation!$S$2:$S$301,MATCH($A235,Segmentation!$A$2:$A$301,0))</f>
        <v>1</v>
      </c>
      <c r="R235" s="2" t="n">
        <v>0</v>
      </c>
      <c r="S235" s="2" t="n">
        <v>0</v>
      </c>
      <c r="T235" s="2" t="n">
        <v>0</v>
      </c>
      <c r="U235" s="2" t="n">
        <v>1</v>
      </c>
      <c r="V235" s="2" t="n">
        <v>100</v>
      </c>
      <c r="W235" s="2" t="str">
        <f aca="false">IF(V235=100,"Bundle-only",IF(V235=0,"Handpick-only","Mixed"))</f>
        <v>Bundle-only</v>
      </c>
      <c r="X235" s="17" t="n">
        <f aca="false">L235/K235</f>
        <v>1</v>
      </c>
      <c r="Y235" s="9" t="n">
        <f aca="false">J235/K235</f>
        <v>393</v>
      </c>
      <c r="Z235" s="10" t="b">
        <f aca="false">O235&gt;=Assumptions!$B$57</f>
        <v>0</v>
      </c>
      <c r="AA235" s="10" t="b">
        <f aca="false">P235&gt;=Assumptions!$B$58</f>
        <v>0</v>
      </c>
      <c r="AB235" s="10" t="b">
        <f aca="false">Q235&gt;=Assumptions!$B$59</f>
        <v>0</v>
      </c>
      <c r="AC235" s="2" t="n">
        <f aca="false">Z235*1+AA235*1+AB235*1</f>
        <v>0</v>
      </c>
      <c r="AD235" s="2" t="str">
        <f aca="false">IF(E235="Broker-Reliant","Broker-led, product-blind",IF(AND(I235="Low",F235&lt;&gt;"Tail",OR(G235="Declining",G235="Lapsed"),OR(O235&gt;=Assumptions!$B$60,P235&gt;=Assumptions!$B$61)),"Engaged but shrinking (Key/Core)",IF(AND(O235&gt;=Assumptions!$B$60,P235&gt;=Assumptions!$B$61,Q235&gt;=Assumptions!$B$62,K235&gt;=Assumptions!$B$63),"Independent browser-buyer",IF(AND(OR(O235&gt;=Assumptions!$B$60,P235&gt;=Assumptions!$B$61),K235&lt;=2),"Engaged, not converting",IF(AND(K235=1,O235&lt;Assumptions!$B$60,P235&lt;Assumptions!$B$61),"One-off low-touch buyer","Light-touch repeat buyer")))))</f>
        <v>One-off low-touch buyer</v>
      </c>
      <c r="AE235" s="10" t="b">
        <f aca="false">INDEX(Segmentation!$AW$2:$AW$301,MATCH($A235,Segmentation!$A$2:$A$301,0))</f>
        <v>0</v>
      </c>
    </row>
    <row r="236" customFormat="false" ht="15" hidden="false" customHeight="false" outlineLevel="0" collapsed="false">
      <c r="A236" s="2" t="s">
        <v>728</v>
      </c>
      <c r="B236" s="2" t="s">
        <v>1574</v>
      </c>
      <c r="C236" s="2" t="s">
        <v>1640</v>
      </c>
      <c r="D236" s="2" t="s">
        <v>1655</v>
      </c>
      <c r="E236" s="2" t="str">
        <f aca="false">INDEX(Segmentation!$H$2:$H$301,MATCH($A236,Segmentation!$A$2:$A$301,0))</f>
        <v>Self-Serve</v>
      </c>
      <c r="F236" s="2" t="str">
        <f aca="false">INDEX(Segmentation!$J$2:$J$301,MATCH($A236,Segmentation!$A$2:$A$301,0))</f>
        <v>Tail</v>
      </c>
      <c r="G236" s="2" t="str">
        <f aca="false">INDEX(Segmentation!$N$2:$N$301,MATCH($A236,Segmentation!$A$2:$A$301,0))</f>
        <v>H2 Active / No H1 GMV</v>
      </c>
      <c r="H236" s="2" t="str">
        <f aca="false">INDEX(Segmentation!$T$2:$T$301,MATCH($A236,Segmentation!$A$2:$A$301,0))</f>
        <v>9. Long-Tail Automated Nurture</v>
      </c>
      <c r="I236" s="2" t="str">
        <f aca="false">INDEX(Segmentation!$G$2:$G$301,MATCH($A236,Segmentation!$A$2:$A$301,0))</f>
        <v>Low</v>
      </c>
      <c r="J236" s="9" t="n">
        <f aca="false">INDEX(Segmentation!$I$2:$I$301,MATCH($A236,Segmentation!$A$2:$A$301,0))</f>
        <v>384</v>
      </c>
      <c r="K236" s="2" t="n">
        <f aca="false">INDEX(Segmentation!$O$2:$O$301,MATCH($A236,Segmentation!$A$2:$A$301,0))</f>
        <v>1</v>
      </c>
      <c r="L236" s="2" t="n">
        <f aca="false">INDEX(Segmentation!$Q$2:$Q$301,MATCH($A236,Segmentation!$A$2:$A$301,0))</f>
        <v>1</v>
      </c>
      <c r="M236" s="2" t="n">
        <f aca="false">INDEX(Segmentation!$W$2:$W$301,MATCH($A236,Segmentation!$A$2:$A$301,0))</f>
        <v>1</v>
      </c>
      <c r="N236" s="2" t="str">
        <f aca="false">INDEX(Segmentation!$AF$2:$AF$301,MATCH($A236,Segmentation!$A$2:$A$301,0))</f>
        <v>New Customer</v>
      </c>
      <c r="O236" s="2" t="n">
        <f aca="false">INDEX(Segmentation!$R$2:$R$301,MATCH($A236,Segmentation!$A$2:$A$301,0))</f>
        <v>41</v>
      </c>
      <c r="P236" s="2" t="n">
        <v>308</v>
      </c>
      <c r="Q236" s="2" t="n">
        <f aca="false">INDEX(Segmentation!$S$2:$S$301,MATCH($A236,Segmentation!$A$2:$A$301,0))</f>
        <v>1</v>
      </c>
      <c r="R236" s="2" t="n">
        <v>10</v>
      </c>
      <c r="S236" s="2" t="n">
        <v>0</v>
      </c>
      <c r="T236" s="2" t="n">
        <v>0</v>
      </c>
      <c r="U236" s="2" t="n">
        <v>1</v>
      </c>
      <c r="V236" s="2" t="n">
        <v>100</v>
      </c>
      <c r="W236" s="2" t="str">
        <f aca="false">IF(V236=100,"Bundle-only",IF(V236=0,"Handpick-only","Mixed"))</f>
        <v>Bundle-only</v>
      </c>
      <c r="X236" s="17" t="n">
        <f aca="false">L236/K236</f>
        <v>1</v>
      </c>
      <c r="Y236" s="9" t="n">
        <f aca="false">J236/K236</f>
        <v>384</v>
      </c>
      <c r="Z236" s="10" t="b">
        <f aca="false">O236&gt;=Assumptions!$B$57</f>
        <v>1</v>
      </c>
      <c r="AA236" s="10" t="b">
        <f aca="false">P236&gt;=Assumptions!$B$58</f>
        <v>1</v>
      </c>
      <c r="AB236" s="10" t="b">
        <f aca="false">Q236&gt;=Assumptions!$B$59</f>
        <v>0</v>
      </c>
      <c r="AC236" s="2" t="n">
        <f aca="false">Z236*1+AA236*1+AB236*1</f>
        <v>2</v>
      </c>
      <c r="AD236" s="2" t="str">
        <f aca="false">IF(E236="Broker-Reliant","Broker-led, product-blind",IF(AND(I236="Low",F236&lt;&gt;"Tail",OR(G236="Declining",G236="Lapsed"),OR(O236&gt;=Assumptions!$B$60,P236&gt;=Assumptions!$B$61)),"Engaged but shrinking (Key/Core)",IF(AND(O236&gt;=Assumptions!$B$60,P236&gt;=Assumptions!$B$61,Q236&gt;=Assumptions!$B$62,K236&gt;=Assumptions!$B$63),"Independent browser-buyer",IF(AND(OR(O236&gt;=Assumptions!$B$60,P236&gt;=Assumptions!$B$61),K236&lt;=2),"Engaged, not converting",IF(AND(K236=1,O236&lt;Assumptions!$B$60,P236&lt;Assumptions!$B$61),"One-off low-touch buyer","Light-touch repeat buyer")))))</f>
        <v>Engaged, not converting</v>
      </c>
      <c r="AE236" s="10" t="b">
        <f aca="false">INDEX(Segmentation!$AW$2:$AW$301,MATCH($A236,Segmentation!$A$2:$A$301,0))</f>
        <v>0</v>
      </c>
    </row>
    <row r="237" customFormat="false" ht="15" hidden="false" customHeight="false" outlineLevel="0" collapsed="false">
      <c r="A237" s="2" t="s">
        <v>734</v>
      </c>
      <c r="B237" s="2" t="s">
        <v>1574</v>
      </c>
      <c r="C237" s="2" t="s">
        <v>1640</v>
      </c>
      <c r="D237" s="2" t="s">
        <v>1658</v>
      </c>
      <c r="E237" s="2" t="str">
        <f aca="false">INDEX(Segmentation!$H$2:$H$301,MATCH($A237,Segmentation!$A$2:$A$301,0))</f>
        <v>Self-Serve</v>
      </c>
      <c r="F237" s="2" t="str">
        <f aca="false">INDEX(Segmentation!$J$2:$J$301,MATCH($A237,Segmentation!$A$2:$A$301,0))</f>
        <v>Tail</v>
      </c>
      <c r="G237" s="2" t="str">
        <f aca="false">INDEX(Segmentation!$N$2:$N$301,MATCH($A237,Segmentation!$A$2:$A$301,0))</f>
        <v>H2 Active / No H1 GMV</v>
      </c>
      <c r="H237" s="2" t="str">
        <f aca="false">INDEX(Segmentation!$T$2:$T$301,MATCH($A237,Segmentation!$A$2:$A$301,0))</f>
        <v>9. Long-Tail Automated Nurture</v>
      </c>
      <c r="I237" s="2" t="str">
        <f aca="false">INDEX(Segmentation!$G$2:$G$301,MATCH($A237,Segmentation!$A$2:$A$301,0))</f>
        <v>Low</v>
      </c>
      <c r="J237" s="9" t="n">
        <f aca="false">INDEX(Segmentation!$I$2:$I$301,MATCH($A237,Segmentation!$A$2:$A$301,0))</f>
        <v>371</v>
      </c>
      <c r="K237" s="2" t="n">
        <f aca="false">INDEX(Segmentation!$O$2:$O$301,MATCH($A237,Segmentation!$A$2:$A$301,0))</f>
        <v>1</v>
      </c>
      <c r="L237" s="2" t="n">
        <f aca="false">INDEX(Segmentation!$Q$2:$Q$301,MATCH($A237,Segmentation!$A$2:$A$301,0))</f>
        <v>1</v>
      </c>
      <c r="M237" s="2" t="n">
        <f aca="false">INDEX(Segmentation!$W$2:$W$301,MATCH($A237,Segmentation!$A$2:$A$301,0))</f>
        <v>1</v>
      </c>
      <c r="N237" s="2" t="str">
        <f aca="false">INDEX(Segmentation!$AF$2:$AF$301,MATCH($A237,Segmentation!$A$2:$A$301,0))</f>
        <v>New Customer</v>
      </c>
      <c r="O237" s="2" t="n">
        <f aca="false">INDEX(Segmentation!$R$2:$R$301,MATCH($A237,Segmentation!$A$2:$A$301,0))</f>
        <v>21</v>
      </c>
      <c r="P237" s="2" t="n">
        <v>570</v>
      </c>
      <c r="Q237" s="2" t="n">
        <f aca="false">INDEX(Segmentation!$S$2:$S$301,MATCH($A237,Segmentation!$A$2:$A$301,0))</f>
        <v>9</v>
      </c>
      <c r="R237" s="2" t="n">
        <v>3</v>
      </c>
      <c r="S237" s="2" t="n">
        <v>0</v>
      </c>
      <c r="T237" s="2" t="n">
        <v>0</v>
      </c>
      <c r="U237" s="2" t="n">
        <v>1</v>
      </c>
      <c r="V237" s="2" t="n">
        <v>100</v>
      </c>
      <c r="W237" s="2" t="str">
        <f aca="false">IF(V237=100,"Bundle-only",IF(V237=0,"Handpick-only","Mixed"))</f>
        <v>Bundle-only</v>
      </c>
      <c r="X237" s="17" t="n">
        <f aca="false">L237/K237</f>
        <v>1</v>
      </c>
      <c r="Y237" s="9" t="n">
        <f aca="false">J237/K237</f>
        <v>371</v>
      </c>
      <c r="Z237" s="10" t="b">
        <f aca="false">O237&gt;=Assumptions!$B$57</f>
        <v>1</v>
      </c>
      <c r="AA237" s="10" t="b">
        <f aca="false">P237&gt;=Assumptions!$B$58</f>
        <v>1</v>
      </c>
      <c r="AB237" s="10" t="b">
        <f aca="false">Q237&gt;=Assumptions!$B$59</f>
        <v>1</v>
      </c>
      <c r="AC237" s="2" t="n">
        <f aca="false">Z237*1+AA237*1+AB237*1</f>
        <v>3</v>
      </c>
      <c r="AD237" s="2" t="str">
        <f aca="false">IF(E237="Broker-Reliant","Broker-led, product-blind",IF(AND(I237="Low",F237&lt;&gt;"Tail",OR(G237="Declining",G237="Lapsed"),OR(O237&gt;=Assumptions!$B$60,P237&gt;=Assumptions!$B$61)),"Engaged but shrinking (Key/Core)",IF(AND(O237&gt;=Assumptions!$B$60,P237&gt;=Assumptions!$B$61,Q237&gt;=Assumptions!$B$62,K237&gt;=Assumptions!$B$63),"Independent browser-buyer",IF(AND(OR(O237&gt;=Assumptions!$B$60,P237&gt;=Assumptions!$B$61),K237&lt;=2),"Engaged, not converting",IF(AND(K237=1,O237&lt;Assumptions!$B$60,P237&lt;Assumptions!$B$61),"One-off low-touch buyer","Light-touch repeat buyer")))))</f>
        <v>Engaged, not converting</v>
      </c>
      <c r="AE237" s="10" t="b">
        <f aca="false">INDEX(Segmentation!$AW$2:$AW$301,MATCH($A237,Segmentation!$A$2:$A$301,0))</f>
        <v>0</v>
      </c>
    </row>
    <row r="238" customFormat="false" ht="15" hidden="false" customHeight="false" outlineLevel="0" collapsed="false">
      <c r="A238" s="2" t="s">
        <v>736</v>
      </c>
      <c r="B238" s="2" t="s">
        <v>1574</v>
      </c>
      <c r="C238" s="2" t="s">
        <v>1640</v>
      </c>
      <c r="D238" s="2" t="s">
        <v>1657</v>
      </c>
      <c r="E238" s="2" t="str">
        <f aca="false">INDEX(Segmentation!$H$2:$H$301,MATCH($A238,Segmentation!$A$2:$A$301,0))</f>
        <v>Self-Serve</v>
      </c>
      <c r="F238" s="2" t="str">
        <f aca="false">INDEX(Segmentation!$J$2:$J$301,MATCH($A238,Segmentation!$A$2:$A$301,0))</f>
        <v>Tail</v>
      </c>
      <c r="G238" s="2" t="str">
        <f aca="false">INDEX(Segmentation!$N$2:$N$301,MATCH($A238,Segmentation!$A$2:$A$301,0))</f>
        <v>H2 Active / No H1 GMV</v>
      </c>
      <c r="H238" s="2" t="str">
        <f aca="false">INDEX(Segmentation!$T$2:$T$301,MATCH($A238,Segmentation!$A$2:$A$301,0))</f>
        <v>9. Long-Tail Automated Nurture</v>
      </c>
      <c r="I238" s="2" t="str">
        <f aca="false">INDEX(Segmentation!$G$2:$G$301,MATCH($A238,Segmentation!$A$2:$A$301,0))</f>
        <v>Low</v>
      </c>
      <c r="J238" s="9" t="n">
        <f aca="false">INDEX(Segmentation!$I$2:$I$301,MATCH($A238,Segmentation!$A$2:$A$301,0))</f>
        <v>371</v>
      </c>
      <c r="K238" s="2" t="n">
        <f aca="false">INDEX(Segmentation!$O$2:$O$301,MATCH($A238,Segmentation!$A$2:$A$301,0))</f>
        <v>1</v>
      </c>
      <c r="L238" s="2" t="n">
        <f aca="false">INDEX(Segmentation!$Q$2:$Q$301,MATCH($A238,Segmentation!$A$2:$A$301,0))</f>
        <v>1</v>
      </c>
      <c r="M238" s="2" t="n">
        <f aca="false">INDEX(Segmentation!$W$2:$W$301,MATCH($A238,Segmentation!$A$2:$A$301,0))</f>
        <v>1</v>
      </c>
      <c r="N238" s="2" t="str">
        <f aca="false">INDEX(Segmentation!$AF$2:$AF$301,MATCH($A238,Segmentation!$A$2:$A$301,0))</f>
        <v>New Customer</v>
      </c>
      <c r="O238" s="2" t="n">
        <f aca="false">INDEX(Segmentation!$R$2:$R$301,MATCH($A238,Segmentation!$A$2:$A$301,0))</f>
        <v>4</v>
      </c>
      <c r="P238" s="2" t="n">
        <v>20</v>
      </c>
      <c r="Q238" s="2" t="n">
        <f aca="false">INDEX(Segmentation!$S$2:$S$301,MATCH($A238,Segmentation!$A$2:$A$301,0))</f>
        <v>0</v>
      </c>
      <c r="R238" s="2" t="n">
        <v>2</v>
      </c>
      <c r="S238" s="2" t="n">
        <v>0</v>
      </c>
      <c r="T238" s="2" t="n">
        <v>0</v>
      </c>
      <c r="U238" s="2" t="n">
        <v>1</v>
      </c>
      <c r="V238" s="2" t="n">
        <v>100</v>
      </c>
      <c r="W238" s="2" t="str">
        <f aca="false">IF(V238=100,"Bundle-only",IF(V238=0,"Handpick-only","Mixed"))</f>
        <v>Bundle-only</v>
      </c>
      <c r="X238" s="17" t="n">
        <f aca="false">L238/K238</f>
        <v>1</v>
      </c>
      <c r="Y238" s="9" t="n">
        <f aca="false">J238/K238</f>
        <v>371</v>
      </c>
      <c r="Z238" s="10" t="b">
        <f aca="false">O238&gt;=Assumptions!$B$57</f>
        <v>0</v>
      </c>
      <c r="AA238" s="10" t="b">
        <f aca="false">P238&gt;=Assumptions!$B$58</f>
        <v>0</v>
      </c>
      <c r="AB238" s="10" t="b">
        <f aca="false">Q238&gt;=Assumptions!$B$59</f>
        <v>0</v>
      </c>
      <c r="AC238" s="2" t="n">
        <f aca="false">Z238*1+AA238*1+AB238*1</f>
        <v>0</v>
      </c>
      <c r="AD238" s="2" t="str">
        <f aca="false">IF(E238="Broker-Reliant","Broker-led, product-blind",IF(AND(I238="Low",F238&lt;&gt;"Tail",OR(G238="Declining",G238="Lapsed"),OR(O238&gt;=Assumptions!$B$60,P238&gt;=Assumptions!$B$61)),"Engaged but shrinking (Key/Core)",IF(AND(O238&gt;=Assumptions!$B$60,P238&gt;=Assumptions!$B$61,Q238&gt;=Assumptions!$B$62,K238&gt;=Assumptions!$B$63),"Independent browser-buyer",IF(AND(OR(O238&gt;=Assumptions!$B$60,P238&gt;=Assumptions!$B$61),K238&lt;=2),"Engaged, not converting",IF(AND(K238=1,O238&lt;Assumptions!$B$60,P238&lt;Assumptions!$B$61),"One-off low-touch buyer","Light-touch repeat buyer")))))</f>
        <v>One-off low-touch buyer</v>
      </c>
      <c r="AE238" s="10" t="b">
        <f aca="false">INDEX(Segmentation!$AW$2:$AW$301,MATCH($A238,Segmentation!$A$2:$A$301,0))</f>
        <v>0</v>
      </c>
    </row>
    <row r="239" customFormat="false" ht="15" hidden="false" customHeight="false" outlineLevel="0" collapsed="false">
      <c r="A239" s="2" t="s">
        <v>748</v>
      </c>
      <c r="B239" s="2" t="s">
        <v>1574</v>
      </c>
      <c r="C239" s="2" t="s">
        <v>1640</v>
      </c>
      <c r="D239" s="2" t="s">
        <v>1657</v>
      </c>
      <c r="E239" s="2" t="str">
        <f aca="false">INDEX(Segmentation!$H$2:$H$301,MATCH($A239,Segmentation!$A$2:$A$301,0))</f>
        <v>Self-Serve</v>
      </c>
      <c r="F239" s="2" t="str">
        <f aca="false">INDEX(Segmentation!$J$2:$J$301,MATCH($A239,Segmentation!$A$2:$A$301,0))</f>
        <v>Tail</v>
      </c>
      <c r="G239" s="2" t="str">
        <f aca="false">INDEX(Segmentation!$N$2:$N$301,MATCH($A239,Segmentation!$A$2:$A$301,0))</f>
        <v>H2 Active / No H1 GMV</v>
      </c>
      <c r="H239" s="2" t="str">
        <f aca="false">INDEX(Segmentation!$T$2:$T$301,MATCH($A239,Segmentation!$A$2:$A$301,0))</f>
        <v>9. Long-Tail Automated Nurture</v>
      </c>
      <c r="I239" s="2" t="str">
        <f aca="false">INDEX(Segmentation!$G$2:$G$301,MATCH($A239,Segmentation!$A$2:$A$301,0))</f>
        <v>Low</v>
      </c>
      <c r="J239" s="9" t="n">
        <f aca="false">INDEX(Segmentation!$I$2:$I$301,MATCH($A239,Segmentation!$A$2:$A$301,0))</f>
        <v>353</v>
      </c>
      <c r="K239" s="2" t="n">
        <f aca="false">INDEX(Segmentation!$O$2:$O$301,MATCH($A239,Segmentation!$A$2:$A$301,0))</f>
        <v>1</v>
      </c>
      <c r="L239" s="2" t="n">
        <f aca="false">INDEX(Segmentation!$Q$2:$Q$301,MATCH($A239,Segmentation!$A$2:$A$301,0))</f>
        <v>1</v>
      </c>
      <c r="M239" s="2" t="n">
        <f aca="false">INDEX(Segmentation!$W$2:$W$301,MATCH($A239,Segmentation!$A$2:$A$301,0))</f>
        <v>1</v>
      </c>
      <c r="N239" s="2" t="str">
        <f aca="false">INDEX(Segmentation!$AF$2:$AF$301,MATCH($A239,Segmentation!$A$2:$A$301,0))</f>
        <v>New Customer</v>
      </c>
      <c r="O239" s="2" t="n">
        <f aca="false">INDEX(Segmentation!$R$2:$R$301,MATCH($A239,Segmentation!$A$2:$A$301,0))</f>
        <v>10</v>
      </c>
      <c r="P239" s="2" t="n">
        <v>69</v>
      </c>
      <c r="Q239" s="2" t="n">
        <f aca="false">INDEX(Segmentation!$S$2:$S$301,MATCH($A239,Segmentation!$A$2:$A$301,0))</f>
        <v>0</v>
      </c>
      <c r="R239" s="2" t="n">
        <v>1</v>
      </c>
      <c r="S239" s="2" t="n">
        <v>0</v>
      </c>
      <c r="T239" s="2" t="n">
        <v>0</v>
      </c>
      <c r="U239" s="2" t="n">
        <v>1</v>
      </c>
      <c r="V239" s="2" t="n">
        <v>100</v>
      </c>
      <c r="W239" s="2" t="str">
        <f aca="false">IF(V239=100,"Bundle-only",IF(V239=0,"Handpick-only","Mixed"))</f>
        <v>Bundle-only</v>
      </c>
      <c r="X239" s="17" t="n">
        <f aca="false">L239/K239</f>
        <v>1</v>
      </c>
      <c r="Y239" s="9" t="n">
        <f aca="false">J239/K239</f>
        <v>353</v>
      </c>
      <c r="Z239" s="10" t="b">
        <f aca="false">O239&gt;=Assumptions!$B$57</f>
        <v>1</v>
      </c>
      <c r="AA239" s="10" t="b">
        <f aca="false">P239&gt;=Assumptions!$B$58</f>
        <v>1</v>
      </c>
      <c r="AB239" s="10" t="b">
        <f aca="false">Q239&gt;=Assumptions!$B$59</f>
        <v>0</v>
      </c>
      <c r="AC239" s="2" t="n">
        <f aca="false">Z239*1+AA239*1+AB239*1</f>
        <v>2</v>
      </c>
      <c r="AD239" s="2" t="str">
        <f aca="false">IF(E239="Broker-Reliant","Broker-led, product-blind",IF(AND(I239="Low",F239&lt;&gt;"Tail",OR(G239="Declining",G239="Lapsed"),OR(O239&gt;=Assumptions!$B$60,P239&gt;=Assumptions!$B$61)),"Engaged but shrinking (Key/Core)",IF(AND(O239&gt;=Assumptions!$B$60,P239&gt;=Assumptions!$B$61,Q239&gt;=Assumptions!$B$62,K239&gt;=Assumptions!$B$63),"Independent browser-buyer",IF(AND(OR(O239&gt;=Assumptions!$B$60,P239&gt;=Assumptions!$B$61),K239&lt;=2),"Engaged, not converting",IF(AND(K239=1,O239&lt;Assumptions!$B$60,P239&lt;Assumptions!$B$61),"One-off low-touch buyer","Light-touch repeat buyer")))))</f>
        <v>One-off low-touch buyer</v>
      </c>
      <c r="AE239" s="10" t="b">
        <f aca="false">INDEX(Segmentation!$AW$2:$AW$301,MATCH($A239,Segmentation!$A$2:$A$301,0))</f>
        <v>0</v>
      </c>
    </row>
    <row r="240" customFormat="false" ht="15" hidden="false" customHeight="false" outlineLevel="0" collapsed="false">
      <c r="A240" s="2" t="s">
        <v>752</v>
      </c>
      <c r="B240" s="2" t="s">
        <v>1574</v>
      </c>
      <c r="C240" s="2" t="s">
        <v>1640</v>
      </c>
      <c r="D240" s="2" t="s">
        <v>1654</v>
      </c>
      <c r="E240" s="2" t="str">
        <f aca="false">INDEX(Segmentation!$H$2:$H$301,MATCH($A240,Segmentation!$A$2:$A$301,0))</f>
        <v>Self-Serve</v>
      </c>
      <c r="F240" s="2" t="str">
        <f aca="false">INDEX(Segmentation!$J$2:$J$301,MATCH($A240,Segmentation!$A$2:$A$301,0))</f>
        <v>Tail</v>
      </c>
      <c r="G240" s="2" t="str">
        <f aca="false">INDEX(Segmentation!$N$2:$N$301,MATCH($A240,Segmentation!$A$2:$A$301,0))</f>
        <v>Lapsed</v>
      </c>
      <c r="H240" s="2" t="str">
        <f aca="false">INDEX(Segmentation!$T$2:$T$301,MATCH($A240,Segmentation!$A$2:$A$301,0))</f>
        <v>9. Long-Tail Automated Nurture</v>
      </c>
      <c r="I240" s="2" t="str">
        <f aca="false">INDEX(Segmentation!$G$2:$G$301,MATCH($A240,Segmentation!$A$2:$A$301,0))</f>
        <v>Low</v>
      </c>
      <c r="J240" s="9" t="n">
        <f aca="false">INDEX(Segmentation!$I$2:$I$301,MATCH($A240,Segmentation!$A$2:$A$301,0))</f>
        <v>345</v>
      </c>
      <c r="K240" s="2" t="n">
        <f aca="false">INDEX(Segmentation!$O$2:$O$301,MATCH($A240,Segmentation!$A$2:$A$301,0))</f>
        <v>1</v>
      </c>
      <c r="L240" s="2" t="n">
        <f aca="false">INDEX(Segmentation!$Q$2:$Q$301,MATCH($A240,Segmentation!$A$2:$A$301,0))</f>
        <v>1</v>
      </c>
      <c r="M240" s="2" t="n">
        <f aca="false">INDEX(Segmentation!$W$2:$W$301,MATCH($A240,Segmentation!$A$2:$A$301,0))</f>
        <v>1</v>
      </c>
      <c r="N240" s="2" t="str">
        <f aca="false">INDEX(Segmentation!$AF$2:$AF$301,MATCH($A240,Segmentation!$A$2:$A$301,0))</f>
        <v>Existing Customer</v>
      </c>
      <c r="O240" s="2" t="n">
        <f aca="false">INDEX(Segmentation!$R$2:$R$301,MATCH($A240,Segmentation!$A$2:$A$301,0))</f>
        <v>1</v>
      </c>
      <c r="P240" s="2" t="n">
        <v>34</v>
      </c>
      <c r="Q240" s="2" t="n">
        <f aca="false">INDEX(Segmentation!$S$2:$S$301,MATCH($A240,Segmentation!$A$2:$A$301,0))</f>
        <v>2</v>
      </c>
      <c r="R240" s="2" t="n">
        <v>1</v>
      </c>
      <c r="S240" s="2" t="n">
        <v>0</v>
      </c>
      <c r="T240" s="2" t="n">
        <v>0</v>
      </c>
      <c r="U240" s="2" t="n">
        <v>1</v>
      </c>
      <c r="V240" s="2" t="n">
        <v>100</v>
      </c>
      <c r="W240" s="2" t="str">
        <f aca="false">IF(V240=100,"Bundle-only",IF(V240=0,"Handpick-only","Mixed"))</f>
        <v>Bundle-only</v>
      </c>
      <c r="X240" s="17" t="n">
        <f aca="false">L240/K240</f>
        <v>1</v>
      </c>
      <c r="Y240" s="9" t="n">
        <f aca="false">J240/K240</f>
        <v>345</v>
      </c>
      <c r="Z240" s="10" t="b">
        <f aca="false">O240&gt;=Assumptions!$B$57</f>
        <v>0</v>
      </c>
      <c r="AA240" s="10" t="b">
        <f aca="false">P240&gt;=Assumptions!$B$58</f>
        <v>0</v>
      </c>
      <c r="AB240" s="10" t="b">
        <f aca="false">Q240&gt;=Assumptions!$B$59</f>
        <v>0</v>
      </c>
      <c r="AC240" s="2" t="n">
        <f aca="false">Z240*1+AA240*1+AB240*1</f>
        <v>0</v>
      </c>
      <c r="AD240" s="2" t="str">
        <f aca="false">IF(E240="Broker-Reliant","Broker-led, product-blind",IF(AND(I240="Low",F240&lt;&gt;"Tail",OR(G240="Declining",G240="Lapsed"),OR(O240&gt;=Assumptions!$B$60,P240&gt;=Assumptions!$B$61)),"Engaged but shrinking (Key/Core)",IF(AND(O240&gt;=Assumptions!$B$60,P240&gt;=Assumptions!$B$61,Q240&gt;=Assumptions!$B$62,K240&gt;=Assumptions!$B$63),"Independent browser-buyer",IF(AND(OR(O240&gt;=Assumptions!$B$60,P240&gt;=Assumptions!$B$61),K240&lt;=2),"Engaged, not converting",IF(AND(K240=1,O240&lt;Assumptions!$B$60,P240&lt;Assumptions!$B$61),"One-off low-touch buyer","Light-touch repeat buyer")))))</f>
        <v>One-off low-touch buyer</v>
      </c>
      <c r="AE240" s="10" t="b">
        <f aca="false">INDEX(Segmentation!$AW$2:$AW$301,MATCH($A240,Segmentation!$A$2:$A$301,0))</f>
        <v>0</v>
      </c>
    </row>
    <row r="241" customFormat="false" ht="15" hidden="false" customHeight="false" outlineLevel="0" collapsed="false">
      <c r="A241" s="2" t="s">
        <v>756</v>
      </c>
      <c r="B241" s="2" t="s">
        <v>1574</v>
      </c>
      <c r="C241" s="2" t="s">
        <v>1640</v>
      </c>
      <c r="D241" s="2" t="s">
        <v>1653</v>
      </c>
      <c r="E241" s="2" t="str">
        <f aca="false">INDEX(Segmentation!$H$2:$H$301,MATCH($A241,Segmentation!$A$2:$A$301,0))</f>
        <v>Self-Serve</v>
      </c>
      <c r="F241" s="2" t="str">
        <f aca="false">INDEX(Segmentation!$J$2:$J$301,MATCH($A241,Segmentation!$A$2:$A$301,0))</f>
        <v>Tail</v>
      </c>
      <c r="G241" s="2" t="str">
        <f aca="false">INDEX(Segmentation!$N$2:$N$301,MATCH($A241,Segmentation!$A$2:$A$301,0))</f>
        <v>H2 Active / No H1 GMV</v>
      </c>
      <c r="H241" s="2" t="str">
        <f aca="false">INDEX(Segmentation!$T$2:$T$301,MATCH($A241,Segmentation!$A$2:$A$301,0))</f>
        <v>9. Long-Tail Automated Nurture</v>
      </c>
      <c r="I241" s="2" t="str">
        <f aca="false">INDEX(Segmentation!$G$2:$G$301,MATCH($A241,Segmentation!$A$2:$A$301,0))</f>
        <v>Low</v>
      </c>
      <c r="J241" s="9" t="n">
        <f aca="false">INDEX(Segmentation!$I$2:$I$301,MATCH($A241,Segmentation!$A$2:$A$301,0))</f>
        <v>337</v>
      </c>
      <c r="K241" s="2" t="n">
        <f aca="false">INDEX(Segmentation!$O$2:$O$301,MATCH($A241,Segmentation!$A$2:$A$301,0))</f>
        <v>1</v>
      </c>
      <c r="L241" s="2" t="n">
        <f aca="false">INDEX(Segmentation!$Q$2:$Q$301,MATCH($A241,Segmentation!$A$2:$A$301,0))</f>
        <v>1</v>
      </c>
      <c r="M241" s="2" t="n">
        <f aca="false">INDEX(Segmentation!$W$2:$W$301,MATCH($A241,Segmentation!$A$2:$A$301,0))</f>
        <v>1</v>
      </c>
      <c r="N241" s="2" t="str">
        <f aca="false">INDEX(Segmentation!$AF$2:$AF$301,MATCH($A241,Segmentation!$A$2:$A$301,0))</f>
        <v>New Customer</v>
      </c>
      <c r="O241" s="2" t="n">
        <f aca="false">INDEX(Segmentation!$R$2:$R$301,MATCH($A241,Segmentation!$A$2:$A$301,0))</f>
        <v>8</v>
      </c>
      <c r="P241" s="2" t="n">
        <v>35</v>
      </c>
      <c r="Q241" s="2" t="n">
        <f aca="false">INDEX(Segmentation!$S$2:$S$301,MATCH($A241,Segmentation!$A$2:$A$301,0))</f>
        <v>0</v>
      </c>
      <c r="R241" s="2" t="n">
        <v>0</v>
      </c>
      <c r="S241" s="2" t="n">
        <v>0</v>
      </c>
      <c r="T241" s="2" t="n">
        <v>0</v>
      </c>
      <c r="U241" s="2" t="n">
        <v>1</v>
      </c>
      <c r="V241" s="2" t="n">
        <v>100</v>
      </c>
      <c r="W241" s="2" t="str">
        <f aca="false">IF(V241=100,"Bundle-only",IF(V241=0,"Handpick-only","Mixed"))</f>
        <v>Bundle-only</v>
      </c>
      <c r="X241" s="17" t="n">
        <f aca="false">L241/K241</f>
        <v>1</v>
      </c>
      <c r="Y241" s="9" t="n">
        <f aca="false">J241/K241</f>
        <v>337</v>
      </c>
      <c r="Z241" s="10" t="b">
        <f aca="false">O241&gt;=Assumptions!$B$57</f>
        <v>0</v>
      </c>
      <c r="AA241" s="10" t="b">
        <f aca="false">P241&gt;=Assumptions!$B$58</f>
        <v>0</v>
      </c>
      <c r="AB241" s="10" t="b">
        <f aca="false">Q241&gt;=Assumptions!$B$59</f>
        <v>0</v>
      </c>
      <c r="AC241" s="2" t="n">
        <f aca="false">Z241*1+AA241*1+AB241*1</f>
        <v>0</v>
      </c>
      <c r="AD241" s="2" t="str">
        <f aca="false">IF(E241="Broker-Reliant","Broker-led, product-blind",IF(AND(I241="Low",F241&lt;&gt;"Tail",OR(G241="Declining",G241="Lapsed"),OR(O241&gt;=Assumptions!$B$60,P241&gt;=Assumptions!$B$61)),"Engaged but shrinking (Key/Core)",IF(AND(O241&gt;=Assumptions!$B$60,P241&gt;=Assumptions!$B$61,Q241&gt;=Assumptions!$B$62,K241&gt;=Assumptions!$B$63),"Independent browser-buyer",IF(AND(OR(O241&gt;=Assumptions!$B$60,P241&gt;=Assumptions!$B$61),K241&lt;=2),"Engaged, not converting",IF(AND(K241=1,O241&lt;Assumptions!$B$60,P241&lt;Assumptions!$B$61),"One-off low-touch buyer","Light-touch repeat buyer")))))</f>
        <v>One-off low-touch buyer</v>
      </c>
      <c r="AE241" s="10" t="b">
        <f aca="false">INDEX(Segmentation!$AW$2:$AW$301,MATCH($A241,Segmentation!$A$2:$A$301,0))</f>
        <v>0</v>
      </c>
    </row>
    <row r="242" customFormat="false" ht="15" hidden="false" customHeight="false" outlineLevel="0" collapsed="false">
      <c r="A242" s="2" t="s">
        <v>758</v>
      </c>
      <c r="B242" s="2" t="s">
        <v>1574</v>
      </c>
      <c r="C242" s="2" t="s">
        <v>1640</v>
      </c>
      <c r="D242" s="2" t="s">
        <v>1657</v>
      </c>
      <c r="E242" s="2" t="str">
        <f aca="false">INDEX(Segmentation!$H$2:$H$301,MATCH($A242,Segmentation!$A$2:$A$301,0))</f>
        <v>Self-Serve</v>
      </c>
      <c r="F242" s="2" t="str">
        <f aca="false">INDEX(Segmentation!$J$2:$J$301,MATCH($A242,Segmentation!$A$2:$A$301,0))</f>
        <v>Tail</v>
      </c>
      <c r="G242" s="2" t="str">
        <f aca="false">INDEX(Segmentation!$N$2:$N$301,MATCH($A242,Segmentation!$A$2:$A$301,0))</f>
        <v>Lapsed</v>
      </c>
      <c r="H242" s="2" t="str">
        <f aca="false">INDEX(Segmentation!$T$2:$T$301,MATCH($A242,Segmentation!$A$2:$A$301,0))</f>
        <v>9. Long-Tail Automated Nurture</v>
      </c>
      <c r="I242" s="2" t="str">
        <f aca="false">INDEX(Segmentation!$G$2:$G$301,MATCH($A242,Segmentation!$A$2:$A$301,0))</f>
        <v>Low</v>
      </c>
      <c r="J242" s="9" t="n">
        <f aca="false">INDEX(Segmentation!$I$2:$I$301,MATCH($A242,Segmentation!$A$2:$A$301,0))</f>
        <v>336</v>
      </c>
      <c r="K242" s="2" t="n">
        <f aca="false">INDEX(Segmentation!$O$2:$O$301,MATCH($A242,Segmentation!$A$2:$A$301,0))</f>
        <v>1</v>
      </c>
      <c r="L242" s="2" t="n">
        <f aca="false">INDEX(Segmentation!$Q$2:$Q$301,MATCH($A242,Segmentation!$A$2:$A$301,0))</f>
        <v>1</v>
      </c>
      <c r="M242" s="2" t="n">
        <f aca="false">INDEX(Segmentation!$W$2:$W$301,MATCH($A242,Segmentation!$A$2:$A$301,0))</f>
        <v>1</v>
      </c>
      <c r="N242" s="2" t="str">
        <f aca="false">INDEX(Segmentation!$AF$2:$AF$301,MATCH($A242,Segmentation!$A$2:$A$301,0))</f>
        <v>Existing Customer</v>
      </c>
      <c r="O242" s="2" t="n">
        <f aca="false">INDEX(Segmentation!$R$2:$R$301,MATCH($A242,Segmentation!$A$2:$A$301,0))</f>
        <v>7</v>
      </c>
      <c r="P242" s="2" t="n">
        <v>73</v>
      </c>
      <c r="Q242" s="2" t="n">
        <f aca="false">INDEX(Segmentation!$S$2:$S$301,MATCH($A242,Segmentation!$A$2:$A$301,0))</f>
        <v>0</v>
      </c>
      <c r="R242" s="2" t="n">
        <v>1</v>
      </c>
      <c r="S242" s="2" t="n">
        <v>0</v>
      </c>
      <c r="T242" s="2" t="n">
        <v>0</v>
      </c>
      <c r="U242" s="2" t="n">
        <v>1</v>
      </c>
      <c r="V242" s="2" t="n">
        <v>100</v>
      </c>
      <c r="W242" s="2" t="str">
        <f aca="false">IF(V242=100,"Bundle-only",IF(V242=0,"Handpick-only","Mixed"))</f>
        <v>Bundle-only</v>
      </c>
      <c r="X242" s="17" t="n">
        <f aca="false">L242/K242</f>
        <v>1</v>
      </c>
      <c r="Y242" s="9" t="n">
        <f aca="false">J242/K242</f>
        <v>336</v>
      </c>
      <c r="Z242" s="10" t="b">
        <f aca="false">O242&gt;=Assumptions!$B$57</f>
        <v>0</v>
      </c>
      <c r="AA242" s="10" t="b">
        <f aca="false">P242&gt;=Assumptions!$B$58</f>
        <v>1</v>
      </c>
      <c r="AB242" s="10" t="b">
        <f aca="false">Q242&gt;=Assumptions!$B$59</f>
        <v>0</v>
      </c>
      <c r="AC242" s="2" t="n">
        <f aca="false">Z242*1+AA242*1+AB242*1</f>
        <v>1</v>
      </c>
      <c r="AD242" s="2" t="str">
        <f aca="false">IF(E242="Broker-Reliant","Broker-led, product-blind",IF(AND(I242="Low",F242&lt;&gt;"Tail",OR(G242="Declining",G242="Lapsed"),OR(O242&gt;=Assumptions!$B$60,P242&gt;=Assumptions!$B$61)),"Engaged but shrinking (Key/Core)",IF(AND(O242&gt;=Assumptions!$B$60,P242&gt;=Assumptions!$B$61,Q242&gt;=Assumptions!$B$62,K242&gt;=Assumptions!$B$63),"Independent browser-buyer",IF(AND(OR(O242&gt;=Assumptions!$B$60,P242&gt;=Assumptions!$B$61),K242&lt;=2),"Engaged, not converting",IF(AND(K242=1,O242&lt;Assumptions!$B$60,P242&lt;Assumptions!$B$61),"One-off low-touch buyer","Light-touch repeat buyer")))))</f>
        <v>One-off low-touch buyer</v>
      </c>
      <c r="AE242" s="10" t="b">
        <f aca="false">INDEX(Segmentation!$AW$2:$AW$301,MATCH($A242,Segmentation!$A$2:$A$301,0))</f>
        <v>0</v>
      </c>
    </row>
    <row r="243" customFormat="false" ht="15" hidden="false" customHeight="false" outlineLevel="0" collapsed="false">
      <c r="A243" s="2" t="s">
        <v>760</v>
      </c>
      <c r="B243" s="2" t="s">
        <v>1574</v>
      </c>
      <c r="C243" s="2" t="s">
        <v>1640</v>
      </c>
      <c r="D243" s="2" t="s">
        <v>1657</v>
      </c>
      <c r="E243" s="2" t="str">
        <f aca="false">INDEX(Segmentation!$H$2:$H$301,MATCH($A243,Segmentation!$A$2:$A$301,0))</f>
        <v>Self-Serve</v>
      </c>
      <c r="F243" s="2" t="str">
        <f aca="false">INDEX(Segmentation!$J$2:$J$301,MATCH($A243,Segmentation!$A$2:$A$301,0))</f>
        <v>Tail</v>
      </c>
      <c r="G243" s="2" t="str">
        <f aca="false">INDEX(Segmentation!$N$2:$N$301,MATCH($A243,Segmentation!$A$2:$A$301,0))</f>
        <v>H2 Active / No H1 GMV</v>
      </c>
      <c r="H243" s="2" t="str">
        <f aca="false">INDEX(Segmentation!$T$2:$T$301,MATCH($A243,Segmentation!$A$2:$A$301,0))</f>
        <v>9. Long-Tail Automated Nurture</v>
      </c>
      <c r="I243" s="2" t="str">
        <f aca="false">INDEX(Segmentation!$G$2:$G$301,MATCH($A243,Segmentation!$A$2:$A$301,0))</f>
        <v>Low</v>
      </c>
      <c r="J243" s="9" t="n">
        <f aca="false">INDEX(Segmentation!$I$2:$I$301,MATCH($A243,Segmentation!$A$2:$A$301,0))</f>
        <v>332</v>
      </c>
      <c r="K243" s="2" t="n">
        <f aca="false">INDEX(Segmentation!$O$2:$O$301,MATCH($A243,Segmentation!$A$2:$A$301,0))</f>
        <v>1</v>
      </c>
      <c r="L243" s="2" t="n">
        <f aca="false">INDEX(Segmentation!$Q$2:$Q$301,MATCH($A243,Segmentation!$A$2:$A$301,0))</f>
        <v>1</v>
      </c>
      <c r="M243" s="2" t="n">
        <f aca="false">INDEX(Segmentation!$W$2:$W$301,MATCH($A243,Segmentation!$A$2:$A$301,0))</f>
        <v>1</v>
      </c>
      <c r="N243" s="2" t="str">
        <f aca="false">INDEX(Segmentation!$AF$2:$AF$301,MATCH($A243,Segmentation!$A$2:$A$301,0))</f>
        <v>New Customer</v>
      </c>
      <c r="O243" s="2" t="n">
        <f aca="false">INDEX(Segmentation!$R$2:$R$301,MATCH($A243,Segmentation!$A$2:$A$301,0))</f>
        <v>2</v>
      </c>
      <c r="P243" s="2" t="n">
        <v>21</v>
      </c>
      <c r="Q243" s="2" t="n">
        <f aca="false">INDEX(Segmentation!$S$2:$S$301,MATCH($A243,Segmentation!$A$2:$A$301,0))</f>
        <v>1</v>
      </c>
      <c r="R243" s="2" t="n">
        <v>1</v>
      </c>
      <c r="S243" s="2" t="n">
        <v>0</v>
      </c>
      <c r="T243" s="2" t="n">
        <v>0</v>
      </c>
      <c r="U243" s="2" t="n">
        <v>1</v>
      </c>
      <c r="V243" s="2" t="n">
        <v>100</v>
      </c>
      <c r="W243" s="2" t="str">
        <f aca="false">IF(V243=100,"Bundle-only",IF(V243=0,"Handpick-only","Mixed"))</f>
        <v>Bundle-only</v>
      </c>
      <c r="X243" s="17" t="n">
        <f aca="false">L243/K243</f>
        <v>1</v>
      </c>
      <c r="Y243" s="9" t="n">
        <f aca="false">J243/K243</f>
        <v>332</v>
      </c>
      <c r="Z243" s="10" t="b">
        <f aca="false">O243&gt;=Assumptions!$B$57</f>
        <v>0</v>
      </c>
      <c r="AA243" s="10" t="b">
        <f aca="false">P243&gt;=Assumptions!$B$58</f>
        <v>0</v>
      </c>
      <c r="AB243" s="10" t="b">
        <f aca="false">Q243&gt;=Assumptions!$B$59</f>
        <v>0</v>
      </c>
      <c r="AC243" s="2" t="n">
        <f aca="false">Z243*1+AA243*1+AB243*1</f>
        <v>0</v>
      </c>
      <c r="AD243" s="2" t="str">
        <f aca="false">IF(E243="Broker-Reliant","Broker-led, product-blind",IF(AND(I243="Low",F243&lt;&gt;"Tail",OR(G243="Declining",G243="Lapsed"),OR(O243&gt;=Assumptions!$B$60,P243&gt;=Assumptions!$B$61)),"Engaged but shrinking (Key/Core)",IF(AND(O243&gt;=Assumptions!$B$60,P243&gt;=Assumptions!$B$61,Q243&gt;=Assumptions!$B$62,K243&gt;=Assumptions!$B$63),"Independent browser-buyer",IF(AND(OR(O243&gt;=Assumptions!$B$60,P243&gt;=Assumptions!$B$61),K243&lt;=2),"Engaged, not converting",IF(AND(K243=1,O243&lt;Assumptions!$B$60,P243&lt;Assumptions!$B$61),"One-off low-touch buyer","Light-touch repeat buyer")))))</f>
        <v>One-off low-touch buyer</v>
      </c>
      <c r="AE243" s="10" t="b">
        <f aca="false">INDEX(Segmentation!$AW$2:$AW$301,MATCH($A243,Segmentation!$A$2:$A$301,0))</f>
        <v>0</v>
      </c>
    </row>
    <row r="244" customFormat="false" ht="15" hidden="false" customHeight="false" outlineLevel="0" collapsed="false">
      <c r="A244" s="2" t="s">
        <v>766</v>
      </c>
      <c r="B244" s="2" t="s">
        <v>1574</v>
      </c>
      <c r="C244" s="2" t="s">
        <v>1640</v>
      </c>
      <c r="D244" s="2" t="s">
        <v>1658</v>
      </c>
      <c r="E244" s="2" t="str">
        <f aca="false">INDEX(Segmentation!$H$2:$H$301,MATCH($A244,Segmentation!$A$2:$A$301,0))</f>
        <v>Self-Serve</v>
      </c>
      <c r="F244" s="2" t="str">
        <f aca="false">INDEX(Segmentation!$J$2:$J$301,MATCH($A244,Segmentation!$A$2:$A$301,0))</f>
        <v>Tail</v>
      </c>
      <c r="G244" s="2" t="str">
        <f aca="false">INDEX(Segmentation!$N$2:$N$301,MATCH($A244,Segmentation!$A$2:$A$301,0))</f>
        <v>H2 Active / No H1 GMV</v>
      </c>
      <c r="H244" s="2" t="str">
        <f aca="false">INDEX(Segmentation!$T$2:$T$301,MATCH($A244,Segmentation!$A$2:$A$301,0))</f>
        <v>9. Long-Tail Automated Nurture</v>
      </c>
      <c r="I244" s="2" t="str">
        <f aca="false">INDEX(Segmentation!$G$2:$G$301,MATCH($A244,Segmentation!$A$2:$A$301,0))</f>
        <v>Low</v>
      </c>
      <c r="J244" s="9" t="n">
        <f aca="false">INDEX(Segmentation!$I$2:$I$301,MATCH($A244,Segmentation!$A$2:$A$301,0))</f>
        <v>322</v>
      </c>
      <c r="K244" s="2" t="n">
        <f aca="false">INDEX(Segmentation!$O$2:$O$301,MATCH($A244,Segmentation!$A$2:$A$301,0))</f>
        <v>1</v>
      </c>
      <c r="L244" s="2" t="n">
        <f aca="false">INDEX(Segmentation!$Q$2:$Q$301,MATCH($A244,Segmentation!$A$2:$A$301,0))</f>
        <v>1</v>
      </c>
      <c r="M244" s="2" t="n">
        <f aca="false">INDEX(Segmentation!$W$2:$W$301,MATCH($A244,Segmentation!$A$2:$A$301,0))</f>
        <v>1</v>
      </c>
      <c r="N244" s="2" t="str">
        <f aca="false">INDEX(Segmentation!$AF$2:$AF$301,MATCH($A244,Segmentation!$A$2:$A$301,0))</f>
        <v>New Customer</v>
      </c>
      <c r="O244" s="2" t="n">
        <f aca="false">INDEX(Segmentation!$R$2:$R$301,MATCH($A244,Segmentation!$A$2:$A$301,0))</f>
        <v>4</v>
      </c>
      <c r="P244" s="2" t="n">
        <v>15</v>
      </c>
      <c r="Q244" s="2" t="n">
        <f aca="false">INDEX(Segmentation!$S$2:$S$301,MATCH($A244,Segmentation!$A$2:$A$301,0))</f>
        <v>0</v>
      </c>
      <c r="R244" s="2" t="n">
        <v>1</v>
      </c>
      <c r="S244" s="2" t="n">
        <v>0</v>
      </c>
      <c r="T244" s="2" t="n">
        <v>0</v>
      </c>
      <c r="U244" s="2" t="n">
        <v>1</v>
      </c>
      <c r="V244" s="2" t="n">
        <v>100</v>
      </c>
      <c r="W244" s="2" t="str">
        <f aca="false">IF(V244=100,"Bundle-only",IF(V244=0,"Handpick-only","Mixed"))</f>
        <v>Bundle-only</v>
      </c>
      <c r="X244" s="17" t="n">
        <f aca="false">L244/K244</f>
        <v>1</v>
      </c>
      <c r="Y244" s="9" t="n">
        <f aca="false">J244/K244</f>
        <v>322</v>
      </c>
      <c r="Z244" s="10" t="b">
        <f aca="false">O244&gt;=Assumptions!$B$57</f>
        <v>0</v>
      </c>
      <c r="AA244" s="10" t="b">
        <f aca="false">P244&gt;=Assumptions!$B$58</f>
        <v>0</v>
      </c>
      <c r="AB244" s="10" t="b">
        <f aca="false">Q244&gt;=Assumptions!$B$59</f>
        <v>0</v>
      </c>
      <c r="AC244" s="2" t="n">
        <f aca="false">Z244*1+AA244*1+AB244*1</f>
        <v>0</v>
      </c>
      <c r="AD244" s="2" t="str">
        <f aca="false">IF(E244="Broker-Reliant","Broker-led, product-blind",IF(AND(I244="Low",F244&lt;&gt;"Tail",OR(G244="Declining",G244="Lapsed"),OR(O244&gt;=Assumptions!$B$60,P244&gt;=Assumptions!$B$61)),"Engaged but shrinking (Key/Core)",IF(AND(O244&gt;=Assumptions!$B$60,P244&gt;=Assumptions!$B$61,Q244&gt;=Assumptions!$B$62,K244&gt;=Assumptions!$B$63),"Independent browser-buyer",IF(AND(OR(O244&gt;=Assumptions!$B$60,P244&gt;=Assumptions!$B$61),K244&lt;=2),"Engaged, not converting",IF(AND(K244=1,O244&lt;Assumptions!$B$60,P244&lt;Assumptions!$B$61),"One-off low-touch buyer","Light-touch repeat buyer")))))</f>
        <v>One-off low-touch buyer</v>
      </c>
      <c r="AE244" s="10" t="b">
        <f aca="false">INDEX(Segmentation!$AW$2:$AW$301,MATCH($A244,Segmentation!$A$2:$A$301,0))</f>
        <v>0</v>
      </c>
    </row>
    <row r="245" customFormat="false" ht="15" hidden="false" customHeight="false" outlineLevel="0" collapsed="false">
      <c r="A245" s="2" t="s">
        <v>770</v>
      </c>
      <c r="B245" s="2" t="s">
        <v>1574</v>
      </c>
      <c r="C245" s="2" t="s">
        <v>1640</v>
      </c>
      <c r="D245" s="2" t="s">
        <v>1653</v>
      </c>
      <c r="E245" s="2" t="str">
        <f aca="false">INDEX(Segmentation!$H$2:$H$301,MATCH($A245,Segmentation!$A$2:$A$301,0))</f>
        <v>Self-Serve</v>
      </c>
      <c r="F245" s="2" t="str">
        <f aca="false">INDEX(Segmentation!$J$2:$J$301,MATCH($A245,Segmentation!$A$2:$A$301,0))</f>
        <v>Tail</v>
      </c>
      <c r="G245" s="2" t="str">
        <f aca="false">INDEX(Segmentation!$N$2:$N$301,MATCH($A245,Segmentation!$A$2:$A$301,0))</f>
        <v>Lapsed</v>
      </c>
      <c r="H245" s="2" t="str">
        <f aca="false">INDEX(Segmentation!$T$2:$T$301,MATCH($A245,Segmentation!$A$2:$A$301,0))</f>
        <v>9. Long-Tail Automated Nurture</v>
      </c>
      <c r="I245" s="2" t="str">
        <f aca="false">INDEX(Segmentation!$G$2:$G$301,MATCH($A245,Segmentation!$A$2:$A$301,0))</f>
        <v>Low</v>
      </c>
      <c r="J245" s="9" t="n">
        <f aca="false">INDEX(Segmentation!$I$2:$I$301,MATCH($A245,Segmentation!$A$2:$A$301,0))</f>
        <v>316</v>
      </c>
      <c r="K245" s="2" t="n">
        <f aca="false">INDEX(Segmentation!$O$2:$O$301,MATCH($A245,Segmentation!$A$2:$A$301,0))</f>
        <v>1</v>
      </c>
      <c r="L245" s="2" t="n">
        <f aca="false">INDEX(Segmentation!$Q$2:$Q$301,MATCH($A245,Segmentation!$A$2:$A$301,0))</f>
        <v>1</v>
      </c>
      <c r="M245" s="2" t="n">
        <f aca="false">INDEX(Segmentation!$W$2:$W$301,MATCH($A245,Segmentation!$A$2:$A$301,0))</f>
        <v>1</v>
      </c>
      <c r="N245" s="2" t="str">
        <f aca="false">INDEX(Segmentation!$AF$2:$AF$301,MATCH($A245,Segmentation!$A$2:$A$301,0))</f>
        <v>Existing Customer</v>
      </c>
      <c r="O245" s="2" t="n">
        <f aca="false">INDEX(Segmentation!$R$2:$R$301,MATCH($A245,Segmentation!$A$2:$A$301,0))</f>
        <v>10</v>
      </c>
      <c r="P245" s="2" t="n">
        <v>87</v>
      </c>
      <c r="Q245" s="2" t="n">
        <f aca="false">INDEX(Segmentation!$S$2:$S$301,MATCH($A245,Segmentation!$A$2:$A$301,0))</f>
        <v>0</v>
      </c>
      <c r="R245" s="2" t="n">
        <v>0</v>
      </c>
      <c r="S245" s="2" t="n">
        <v>0</v>
      </c>
      <c r="T245" s="2" t="n">
        <v>0</v>
      </c>
      <c r="U245" s="2" t="n">
        <v>1</v>
      </c>
      <c r="V245" s="2" t="n">
        <v>100</v>
      </c>
      <c r="W245" s="2" t="str">
        <f aca="false">IF(V245=100,"Bundle-only",IF(V245=0,"Handpick-only","Mixed"))</f>
        <v>Bundle-only</v>
      </c>
      <c r="X245" s="17" t="n">
        <f aca="false">L245/K245</f>
        <v>1</v>
      </c>
      <c r="Y245" s="9" t="n">
        <f aca="false">J245/K245</f>
        <v>316</v>
      </c>
      <c r="Z245" s="10" t="b">
        <f aca="false">O245&gt;=Assumptions!$B$57</f>
        <v>1</v>
      </c>
      <c r="AA245" s="10" t="b">
        <f aca="false">P245&gt;=Assumptions!$B$58</f>
        <v>1</v>
      </c>
      <c r="AB245" s="10" t="b">
        <f aca="false">Q245&gt;=Assumptions!$B$59</f>
        <v>0</v>
      </c>
      <c r="AC245" s="2" t="n">
        <f aca="false">Z245*1+AA245*1+AB245*1</f>
        <v>2</v>
      </c>
      <c r="AD245" s="2" t="str">
        <f aca="false">IF(E245="Broker-Reliant","Broker-led, product-blind",IF(AND(I245="Low",F245&lt;&gt;"Tail",OR(G245="Declining",G245="Lapsed"),OR(O245&gt;=Assumptions!$B$60,P245&gt;=Assumptions!$B$61)),"Engaged but shrinking (Key/Core)",IF(AND(O245&gt;=Assumptions!$B$60,P245&gt;=Assumptions!$B$61,Q245&gt;=Assumptions!$B$62,K245&gt;=Assumptions!$B$63),"Independent browser-buyer",IF(AND(OR(O245&gt;=Assumptions!$B$60,P245&gt;=Assumptions!$B$61),K245&lt;=2),"Engaged, not converting",IF(AND(K245=1,O245&lt;Assumptions!$B$60,P245&lt;Assumptions!$B$61),"One-off low-touch buyer","Light-touch repeat buyer")))))</f>
        <v>One-off low-touch buyer</v>
      </c>
      <c r="AE245" s="10" t="b">
        <f aca="false">INDEX(Segmentation!$AW$2:$AW$301,MATCH($A245,Segmentation!$A$2:$A$301,0))</f>
        <v>0</v>
      </c>
    </row>
    <row r="246" customFormat="false" ht="15" hidden="false" customHeight="false" outlineLevel="0" collapsed="false">
      <c r="A246" s="2" t="s">
        <v>776</v>
      </c>
      <c r="B246" s="2" t="s">
        <v>1574</v>
      </c>
      <c r="C246" s="2" t="s">
        <v>1640</v>
      </c>
      <c r="D246" s="2" t="s">
        <v>1653</v>
      </c>
      <c r="E246" s="2" t="str">
        <f aca="false">INDEX(Segmentation!$H$2:$H$301,MATCH($A246,Segmentation!$A$2:$A$301,0))</f>
        <v>Self-Serve</v>
      </c>
      <c r="F246" s="2" t="str">
        <f aca="false">INDEX(Segmentation!$J$2:$J$301,MATCH($A246,Segmentation!$A$2:$A$301,0))</f>
        <v>Tail</v>
      </c>
      <c r="G246" s="2" t="str">
        <f aca="false">INDEX(Segmentation!$N$2:$N$301,MATCH($A246,Segmentation!$A$2:$A$301,0))</f>
        <v>Lapsed</v>
      </c>
      <c r="H246" s="2" t="str">
        <f aca="false">INDEX(Segmentation!$T$2:$T$301,MATCH($A246,Segmentation!$A$2:$A$301,0))</f>
        <v>9. Long-Tail Automated Nurture</v>
      </c>
      <c r="I246" s="2" t="str">
        <f aca="false">INDEX(Segmentation!$G$2:$G$301,MATCH($A246,Segmentation!$A$2:$A$301,0))</f>
        <v>Low</v>
      </c>
      <c r="J246" s="9" t="n">
        <f aca="false">INDEX(Segmentation!$I$2:$I$301,MATCH($A246,Segmentation!$A$2:$A$301,0))</f>
        <v>312</v>
      </c>
      <c r="K246" s="2" t="n">
        <f aca="false">INDEX(Segmentation!$O$2:$O$301,MATCH($A246,Segmentation!$A$2:$A$301,0))</f>
        <v>2</v>
      </c>
      <c r="L246" s="2" t="n">
        <f aca="false">INDEX(Segmentation!$Q$2:$Q$301,MATCH($A246,Segmentation!$A$2:$A$301,0))</f>
        <v>2</v>
      </c>
      <c r="M246" s="2" t="n">
        <f aca="false">INDEX(Segmentation!$W$2:$W$301,MATCH($A246,Segmentation!$A$2:$A$301,0))</f>
        <v>1</v>
      </c>
      <c r="N246" s="2" t="str">
        <f aca="false">INDEX(Segmentation!$AF$2:$AF$301,MATCH($A246,Segmentation!$A$2:$A$301,0))</f>
        <v>Existing Customer</v>
      </c>
      <c r="O246" s="2" t="n">
        <f aca="false">INDEX(Segmentation!$R$2:$R$301,MATCH($A246,Segmentation!$A$2:$A$301,0))</f>
        <v>22</v>
      </c>
      <c r="P246" s="2" t="n">
        <v>211</v>
      </c>
      <c r="Q246" s="2" t="n">
        <f aca="false">INDEX(Segmentation!$S$2:$S$301,MATCH($A246,Segmentation!$A$2:$A$301,0))</f>
        <v>4</v>
      </c>
      <c r="R246" s="2" t="n">
        <v>3</v>
      </c>
      <c r="S246" s="2" t="n">
        <v>0</v>
      </c>
      <c r="T246" s="2" t="n">
        <v>0</v>
      </c>
      <c r="U246" s="2" t="n">
        <v>2</v>
      </c>
      <c r="V246" s="2" t="n">
        <v>100</v>
      </c>
      <c r="W246" s="2" t="str">
        <f aca="false">IF(V246=100,"Bundle-only",IF(V246=0,"Handpick-only","Mixed"))</f>
        <v>Bundle-only</v>
      </c>
      <c r="X246" s="17" t="n">
        <f aca="false">L246/K246</f>
        <v>1</v>
      </c>
      <c r="Y246" s="9" t="n">
        <f aca="false">J246/K246</f>
        <v>156</v>
      </c>
      <c r="Z246" s="10" t="b">
        <f aca="false">O246&gt;=Assumptions!$B$57</f>
        <v>1</v>
      </c>
      <c r="AA246" s="10" t="b">
        <f aca="false">P246&gt;=Assumptions!$B$58</f>
        <v>1</v>
      </c>
      <c r="AB246" s="10" t="b">
        <f aca="false">Q246&gt;=Assumptions!$B$59</f>
        <v>1</v>
      </c>
      <c r="AC246" s="2" t="n">
        <f aca="false">Z246*1+AA246*1+AB246*1</f>
        <v>3</v>
      </c>
      <c r="AD246" s="2" t="str">
        <f aca="false">IF(E246="Broker-Reliant","Broker-led, product-blind",IF(AND(I246="Low",F246&lt;&gt;"Tail",OR(G246="Declining",G246="Lapsed"),OR(O246&gt;=Assumptions!$B$60,P246&gt;=Assumptions!$B$61)),"Engaged but shrinking (Key/Core)",IF(AND(O246&gt;=Assumptions!$B$60,P246&gt;=Assumptions!$B$61,Q246&gt;=Assumptions!$B$62,K246&gt;=Assumptions!$B$63),"Independent browser-buyer",IF(AND(OR(O246&gt;=Assumptions!$B$60,P246&gt;=Assumptions!$B$61),K246&lt;=2),"Engaged, not converting",IF(AND(K246=1,O246&lt;Assumptions!$B$60,P246&lt;Assumptions!$B$61),"One-off low-touch buyer","Light-touch repeat buyer")))))</f>
        <v>Engaged, not converting</v>
      </c>
      <c r="AE246" s="10" t="b">
        <f aca="false">INDEX(Segmentation!$AW$2:$AW$301,MATCH($A246,Segmentation!$A$2:$A$301,0))</f>
        <v>0</v>
      </c>
    </row>
    <row r="247" customFormat="false" ht="15" hidden="false" customHeight="false" outlineLevel="0" collapsed="false">
      <c r="A247" s="2" t="s">
        <v>780</v>
      </c>
      <c r="B247" s="2" t="s">
        <v>1574</v>
      </c>
      <c r="C247" s="2" t="s">
        <v>1640</v>
      </c>
      <c r="D247" s="2" t="s">
        <v>1658</v>
      </c>
      <c r="E247" s="2" t="str">
        <f aca="false">INDEX(Segmentation!$H$2:$H$301,MATCH($A247,Segmentation!$A$2:$A$301,0))</f>
        <v>Self-Serve</v>
      </c>
      <c r="F247" s="2" t="str">
        <f aca="false">INDEX(Segmentation!$J$2:$J$301,MATCH($A247,Segmentation!$A$2:$A$301,0))</f>
        <v>Tail</v>
      </c>
      <c r="G247" s="2" t="str">
        <f aca="false">INDEX(Segmentation!$N$2:$N$301,MATCH($A247,Segmentation!$A$2:$A$301,0))</f>
        <v>H2 Active / No H1 GMV</v>
      </c>
      <c r="H247" s="2" t="str">
        <f aca="false">INDEX(Segmentation!$T$2:$T$301,MATCH($A247,Segmentation!$A$2:$A$301,0))</f>
        <v>9. Long-Tail Automated Nurture</v>
      </c>
      <c r="I247" s="2" t="str">
        <f aca="false">INDEX(Segmentation!$G$2:$G$301,MATCH($A247,Segmentation!$A$2:$A$301,0))</f>
        <v>Low</v>
      </c>
      <c r="J247" s="9" t="n">
        <f aca="false">INDEX(Segmentation!$I$2:$I$301,MATCH($A247,Segmentation!$A$2:$A$301,0))</f>
        <v>308</v>
      </c>
      <c r="K247" s="2" t="n">
        <f aca="false">INDEX(Segmentation!$O$2:$O$301,MATCH($A247,Segmentation!$A$2:$A$301,0))</f>
        <v>1</v>
      </c>
      <c r="L247" s="2" t="n">
        <f aca="false">INDEX(Segmentation!$Q$2:$Q$301,MATCH($A247,Segmentation!$A$2:$A$301,0))</f>
        <v>1</v>
      </c>
      <c r="M247" s="2" t="n">
        <f aca="false">INDEX(Segmentation!$W$2:$W$301,MATCH($A247,Segmentation!$A$2:$A$301,0))</f>
        <v>1</v>
      </c>
      <c r="N247" s="2" t="str">
        <f aca="false">INDEX(Segmentation!$AF$2:$AF$301,MATCH($A247,Segmentation!$A$2:$A$301,0))</f>
        <v>New Customer</v>
      </c>
      <c r="O247" s="2" t="n">
        <f aca="false">INDEX(Segmentation!$R$2:$R$301,MATCH($A247,Segmentation!$A$2:$A$301,0))</f>
        <v>1</v>
      </c>
      <c r="P247" s="2" t="n">
        <v>0</v>
      </c>
      <c r="Q247" s="2" t="n">
        <f aca="false">INDEX(Segmentation!$S$2:$S$301,MATCH($A247,Segmentation!$A$2:$A$301,0))</f>
        <v>4</v>
      </c>
      <c r="R247" s="2" t="n">
        <v>0</v>
      </c>
      <c r="S247" s="2" t="n">
        <v>0</v>
      </c>
      <c r="T247" s="2" t="n">
        <v>0</v>
      </c>
      <c r="U247" s="2" t="n">
        <v>1</v>
      </c>
      <c r="V247" s="2" t="n">
        <v>100</v>
      </c>
      <c r="W247" s="2" t="str">
        <f aca="false">IF(V247=100,"Bundle-only",IF(V247=0,"Handpick-only","Mixed"))</f>
        <v>Bundle-only</v>
      </c>
      <c r="X247" s="17" t="n">
        <f aca="false">L247/K247</f>
        <v>1</v>
      </c>
      <c r="Y247" s="9" t="n">
        <f aca="false">J247/K247</f>
        <v>308</v>
      </c>
      <c r="Z247" s="10" t="b">
        <f aca="false">O247&gt;=Assumptions!$B$57</f>
        <v>0</v>
      </c>
      <c r="AA247" s="10" t="b">
        <f aca="false">P247&gt;=Assumptions!$B$58</f>
        <v>0</v>
      </c>
      <c r="AB247" s="10" t="b">
        <f aca="false">Q247&gt;=Assumptions!$B$59</f>
        <v>1</v>
      </c>
      <c r="AC247" s="2" t="n">
        <f aca="false">Z247*1+AA247*1+AB247*1</f>
        <v>1</v>
      </c>
      <c r="AD247" s="2" t="str">
        <f aca="false">IF(E247="Broker-Reliant","Broker-led, product-blind",IF(AND(I247="Low",F247&lt;&gt;"Tail",OR(G247="Declining",G247="Lapsed"),OR(O247&gt;=Assumptions!$B$60,P247&gt;=Assumptions!$B$61)),"Engaged but shrinking (Key/Core)",IF(AND(O247&gt;=Assumptions!$B$60,P247&gt;=Assumptions!$B$61,Q247&gt;=Assumptions!$B$62,K247&gt;=Assumptions!$B$63),"Independent browser-buyer",IF(AND(OR(O247&gt;=Assumptions!$B$60,P247&gt;=Assumptions!$B$61),K247&lt;=2),"Engaged, not converting",IF(AND(K247=1,O247&lt;Assumptions!$B$60,P247&lt;Assumptions!$B$61),"One-off low-touch buyer","Light-touch repeat buyer")))))</f>
        <v>One-off low-touch buyer</v>
      </c>
      <c r="AE247" s="10" t="b">
        <f aca="false">INDEX(Segmentation!$AW$2:$AW$301,MATCH($A247,Segmentation!$A$2:$A$301,0))</f>
        <v>0</v>
      </c>
    </row>
    <row r="248" customFormat="false" ht="15" hidden="false" customHeight="false" outlineLevel="0" collapsed="false">
      <c r="A248" s="2" t="s">
        <v>786</v>
      </c>
      <c r="B248" s="2" t="s">
        <v>1574</v>
      </c>
      <c r="C248" s="2" t="s">
        <v>1640</v>
      </c>
      <c r="D248" s="2" t="s">
        <v>1657</v>
      </c>
      <c r="E248" s="2" t="str">
        <f aca="false">INDEX(Segmentation!$H$2:$H$301,MATCH($A248,Segmentation!$A$2:$A$301,0))</f>
        <v>Self-Serve</v>
      </c>
      <c r="F248" s="2" t="str">
        <f aca="false">INDEX(Segmentation!$J$2:$J$301,MATCH($A248,Segmentation!$A$2:$A$301,0))</f>
        <v>Tail</v>
      </c>
      <c r="G248" s="2" t="str">
        <f aca="false">INDEX(Segmentation!$N$2:$N$301,MATCH($A248,Segmentation!$A$2:$A$301,0))</f>
        <v>H2 Active / No H1 GMV</v>
      </c>
      <c r="H248" s="2" t="str">
        <f aca="false">INDEX(Segmentation!$T$2:$T$301,MATCH($A248,Segmentation!$A$2:$A$301,0))</f>
        <v>9. Long-Tail Automated Nurture</v>
      </c>
      <c r="I248" s="2" t="str">
        <f aca="false">INDEX(Segmentation!$G$2:$G$301,MATCH($A248,Segmentation!$A$2:$A$301,0))</f>
        <v>Low</v>
      </c>
      <c r="J248" s="9" t="n">
        <f aca="false">INDEX(Segmentation!$I$2:$I$301,MATCH($A248,Segmentation!$A$2:$A$301,0))</f>
        <v>304</v>
      </c>
      <c r="K248" s="2" t="n">
        <f aca="false">INDEX(Segmentation!$O$2:$O$301,MATCH($A248,Segmentation!$A$2:$A$301,0))</f>
        <v>1</v>
      </c>
      <c r="L248" s="2" t="n">
        <f aca="false">INDEX(Segmentation!$Q$2:$Q$301,MATCH($A248,Segmentation!$A$2:$A$301,0))</f>
        <v>1</v>
      </c>
      <c r="M248" s="2" t="n">
        <f aca="false">INDEX(Segmentation!$W$2:$W$301,MATCH($A248,Segmentation!$A$2:$A$301,0))</f>
        <v>1</v>
      </c>
      <c r="N248" s="2" t="str">
        <f aca="false">INDEX(Segmentation!$AF$2:$AF$301,MATCH($A248,Segmentation!$A$2:$A$301,0))</f>
        <v>New Customer</v>
      </c>
      <c r="O248" s="2" t="n">
        <f aca="false">INDEX(Segmentation!$R$2:$R$301,MATCH($A248,Segmentation!$A$2:$A$301,0))</f>
        <v>6</v>
      </c>
      <c r="P248" s="2" t="n">
        <v>161</v>
      </c>
      <c r="Q248" s="2" t="n">
        <f aca="false">INDEX(Segmentation!$S$2:$S$301,MATCH($A248,Segmentation!$A$2:$A$301,0))</f>
        <v>0</v>
      </c>
      <c r="R248" s="2" t="n">
        <v>3</v>
      </c>
      <c r="S248" s="2" t="n">
        <v>0</v>
      </c>
      <c r="T248" s="2" t="n">
        <v>0</v>
      </c>
      <c r="U248" s="2" t="n">
        <v>1</v>
      </c>
      <c r="V248" s="2" t="n">
        <v>100</v>
      </c>
      <c r="W248" s="2" t="str">
        <f aca="false">IF(V248=100,"Bundle-only",IF(V248=0,"Handpick-only","Mixed"))</f>
        <v>Bundle-only</v>
      </c>
      <c r="X248" s="17" t="n">
        <f aca="false">L248/K248</f>
        <v>1</v>
      </c>
      <c r="Y248" s="9" t="n">
        <f aca="false">J248/K248</f>
        <v>304</v>
      </c>
      <c r="Z248" s="10" t="b">
        <f aca="false">O248&gt;=Assumptions!$B$57</f>
        <v>0</v>
      </c>
      <c r="AA248" s="10" t="b">
        <f aca="false">P248&gt;=Assumptions!$B$58</f>
        <v>1</v>
      </c>
      <c r="AB248" s="10" t="b">
        <f aca="false">Q248&gt;=Assumptions!$B$59</f>
        <v>0</v>
      </c>
      <c r="AC248" s="2" t="n">
        <f aca="false">Z248*1+AA248*1+AB248*1</f>
        <v>1</v>
      </c>
      <c r="AD248" s="2" t="str">
        <f aca="false">IF(E248="Broker-Reliant","Broker-led, product-blind",IF(AND(I248="Low",F248&lt;&gt;"Tail",OR(G248="Declining",G248="Lapsed"),OR(O248&gt;=Assumptions!$B$60,P248&gt;=Assumptions!$B$61)),"Engaged but shrinking (Key/Core)",IF(AND(O248&gt;=Assumptions!$B$60,P248&gt;=Assumptions!$B$61,Q248&gt;=Assumptions!$B$62,K248&gt;=Assumptions!$B$63),"Independent browser-buyer",IF(AND(OR(O248&gt;=Assumptions!$B$60,P248&gt;=Assumptions!$B$61),K248&lt;=2),"Engaged, not converting",IF(AND(K248=1,O248&lt;Assumptions!$B$60,P248&lt;Assumptions!$B$61),"One-off low-touch buyer","Light-touch repeat buyer")))))</f>
        <v>One-off low-touch buyer</v>
      </c>
      <c r="AE248" s="10" t="b">
        <f aca="false">INDEX(Segmentation!$AW$2:$AW$301,MATCH($A248,Segmentation!$A$2:$A$301,0))</f>
        <v>0</v>
      </c>
    </row>
    <row r="249" customFormat="false" ht="15" hidden="false" customHeight="false" outlineLevel="0" collapsed="false">
      <c r="A249" s="2" t="s">
        <v>788</v>
      </c>
      <c r="B249" s="2" t="s">
        <v>1574</v>
      </c>
      <c r="C249" s="2" t="s">
        <v>1640</v>
      </c>
      <c r="D249" s="2" t="s">
        <v>1653</v>
      </c>
      <c r="E249" s="2" t="str">
        <f aca="false">INDEX(Segmentation!$H$2:$H$301,MATCH($A249,Segmentation!$A$2:$A$301,0))</f>
        <v>Self-Serve</v>
      </c>
      <c r="F249" s="2" t="str">
        <f aca="false">INDEX(Segmentation!$J$2:$J$301,MATCH($A249,Segmentation!$A$2:$A$301,0))</f>
        <v>Tail</v>
      </c>
      <c r="G249" s="2" t="str">
        <f aca="false">INDEX(Segmentation!$N$2:$N$301,MATCH($A249,Segmentation!$A$2:$A$301,0))</f>
        <v>Lapsed</v>
      </c>
      <c r="H249" s="2" t="str">
        <f aca="false">INDEX(Segmentation!$T$2:$T$301,MATCH($A249,Segmentation!$A$2:$A$301,0))</f>
        <v>9. Long-Tail Automated Nurture</v>
      </c>
      <c r="I249" s="2" t="str">
        <f aca="false">INDEX(Segmentation!$G$2:$G$301,MATCH($A249,Segmentation!$A$2:$A$301,0))</f>
        <v>Low</v>
      </c>
      <c r="J249" s="9" t="n">
        <f aca="false">INDEX(Segmentation!$I$2:$I$301,MATCH($A249,Segmentation!$A$2:$A$301,0))</f>
        <v>303</v>
      </c>
      <c r="K249" s="2" t="n">
        <f aca="false">INDEX(Segmentation!$O$2:$O$301,MATCH($A249,Segmentation!$A$2:$A$301,0))</f>
        <v>1</v>
      </c>
      <c r="L249" s="2" t="n">
        <f aca="false">INDEX(Segmentation!$Q$2:$Q$301,MATCH($A249,Segmentation!$A$2:$A$301,0))</f>
        <v>1</v>
      </c>
      <c r="M249" s="2" t="n">
        <f aca="false">INDEX(Segmentation!$W$2:$W$301,MATCH($A249,Segmentation!$A$2:$A$301,0))</f>
        <v>1</v>
      </c>
      <c r="N249" s="2" t="str">
        <f aca="false">INDEX(Segmentation!$AF$2:$AF$301,MATCH($A249,Segmentation!$A$2:$A$301,0))</f>
        <v>Existing Customer</v>
      </c>
      <c r="O249" s="2" t="n">
        <f aca="false">INDEX(Segmentation!$R$2:$R$301,MATCH($A249,Segmentation!$A$2:$A$301,0))</f>
        <v>4</v>
      </c>
      <c r="P249" s="2" t="n">
        <v>7</v>
      </c>
      <c r="Q249" s="2" t="n">
        <f aca="false">INDEX(Segmentation!$S$2:$S$301,MATCH($A249,Segmentation!$A$2:$A$301,0))</f>
        <v>0</v>
      </c>
      <c r="R249" s="2" t="n">
        <v>1</v>
      </c>
      <c r="S249" s="2" t="n">
        <v>0</v>
      </c>
      <c r="T249" s="2" t="n">
        <v>1</v>
      </c>
      <c r="U249" s="2" t="n">
        <v>0</v>
      </c>
      <c r="V249" s="2" t="n">
        <v>0</v>
      </c>
      <c r="W249" s="2" t="str">
        <f aca="false">IF(V249=100,"Bundle-only",IF(V249=0,"Handpick-only","Mixed"))</f>
        <v>Handpick-only</v>
      </c>
      <c r="X249" s="17" t="n">
        <f aca="false">L249/K249</f>
        <v>1</v>
      </c>
      <c r="Y249" s="9" t="n">
        <f aca="false">J249/K249</f>
        <v>303</v>
      </c>
      <c r="Z249" s="10" t="b">
        <f aca="false">O249&gt;=Assumptions!$B$57</f>
        <v>0</v>
      </c>
      <c r="AA249" s="10" t="b">
        <f aca="false">P249&gt;=Assumptions!$B$58</f>
        <v>0</v>
      </c>
      <c r="AB249" s="10" t="b">
        <f aca="false">Q249&gt;=Assumptions!$B$59</f>
        <v>0</v>
      </c>
      <c r="AC249" s="2" t="n">
        <f aca="false">Z249*1+AA249*1+AB249*1</f>
        <v>0</v>
      </c>
      <c r="AD249" s="2" t="str">
        <f aca="false">IF(E249="Broker-Reliant","Broker-led, product-blind",IF(AND(I249="Low",F249&lt;&gt;"Tail",OR(G249="Declining",G249="Lapsed"),OR(O249&gt;=Assumptions!$B$60,P249&gt;=Assumptions!$B$61)),"Engaged but shrinking (Key/Core)",IF(AND(O249&gt;=Assumptions!$B$60,P249&gt;=Assumptions!$B$61,Q249&gt;=Assumptions!$B$62,K249&gt;=Assumptions!$B$63),"Independent browser-buyer",IF(AND(OR(O249&gt;=Assumptions!$B$60,P249&gt;=Assumptions!$B$61),K249&lt;=2),"Engaged, not converting",IF(AND(K249=1,O249&lt;Assumptions!$B$60,P249&lt;Assumptions!$B$61),"One-off low-touch buyer","Light-touch repeat buyer")))))</f>
        <v>One-off low-touch buyer</v>
      </c>
      <c r="AE249" s="10" t="b">
        <f aca="false">INDEX(Segmentation!$AW$2:$AW$301,MATCH($A249,Segmentation!$A$2:$A$301,0))</f>
        <v>0</v>
      </c>
    </row>
    <row r="250" customFormat="false" ht="15" hidden="false" customHeight="false" outlineLevel="0" collapsed="false">
      <c r="A250" s="2" t="s">
        <v>792</v>
      </c>
      <c r="B250" s="2" t="s">
        <v>1574</v>
      </c>
      <c r="C250" s="2" t="s">
        <v>1640</v>
      </c>
      <c r="D250" s="2" t="s">
        <v>1653</v>
      </c>
      <c r="E250" s="2" t="str">
        <f aca="false">INDEX(Segmentation!$H$2:$H$301,MATCH($A250,Segmentation!$A$2:$A$301,0))</f>
        <v>Self-Serve</v>
      </c>
      <c r="F250" s="2" t="str">
        <f aca="false">INDEX(Segmentation!$J$2:$J$301,MATCH($A250,Segmentation!$A$2:$A$301,0))</f>
        <v>Tail</v>
      </c>
      <c r="G250" s="2" t="str">
        <f aca="false">INDEX(Segmentation!$N$2:$N$301,MATCH($A250,Segmentation!$A$2:$A$301,0))</f>
        <v>Lapsed</v>
      </c>
      <c r="H250" s="2" t="str">
        <f aca="false">INDEX(Segmentation!$T$2:$T$301,MATCH($A250,Segmentation!$A$2:$A$301,0))</f>
        <v>9. Long-Tail Automated Nurture</v>
      </c>
      <c r="I250" s="2" t="str">
        <f aca="false">INDEX(Segmentation!$G$2:$G$301,MATCH($A250,Segmentation!$A$2:$A$301,0))</f>
        <v>Low</v>
      </c>
      <c r="J250" s="9" t="n">
        <f aca="false">INDEX(Segmentation!$I$2:$I$301,MATCH($A250,Segmentation!$A$2:$A$301,0))</f>
        <v>298</v>
      </c>
      <c r="K250" s="2" t="n">
        <f aca="false">INDEX(Segmentation!$O$2:$O$301,MATCH($A250,Segmentation!$A$2:$A$301,0))</f>
        <v>1</v>
      </c>
      <c r="L250" s="2" t="n">
        <f aca="false">INDEX(Segmentation!$Q$2:$Q$301,MATCH($A250,Segmentation!$A$2:$A$301,0))</f>
        <v>1</v>
      </c>
      <c r="M250" s="2" t="n">
        <f aca="false">INDEX(Segmentation!$W$2:$W$301,MATCH($A250,Segmentation!$A$2:$A$301,0))</f>
        <v>1</v>
      </c>
      <c r="N250" s="2" t="str">
        <f aca="false">INDEX(Segmentation!$AF$2:$AF$301,MATCH($A250,Segmentation!$A$2:$A$301,0))</f>
        <v>Existing Customer</v>
      </c>
      <c r="O250" s="2" t="n">
        <f aca="false">INDEX(Segmentation!$R$2:$R$301,MATCH($A250,Segmentation!$A$2:$A$301,0))</f>
        <v>13</v>
      </c>
      <c r="P250" s="2" t="n">
        <v>92</v>
      </c>
      <c r="Q250" s="2" t="n">
        <f aca="false">INDEX(Segmentation!$S$2:$S$301,MATCH($A250,Segmentation!$A$2:$A$301,0))</f>
        <v>1</v>
      </c>
      <c r="R250" s="2" t="n">
        <v>1</v>
      </c>
      <c r="S250" s="2" t="n">
        <v>0</v>
      </c>
      <c r="T250" s="2" t="n">
        <v>0</v>
      </c>
      <c r="U250" s="2" t="n">
        <v>1</v>
      </c>
      <c r="V250" s="2" t="n">
        <v>100</v>
      </c>
      <c r="W250" s="2" t="str">
        <f aca="false">IF(V250=100,"Bundle-only",IF(V250=0,"Handpick-only","Mixed"))</f>
        <v>Bundle-only</v>
      </c>
      <c r="X250" s="17" t="n">
        <f aca="false">L250/K250</f>
        <v>1</v>
      </c>
      <c r="Y250" s="9" t="n">
        <f aca="false">J250/K250</f>
        <v>298</v>
      </c>
      <c r="Z250" s="10" t="b">
        <f aca="false">O250&gt;=Assumptions!$B$57</f>
        <v>1</v>
      </c>
      <c r="AA250" s="10" t="b">
        <f aca="false">P250&gt;=Assumptions!$B$58</f>
        <v>1</v>
      </c>
      <c r="AB250" s="10" t="b">
        <f aca="false">Q250&gt;=Assumptions!$B$59</f>
        <v>0</v>
      </c>
      <c r="AC250" s="2" t="n">
        <f aca="false">Z250*1+AA250*1+AB250*1</f>
        <v>2</v>
      </c>
      <c r="AD250" s="2" t="str">
        <f aca="false">IF(E250="Broker-Reliant","Broker-led, product-blind",IF(AND(I250="Low",F250&lt;&gt;"Tail",OR(G250="Declining",G250="Lapsed"),OR(O250&gt;=Assumptions!$B$60,P250&gt;=Assumptions!$B$61)),"Engaged but shrinking (Key/Core)",IF(AND(O250&gt;=Assumptions!$B$60,P250&gt;=Assumptions!$B$61,Q250&gt;=Assumptions!$B$62,K250&gt;=Assumptions!$B$63),"Independent browser-buyer",IF(AND(OR(O250&gt;=Assumptions!$B$60,P250&gt;=Assumptions!$B$61),K250&lt;=2),"Engaged, not converting",IF(AND(K250=1,O250&lt;Assumptions!$B$60,P250&lt;Assumptions!$B$61),"One-off low-touch buyer","Light-touch repeat buyer")))))</f>
        <v>One-off low-touch buyer</v>
      </c>
      <c r="AE250" s="10" t="b">
        <f aca="false">INDEX(Segmentation!$AW$2:$AW$301,MATCH($A250,Segmentation!$A$2:$A$301,0))</f>
        <v>0</v>
      </c>
    </row>
    <row r="251" customFormat="false" ht="15" hidden="false" customHeight="false" outlineLevel="0" collapsed="false">
      <c r="A251" s="2" t="s">
        <v>796</v>
      </c>
      <c r="B251" s="2" t="s">
        <v>1574</v>
      </c>
      <c r="C251" s="2" t="s">
        <v>1640</v>
      </c>
      <c r="D251" s="2" t="s">
        <v>1657</v>
      </c>
      <c r="E251" s="2" t="str">
        <f aca="false">INDEX(Segmentation!$H$2:$H$301,MATCH($A251,Segmentation!$A$2:$A$301,0))</f>
        <v>Self-Serve</v>
      </c>
      <c r="F251" s="2" t="str">
        <f aca="false">INDEX(Segmentation!$J$2:$J$301,MATCH($A251,Segmentation!$A$2:$A$301,0))</f>
        <v>Tail</v>
      </c>
      <c r="G251" s="2" t="str">
        <f aca="false">INDEX(Segmentation!$N$2:$N$301,MATCH($A251,Segmentation!$A$2:$A$301,0))</f>
        <v>Lapsed</v>
      </c>
      <c r="H251" s="2" t="str">
        <f aca="false">INDEX(Segmentation!$T$2:$T$301,MATCH($A251,Segmentation!$A$2:$A$301,0))</f>
        <v>9. Long-Tail Automated Nurture</v>
      </c>
      <c r="I251" s="2" t="str">
        <f aca="false">INDEX(Segmentation!$G$2:$G$301,MATCH($A251,Segmentation!$A$2:$A$301,0))</f>
        <v>Low</v>
      </c>
      <c r="J251" s="9" t="n">
        <f aca="false">INDEX(Segmentation!$I$2:$I$301,MATCH($A251,Segmentation!$A$2:$A$301,0))</f>
        <v>294</v>
      </c>
      <c r="K251" s="2" t="n">
        <f aca="false">INDEX(Segmentation!$O$2:$O$301,MATCH($A251,Segmentation!$A$2:$A$301,0))</f>
        <v>1</v>
      </c>
      <c r="L251" s="2" t="n">
        <f aca="false">INDEX(Segmentation!$Q$2:$Q$301,MATCH($A251,Segmentation!$A$2:$A$301,0))</f>
        <v>1</v>
      </c>
      <c r="M251" s="2" t="n">
        <f aca="false">INDEX(Segmentation!$W$2:$W$301,MATCH($A251,Segmentation!$A$2:$A$301,0))</f>
        <v>1</v>
      </c>
      <c r="N251" s="2" t="str">
        <f aca="false">INDEX(Segmentation!$AF$2:$AF$301,MATCH($A251,Segmentation!$A$2:$A$301,0))</f>
        <v>Existing Customer</v>
      </c>
      <c r="O251" s="2" t="n">
        <f aca="false">INDEX(Segmentation!$R$2:$R$301,MATCH($A251,Segmentation!$A$2:$A$301,0))</f>
        <v>7</v>
      </c>
      <c r="P251" s="2" t="n">
        <v>103</v>
      </c>
      <c r="Q251" s="2" t="n">
        <f aca="false">INDEX(Segmentation!$S$2:$S$301,MATCH($A251,Segmentation!$A$2:$A$301,0))</f>
        <v>9</v>
      </c>
      <c r="R251" s="2" t="n">
        <v>2</v>
      </c>
      <c r="S251" s="2" t="n">
        <v>0</v>
      </c>
      <c r="T251" s="2" t="n">
        <v>0</v>
      </c>
      <c r="U251" s="2" t="n">
        <v>1</v>
      </c>
      <c r="V251" s="2" t="n">
        <v>100</v>
      </c>
      <c r="W251" s="2" t="str">
        <f aca="false">IF(V251=100,"Bundle-only",IF(V251=0,"Handpick-only","Mixed"))</f>
        <v>Bundle-only</v>
      </c>
      <c r="X251" s="17" t="n">
        <f aca="false">L251/K251</f>
        <v>1</v>
      </c>
      <c r="Y251" s="9" t="n">
        <f aca="false">J251/K251</f>
        <v>294</v>
      </c>
      <c r="Z251" s="10" t="b">
        <f aca="false">O251&gt;=Assumptions!$B$57</f>
        <v>0</v>
      </c>
      <c r="AA251" s="10" t="b">
        <f aca="false">P251&gt;=Assumptions!$B$58</f>
        <v>1</v>
      </c>
      <c r="AB251" s="10" t="b">
        <f aca="false">Q251&gt;=Assumptions!$B$59</f>
        <v>1</v>
      </c>
      <c r="AC251" s="2" t="n">
        <f aca="false">Z251*1+AA251*1+AB251*1</f>
        <v>2</v>
      </c>
      <c r="AD251" s="2" t="str">
        <f aca="false">IF(E251="Broker-Reliant","Broker-led, product-blind",IF(AND(I251="Low",F251&lt;&gt;"Tail",OR(G251="Declining",G251="Lapsed"),OR(O251&gt;=Assumptions!$B$60,P251&gt;=Assumptions!$B$61)),"Engaged but shrinking (Key/Core)",IF(AND(O251&gt;=Assumptions!$B$60,P251&gt;=Assumptions!$B$61,Q251&gt;=Assumptions!$B$62,K251&gt;=Assumptions!$B$63),"Independent browser-buyer",IF(AND(OR(O251&gt;=Assumptions!$B$60,P251&gt;=Assumptions!$B$61),K251&lt;=2),"Engaged, not converting",IF(AND(K251=1,O251&lt;Assumptions!$B$60,P251&lt;Assumptions!$B$61),"One-off low-touch buyer","Light-touch repeat buyer")))))</f>
        <v>One-off low-touch buyer</v>
      </c>
      <c r="AE251" s="10" t="b">
        <f aca="false">INDEX(Segmentation!$AW$2:$AW$301,MATCH($A251,Segmentation!$A$2:$A$301,0))</f>
        <v>0</v>
      </c>
    </row>
    <row r="252" customFormat="false" ht="15" hidden="false" customHeight="false" outlineLevel="0" collapsed="false">
      <c r="A252" s="2" t="s">
        <v>806</v>
      </c>
      <c r="B252" s="2" t="s">
        <v>1574</v>
      </c>
      <c r="C252" s="2" t="s">
        <v>1640</v>
      </c>
      <c r="D252" s="2" t="s">
        <v>1654</v>
      </c>
      <c r="E252" s="2" t="str">
        <f aca="false">INDEX(Segmentation!$H$2:$H$301,MATCH($A252,Segmentation!$A$2:$A$301,0))</f>
        <v>Self-Serve</v>
      </c>
      <c r="F252" s="2" t="str">
        <f aca="false">INDEX(Segmentation!$J$2:$J$301,MATCH($A252,Segmentation!$A$2:$A$301,0))</f>
        <v>Tail</v>
      </c>
      <c r="G252" s="2" t="str">
        <f aca="false">INDEX(Segmentation!$N$2:$N$301,MATCH($A252,Segmentation!$A$2:$A$301,0))</f>
        <v>Lapsed</v>
      </c>
      <c r="H252" s="2" t="str">
        <f aca="false">INDEX(Segmentation!$T$2:$T$301,MATCH($A252,Segmentation!$A$2:$A$301,0))</f>
        <v>9. Long-Tail Automated Nurture</v>
      </c>
      <c r="I252" s="2" t="str">
        <f aca="false">INDEX(Segmentation!$G$2:$G$301,MATCH($A252,Segmentation!$A$2:$A$301,0))</f>
        <v>Low</v>
      </c>
      <c r="J252" s="9" t="n">
        <f aca="false">INDEX(Segmentation!$I$2:$I$301,MATCH($A252,Segmentation!$A$2:$A$301,0))</f>
        <v>281</v>
      </c>
      <c r="K252" s="2" t="n">
        <f aca="false">INDEX(Segmentation!$O$2:$O$301,MATCH($A252,Segmentation!$A$2:$A$301,0))</f>
        <v>1</v>
      </c>
      <c r="L252" s="2" t="n">
        <f aca="false">INDEX(Segmentation!$Q$2:$Q$301,MATCH($A252,Segmentation!$A$2:$A$301,0))</f>
        <v>1</v>
      </c>
      <c r="M252" s="2" t="n">
        <f aca="false">INDEX(Segmentation!$W$2:$W$301,MATCH($A252,Segmentation!$A$2:$A$301,0))</f>
        <v>1</v>
      </c>
      <c r="N252" s="2" t="str">
        <f aca="false">INDEX(Segmentation!$AF$2:$AF$301,MATCH($A252,Segmentation!$A$2:$A$301,0))</f>
        <v>Existing Customer</v>
      </c>
      <c r="O252" s="2" t="n">
        <f aca="false">INDEX(Segmentation!$R$2:$R$301,MATCH($A252,Segmentation!$A$2:$A$301,0))</f>
        <v>18</v>
      </c>
      <c r="P252" s="2" t="n">
        <v>248</v>
      </c>
      <c r="Q252" s="2" t="n">
        <f aca="false">INDEX(Segmentation!$S$2:$S$301,MATCH($A252,Segmentation!$A$2:$A$301,0))</f>
        <v>2</v>
      </c>
      <c r="R252" s="2" t="n">
        <v>6</v>
      </c>
      <c r="S252" s="2" t="n">
        <v>1</v>
      </c>
      <c r="T252" s="2" t="n">
        <v>1</v>
      </c>
      <c r="U252" s="2" t="n">
        <v>0</v>
      </c>
      <c r="V252" s="2" t="n">
        <v>0</v>
      </c>
      <c r="W252" s="2" t="str">
        <f aca="false">IF(V252=100,"Bundle-only",IF(V252=0,"Handpick-only","Mixed"))</f>
        <v>Handpick-only</v>
      </c>
      <c r="X252" s="17" t="n">
        <f aca="false">L252/K252</f>
        <v>1</v>
      </c>
      <c r="Y252" s="9" t="n">
        <f aca="false">J252/K252</f>
        <v>281</v>
      </c>
      <c r="Z252" s="10" t="b">
        <f aca="false">O252&gt;=Assumptions!$B$57</f>
        <v>1</v>
      </c>
      <c r="AA252" s="10" t="b">
        <f aca="false">P252&gt;=Assumptions!$B$58</f>
        <v>1</v>
      </c>
      <c r="AB252" s="10" t="b">
        <f aca="false">Q252&gt;=Assumptions!$B$59</f>
        <v>0</v>
      </c>
      <c r="AC252" s="2" t="n">
        <f aca="false">Z252*1+AA252*1+AB252*1</f>
        <v>2</v>
      </c>
      <c r="AD252" s="2" t="str">
        <f aca="false">IF(E252="Broker-Reliant","Broker-led, product-blind",IF(AND(I252="Low",F252&lt;&gt;"Tail",OR(G252="Declining",G252="Lapsed"),OR(O252&gt;=Assumptions!$B$60,P252&gt;=Assumptions!$B$61)),"Engaged but shrinking (Key/Core)",IF(AND(O252&gt;=Assumptions!$B$60,P252&gt;=Assumptions!$B$61,Q252&gt;=Assumptions!$B$62,K252&gt;=Assumptions!$B$63),"Independent browser-buyer",IF(AND(OR(O252&gt;=Assumptions!$B$60,P252&gt;=Assumptions!$B$61),K252&lt;=2),"Engaged, not converting",IF(AND(K252=1,O252&lt;Assumptions!$B$60,P252&lt;Assumptions!$B$61),"One-off low-touch buyer","Light-touch repeat buyer")))))</f>
        <v>Engaged, not converting</v>
      </c>
      <c r="AE252" s="10" t="b">
        <f aca="false">INDEX(Segmentation!$AW$2:$AW$301,MATCH($A252,Segmentation!$A$2:$A$301,0))</f>
        <v>0</v>
      </c>
    </row>
    <row r="253" customFormat="false" ht="15" hidden="false" customHeight="false" outlineLevel="0" collapsed="false">
      <c r="A253" s="2" t="s">
        <v>808</v>
      </c>
      <c r="B253" s="2" t="s">
        <v>1574</v>
      </c>
      <c r="C253" s="2" t="s">
        <v>1640</v>
      </c>
      <c r="D253" s="2" t="s">
        <v>1653</v>
      </c>
      <c r="E253" s="2" t="str">
        <f aca="false">INDEX(Segmentation!$H$2:$H$301,MATCH($A253,Segmentation!$A$2:$A$301,0))</f>
        <v>Self-Serve</v>
      </c>
      <c r="F253" s="2" t="str">
        <f aca="false">INDEX(Segmentation!$J$2:$J$301,MATCH($A253,Segmentation!$A$2:$A$301,0))</f>
        <v>Tail</v>
      </c>
      <c r="G253" s="2" t="str">
        <f aca="false">INDEX(Segmentation!$N$2:$N$301,MATCH($A253,Segmentation!$A$2:$A$301,0))</f>
        <v>H2 Active / No H1 GMV</v>
      </c>
      <c r="H253" s="2" t="str">
        <f aca="false">INDEX(Segmentation!$T$2:$T$301,MATCH($A253,Segmentation!$A$2:$A$301,0))</f>
        <v>9. Long-Tail Automated Nurture</v>
      </c>
      <c r="I253" s="2" t="str">
        <f aca="false">INDEX(Segmentation!$G$2:$G$301,MATCH($A253,Segmentation!$A$2:$A$301,0))</f>
        <v>Low</v>
      </c>
      <c r="J253" s="9" t="n">
        <f aca="false">INDEX(Segmentation!$I$2:$I$301,MATCH($A253,Segmentation!$A$2:$A$301,0))</f>
        <v>279</v>
      </c>
      <c r="K253" s="2" t="n">
        <f aca="false">INDEX(Segmentation!$O$2:$O$301,MATCH($A253,Segmentation!$A$2:$A$301,0))</f>
        <v>1</v>
      </c>
      <c r="L253" s="2" t="n">
        <f aca="false">INDEX(Segmentation!$Q$2:$Q$301,MATCH($A253,Segmentation!$A$2:$A$301,0))</f>
        <v>1</v>
      </c>
      <c r="M253" s="2" t="n">
        <f aca="false">INDEX(Segmentation!$W$2:$W$301,MATCH($A253,Segmentation!$A$2:$A$301,0))</f>
        <v>1</v>
      </c>
      <c r="N253" s="2" t="str">
        <f aca="false">INDEX(Segmentation!$AF$2:$AF$301,MATCH($A253,Segmentation!$A$2:$A$301,0))</f>
        <v>New Customer</v>
      </c>
      <c r="O253" s="2" t="n">
        <f aca="false">INDEX(Segmentation!$R$2:$R$301,MATCH($A253,Segmentation!$A$2:$A$301,0))</f>
        <v>1</v>
      </c>
      <c r="P253" s="2" t="n">
        <v>0</v>
      </c>
      <c r="Q253" s="2" t="n">
        <f aca="false">INDEX(Segmentation!$S$2:$S$301,MATCH($A253,Segmentation!$A$2:$A$301,0))</f>
        <v>2</v>
      </c>
      <c r="R253" s="2" t="n">
        <v>0</v>
      </c>
      <c r="S253" s="2" t="n">
        <v>0</v>
      </c>
      <c r="T253" s="2" t="n">
        <v>0</v>
      </c>
      <c r="U253" s="2" t="n">
        <v>1</v>
      </c>
      <c r="V253" s="2" t="n">
        <v>100</v>
      </c>
      <c r="W253" s="2" t="str">
        <f aca="false">IF(V253=100,"Bundle-only",IF(V253=0,"Handpick-only","Mixed"))</f>
        <v>Bundle-only</v>
      </c>
      <c r="X253" s="17" t="n">
        <f aca="false">L253/K253</f>
        <v>1</v>
      </c>
      <c r="Y253" s="9" t="n">
        <f aca="false">J253/K253</f>
        <v>279</v>
      </c>
      <c r="Z253" s="10" t="b">
        <f aca="false">O253&gt;=Assumptions!$B$57</f>
        <v>0</v>
      </c>
      <c r="AA253" s="10" t="b">
        <f aca="false">P253&gt;=Assumptions!$B$58</f>
        <v>0</v>
      </c>
      <c r="AB253" s="10" t="b">
        <f aca="false">Q253&gt;=Assumptions!$B$59</f>
        <v>0</v>
      </c>
      <c r="AC253" s="2" t="n">
        <f aca="false">Z253*1+AA253*1+AB253*1</f>
        <v>0</v>
      </c>
      <c r="AD253" s="2" t="str">
        <f aca="false">IF(E253="Broker-Reliant","Broker-led, product-blind",IF(AND(I253="Low",F253&lt;&gt;"Tail",OR(G253="Declining",G253="Lapsed"),OR(O253&gt;=Assumptions!$B$60,P253&gt;=Assumptions!$B$61)),"Engaged but shrinking (Key/Core)",IF(AND(O253&gt;=Assumptions!$B$60,P253&gt;=Assumptions!$B$61,Q253&gt;=Assumptions!$B$62,K253&gt;=Assumptions!$B$63),"Independent browser-buyer",IF(AND(OR(O253&gt;=Assumptions!$B$60,P253&gt;=Assumptions!$B$61),K253&lt;=2),"Engaged, not converting",IF(AND(K253=1,O253&lt;Assumptions!$B$60,P253&lt;Assumptions!$B$61),"One-off low-touch buyer","Light-touch repeat buyer")))))</f>
        <v>One-off low-touch buyer</v>
      </c>
      <c r="AE253" s="10" t="b">
        <f aca="false">INDEX(Segmentation!$AW$2:$AW$301,MATCH($A253,Segmentation!$A$2:$A$301,0))</f>
        <v>0</v>
      </c>
    </row>
    <row r="254" customFormat="false" ht="15" hidden="false" customHeight="false" outlineLevel="0" collapsed="false">
      <c r="A254" s="2" t="s">
        <v>810</v>
      </c>
      <c r="B254" s="2" t="s">
        <v>1574</v>
      </c>
      <c r="C254" s="2" t="s">
        <v>1640</v>
      </c>
      <c r="D254" s="2" t="s">
        <v>1653</v>
      </c>
      <c r="E254" s="2" t="str">
        <f aca="false">INDEX(Segmentation!$H$2:$H$301,MATCH($A254,Segmentation!$A$2:$A$301,0))</f>
        <v>Self-Serve</v>
      </c>
      <c r="F254" s="2" t="str">
        <f aca="false">INDEX(Segmentation!$J$2:$J$301,MATCH($A254,Segmentation!$A$2:$A$301,0))</f>
        <v>Tail</v>
      </c>
      <c r="G254" s="2" t="str">
        <f aca="false">INDEX(Segmentation!$N$2:$N$301,MATCH($A254,Segmentation!$A$2:$A$301,0))</f>
        <v>H2 Active / No H1 GMV</v>
      </c>
      <c r="H254" s="2" t="str">
        <f aca="false">INDEX(Segmentation!$T$2:$T$301,MATCH($A254,Segmentation!$A$2:$A$301,0))</f>
        <v>9. Long-Tail Automated Nurture</v>
      </c>
      <c r="I254" s="2" t="str">
        <f aca="false">INDEX(Segmentation!$G$2:$G$301,MATCH($A254,Segmentation!$A$2:$A$301,0))</f>
        <v>Low</v>
      </c>
      <c r="J254" s="9" t="n">
        <f aca="false">INDEX(Segmentation!$I$2:$I$301,MATCH($A254,Segmentation!$A$2:$A$301,0))</f>
        <v>274</v>
      </c>
      <c r="K254" s="2" t="n">
        <f aca="false">INDEX(Segmentation!$O$2:$O$301,MATCH($A254,Segmentation!$A$2:$A$301,0))</f>
        <v>1</v>
      </c>
      <c r="L254" s="2" t="n">
        <f aca="false">INDEX(Segmentation!$Q$2:$Q$301,MATCH($A254,Segmentation!$A$2:$A$301,0))</f>
        <v>1</v>
      </c>
      <c r="M254" s="2" t="n">
        <f aca="false">INDEX(Segmentation!$W$2:$W$301,MATCH($A254,Segmentation!$A$2:$A$301,0))</f>
        <v>1</v>
      </c>
      <c r="N254" s="2" t="str">
        <f aca="false">INDEX(Segmentation!$AF$2:$AF$301,MATCH($A254,Segmentation!$A$2:$A$301,0))</f>
        <v>New Customer</v>
      </c>
      <c r="O254" s="2" t="n">
        <f aca="false">INDEX(Segmentation!$R$2:$R$301,MATCH($A254,Segmentation!$A$2:$A$301,0))</f>
        <v>3</v>
      </c>
      <c r="P254" s="2" t="n">
        <v>49</v>
      </c>
      <c r="Q254" s="2" t="n">
        <f aca="false">INDEX(Segmentation!$S$2:$S$301,MATCH($A254,Segmentation!$A$2:$A$301,0))</f>
        <v>1</v>
      </c>
      <c r="R254" s="2" t="n">
        <v>1</v>
      </c>
      <c r="S254" s="2" t="n">
        <v>0</v>
      </c>
      <c r="T254" s="2" t="n">
        <v>0</v>
      </c>
      <c r="U254" s="2" t="n">
        <v>1</v>
      </c>
      <c r="V254" s="2" t="n">
        <v>100</v>
      </c>
      <c r="W254" s="2" t="str">
        <f aca="false">IF(V254=100,"Bundle-only",IF(V254=0,"Handpick-only","Mixed"))</f>
        <v>Bundle-only</v>
      </c>
      <c r="X254" s="17" t="n">
        <f aca="false">L254/K254</f>
        <v>1</v>
      </c>
      <c r="Y254" s="9" t="n">
        <f aca="false">J254/K254</f>
        <v>274</v>
      </c>
      <c r="Z254" s="10" t="b">
        <f aca="false">O254&gt;=Assumptions!$B$57</f>
        <v>0</v>
      </c>
      <c r="AA254" s="10" t="b">
        <f aca="false">P254&gt;=Assumptions!$B$58</f>
        <v>0</v>
      </c>
      <c r="AB254" s="10" t="b">
        <f aca="false">Q254&gt;=Assumptions!$B$59</f>
        <v>0</v>
      </c>
      <c r="AC254" s="2" t="n">
        <f aca="false">Z254*1+AA254*1+AB254*1</f>
        <v>0</v>
      </c>
      <c r="AD254" s="2" t="str">
        <f aca="false">IF(E254="Broker-Reliant","Broker-led, product-blind",IF(AND(I254="Low",F254&lt;&gt;"Tail",OR(G254="Declining",G254="Lapsed"),OR(O254&gt;=Assumptions!$B$60,P254&gt;=Assumptions!$B$61)),"Engaged but shrinking (Key/Core)",IF(AND(O254&gt;=Assumptions!$B$60,P254&gt;=Assumptions!$B$61,Q254&gt;=Assumptions!$B$62,K254&gt;=Assumptions!$B$63),"Independent browser-buyer",IF(AND(OR(O254&gt;=Assumptions!$B$60,P254&gt;=Assumptions!$B$61),K254&lt;=2),"Engaged, not converting",IF(AND(K254=1,O254&lt;Assumptions!$B$60,P254&lt;Assumptions!$B$61),"One-off low-touch buyer","Light-touch repeat buyer")))))</f>
        <v>One-off low-touch buyer</v>
      </c>
      <c r="AE254" s="10" t="b">
        <f aca="false">INDEX(Segmentation!$AW$2:$AW$301,MATCH($A254,Segmentation!$A$2:$A$301,0))</f>
        <v>0</v>
      </c>
    </row>
    <row r="255" customFormat="false" ht="15" hidden="false" customHeight="false" outlineLevel="0" collapsed="false">
      <c r="A255" s="2" t="s">
        <v>816</v>
      </c>
      <c r="B255" s="2" t="s">
        <v>1574</v>
      </c>
      <c r="C255" s="2" t="s">
        <v>1640</v>
      </c>
      <c r="D255" s="2" t="s">
        <v>1653</v>
      </c>
      <c r="E255" s="2" t="str">
        <f aca="false">INDEX(Segmentation!$H$2:$H$301,MATCH($A255,Segmentation!$A$2:$A$301,0))</f>
        <v>Self-Serve</v>
      </c>
      <c r="F255" s="2" t="str">
        <f aca="false">INDEX(Segmentation!$J$2:$J$301,MATCH($A255,Segmentation!$A$2:$A$301,0))</f>
        <v>Tail</v>
      </c>
      <c r="G255" s="2" t="str">
        <f aca="false">INDEX(Segmentation!$N$2:$N$301,MATCH($A255,Segmentation!$A$2:$A$301,0))</f>
        <v>Lapsed</v>
      </c>
      <c r="H255" s="2" t="str">
        <f aca="false">INDEX(Segmentation!$T$2:$T$301,MATCH($A255,Segmentation!$A$2:$A$301,0))</f>
        <v>9. Long-Tail Automated Nurture</v>
      </c>
      <c r="I255" s="2" t="str">
        <f aca="false">INDEX(Segmentation!$G$2:$G$301,MATCH($A255,Segmentation!$A$2:$A$301,0))</f>
        <v>Low</v>
      </c>
      <c r="J255" s="9" t="n">
        <f aca="false">INDEX(Segmentation!$I$2:$I$301,MATCH($A255,Segmentation!$A$2:$A$301,0))</f>
        <v>270</v>
      </c>
      <c r="K255" s="2" t="n">
        <f aca="false">INDEX(Segmentation!$O$2:$O$301,MATCH($A255,Segmentation!$A$2:$A$301,0))</f>
        <v>1</v>
      </c>
      <c r="L255" s="2" t="n">
        <f aca="false">INDEX(Segmentation!$Q$2:$Q$301,MATCH($A255,Segmentation!$A$2:$A$301,0))</f>
        <v>1</v>
      </c>
      <c r="M255" s="2" t="n">
        <f aca="false">INDEX(Segmentation!$W$2:$W$301,MATCH($A255,Segmentation!$A$2:$A$301,0))</f>
        <v>1</v>
      </c>
      <c r="N255" s="2" t="str">
        <f aca="false">INDEX(Segmentation!$AF$2:$AF$301,MATCH($A255,Segmentation!$A$2:$A$301,0))</f>
        <v>Existing Customer</v>
      </c>
      <c r="O255" s="2" t="n">
        <f aca="false">INDEX(Segmentation!$R$2:$R$301,MATCH($A255,Segmentation!$A$2:$A$301,0))</f>
        <v>8</v>
      </c>
      <c r="P255" s="2" t="n">
        <v>111</v>
      </c>
      <c r="Q255" s="2" t="n">
        <f aca="false">INDEX(Segmentation!$S$2:$S$301,MATCH($A255,Segmentation!$A$2:$A$301,0))</f>
        <v>2</v>
      </c>
      <c r="R255" s="2" t="n">
        <v>0</v>
      </c>
      <c r="S255" s="2" t="n">
        <v>0</v>
      </c>
      <c r="T255" s="2" t="n">
        <v>0</v>
      </c>
      <c r="U255" s="2" t="n">
        <v>1</v>
      </c>
      <c r="V255" s="2" t="n">
        <v>100</v>
      </c>
      <c r="W255" s="2" t="str">
        <f aca="false">IF(V255=100,"Bundle-only",IF(V255=0,"Handpick-only","Mixed"))</f>
        <v>Bundle-only</v>
      </c>
      <c r="X255" s="17" t="n">
        <f aca="false">L255/K255</f>
        <v>1</v>
      </c>
      <c r="Y255" s="9" t="n">
        <f aca="false">J255/K255</f>
        <v>270</v>
      </c>
      <c r="Z255" s="10" t="b">
        <f aca="false">O255&gt;=Assumptions!$B$57</f>
        <v>0</v>
      </c>
      <c r="AA255" s="10" t="b">
        <f aca="false">P255&gt;=Assumptions!$B$58</f>
        <v>1</v>
      </c>
      <c r="AB255" s="10" t="b">
        <f aca="false">Q255&gt;=Assumptions!$B$59</f>
        <v>0</v>
      </c>
      <c r="AC255" s="2" t="n">
        <f aca="false">Z255*1+AA255*1+AB255*1</f>
        <v>1</v>
      </c>
      <c r="AD255" s="2" t="str">
        <f aca="false">IF(E255="Broker-Reliant","Broker-led, product-blind",IF(AND(I255="Low",F255&lt;&gt;"Tail",OR(G255="Declining",G255="Lapsed"),OR(O255&gt;=Assumptions!$B$60,P255&gt;=Assumptions!$B$61)),"Engaged but shrinking (Key/Core)",IF(AND(O255&gt;=Assumptions!$B$60,P255&gt;=Assumptions!$B$61,Q255&gt;=Assumptions!$B$62,K255&gt;=Assumptions!$B$63),"Independent browser-buyer",IF(AND(OR(O255&gt;=Assumptions!$B$60,P255&gt;=Assumptions!$B$61),K255&lt;=2),"Engaged, not converting",IF(AND(K255=1,O255&lt;Assumptions!$B$60,P255&lt;Assumptions!$B$61),"One-off low-touch buyer","Light-touch repeat buyer")))))</f>
        <v>One-off low-touch buyer</v>
      </c>
      <c r="AE255" s="10" t="b">
        <f aca="false">INDEX(Segmentation!$AW$2:$AW$301,MATCH($A255,Segmentation!$A$2:$A$301,0))</f>
        <v>0</v>
      </c>
    </row>
    <row r="256" customFormat="false" ht="15" hidden="false" customHeight="false" outlineLevel="0" collapsed="false">
      <c r="A256" s="2" t="s">
        <v>820</v>
      </c>
      <c r="B256" s="2" t="s">
        <v>1574</v>
      </c>
      <c r="C256" s="2" t="s">
        <v>1640</v>
      </c>
      <c r="D256" s="2" t="s">
        <v>1657</v>
      </c>
      <c r="E256" s="2" t="str">
        <f aca="false">INDEX(Segmentation!$H$2:$H$301,MATCH($A256,Segmentation!$A$2:$A$301,0))</f>
        <v>Self-Serve</v>
      </c>
      <c r="F256" s="2" t="str">
        <f aca="false">INDEX(Segmentation!$J$2:$J$301,MATCH($A256,Segmentation!$A$2:$A$301,0))</f>
        <v>Tail</v>
      </c>
      <c r="G256" s="2" t="str">
        <f aca="false">INDEX(Segmentation!$N$2:$N$301,MATCH($A256,Segmentation!$A$2:$A$301,0))</f>
        <v>H2 Active / No H1 GMV</v>
      </c>
      <c r="H256" s="2" t="str">
        <f aca="false">INDEX(Segmentation!$T$2:$T$301,MATCH($A256,Segmentation!$A$2:$A$301,0))</f>
        <v>9. Long-Tail Automated Nurture</v>
      </c>
      <c r="I256" s="2" t="str">
        <f aca="false">INDEX(Segmentation!$G$2:$G$301,MATCH($A256,Segmentation!$A$2:$A$301,0))</f>
        <v>Low</v>
      </c>
      <c r="J256" s="9" t="n">
        <f aca="false">INDEX(Segmentation!$I$2:$I$301,MATCH($A256,Segmentation!$A$2:$A$301,0))</f>
        <v>269</v>
      </c>
      <c r="K256" s="2" t="n">
        <f aca="false">INDEX(Segmentation!$O$2:$O$301,MATCH($A256,Segmentation!$A$2:$A$301,0))</f>
        <v>1</v>
      </c>
      <c r="L256" s="2" t="n">
        <f aca="false">INDEX(Segmentation!$Q$2:$Q$301,MATCH($A256,Segmentation!$A$2:$A$301,0))</f>
        <v>1</v>
      </c>
      <c r="M256" s="2" t="n">
        <f aca="false">INDEX(Segmentation!$W$2:$W$301,MATCH($A256,Segmentation!$A$2:$A$301,0))</f>
        <v>1</v>
      </c>
      <c r="N256" s="2" t="str">
        <f aca="false">INDEX(Segmentation!$AF$2:$AF$301,MATCH($A256,Segmentation!$A$2:$A$301,0))</f>
        <v>New Customer</v>
      </c>
      <c r="O256" s="2" t="n">
        <f aca="false">INDEX(Segmentation!$R$2:$R$301,MATCH($A256,Segmentation!$A$2:$A$301,0))</f>
        <v>6</v>
      </c>
      <c r="P256" s="2" t="n">
        <v>125</v>
      </c>
      <c r="Q256" s="2" t="n">
        <f aca="false">INDEX(Segmentation!$S$2:$S$301,MATCH($A256,Segmentation!$A$2:$A$301,0))</f>
        <v>0</v>
      </c>
      <c r="R256" s="2" t="n">
        <v>1</v>
      </c>
      <c r="S256" s="2" t="n">
        <v>0</v>
      </c>
      <c r="T256" s="2" t="n">
        <v>0</v>
      </c>
      <c r="U256" s="2" t="n">
        <v>1</v>
      </c>
      <c r="V256" s="2" t="n">
        <v>100</v>
      </c>
      <c r="W256" s="2" t="str">
        <f aca="false">IF(V256=100,"Bundle-only",IF(V256=0,"Handpick-only","Mixed"))</f>
        <v>Bundle-only</v>
      </c>
      <c r="X256" s="17" t="n">
        <f aca="false">L256/K256</f>
        <v>1</v>
      </c>
      <c r="Y256" s="9" t="n">
        <f aca="false">J256/K256</f>
        <v>269</v>
      </c>
      <c r="Z256" s="10" t="b">
        <f aca="false">O256&gt;=Assumptions!$B$57</f>
        <v>0</v>
      </c>
      <c r="AA256" s="10" t="b">
        <f aca="false">P256&gt;=Assumptions!$B$58</f>
        <v>1</v>
      </c>
      <c r="AB256" s="10" t="b">
        <f aca="false">Q256&gt;=Assumptions!$B$59</f>
        <v>0</v>
      </c>
      <c r="AC256" s="2" t="n">
        <f aca="false">Z256*1+AA256*1+AB256*1</f>
        <v>1</v>
      </c>
      <c r="AD256" s="2" t="str">
        <f aca="false">IF(E256="Broker-Reliant","Broker-led, product-blind",IF(AND(I256="Low",F256&lt;&gt;"Tail",OR(G256="Declining",G256="Lapsed"),OR(O256&gt;=Assumptions!$B$60,P256&gt;=Assumptions!$B$61)),"Engaged but shrinking (Key/Core)",IF(AND(O256&gt;=Assumptions!$B$60,P256&gt;=Assumptions!$B$61,Q256&gt;=Assumptions!$B$62,K256&gt;=Assumptions!$B$63),"Independent browser-buyer",IF(AND(OR(O256&gt;=Assumptions!$B$60,P256&gt;=Assumptions!$B$61),K256&lt;=2),"Engaged, not converting",IF(AND(K256=1,O256&lt;Assumptions!$B$60,P256&lt;Assumptions!$B$61),"One-off low-touch buyer","Light-touch repeat buyer")))))</f>
        <v>One-off low-touch buyer</v>
      </c>
      <c r="AE256" s="10" t="b">
        <f aca="false">INDEX(Segmentation!$AW$2:$AW$301,MATCH($A256,Segmentation!$A$2:$A$301,0))</f>
        <v>0</v>
      </c>
    </row>
    <row r="257" customFormat="false" ht="15" hidden="false" customHeight="false" outlineLevel="0" collapsed="false">
      <c r="A257" s="2" t="s">
        <v>564</v>
      </c>
      <c r="B257" s="2" t="s">
        <v>1574</v>
      </c>
      <c r="C257" s="2" t="s">
        <v>1640</v>
      </c>
      <c r="D257" s="2" t="s">
        <v>1657</v>
      </c>
      <c r="E257" s="2" t="str">
        <f aca="false">INDEX(Segmentation!$H$2:$H$301,MATCH($A257,Segmentation!$A$2:$A$301,0))</f>
        <v>Self-Serve</v>
      </c>
      <c r="F257" s="2" t="str">
        <f aca="false">INDEX(Segmentation!$J$2:$J$301,MATCH($A257,Segmentation!$A$2:$A$301,0))</f>
        <v>Tail</v>
      </c>
      <c r="G257" s="2" t="str">
        <f aca="false">INDEX(Segmentation!$N$2:$N$301,MATCH($A257,Segmentation!$A$2:$A$301,0))</f>
        <v>H2 Active / No H1 GMV</v>
      </c>
      <c r="H257" s="2" t="str">
        <f aca="false">INDEX(Segmentation!$T$2:$T$301,MATCH($A257,Segmentation!$A$2:$A$301,0))</f>
        <v>9. Long-Tail Automated Nurture</v>
      </c>
      <c r="I257" s="2" t="str">
        <f aca="false">INDEX(Segmentation!$G$2:$G$301,MATCH($A257,Segmentation!$A$2:$A$301,0))</f>
        <v>Low</v>
      </c>
      <c r="J257" s="9" t="n">
        <f aca="false">INDEX(Segmentation!$I$2:$I$301,MATCH($A257,Segmentation!$A$2:$A$301,0))</f>
        <v>263</v>
      </c>
      <c r="K257" s="2" t="n">
        <f aca="false">INDEX(Segmentation!$O$2:$O$301,MATCH($A257,Segmentation!$A$2:$A$301,0))</f>
        <v>2</v>
      </c>
      <c r="L257" s="2" t="n">
        <f aca="false">INDEX(Segmentation!$Q$2:$Q$301,MATCH($A257,Segmentation!$A$2:$A$301,0))</f>
        <v>2</v>
      </c>
      <c r="M257" s="2" t="n">
        <f aca="false">INDEX(Segmentation!$W$2:$W$301,MATCH($A257,Segmentation!$A$2:$A$301,0))</f>
        <v>2</v>
      </c>
      <c r="N257" s="2" t="str">
        <f aca="false">INDEX(Segmentation!$AF$2:$AF$301,MATCH($A257,Segmentation!$A$2:$A$301,0))</f>
        <v>New Customer</v>
      </c>
      <c r="O257" s="2" t="n">
        <f aca="false">INDEX(Segmentation!$R$2:$R$301,MATCH($A257,Segmentation!$A$2:$A$301,0))</f>
        <v>9</v>
      </c>
      <c r="P257" s="2" t="n">
        <v>312</v>
      </c>
      <c r="Q257" s="2" t="n">
        <f aca="false">INDEX(Segmentation!$S$2:$S$301,MATCH($A257,Segmentation!$A$2:$A$301,0))</f>
        <v>2</v>
      </c>
      <c r="R257" s="2" t="n">
        <v>1</v>
      </c>
      <c r="S257" s="2" t="n">
        <v>0</v>
      </c>
      <c r="T257" s="2" t="n">
        <v>0</v>
      </c>
      <c r="U257" s="2" t="n">
        <v>2</v>
      </c>
      <c r="V257" s="2" t="n">
        <v>100</v>
      </c>
      <c r="W257" s="2" t="str">
        <f aca="false">IF(V257=100,"Bundle-only",IF(V257=0,"Handpick-only","Mixed"))</f>
        <v>Bundle-only</v>
      </c>
      <c r="X257" s="17" t="n">
        <f aca="false">L257/K257</f>
        <v>1</v>
      </c>
      <c r="Y257" s="9" t="n">
        <f aca="false">J257/K257</f>
        <v>131.5</v>
      </c>
      <c r="Z257" s="10" t="b">
        <f aca="false">O257&gt;=Assumptions!$B$57</f>
        <v>0</v>
      </c>
      <c r="AA257" s="10" t="b">
        <f aca="false">P257&gt;=Assumptions!$B$58</f>
        <v>1</v>
      </c>
      <c r="AB257" s="10" t="b">
        <f aca="false">Q257&gt;=Assumptions!$B$59</f>
        <v>0</v>
      </c>
      <c r="AC257" s="2" t="n">
        <f aca="false">Z257*1+AA257*1+AB257*1</f>
        <v>1</v>
      </c>
      <c r="AD257" s="2" t="str">
        <f aca="false">IF(E257="Broker-Reliant","Broker-led, product-blind",IF(AND(I257="Low",F257&lt;&gt;"Tail",OR(G257="Declining",G257="Lapsed"),OR(O257&gt;=Assumptions!$B$60,P257&gt;=Assumptions!$B$61)),"Engaged but shrinking (Key/Core)",IF(AND(O257&gt;=Assumptions!$B$60,P257&gt;=Assumptions!$B$61,Q257&gt;=Assumptions!$B$62,K257&gt;=Assumptions!$B$63),"Independent browser-buyer",IF(AND(OR(O257&gt;=Assumptions!$B$60,P257&gt;=Assumptions!$B$61),K257&lt;=2),"Engaged, not converting",IF(AND(K257=1,O257&lt;Assumptions!$B$60,P257&lt;Assumptions!$B$61),"One-off low-touch buyer","Light-touch repeat buyer")))))</f>
        <v>Engaged, not converting</v>
      </c>
      <c r="AE257" s="10" t="b">
        <f aca="false">INDEX(Segmentation!$AW$2:$AW$301,MATCH($A257,Segmentation!$A$2:$A$301,0))</f>
        <v>0</v>
      </c>
    </row>
    <row r="258" customFormat="false" ht="15" hidden="false" customHeight="false" outlineLevel="0" collapsed="false">
      <c r="A258" s="2" t="s">
        <v>824</v>
      </c>
      <c r="B258" s="2" t="s">
        <v>1574</v>
      </c>
      <c r="C258" s="2" t="s">
        <v>1640</v>
      </c>
      <c r="D258" s="2" t="s">
        <v>1657</v>
      </c>
      <c r="E258" s="2" t="str">
        <f aca="false">INDEX(Segmentation!$H$2:$H$301,MATCH($A258,Segmentation!$A$2:$A$301,0))</f>
        <v>Self-Serve</v>
      </c>
      <c r="F258" s="2" t="str">
        <f aca="false">INDEX(Segmentation!$J$2:$J$301,MATCH($A258,Segmentation!$A$2:$A$301,0))</f>
        <v>Tail</v>
      </c>
      <c r="G258" s="2" t="str">
        <f aca="false">INDEX(Segmentation!$N$2:$N$301,MATCH($A258,Segmentation!$A$2:$A$301,0))</f>
        <v>Lapsed</v>
      </c>
      <c r="H258" s="2" t="str">
        <f aca="false">INDEX(Segmentation!$T$2:$T$301,MATCH($A258,Segmentation!$A$2:$A$301,0))</f>
        <v>9. Long-Tail Automated Nurture</v>
      </c>
      <c r="I258" s="2" t="str">
        <f aca="false">INDEX(Segmentation!$G$2:$G$301,MATCH($A258,Segmentation!$A$2:$A$301,0))</f>
        <v>Low</v>
      </c>
      <c r="J258" s="9" t="n">
        <f aca="false">INDEX(Segmentation!$I$2:$I$301,MATCH($A258,Segmentation!$A$2:$A$301,0))</f>
        <v>260</v>
      </c>
      <c r="K258" s="2" t="n">
        <f aca="false">INDEX(Segmentation!$O$2:$O$301,MATCH($A258,Segmentation!$A$2:$A$301,0))</f>
        <v>1</v>
      </c>
      <c r="L258" s="2" t="n">
        <f aca="false">INDEX(Segmentation!$Q$2:$Q$301,MATCH($A258,Segmentation!$A$2:$A$301,0))</f>
        <v>1</v>
      </c>
      <c r="M258" s="2" t="n">
        <f aca="false">INDEX(Segmentation!$W$2:$W$301,MATCH($A258,Segmentation!$A$2:$A$301,0))</f>
        <v>1</v>
      </c>
      <c r="N258" s="2" t="str">
        <f aca="false">INDEX(Segmentation!$AF$2:$AF$301,MATCH($A258,Segmentation!$A$2:$A$301,0))</f>
        <v>Existing Customer</v>
      </c>
      <c r="O258" s="2" t="n">
        <f aca="false">INDEX(Segmentation!$R$2:$R$301,MATCH($A258,Segmentation!$A$2:$A$301,0))</f>
        <v>20</v>
      </c>
      <c r="P258" s="2" t="n">
        <v>128</v>
      </c>
      <c r="Q258" s="2" t="n">
        <f aca="false">INDEX(Segmentation!$S$2:$S$301,MATCH($A258,Segmentation!$A$2:$A$301,0))</f>
        <v>1</v>
      </c>
      <c r="R258" s="2" t="n">
        <v>1</v>
      </c>
      <c r="S258" s="2" t="n">
        <v>0</v>
      </c>
      <c r="T258" s="2" t="n">
        <v>0</v>
      </c>
      <c r="U258" s="2" t="n">
        <v>1</v>
      </c>
      <c r="V258" s="2" t="n">
        <v>100</v>
      </c>
      <c r="W258" s="2" t="str">
        <f aca="false">IF(V258=100,"Bundle-only",IF(V258=0,"Handpick-only","Mixed"))</f>
        <v>Bundle-only</v>
      </c>
      <c r="X258" s="17" t="n">
        <f aca="false">L258/K258</f>
        <v>1</v>
      </c>
      <c r="Y258" s="9" t="n">
        <f aca="false">J258/K258</f>
        <v>260</v>
      </c>
      <c r="Z258" s="10" t="b">
        <f aca="false">O258&gt;=Assumptions!$B$57</f>
        <v>1</v>
      </c>
      <c r="AA258" s="10" t="b">
        <f aca="false">P258&gt;=Assumptions!$B$58</f>
        <v>1</v>
      </c>
      <c r="AB258" s="10" t="b">
        <f aca="false">Q258&gt;=Assumptions!$B$59</f>
        <v>0</v>
      </c>
      <c r="AC258" s="2" t="n">
        <f aca="false">Z258*1+AA258*1+AB258*1</f>
        <v>2</v>
      </c>
      <c r="AD258" s="2" t="str">
        <f aca="false">IF(E258="Broker-Reliant","Broker-led, product-blind",IF(AND(I258="Low",F258&lt;&gt;"Tail",OR(G258="Declining",G258="Lapsed"),OR(O258&gt;=Assumptions!$B$60,P258&gt;=Assumptions!$B$61)),"Engaged but shrinking (Key/Core)",IF(AND(O258&gt;=Assumptions!$B$60,P258&gt;=Assumptions!$B$61,Q258&gt;=Assumptions!$B$62,K258&gt;=Assumptions!$B$63),"Independent browser-buyer",IF(AND(OR(O258&gt;=Assumptions!$B$60,P258&gt;=Assumptions!$B$61),K258&lt;=2),"Engaged, not converting",IF(AND(K258=1,O258&lt;Assumptions!$B$60,P258&lt;Assumptions!$B$61),"One-off low-touch buyer","Light-touch repeat buyer")))))</f>
        <v>Engaged, not converting</v>
      </c>
      <c r="AE258" s="10" t="b">
        <f aca="false">INDEX(Segmentation!$AW$2:$AW$301,MATCH($A258,Segmentation!$A$2:$A$301,0))</f>
        <v>0</v>
      </c>
    </row>
    <row r="259" customFormat="false" ht="15" hidden="false" customHeight="false" outlineLevel="0" collapsed="false">
      <c r="A259" s="2" t="s">
        <v>836</v>
      </c>
      <c r="B259" s="2" t="s">
        <v>1574</v>
      </c>
      <c r="C259" s="2" t="s">
        <v>1640</v>
      </c>
      <c r="D259" s="2" t="s">
        <v>1658</v>
      </c>
      <c r="E259" s="2" t="str">
        <f aca="false">INDEX(Segmentation!$H$2:$H$301,MATCH($A259,Segmentation!$A$2:$A$301,0))</f>
        <v>Self-Serve</v>
      </c>
      <c r="F259" s="2" t="str">
        <f aca="false">INDEX(Segmentation!$J$2:$J$301,MATCH($A259,Segmentation!$A$2:$A$301,0))</f>
        <v>Tail</v>
      </c>
      <c r="G259" s="2" t="str">
        <f aca="false">INDEX(Segmentation!$N$2:$N$301,MATCH($A259,Segmentation!$A$2:$A$301,0))</f>
        <v>Lapsed</v>
      </c>
      <c r="H259" s="2" t="str">
        <f aca="false">INDEX(Segmentation!$T$2:$T$301,MATCH($A259,Segmentation!$A$2:$A$301,0))</f>
        <v>9. Long-Tail Automated Nurture</v>
      </c>
      <c r="I259" s="2" t="str">
        <f aca="false">INDEX(Segmentation!$G$2:$G$301,MATCH($A259,Segmentation!$A$2:$A$301,0))</f>
        <v>Low</v>
      </c>
      <c r="J259" s="9" t="n">
        <f aca="false">INDEX(Segmentation!$I$2:$I$301,MATCH($A259,Segmentation!$A$2:$A$301,0))</f>
        <v>246</v>
      </c>
      <c r="K259" s="2" t="n">
        <f aca="false">INDEX(Segmentation!$O$2:$O$301,MATCH($A259,Segmentation!$A$2:$A$301,0))</f>
        <v>1</v>
      </c>
      <c r="L259" s="2" t="n">
        <f aca="false">INDEX(Segmentation!$Q$2:$Q$301,MATCH($A259,Segmentation!$A$2:$A$301,0))</f>
        <v>1</v>
      </c>
      <c r="M259" s="2" t="n">
        <f aca="false">INDEX(Segmentation!$W$2:$W$301,MATCH($A259,Segmentation!$A$2:$A$301,0))</f>
        <v>1</v>
      </c>
      <c r="N259" s="2" t="str">
        <f aca="false">INDEX(Segmentation!$AF$2:$AF$301,MATCH($A259,Segmentation!$A$2:$A$301,0))</f>
        <v>Existing Customer</v>
      </c>
      <c r="O259" s="2" t="n">
        <f aca="false">INDEX(Segmentation!$R$2:$R$301,MATCH($A259,Segmentation!$A$2:$A$301,0))</f>
        <v>20</v>
      </c>
      <c r="P259" s="2" t="n">
        <v>110</v>
      </c>
      <c r="Q259" s="2" t="n">
        <f aca="false">INDEX(Segmentation!$S$2:$S$301,MATCH($A259,Segmentation!$A$2:$A$301,0))</f>
        <v>0</v>
      </c>
      <c r="R259" s="2" t="n">
        <v>1</v>
      </c>
      <c r="S259" s="2" t="n">
        <v>0</v>
      </c>
      <c r="T259" s="2" t="n">
        <v>0</v>
      </c>
      <c r="U259" s="2" t="n">
        <v>1</v>
      </c>
      <c r="V259" s="2" t="n">
        <v>100</v>
      </c>
      <c r="W259" s="2" t="str">
        <f aca="false">IF(V259=100,"Bundle-only",IF(V259=0,"Handpick-only","Mixed"))</f>
        <v>Bundle-only</v>
      </c>
      <c r="X259" s="17" t="n">
        <f aca="false">L259/K259</f>
        <v>1</v>
      </c>
      <c r="Y259" s="9" t="n">
        <f aca="false">J259/K259</f>
        <v>246</v>
      </c>
      <c r="Z259" s="10" t="b">
        <f aca="false">O259&gt;=Assumptions!$B$57</f>
        <v>1</v>
      </c>
      <c r="AA259" s="10" t="b">
        <f aca="false">P259&gt;=Assumptions!$B$58</f>
        <v>1</v>
      </c>
      <c r="AB259" s="10" t="b">
        <f aca="false">Q259&gt;=Assumptions!$B$59</f>
        <v>0</v>
      </c>
      <c r="AC259" s="2" t="n">
        <f aca="false">Z259*1+AA259*1+AB259*1</f>
        <v>2</v>
      </c>
      <c r="AD259" s="2" t="str">
        <f aca="false">IF(E259="Broker-Reliant","Broker-led, product-blind",IF(AND(I259="Low",F259&lt;&gt;"Tail",OR(G259="Declining",G259="Lapsed"),OR(O259&gt;=Assumptions!$B$60,P259&gt;=Assumptions!$B$61)),"Engaged but shrinking (Key/Core)",IF(AND(O259&gt;=Assumptions!$B$60,P259&gt;=Assumptions!$B$61,Q259&gt;=Assumptions!$B$62,K259&gt;=Assumptions!$B$63),"Independent browser-buyer",IF(AND(OR(O259&gt;=Assumptions!$B$60,P259&gt;=Assumptions!$B$61),K259&lt;=2),"Engaged, not converting",IF(AND(K259=1,O259&lt;Assumptions!$B$60,P259&lt;Assumptions!$B$61),"One-off low-touch buyer","Light-touch repeat buyer")))))</f>
        <v>Engaged, not converting</v>
      </c>
      <c r="AE259" s="10" t="b">
        <f aca="false">INDEX(Segmentation!$AW$2:$AW$301,MATCH($A259,Segmentation!$A$2:$A$301,0))</f>
        <v>0</v>
      </c>
    </row>
    <row r="260" customFormat="false" ht="15" hidden="false" customHeight="false" outlineLevel="0" collapsed="false">
      <c r="A260" s="2" t="s">
        <v>840</v>
      </c>
      <c r="B260" s="2" t="s">
        <v>1574</v>
      </c>
      <c r="C260" s="2" t="s">
        <v>1640</v>
      </c>
      <c r="D260" s="2" t="s">
        <v>1653</v>
      </c>
      <c r="E260" s="2" t="str">
        <f aca="false">INDEX(Segmentation!$H$2:$H$301,MATCH($A260,Segmentation!$A$2:$A$301,0))</f>
        <v>Self-Serve</v>
      </c>
      <c r="F260" s="2" t="str">
        <f aca="false">INDEX(Segmentation!$J$2:$J$301,MATCH($A260,Segmentation!$A$2:$A$301,0))</f>
        <v>Tail</v>
      </c>
      <c r="G260" s="2" t="str">
        <f aca="false">INDEX(Segmentation!$N$2:$N$301,MATCH($A260,Segmentation!$A$2:$A$301,0))</f>
        <v>H2 Active / No H1 GMV</v>
      </c>
      <c r="H260" s="2" t="str">
        <f aca="false">INDEX(Segmentation!$T$2:$T$301,MATCH($A260,Segmentation!$A$2:$A$301,0))</f>
        <v>9. Long-Tail Automated Nurture</v>
      </c>
      <c r="I260" s="2" t="str">
        <f aca="false">INDEX(Segmentation!$G$2:$G$301,MATCH($A260,Segmentation!$A$2:$A$301,0))</f>
        <v>Low</v>
      </c>
      <c r="J260" s="9" t="n">
        <f aca="false">INDEX(Segmentation!$I$2:$I$301,MATCH($A260,Segmentation!$A$2:$A$301,0))</f>
        <v>242</v>
      </c>
      <c r="K260" s="2" t="n">
        <f aca="false">INDEX(Segmentation!$O$2:$O$301,MATCH($A260,Segmentation!$A$2:$A$301,0))</f>
        <v>1</v>
      </c>
      <c r="L260" s="2" t="n">
        <f aca="false">INDEX(Segmentation!$Q$2:$Q$301,MATCH($A260,Segmentation!$A$2:$A$301,0))</f>
        <v>1</v>
      </c>
      <c r="M260" s="2" t="n">
        <f aca="false">INDEX(Segmentation!$W$2:$W$301,MATCH($A260,Segmentation!$A$2:$A$301,0))</f>
        <v>1</v>
      </c>
      <c r="N260" s="2" t="str">
        <f aca="false">INDEX(Segmentation!$AF$2:$AF$301,MATCH($A260,Segmentation!$A$2:$A$301,0))</f>
        <v>New Customer</v>
      </c>
      <c r="O260" s="2" t="n">
        <f aca="false">INDEX(Segmentation!$R$2:$R$301,MATCH($A260,Segmentation!$A$2:$A$301,0))</f>
        <v>3</v>
      </c>
      <c r="P260" s="2" t="n">
        <v>80</v>
      </c>
      <c r="Q260" s="2" t="n">
        <f aca="false">INDEX(Segmentation!$S$2:$S$301,MATCH($A260,Segmentation!$A$2:$A$301,0))</f>
        <v>2</v>
      </c>
      <c r="R260" s="2" t="n">
        <v>0</v>
      </c>
      <c r="S260" s="2" t="n">
        <v>0</v>
      </c>
      <c r="T260" s="2" t="n">
        <v>1</v>
      </c>
      <c r="U260" s="2" t="n">
        <v>0</v>
      </c>
      <c r="V260" s="2" t="n">
        <v>0</v>
      </c>
      <c r="W260" s="2" t="str">
        <f aca="false">IF(V260=100,"Bundle-only",IF(V260=0,"Handpick-only","Mixed"))</f>
        <v>Handpick-only</v>
      </c>
      <c r="X260" s="17" t="n">
        <f aca="false">L260/K260</f>
        <v>1</v>
      </c>
      <c r="Y260" s="9" t="n">
        <f aca="false">J260/K260</f>
        <v>242</v>
      </c>
      <c r="Z260" s="10" t="b">
        <f aca="false">O260&gt;=Assumptions!$B$57</f>
        <v>0</v>
      </c>
      <c r="AA260" s="10" t="b">
        <f aca="false">P260&gt;=Assumptions!$B$58</f>
        <v>1</v>
      </c>
      <c r="AB260" s="10" t="b">
        <f aca="false">Q260&gt;=Assumptions!$B$59</f>
        <v>0</v>
      </c>
      <c r="AC260" s="2" t="n">
        <f aca="false">Z260*1+AA260*1+AB260*1</f>
        <v>1</v>
      </c>
      <c r="AD260" s="2" t="str">
        <f aca="false">IF(E260="Broker-Reliant","Broker-led, product-blind",IF(AND(I260="Low",F260&lt;&gt;"Tail",OR(G260="Declining",G260="Lapsed"),OR(O260&gt;=Assumptions!$B$60,P260&gt;=Assumptions!$B$61)),"Engaged but shrinking (Key/Core)",IF(AND(O260&gt;=Assumptions!$B$60,P260&gt;=Assumptions!$B$61,Q260&gt;=Assumptions!$B$62,K260&gt;=Assumptions!$B$63),"Independent browser-buyer",IF(AND(OR(O260&gt;=Assumptions!$B$60,P260&gt;=Assumptions!$B$61),K260&lt;=2),"Engaged, not converting",IF(AND(K260=1,O260&lt;Assumptions!$B$60,P260&lt;Assumptions!$B$61),"One-off low-touch buyer","Light-touch repeat buyer")))))</f>
        <v>One-off low-touch buyer</v>
      </c>
      <c r="AE260" s="10" t="b">
        <f aca="false">INDEX(Segmentation!$AW$2:$AW$301,MATCH($A260,Segmentation!$A$2:$A$301,0))</f>
        <v>0</v>
      </c>
    </row>
    <row r="261" customFormat="false" ht="15" hidden="false" customHeight="false" outlineLevel="0" collapsed="false">
      <c r="A261" s="2" t="s">
        <v>850</v>
      </c>
      <c r="B261" s="2" t="s">
        <v>1574</v>
      </c>
      <c r="C261" s="2" t="s">
        <v>1640</v>
      </c>
      <c r="D261" s="2" t="s">
        <v>1653</v>
      </c>
      <c r="E261" s="2" t="str">
        <f aca="false">INDEX(Segmentation!$H$2:$H$301,MATCH($A261,Segmentation!$A$2:$A$301,0))</f>
        <v>Self-Serve</v>
      </c>
      <c r="F261" s="2" t="str">
        <f aca="false">INDEX(Segmentation!$J$2:$J$301,MATCH($A261,Segmentation!$A$2:$A$301,0))</f>
        <v>Tail</v>
      </c>
      <c r="G261" s="2" t="str">
        <f aca="false">INDEX(Segmentation!$N$2:$N$301,MATCH($A261,Segmentation!$A$2:$A$301,0))</f>
        <v>Lapsed</v>
      </c>
      <c r="H261" s="2" t="str">
        <f aca="false">INDEX(Segmentation!$T$2:$T$301,MATCH($A261,Segmentation!$A$2:$A$301,0))</f>
        <v>9. Long-Tail Automated Nurture</v>
      </c>
      <c r="I261" s="2" t="str">
        <f aca="false">INDEX(Segmentation!$G$2:$G$301,MATCH($A261,Segmentation!$A$2:$A$301,0))</f>
        <v>Low</v>
      </c>
      <c r="J261" s="9" t="n">
        <f aca="false">INDEX(Segmentation!$I$2:$I$301,MATCH($A261,Segmentation!$A$2:$A$301,0))</f>
        <v>216</v>
      </c>
      <c r="K261" s="2" t="n">
        <f aca="false">INDEX(Segmentation!$O$2:$O$301,MATCH($A261,Segmentation!$A$2:$A$301,0))</f>
        <v>1</v>
      </c>
      <c r="L261" s="2" t="n">
        <f aca="false">INDEX(Segmentation!$Q$2:$Q$301,MATCH($A261,Segmentation!$A$2:$A$301,0))</f>
        <v>1</v>
      </c>
      <c r="M261" s="2" t="n">
        <f aca="false">INDEX(Segmentation!$W$2:$W$301,MATCH($A261,Segmentation!$A$2:$A$301,0))</f>
        <v>1</v>
      </c>
      <c r="N261" s="2" t="str">
        <f aca="false">INDEX(Segmentation!$AF$2:$AF$301,MATCH($A261,Segmentation!$A$2:$A$301,0))</f>
        <v>Existing Customer</v>
      </c>
      <c r="O261" s="2" t="n">
        <f aca="false">INDEX(Segmentation!$R$2:$R$301,MATCH($A261,Segmentation!$A$2:$A$301,0))</f>
        <v>6</v>
      </c>
      <c r="P261" s="2" t="n">
        <v>103</v>
      </c>
      <c r="Q261" s="2" t="n">
        <f aca="false">INDEX(Segmentation!$S$2:$S$301,MATCH($A261,Segmentation!$A$2:$A$301,0))</f>
        <v>5</v>
      </c>
      <c r="R261" s="2" t="n">
        <v>2</v>
      </c>
      <c r="S261" s="2" t="n">
        <v>0</v>
      </c>
      <c r="T261" s="2" t="n">
        <v>1</v>
      </c>
      <c r="U261" s="2" t="n">
        <v>1</v>
      </c>
      <c r="V261" s="2" t="n">
        <v>58</v>
      </c>
      <c r="W261" s="2" t="str">
        <f aca="false">IF(V261=100,"Bundle-only",IF(V261=0,"Handpick-only","Mixed"))</f>
        <v>Mixed</v>
      </c>
      <c r="X261" s="17" t="n">
        <f aca="false">L261/K261</f>
        <v>1</v>
      </c>
      <c r="Y261" s="9" t="n">
        <f aca="false">J261/K261</f>
        <v>216</v>
      </c>
      <c r="Z261" s="10" t="b">
        <f aca="false">O261&gt;=Assumptions!$B$57</f>
        <v>0</v>
      </c>
      <c r="AA261" s="10" t="b">
        <f aca="false">P261&gt;=Assumptions!$B$58</f>
        <v>1</v>
      </c>
      <c r="AB261" s="10" t="b">
        <f aca="false">Q261&gt;=Assumptions!$B$59</f>
        <v>1</v>
      </c>
      <c r="AC261" s="2" t="n">
        <f aca="false">Z261*1+AA261*1+AB261*1</f>
        <v>2</v>
      </c>
      <c r="AD261" s="2" t="str">
        <f aca="false">IF(E261="Broker-Reliant","Broker-led, product-blind",IF(AND(I261="Low",F261&lt;&gt;"Tail",OR(G261="Declining",G261="Lapsed"),OR(O261&gt;=Assumptions!$B$60,P261&gt;=Assumptions!$B$61)),"Engaged but shrinking (Key/Core)",IF(AND(O261&gt;=Assumptions!$B$60,P261&gt;=Assumptions!$B$61,Q261&gt;=Assumptions!$B$62,K261&gt;=Assumptions!$B$63),"Independent browser-buyer",IF(AND(OR(O261&gt;=Assumptions!$B$60,P261&gt;=Assumptions!$B$61),K261&lt;=2),"Engaged, not converting",IF(AND(K261=1,O261&lt;Assumptions!$B$60,P261&lt;Assumptions!$B$61),"One-off low-touch buyer","Light-touch repeat buyer")))))</f>
        <v>One-off low-touch buyer</v>
      </c>
      <c r="AE261" s="10" t="b">
        <f aca="false">INDEX(Segmentation!$AW$2:$AW$301,MATCH($A261,Segmentation!$A$2:$A$301,0))</f>
        <v>0</v>
      </c>
    </row>
    <row r="262" customFormat="false" ht="15" hidden="false" customHeight="false" outlineLevel="0" collapsed="false">
      <c r="A262" s="2" t="s">
        <v>852</v>
      </c>
      <c r="B262" s="2" t="s">
        <v>1574</v>
      </c>
      <c r="C262" s="2" t="s">
        <v>1640</v>
      </c>
      <c r="D262" s="2" t="s">
        <v>1653</v>
      </c>
      <c r="E262" s="2" t="str">
        <f aca="false">INDEX(Segmentation!$H$2:$H$301,MATCH($A262,Segmentation!$A$2:$A$301,0))</f>
        <v>Self-Serve</v>
      </c>
      <c r="F262" s="2" t="str">
        <f aca="false">INDEX(Segmentation!$J$2:$J$301,MATCH($A262,Segmentation!$A$2:$A$301,0))</f>
        <v>Tail</v>
      </c>
      <c r="G262" s="2" t="str">
        <f aca="false">INDEX(Segmentation!$N$2:$N$301,MATCH($A262,Segmentation!$A$2:$A$301,0))</f>
        <v>Lapsed</v>
      </c>
      <c r="H262" s="2" t="str">
        <f aca="false">INDEX(Segmentation!$T$2:$T$301,MATCH($A262,Segmentation!$A$2:$A$301,0))</f>
        <v>9. Long-Tail Automated Nurture</v>
      </c>
      <c r="I262" s="2" t="str">
        <f aca="false">INDEX(Segmentation!$G$2:$G$301,MATCH($A262,Segmentation!$A$2:$A$301,0))</f>
        <v>Low</v>
      </c>
      <c r="J262" s="9" t="n">
        <f aca="false">INDEX(Segmentation!$I$2:$I$301,MATCH($A262,Segmentation!$A$2:$A$301,0))</f>
        <v>216</v>
      </c>
      <c r="K262" s="2" t="n">
        <f aca="false">INDEX(Segmentation!$O$2:$O$301,MATCH($A262,Segmentation!$A$2:$A$301,0))</f>
        <v>1</v>
      </c>
      <c r="L262" s="2" t="n">
        <f aca="false">INDEX(Segmentation!$Q$2:$Q$301,MATCH($A262,Segmentation!$A$2:$A$301,0))</f>
        <v>1</v>
      </c>
      <c r="M262" s="2" t="n">
        <f aca="false">INDEX(Segmentation!$W$2:$W$301,MATCH($A262,Segmentation!$A$2:$A$301,0))</f>
        <v>1</v>
      </c>
      <c r="N262" s="2" t="str">
        <f aca="false">INDEX(Segmentation!$AF$2:$AF$301,MATCH($A262,Segmentation!$A$2:$A$301,0))</f>
        <v>Existing Customer</v>
      </c>
      <c r="O262" s="2" t="n">
        <f aca="false">INDEX(Segmentation!$R$2:$R$301,MATCH($A262,Segmentation!$A$2:$A$301,0))</f>
        <v>4</v>
      </c>
      <c r="P262" s="2" t="n">
        <v>14</v>
      </c>
      <c r="Q262" s="2" t="n">
        <f aca="false">INDEX(Segmentation!$S$2:$S$301,MATCH($A262,Segmentation!$A$2:$A$301,0))</f>
        <v>0</v>
      </c>
      <c r="R262" s="2" t="n">
        <v>1</v>
      </c>
      <c r="S262" s="2" t="n">
        <v>0</v>
      </c>
      <c r="T262" s="2" t="n">
        <v>0</v>
      </c>
      <c r="U262" s="2" t="n">
        <v>1</v>
      </c>
      <c r="V262" s="2" t="n">
        <v>100</v>
      </c>
      <c r="W262" s="2" t="str">
        <f aca="false">IF(V262=100,"Bundle-only",IF(V262=0,"Handpick-only","Mixed"))</f>
        <v>Bundle-only</v>
      </c>
      <c r="X262" s="17" t="n">
        <f aca="false">L262/K262</f>
        <v>1</v>
      </c>
      <c r="Y262" s="9" t="n">
        <f aca="false">J262/K262</f>
        <v>216</v>
      </c>
      <c r="Z262" s="10" t="b">
        <f aca="false">O262&gt;=Assumptions!$B$57</f>
        <v>0</v>
      </c>
      <c r="AA262" s="10" t="b">
        <f aca="false">P262&gt;=Assumptions!$B$58</f>
        <v>0</v>
      </c>
      <c r="AB262" s="10" t="b">
        <f aca="false">Q262&gt;=Assumptions!$B$59</f>
        <v>0</v>
      </c>
      <c r="AC262" s="2" t="n">
        <f aca="false">Z262*1+AA262*1+AB262*1</f>
        <v>0</v>
      </c>
      <c r="AD262" s="2" t="str">
        <f aca="false">IF(E262="Broker-Reliant","Broker-led, product-blind",IF(AND(I262="Low",F262&lt;&gt;"Tail",OR(G262="Declining",G262="Lapsed"),OR(O262&gt;=Assumptions!$B$60,P262&gt;=Assumptions!$B$61)),"Engaged but shrinking (Key/Core)",IF(AND(O262&gt;=Assumptions!$B$60,P262&gt;=Assumptions!$B$61,Q262&gt;=Assumptions!$B$62,K262&gt;=Assumptions!$B$63),"Independent browser-buyer",IF(AND(OR(O262&gt;=Assumptions!$B$60,P262&gt;=Assumptions!$B$61),K262&lt;=2),"Engaged, not converting",IF(AND(K262=1,O262&lt;Assumptions!$B$60,P262&lt;Assumptions!$B$61),"One-off low-touch buyer","Light-touch repeat buyer")))))</f>
        <v>One-off low-touch buyer</v>
      </c>
      <c r="AE262" s="10" t="b">
        <f aca="false">INDEX(Segmentation!$AW$2:$AW$301,MATCH($A262,Segmentation!$A$2:$A$301,0))</f>
        <v>0</v>
      </c>
    </row>
    <row r="263" customFormat="false" ht="15" hidden="false" customHeight="false" outlineLevel="0" collapsed="false">
      <c r="A263" s="2" t="s">
        <v>854</v>
      </c>
      <c r="B263" s="2" t="s">
        <v>1574</v>
      </c>
      <c r="C263" s="2" t="s">
        <v>1640</v>
      </c>
      <c r="D263" s="2" t="s">
        <v>1653</v>
      </c>
      <c r="E263" s="2" t="str">
        <f aca="false">INDEX(Segmentation!$H$2:$H$301,MATCH($A263,Segmentation!$A$2:$A$301,0))</f>
        <v>Self-Serve</v>
      </c>
      <c r="F263" s="2" t="str">
        <f aca="false">INDEX(Segmentation!$J$2:$J$301,MATCH($A263,Segmentation!$A$2:$A$301,0))</f>
        <v>Tail</v>
      </c>
      <c r="G263" s="2" t="str">
        <f aca="false">INDEX(Segmentation!$N$2:$N$301,MATCH($A263,Segmentation!$A$2:$A$301,0))</f>
        <v>H2 Active / No H1 GMV</v>
      </c>
      <c r="H263" s="2" t="str">
        <f aca="false">INDEX(Segmentation!$T$2:$T$301,MATCH($A263,Segmentation!$A$2:$A$301,0))</f>
        <v>9. Long-Tail Automated Nurture</v>
      </c>
      <c r="I263" s="2" t="str">
        <f aca="false">INDEX(Segmentation!$G$2:$G$301,MATCH($A263,Segmentation!$A$2:$A$301,0))</f>
        <v>Low</v>
      </c>
      <c r="J263" s="9" t="n">
        <f aca="false">INDEX(Segmentation!$I$2:$I$301,MATCH($A263,Segmentation!$A$2:$A$301,0))</f>
        <v>212</v>
      </c>
      <c r="K263" s="2" t="n">
        <f aca="false">INDEX(Segmentation!$O$2:$O$301,MATCH($A263,Segmentation!$A$2:$A$301,0))</f>
        <v>1</v>
      </c>
      <c r="L263" s="2" t="n">
        <f aca="false">INDEX(Segmentation!$Q$2:$Q$301,MATCH($A263,Segmentation!$A$2:$A$301,0))</f>
        <v>1</v>
      </c>
      <c r="M263" s="2" t="n">
        <f aca="false">INDEX(Segmentation!$W$2:$W$301,MATCH($A263,Segmentation!$A$2:$A$301,0))</f>
        <v>1</v>
      </c>
      <c r="N263" s="2" t="str">
        <f aca="false">INDEX(Segmentation!$AF$2:$AF$301,MATCH($A263,Segmentation!$A$2:$A$301,0))</f>
        <v>New Customer</v>
      </c>
      <c r="O263" s="2" t="n">
        <f aca="false">INDEX(Segmentation!$R$2:$R$301,MATCH($A263,Segmentation!$A$2:$A$301,0))</f>
        <v>15</v>
      </c>
      <c r="P263" s="2" t="n">
        <v>65</v>
      </c>
      <c r="Q263" s="2" t="n">
        <f aca="false">INDEX(Segmentation!$S$2:$S$301,MATCH($A263,Segmentation!$A$2:$A$301,0))</f>
        <v>4</v>
      </c>
      <c r="R263" s="2" t="n">
        <v>1</v>
      </c>
      <c r="S263" s="2" t="n">
        <v>0</v>
      </c>
      <c r="T263" s="2" t="n">
        <v>0</v>
      </c>
      <c r="U263" s="2" t="n">
        <v>1</v>
      </c>
      <c r="V263" s="2" t="n">
        <v>100</v>
      </c>
      <c r="W263" s="2" t="str">
        <f aca="false">IF(V263=100,"Bundle-only",IF(V263=0,"Handpick-only","Mixed"))</f>
        <v>Bundle-only</v>
      </c>
      <c r="X263" s="17" t="n">
        <f aca="false">L263/K263</f>
        <v>1</v>
      </c>
      <c r="Y263" s="9" t="n">
        <f aca="false">J263/K263</f>
        <v>212</v>
      </c>
      <c r="Z263" s="10" t="b">
        <f aca="false">O263&gt;=Assumptions!$B$57</f>
        <v>1</v>
      </c>
      <c r="AA263" s="10" t="b">
        <f aca="false">P263&gt;=Assumptions!$B$58</f>
        <v>1</v>
      </c>
      <c r="AB263" s="10" t="b">
        <f aca="false">Q263&gt;=Assumptions!$B$59</f>
        <v>1</v>
      </c>
      <c r="AC263" s="2" t="n">
        <f aca="false">Z263*1+AA263*1+AB263*1</f>
        <v>3</v>
      </c>
      <c r="AD263" s="2" t="str">
        <f aca="false">IF(E263="Broker-Reliant","Broker-led, product-blind",IF(AND(I263="Low",F263&lt;&gt;"Tail",OR(G263="Declining",G263="Lapsed"),OR(O263&gt;=Assumptions!$B$60,P263&gt;=Assumptions!$B$61)),"Engaged but shrinking (Key/Core)",IF(AND(O263&gt;=Assumptions!$B$60,P263&gt;=Assumptions!$B$61,Q263&gt;=Assumptions!$B$62,K263&gt;=Assumptions!$B$63),"Independent browser-buyer",IF(AND(OR(O263&gt;=Assumptions!$B$60,P263&gt;=Assumptions!$B$61),K263&lt;=2),"Engaged, not converting",IF(AND(K263=1,O263&lt;Assumptions!$B$60,P263&lt;Assumptions!$B$61),"One-off low-touch buyer","Light-touch repeat buyer")))))</f>
        <v>One-off low-touch buyer</v>
      </c>
      <c r="AE263" s="10" t="b">
        <f aca="false">INDEX(Segmentation!$AW$2:$AW$301,MATCH($A263,Segmentation!$A$2:$A$301,0))</f>
        <v>0</v>
      </c>
    </row>
    <row r="264" customFormat="false" ht="15" hidden="false" customHeight="false" outlineLevel="0" collapsed="false">
      <c r="A264" s="2" t="s">
        <v>856</v>
      </c>
      <c r="B264" s="2" t="s">
        <v>1574</v>
      </c>
      <c r="C264" s="2" t="s">
        <v>1640</v>
      </c>
      <c r="D264" s="2" t="s">
        <v>1658</v>
      </c>
      <c r="E264" s="2" t="str">
        <f aca="false">INDEX(Segmentation!$H$2:$H$301,MATCH($A264,Segmentation!$A$2:$A$301,0))</f>
        <v>Self-Serve</v>
      </c>
      <c r="F264" s="2" t="str">
        <f aca="false">INDEX(Segmentation!$J$2:$J$301,MATCH($A264,Segmentation!$A$2:$A$301,0))</f>
        <v>Tail</v>
      </c>
      <c r="G264" s="2" t="str">
        <f aca="false">INDEX(Segmentation!$N$2:$N$301,MATCH($A264,Segmentation!$A$2:$A$301,0))</f>
        <v>H2 Active / No H1 GMV</v>
      </c>
      <c r="H264" s="2" t="str">
        <f aca="false">INDEX(Segmentation!$T$2:$T$301,MATCH($A264,Segmentation!$A$2:$A$301,0))</f>
        <v>9. Long-Tail Automated Nurture</v>
      </c>
      <c r="I264" s="2" t="str">
        <f aca="false">INDEX(Segmentation!$G$2:$G$301,MATCH($A264,Segmentation!$A$2:$A$301,0))</f>
        <v>Low</v>
      </c>
      <c r="J264" s="9" t="n">
        <f aca="false">INDEX(Segmentation!$I$2:$I$301,MATCH($A264,Segmentation!$A$2:$A$301,0))</f>
        <v>211</v>
      </c>
      <c r="K264" s="2" t="n">
        <f aca="false">INDEX(Segmentation!$O$2:$O$301,MATCH($A264,Segmentation!$A$2:$A$301,0))</f>
        <v>1</v>
      </c>
      <c r="L264" s="2" t="n">
        <f aca="false">INDEX(Segmentation!$Q$2:$Q$301,MATCH($A264,Segmentation!$A$2:$A$301,0))</f>
        <v>1</v>
      </c>
      <c r="M264" s="2" t="n">
        <f aca="false">INDEX(Segmentation!$W$2:$W$301,MATCH($A264,Segmentation!$A$2:$A$301,0))</f>
        <v>1</v>
      </c>
      <c r="N264" s="2" t="str">
        <f aca="false">INDEX(Segmentation!$AF$2:$AF$301,MATCH($A264,Segmentation!$A$2:$A$301,0))</f>
        <v>New Customer</v>
      </c>
      <c r="O264" s="2" t="n">
        <f aca="false">INDEX(Segmentation!$R$2:$R$301,MATCH($A264,Segmentation!$A$2:$A$301,0))</f>
        <v>16</v>
      </c>
      <c r="P264" s="2" t="n">
        <v>272</v>
      </c>
      <c r="Q264" s="2" t="n">
        <f aca="false">INDEX(Segmentation!$S$2:$S$301,MATCH($A264,Segmentation!$A$2:$A$301,0))</f>
        <v>6</v>
      </c>
      <c r="R264" s="2" t="n">
        <v>3</v>
      </c>
      <c r="S264" s="2" t="n">
        <v>0</v>
      </c>
      <c r="T264" s="2" t="n">
        <v>0</v>
      </c>
      <c r="U264" s="2" t="n">
        <v>1</v>
      </c>
      <c r="V264" s="2" t="n">
        <v>100</v>
      </c>
      <c r="W264" s="2" t="str">
        <f aca="false">IF(V264=100,"Bundle-only",IF(V264=0,"Handpick-only","Mixed"))</f>
        <v>Bundle-only</v>
      </c>
      <c r="X264" s="17" t="n">
        <f aca="false">L264/K264</f>
        <v>1</v>
      </c>
      <c r="Y264" s="9" t="n">
        <f aca="false">J264/K264</f>
        <v>211</v>
      </c>
      <c r="Z264" s="10" t="b">
        <f aca="false">O264&gt;=Assumptions!$B$57</f>
        <v>1</v>
      </c>
      <c r="AA264" s="10" t="b">
        <f aca="false">P264&gt;=Assumptions!$B$58</f>
        <v>1</v>
      </c>
      <c r="AB264" s="10" t="b">
        <f aca="false">Q264&gt;=Assumptions!$B$59</f>
        <v>1</v>
      </c>
      <c r="AC264" s="2" t="n">
        <f aca="false">Z264*1+AA264*1+AB264*1</f>
        <v>3</v>
      </c>
      <c r="AD264" s="2" t="str">
        <f aca="false">IF(E264="Broker-Reliant","Broker-led, product-blind",IF(AND(I264="Low",F264&lt;&gt;"Tail",OR(G264="Declining",G264="Lapsed"),OR(O264&gt;=Assumptions!$B$60,P264&gt;=Assumptions!$B$61)),"Engaged but shrinking (Key/Core)",IF(AND(O264&gt;=Assumptions!$B$60,P264&gt;=Assumptions!$B$61,Q264&gt;=Assumptions!$B$62,K264&gt;=Assumptions!$B$63),"Independent browser-buyer",IF(AND(OR(O264&gt;=Assumptions!$B$60,P264&gt;=Assumptions!$B$61),K264&lt;=2),"Engaged, not converting",IF(AND(K264=1,O264&lt;Assumptions!$B$60,P264&lt;Assumptions!$B$61),"One-off low-touch buyer","Light-touch repeat buyer")))))</f>
        <v>Engaged, not converting</v>
      </c>
      <c r="AE264" s="10" t="b">
        <f aca="false">INDEX(Segmentation!$AW$2:$AW$301,MATCH($A264,Segmentation!$A$2:$A$301,0))</f>
        <v>0</v>
      </c>
    </row>
    <row r="265" customFormat="false" ht="15" hidden="false" customHeight="false" outlineLevel="0" collapsed="false">
      <c r="A265" s="2" t="s">
        <v>860</v>
      </c>
      <c r="B265" s="2" t="s">
        <v>1574</v>
      </c>
      <c r="C265" s="2" t="s">
        <v>1640</v>
      </c>
      <c r="D265" s="2" t="s">
        <v>1655</v>
      </c>
      <c r="E265" s="2" t="str">
        <f aca="false">INDEX(Segmentation!$H$2:$H$301,MATCH($A265,Segmentation!$A$2:$A$301,0))</f>
        <v>Self-Serve</v>
      </c>
      <c r="F265" s="2" t="str">
        <f aca="false">INDEX(Segmentation!$J$2:$J$301,MATCH($A265,Segmentation!$A$2:$A$301,0))</f>
        <v>Tail</v>
      </c>
      <c r="G265" s="2" t="str">
        <f aca="false">INDEX(Segmentation!$N$2:$N$301,MATCH($A265,Segmentation!$A$2:$A$301,0))</f>
        <v>H2 Active / No H1 GMV</v>
      </c>
      <c r="H265" s="2" t="str">
        <f aca="false">INDEX(Segmentation!$T$2:$T$301,MATCH($A265,Segmentation!$A$2:$A$301,0))</f>
        <v>9. Long-Tail Automated Nurture</v>
      </c>
      <c r="I265" s="2" t="str">
        <f aca="false">INDEX(Segmentation!$G$2:$G$301,MATCH($A265,Segmentation!$A$2:$A$301,0))</f>
        <v>Low</v>
      </c>
      <c r="J265" s="9" t="n">
        <f aca="false">INDEX(Segmentation!$I$2:$I$301,MATCH($A265,Segmentation!$A$2:$A$301,0))</f>
        <v>209</v>
      </c>
      <c r="K265" s="2" t="n">
        <f aca="false">INDEX(Segmentation!$O$2:$O$301,MATCH($A265,Segmentation!$A$2:$A$301,0))</f>
        <v>1</v>
      </c>
      <c r="L265" s="2" t="n">
        <f aca="false">INDEX(Segmentation!$Q$2:$Q$301,MATCH($A265,Segmentation!$A$2:$A$301,0))</f>
        <v>1</v>
      </c>
      <c r="M265" s="2" t="n">
        <f aca="false">INDEX(Segmentation!$W$2:$W$301,MATCH($A265,Segmentation!$A$2:$A$301,0))</f>
        <v>1</v>
      </c>
      <c r="N265" s="2" t="str">
        <f aca="false">INDEX(Segmentation!$AF$2:$AF$301,MATCH($A265,Segmentation!$A$2:$A$301,0))</f>
        <v>New Customer</v>
      </c>
      <c r="O265" s="2" t="n">
        <f aca="false">INDEX(Segmentation!$R$2:$R$301,MATCH($A265,Segmentation!$A$2:$A$301,0))</f>
        <v>4</v>
      </c>
      <c r="P265" s="2" t="n">
        <v>10</v>
      </c>
      <c r="Q265" s="2" t="n">
        <f aca="false">INDEX(Segmentation!$S$2:$S$301,MATCH($A265,Segmentation!$A$2:$A$301,0))</f>
        <v>0</v>
      </c>
      <c r="R265" s="2" t="n">
        <v>0</v>
      </c>
      <c r="S265" s="2" t="n">
        <v>0</v>
      </c>
      <c r="T265" s="2" t="n">
        <v>0</v>
      </c>
      <c r="U265" s="2" t="n">
        <v>1</v>
      </c>
      <c r="V265" s="2" t="n">
        <v>100</v>
      </c>
      <c r="W265" s="2" t="str">
        <f aca="false">IF(V265=100,"Bundle-only",IF(V265=0,"Handpick-only","Mixed"))</f>
        <v>Bundle-only</v>
      </c>
      <c r="X265" s="17" t="n">
        <f aca="false">L265/K265</f>
        <v>1</v>
      </c>
      <c r="Y265" s="9" t="n">
        <f aca="false">J265/K265</f>
        <v>209</v>
      </c>
      <c r="Z265" s="10" t="b">
        <f aca="false">O265&gt;=Assumptions!$B$57</f>
        <v>0</v>
      </c>
      <c r="AA265" s="10" t="b">
        <f aca="false">P265&gt;=Assumptions!$B$58</f>
        <v>0</v>
      </c>
      <c r="AB265" s="10" t="b">
        <f aca="false">Q265&gt;=Assumptions!$B$59</f>
        <v>0</v>
      </c>
      <c r="AC265" s="2" t="n">
        <f aca="false">Z265*1+AA265*1+AB265*1</f>
        <v>0</v>
      </c>
      <c r="AD265" s="2" t="str">
        <f aca="false">IF(E265="Broker-Reliant","Broker-led, product-blind",IF(AND(I265="Low",F265&lt;&gt;"Tail",OR(G265="Declining",G265="Lapsed"),OR(O265&gt;=Assumptions!$B$60,P265&gt;=Assumptions!$B$61)),"Engaged but shrinking (Key/Core)",IF(AND(O265&gt;=Assumptions!$B$60,P265&gt;=Assumptions!$B$61,Q265&gt;=Assumptions!$B$62,K265&gt;=Assumptions!$B$63),"Independent browser-buyer",IF(AND(OR(O265&gt;=Assumptions!$B$60,P265&gt;=Assumptions!$B$61),K265&lt;=2),"Engaged, not converting",IF(AND(K265=1,O265&lt;Assumptions!$B$60,P265&lt;Assumptions!$B$61),"One-off low-touch buyer","Light-touch repeat buyer")))))</f>
        <v>One-off low-touch buyer</v>
      </c>
      <c r="AE265" s="10" t="b">
        <f aca="false">INDEX(Segmentation!$AW$2:$AW$301,MATCH($A265,Segmentation!$A$2:$A$301,0))</f>
        <v>0</v>
      </c>
    </row>
    <row r="266" customFormat="false" ht="15" hidden="false" customHeight="false" outlineLevel="0" collapsed="false">
      <c r="A266" s="2" t="s">
        <v>868</v>
      </c>
      <c r="B266" s="2" t="s">
        <v>1574</v>
      </c>
      <c r="C266" s="2" t="s">
        <v>1640</v>
      </c>
      <c r="D266" s="2" t="s">
        <v>1657</v>
      </c>
      <c r="E266" s="2" t="str">
        <f aca="false">INDEX(Segmentation!$H$2:$H$301,MATCH($A266,Segmentation!$A$2:$A$301,0))</f>
        <v>Self-Serve</v>
      </c>
      <c r="F266" s="2" t="str">
        <f aca="false">INDEX(Segmentation!$J$2:$J$301,MATCH($A266,Segmentation!$A$2:$A$301,0))</f>
        <v>Tail</v>
      </c>
      <c r="G266" s="2" t="str">
        <f aca="false">INDEX(Segmentation!$N$2:$N$301,MATCH($A266,Segmentation!$A$2:$A$301,0))</f>
        <v>H2 Active / No H1 GMV</v>
      </c>
      <c r="H266" s="2" t="str">
        <f aca="false">INDEX(Segmentation!$T$2:$T$301,MATCH($A266,Segmentation!$A$2:$A$301,0))</f>
        <v>9. Long-Tail Automated Nurture</v>
      </c>
      <c r="I266" s="2" t="str">
        <f aca="false">INDEX(Segmentation!$G$2:$G$301,MATCH($A266,Segmentation!$A$2:$A$301,0))</f>
        <v>Low</v>
      </c>
      <c r="J266" s="9" t="n">
        <f aca="false">INDEX(Segmentation!$I$2:$I$301,MATCH($A266,Segmentation!$A$2:$A$301,0))</f>
        <v>196</v>
      </c>
      <c r="K266" s="2" t="n">
        <f aca="false">INDEX(Segmentation!$O$2:$O$301,MATCH($A266,Segmentation!$A$2:$A$301,0))</f>
        <v>1</v>
      </c>
      <c r="L266" s="2" t="n">
        <f aca="false">INDEX(Segmentation!$Q$2:$Q$301,MATCH($A266,Segmentation!$A$2:$A$301,0))</f>
        <v>1</v>
      </c>
      <c r="M266" s="2" t="n">
        <f aca="false">INDEX(Segmentation!$W$2:$W$301,MATCH($A266,Segmentation!$A$2:$A$301,0))</f>
        <v>1</v>
      </c>
      <c r="N266" s="2" t="str">
        <f aca="false">INDEX(Segmentation!$AF$2:$AF$301,MATCH($A266,Segmentation!$A$2:$A$301,0))</f>
        <v>New Customer</v>
      </c>
      <c r="O266" s="2" t="n">
        <f aca="false">INDEX(Segmentation!$R$2:$R$301,MATCH($A266,Segmentation!$A$2:$A$301,0))</f>
        <v>8</v>
      </c>
      <c r="P266" s="2" t="n">
        <v>110</v>
      </c>
      <c r="Q266" s="2" t="n">
        <f aca="false">INDEX(Segmentation!$S$2:$S$301,MATCH($A266,Segmentation!$A$2:$A$301,0))</f>
        <v>0</v>
      </c>
      <c r="R266" s="2" t="n">
        <v>27</v>
      </c>
      <c r="S266" s="2" t="n">
        <v>0</v>
      </c>
      <c r="T266" s="2" t="n">
        <v>1</v>
      </c>
      <c r="U266" s="2" t="n">
        <v>0</v>
      </c>
      <c r="V266" s="2" t="n">
        <v>0</v>
      </c>
      <c r="W266" s="2" t="str">
        <f aca="false">IF(V266=100,"Bundle-only",IF(V266=0,"Handpick-only","Mixed"))</f>
        <v>Handpick-only</v>
      </c>
      <c r="X266" s="17" t="n">
        <f aca="false">L266/K266</f>
        <v>1</v>
      </c>
      <c r="Y266" s="9" t="n">
        <f aca="false">J266/K266</f>
        <v>196</v>
      </c>
      <c r="Z266" s="10" t="b">
        <f aca="false">O266&gt;=Assumptions!$B$57</f>
        <v>0</v>
      </c>
      <c r="AA266" s="10" t="b">
        <f aca="false">P266&gt;=Assumptions!$B$58</f>
        <v>1</v>
      </c>
      <c r="AB266" s="10" t="b">
        <f aca="false">Q266&gt;=Assumptions!$B$59</f>
        <v>0</v>
      </c>
      <c r="AC266" s="2" t="n">
        <f aca="false">Z266*1+AA266*1+AB266*1</f>
        <v>1</v>
      </c>
      <c r="AD266" s="2" t="str">
        <f aca="false">IF(E266="Broker-Reliant","Broker-led, product-blind",IF(AND(I266="Low",F266&lt;&gt;"Tail",OR(G266="Declining",G266="Lapsed"),OR(O266&gt;=Assumptions!$B$60,P266&gt;=Assumptions!$B$61)),"Engaged but shrinking (Key/Core)",IF(AND(O266&gt;=Assumptions!$B$60,P266&gt;=Assumptions!$B$61,Q266&gt;=Assumptions!$B$62,K266&gt;=Assumptions!$B$63),"Independent browser-buyer",IF(AND(OR(O266&gt;=Assumptions!$B$60,P266&gt;=Assumptions!$B$61),K266&lt;=2),"Engaged, not converting",IF(AND(K266=1,O266&lt;Assumptions!$B$60,P266&lt;Assumptions!$B$61),"One-off low-touch buyer","Light-touch repeat buyer")))))</f>
        <v>One-off low-touch buyer</v>
      </c>
      <c r="AE266" s="10" t="b">
        <f aca="false">INDEX(Segmentation!$AW$2:$AW$301,MATCH($A266,Segmentation!$A$2:$A$301,0))</f>
        <v>0</v>
      </c>
    </row>
    <row r="267" customFormat="false" ht="15" hidden="false" customHeight="false" outlineLevel="0" collapsed="false">
      <c r="A267" s="2" t="s">
        <v>872</v>
      </c>
      <c r="B267" s="2" t="s">
        <v>1574</v>
      </c>
      <c r="C267" s="2" t="s">
        <v>1640</v>
      </c>
      <c r="D267" s="2" t="s">
        <v>1657</v>
      </c>
      <c r="E267" s="2" t="str">
        <f aca="false">INDEX(Segmentation!$H$2:$H$301,MATCH($A267,Segmentation!$A$2:$A$301,0))</f>
        <v>Self-Serve</v>
      </c>
      <c r="F267" s="2" t="str">
        <f aca="false">INDEX(Segmentation!$J$2:$J$301,MATCH($A267,Segmentation!$A$2:$A$301,0))</f>
        <v>Tail</v>
      </c>
      <c r="G267" s="2" t="str">
        <f aca="false">INDEX(Segmentation!$N$2:$N$301,MATCH($A267,Segmentation!$A$2:$A$301,0))</f>
        <v>Lapsed</v>
      </c>
      <c r="H267" s="2" t="str">
        <f aca="false">INDEX(Segmentation!$T$2:$T$301,MATCH($A267,Segmentation!$A$2:$A$301,0))</f>
        <v>9. Long-Tail Automated Nurture</v>
      </c>
      <c r="I267" s="2" t="str">
        <f aca="false">INDEX(Segmentation!$G$2:$G$301,MATCH($A267,Segmentation!$A$2:$A$301,0))</f>
        <v>Low</v>
      </c>
      <c r="J267" s="9" t="n">
        <f aca="false">INDEX(Segmentation!$I$2:$I$301,MATCH($A267,Segmentation!$A$2:$A$301,0))</f>
        <v>188</v>
      </c>
      <c r="K267" s="2" t="n">
        <f aca="false">INDEX(Segmentation!$O$2:$O$301,MATCH($A267,Segmentation!$A$2:$A$301,0))</f>
        <v>1</v>
      </c>
      <c r="L267" s="2" t="n">
        <f aca="false">INDEX(Segmentation!$Q$2:$Q$301,MATCH($A267,Segmentation!$A$2:$A$301,0))</f>
        <v>1</v>
      </c>
      <c r="M267" s="2" t="n">
        <f aca="false">INDEX(Segmentation!$W$2:$W$301,MATCH($A267,Segmentation!$A$2:$A$301,0))</f>
        <v>1</v>
      </c>
      <c r="N267" s="2" t="str">
        <f aca="false">INDEX(Segmentation!$AF$2:$AF$301,MATCH($A267,Segmentation!$A$2:$A$301,0))</f>
        <v>Existing Customer</v>
      </c>
      <c r="O267" s="2" t="n">
        <f aca="false">INDEX(Segmentation!$R$2:$R$301,MATCH($A267,Segmentation!$A$2:$A$301,0))</f>
        <v>13</v>
      </c>
      <c r="P267" s="2" t="n">
        <v>277</v>
      </c>
      <c r="Q267" s="2" t="n">
        <f aca="false">INDEX(Segmentation!$S$2:$S$301,MATCH($A267,Segmentation!$A$2:$A$301,0))</f>
        <v>2</v>
      </c>
      <c r="R267" s="2" t="n">
        <v>1</v>
      </c>
      <c r="S267" s="2" t="n">
        <v>0</v>
      </c>
      <c r="T267" s="2" t="n">
        <v>0</v>
      </c>
      <c r="U267" s="2" t="n">
        <v>1</v>
      </c>
      <c r="V267" s="2" t="n">
        <v>100</v>
      </c>
      <c r="W267" s="2" t="str">
        <f aca="false">IF(V267=100,"Bundle-only",IF(V267=0,"Handpick-only","Mixed"))</f>
        <v>Bundle-only</v>
      </c>
      <c r="X267" s="17" t="n">
        <f aca="false">L267/K267</f>
        <v>1</v>
      </c>
      <c r="Y267" s="9" t="n">
        <f aca="false">J267/K267</f>
        <v>188</v>
      </c>
      <c r="Z267" s="10" t="b">
        <f aca="false">O267&gt;=Assumptions!$B$57</f>
        <v>1</v>
      </c>
      <c r="AA267" s="10" t="b">
        <f aca="false">P267&gt;=Assumptions!$B$58</f>
        <v>1</v>
      </c>
      <c r="AB267" s="10" t="b">
        <f aca="false">Q267&gt;=Assumptions!$B$59</f>
        <v>0</v>
      </c>
      <c r="AC267" s="2" t="n">
        <f aca="false">Z267*1+AA267*1+AB267*1</f>
        <v>2</v>
      </c>
      <c r="AD267" s="2" t="str">
        <f aca="false">IF(E267="Broker-Reliant","Broker-led, product-blind",IF(AND(I267="Low",F267&lt;&gt;"Tail",OR(G267="Declining",G267="Lapsed"),OR(O267&gt;=Assumptions!$B$60,P267&gt;=Assumptions!$B$61)),"Engaged but shrinking (Key/Core)",IF(AND(O267&gt;=Assumptions!$B$60,P267&gt;=Assumptions!$B$61,Q267&gt;=Assumptions!$B$62,K267&gt;=Assumptions!$B$63),"Independent browser-buyer",IF(AND(OR(O267&gt;=Assumptions!$B$60,P267&gt;=Assumptions!$B$61),K267&lt;=2),"Engaged, not converting",IF(AND(K267=1,O267&lt;Assumptions!$B$60,P267&lt;Assumptions!$B$61),"One-off low-touch buyer","Light-touch repeat buyer")))))</f>
        <v>Engaged, not converting</v>
      </c>
      <c r="AE267" s="10" t="b">
        <f aca="false">INDEX(Segmentation!$AW$2:$AW$301,MATCH($A267,Segmentation!$A$2:$A$301,0))</f>
        <v>0</v>
      </c>
    </row>
    <row r="268" customFormat="false" ht="15" hidden="false" customHeight="false" outlineLevel="0" collapsed="false">
      <c r="A268" s="2" t="s">
        <v>876</v>
      </c>
      <c r="B268" s="2" t="s">
        <v>1574</v>
      </c>
      <c r="C268" s="2" t="s">
        <v>1640</v>
      </c>
      <c r="D268" s="2" t="s">
        <v>1653</v>
      </c>
      <c r="E268" s="2" t="str">
        <f aca="false">INDEX(Segmentation!$H$2:$H$301,MATCH($A268,Segmentation!$A$2:$A$301,0))</f>
        <v>Self-Serve</v>
      </c>
      <c r="F268" s="2" t="str">
        <f aca="false">INDEX(Segmentation!$J$2:$J$301,MATCH($A268,Segmentation!$A$2:$A$301,0))</f>
        <v>Tail</v>
      </c>
      <c r="G268" s="2" t="str">
        <f aca="false">INDEX(Segmentation!$N$2:$N$301,MATCH($A268,Segmentation!$A$2:$A$301,0))</f>
        <v>Lapsed</v>
      </c>
      <c r="H268" s="2" t="str">
        <f aca="false">INDEX(Segmentation!$T$2:$T$301,MATCH($A268,Segmentation!$A$2:$A$301,0))</f>
        <v>9. Long-Tail Automated Nurture</v>
      </c>
      <c r="I268" s="2" t="str">
        <f aca="false">INDEX(Segmentation!$G$2:$G$301,MATCH($A268,Segmentation!$A$2:$A$301,0))</f>
        <v>Low</v>
      </c>
      <c r="J268" s="9" t="n">
        <f aca="false">INDEX(Segmentation!$I$2:$I$301,MATCH($A268,Segmentation!$A$2:$A$301,0))</f>
        <v>186</v>
      </c>
      <c r="K268" s="2" t="n">
        <f aca="false">INDEX(Segmentation!$O$2:$O$301,MATCH($A268,Segmentation!$A$2:$A$301,0))</f>
        <v>2</v>
      </c>
      <c r="L268" s="2" t="n">
        <f aca="false">INDEX(Segmentation!$Q$2:$Q$301,MATCH($A268,Segmentation!$A$2:$A$301,0))</f>
        <v>2</v>
      </c>
      <c r="M268" s="2" t="n">
        <f aca="false">INDEX(Segmentation!$W$2:$W$301,MATCH($A268,Segmentation!$A$2:$A$301,0))</f>
        <v>1</v>
      </c>
      <c r="N268" s="2" t="str">
        <f aca="false">INDEX(Segmentation!$AF$2:$AF$301,MATCH($A268,Segmentation!$A$2:$A$301,0))</f>
        <v>Existing Customer</v>
      </c>
      <c r="O268" s="2" t="n">
        <f aca="false">INDEX(Segmentation!$R$2:$R$301,MATCH($A268,Segmentation!$A$2:$A$301,0))</f>
        <v>57</v>
      </c>
      <c r="P268" s="2" t="n">
        <v>1764</v>
      </c>
      <c r="Q268" s="2" t="n">
        <f aca="false">INDEX(Segmentation!$S$2:$S$301,MATCH($A268,Segmentation!$A$2:$A$301,0))</f>
        <v>9</v>
      </c>
      <c r="R268" s="2" t="n">
        <v>2</v>
      </c>
      <c r="S268" s="2" t="n">
        <v>0</v>
      </c>
      <c r="T268" s="2" t="n">
        <v>0</v>
      </c>
      <c r="U268" s="2" t="n">
        <v>2</v>
      </c>
      <c r="V268" s="2" t="n">
        <v>100</v>
      </c>
      <c r="W268" s="2" t="str">
        <f aca="false">IF(V268=100,"Bundle-only",IF(V268=0,"Handpick-only","Mixed"))</f>
        <v>Bundle-only</v>
      </c>
      <c r="X268" s="17" t="n">
        <f aca="false">L268/K268</f>
        <v>1</v>
      </c>
      <c r="Y268" s="9" t="n">
        <f aca="false">J268/K268</f>
        <v>93</v>
      </c>
      <c r="Z268" s="10" t="b">
        <f aca="false">O268&gt;=Assumptions!$B$57</f>
        <v>1</v>
      </c>
      <c r="AA268" s="10" t="b">
        <f aca="false">P268&gt;=Assumptions!$B$58</f>
        <v>1</v>
      </c>
      <c r="AB268" s="10" t="b">
        <f aca="false">Q268&gt;=Assumptions!$B$59</f>
        <v>1</v>
      </c>
      <c r="AC268" s="2" t="n">
        <f aca="false">Z268*1+AA268*1+AB268*1</f>
        <v>3</v>
      </c>
      <c r="AD268" s="2" t="str">
        <f aca="false">IF(E268="Broker-Reliant","Broker-led, product-blind",IF(AND(I268="Low",F268&lt;&gt;"Tail",OR(G268="Declining",G268="Lapsed"),OR(O268&gt;=Assumptions!$B$60,P268&gt;=Assumptions!$B$61)),"Engaged but shrinking (Key/Core)",IF(AND(O268&gt;=Assumptions!$B$60,P268&gt;=Assumptions!$B$61,Q268&gt;=Assumptions!$B$62,K268&gt;=Assumptions!$B$63),"Independent browser-buyer",IF(AND(OR(O268&gt;=Assumptions!$B$60,P268&gt;=Assumptions!$B$61),K268&lt;=2),"Engaged, not converting",IF(AND(K268=1,O268&lt;Assumptions!$B$60,P268&lt;Assumptions!$B$61),"One-off low-touch buyer","Light-touch repeat buyer")))))</f>
        <v>Engaged, not converting</v>
      </c>
      <c r="AE268" s="10" t="b">
        <f aca="false">INDEX(Segmentation!$AW$2:$AW$301,MATCH($A268,Segmentation!$A$2:$A$301,0))</f>
        <v>0</v>
      </c>
    </row>
    <row r="269" customFormat="false" ht="15" hidden="false" customHeight="false" outlineLevel="0" collapsed="false">
      <c r="A269" s="2" t="s">
        <v>880</v>
      </c>
      <c r="B269" s="2" t="s">
        <v>1574</v>
      </c>
      <c r="C269" s="2" t="s">
        <v>1640</v>
      </c>
      <c r="D269" s="2" t="s">
        <v>1653</v>
      </c>
      <c r="E269" s="2" t="str">
        <f aca="false">INDEX(Segmentation!$H$2:$H$301,MATCH($A269,Segmentation!$A$2:$A$301,0))</f>
        <v>Self-Serve</v>
      </c>
      <c r="F269" s="2" t="str">
        <f aca="false">INDEX(Segmentation!$J$2:$J$301,MATCH($A269,Segmentation!$A$2:$A$301,0))</f>
        <v>Tail</v>
      </c>
      <c r="G269" s="2" t="str">
        <f aca="false">INDEX(Segmentation!$N$2:$N$301,MATCH($A269,Segmentation!$A$2:$A$301,0))</f>
        <v>H2 Active / No H1 GMV</v>
      </c>
      <c r="H269" s="2" t="str">
        <f aca="false">INDEX(Segmentation!$T$2:$T$301,MATCH($A269,Segmentation!$A$2:$A$301,0))</f>
        <v>9. Long-Tail Automated Nurture</v>
      </c>
      <c r="I269" s="2" t="str">
        <f aca="false">INDEX(Segmentation!$G$2:$G$301,MATCH($A269,Segmentation!$A$2:$A$301,0))</f>
        <v>Low</v>
      </c>
      <c r="J269" s="9" t="n">
        <f aca="false">INDEX(Segmentation!$I$2:$I$301,MATCH($A269,Segmentation!$A$2:$A$301,0))</f>
        <v>182</v>
      </c>
      <c r="K269" s="2" t="n">
        <f aca="false">INDEX(Segmentation!$O$2:$O$301,MATCH($A269,Segmentation!$A$2:$A$301,0))</f>
        <v>2</v>
      </c>
      <c r="L269" s="2" t="n">
        <f aca="false">INDEX(Segmentation!$Q$2:$Q$301,MATCH($A269,Segmentation!$A$2:$A$301,0))</f>
        <v>2</v>
      </c>
      <c r="M269" s="2" t="n">
        <f aca="false">INDEX(Segmentation!$W$2:$W$301,MATCH($A269,Segmentation!$A$2:$A$301,0))</f>
        <v>1</v>
      </c>
      <c r="N269" s="2" t="str">
        <f aca="false">INDEX(Segmentation!$AF$2:$AF$301,MATCH($A269,Segmentation!$A$2:$A$301,0))</f>
        <v>New Customer</v>
      </c>
      <c r="O269" s="2" t="n">
        <f aca="false">INDEX(Segmentation!$R$2:$R$301,MATCH($A269,Segmentation!$A$2:$A$301,0))</f>
        <v>10</v>
      </c>
      <c r="P269" s="2" t="n">
        <v>195</v>
      </c>
      <c r="Q269" s="2" t="n">
        <f aca="false">INDEX(Segmentation!$S$2:$S$301,MATCH($A269,Segmentation!$A$2:$A$301,0))</f>
        <v>6</v>
      </c>
      <c r="R269" s="2" t="n">
        <v>4</v>
      </c>
      <c r="S269" s="2" t="n">
        <v>0</v>
      </c>
      <c r="T269" s="2" t="n">
        <v>1</v>
      </c>
      <c r="U269" s="2" t="n">
        <v>1</v>
      </c>
      <c r="V269" s="2" t="n">
        <v>33</v>
      </c>
      <c r="W269" s="2" t="str">
        <f aca="false">IF(V269=100,"Bundle-only",IF(V269=0,"Handpick-only","Mixed"))</f>
        <v>Mixed</v>
      </c>
      <c r="X269" s="17" t="n">
        <f aca="false">L269/K269</f>
        <v>1</v>
      </c>
      <c r="Y269" s="9" t="n">
        <f aca="false">J269/K269</f>
        <v>91</v>
      </c>
      <c r="Z269" s="10" t="b">
        <f aca="false">O269&gt;=Assumptions!$B$57</f>
        <v>1</v>
      </c>
      <c r="AA269" s="10" t="b">
        <f aca="false">P269&gt;=Assumptions!$B$58</f>
        <v>1</v>
      </c>
      <c r="AB269" s="10" t="b">
        <f aca="false">Q269&gt;=Assumptions!$B$59</f>
        <v>1</v>
      </c>
      <c r="AC269" s="2" t="n">
        <f aca="false">Z269*1+AA269*1+AB269*1</f>
        <v>3</v>
      </c>
      <c r="AD269" s="2" t="str">
        <f aca="false">IF(E269="Broker-Reliant","Broker-led, product-blind",IF(AND(I269="Low",F269&lt;&gt;"Tail",OR(G269="Declining",G269="Lapsed"),OR(O269&gt;=Assumptions!$B$60,P269&gt;=Assumptions!$B$61)),"Engaged but shrinking (Key/Core)",IF(AND(O269&gt;=Assumptions!$B$60,P269&gt;=Assumptions!$B$61,Q269&gt;=Assumptions!$B$62,K269&gt;=Assumptions!$B$63),"Independent browser-buyer",IF(AND(OR(O269&gt;=Assumptions!$B$60,P269&gt;=Assumptions!$B$61),K269&lt;=2),"Engaged, not converting",IF(AND(K269=1,O269&lt;Assumptions!$B$60,P269&lt;Assumptions!$B$61),"One-off low-touch buyer","Light-touch repeat buyer")))))</f>
        <v>Light-touch repeat buyer</v>
      </c>
      <c r="AE269" s="10" t="b">
        <f aca="false">INDEX(Segmentation!$AW$2:$AW$301,MATCH($A269,Segmentation!$A$2:$A$301,0))</f>
        <v>0</v>
      </c>
    </row>
    <row r="270" customFormat="false" ht="15" hidden="false" customHeight="false" outlineLevel="0" collapsed="false">
      <c r="A270" s="2" t="s">
        <v>882</v>
      </c>
      <c r="B270" s="2" t="s">
        <v>1574</v>
      </c>
      <c r="C270" s="2" t="s">
        <v>1640</v>
      </c>
      <c r="D270" s="2" t="s">
        <v>1658</v>
      </c>
      <c r="E270" s="2" t="str">
        <f aca="false">INDEX(Segmentation!$H$2:$H$301,MATCH($A270,Segmentation!$A$2:$A$301,0))</f>
        <v>Self-Serve</v>
      </c>
      <c r="F270" s="2" t="str">
        <f aca="false">INDEX(Segmentation!$J$2:$J$301,MATCH($A270,Segmentation!$A$2:$A$301,0))</f>
        <v>Tail</v>
      </c>
      <c r="G270" s="2" t="str">
        <f aca="false">INDEX(Segmentation!$N$2:$N$301,MATCH($A270,Segmentation!$A$2:$A$301,0))</f>
        <v>H2 Active / No H1 GMV</v>
      </c>
      <c r="H270" s="2" t="str">
        <f aca="false">INDEX(Segmentation!$T$2:$T$301,MATCH($A270,Segmentation!$A$2:$A$301,0))</f>
        <v>9. Long-Tail Automated Nurture</v>
      </c>
      <c r="I270" s="2" t="str">
        <f aca="false">INDEX(Segmentation!$G$2:$G$301,MATCH($A270,Segmentation!$A$2:$A$301,0))</f>
        <v>Low</v>
      </c>
      <c r="J270" s="9" t="n">
        <f aca="false">INDEX(Segmentation!$I$2:$I$301,MATCH($A270,Segmentation!$A$2:$A$301,0))</f>
        <v>181</v>
      </c>
      <c r="K270" s="2" t="n">
        <f aca="false">INDEX(Segmentation!$O$2:$O$301,MATCH($A270,Segmentation!$A$2:$A$301,0))</f>
        <v>1</v>
      </c>
      <c r="L270" s="2" t="n">
        <f aca="false">INDEX(Segmentation!$Q$2:$Q$301,MATCH($A270,Segmentation!$A$2:$A$301,0))</f>
        <v>1</v>
      </c>
      <c r="M270" s="2" t="n">
        <f aca="false">INDEX(Segmentation!$W$2:$W$301,MATCH($A270,Segmentation!$A$2:$A$301,0))</f>
        <v>1</v>
      </c>
      <c r="N270" s="2" t="str">
        <f aca="false">INDEX(Segmentation!$AF$2:$AF$301,MATCH($A270,Segmentation!$A$2:$A$301,0))</f>
        <v>New Customer</v>
      </c>
      <c r="O270" s="2" t="n">
        <f aca="false">INDEX(Segmentation!$R$2:$R$301,MATCH($A270,Segmentation!$A$2:$A$301,0))</f>
        <v>4</v>
      </c>
      <c r="P270" s="2" t="n">
        <v>90</v>
      </c>
      <c r="Q270" s="2" t="n">
        <f aca="false">INDEX(Segmentation!$S$2:$S$301,MATCH($A270,Segmentation!$A$2:$A$301,0))</f>
        <v>1</v>
      </c>
      <c r="R270" s="2" t="n">
        <v>0</v>
      </c>
      <c r="S270" s="2" t="n">
        <v>0</v>
      </c>
      <c r="T270" s="2" t="n">
        <v>0</v>
      </c>
      <c r="U270" s="2" t="n">
        <v>1</v>
      </c>
      <c r="V270" s="2" t="n">
        <v>100</v>
      </c>
      <c r="W270" s="2" t="str">
        <f aca="false">IF(V270=100,"Bundle-only",IF(V270=0,"Handpick-only","Mixed"))</f>
        <v>Bundle-only</v>
      </c>
      <c r="X270" s="17" t="n">
        <f aca="false">L270/K270</f>
        <v>1</v>
      </c>
      <c r="Y270" s="9" t="n">
        <f aca="false">J270/K270</f>
        <v>181</v>
      </c>
      <c r="Z270" s="10" t="b">
        <f aca="false">O270&gt;=Assumptions!$B$57</f>
        <v>0</v>
      </c>
      <c r="AA270" s="10" t="b">
        <f aca="false">P270&gt;=Assumptions!$B$58</f>
        <v>1</v>
      </c>
      <c r="AB270" s="10" t="b">
        <f aca="false">Q270&gt;=Assumptions!$B$59</f>
        <v>0</v>
      </c>
      <c r="AC270" s="2" t="n">
        <f aca="false">Z270*1+AA270*1+AB270*1</f>
        <v>1</v>
      </c>
      <c r="AD270" s="2" t="str">
        <f aca="false">IF(E270="Broker-Reliant","Broker-led, product-blind",IF(AND(I270="Low",F270&lt;&gt;"Tail",OR(G270="Declining",G270="Lapsed"),OR(O270&gt;=Assumptions!$B$60,P270&gt;=Assumptions!$B$61)),"Engaged but shrinking (Key/Core)",IF(AND(O270&gt;=Assumptions!$B$60,P270&gt;=Assumptions!$B$61,Q270&gt;=Assumptions!$B$62,K270&gt;=Assumptions!$B$63),"Independent browser-buyer",IF(AND(OR(O270&gt;=Assumptions!$B$60,P270&gt;=Assumptions!$B$61),K270&lt;=2),"Engaged, not converting",IF(AND(K270=1,O270&lt;Assumptions!$B$60,P270&lt;Assumptions!$B$61),"One-off low-touch buyer","Light-touch repeat buyer")))))</f>
        <v>One-off low-touch buyer</v>
      </c>
      <c r="AE270" s="10" t="b">
        <f aca="false">INDEX(Segmentation!$AW$2:$AW$301,MATCH($A270,Segmentation!$A$2:$A$301,0))</f>
        <v>0</v>
      </c>
    </row>
    <row r="271" customFormat="false" ht="15" hidden="false" customHeight="false" outlineLevel="0" collapsed="false">
      <c r="A271" s="2" t="s">
        <v>884</v>
      </c>
      <c r="B271" s="2" t="s">
        <v>1574</v>
      </c>
      <c r="C271" s="2" t="s">
        <v>1640</v>
      </c>
      <c r="D271" s="2" t="s">
        <v>1655</v>
      </c>
      <c r="E271" s="2" t="str">
        <f aca="false">INDEX(Segmentation!$H$2:$H$301,MATCH($A271,Segmentation!$A$2:$A$301,0))</f>
        <v>Self-Serve</v>
      </c>
      <c r="F271" s="2" t="str">
        <f aca="false">INDEX(Segmentation!$J$2:$J$301,MATCH($A271,Segmentation!$A$2:$A$301,0))</f>
        <v>Tail</v>
      </c>
      <c r="G271" s="2" t="str">
        <f aca="false">INDEX(Segmentation!$N$2:$N$301,MATCH($A271,Segmentation!$A$2:$A$301,0))</f>
        <v>Lapsed</v>
      </c>
      <c r="H271" s="2" t="str">
        <f aca="false">INDEX(Segmentation!$T$2:$T$301,MATCH($A271,Segmentation!$A$2:$A$301,0))</f>
        <v>9. Long-Tail Automated Nurture</v>
      </c>
      <c r="I271" s="2" t="str">
        <f aca="false">INDEX(Segmentation!$G$2:$G$301,MATCH($A271,Segmentation!$A$2:$A$301,0))</f>
        <v>Low</v>
      </c>
      <c r="J271" s="9" t="n">
        <f aca="false">INDEX(Segmentation!$I$2:$I$301,MATCH($A271,Segmentation!$A$2:$A$301,0))</f>
        <v>180</v>
      </c>
      <c r="K271" s="2" t="n">
        <f aca="false">INDEX(Segmentation!$O$2:$O$301,MATCH($A271,Segmentation!$A$2:$A$301,0))</f>
        <v>1</v>
      </c>
      <c r="L271" s="2" t="n">
        <f aca="false">INDEX(Segmentation!$Q$2:$Q$301,MATCH($A271,Segmentation!$A$2:$A$301,0))</f>
        <v>1</v>
      </c>
      <c r="M271" s="2" t="n">
        <f aca="false">INDEX(Segmentation!$W$2:$W$301,MATCH($A271,Segmentation!$A$2:$A$301,0))</f>
        <v>1</v>
      </c>
      <c r="N271" s="2" t="str">
        <f aca="false">INDEX(Segmentation!$AF$2:$AF$301,MATCH($A271,Segmentation!$A$2:$A$301,0))</f>
        <v>Existing Customer</v>
      </c>
      <c r="O271" s="2" t="n">
        <f aca="false">INDEX(Segmentation!$R$2:$R$301,MATCH($A271,Segmentation!$A$2:$A$301,0))</f>
        <v>42</v>
      </c>
      <c r="P271" s="2" t="n">
        <v>372</v>
      </c>
      <c r="Q271" s="2" t="n">
        <f aca="false">INDEX(Segmentation!$S$2:$S$301,MATCH($A271,Segmentation!$A$2:$A$301,0))</f>
        <v>0</v>
      </c>
      <c r="R271" s="2" t="n">
        <v>2</v>
      </c>
      <c r="S271" s="2" t="n">
        <v>0</v>
      </c>
      <c r="T271" s="2" t="n">
        <v>0</v>
      </c>
      <c r="U271" s="2" t="n">
        <v>1</v>
      </c>
      <c r="V271" s="2" t="n">
        <v>100</v>
      </c>
      <c r="W271" s="2" t="str">
        <f aca="false">IF(V271=100,"Bundle-only",IF(V271=0,"Handpick-only","Mixed"))</f>
        <v>Bundle-only</v>
      </c>
      <c r="X271" s="17" t="n">
        <f aca="false">L271/K271</f>
        <v>1</v>
      </c>
      <c r="Y271" s="9" t="n">
        <f aca="false">J271/K271</f>
        <v>180</v>
      </c>
      <c r="Z271" s="10" t="b">
        <f aca="false">O271&gt;=Assumptions!$B$57</f>
        <v>1</v>
      </c>
      <c r="AA271" s="10" t="b">
        <f aca="false">P271&gt;=Assumptions!$B$58</f>
        <v>1</v>
      </c>
      <c r="AB271" s="10" t="b">
        <f aca="false">Q271&gt;=Assumptions!$B$59</f>
        <v>0</v>
      </c>
      <c r="AC271" s="2" t="n">
        <f aca="false">Z271*1+AA271*1+AB271*1</f>
        <v>2</v>
      </c>
      <c r="AD271" s="2" t="str">
        <f aca="false">IF(E271="Broker-Reliant","Broker-led, product-blind",IF(AND(I271="Low",F271&lt;&gt;"Tail",OR(G271="Declining",G271="Lapsed"),OR(O271&gt;=Assumptions!$B$60,P271&gt;=Assumptions!$B$61)),"Engaged but shrinking (Key/Core)",IF(AND(O271&gt;=Assumptions!$B$60,P271&gt;=Assumptions!$B$61,Q271&gt;=Assumptions!$B$62,K271&gt;=Assumptions!$B$63),"Independent browser-buyer",IF(AND(OR(O271&gt;=Assumptions!$B$60,P271&gt;=Assumptions!$B$61),K271&lt;=2),"Engaged, not converting",IF(AND(K271=1,O271&lt;Assumptions!$B$60,P271&lt;Assumptions!$B$61),"One-off low-touch buyer","Light-touch repeat buyer")))))</f>
        <v>Engaged, not converting</v>
      </c>
      <c r="AE271" s="10" t="b">
        <f aca="false">INDEX(Segmentation!$AW$2:$AW$301,MATCH($A271,Segmentation!$A$2:$A$301,0))</f>
        <v>0</v>
      </c>
    </row>
    <row r="272" customFormat="false" ht="15" hidden="false" customHeight="false" outlineLevel="0" collapsed="false">
      <c r="A272" s="2" t="s">
        <v>888</v>
      </c>
      <c r="B272" s="2" t="s">
        <v>1574</v>
      </c>
      <c r="C272" s="2" t="s">
        <v>1640</v>
      </c>
      <c r="D272" s="2" t="s">
        <v>1655</v>
      </c>
      <c r="E272" s="2" t="str">
        <f aca="false">INDEX(Segmentation!$H$2:$H$301,MATCH($A272,Segmentation!$A$2:$A$301,0))</f>
        <v>Self-Serve</v>
      </c>
      <c r="F272" s="2" t="str">
        <f aca="false">INDEX(Segmentation!$J$2:$J$301,MATCH($A272,Segmentation!$A$2:$A$301,0))</f>
        <v>Tail</v>
      </c>
      <c r="G272" s="2" t="str">
        <f aca="false">INDEX(Segmentation!$N$2:$N$301,MATCH($A272,Segmentation!$A$2:$A$301,0))</f>
        <v>Lapsed</v>
      </c>
      <c r="H272" s="2" t="str">
        <f aca="false">INDEX(Segmentation!$T$2:$T$301,MATCH($A272,Segmentation!$A$2:$A$301,0))</f>
        <v>9. Long-Tail Automated Nurture</v>
      </c>
      <c r="I272" s="2" t="str">
        <f aca="false">INDEX(Segmentation!$G$2:$G$301,MATCH($A272,Segmentation!$A$2:$A$301,0))</f>
        <v>Low</v>
      </c>
      <c r="J272" s="9" t="n">
        <f aca="false">INDEX(Segmentation!$I$2:$I$301,MATCH($A272,Segmentation!$A$2:$A$301,0))</f>
        <v>173</v>
      </c>
      <c r="K272" s="2" t="n">
        <f aca="false">INDEX(Segmentation!$O$2:$O$301,MATCH($A272,Segmentation!$A$2:$A$301,0))</f>
        <v>1</v>
      </c>
      <c r="L272" s="2" t="n">
        <f aca="false">INDEX(Segmentation!$Q$2:$Q$301,MATCH($A272,Segmentation!$A$2:$A$301,0))</f>
        <v>1</v>
      </c>
      <c r="M272" s="2" t="n">
        <f aca="false">INDEX(Segmentation!$W$2:$W$301,MATCH($A272,Segmentation!$A$2:$A$301,0))</f>
        <v>1</v>
      </c>
      <c r="N272" s="2" t="str">
        <f aca="false">INDEX(Segmentation!$AF$2:$AF$301,MATCH($A272,Segmentation!$A$2:$A$301,0))</f>
        <v>Existing Customer</v>
      </c>
      <c r="O272" s="2" t="n">
        <f aca="false">INDEX(Segmentation!$R$2:$R$301,MATCH($A272,Segmentation!$A$2:$A$301,0))</f>
        <v>10</v>
      </c>
      <c r="P272" s="2" t="n">
        <v>151</v>
      </c>
      <c r="Q272" s="2" t="n">
        <f aca="false">INDEX(Segmentation!$S$2:$S$301,MATCH($A272,Segmentation!$A$2:$A$301,0))</f>
        <v>2</v>
      </c>
      <c r="R272" s="2" t="n">
        <v>0</v>
      </c>
      <c r="S272" s="2" t="n">
        <v>0</v>
      </c>
      <c r="T272" s="2" t="n">
        <v>0</v>
      </c>
      <c r="U272" s="2" t="n">
        <v>1</v>
      </c>
      <c r="V272" s="2" t="n">
        <v>100</v>
      </c>
      <c r="W272" s="2" t="str">
        <f aca="false">IF(V272=100,"Bundle-only",IF(V272=0,"Handpick-only","Mixed"))</f>
        <v>Bundle-only</v>
      </c>
      <c r="X272" s="17" t="n">
        <f aca="false">L272/K272</f>
        <v>1</v>
      </c>
      <c r="Y272" s="9" t="n">
        <f aca="false">J272/K272</f>
        <v>173</v>
      </c>
      <c r="Z272" s="10" t="b">
        <f aca="false">O272&gt;=Assumptions!$B$57</f>
        <v>1</v>
      </c>
      <c r="AA272" s="10" t="b">
        <f aca="false">P272&gt;=Assumptions!$B$58</f>
        <v>1</v>
      </c>
      <c r="AB272" s="10" t="b">
        <f aca="false">Q272&gt;=Assumptions!$B$59</f>
        <v>0</v>
      </c>
      <c r="AC272" s="2" t="n">
        <f aca="false">Z272*1+AA272*1+AB272*1</f>
        <v>2</v>
      </c>
      <c r="AD272" s="2" t="str">
        <f aca="false">IF(E272="Broker-Reliant","Broker-led, product-blind",IF(AND(I272="Low",F272&lt;&gt;"Tail",OR(G272="Declining",G272="Lapsed"),OR(O272&gt;=Assumptions!$B$60,P272&gt;=Assumptions!$B$61)),"Engaged but shrinking (Key/Core)",IF(AND(O272&gt;=Assumptions!$B$60,P272&gt;=Assumptions!$B$61,Q272&gt;=Assumptions!$B$62,K272&gt;=Assumptions!$B$63),"Independent browser-buyer",IF(AND(OR(O272&gt;=Assumptions!$B$60,P272&gt;=Assumptions!$B$61),K272&lt;=2),"Engaged, not converting",IF(AND(K272=1,O272&lt;Assumptions!$B$60,P272&lt;Assumptions!$B$61),"One-off low-touch buyer","Light-touch repeat buyer")))))</f>
        <v>One-off low-touch buyer</v>
      </c>
      <c r="AE272" s="10" t="b">
        <f aca="false">INDEX(Segmentation!$AW$2:$AW$301,MATCH($A272,Segmentation!$A$2:$A$301,0))</f>
        <v>0</v>
      </c>
    </row>
    <row r="273" customFormat="false" ht="15" hidden="false" customHeight="false" outlineLevel="0" collapsed="false">
      <c r="A273" s="2" t="s">
        <v>892</v>
      </c>
      <c r="B273" s="2" t="s">
        <v>1574</v>
      </c>
      <c r="C273" s="2" t="s">
        <v>1640</v>
      </c>
      <c r="D273" s="2" t="s">
        <v>1654</v>
      </c>
      <c r="E273" s="2" t="str">
        <f aca="false">INDEX(Segmentation!$H$2:$H$301,MATCH($A273,Segmentation!$A$2:$A$301,0))</f>
        <v>Self-Serve</v>
      </c>
      <c r="F273" s="2" t="str">
        <f aca="false">INDEX(Segmentation!$J$2:$J$301,MATCH($A273,Segmentation!$A$2:$A$301,0))</f>
        <v>Tail</v>
      </c>
      <c r="G273" s="2" t="str">
        <f aca="false">INDEX(Segmentation!$N$2:$N$301,MATCH($A273,Segmentation!$A$2:$A$301,0))</f>
        <v>H2 Active / No H1 GMV</v>
      </c>
      <c r="H273" s="2" t="str">
        <f aca="false">INDEX(Segmentation!$T$2:$T$301,MATCH($A273,Segmentation!$A$2:$A$301,0))</f>
        <v>9. Long-Tail Automated Nurture</v>
      </c>
      <c r="I273" s="2" t="str">
        <f aca="false">INDEX(Segmentation!$G$2:$G$301,MATCH($A273,Segmentation!$A$2:$A$301,0))</f>
        <v>Low</v>
      </c>
      <c r="J273" s="9" t="n">
        <f aca="false">INDEX(Segmentation!$I$2:$I$301,MATCH($A273,Segmentation!$A$2:$A$301,0))</f>
        <v>170</v>
      </c>
      <c r="K273" s="2" t="n">
        <f aca="false">INDEX(Segmentation!$O$2:$O$301,MATCH($A273,Segmentation!$A$2:$A$301,0))</f>
        <v>1</v>
      </c>
      <c r="L273" s="2" t="n">
        <f aca="false">INDEX(Segmentation!$Q$2:$Q$301,MATCH($A273,Segmentation!$A$2:$A$301,0))</f>
        <v>1</v>
      </c>
      <c r="M273" s="2" t="n">
        <f aca="false">INDEX(Segmentation!$W$2:$W$301,MATCH($A273,Segmentation!$A$2:$A$301,0))</f>
        <v>1</v>
      </c>
      <c r="N273" s="2" t="str">
        <f aca="false">INDEX(Segmentation!$AF$2:$AF$301,MATCH($A273,Segmentation!$A$2:$A$301,0))</f>
        <v>New Customer</v>
      </c>
      <c r="O273" s="2" t="n">
        <f aca="false">INDEX(Segmentation!$R$2:$R$301,MATCH($A273,Segmentation!$A$2:$A$301,0))</f>
        <v>8</v>
      </c>
      <c r="P273" s="2" t="n">
        <v>222</v>
      </c>
      <c r="Q273" s="2" t="n">
        <f aca="false">INDEX(Segmentation!$S$2:$S$301,MATCH($A273,Segmentation!$A$2:$A$301,0))</f>
        <v>0</v>
      </c>
      <c r="R273" s="2" t="n">
        <v>1</v>
      </c>
      <c r="S273" s="2" t="n">
        <v>1</v>
      </c>
      <c r="T273" s="2" t="n">
        <v>0</v>
      </c>
      <c r="U273" s="2" t="n">
        <v>1</v>
      </c>
      <c r="V273" s="2" t="n">
        <v>100</v>
      </c>
      <c r="W273" s="2" t="str">
        <f aca="false">IF(V273=100,"Bundle-only",IF(V273=0,"Handpick-only","Mixed"))</f>
        <v>Bundle-only</v>
      </c>
      <c r="X273" s="17" t="n">
        <f aca="false">L273/K273</f>
        <v>1</v>
      </c>
      <c r="Y273" s="9" t="n">
        <f aca="false">J273/K273</f>
        <v>170</v>
      </c>
      <c r="Z273" s="10" t="b">
        <f aca="false">O273&gt;=Assumptions!$B$57</f>
        <v>0</v>
      </c>
      <c r="AA273" s="10" t="b">
        <f aca="false">P273&gt;=Assumptions!$B$58</f>
        <v>1</v>
      </c>
      <c r="AB273" s="10" t="b">
        <f aca="false">Q273&gt;=Assumptions!$B$59</f>
        <v>0</v>
      </c>
      <c r="AC273" s="2" t="n">
        <f aca="false">Z273*1+AA273*1+AB273*1</f>
        <v>1</v>
      </c>
      <c r="AD273" s="2" t="str">
        <f aca="false">IF(E273="Broker-Reliant","Broker-led, product-blind",IF(AND(I273="Low",F273&lt;&gt;"Tail",OR(G273="Declining",G273="Lapsed"),OR(O273&gt;=Assumptions!$B$60,P273&gt;=Assumptions!$B$61)),"Engaged but shrinking (Key/Core)",IF(AND(O273&gt;=Assumptions!$B$60,P273&gt;=Assumptions!$B$61,Q273&gt;=Assumptions!$B$62,K273&gt;=Assumptions!$B$63),"Independent browser-buyer",IF(AND(OR(O273&gt;=Assumptions!$B$60,P273&gt;=Assumptions!$B$61),K273&lt;=2),"Engaged, not converting",IF(AND(K273=1,O273&lt;Assumptions!$B$60,P273&lt;Assumptions!$B$61),"One-off low-touch buyer","Light-touch repeat buyer")))))</f>
        <v>Engaged, not converting</v>
      </c>
      <c r="AE273" s="10" t="b">
        <f aca="false">INDEX(Segmentation!$AW$2:$AW$301,MATCH($A273,Segmentation!$A$2:$A$301,0))</f>
        <v>0</v>
      </c>
    </row>
    <row r="274" customFormat="false" ht="15" hidden="false" customHeight="false" outlineLevel="0" collapsed="false">
      <c r="A274" s="2" t="s">
        <v>900</v>
      </c>
      <c r="B274" s="2" t="s">
        <v>1574</v>
      </c>
      <c r="C274" s="2" t="s">
        <v>1640</v>
      </c>
      <c r="D274" s="2" t="s">
        <v>1655</v>
      </c>
      <c r="E274" s="2" t="str">
        <f aca="false">INDEX(Segmentation!$H$2:$H$301,MATCH($A274,Segmentation!$A$2:$A$301,0))</f>
        <v>Self-Serve</v>
      </c>
      <c r="F274" s="2" t="str">
        <f aca="false">INDEX(Segmentation!$J$2:$J$301,MATCH($A274,Segmentation!$A$2:$A$301,0))</f>
        <v>Tail</v>
      </c>
      <c r="G274" s="2" t="str">
        <f aca="false">INDEX(Segmentation!$N$2:$N$301,MATCH($A274,Segmentation!$A$2:$A$301,0))</f>
        <v>H2 Active / No H1 GMV</v>
      </c>
      <c r="H274" s="2" t="str">
        <f aca="false">INDEX(Segmentation!$T$2:$T$301,MATCH($A274,Segmentation!$A$2:$A$301,0))</f>
        <v>9. Long-Tail Automated Nurture</v>
      </c>
      <c r="I274" s="2" t="str">
        <f aca="false">INDEX(Segmentation!$G$2:$G$301,MATCH($A274,Segmentation!$A$2:$A$301,0))</f>
        <v>Low</v>
      </c>
      <c r="J274" s="9" t="n">
        <f aca="false">INDEX(Segmentation!$I$2:$I$301,MATCH($A274,Segmentation!$A$2:$A$301,0))</f>
        <v>154</v>
      </c>
      <c r="K274" s="2" t="n">
        <f aca="false">INDEX(Segmentation!$O$2:$O$301,MATCH($A274,Segmentation!$A$2:$A$301,0))</f>
        <v>1</v>
      </c>
      <c r="L274" s="2" t="n">
        <f aca="false">INDEX(Segmentation!$Q$2:$Q$301,MATCH($A274,Segmentation!$A$2:$A$301,0))</f>
        <v>1</v>
      </c>
      <c r="M274" s="2" t="n">
        <f aca="false">INDEX(Segmentation!$W$2:$W$301,MATCH($A274,Segmentation!$A$2:$A$301,0))</f>
        <v>1</v>
      </c>
      <c r="N274" s="2" t="str">
        <f aca="false">INDEX(Segmentation!$AF$2:$AF$301,MATCH($A274,Segmentation!$A$2:$A$301,0))</f>
        <v>New Customer</v>
      </c>
      <c r="O274" s="2" t="n">
        <f aca="false">INDEX(Segmentation!$R$2:$R$301,MATCH($A274,Segmentation!$A$2:$A$301,0))</f>
        <v>16</v>
      </c>
      <c r="P274" s="2" t="n">
        <v>247</v>
      </c>
      <c r="Q274" s="2" t="n">
        <f aca="false">INDEX(Segmentation!$S$2:$S$301,MATCH($A274,Segmentation!$A$2:$A$301,0))</f>
        <v>0</v>
      </c>
      <c r="R274" s="2" t="n">
        <v>4</v>
      </c>
      <c r="S274" s="2" t="n">
        <v>0</v>
      </c>
      <c r="T274" s="2" t="n">
        <v>0</v>
      </c>
      <c r="U274" s="2" t="n">
        <v>1</v>
      </c>
      <c r="V274" s="2" t="n">
        <v>100</v>
      </c>
      <c r="W274" s="2" t="str">
        <f aca="false">IF(V274=100,"Bundle-only",IF(V274=0,"Handpick-only","Mixed"))</f>
        <v>Bundle-only</v>
      </c>
      <c r="X274" s="17" t="n">
        <f aca="false">L274/K274</f>
        <v>1</v>
      </c>
      <c r="Y274" s="9" t="n">
        <f aca="false">J274/K274</f>
        <v>154</v>
      </c>
      <c r="Z274" s="10" t="b">
        <f aca="false">O274&gt;=Assumptions!$B$57</f>
        <v>1</v>
      </c>
      <c r="AA274" s="10" t="b">
        <f aca="false">P274&gt;=Assumptions!$B$58</f>
        <v>1</v>
      </c>
      <c r="AB274" s="10" t="b">
        <f aca="false">Q274&gt;=Assumptions!$B$59</f>
        <v>0</v>
      </c>
      <c r="AC274" s="2" t="n">
        <f aca="false">Z274*1+AA274*1+AB274*1</f>
        <v>2</v>
      </c>
      <c r="AD274" s="2" t="str">
        <f aca="false">IF(E274="Broker-Reliant","Broker-led, product-blind",IF(AND(I274="Low",F274&lt;&gt;"Tail",OR(G274="Declining",G274="Lapsed"),OR(O274&gt;=Assumptions!$B$60,P274&gt;=Assumptions!$B$61)),"Engaged but shrinking (Key/Core)",IF(AND(O274&gt;=Assumptions!$B$60,P274&gt;=Assumptions!$B$61,Q274&gt;=Assumptions!$B$62,K274&gt;=Assumptions!$B$63),"Independent browser-buyer",IF(AND(OR(O274&gt;=Assumptions!$B$60,P274&gt;=Assumptions!$B$61),K274&lt;=2),"Engaged, not converting",IF(AND(K274=1,O274&lt;Assumptions!$B$60,P274&lt;Assumptions!$B$61),"One-off low-touch buyer","Light-touch repeat buyer")))))</f>
        <v>Engaged, not converting</v>
      </c>
      <c r="AE274" s="10" t="b">
        <f aca="false">INDEX(Segmentation!$AW$2:$AW$301,MATCH($A274,Segmentation!$A$2:$A$301,0))</f>
        <v>0</v>
      </c>
    </row>
    <row r="275" customFormat="false" ht="15" hidden="false" customHeight="false" outlineLevel="0" collapsed="false">
      <c r="A275" s="2" t="s">
        <v>908</v>
      </c>
      <c r="B275" s="2" t="s">
        <v>1574</v>
      </c>
      <c r="C275" s="2" t="s">
        <v>1640</v>
      </c>
      <c r="D275" s="2" t="s">
        <v>1653</v>
      </c>
      <c r="E275" s="2" t="str">
        <f aca="false">INDEX(Segmentation!$H$2:$H$301,MATCH($A275,Segmentation!$A$2:$A$301,0))</f>
        <v>Self-Serve</v>
      </c>
      <c r="F275" s="2" t="str">
        <f aca="false">INDEX(Segmentation!$J$2:$J$301,MATCH($A275,Segmentation!$A$2:$A$301,0))</f>
        <v>Tail</v>
      </c>
      <c r="G275" s="2" t="str">
        <f aca="false">INDEX(Segmentation!$N$2:$N$301,MATCH($A275,Segmentation!$A$2:$A$301,0))</f>
        <v>H2 Active / No H1 GMV</v>
      </c>
      <c r="H275" s="2" t="str">
        <f aca="false">INDEX(Segmentation!$T$2:$T$301,MATCH($A275,Segmentation!$A$2:$A$301,0))</f>
        <v>9. Long-Tail Automated Nurture</v>
      </c>
      <c r="I275" s="2" t="str">
        <f aca="false">INDEX(Segmentation!$G$2:$G$301,MATCH($A275,Segmentation!$A$2:$A$301,0))</f>
        <v>Low</v>
      </c>
      <c r="J275" s="9" t="n">
        <f aca="false">INDEX(Segmentation!$I$2:$I$301,MATCH($A275,Segmentation!$A$2:$A$301,0))</f>
        <v>147</v>
      </c>
      <c r="K275" s="2" t="n">
        <f aca="false">INDEX(Segmentation!$O$2:$O$301,MATCH($A275,Segmentation!$A$2:$A$301,0))</f>
        <v>1</v>
      </c>
      <c r="L275" s="2" t="n">
        <f aca="false">INDEX(Segmentation!$Q$2:$Q$301,MATCH($A275,Segmentation!$A$2:$A$301,0))</f>
        <v>1</v>
      </c>
      <c r="M275" s="2" t="n">
        <f aca="false">INDEX(Segmentation!$W$2:$W$301,MATCH($A275,Segmentation!$A$2:$A$301,0))</f>
        <v>1</v>
      </c>
      <c r="N275" s="2" t="str">
        <f aca="false">INDEX(Segmentation!$AF$2:$AF$301,MATCH($A275,Segmentation!$A$2:$A$301,0))</f>
        <v>New Customer</v>
      </c>
      <c r="O275" s="2" t="n">
        <f aca="false">INDEX(Segmentation!$R$2:$R$301,MATCH($A275,Segmentation!$A$2:$A$301,0))</f>
        <v>4</v>
      </c>
      <c r="P275" s="2" t="n">
        <v>81</v>
      </c>
      <c r="Q275" s="2" t="n">
        <f aca="false">INDEX(Segmentation!$S$2:$S$301,MATCH($A275,Segmentation!$A$2:$A$301,0))</f>
        <v>0</v>
      </c>
      <c r="R275" s="2" t="n">
        <v>2</v>
      </c>
      <c r="S275" s="2" t="n">
        <v>2</v>
      </c>
      <c r="T275" s="2" t="n">
        <v>1</v>
      </c>
      <c r="U275" s="2" t="n">
        <v>0</v>
      </c>
      <c r="V275" s="2" t="n">
        <v>0</v>
      </c>
      <c r="W275" s="2" t="str">
        <f aca="false">IF(V275=100,"Bundle-only",IF(V275=0,"Handpick-only","Mixed"))</f>
        <v>Handpick-only</v>
      </c>
      <c r="X275" s="17" t="n">
        <f aca="false">L275/K275</f>
        <v>1</v>
      </c>
      <c r="Y275" s="9" t="n">
        <f aca="false">J275/K275</f>
        <v>147</v>
      </c>
      <c r="Z275" s="10" t="b">
        <f aca="false">O275&gt;=Assumptions!$B$57</f>
        <v>0</v>
      </c>
      <c r="AA275" s="10" t="b">
        <f aca="false">P275&gt;=Assumptions!$B$58</f>
        <v>1</v>
      </c>
      <c r="AB275" s="10" t="b">
        <f aca="false">Q275&gt;=Assumptions!$B$59</f>
        <v>0</v>
      </c>
      <c r="AC275" s="2" t="n">
        <f aca="false">Z275*1+AA275*1+AB275*1</f>
        <v>1</v>
      </c>
      <c r="AD275" s="2" t="str">
        <f aca="false">IF(E275="Broker-Reliant","Broker-led, product-blind",IF(AND(I275="Low",F275&lt;&gt;"Tail",OR(G275="Declining",G275="Lapsed"),OR(O275&gt;=Assumptions!$B$60,P275&gt;=Assumptions!$B$61)),"Engaged but shrinking (Key/Core)",IF(AND(O275&gt;=Assumptions!$B$60,P275&gt;=Assumptions!$B$61,Q275&gt;=Assumptions!$B$62,K275&gt;=Assumptions!$B$63),"Independent browser-buyer",IF(AND(OR(O275&gt;=Assumptions!$B$60,P275&gt;=Assumptions!$B$61),K275&lt;=2),"Engaged, not converting",IF(AND(K275=1,O275&lt;Assumptions!$B$60,P275&lt;Assumptions!$B$61),"One-off low-touch buyer","Light-touch repeat buyer")))))</f>
        <v>One-off low-touch buyer</v>
      </c>
      <c r="AE275" s="10" t="b">
        <f aca="false">INDEX(Segmentation!$AW$2:$AW$301,MATCH($A275,Segmentation!$A$2:$A$301,0))</f>
        <v>0</v>
      </c>
    </row>
    <row r="276" customFormat="false" ht="15" hidden="false" customHeight="false" outlineLevel="0" collapsed="false">
      <c r="A276" s="2" t="s">
        <v>914</v>
      </c>
      <c r="B276" s="2" t="s">
        <v>1574</v>
      </c>
      <c r="C276" s="2" t="s">
        <v>1640</v>
      </c>
      <c r="D276" s="2" t="s">
        <v>1653</v>
      </c>
      <c r="E276" s="2" t="str">
        <f aca="false">INDEX(Segmentation!$H$2:$H$301,MATCH($A276,Segmentation!$A$2:$A$301,0))</f>
        <v>Self-Serve</v>
      </c>
      <c r="F276" s="2" t="str">
        <f aca="false">INDEX(Segmentation!$J$2:$J$301,MATCH($A276,Segmentation!$A$2:$A$301,0))</f>
        <v>Tail</v>
      </c>
      <c r="G276" s="2" t="str">
        <f aca="false">INDEX(Segmentation!$N$2:$N$301,MATCH($A276,Segmentation!$A$2:$A$301,0))</f>
        <v>H2 Active / No H1 GMV</v>
      </c>
      <c r="H276" s="2" t="str">
        <f aca="false">INDEX(Segmentation!$T$2:$T$301,MATCH($A276,Segmentation!$A$2:$A$301,0))</f>
        <v>9. Long-Tail Automated Nurture</v>
      </c>
      <c r="I276" s="2" t="str">
        <f aca="false">INDEX(Segmentation!$G$2:$G$301,MATCH($A276,Segmentation!$A$2:$A$301,0))</f>
        <v>Low</v>
      </c>
      <c r="J276" s="9" t="n">
        <f aca="false">INDEX(Segmentation!$I$2:$I$301,MATCH($A276,Segmentation!$A$2:$A$301,0))</f>
        <v>143</v>
      </c>
      <c r="K276" s="2" t="n">
        <f aca="false">INDEX(Segmentation!$O$2:$O$301,MATCH($A276,Segmentation!$A$2:$A$301,0))</f>
        <v>1</v>
      </c>
      <c r="L276" s="2" t="n">
        <f aca="false">INDEX(Segmentation!$Q$2:$Q$301,MATCH($A276,Segmentation!$A$2:$A$301,0))</f>
        <v>1</v>
      </c>
      <c r="M276" s="2" t="n">
        <f aca="false">INDEX(Segmentation!$W$2:$W$301,MATCH($A276,Segmentation!$A$2:$A$301,0))</f>
        <v>1</v>
      </c>
      <c r="N276" s="2" t="str">
        <f aca="false">INDEX(Segmentation!$AF$2:$AF$301,MATCH($A276,Segmentation!$A$2:$A$301,0))</f>
        <v>New Customer</v>
      </c>
      <c r="O276" s="2" t="n">
        <f aca="false">INDEX(Segmentation!$R$2:$R$301,MATCH($A276,Segmentation!$A$2:$A$301,0))</f>
        <v>4</v>
      </c>
      <c r="P276" s="2" t="n">
        <v>10</v>
      </c>
      <c r="Q276" s="2" t="n">
        <f aca="false">INDEX(Segmentation!$S$2:$S$301,MATCH($A276,Segmentation!$A$2:$A$301,0))</f>
        <v>0</v>
      </c>
      <c r="R276" s="2" t="n">
        <v>0</v>
      </c>
      <c r="S276" s="2" t="n">
        <v>0</v>
      </c>
      <c r="T276" s="2" t="n">
        <v>0</v>
      </c>
      <c r="U276" s="2" t="n">
        <v>1</v>
      </c>
      <c r="V276" s="2" t="n">
        <v>100</v>
      </c>
      <c r="W276" s="2" t="str">
        <f aca="false">IF(V276=100,"Bundle-only",IF(V276=0,"Handpick-only","Mixed"))</f>
        <v>Bundle-only</v>
      </c>
      <c r="X276" s="17" t="n">
        <f aca="false">L276/K276</f>
        <v>1</v>
      </c>
      <c r="Y276" s="9" t="n">
        <f aca="false">J276/K276</f>
        <v>143</v>
      </c>
      <c r="Z276" s="10" t="b">
        <f aca="false">O276&gt;=Assumptions!$B$57</f>
        <v>0</v>
      </c>
      <c r="AA276" s="10" t="b">
        <f aca="false">P276&gt;=Assumptions!$B$58</f>
        <v>0</v>
      </c>
      <c r="AB276" s="10" t="b">
        <f aca="false">Q276&gt;=Assumptions!$B$59</f>
        <v>0</v>
      </c>
      <c r="AC276" s="2" t="n">
        <f aca="false">Z276*1+AA276*1+AB276*1</f>
        <v>0</v>
      </c>
      <c r="AD276" s="2" t="str">
        <f aca="false">IF(E276="Broker-Reliant","Broker-led, product-blind",IF(AND(I276="Low",F276&lt;&gt;"Tail",OR(G276="Declining",G276="Lapsed"),OR(O276&gt;=Assumptions!$B$60,P276&gt;=Assumptions!$B$61)),"Engaged but shrinking (Key/Core)",IF(AND(O276&gt;=Assumptions!$B$60,P276&gt;=Assumptions!$B$61,Q276&gt;=Assumptions!$B$62,K276&gt;=Assumptions!$B$63),"Independent browser-buyer",IF(AND(OR(O276&gt;=Assumptions!$B$60,P276&gt;=Assumptions!$B$61),K276&lt;=2),"Engaged, not converting",IF(AND(K276=1,O276&lt;Assumptions!$B$60,P276&lt;Assumptions!$B$61),"One-off low-touch buyer","Light-touch repeat buyer")))))</f>
        <v>One-off low-touch buyer</v>
      </c>
      <c r="AE276" s="10" t="b">
        <f aca="false">INDEX(Segmentation!$AW$2:$AW$301,MATCH($A276,Segmentation!$A$2:$A$301,0))</f>
        <v>0</v>
      </c>
    </row>
    <row r="277" customFormat="false" ht="15" hidden="false" customHeight="false" outlineLevel="0" collapsed="false">
      <c r="A277" s="2" t="s">
        <v>916</v>
      </c>
      <c r="B277" s="2" t="s">
        <v>1574</v>
      </c>
      <c r="C277" s="2" t="s">
        <v>1640</v>
      </c>
      <c r="D277" s="2" t="s">
        <v>1658</v>
      </c>
      <c r="E277" s="2" t="str">
        <f aca="false">INDEX(Segmentation!$H$2:$H$301,MATCH($A277,Segmentation!$A$2:$A$301,0))</f>
        <v>Self-Serve</v>
      </c>
      <c r="F277" s="2" t="str">
        <f aca="false">INDEX(Segmentation!$J$2:$J$301,MATCH($A277,Segmentation!$A$2:$A$301,0))</f>
        <v>Tail</v>
      </c>
      <c r="G277" s="2" t="str">
        <f aca="false">INDEX(Segmentation!$N$2:$N$301,MATCH($A277,Segmentation!$A$2:$A$301,0))</f>
        <v>H2 Active / No H1 GMV</v>
      </c>
      <c r="H277" s="2" t="str">
        <f aca="false">INDEX(Segmentation!$T$2:$T$301,MATCH($A277,Segmentation!$A$2:$A$301,0))</f>
        <v>9. Long-Tail Automated Nurture</v>
      </c>
      <c r="I277" s="2" t="str">
        <f aca="false">INDEX(Segmentation!$G$2:$G$301,MATCH($A277,Segmentation!$A$2:$A$301,0))</f>
        <v>Low</v>
      </c>
      <c r="J277" s="9" t="n">
        <f aca="false">INDEX(Segmentation!$I$2:$I$301,MATCH($A277,Segmentation!$A$2:$A$301,0))</f>
        <v>142</v>
      </c>
      <c r="K277" s="2" t="n">
        <f aca="false">INDEX(Segmentation!$O$2:$O$301,MATCH($A277,Segmentation!$A$2:$A$301,0))</f>
        <v>1</v>
      </c>
      <c r="L277" s="2" t="n">
        <f aca="false">INDEX(Segmentation!$Q$2:$Q$301,MATCH($A277,Segmentation!$A$2:$A$301,0))</f>
        <v>1</v>
      </c>
      <c r="M277" s="2" t="n">
        <f aca="false">INDEX(Segmentation!$W$2:$W$301,MATCH($A277,Segmentation!$A$2:$A$301,0))</f>
        <v>1</v>
      </c>
      <c r="N277" s="2" t="str">
        <f aca="false">INDEX(Segmentation!$AF$2:$AF$301,MATCH($A277,Segmentation!$A$2:$A$301,0))</f>
        <v>New Customer</v>
      </c>
      <c r="O277" s="2" t="n">
        <f aca="false">INDEX(Segmentation!$R$2:$R$301,MATCH($A277,Segmentation!$A$2:$A$301,0))</f>
        <v>5</v>
      </c>
      <c r="P277" s="2" t="n">
        <v>32</v>
      </c>
      <c r="Q277" s="2" t="n">
        <f aca="false">INDEX(Segmentation!$S$2:$S$301,MATCH($A277,Segmentation!$A$2:$A$301,0))</f>
        <v>0</v>
      </c>
      <c r="R277" s="2" t="n">
        <v>0</v>
      </c>
      <c r="S277" s="2" t="n">
        <v>0</v>
      </c>
      <c r="T277" s="2" t="n">
        <v>0</v>
      </c>
      <c r="U277" s="2" t="n">
        <v>1</v>
      </c>
      <c r="V277" s="2" t="n">
        <v>100</v>
      </c>
      <c r="W277" s="2" t="str">
        <f aca="false">IF(V277=100,"Bundle-only",IF(V277=0,"Handpick-only","Mixed"))</f>
        <v>Bundle-only</v>
      </c>
      <c r="X277" s="17" t="n">
        <f aca="false">L277/K277</f>
        <v>1</v>
      </c>
      <c r="Y277" s="9" t="n">
        <f aca="false">J277/K277</f>
        <v>142</v>
      </c>
      <c r="Z277" s="10" t="b">
        <f aca="false">O277&gt;=Assumptions!$B$57</f>
        <v>0</v>
      </c>
      <c r="AA277" s="10" t="b">
        <f aca="false">P277&gt;=Assumptions!$B$58</f>
        <v>0</v>
      </c>
      <c r="AB277" s="10" t="b">
        <f aca="false">Q277&gt;=Assumptions!$B$59</f>
        <v>0</v>
      </c>
      <c r="AC277" s="2" t="n">
        <f aca="false">Z277*1+AA277*1+AB277*1</f>
        <v>0</v>
      </c>
      <c r="AD277" s="2" t="str">
        <f aca="false">IF(E277="Broker-Reliant","Broker-led, product-blind",IF(AND(I277="Low",F277&lt;&gt;"Tail",OR(G277="Declining",G277="Lapsed"),OR(O277&gt;=Assumptions!$B$60,P277&gt;=Assumptions!$B$61)),"Engaged but shrinking (Key/Core)",IF(AND(O277&gt;=Assumptions!$B$60,P277&gt;=Assumptions!$B$61,Q277&gt;=Assumptions!$B$62,K277&gt;=Assumptions!$B$63),"Independent browser-buyer",IF(AND(OR(O277&gt;=Assumptions!$B$60,P277&gt;=Assumptions!$B$61),K277&lt;=2),"Engaged, not converting",IF(AND(K277=1,O277&lt;Assumptions!$B$60,P277&lt;Assumptions!$B$61),"One-off low-touch buyer","Light-touch repeat buyer")))))</f>
        <v>One-off low-touch buyer</v>
      </c>
      <c r="AE277" s="10" t="b">
        <f aca="false">INDEX(Segmentation!$AW$2:$AW$301,MATCH($A277,Segmentation!$A$2:$A$301,0))</f>
        <v>0</v>
      </c>
    </row>
    <row r="278" customFormat="false" ht="15" hidden="false" customHeight="false" outlineLevel="0" collapsed="false">
      <c r="A278" s="2" t="s">
        <v>918</v>
      </c>
      <c r="B278" s="2" t="s">
        <v>1574</v>
      </c>
      <c r="C278" s="2" t="s">
        <v>1640</v>
      </c>
      <c r="D278" s="2" t="s">
        <v>1657</v>
      </c>
      <c r="E278" s="2" t="str">
        <f aca="false">INDEX(Segmentation!$H$2:$H$301,MATCH($A278,Segmentation!$A$2:$A$301,0))</f>
        <v>Self-Serve</v>
      </c>
      <c r="F278" s="2" t="str">
        <f aca="false">INDEX(Segmentation!$J$2:$J$301,MATCH($A278,Segmentation!$A$2:$A$301,0))</f>
        <v>Tail</v>
      </c>
      <c r="G278" s="2" t="str">
        <f aca="false">INDEX(Segmentation!$N$2:$N$301,MATCH($A278,Segmentation!$A$2:$A$301,0))</f>
        <v>H2 Active / No H1 GMV</v>
      </c>
      <c r="H278" s="2" t="str">
        <f aca="false">INDEX(Segmentation!$T$2:$T$301,MATCH($A278,Segmentation!$A$2:$A$301,0))</f>
        <v>9. Long-Tail Automated Nurture</v>
      </c>
      <c r="I278" s="2" t="str">
        <f aca="false">INDEX(Segmentation!$G$2:$G$301,MATCH($A278,Segmentation!$A$2:$A$301,0))</f>
        <v>Low</v>
      </c>
      <c r="J278" s="9" t="n">
        <f aca="false">INDEX(Segmentation!$I$2:$I$301,MATCH($A278,Segmentation!$A$2:$A$301,0))</f>
        <v>140</v>
      </c>
      <c r="K278" s="2" t="n">
        <f aca="false">INDEX(Segmentation!$O$2:$O$301,MATCH($A278,Segmentation!$A$2:$A$301,0))</f>
        <v>1</v>
      </c>
      <c r="L278" s="2" t="n">
        <f aca="false">INDEX(Segmentation!$Q$2:$Q$301,MATCH($A278,Segmentation!$A$2:$A$301,0))</f>
        <v>1</v>
      </c>
      <c r="M278" s="2" t="n">
        <f aca="false">INDEX(Segmentation!$W$2:$W$301,MATCH($A278,Segmentation!$A$2:$A$301,0))</f>
        <v>1</v>
      </c>
      <c r="N278" s="2" t="str">
        <f aca="false">INDEX(Segmentation!$AF$2:$AF$301,MATCH($A278,Segmentation!$A$2:$A$301,0))</f>
        <v>New Customer</v>
      </c>
      <c r="O278" s="2" t="n">
        <f aca="false">INDEX(Segmentation!$R$2:$R$301,MATCH($A278,Segmentation!$A$2:$A$301,0))</f>
        <v>3</v>
      </c>
      <c r="P278" s="2" t="n">
        <v>109</v>
      </c>
      <c r="Q278" s="2" t="n">
        <f aca="false">INDEX(Segmentation!$S$2:$S$301,MATCH($A278,Segmentation!$A$2:$A$301,0))</f>
        <v>4</v>
      </c>
      <c r="R278" s="2" t="n">
        <v>0</v>
      </c>
      <c r="S278" s="2" t="n">
        <v>0</v>
      </c>
      <c r="T278" s="2" t="n">
        <v>0</v>
      </c>
      <c r="U278" s="2" t="n">
        <v>1</v>
      </c>
      <c r="V278" s="2" t="n">
        <v>100</v>
      </c>
      <c r="W278" s="2" t="str">
        <f aca="false">IF(V278=100,"Bundle-only",IF(V278=0,"Handpick-only","Mixed"))</f>
        <v>Bundle-only</v>
      </c>
      <c r="X278" s="17" t="n">
        <f aca="false">L278/K278</f>
        <v>1</v>
      </c>
      <c r="Y278" s="9" t="n">
        <f aca="false">J278/K278</f>
        <v>140</v>
      </c>
      <c r="Z278" s="10" t="b">
        <f aca="false">O278&gt;=Assumptions!$B$57</f>
        <v>0</v>
      </c>
      <c r="AA278" s="10" t="b">
        <f aca="false">P278&gt;=Assumptions!$B$58</f>
        <v>1</v>
      </c>
      <c r="AB278" s="10" t="b">
        <f aca="false">Q278&gt;=Assumptions!$B$59</f>
        <v>1</v>
      </c>
      <c r="AC278" s="2" t="n">
        <f aca="false">Z278*1+AA278*1+AB278*1</f>
        <v>2</v>
      </c>
      <c r="AD278" s="2" t="str">
        <f aca="false">IF(E278="Broker-Reliant","Broker-led, product-blind",IF(AND(I278="Low",F278&lt;&gt;"Tail",OR(G278="Declining",G278="Lapsed"),OR(O278&gt;=Assumptions!$B$60,P278&gt;=Assumptions!$B$61)),"Engaged but shrinking (Key/Core)",IF(AND(O278&gt;=Assumptions!$B$60,P278&gt;=Assumptions!$B$61,Q278&gt;=Assumptions!$B$62,K278&gt;=Assumptions!$B$63),"Independent browser-buyer",IF(AND(OR(O278&gt;=Assumptions!$B$60,P278&gt;=Assumptions!$B$61),K278&lt;=2),"Engaged, not converting",IF(AND(K278=1,O278&lt;Assumptions!$B$60,P278&lt;Assumptions!$B$61),"One-off low-touch buyer","Light-touch repeat buyer")))))</f>
        <v>One-off low-touch buyer</v>
      </c>
      <c r="AE278" s="10" t="b">
        <f aca="false">INDEX(Segmentation!$AW$2:$AW$301,MATCH($A278,Segmentation!$A$2:$A$301,0))</f>
        <v>0</v>
      </c>
    </row>
    <row r="279" customFormat="false" ht="15" hidden="false" customHeight="false" outlineLevel="0" collapsed="false">
      <c r="A279" s="2" t="s">
        <v>920</v>
      </c>
      <c r="B279" s="2" t="s">
        <v>1574</v>
      </c>
      <c r="C279" s="2" t="s">
        <v>1640</v>
      </c>
      <c r="D279" s="2" t="s">
        <v>1653</v>
      </c>
      <c r="E279" s="2" t="str">
        <f aca="false">INDEX(Segmentation!$H$2:$H$301,MATCH($A279,Segmentation!$A$2:$A$301,0))</f>
        <v>Self-Serve</v>
      </c>
      <c r="F279" s="2" t="str">
        <f aca="false">INDEX(Segmentation!$J$2:$J$301,MATCH($A279,Segmentation!$A$2:$A$301,0))</f>
        <v>Tail</v>
      </c>
      <c r="G279" s="2" t="str">
        <f aca="false">INDEX(Segmentation!$N$2:$N$301,MATCH($A279,Segmentation!$A$2:$A$301,0))</f>
        <v>Lapsed</v>
      </c>
      <c r="H279" s="2" t="str">
        <f aca="false">INDEX(Segmentation!$T$2:$T$301,MATCH($A279,Segmentation!$A$2:$A$301,0))</f>
        <v>9. Long-Tail Automated Nurture</v>
      </c>
      <c r="I279" s="2" t="str">
        <f aca="false">INDEX(Segmentation!$G$2:$G$301,MATCH($A279,Segmentation!$A$2:$A$301,0))</f>
        <v>Low</v>
      </c>
      <c r="J279" s="9" t="n">
        <f aca="false">INDEX(Segmentation!$I$2:$I$301,MATCH($A279,Segmentation!$A$2:$A$301,0))</f>
        <v>138</v>
      </c>
      <c r="K279" s="2" t="n">
        <f aca="false">INDEX(Segmentation!$O$2:$O$301,MATCH($A279,Segmentation!$A$2:$A$301,0))</f>
        <v>2</v>
      </c>
      <c r="L279" s="2" t="n">
        <f aca="false">INDEX(Segmentation!$Q$2:$Q$301,MATCH($A279,Segmentation!$A$2:$A$301,0))</f>
        <v>2</v>
      </c>
      <c r="M279" s="2" t="n">
        <f aca="false">INDEX(Segmentation!$W$2:$W$301,MATCH($A279,Segmentation!$A$2:$A$301,0))</f>
        <v>1</v>
      </c>
      <c r="N279" s="2" t="str">
        <f aca="false">INDEX(Segmentation!$AF$2:$AF$301,MATCH($A279,Segmentation!$A$2:$A$301,0))</f>
        <v>Existing Customer</v>
      </c>
      <c r="O279" s="2" t="n">
        <f aca="false">INDEX(Segmentation!$R$2:$R$301,MATCH($A279,Segmentation!$A$2:$A$301,0))</f>
        <v>8</v>
      </c>
      <c r="P279" s="2" t="n">
        <v>187</v>
      </c>
      <c r="Q279" s="2" t="n">
        <f aca="false">INDEX(Segmentation!$S$2:$S$301,MATCH($A279,Segmentation!$A$2:$A$301,0))</f>
        <v>0</v>
      </c>
      <c r="R279" s="2" t="n">
        <v>4</v>
      </c>
      <c r="S279" s="2" t="n">
        <v>0</v>
      </c>
      <c r="T279" s="2" t="n">
        <v>0</v>
      </c>
      <c r="U279" s="2" t="n">
        <v>2</v>
      </c>
      <c r="V279" s="2" t="n">
        <v>100</v>
      </c>
      <c r="W279" s="2" t="str">
        <f aca="false">IF(V279=100,"Bundle-only",IF(V279=0,"Handpick-only","Mixed"))</f>
        <v>Bundle-only</v>
      </c>
      <c r="X279" s="17" t="n">
        <f aca="false">L279/K279</f>
        <v>1</v>
      </c>
      <c r="Y279" s="9" t="n">
        <f aca="false">J279/K279</f>
        <v>69</v>
      </c>
      <c r="Z279" s="10" t="b">
        <f aca="false">O279&gt;=Assumptions!$B$57</f>
        <v>0</v>
      </c>
      <c r="AA279" s="10" t="b">
        <f aca="false">P279&gt;=Assumptions!$B$58</f>
        <v>1</v>
      </c>
      <c r="AB279" s="10" t="b">
        <f aca="false">Q279&gt;=Assumptions!$B$59</f>
        <v>0</v>
      </c>
      <c r="AC279" s="2" t="n">
        <f aca="false">Z279*1+AA279*1+AB279*1</f>
        <v>1</v>
      </c>
      <c r="AD279" s="2" t="str">
        <f aca="false">IF(E279="Broker-Reliant","Broker-led, product-blind",IF(AND(I279="Low",F279&lt;&gt;"Tail",OR(G279="Declining",G279="Lapsed"),OR(O279&gt;=Assumptions!$B$60,P279&gt;=Assumptions!$B$61)),"Engaged but shrinking (Key/Core)",IF(AND(O279&gt;=Assumptions!$B$60,P279&gt;=Assumptions!$B$61,Q279&gt;=Assumptions!$B$62,K279&gt;=Assumptions!$B$63),"Independent browser-buyer",IF(AND(OR(O279&gt;=Assumptions!$B$60,P279&gt;=Assumptions!$B$61),K279&lt;=2),"Engaged, not converting",IF(AND(K279=1,O279&lt;Assumptions!$B$60,P279&lt;Assumptions!$B$61),"One-off low-touch buyer","Light-touch repeat buyer")))))</f>
        <v>Light-touch repeat buyer</v>
      </c>
      <c r="AE279" s="10" t="b">
        <f aca="false">INDEX(Segmentation!$AW$2:$AW$301,MATCH($A279,Segmentation!$A$2:$A$301,0))</f>
        <v>0</v>
      </c>
    </row>
    <row r="280" customFormat="false" ht="15" hidden="false" customHeight="false" outlineLevel="0" collapsed="false">
      <c r="A280" s="2" t="s">
        <v>924</v>
      </c>
      <c r="B280" s="2" t="s">
        <v>1574</v>
      </c>
      <c r="C280" s="2" t="s">
        <v>1640</v>
      </c>
      <c r="D280" s="2" t="s">
        <v>1658</v>
      </c>
      <c r="E280" s="2" t="str">
        <f aca="false">INDEX(Segmentation!$H$2:$H$301,MATCH($A280,Segmentation!$A$2:$A$301,0))</f>
        <v>Self-Serve</v>
      </c>
      <c r="F280" s="2" t="str">
        <f aca="false">INDEX(Segmentation!$J$2:$J$301,MATCH($A280,Segmentation!$A$2:$A$301,0))</f>
        <v>Tail</v>
      </c>
      <c r="G280" s="2" t="str">
        <f aca="false">INDEX(Segmentation!$N$2:$N$301,MATCH($A280,Segmentation!$A$2:$A$301,0))</f>
        <v>H2 Active / No H1 GMV</v>
      </c>
      <c r="H280" s="2" t="str">
        <f aca="false">INDEX(Segmentation!$T$2:$T$301,MATCH($A280,Segmentation!$A$2:$A$301,0))</f>
        <v>9. Long-Tail Automated Nurture</v>
      </c>
      <c r="I280" s="2" t="str">
        <f aca="false">INDEX(Segmentation!$G$2:$G$301,MATCH($A280,Segmentation!$A$2:$A$301,0))</f>
        <v>Low</v>
      </c>
      <c r="J280" s="9" t="n">
        <f aca="false">INDEX(Segmentation!$I$2:$I$301,MATCH($A280,Segmentation!$A$2:$A$301,0))</f>
        <v>131</v>
      </c>
      <c r="K280" s="2" t="n">
        <f aca="false">INDEX(Segmentation!$O$2:$O$301,MATCH($A280,Segmentation!$A$2:$A$301,0))</f>
        <v>1</v>
      </c>
      <c r="L280" s="2" t="n">
        <f aca="false">INDEX(Segmentation!$Q$2:$Q$301,MATCH($A280,Segmentation!$A$2:$A$301,0))</f>
        <v>1</v>
      </c>
      <c r="M280" s="2" t="n">
        <f aca="false">INDEX(Segmentation!$W$2:$W$301,MATCH($A280,Segmentation!$A$2:$A$301,0))</f>
        <v>1</v>
      </c>
      <c r="N280" s="2" t="str">
        <f aca="false">INDEX(Segmentation!$AF$2:$AF$301,MATCH($A280,Segmentation!$A$2:$A$301,0))</f>
        <v>New Customer</v>
      </c>
      <c r="O280" s="2" t="n">
        <f aca="false">INDEX(Segmentation!$R$2:$R$301,MATCH($A280,Segmentation!$A$2:$A$301,0))</f>
        <v>6</v>
      </c>
      <c r="P280" s="2" t="n">
        <v>73</v>
      </c>
      <c r="Q280" s="2" t="n">
        <f aca="false">INDEX(Segmentation!$S$2:$S$301,MATCH($A280,Segmentation!$A$2:$A$301,0))</f>
        <v>3</v>
      </c>
      <c r="R280" s="2" t="n">
        <v>0</v>
      </c>
      <c r="S280" s="2" t="n">
        <v>0</v>
      </c>
      <c r="T280" s="2" t="n">
        <v>0</v>
      </c>
      <c r="U280" s="2" t="n">
        <v>1</v>
      </c>
      <c r="V280" s="2" t="n">
        <v>100</v>
      </c>
      <c r="W280" s="2" t="str">
        <f aca="false">IF(V280=100,"Bundle-only",IF(V280=0,"Handpick-only","Mixed"))</f>
        <v>Bundle-only</v>
      </c>
      <c r="X280" s="17" t="n">
        <f aca="false">L280/K280</f>
        <v>1</v>
      </c>
      <c r="Y280" s="9" t="n">
        <f aca="false">J280/K280</f>
        <v>131</v>
      </c>
      <c r="Z280" s="10" t="b">
        <f aca="false">O280&gt;=Assumptions!$B$57</f>
        <v>0</v>
      </c>
      <c r="AA280" s="10" t="b">
        <f aca="false">P280&gt;=Assumptions!$B$58</f>
        <v>1</v>
      </c>
      <c r="AB280" s="10" t="b">
        <f aca="false">Q280&gt;=Assumptions!$B$59</f>
        <v>1</v>
      </c>
      <c r="AC280" s="2" t="n">
        <f aca="false">Z280*1+AA280*1+AB280*1</f>
        <v>2</v>
      </c>
      <c r="AD280" s="2" t="str">
        <f aca="false">IF(E280="Broker-Reliant","Broker-led, product-blind",IF(AND(I280="Low",F280&lt;&gt;"Tail",OR(G280="Declining",G280="Lapsed"),OR(O280&gt;=Assumptions!$B$60,P280&gt;=Assumptions!$B$61)),"Engaged but shrinking (Key/Core)",IF(AND(O280&gt;=Assumptions!$B$60,P280&gt;=Assumptions!$B$61,Q280&gt;=Assumptions!$B$62,K280&gt;=Assumptions!$B$63),"Independent browser-buyer",IF(AND(OR(O280&gt;=Assumptions!$B$60,P280&gt;=Assumptions!$B$61),K280&lt;=2),"Engaged, not converting",IF(AND(K280=1,O280&lt;Assumptions!$B$60,P280&lt;Assumptions!$B$61),"One-off low-touch buyer","Light-touch repeat buyer")))))</f>
        <v>One-off low-touch buyer</v>
      </c>
      <c r="AE280" s="10" t="b">
        <f aca="false">INDEX(Segmentation!$AW$2:$AW$301,MATCH($A280,Segmentation!$A$2:$A$301,0))</f>
        <v>0</v>
      </c>
    </row>
    <row r="281" customFormat="false" ht="15" hidden="false" customHeight="false" outlineLevel="0" collapsed="false">
      <c r="A281" s="2" t="s">
        <v>928</v>
      </c>
      <c r="B281" s="2" t="s">
        <v>1574</v>
      </c>
      <c r="C281" s="2" t="s">
        <v>1640</v>
      </c>
      <c r="D281" s="2" t="s">
        <v>1658</v>
      </c>
      <c r="E281" s="2" t="str">
        <f aca="false">INDEX(Segmentation!$H$2:$H$301,MATCH($A281,Segmentation!$A$2:$A$301,0))</f>
        <v>Self-Serve</v>
      </c>
      <c r="F281" s="2" t="str">
        <f aca="false">INDEX(Segmentation!$J$2:$J$301,MATCH($A281,Segmentation!$A$2:$A$301,0))</f>
        <v>Tail</v>
      </c>
      <c r="G281" s="2" t="str">
        <f aca="false">INDEX(Segmentation!$N$2:$N$301,MATCH($A281,Segmentation!$A$2:$A$301,0))</f>
        <v>H2 Active / No H1 GMV</v>
      </c>
      <c r="H281" s="2" t="str">
        <f aca="false">INDEX(Segmentation!$T$2:$T$301,MATCH($A281,Segmentation!$A$2:$A$301,0))</f>
        <v>9. Long-Tail Automated Nurture</v>
      </c>
      <c r="I281" s="2" t="str">
        <f aca="false">INDEX(Segmentation!$G$2:$G$301,MATCH($A281,Segmentation!$A$2:$A$301,0))</f>
        <v>Low</v>
      </c>
      <c r="J281" s="9" t="n">
        <f aca="false">INDEX(Segmentation!$I$2:$I$301,MATCH($A281,Segmentation!$A$2:$A$301,0))</f>
        <v>123</v>
      </c>
      <c r="K281" s="2" t="n">
        <f aca="false">INDEX(Segmentation!$O$2:$O$301,MATCH($A281,Segmentation!$A$2:$A$301,0))</f>
        <v>1</v>
      </c>
      <c r="L281" s="2" t="n">
        <f aca="false">INDEX(Segmentation!$Q$2:$Q$301,MATCH($A281,Segmentation!$A$2:$A$301,0))</f>
        <v>1</v>
      </c>
      <c r="M281" s="2" t="n">
        <f aca="false">INDEX(Segmentation!$W$2:$W$301,MATCH($A281,Segmentation!$A$2:$A$301,0))</f>
        <v>1</v>
      </c>
      <c r="N281" s="2" t="str">
        <f aca="false">INDEX(Segmentation!$AF$2:$AF$301,MATCH($A281,Segmentation!$A$2:$A$301,0))</f>
        <v>New Customer</v>
      </c>
      <c r="O281" s="2" t="n">
        <f aca="false">INDEX(Segmentation!$R$2:$R$301,MATCH($A281,Segmentation!$A$2:$A$301,0))</f>
        <v>6</v>
      </c>
      <c r="P281" s="2" t="n">
        <v>62</v>
      </c>
      <c r="Q281" s="2" t="n">
        <f aca="false">INDEX(Segmentation!$S$2:$S$301,MATCH($A281,Segmentation!$A$2:$A$301,0))</f>
        <v>0</v>
      </c>
      <c r="R281" s="2" t="n">
        <v>0</v>
      </c>
      <c r="S281" s="2" t="n">
        <v>0</v>
      </c>
      <c r="T281" s="2" t="n">
        <v>0</v>
      </c>
      <c r="U281" s="2" t="n">
        <v>1</v>
      </c>
      <c r="V281" s="2" t="n">
        <v>100</v>
      </c>
      <c r="W281" s="2" t="str">
        <f aca="false">IF(V281=100,"Bundle-only",IF(V281=0,"Handpick-only","Mixed"))</f>
        <v>Bundle-only</v>
      </c>
      <c r="X281" s="17" t="n">
        <f aca="false">L281/K281</f>
        <v>1</v>
      </c>
      <c r="Y281" s="9" t="n">
        <f aca="false">J281/K281</f>
        <v>123</v>
      </c>
      <c r="Z281" s="10" t="b">
        <f aca="false">O281&gt;=Assumptions!$B$57</f>
        <v>0</v>
      </c>
      <c r="AA281" s="10" t="b">
        <f aca="false">P281&gt;=Assumptions!$B$58</f>
        <v>1</v>
      </c>
      <c r="AB281" s="10" t="b">
        <f aca="false">Q281&gt;=Assumptions!$B$59</f>
        <v>0</v>
      </c>
      <c r="AC281" s="2" t="n">
        <f aca="false">Z281*1+AA281*1+AB281*1</f>
        <v>1</v>
      </c>
      <c r="AD281" s="2" t="str">
        <f aca="false">IF(E281="Broker-Reliant","Broker-led, product-blind",IF(AND(I281="Low",F281&lt;&gt;"Tail",OR(G281="Declining",G281="Lapsed"),OR(O281&gt;=Assumptions!$B$60,P281&gt;=Assumptions!$B$61)),"Engaged but shrinking (Key/Core)",IF(AND(O281&gt;=Assumptions!$B$60,P281&gt;=Assumptions!$B$61,Q281&gt;=Assumptions!$B$62,K281&gt;=Assumptions!$B$63),"Independent browser-buyer",IF(AND(OR(O281&gt;=Assumptions!$B$60,P281&gt;=Assumptions!$B$61),K281&lt;=2),"Engaged, not converting",IF(AND(K281=1,O281&lt;Assumptions!$B$60,P281&lt;Assumptions!$B$61),"One-off low-touch buyer","Light-touch repeat buyer")))))</f>
        <v>One-off low-touch buyer</v>
      </c>
      <c r="AE281" s="10" t="b">
        <f aca="false">INDEX(Segmentation!$AW$2:$AW$301,MATCH($A281,Segmentation!$A$2:$A$301,0))</f>
        <v>0</v>
      </c>
    </row>
    <row r="282" customFormat="false" ht="15" hidden="false" customHeight="false" outlineLevel="0" collapsed="false">
      <c r="A282" s="2" t="s">
        <v>932</v>
      </c>
      <c r="B282" s="2" t="s">
        <v>1574</v>
      </c>
      <c r="C282" s="2" t="s">
        <v>1640</v>
      </c>
      <c r="D282" s="2" t="s">
        <v>1657</v>
      </c>
      <c r="E282" s="2" t="str">
        <f aca="false">INDEX(Segmentation!$H$2:$H$301,MATCH($A282,Segmentation!$A$2:$A$301,0))</f>
        <v>Self-Serve</v>
      </c>
      <c r="F282" s="2" t="str">
        <f aca="false">INDEX(Segmentation!$J$2:$J$301,MATCH($A282,Segmentation!$A$2:$A$301,0))</f>
        <v>Tail</v>
      </c>
      <c r="G282" s="2" t="str">
        <f aca="false">INDEX(Segmentation!$N$2:$N$301,MATCH($A282,Segmentation!$A$2:$A$301,0))</f>
        <v>Lapsed</v>
      </c>
      <c r="H282" s="2" t="str">
        <f aca="false">INDEX(Segmentation!$T$2:$T$301,MATCH($A282,Segmentation!$A$2:$A$301,0))</f>
        <v>9. Long-Tail Automated Nurture</v>
      </c>
      <c r="I282" s="2" t="str">
        <f aca="false">INDEX(Segmentation!$G$2:$G$301,MATCH($A282,Segmentation!$A$2:$A$301,0))</f>
        <v>Low</v>
      </c>
      <c r="J282" s="9" t="n">
        <f aca="false">INDEX(Segmentation!$I$2:$I$301,MATCH($A282,Segmentation!$A$2:$A$301,0))</f>
        <v>119</v>
      </c>
      <c r="K282" s="2" t="n">
        <f aca="false">INDEX(Segmentation!$O$2:$O$301,MATCH($A282,Segmentation!$A$2:$A$301,0))</f>
        <v>1</v>
      </c>
      <c r="L282" s="2" t="n">
        <f aca="false">INDEX(Segmentation!$Q$2:$Q$301,MATCH($A282,Segmentation!$A$2:$A$301,0))</f>
        <v>1</v>
      </c>
      <c r="M282" s="2" t="n">
        <f aca="false">INDEX(Segmentation!$W$2:$W$301,MATCH($A282,Segmentation!$A$2:$A$301,0))</f>
        <v>1</v>
      </c>
      <c r="N282" s="2" t="str">
        <f aca="false">INDEX(Segmentation!$AF$2:$AF$301,MATCH($A282,Segmentation!$A$2:$A$301,0))</f>
        <v>Existing Customer</v>
      </c>
      <c r="O282" s="2" t="n">
        <f aca="false">INDEX(Segmentation!$R$2:$R$301,MATCH($A282,Segmentation!$A$2:$A$301,0))</f>
        <v>36</v>
      </c>
      <c r="P282" s="2" t="n">
        <v>455</v>
      </c>
      <c r="Q282" s="2" t="n">
        <f aca="false">INDEX(Segmentation!$S$2:$S$301,MATCH($A282,Segmentation!$A$2:$A$301,0))</f>
        <v>10</v>
      </c>
      <c r="R282" s="2" t="n">
        <v>2</v>
      </c>
      <c r="S282" s="2" t="n">
        <v>0</v>
      </c>
      <c r="T282" s="2" t="n">
        <v>0</v>
      </c>
      <c r="U282" s="2" t="n">
        <v>1</v>
      </c>
      <c r="V282" s="2" t="n">
        <v>100</v>
      </c>
      <c r="W282" s="2" t="str">
        <f aca="false">IF(V282=100,"Bundle-only",IF(V282=0,"Handpick-only","Mixed"))</f>
        <v>Bundle-only</v>
      </c>
      <c r="X282" s="17" t="n">
        <f aca="false">L282/K282</f>
        <v>1</v>
      </c>
      <c r="Y282" s="9" t="n">
        <f aca="false">J282/K282</f>
        <v>119</v>
      </c>
      <c r="Z282" s="10" t="b">
        <f aca="false">O282&gt;=Assumptions!$B$57</f>
        <v>1</v>
      </c>
      <c r="AA282" s="10" t="b">
        <f aca="false">P282&gt;=Assumptions!$B$58</f>
        <v>1</v>
      </c>
      <c r="AB282" s="10" t="b">
        <f aca="false">Q282&gt;=Assumptions!$B$59</f>
        <v>1</v>
      </c>
      <c r="AC282" s="2" t="n">
        <f aca="false">Z282*1+AA282*1+AB282*1</f>
        <v>3</v>
      </c>
      <c r="AD282" s="2" t="str">
        <f aca="false">IF(E282="Broker-Reliant","Broker-led, product-blind",IF(AND(I282="Low",F282&lt;&gt;"Tail",OR(G282="Declining",G282="Lapsed"),OR(O282&gt;=Assumptions!$B$60,P282&gt;=Assumptions!$B$61)),"Engaged but shrinking (Key/Core)",IF(AND(O282&gt;=Assumptions!$B$60,P282&gt;=Assumptions!$B$61,Q282&gt;=Assumptions!$B$62,K282&gt;=Assumptions!$B$63),"Independent browser-buyer",IF(AND(OR(O282&gt;=Assumptions!$B$60,P282&gt;=Assumptions!$B$61),K282&lt;=2),"Engaged, not converting",IF(AND(K282=1,O282&lt;Assumptions!$B$60,P282&lt;Assumptions!$B$61),"One-off low-touch buyer","Light-touch repeat buyer")))))</f>
        <v>Engaged, not converting</v>
      </c>
      <c r="AE282" s="10" t="b">
        <f aca="false">INDEX(Segmentation!$AW$2:$AW$301,MATCH($A282,Segmentation!$A$2:$A$301,0))</f>
        <v>0</v>
      </c>
    </row>
    <row r="283" customFormat="false" ht="15" hidden="false" customHeight="false" outlineLevel="0" collapsed="false">
      <c r="A283" s="2" t="s">
        <v>934</v>
      </c>
      <c r="B283" s="2" t="s">
        <v>1574</v>
      </c>
      <c r="C283" s="2" t="s">
        <v>1640</v>
      </c>
      <c r="D283" s="2" t="s">
        <v>1653</v>
      </c>
      <c r="E283" s="2" t="str">
        <f aca="false">INDEX(Segmentation!$H$2:$H$301,MATCH($A283,Segmentation!$A$2:$A$301,0))</f>
        <v>Self-Serve</v>
      </c>
      <c r="F283" s="2" t="str">
        <f aca="false">INDEX(Segmentation!$J$2:$J$301,MATCH($A283,Segmentation!$A$2:$A$301,0))</f>
        <v>Tail</v>
      </c>
      <c r="G283" s="2" t="str">
        <f aca="false">INDEX(Segmentation!$N$2:$N$301,MATCH($A283,Segmentation!$A$2:$A$301,0))</f>
        <v>H2 Active / No H1 GMV</v>
      </c>
      <c r="H283" s="2" t="str">
        <f aca="false">INDEX(Segmentation!$T$2:$T$301,MATCH($A283,Segmentation!$A$2:$A$301,0))</f>
        <v>9. Long-Tail Automated Nurture</v>
      </c>
      <c r="I283" s="2" t="str">
        <f aca="false">INDEX(Segmentation!$G$2:$G$301,MATCH($A283,Segmentation!$A$2:$A$301,0))</f>
        <v>Low</v>
      </c>
      <c r="J283" s="9" t="n">
        <f aca="false">INDEX(Segmentation!$I$2:$I$301,MATCH($A283,Segmentation!$A$2:$A$301,0))</f>
        <v>118</v>
      </c>
      <c r="K283" s="2" t="n">
        <f aca="false">INDEX(Segmentation!$O$2:$O$301,MATCH($A283,Segmentation!$A$2:$A$301,0))</f>
        <v>1</v>
      </c>
      <c r="L283" s="2" t="n">
        <f aca="false">INDEX(Segmentation!$Q$2:$Q$301,MATCH($A283,Segmentation!$A$2:$A$301,0))</f>
        <v>1</v>
      </c>
      <c r="M283" s="2" t="n">
        <f aca="false">INDEX(Segmentation!$W$2:$W$301,MATCH($A283,Segmentation!$A$2:$A$301,0))</f>
        <v>1</v>
      </c>
      <c r="N283" s="2" t="str">
        <f aca="false">INDEX(Segmentation!$AF$2:$AF$301,MATCH($A283,Segmentation!$A$2:$A$301,0))</f>
        <v>New Customer</v>
      </c>
      <c r="O283" s="2" t="n">
        <f aca="false">INDEX(Segmentation!$R$2:$R$301,MATCH($A283,Segmentation!$A$2:$A$301,0))</f>
        <v>3</v>
      </c>
      <c r="P283" s="2" t="n">
        <v>7</v>
      </c>
      <c r="Q283" s="2" t="n">
        <f aca="false">INDEX(Segmentation!$S$2:$S$301,MATCH($A283,Segmentation!$A$2:$A$301,0))</f>
        <v>0</v>
      </c>
      <c r="R283" s="2" t="n">
        <v>0</v>
      </c>
      <c r="S283" s="2" t="n">
        <v>0</v>
      </c>
      <c r="T283" s="2" t="n">
        <v>0</v>
      </c>
      <c r="U283" s="2" t="n">
        <v>1</v>
      </c>
      <c r="V283" s="2" t="n">
        <v>100</v>
      </c>
      <c r="W283" s="2" t="str">
        <f aca="false">IF(V283=100,"Bundle-only",IF(V283=0,"Handpick-only","Mixed"))</f>
        <v>Bundle-only</v>
      </c>
      <c r="X283" s="17" t="n">
        <f aca="false">L283/K283</f>
        <v>1</v>
      </c>
      <c r="Y283" s="9" t="n">
        <f aca="false">J283/K283</f>
        <v>118</v>
      </c>
      <c r="Z283" s="10" t="b">
        <f aca="false">O283&gt;=Assumptions!$B$57</f>
        <v>0</v>
      </c>
      <c r="AA283" s="10" t="b">
        <f aca="false">P283&gt;=Assumptions!$B$58</f>
        <v>0</v>
      </c>
      <c r="AB283" s="10" t="b">
        <f aca="false">Q283&gt;=Assumptions!$B$59</f>
        <v>0</v>
      </c>
      <c r="AC283" s="2" t="n">
        <f aca="false">Z283*1+AA283*1+AB283*1</f>
        <v>0</v>
      </c>
      <c r="AD283" s="2" t="str">
        <f aca="false">IF(E283="Broker-Reliant","Broker-led, product-blind",IF(AND(I283="Low",F283&lt;&gt;"Tail",OR(G283="Declining",G283="Lapsed"),OR(O283&gt;=Assumptions!$B$60,P283&gt;=Assumptions!$B$61)),"Engaged but shrinking (Key/Core)",IF(AND(O283&gt;=Assumptions!$B$60,P283&gt;=Assumptions!$B$61,Q283&gt;=Assumptions!$B$62,K283&gt;=Assumptions!$B$63),"Independent browser-buyer",IF(AND(OR(O283&gt;=Assumptions!$B$60,P283&gt;=Assumptions!$B$61),K283&lt;=2),"Engaged, not converting",IF(AND(K283=1,O283&lt;Assumptions!$B$60,P283&lt;Assumptions!$B$61),"One-off low-touch buyer","Light-touch repeat buyer")))))</f>
        <v>One-off low-touch buyer</v>
      </c>
      <c r="AE283" s="10" t="b">
        <f aca="false">INDEX(Segmentation!$AW$2:$AW$301,MATCH($A283,Segmentation!$A$2:$A$301,0))</f>
        <v>0</v>
      </c>
    </row>
    <row r="284" customFormat="false" ht="15" hidden="false" customHeight="false" outlineLevel="0" collapsed="false">
      <c r="A284" s="2" t="s">
        <v>944</v>
      </c>
      <c r="B284" s="2" t="s">
        <v>1574</v>
      </c>
      <c r="C284" s="2" t="s">
        <v>1640</v>
      </c>
      <c r="D284" s="2" t="s">
        <v>1657</v>
      </c>
      <c r="E284" s="2" t="str">
        <f aca="false">INDEX(Segmentation!$H$2:$H$301,MATCH($A284,Segmentation!$A$2:$A$301,0))</f>
        <v>Self-Serve</v>
      </c>
      <c r="F284" s="2" t="str">
        <f aca="false">INDEX(Segmentation!$J$2:$J$301,MATCH($A284,Segmentation!$A$2:$A$301,0))</f>
        <v>Tail</v>
      </c>
      <c r="G284" s="2" t="str">
        <f aca="false">INDEX(Segmentation!$N$2:$N$301,MATCH($A284,Segmentation!$A$2:$A$301,0))</f>
        <v>Lapsed</v>
      </c>
      <c r="H284" s="2" t="str">
        <f aca="false">INDEX(Segmentation!$T$2:$T$301,MATCH($A284,Segmentation!$A$2:$A$301,0))</f>
        <v>9. Long-Tail Automated Nurture</v>
      </c>
      <c r="I284" s="2" t="str">
        <f aca="false">INDEX(Segmentation!$G$2:$G$301,MATCH($A284,Segmentation!$A$2:$A$301,0))</f>
        <v>Low</v>
      </c>
      <c r="J284" s="9" t="n">
        <f aca="false">INDEX(Segmentation!$I$2:$I$301,MATCH($A284,Segmentation!$A$2:$A$301,0))</f>
        <v>112</v>
      </c>
      <c r="K284" s="2" t="n">
        <f aca="false">INDEX(Segmentation!$O$2:$O$301,MATCH($A284,Segmentation!$A$2:$A$301,0))</f>
        <v>2</v>
      </c>
      <c r="L284" s="2" t="n">
        <f aca="false">INDEX(Segmentation!$Q$2:$Q$301,MATCH($A284,Segmentation!$A$2:$A$301,0))</f>
        <v>2</v>
      </c>
      <c r="M284" s="2" t="n">
        <f aca="false">INDEX(Segmentation!$W$2:$W$301,MATCH($A284,Segmentation!$A$2:$A$301,0))</f>
        <v>2</v>
      </c>
      <c r="N284" s="2" t="str">
        <f aca="false">INDEX(Segmentation!$AF$2:$AF$301,MATCH($A284,Segmentation!$A$2:$A$301,0))</f>
        <v>Existing Customer</v>
      </c>
      <c r="O284" s="2" t="n">
        <f aca="false">INDEX(Segmentation!$R$2:$R$301,MATCH($A284,Segmentation!$A$2:$A$301,0))</f>
        <v>19</v>
      </c>
      <c r="P284" s="2" t="n">
        <v>79</v>
      </c>
      <c r="Q284" s="2" t="n">
        <f aca="false">INDEX(Segmentation!$S$2:$S$301,MATCH($A284,Segmentation!$A$2:$A$301,0))</f>
        <v>1</v>
      </c>
      <c r="R284" s="2" t="n">
        <v>0</v>
      </c>
      <c r="S284" s="2" t="n">
        <v>0</v>
      </c>
      <c r="T284" s="2" t="n">
        <v>0</v>
      </c>
      <c r="U284" s="2" t="n">
        <v>2</v>
      </c>
      <c r="V284" s="2" t="n">
        <v>100</v>
      </c>
      <c r="W284" s="2" t="str">
        <f aca="false">IF(V284=100,"Bundle-only",IF(V284=0,"Handpick-only","Mixed"))</f>
        <v>Bundle-only</v>
      </c>
      <c r="X284" s="17" t="n">
        <f aca="false">L284/K284</f>
        <v>1</v>
      </c>
      <c r="Y284" s="9" t="n">
        <f aca="false">J284/K284</f>
        <v>56</v>
      </c>
      <c r="Z284" s="10" t="b">
        <f aca="false">O284&gt;=Assumptions!$B$57</f>
        <v>1</v>
      </c>
      <c r="AA284" s="10" t="b">
        <f aca="false">P284&gt;=Assumptions!$B$58</f>
        <v>1</v>
      </c>
      <c r="AB284" s="10" t="b">
        <f aca="false">Q284&gt;=Assumptions!$B$59</f>
        <v>0</v>
      </c>
      <c r="AC284" s="2" t="n">
        <f aca="false">Z284*1+AA284*1+AB284*1</f>
        <v>2</v>
      </c>
      <c r="AD284" s="2" t="str">
        <f aca="false">IF(E284="Broker-Reliant","Broker-led, product-blind",IF(AND(I284="Low",F284&lt;&gt;"Tail",OR(G284="Declining",G284="Lapsed"),OR(O284&gt;=Assumptions!$B$60,P284&gt;=Assumptions!$B$61)),"Engaged but shrinking (Key/Core)",IF(AND(O284&gt;=Assumptions!$B$60,P284&gt;=Assumptions!$B$61,Q284&gt;=Assumptions!$B$62,K284&gt;=Assumptions!$B$63),"Independent browser-buyer",IF(AND(OR(O284&gt;=Assumptions!$B$60,P284&gt;=Assumptions!$B$61),K284&lt;=2),"Engaged, not converting",IF(AND(K284=1,O284&lt;Assumptions!$B$60,P284&lt;Assumptions!$B$61),"One-off low-touch buyer","Light-touch repeat buyer")))))</f>
        <v>Light-touch repeat buyer</v>
      </c>
      <c r="AE284" s="10" t="b">
        <f aca="false">INDEX(Segmentation!$AW$2:$AW$301,MATCH($A284,Segmentation!$A$2:$A$301,0))</f>
        <v>0</v>
      </c>
    </row>
    <row r="285" customFormat="false" ht="15" hidden="false" customHeight="false" outlineLevel="0" collapsed="false">
      <c r="A285" s="2" t="s">
        <v>954</v>
      </c>
      <c r="B285" s="2" t="s">
        <v>1574</v>
      </c>
      <c r="C285" s="2" t="s">
        <v>1640</v>
      </c>
      <c r="D285" s="2" t="s">
        <v>1655</v>
      </c>
      <c r="E285" s="2" t="str">
        <f aca="false">INDEX(Segmentation!$H$2:$H$301,MATCH($A285,Segmentation!$A$2:$A$301,0))</f>
        <v>Self-Serve</v>
      </c>
      <c r="F285" s="2" t="str">
        <f aca="false">INDEX(Segmentation!$J$2:$J$301,MATCH($A285,Segmentation!$A$2:$A$301,0))</f>
        <v>Tail</v>
      </c>
      <c r="G285" s="2" t="str">
        <f aca="false">INDEX(Segmentation!$N$2:$N$301,MATCH($A285,Segmentation!$A$2:$A$301,0))</f>
        <v>H2 Active / No H1 GMV</v>
      </c>
      <c r="H285" s="2" t="str">
        <f aca="false">INDEX(Segmentation!$T$2:$T$301,MATCH($A285,Segmentation!$A$2:$A$301,0))</f>
        <v>9. Long-Tail Automated Nurture</v>
      </c>
      <c r="I285" s="2" t="str">
        <f aca="false">INDEX(Segmentation!$G$2:$G$301,MATCH($A285,Segmentation!$A$2:$A$301,0))</f>
        <v>Low</v>
      </c>
      <c r="J285" s="9" t="n">
        <f aca="false">INDEX(Segmentation!$I$2:$I$301,MATCH($A285,Segmentation!$A$2:$A$301,0))</f>
        <v>104</v>
      </c>
      <c r="K285" s="2" t="n">
        <f aca="false">INDEX(Segmentation!$O$2:$O$301,MATCH($A285,Segmentation!$A$2:$A$301,0))</f>
        <v>1</v>
      </c>
      <c r="L285" s="2" t="n">
        <f aca="false">INDEX(Segmentation!$Q$2:$Q$301,MATCH($A285,Segmentation!$A$2:$A$301,0))</f>
        <v>1</v>
      </c>
      <c r="M285" s="2" t="n">
        <f aca="false">INDEX(Segmentation!$W$2:$W$301,MATCH($A285,Segmentation!$A$2:$A$301,0))</f>
        <v>1</v>
      </c>
      <c r="N285" s="2" t="str">
        <f aca="false">INDEX(Segmentation!$AF$2:$AF$301,MATCH($A285,Segmentation!$A$2:$A$301,0))</f>
        <v>New Customer</v>
      </c>
      <c r="O285" s="2" t="n">
        <f aca="false">INDEX(Segmentation!$R$2:$R$301,MATCH($A285,Segmentation!$A$2:$A$301,0))</f>
        <v>1</v>
      </c>
      <c r="P285" s="2" t="n">
        <v>0</v>
      </c>
      <c r="Q285" s="2" t="n">
        <f aca="false">INDEX(Segmentation!$S$2:$S$301,MATCH($A285,Segmentation!$A$2:$A$301,0))</f>
        <v>0</v>
      </c>
      <c r="R285" s="2" t="n">
        <v>0</v>
      </c>
      <c r="S285" s="2" t="n">
        <v>0</v>
      </c>
      <c r="T285" s="2" t="n">
        <v>0</v>
      </c>
      <c r="U285" s="2" t="n">
        <v>1</v>
      </c>
      <c r="V285" s="2" t="n">
        <v>100</v>
      </c>
      <c r="W285" s="2" t="str">
        <f aca="false">IF(V285=100,"Bundle-only",IF(V285=0,"Handpick-only","Mixed"))</f>
        <v>Bundle-only</v>
      </c>
      <c r="X285" s="17" t="n">
        <f aca="false">L285/K285</f>
        <v>1</v>
      </c>
      <c r="Y285" s="9" t="n">
        <f aca="false">J285/K285</f>
        <v>104</v>
      </c>
      <c r="Z285" s="10" t="b">
        <f aca="false">O285&gt;=Assumptions!$B$57</f>
        <v>0</v>
      </c>
      <c r="AA285" s="10" t="b">
        <f aca="false">P285&gt;=Assumptions!$B$58</f>
        <v>0</v>
      </c>
      <c r="AB285" s="10" t="b">
        <f aca="false">Q285&gt;=Assumptions!$B$59</f>
        <v>0</v>
      </c>
      <c r="AC285" s="2" t="n">
        <f aca="false">Z285*1+AA285*1+AB285*1</f>
        <v>0</v>
      </c>
      <c r="AD285" s="2" t="str">
        <f aca="false">IF(E285="Broker-Reliant","Broker-led, product-blind",IF(AND(I285="Low",F285&lt;&gt;"Tail",OR(G285="Declining",G285="Lapsed"),OR(O285&gt;=Assumptions!$B$60,P285&gt;=Assumptions!$B$61)),"Engaged but shrinking (Key/Core)",IF(AND(O285&gt;=Assumptions!$B$60,P285&gt;=Assumptions!$B$61,Q285&gt;=Assumptions!$B$62,K285&gt;=Assumptions!$B$63),"Independent browser-buyer",IF(AND(OR(O285&gt;=Assumptions!$B$60,P285&gt;=Assumptions!$B$61),K285&lt;=2),"Engaged, not converting",IF(AND(K285=1,O285&lt;Assumptions!$B$60,P285&lt;Assumptions!$B$61),"One-off low-touch buyer","Light-touch repeat buyer")))))</f>
        <v>One-off low-touch buyer</v>
      </c>
      <c r="AE285" s="10" t="b">
        <f aca="false">INDEX(Segmentation!$AW$2:$AW$301,MATCH($A285,Segmentation!$A$2:$A$301,0))</f>
        <v>0</v>
      </c>
    </row>
    <row r="286" customFormat="false" ht="15" hidden="false" customHeight="false" outlineLevel="0" collapsed="false">
      <c r="A286" s="2" t="s">
        <v>960</v>
      </c>
      <c r="B286" s="2" t="s">
        <v>1574</v>
      </c>
      <c r="C286" s="2" t="s">
        <v>1640</v>
      </c>
      <c r="D286" s="2" t="s">
        <v>1658</v>
      </c>
      <c r="E286" s="2" t="str">
        <f aca="false">INDEX(Segmentation!$H$2:$H$301,MATCH($A286,Segmentation!$A$2:$A$301,0))</f>
        <v>Self-Serve</v>
      </c>
      <c r="F286" s="2" t="str">
        <f aca="false">INDEX(Segmentation!$J$2:$J$301,MATCH($A286,Segmentation!$A$2:$A$301,0))</f>
        <v>Tail</v>
      </c>
      <c r="G286" s="2" t="str">
        <f aca="false">INDEX(Segmentation!$N$2:$N$301,MATCH($A286,Segmentation!$A$2:$A$301,0))</f>
        <v>H2 Active / No H1 GMV</v>
      </c>
      <c r="H286" s="2" t="str">
        <f aca="false">INDEX(Segmentation!$T$2:$T$301,MATCH($A286,Segmentation!$A$2:$A$301,0))</f>
        <v>9. Long-Tail Automated Nurture</v>
      </c>
      <c r="I286" s="2" t="str">
        <f aca="false">INDEX(Segmentation!$G$2:$G$301,MATCH($A286,Segmentation!$A$2:$A$301,0))</f>
        <v>Low</v>
      </c>
      <c r="J286" s="9" t="n">
        <f aca="false">INDEX(Segmentation!$I$2:$I$301,MATCH($A286,Segmentation!$A$2:$A$301,0))</f>
        <v>98</v>
      </c>
      <c r="K286" s="2" t="n">
        <f aca="false">INDEX(Segmentation!$O$2:$O$301,MATCH($A286,Segmentation!$A$2:$A$301,0))</f>
        <v>1</v>
      </c>
      <c r="L286" s="2" t="n">
        <f aca="false">INDEX(Segmentation!$Q$2:$Q$301,MATCH($A286,Segmentation!$A$2:$A$301,0))</f>
        <v>1</v>
      </c>
      <c r="M286" s="2" t="n">
        <f aca="false">INDEX(Segmentation!$W$2:$W$301,MATCH($A286,Segmentation!$A$2:$A$301,0))</f>
        <v>1</v>
      </c>
      <c r="N286" s="2" t="str">
        <f aca="false">INDEX(Segmentation!$AF$2:$AF$301,MATCH($A286,Segmentation!$A$2:$A$301,0))</f>
        <v>New Customer</v>
      </c>
      <c r="O286" s="2" t="n">
        <f aca="false">INDEX(Segmentation!$R$2:$R$301,MATCH($A286,Segmentation!$A$2:$A$301,0))</f>
        <v>0</v>
      </c>
      <c r="P286" s="2" t="n">
        <v>0</v>
      </c>
      <c r="Q286" s="2" t="n">
        <f aca="false">INDEX(Segmentation!$S$2:$S$301,MATCH($A286,Segmentation!$A$2:$A$301,0))</f>
        <v>0</v>
      </c>
      <c r="R286" s="2" t="n">
        <v>0</v>
      </c>
      <c r="S286" s="2" t="n">
        <v>0</v>
      </c>
      <c r="T286" s="2" t="n">
        <v>0</v>
      </c>
      <c r="U286" s="2" t="n">
        <v>1</v>
      </c>
      <c r="V286" s="2" t="n">
        <v>100</v>
      </c>
      <c r="W286" s="2" t="str">
        <f aca="false">IF(V286=100,"Bundle-only",IF(V286=0,"Handpick-only","Mixed"))</f>
        <v>Bundle-only</v>
      </c>
      <c r="X286" s="17" t="n">
        <f aca="false">L286/K286</f>
        <v>1</v>
      </c>
      <c r="Y286" s="9" t="n">
        <f aca="false">J286/K286</f>
        <v>98</v>
      </c>
      <c r="Z286" s="10" t="b">
        <f aca="false">O286&gt;=Assumptions!$B$57</f>
        <v>0</v>
      </c>
      <c r="AA286" s="10" t="b">
        <f aca="false">P286&gt;=Assumptions!$B$58</f>
        <v>0</v>
      </c>
      <c r="AB286" s="10" t="b">
        <f aca="false">Q286&gt;=Assumptions!$B$59</f>
        <v>0</v>
      </c>
      <c r="AC286" s="2" t="n">
        <f aca="false">Z286*1+AA286*1+AB286*1</f>
        <v>0</v>
      </c>
      <c r="AD286" s="2" t="str">
        <f aca="false">IF(E286="Broker-Reliant","Broker-led, product-blind",IF(AND(I286="Low",F286&lt;&gt;"Tail",OR(G286="Declining",G286="Lapsed"),OR(O286&gt;=Assumptions!$B$60,P286&gt;=Assumptions!$B$61)),"Engaged but shrinking (Key/Core)",IF(AND(O286&gt;=Assumptions!$B$60,P286&gt;=Assumptions!$B$61,Q286&gt;=Assumptions!$B$62,K286&gt;=Assumptions!$B$63),"Independent browser-buyer",IF(AND(OR(O286&gt;=Assumptions!$B$60,P286&gt;=Assumptions!$B$61),K286&lt;=2),"Engaged, not converting",IF(AND(K286=1,O286&lt;Assumptions!$B$60,P286&lt;Assumptions!$B$61),"One-off low-touch buyer","Light-touch repeat buyer")))))</f>
        <v>One-off low-touch buyer</v>
      </c>
      <c r="AE286" s="10" t="b">
        <f aca="false">INDEX(Segmentation!$AW$2:$AW$301,MATCH($A286,Segmentation!$A$2:$A$301,0))</f>
        <v>0</v>
      </c>
    </row>
    <row r="287" customFormat="false" ht="15" hidden="false" customHeight="false" outlineLevel="0" collapsed="false">
      <c r="A287" s="2" t="s">
        <v>968</v>
      </c>
      <c r="B287" s="2" t="s">
        <v>1574</v>
      </c>
      <c r="C287" s="2" t="s">
        <v>1640</v>
      </c>
      <c r="D287" s="2" t="s">
        <v>1653</v>
      </c>
      <c r="E287" s="2" t="str">
        <f aca="false">INDEX(Segmentation!$H$2:$H$301,MATCH($A287,Segmentation!$A$2:$A$301,0))</f>
        <v>Self-Serve</v>
      </c>
      <c r="F287" s="2" t="str">
        <f aca="false">INDEX(Segmentation!$J$2:$J$301,MATCH($A287,Segmentation!$A$2:$A$301,0))</f>
        <v>Tail</v>
      </c>
      <c r="G287" s="2" t="str">
        <f aca="false">INDEX(Segmentation!$N$2:$N$301,MATCH($A287,Segmentation!$A$2:$A$301,0))</f>
        <v>Lapsed</v>
      </c>
      <c r="H287" s="2" t="str">
        <f aca="false">INDEX(Segmentation!$T$2:$T$301,MATCH($A287,Segmentation!$A$2:$A$301,0))</f>
        <v>9. Long-Tail Automated Nurture</v>
      </c>
      <c r="I287" s="2" t="str">
        <f aca="false">INDEX(Segmentation!$G$2:$G$301,MATCH($A287,Segmentation!$A$2:$A$301,0))</f>
        <v>Low</v>
      </c>
      <c r="J287" s="9" t="n">
        <f aca="false">INDEX(Segmentation!$I$2:$I$301,MATCH($A287,Segmentation!$A$2:$A$301,0))</f>
        <v>96</v>
      </c>
      <c r="K287" s="2" t="n">
        <f aca="false">INDEX(Segmentation!$O$2:$O$301,MATCH($A287,Segmentation!$A$2:$A$301,0))</f>
        <v>1</v>
      </c>
      <c r="L287" s="2" t="n">
        <f aca="false">INDEX(Segmentation!$Q$2:$Q$301,MATCH($A287,Segmentation!$A$2:$A$301,0))</f>
        <v>1</v>
      </c>
      <c r="M287" s="2" t="n">
        <f aca="false">INDEX(Segmentation!$W$2:$W$301,MATCH($A287,Segmentation!$A$2:$A$301,0))</f>
        <v>1</v>
      </c>
      <c r="N287" s="2" t="str">
        <f aca="false">INDEX(Segmentation!$AF$2:$AF$301,MATCH($A287,Segmentation!$A$2:$A$301,0))</f>
        <v>Existing Customer</v>
      </c>
      <c r="O287" s="2" t="n">
        <f aca="false">INDEX(Segmentation!$R$2:$R$301,MATCH($A287,Segmentation!$A$2:$A$301,0))</f>
        <v>15</v>
      </c>
      <c r="P287" s="2" t="n">
        <v>517</v>
      </c>
      <c r="Q287" s="2" t="n">
        <f aca="false">INDEX(Segmentation!$S$2:$S$301,MATCH($A287,Segmentation!$A$2:$A$301,0))</f>
        <v>35</v>
      </c>
      <c r="R287" s="2" t="n">
        <v>17</v>
      </c>
      <c r="S287" s="2" t="n">
        <v>1</v>
      </c>
      <c r="T287" s="2" t="n">
        <v>0</v>
      </c>
      <c r="U287" s="2" t="n">
        <v>1</v>
      </c>
      <c r="V287" s="2" t="n">
        <v>100</v>
      </c>
      <c r="W287" s="2" t="str">
        <f aca="false">IF(V287=100,"Bundle-only",IF(V287=0,"Handpick-only","Mixed"))</f>
        <v>Bundle-only</v>
      </c>
      <c r="X287" s="17" t="n">
        <f aca="false">L287/K287</f>
        <v>1</v>
      </c>
      <c r="Y287" s="9" t="n">
        <f aca="false">J287/K287</f>
        <v>96</v>
      </c>
      <c r="Z287" s="10" t="b">
        <f aca="false">O287&gt;=Assumptions!$B$57</f>
        <v>1</v>
      </c>
      <c r="AA287" s="10" t="b">
        <f aca="false">P287&gt;=Assumptions!$B$58</f>
        <v>1</v>
      </c>
      <c r="AB287" s="10" t="b">
        <f aca="false">Q287&gt;=Assumptions!$B$59</f>
        <v>1</v>
      </c>
      <c r="AC287" s="2" t="n">
        <f aca="false">Z287*1+AA287*1+AB287*1</f>
        <v>3</v>
      </c>
      <c r="AD287" s="2" t="str">
        <f aca="false">IF(E287="Broker-Reliant","Broker-led, product-blind",IF(AND(I287="Low",F287&lt;&gt;"Tail",OR(G287="Declining",G287="Lapsed"),OR(O287&gt;=Assumptions!$B$60,P287&gt;=Assumptions!$B$61)),"Engaged but shrinking (Key/Core)",IF(AND(O287&gt;=Assumptions!$B$60,P287&gt;=Assumptions!$B$61,Q287&gt;=Assumptions!$B$62,K287&gt;=Assumptions!$B$63),"Independent browser-buyer",IF(AND(OR(O287&gt;=Assumptions!$B$60,P287&gt;=Assumptions!$B$61),K287&lt;=2),"Engaged, not converting",IF(AND(K287=1,O287&lt;Assumptions!$B$60,P287&lt;Assumptions!$B$61),"One-off low-touch buyer","Light-touch repeat buyer")))))</f>
        <v>Engaged, not converting</v>
      </c>
      <c r="AE287" s="10" t="b">
        <f aca="false">INDEX(Segmentation!$AW$2:$AW$301,MATCH($A287,Segmentation!$A$2:$A$301,0))</f>
        <v>0</v>
      </c>
    </row>
    <row r="288" customFormat="false" ht="15" hidden="false" customHeight="false" outlineLevel="0" collapsed="false">
      <c r="A288" s="2" t="s">
        <v>972</v>
      </c>
      <c r="B288" s="2" t="s">
        <v>1574</v>
      </c>
      <c r="C288" s="2" t="s">
        <v>1640</v>
      </c>
      <c r="D288" s="2" t="s">
        <v>1657</v>
      </c>
      <c r="E288" s="2" t="str">
        <f aca="false">INDEX(Segmentation!$H$2:$H$301,MATCH($A288,Segmentation!$A$2:$A$301,0))</f>
        <v>Self-Serve</v>
      </c>
      <c r="F288" s="2" t="str">
        <f aca="false">INDEX(Segmentation!$J$2:$J$301,MATCH($A288,Segmentation!$A$2:$A$301,0))</f>
        <v>Tail</v>
      </c>
      <c r="G288" s="2" t="str">
        <f aca="false">INDEX(Segmentation!$N$2:$N$301,MATCH($A288,Segmentation!$A$2:$A$301,0))</f>
        <v>H2 Active / No H1 GMV</v>
      </c>
      <c r="H288" s="2" t="str">
        <f aca="false">INDEX(Segmentation!$T$2:$T$301,MATCH($A288,Segmentation!$A$2:$A$301,0))</f>
        <v>9. Long-Tail Automated Nurture</v>
      </c>
      <c r="I288" s="2" t="str">
        <f aca="false">INDEX(Segmentation!$G$2:$G$301,MATCH($A288,Segmentation!$A$2:$A$301,0))</f>
        <v>Low</v>
      </c>
      <c r="J288" s="9" t="n">
        <f aca="false">INDEX(Segmentation!$I$2:$I$301,MATCH($A288,Segmentation!$A$2:$A$301,0))</f>
        <v>94</v>
      </c>
      <c r="K288" s="2" t="n">
        <f aca="false">INDEX(Segmentation!$O$2:$O$301,MATCH($A288,Segmentation!$A$2:$A$301,0))</f>
        <v>1</v>
      </c>
      <c r="L288" s="2" t="n">
        <f aca="false">INDEX(Segmentation!$Q$2:$Q$301,MATCH($A288,Segmentation!$A$2:$A$301,0))</f>
        <v>1</v>
      </c>
      <c r="M288" s="2" t="n">
        <f aca="false">INDEX(Segmentation!$W$2:$W$301,MATCH($A288,Segmentation!$A$2:$A$301,0))</f>
        <v>1</v>
      </c>
      <c r="N288" s="2" t="str">
        <f aca="false">INDEX(Segmentation!$AF$2:$AF$301,MATCH($A288,Segmentation!$A$2:$A$301,0))</f>
        <v>New Customer</v>
      </c>
      <c r="O288" s="2" t="n">
        <f aca="false">INDEX(Segmentation!$R$2:$R$301,MATCH($A288,Segmentation!$A$2:$A$301,0))</f>
        <v>15</v>
      </c>
      <c r="P288" s="2" t="n">
        <v>191</v>
      </c>
      <c r="Q288" s="2" t="n">
        <f aca="false">INDEX(Segmentation!$S$2:$S$301,MATCH($A288,Segmentation!$A$2:$A$301,0))</f>
        <v>0</v>
      </c>
      <c r="R288" s="2" t="n">
        <v>0</v>
      </c>
      <c r="S288" s="2" t="n">
        <v>0</v>
      </c>
      <c r="T288" s="2" t="n">
        <v>0</v>
      </c>
      <c r="U288" s="2" t="n">
        <v>1</v>
      </c>
      <c r="V288" s="2" t="n">
        <v>100</v>
      </c>
      <c r="W288" s="2" t="str">
        <f aca="false">IF(V288=100,"Bundle-only",IF(V288=0,"Handpick-only","Mixed"))</f>
        <v>Bundle-only</v>
      </c>
      <c r="X288" s="17" t="n">
        <f aca="false">L288/K288</f>
        <v>1</v>
      </c>
      <c r="Y288" s="9" t="n">
        <f aca="false">J288/K288</f>
        <v>94</v>
      </c>
      <c r="Z288" s="10" t="b">
        <f aca="false">O288&gt;=Assumptions!$B$57</f>
        <v>1</v>
      </c>
      <c r="AA288" s="10" t="b">
        <f aca="false">P288&gt;=Assumptions!$B$58</f>
        <v>1</v>
      </c>
      <c r="AB288" s="10" t="b">
        <f aca="false">Q288&gt;=Assumptions!$B$59</f>
        <v>0</v>
      </c>
      <c r="AC288" s="2" t="n">
        <f aca="false">Z288*1+AA288*1+AB288*1</f>
        <v>2</v>
      </c>
      <c r="AD288" s="2" t="str">
        <f aca="false">IF(E288="Broker-Reliant","Broker-led, product-blind",IF(AND(I288="Low",F288&lt;&gt;"Tail",OR(G288="Declining",G288="Lapsed"),OR(O288&gt;=Assumptions!$B$60,P288&gt;=Assumptions!$B$61)),"Engaged but shrinking (Key/Core)",IF(AND(O288&gt;=Assumptions!$B$60,P288&gt;=Assumptions!$B$61,Q288&gt;=Assumptions!$B$62,K288&gt;=Assumptions!$B$63),"Independent browser-buyer",IF(AND(OR(O288&gt;=Assumptions!$B$60,P288&gt;=Assumptions!$B$61),K288&lt;=2),"Engaged, not converting",IF(AND(K288=1,O288&lt;Assumptions!$B$60,P288&lt;Assumptions!$B$61),"One-off low-touch buyer","Light-touch repeat buyer")))))</f>
        <v>One-off low-touch buyer</v>
      </c>
      <c r="AE288" s="10" t="b">
        <f aca="false">INDEX(Segmentation!$AW$2:$AW$301,MATCH($A288,Segmentation!$A$2:$A$301,0))</f>
        <v>0</v>
      </c>
    </row>
    <row r="289" customFormat="false" ht="15" hidden="false" customHeight="false" outlineLevel="0" collapsed="false">
      <c r="A289" s="2" t="s">
        <v>976</v>
      </c>
      <c r="B289" s="2" t="s">
        <v>1574</v>
      </c>
      <c r="C289" s="2" t="s">
        <v>1640</v>
      </c>
      <c r="D289" s="2" t="s">
        <v>1653</v>
      </c>
      <c r="E289" s="2" t="str">
        <f aca="false">INDEX(Segmentation!$H$2:$H$301,MATCH($A289,Segmentation!$A$2:$A$301,0))</f>
        <v>Self-Serve</v>
      </c>
      <c r="F289" s="2" t="str">
        <f aca="false">INDEX(Segmentation!$J$2:$J$301,MATCH($A289,Segmentation!$A$2:$A$301,0))</f>
        <v>Tail</v>
      </c>
      <c r="G289" s="2" t="str">
        <f aca="false">INDEX(Segmentation!$N$2:$N$301,MATCH($A289,Segmentation!$A$2:$A$301,0))</f>
        <v>Lapsed</v>
      </c>
      <c r="H289" s="2" t="str">
        <f aca="false">INDEX(Segmentation!$T$2:$T$301,MATCH($A289,Segmentation!$A$2:$A$301,0))</f>
        <v>9. Long-Tail Automated Nurture</v>
      </c>
      <c r="I289" s="2" t="str">
        <f aca="false">INDEX(Segmentation!$G$2:$G$301,MATCH($A289,Segmentation!$A$2:$A$301,0))</f>
        <v>Low</v>
      </c>
      <c r="J289" s="9" t="n">
        <f aca="false">INDEX(Segmentation!$I$2:$I$301,MATCH($A289,Segmentation!$A$2:$A$301,0))</f>
        <v>88</v>
      </c>
      <c r="K289" s="2" t="n">
        <f aca="false">INDEX(Segmentation!$O$2:$O$301,MATCH($A289,Segmentation!$A$2:$A$301,0))</f>
        <v>1</v>
      </c>
      <c r="L289" s="2" t="n">
        <f aca="false">INDEX(Segmentation!$Q$2:$Q$301,MATCH($A289,Segmentation!$A$2:$A$301,0))</f>
        <v>1</v>
      </c>
      <c r="M289" s="2" t="n">
        <f aca="false">INDEX(Segmentation!$W$2:$W$301,MATCH($A289,Segmentation!$A$2:$A$301,0))</f>
        <v>1</v>
      </c>
      <c r="N289" s="2" t="str">
        <f aca="false">INDEX(Segmentation!$AF$2:$AF$301,MATCH($A289,Segmentation!$A$2:$A$301,0))</f>
        <v>Existing Customer</v>
      </c>
      <c r="O289" s="2" t="n">
        <f aca="false">INDEX(Segmentation!$R$2:$R$301,MATCH($A289,Segmentation!$A$2:$A$301,0))</f>
        <v>23</v>
      </c>
      <c r="P289" s="2" t="n">
        <v>81</v>
      </c>
      <c r="Q289" s="2" t="n">
        <f aca="false">INDEX(Segmentation!$S$2:$S$301,MATCH($A289,Segmentation!$A$2:$A$301,0))</f>
        <v>0</v>
      </c>
      <c r="R289" s="2" t="n">
        <v>1</v>
      </c>
      <c r="S289" s="2" t="n">
        <v>0</v>
      </c>
      <c r="T289" s="2" t="n">
        <v>0</v>
      </c>
      <c r="U289" s="2" t="n">
        <v>1</v>
      </c>
      <c r="V289" s="2" t="n">
        <v>100</v>
      </c>
      <c r="W289" s="2" t="str">
        <f aca="false">IF(V289=100,"Bundle-only",IF(V289=0,"Handpick-only","Mixed"))</f>
        <v>Bundle-only</v>
      </c>
      <c r="X289" s="17" t="n">
        <f aca="false">L289/K289</f>
        <v>1</v>
      </c>
      <c r="Y289" s="9" t="n">
        <f aca="false">J289/K289</f>
        <v>88</v>
      </c>
      <c r="Z289" s="10" t="b">
        <f aca="false">O289&gt;=Assumptions!$B$57</f>
        <v>1</v>
      </c>
      <c r="AA289" s="10" t="b">
        <f aca="false">P289&gt;=Assumptions!$B$58</f>
        <v>1</v>
      </c>
      <c r="AB289" s="10" t="b">
        <f aca="false">Q289&gt;=Assumptions!$B$59</f>
        <v>0</v>
      </c>
      <c r="AC289" s="2" t="n">
        <f aca="false">Z289*1+AA289*1+AB289*1</f>
        <v>2</v>
      </c>
      <c r="AD289" s="2" t="str">
        <f aca="false">IF(E289="Broker-Reliant","Broker-led, product-blind",IF(AND(I289="Low",F289&lt;&gt;"Tail",OR(G289="Declining",G289="Lapsed"),OR(O289&gt;=Assumptions!$B$60,P289&gt;=Assumptions!$B$61)),"Engaged but shrinking (Key/Core)",IF(AND(O289&gt;=Assumptions!$B$60,P289&gt;=Assumptions!$B$61,Q289&gt;=Assumptions!$B$62,K289&gt;=Assumptions!$B$63),"Independent browser-buyer",IF(AND(OR(O289&gt;=Assumptions!$B$60,P289&gt;=Assumptions!$B$61),K289&lt;=2),"Engaged, not converting",IF(AND(K289=1,O289&lt;Assumptions!$B$60,P289&lt;Assumptions!$B$61),"One-off low-touch buyer","Light-touch repeat buyer")))))</f>
        <v>Engaged, not converting</v>
      </c>
      <c r="AE289" s="10" t="b">
        <f aca="false">INDEX(Segmentation!$AW$2:$AW$301,MATCH($A289,Segmentation!$A$2:$A$301,0))</f>
        <v>0</v>
      </c>
    </row>
    <row r="290" customFormat="false" ht="15" hidden="false" customHeight="false" outlineLevel="0" collapsed="false">
      <c r="A290" s="2" t="s">
        <v>978</v>
      </c>
      <c r="B290" s="2" t="s">
        <v>1574</v>
      </c>
      <c r="C290" s="2" t="s">
        <v>1640</v>
      </c>
      <c r="D290" s="2" t="s">
        <v>1653</v>
      </c>
      <c r="E290" s="2" t="str">
        <f aca="false">INDEX(Segmentation!$H$2:$H$301,MATCH($A290,Segmentation!$A$2:$A$301,0))</f>
        <v>Self-Serve</v>
      </c>
      <c r="F290" s="2" t="str">
        <f aca="false">INDEX(Segmentation!$J$2:$J$301,MATCH($A290,Segmentation!$A$2:$A$301,0))</f>
        <v>Tail</v>
      </c>
      <c r="G290" s="2" t="str">
        <f aca="false">INDEX(Segmentation!$N$2:$N$301,MATCH($A290,Segmentation!$A$2:$A$301,0))</f>
        <v>H2 Active / No H1 GMV</v>
      </c>
      <c r="H290" s="2" t="str">
        <f aca="false">INDEX(Segmentation!$T$2:$T$301,MATCH($A290,Segmentation!$A$2:$A$301,0))</f>
        <v>9. Long-Tail Automated Nurture</v>
      </c>
      <c r="I290" s="2" t="str">
        <f aca="false">INDEX(Segmentation!$G$2:$G$301,MATCH($A290,Segmentation!$A$2:$A$301,0))</f>
        <v>Low</v>
      </c>
      <c r="J290" s="9" t="n">
        <f aca="false">INDEX(Segmentation!$I$2:$I$301,MATCH($A290,Segmentation!$A$2:$A$301,0))</f>
        <v>87</v>
      </c>
      <c r="K290" s="2" t="n">
        <f aca="false">INDEX(Segmentation!$O$2:$O$301,MATCH($A290,Segmentation!$A$2:$A$301,0))</f>
        <v>1</v>
      </c>
      <c r="L290" s="2" t="n">
        <f aca="false">INDEX(Segmentation!$Q$2:$Q$301,MATCH($A290,Segmentation!$A$2:$A$301,0))</f>
        <v>1</v>
      </c>
      <c r="M290" s="2" t="n">
        <f aca="false">INDEX(Segmentation!$W$2:$W$301,MATCH($A290,Segmentation!$A$2:$A$301,0))</f>
        <v>1</v>
      </c>
      <c r="N290" s="2" t="str">
        <f aca="false">INDEX(Segmentation!$AF$2:$AF$301,MATCH($A290,Segmentation!$A$2:$A$301,0))</f>
        <v>New Customer</v>
      </c>
      <c r="O290" s="2" t="n">
        <f aca="false">INDEX(Segmentation!$R$2:$R$301,MATCH($A290,Segmentation!$A$2:$A$301,0))</f>
        <v>1</v>
      </c>
      <c r="P290" s="2" t="n">
        <v>0</v>
      </c>
      <c r="Q290" s="2" t="n">
        <f aca="false">INDEX(Segmentation!$S$2:$S$301,MATCH($A290,Segmentation!$A$2:$A$301,0))</f>
        <v>0</v>
      </c>
      <c r="R290" s="2" t="n">
        <v>0</v>
      </c>
      <c r="S290" s="2" t="n">
        <v>0</v>
      </c>
      <c r="T290" s="2" t="n">
        <v>0</v>
      </c>
      <c r="U290" s="2" t="n">
        <v>1</v>
      </c>
      <c r="V290" s="2" t="n">
        <v>100</v>
      </c>
      <c r="W290" s="2" t="str">
        <f aca="false">IF(V290=100,"Bundle-only",IF(V290=0,"Handpick-only","Mixed"))</f>
        <v>Bundle-only</v>
      </c>
      <c r="X290" s="17" t="n">
        <f aca="false">L290/K290</f>
        <v>1</v>
      </c>
      <c r="Y290" s="9" t="n">
        <f aca="false">J290/K290</f>
        <v>87</v>
      </c>
      <c r="Z290" s="10" t="b">
        <f aca="false">O290&gt;=Assumptions!$B$57</f>
        <v>0</v>
      </c>
      <c r="AA290" s="10" t="b">
        <f aca="false">P290&gt;=Assumptions!$B$58</f>
        <v>0</v>
      </c>
      <c r="AB290" s="10" t="b">
        <f aca="false">Q290&gt;=Assumptions!$B$59</f>
        <v>0</v>
      </c>
      <c r="AC290" s="2" t="n">
        <f aca="false">Z290*1+AA290*1+AB290*1</f>
        <v>0</v>
      </c>
      <c r="AD290" s="2" t="str">
        <f aca="false">IF(E290="Broker-Reliant","Broker-led, product-blind",IF(AND(I290="Low",F290&lt;&gt;"Tail",OR(G290="Declining",G290="Lapsed"),OR(O290&gt;=Assumptions!$B$60,P290&gt;=Assumptions!$B$61)),"Engaged but shrinking (Key/Core)",IF(AND(O290&gt;=Assumptions!$B$60,P290&gt;=Assumptions!$B$61,Q290&gt;=Assumptions!$B$62,K290&gt;=Assumptions!$B$63),"Independent browser-buyer",IF(AND(OR(O290&gt;=Assumptions!$B$60,P290&gt;=Assumptions!$B$61),K290&lt;=2),"Engaged, not converting",IF(AND(K290=1,O290&lt;Assumptions!$B$60,P290&lt;Assumptions!$B$61),"One-off low-touch buyer","Light-touch repeat buyer")))))</f>
        <v>One-off low-touch buyer</v>
      </c>
      <c r="AE290" s="10" t="b">
        <f aca="false">INDEX(Segmentation!$AW$2:$AW$301,MATCH($A290,Segmentation!$A$2:$A$301,0))</f>
        <v>0</v>
      </c>
    </row>
    <row r="291" customFormat="false" ht="15" hidden="false" customHeight="false" outlineLevel="0" collapsed="false">
      <c r="A291" s="2" t="s">
        <v>980</v>
      </c>
      <c r="B291" s="2" t="s">
        <v>1574</v>
      </c>
      <c r="C291" s="2" t="s">
        <v>1640</v>
      </c>
      <c r="D291" s="2" t="s">
        <v>1653</v>
      </c>
      <c r="E291" s="2" t="str">
        <f aca="false">INDEX(Segmentation!$H$2:$H$301,MATCH($A291,Segmentation!$A$2:$A$301,0))</f>
        <v>Self-Serve</v>
      </c>
      <c r="F291" s="2" t="str">
        <f aca="false">INDEX(Segmentation!$J$2:$J$301,MATCH($A291,Segmentation!$A$2:$A$301,0))</f>
        <v>Tail</v>
      </c>
      <c r="G291" s="2" t="str">
        <f aca="false">INDEX(Segmentation!$N$2:$N$301,MATCH($A291,Segmentation!$A$2:$A$301,0))</f>
        <v>H2 Active / No H1 GMV</v>
      </c>
      <c r="H291" s="2" t="str">
        <f aca="false">INDEX(Segmentation!$T$2:$T$301,MATCH($A291,Segmentation!$A$2:$A$301,0))</f>
        <v>9. Long-Tail Automated Nurture</v>
      </c>
      <c r="I291" s="2" t="str">
        <f aca="false">INDEX(Segmentation!$G$2:$G$301,MATCH($A291,Segmentation!$A$2:$A$301,0))</f>
        <v>Low</v>
      </c>
      <c r="J291" s="9" t="n">
        <f aca="false">INDEX(Segmentation!$I$2:$I$301,MATCH($A291,Segmentation!$A$2:$A$301,0))</f>
        <v>86</v>
      </c>
      <c r="K291" s="2" t="n">
        <f aca="false">INDEX(Segmentation!$O$2:$O$301,MATCH($A291,Segmentation!$A$2:$A$301,0))</f>
        <v>1</v>
      </c>
      <c r="L291" s="2" t="n">
        <f aca="false">INDEX(Segmentation!$Q$2:$Q$301,MATCH($A291,Segmentation!$A$2:$A$301,0))</f>
        <v>1</v>
      </c>
      <c r="M291" s="2" t="n">
        <f aca="false">INDEX(Segmentation!$W$2:$W$301,MATCH($A291,Segmentation!$A$2:$A$301,0))</f>
        <v>1</v>
      </c>
      <c r="N291" s="2" t="str">
        <f aca="false">INDEX(Segmentation!$AF$2:$AF$301,MATCH($A291,Segmentation!$A$2:$A$301,0))</f>
        <v>New Customer</v>
      </c>
      <c r="O291" s="2" t="n">
        <f aca="false">INDEX(Segmentation!$R$2:$R$301,MATCH($A291,Segmentation!$A$2:$A$301,0))</f>
        <v>3</v>
      </c>
      <c r="P291" s="2" t="n">
        <v>51</v>
      </c>
      <c r="Q291" s="2" t="n">
        <f aca="false">INDEX(Segmentation!$S$2:$S$301,MATCH($A291,Segmentation!$A$2:$A$301,0))</f>
        <v>0</v>
      </c>
      <c r="R291" s="2" t="n">
        <v>2</v>
      </c>
      <c r="S291" s="2" t="n">
        <v>0</v>
      </c>
      <c r="T291" s="2" t="n">
        <v>0</v>
      </c>
      <c r="U291" s="2" t="n">
        <v>1</v>
      </c>
      <c r="V291" s="2" t="n">
        <v>100</v>
      </c>
      <c r="W291" s="2" t="str">
        <f aca="false">IF(V291=100,"Bundle-only",IF(V291=0,"Handpick-only","Mixed"))</f>
        <v>Bundle-only</v>
      </c>
      <c r="X291" s="17" t="n">
        <f aca="false">L291/K291</f>
        <v>1</v>
      </c>
      <c r="Y291" s="9" t="n">
        <f aca="false">J291/K291</f>
        <v>86</v>
      </c>
      <c r="Z291" s="10" t="b">
        <f aca="false">O291&gt;=Assumptions!$B$57</f>
        <v>0</v>
      </c>
      <c r="AA291" s="10" t="b">
        <f aca="false">P291&gt;=Assumptions!$B$58</f>
        <v>1</v>
      </c>
      <c r="AB291" s="10" t="b">
        <f aca="false">Q291&gt;=Assumptions!$B$59</f>
        <v>0</v>
      </c>
      <c r="AC291" s="2" t="n">
        <f aca="false">Z291*1+AA291*1+AB291*1</f>
        <v>1</v>
      </c>
      <c r="AD291" s="2" t="str">
        <f aca="false">IF(E291="Broker-Reliant","Broker-led, product-blind",IF(AND(I291="Low",F291&lt;&gt;"Tail",OR(G291="Declining",G291="Lapsed"),OR(O291&gt;=Assumptions!$B$60,P291&gt;=Assumptions!$B$61)),"Engaged but shrinking (Key/Core)",IF(AND(O291&gt;=Assumptions!$B$60,P291&gt;=Assumptions!$B$61,Q291&gt;=Assumptions!$B$62,K291&gt;=Assumptions!$B$63),"Independent browser-buyer",IF(AND(OR(O291&gt;=Assumptions!$B$60,P291&gt;=Assumptions!$B$61),K291&lt;=2),"Engaged, not converting",IF(AND(K291=1,O291&lt;Assumptions!$B$60,P291&lt;Assumptions!$B$61),"One-off low-touch buyer","Light-touch repeat buyer")))))</f>
        <v>One-off low-touch buyer</v>
      </c>
      <c r="AE291" s="10" t="b">
        <f aca="false">INDEX(Segmentation!$AW$2:$AW$301,MATCH($A291,Segmentation!$A$2:$A$301,0))</f>
        <v>0</v>
      </c>
    </row>
    <row r="292" customFormat="false" ht="15" hidden="false" customHeight="false" outlineLevel="0" collapsed="false">
      <c r="A292" s="2" t="s">
        <v>990</v>
      </c>
      <c r="B292" s="2" t="s">
        <v>1574</v>
      </c>
      <c r="C292" s="2" t="s">
        <v>1640</v>
      </c>
      <c r="D292" s="2" t="s">
        <v>1658</v>
      </c>
      <c r="E292" s="2" t="str">
        <f aca="false">INDEX(Segmentation!$H$2:$H$301,MATCH($A292,Segmentation!$A$2:$A$301,0))</f>
        <v>Self-Serve</v>
      </c>
      <c r="F292" s="2" t="str">
        <f aca="false">INDEX(Segmentation!$J$2:$J$301,MATCH($A292,Segmentation!$A$2:$A$301,0))</f>
        <v>Tail</v>
      </c>
      <c r="G292" s="2" t="str">
        <f aca="false">INDEX(Segmentation!$N$2:$N$301,MATCH($A292,Segmentation!$A$2:$A$301,0))</f>
        <v>H2 Active / No H1 GMV</v>
      </c>
      <c r="H292" s="2" t="str">
        <f aca="false">INDEX(Segmentation!$T$2:$T$301,MATCH($A292,Segmentation!$A$2:$A$301,0))</f>
        <v>9. Long-Tail Automated Nurture</v>
      </c>
      <c r="I292" s="2" t="str">
        <f aca="false">INDEX(Segmentation!$G$2:$G$301,MATCH($A292,Segmentation!$A$2:$A$301,0))</f>
        <v>Low</v>
      </c>
      <c r="J292" s="9" t="n">
        <f aca="false">INDEX(Segmentation!$I$2:$I$301,MATCH($A292,Segmentation!$A$2:$A$301,0))</f>
        <v>84</v>
      </c>
      <c r="K292" s="2" t="n">
        <f aca="false">INDEX(Segmentation!$O$2:$O$301,MATCH($A292,Segmentation!$A$2:$A$301,0))</f>
        <v>1</v>
      </c>
      <c r="L292" s="2" t="n">
        <f aca="false">INDEX(Segmentation!$Q$2:$Q$301,MATCH($A292,Segmentation!$A$2:$A$301,0))</f>
        <v>1</v>
      </c>
      <c r="M292" s="2" t="n">
        <f aca="false">INDEX(Segmentation!$W$2:$W$301,MATCH($A292,Segmentation!$A$2:$A$301,0))</f>
        <v>1</v>
      </c>
      <c r="N292" s="2" t="str">
        <f aca="false">INDEX(Segmentation!$AF$2:$AF$301,MATCH($A292,Segmentation!$A$2:$A$301,0))</f>
        <v>New Customer</v>
      </c>
      <c r="O292" s="2" t="n">
        <f aca="false">INDEX(Segmentation!$R$2:$R$301,MATCH($A292,Segmentation!$A$2:$A$301,0))</f>
        <v>3</v>
      </c>
      <c r="P292" s="2" t="n">
        <v>8</v>
      </c>
      <c r="Q292" s="2" t="n">
        <f aca="false">INDEX(Segmentation!$S$2:$S$301,MATCH($A292,Segmentation!$A$2:$A$301,0))</f>
        <v>0</v>
      </c>
      <c r="R292" s="2" t="n">
        <v>0</v>
      </c>
      <c r="S292" s="2" t="n">
        <v>0</v>
      </c>
      <c r="T292" s="2" t="n">
        <v>0</v>
      </c>
      <c r="U292" s="2" t="n">
        <v>1</v>
      </c>
      <c r="V292" s="2" t="n">
        <v>100</v>
      </c>
      <c r="W292" s="2" t="str">
        <f aca="false">IF(V292=100,"Bundle-only",IF(V292=0,"Handpick-only","Mixed"))</f>
        <v>Bundle-only</v>
      </c>
      <c r="X292" s="17" t="n">
        <f aca="false">L292/K292</f>
        <v>1</v>
      </c>
      <c r="Y292" s="9" t="n">
        <f aca="false">J292/K292</f>
        <v>84</v>
      </c>
      <c r="Z292" s="10" t="b">
        <f aca="false">O292&gt;=Assumptions!$B$57</f>
        <v>0</v>
      </c>
      <c r="AA292" s="10" t="b">
        <f aca="false">P292&gt;=Assumptions!$B$58</f>
        <v>0</v>
      </c>
      <c r="AB292" s="10" t="b">
        <f aca="false">Q292&gt;=Assumptions!$B$59</f>
        <v>0</v>
      </c>
      <c r="AC292" s="2" t="n">
        <f aca="false">Z292*1+AA292*1+AB292*1</f>
        <v>0</v>
      </c>
      <c r="AD292" s="2" t="str">
        <f aca="false">IF(E292="Broker-Reliant","Broker-led, product-blind",IF(AND(I292="Low",F292&lt;&gt;"Tail",OR(G292="Declining",G292="Lapsed"),OR(O292&gt;=Assumptions!$B$60,P292&gt;=Assumptions!$B$61)),"Engaged but shrinking (Key/Core)",IF(AND(O292&gt;=Assumptions!$B$60,P292&gt;=Assumptions!$B$61,Q292&gt;=Assumptions!$B$62,K292&gt;=Assumptions!$B$63),"Independent browser-buyer",IF(AND(OR(O292&gt;=Assumptions!$B$60,P292&gt;=Assumptions!$B$61),K292&lt;=2),"Engaged, not converting",IF(AND(K292=1,O292&lt;Assumptions!$B$60,P292&lt;Assumptions!$B$61),"One-off low-touch buyer","Light-touch repeat buyer")))))</f>
        <v>One-off low-touch buyer</v>
      </c>
      <c r="AE292" s="10" t="b">
        <f aca="false">INDEX(Segmentation!$AW$2:$AW$301,MATCH($A292,Segmentation!$A$2:$A$301,0))</f>
        <v>0</v>
      </c>
    </row>
    <row r="293" customFormat="false" ht="15" hidden="false" customHeight="false" outlineLevel="0" collapsed="false">
      <c r="A293" s="2" t="s">
        <v>992</v>
      </c>
      <c r="B293" s="2" t="s">
        <v>1574</v>
      </c>
      <c r="C293" s="2" t="s">
        <v>1640</v>
      </c>
      <c r="D293" s="2" t="s">
        <v>1653</v>
      </c>
      <c r="E293" s="2" t="str">
        <f aca="false">INDEX(Segmentation!$H$2:$H$301,MATCH($A293,Segmentation!$A$2:$A$301,0))</f>
        <v>Self-Serve</v>
      </c>
      <c r="F293" s="2" t="str">
        <f aca="false">INDEX(Segmentation!$J$2:$J$301,MATCH($A293,Segmentation!$A$2:$A$301,0))</f>
        <v>Tail</v>
      </c>
      <c r="G293" s="2" t="str">
        <f aca="false">INDEX(Segmentation!$N$2:$N$301,MATCH($A293,Segmentation!$A$2:$A$301,0))</f>
        <v>Lapsed</v>
      </c>
      <c r="H293" s="2" t="str">
        <f aca="false">INDEX(Segmentation!$T$2:$T$301,MATCH($A293,Segmentation!$A$2:$A$301,0))</f>
        <v>9. Long-Tail Automated Nurture</v>
      </c>
      <c r="I293" s="2" t="str">
        <f aca="false">INDEX(Segmentation!$G$2:$G$301,MATCH($A293,Segmentation!$A$2:$A$301,0))</f>
        <v>Low</v>
      </c>
      <c r="J293" s="9" t="n">
        <f aca="false">INDEX(Segmentation!$I$2:$I$301,MATCH($A293,Segmentation!$A$2:$A$301,0))</f>
        <v>84</v>
      </c>
      <c r="K293" s="2" t="n">
        <f aca="false">INDEX(Segmentation!$O$2:$O$301,MATCH($A293,Segmentation!$A$2:$A$301,0))</f>
        <v>1</v>
      </c>
      <c r="L293" s="2" t="n">
        <f aca="false">INDEX(Segmentation!$Q$2:$Q$301,MATCH($A293,Segmentation!$A$2:$A$301,0))</f>
        <v>1</v>
      </c>
      <c r="M293" s="2" t="n">
        <f aca="false">INDEX(Segmentation!$W$2:$W$301,MATCH($A293,Segmentation!$A$2:$A$301,0))</f>
        <v>1</v>
      </c>
      <c r="N293" s="2" t="str">
        <f aca="false">INDEX(Segmentation!$AF$2:$AF$301,MATCH($A293,Segmentation!$A$2:$A$301,0))</f>
        <v>Existing Customer</v>
      </c>
      <c r="O293" s="2" t="n">
        <f aca="false">INDEX(Segmentation!$R$2:$R$301,MATCH($A293,Segmentation!$A$2:$A$301,0))</f>
        <v>4</v>
      </c>
      <c r="P293" s="2" t="n">
        <v>78</v>
      </c>
      <c r="Q293" s="2" t="n">
        <f aca="false">INDEX(Segmentation!$S$2:$S$301,MATCH($A293,Segmentation!$A$2:$A$301,0))</f>
        <v>6</v>
      </c>
      <c r="R293" s="2" t="n">
        <v>0</v>
      </c>
      <c r="S293" s="2" t="n">
        <v>0</v>
      </c>
      <c r="T293" s="2" t="n">
        <v>0</v>
      </c>
      <c r="U293" s="2" t="n">
        <v>1</v>
      </c>
      <c r="V293" s="2" t="n">
        <v>100</v>
      </c>
      <c r="W293" s="2" t="str">
        <f aca="false">IF(V293=100,"Bundle-only",IF(V293=0,"Handpick-only","Mixed"))</f>
        <v>Bundle-only</v>
      </c>
      <c r="X293" s="17" t="n">
        <f aca="false">L293/K293</f>
        <v>1</v>
      </c>
      <c r="Y293" s="9" t="n">
        <f aca="false">J293/K293</f>
        <v>84</v>
      </c>
      <c r="Z293" s="10" t="b">
        <f aca="false">O293&gt;=Assumptions!$B$57</f>
        <v>0</v>
      </c>
      <c r="AA293" s="10" t="b">
        <f aca="false">P293&gt;=Assumptions!$B$58</f>
        <v>1</v>
      </c>
      <c r="AB293" s="10" t="b">
        <f aca="false">Q293&gt;=Assumptions!$B$59</f>
        <v>1</v>
      </c>
      <c r="AC293" s="2" t="n">
        <f aca="false">Z293*1+AA293*1+AB293*1</f>
        <v>2</v>
      </c>
      <c r="AD293" s="2" t="str">
        <f aca="false">IF(E293="Broker-Reliant","Broker-led, product-blind",IF(AND(I293="Low",F293&lt;&gt;"Tail",OR(G293="Declining",G293="Lapsed"),OR(O293&gt;=Assumptions!$B$60,P293&gt;=Assumptions!$B$61)),"Engaged but shrinking (Key/Core)",IF(AND(O293&gt;=Assumptions!$B$60,P293&gt;=Assumptions!$B$61,Q293&gt;=Assumptions!$B$62,K293&gt;=Assumptions!$B$63),"Independent browser-buyer",IF(AND(OR(O293&gt;=Assumptions!$B$60,P293&gt;=Assumptions!$B$61),K293&lt;=2),"Engaged, not converting",IF(AND(K293=1,O293&lt;Assumptions!$B$60,P293&lt;Assumptions!$B$61),"One-off low-touch buyer","Light-touch repeat buyer")))))</f>
        <v>One-off low-touch buyer</v>
      </c>
      <c r="AE293" s="10" t="b">
        <f aca="false">INDEX(Segmentation!$AW$2:$AW$301,MATCH($A293,Segmentation!$A$2:$A$301,0))</f>
        <v>0</v>
      </c>
    </row>
    <row r="294" customFormat="false" ht="15" hidden="false" customHeight="false" outlineLevel="0" collapsed="false">
      <c r="A294" s="2" t="s">
        <v>994</v>
      </c>
      <c r="B294" s="2" t="s">
        <v>1574</v>
      </c>
      <c r="C294" s="2" t="s">
        <v>1640</v>
      </c>
      <c r="D294" s="2" t="s">
        <v>1653</v>
      </c>
      <c r="E294" s="2" t="str">
        <f aca="false">INDEX(Segmentation!$H$2:$H$301,MATCH($A294,Segmentation!$A$2:$A$301,0))</f>
        <v>Self-Serve</v>
      </c>
      <c r="F294" s="2" t="str">
        <f aca="false">INDEX(Segmentation!$J$2:$J$301,MATCH($A294,Segmentation!$A$2:$A$301,0))</f>
        <v>Tail</v>
      </c>
      <c r="G294" s="2" t="str">
        <f aca="false">INDEX(Segmentation!$N$2:$N$301,MATCH($A294,Segmentation!$A$2:$A$301,0))</f>
        <v>H2 Active / No H1 GMV</v>
      </c>
      <c r="H294" s="2" t="str">
        <f aca="false">INDEX(Segmentation!$T$2:$T$301,MATCH($A294,Segmentation!$A$2:$A$301,0))</f>
        <v>9. Long-Tail Automated Nurture</v>
      </c>
      <c r="I294" s="2" t="str">
        <f aca="false">INDEX(Segmentation!$G$2:$G$301,MATCH($A294,Segmentation!$A$2:$A$301,0))</f>
        <v>Low</v>
      </c>
      <c r="J294" s="9" t="n">
        <f aca="false">INDEX(Segmentation!$I$2:$I$301,MATCH($A294,Segmentation!$A$2:$A$301,0))</f>
        <v>82</v>
      </c>
      <c r="K294" s="2" t="n">
        <f aca="false">INDEX(Segmentation!$O$2:$O$301,MATCH($A294,Segmentation!$A$2:$A$301,0))</f>
        <v>1</v>
      </c>
      <c r="L294" s="2" t="n">
        <f aca="false">INDEX(Segmentation!$Q$2:$Q$301,MATCH($A294,Segmentation!$A$2:$A$301,0))</f>
        <v>1</v>
      </c>
      <c r="M294" s="2" t="n">
        <f aca="false">INDEX(Segmentation!$W$2:$W$301,MATCH($A294,Segmentation!$A$2:$A$301,0))</f>
        <v>1</v>
      </c>
      <c r="N294" s="2" t="str">
        <f aca="false">INDEX(Segmentation!$AF$2:$AF$301,MATCH($A294,Segmentation!$A$2:$A$301,0))</f>
        <v>New Customer</v>
      </c>
      <c r="O294" s="2" t="n">
        <f aca="false">INDEX(Segmentation!$R$2:$R$301,MATCH($A294,Segmentation!$A$2:$A$301,0))</f>
        <v>14</v>
      </c>
      <c r="P294" s="2" t="n">
        <v>57</v>
      </c>
      <c r="Q294" s="2" t="n">
        <f aca="false">INDEX(Segmentation!$S$2:$S$301,MATCH($A294,Segmentation!$A$2:$A$301,0))</f>
        <v>0</v>
      </c>
      <c r="R294" s="2" t="n">
        <v>0</v>
      </c>
      <c r="S294" s="2" t="n">
        <v>0</v>
      </c>
      <c r="T294" s="2" t="n">
        <v>1</v>
      </c>
      <c r="U294" s="2" t="n">
        <v>0</v>
      </c>
      <c r="V294" s="2" t="n">
        <v>0</v>
      </c>
      <c r="W294" s="2" t="str">
        <f aca="false">IF(V294=100,"Bundle-only",IF(V294=0,"Handpick-only","Mixed"))</f>
        <v>Handpick-only</v>
      </c>
      <c r="X294" s="17" t="n">
        <f aca="false">L294/K294</f>
        <v>1</v>
      </c>
      <c r="Y294" s="9" t="n">
        <f aca="false">J294/K294</f>
        <v>82</v>
      </c>
      <c r="Z294" s="10" t="b">
        <f aca="false">O294&gt;=Assumptions!$B$57</f>
        <v>1</v>
      </c>
      <c r="AA294" s="10" t="b">
        <f aca="false">P294&gt;=Assumptions!$B$58</f>
        <v>1</v>
      </c>
      <c r="AB294" s="10" t="b">
        <f aca="false">Q294&gt;=Assumptions!$B$59</f>
        <v>0</v>
      </c>
      <c r="AC294" s="2" t="n">
        <f aca="false">Z294*1+AA294*1+AB294*1</f>
        <v>2</v>
      </c>
      <c r="AD294" s="2" t="str">
        <f aca="false">IF(E294="Broker-Reliant","Broker-led, product-blind",IF(AND(I294="Low",F294&lt;&gt;"Tail",OR(G294="Declining",G294="Lapsed"),OR(O294&gt;=Assumptions!$B$60,P294&gt;=Assumptions!$B$61)),"Engaged but shrinking (Key/Core)",IF(AND(O294&gt;=Assumptions!$B$60,P294&gt;=Assumptions!$B$61,Q294&gt;=Assumptions!$B$62,K294&gt;=Assumptions!$B$63),"Independent browser-buyer",IF(AND(OR(O294&gt;=Assumptions!$B$60,P294&gt;=Assumptions!$B$61),K294&lt;=2),"Engaged, not converting",IF(AND(K294=1,O294&lt;Assumptions!$B$60,P294&lt;Assumptions!$B$61),"One-off low-touch buyer","Light-touch repeat buyer")))))</f>
        <v>One-off low-touch buyer</v>
      </c>
      <c r="AE294" s="10" t="b">
        <f aca="false">INDEX(Segmentation!$AW$2:$AW$301,MATCH($A294,Segmentation!$A$2:$A$301,0))</f>
        <v>0</v>
      </c>
    </row>
    <row r="295" customFormat="false" ht="15" hidden="false" customHeight="false" outlineLevel="0" collapsed="false">
      <c r="A295" s="2" t="s">
        <v>998</v>
      </c>
      <c r="B295" s="2" t="s">
        <v>1574</v>
      </c>
      <c r="C295" s="2" t="s">
        <v>1640</v>
      </c>
      <c r="D295" s="2" t="s">
        <v>1653</v>
      </c>
      <c r="E295" s="2" t="str">
        <f aca="false">INDEX(Segmentation!$H$2:$H$301,MATCH($A295,Segmentation!$A$2:$A$301,0))</f>
        <v>Self-Serve</v>
      </c>
      <c r="F295" s="2" t="str">
        <f aca="false">INDEX(Segmentation!$J$2:$J$301,MATCH($A295,Segmentation!$A$2:$A$301,0))</f>
        <v>Tail</v>
      </c>
      <c r="G295" s="2" t="str">
        <f aca="false">INDEX(Segmentation!$N$2:$N$301,MATCH($A295,Segmentation!$A$2:$A$301,0))</f>
        <v>Lapsed</v>
      </c>
      <c r="H295" s="2" t="str">
        <f aca="false">INDEX(Segmentation!$T$2:$T$301,MATCH($A295,Segmentation!$A$2:$A$301,0))</f>
        <v>9. Long-Tail Automated Nurture</v>
      </c>
      <c r="I295" s="2" t="str">
        <f aca="false">INDEX(Segmentation!$G$2:$G$301,MATCH($A295,Segmentation!$A$2:$A$301,0))</f>
        <v>Low</v>
      </c>
      <c r="J295" s="9" t="n">
        <f aca="false">INDEX(Segmentation!$I$2:$I$301,MATCH($A295,Segmentation!$A$2:$A$301,0))</f>
        <v>78</v>
      </c>
      <c r="K295" s="2" t="n">
        <f aca="false">INDEX(Segmentation!$O$2:$O$301,MATCH($A295,Segmentation!$A$2:$A$301,0))</f>
        <v>1</v>
      </c>
      <c r="L295" s="2" t="n">
        <f aca="false">INDEX(Segmentation!$Q$2:$Q$301,MATCH($A295,Segmentation!$A$2:$A$301,0))</f>
        <v>1</v>
      </c>
      <c r="M295" s="2" t="n">
        <f aca="false">INDEX(Segmentation!$W$2:$W$301,MATCH($A295,Segmentation!$A$2:$A$301,0))</f>
        <v>1</v>
      </c>
      <c r="N295" s="2" t="str">
        <f aca="false">INDEX(Segmentation!$AF$2:$AF$301,MATCH($A295,Segmentation!$A$2:$A$301,0))</f>
        <v>Existing Customer</v>
      </c>
      <c r="O295" s="2" t="n">
        <f aca="false">INDEX(Segmentation!$R$2:$R$301,MATCH($A295,Segmentation!$A$2:$A$301,0))</f>
        <v>2</v>
      </c>
      <c r="P295" s="2" t="n">
        <v>103</v>
      </c>
      <c r="Q295" s="2" t="n">
        <f aca="false">INDEX(Segmentation!$S$2:$S$301,MATCH($A295,Segmentation!$A$2:$A$301,0))</f>
        <v>0</v>
      </c>
      <c r="R295" s="2" t="n">
        <v>1</v>
      </c>
      <c r="S295" s="2" t="n">
        <v>0</v>
      </c>
      <c r="T295" s="2" t="n">
        <v>0</v>
      </c>
      <c r="U295" s="2" t="n">
        <v>1</v>
      </c>
      <c r="V295" s="2" t="n">
        <v>100</v>
      </c>
      <c r="W295" s="2" t="str">
        <f aca="false">IF(V295=100,"Bundle-only",IF(V295=0,"Handpick-only","Mixed"))</f>
        <v>Bundle-only</v>
      </c>
      <c r="X295" s="17" t="n">
        <f aca="false">L295/K295</f>
        <v>1</v>
      </c>
      <c r="Y295" s="9" t="n">
        <f aca="false">J295/K295</f>
        <v>78</v>
      </c>
      <c r="Z295" s="10" t="b">
        <f aca="false">O295&gt;=Assumptions!$B$57</f>
        <v>0</v>
      </c>
      <c r="AA295" s="10" t="b">
        <f aca="false">P295&gt;=Assumptions!$B$58</f>
        <v>1</v>
      </c>
      <c r="AB295" s="10" t="b">
        <f aca="false">Q295&gt;=Assumptions!$B$59</f>
        <v>0</v>
      </c>
      <c r="AC295" s="2" t="n">
        <f aca="false">Z295*1+AA295*1+AB295*1</f>
        <v>1</v>
      </c>
      <c r="AD295" s="2" t="str">
        <f aca="false">IF(E295="Broker-Reliant","Broker-led, product-blind",IF(AND(I295="Low",F295&lt;&gt;"Tail",OR(G295="Declining",G295="Lapsed"),OR(O295&gt;=Assumptions!$B$60,P295&gt;=Assumptions!$B$61)),"Engaged but shrinking (Key/Core)",IF(AND(O295&gt;=Assumptions!$B$60,P295&gt;=Assumptions!$B$61,Q295&gt;=Assumptions!$B$62,K295&gt;=Assumptions!$B$63),"Independent browser-buyer",IF(AND(OR(O295&gt;=Assumptions!$B$60,P295&gt;=Assumptions!$B$61),K295&lt;=2),"Engaged, not converting",IF(AND(K295=1,O295&lt;Assumptions!$B$60,P295&lt;Assumptions!$B$61),"One-off low-touch buyer","Light-touch repeat buyer")))))</f>
        <v>One-off low-touch buyer</v>
      </c>
      <c r="AE295" s="10" t="b">
        <f aca="false">INDEX(Segmentation!$AW$2:$AW$301,MATCH($A295,Segmentation!$A$2:$A$301,0))</f>
        <v>0</v>
      </c>
    </row>
    <row r="296" customFormat="false" ht="15" hidden="false" customHeight="false" outlineLevel="0" collapsed="false">
      <c r="A296" s="2" t="s">
        <v>1002</v>
      </c>
      <c r="B296" s="2" t="s">
        <v>1574</v>
      </c>
      <c r="C296" s="2" t="s">
        <v>1640</v>
      </c>
      <c r="D296" s="2" t="s">
        <v>1657</v>
      </c>
      <c r="E296" s="2" t="str">
        <f aca="false">INDEX(Segmentation!$H$2:$H$301,MATCH($A296,Segmentation!$A$2:$A$301,0))</f>
        <v>Self-Serve</v>
      </c>
      <c r="F296" s="2" t="str">
        <f aca="false">INDEX(Segmentation!$J$2:$J$301,MATCH($A296,Segmentation!$A$2:$A$301,0))</f>
        <v>Tail</v>
      </c>
      <c r="G296" s="2" t="str">
        <f aca="false">INDEX(Segmentation!$N$2:$N$301,MATCH($A296,Segmentation!$A$2:$A$301,0))</f>
        <v>Lapsed</v>
      </c>
      <c r="H296" s="2" t="str">
        <f aca="false">INDEX(Segmentation!$T$2:$T$301,MATCH($A296,Segmentation!$A$2:$A$301,0))</f>
        <v>9. Long-Tail Automated Nurture</v>
      </c>
      <c r="I296" s="2" t="str">
        <f aca="false">INDEX(Segmentation!$G$2:$G$301,MATCH($A296,Segmentation!$A$2:$A$301,0))</f>
        <v>Low</v>
      </c>
      <c r="J296" s="9" t="n">
        <f aca="false">INDEX(Segmentation!$I$2:$I$301,MATCH($A296,Segmentation!$A$2:$A$301,0))</f>
        <v>75</v>
      </c>
      <c r="K296" s="2" t="n">
        <f aca="false">INDEX(Segmentation!$O$2:$O$301,MATCH($A296,Segmentation!$A$2:$A$301,0))</f>
        <v>1</v>
      </c>
      <c r="L296" s="2" t="n">
        <f aca="false">INDEX(Segmentation!$Q$2:$Q$301,MATCH($A296,Segmentation!$A$2:$A$301,0))</f>
        <v>1</v>
      </c>
      <c r="M296" s="2" t="n">
        <f aca="false">INDEX(Segmentation!$W$2:$W$301,MATCH($A296,Segmentation!$A$2:$A$301,0))</f>
        <v>1</v>
      </c>
      <c r="N296" s="2" t="str">
        <f aca="false">INDEX(Segmentation!$AF$2:$AF$301,MATCH($A296,Segmentation!$A$2:$A$301,0))</f>
        <v>Existing Customer</v>
      </c>
      <c r="O296" s="2" t="n">
        <f aca="false">INDEX(Segmentation!$R$2:$R$301,MATCH($A296,Segmentation!$A$2:$A$301,0))</f>
        <v>10</v>
      </c>
      <c r="P296" s="2" t="n">
        <v>105</v>
      </c>
      <c r="Q296" s="2" t="n">
        <f aca="false">INDEX(Segmentation!$S$2:$S$301,MATCH($A296,Segmentation!$A$2:$A$301,0))</f>
        <v>0</v>
      </c>
      <c r="R296" s="2" t="n">
        <v>0</v>
      </c>
      <c r="S296" s="2" t="n">
        <v>0</v>
      </c>
      <c r="T296" s="2" t="n">
        <v>0</v>
      </c>
      <c r="U296" s="2" t="n">
        <v>1</v>
      </c>
      <c r="V296" s="2" t="n">
        <v>100</v>
      </c>
      <c r="W296" s="2" t="str">
        <f aca="false">IF(V296=100,"Bundle-only",IF(V296=0,"Handpick-only","Mixed"))</f>
        <v>Bundle-only</v>
      </c>
      <c r="X296" s="17" t="n">
        <f aca="false">L296/K296</f>
        <v>1</v>
      </c>
      <c r="Y296" s="9" t="n">
        <f aca="false">J296/K296</f>
        <v>75</v>
      </c>
      <c r="Z296" s="10" t="b">
        <f aca="false">O296&gt;=Assumptions!$B$57</f>
        <v>1</v>
      </c>
      <c r="AA296" s="10" t="b">
        <f aca="false">P296&gt;=Assumptions!$B$58</f>
        <v>1</v>
      </c>
      <c r="AB296" s="10" t="b">
        <f aca="false">Q296&gt;=Assumptions!$B$59</f>
        <v>0</v>
      </c>
      <c r="AC296" s="2" t="n">
        <f aca="false">Z296*1+AA296*1+AB296*1</f>
        <v>2</v>
      </c>
      <c r="AD296" s="2" t="str">
        <f aca="false">IF(E296="Broker-Reliant","Broker-led, product-blind",IF(AND(I296="Low",F296&lt;&gt;"Tail",OR(G296="Declining",G296="Lapsed"),OR(O296&gt;=Assumptions!$B$60,P296&gt;=Assumptions!$B$61)),"Engaged but shrinking (Key/Core)",IF(AND(O296&gt;=Assumptions!$B$60,P296&gt;=Assumptions!$B$61,Q296&gt;=Assumptions!$B$62,K296&gt;=Assumptions!$B$63),"Independent browser-buyer",IF(AND(OR(O296&gt;=Assumptions!$B$60,P296&gt;=Assumptions!$B$61),K296&lt;=2),"Engaged, not converting",IF(AND(K296=1,O296&lt;Assumptions!$B$60,P296&lt;Assumptions!$B$61),"One-off low-touch buyer","Light-touch repeat buyer")))))</f>
        <v>One-off low-touch buyer</v>
      </c>
      <c r="AE296" s="10" t="b">
        <f aca="false">INDEX(Segmentation!$AW$2:$AW$301,MATCH($A296,Segmentation!$A$2:$A$301,0))</f>
        <v>0</v>
      </c>
    </row>
    <row r="297" customFormat="false" ht="15" hidden="false" customHeight="false" outlineLevel="0" collapsed="false">
      <c r="A297" s="2" t="s">
        <v>1004</v>
      </c>
      <c r="B297" s="2" t="s">
        <v>1574</v>
      </c>
      <c r="C297" s="2" t="s">
        <v>1640</v>
      </c>
      <c r="D297" s="2" t="s">
        <v>1657</v>
      </c>
      <c r="E297" s="2" t="str">
        <f aca="false">INDEX(Segmentation!$H$2:$H$301,MATCH($A297,Segmentation!$A$2:$A$301,0))</f>
        <v>Self-Serve</v>
      </c>
      <c r="F297" s="2" t="str">
        <f aca="false">INDEX(Segmentation!$J$2:$J$301,MATCH($A297,Segmentation!$A$2:$A$301,0))</f>
        <v>Tail</v>
      </c>
      <c r="G297" s="2" t="str">
        <f aca="false">INDEX(Segmentation!$N$2:$N$301,MATCH($A297,Segmentation!$A$2:$A$301,0))</f>
        <v>H2 Active / No H1 GMV</v>
      </c>
      <c r="H297" s="2" t="str">
        <f aca="false">INDEX(Segmentation!$T$2:$T$301,MATCH($A297,Segmentation!$A$2:$A$301,0))</f>
        <v>9. Long-Tail Automated Nurture</v>
      </c>
      <c r="I297" s="2" t="str">
        <f aca="false">INDEX(Segmentation!$G$2:$G$301,MATCH($A297,Segmentation!$A$2:$A$301,0))</f>
        <v>Low</v>
      </c>
      <c r="J297" s="9" t="n">
        <f aca="false">INDEX(Segmentation!$I$2:$I$301,MATCH($A297,Segmentation!$A$2:$A$301,0))</f>
        <v>67</v>
      </c>
      <c r="K297" s="2" t="n">
        <f aca="false">INDEX(Segmentation!$O$2:$O$301,MATCH($A297,Segmentation!$A$2:$A$301,0))</f>
        <v>1</v>
      </c>
      <c r="L297" s="2" t="n">
        <f aca="false">INDEX(Segmentation!$Q$2:$Q$301,MATCH($A297,Segmentation!$A$2:$A$301,0))</f>
        <v>1</v>
      </c>
      <c r="M297" s="2" t="n">
        <f aca="false">INDEX(Segmentation!$W$2:$W$301,MATCH($A297,Segmentation!$A$2:$A$301,0))</f>
        <v>1</v>
      </c>
      <c r="N297" s="2" t="str">
        <f aca="false">INDEX(Segmentation!$AF$2:$AF$301,MATCH($A297,Segmentation!$A$2:$A$301,0))</f>
        <v>New Customer</v>
      </c>
      <c r="O297" s="2" t="n">
        <f aca="false">INDEX(Segmentation!$R$2:$R$301,MATCH($A297,Segmentation!$A$2:$A$301,0))</f>
        <v>1</v>
      </c>
      <c r="P297" s="2" t="n">
        <v>0</v>
      </c>
      <c r="Q297" s="2" t="n">
        <f aca="false">INDEX(Segmentation!$S$2:$S$301,MATCH($A297,Segmentation!$A$2:$A$301,0))</f>
        <v>0</v>
      </c>
      <c r="R297" s="2" t="n">
        <v>0</v>
      </c>
      <c r="S297" s="2" t="n">
        <v>0</v>
      </c>
      <c r="T297" s="2" t="n">
        <v>0</v>
      </c>
      <c r="U297" s="2" t="n">
        <v>1</v>
      </c>
      <c r="V297" s="2" t="n">
        <v>100</v>
      </c>
      <c r="W297" s="2" t="str">
        <f aca="false">IF(V297=100,"Bundle-only",IF(V297=0,"Handpick-only","Mixed"))</f>
        <v>Bundle-only</v>
      </c>
      <c r="X297" s="17" t="n">
        <f aca="false">L297/K297</f>
        <v>1</v>
      </c>
      <c r="Y297" s="9" t="n">
        <f aca="false">J297/K297</f>
        <v>67</v>
      </c>
      <c r="Z297" s="10" t="b">
        <f aca="false">O297&gt;=Assumptions!$B$57</f>
        <v>0</v>
      </c>
      <c r="AA297" s="10" t="b">
        <f aca="false">P297&gt;=Assumptions!$B$58</f>
        <v>0</v>
      </c>
      <c r="AB297" s="10" t="b">
        <f aca="false">Q297&gt;=Assumptions!$B$59</f>
        <v>0</v>
      </c>
      <c r="AC297" s="2" t="n">
        <f aca="false">Z297*1+AA297*1+AB297*1</f>
        <v>0</v>
      </c>
      <c r="AD297" s="2" t="str">
        <f aca="false">IF(E297="Broker-Reliant","Broker-led, product-blind",IF(AND(I297="Low",F297&lt;&gt;"Tail",OR(G297="Declining",G297="Lapsed"),OR(O297&gt;=Assumptions!$B$60,P297&gt;=Assumptions!$B$61)),"Engaged but shrinking (Key/Core)",IF(AND(O297&gt;=Assumptions!$B$60,P297&gt;=Assumptions!$B$61,Q297&gt;=Assumptions!$B$62,K297&gt;=Assumptions!$B$63),"Independent browser-buyer",IF(AND(OR(O297&gt;=Assumptions!$B$60,P297&gt;=Assumptions!$B$61),K297&lt;=2),"Engaged, not converting",IF(AND(K297=1,O297&lt;Assumptions!$B$60,P297&lt;Assumptions!$B$61),"One-off low-touch buyer","Light-touch repeat buyer")))))</f>
        <v>One-off low-touch buyer</v>
      </c>
      <c r="AE297" s="10" t="b">
        <f aca="false">INDEX(Segmentation!$AW$2:$AW$301,MATCH($A297,Segmentation!$A$2:$A$301,0))</f>
        <v>0</v>
      </c>
    </row>
    <row r="298" customFormat="false" ht="15" hidden="false" customHeight="false" outlineLevel="0" collapsed="false">
      <c r="A298" s="2" t="s">
        <v>1006</v>
      </c>
      <c r="B298" s="2" t="s">
        <v>1574</v>
      </c>
      <c r="C298" s="2" t="s">
        <v>1640</v>
      </c>
      <c r="D298" s="2" t="s">
        <v>1655</v>
      </c>
      <c r="E298" s="2" t="str">
        <f aca="false">INDEX(Segmentation!$H$2:$H$301,MATCH($A298,Segmentation!$A$2:$A$301,0))</f>
        <v>Self-Serve</v>
      </c>
      <c r="F298" s="2" t="str">
        <f aca="false">INDEX(Segmentation!$J$2:$J$301,MATCH($A298,Segmentation!$A$2:$A$301,0))</f>
        <v>Tail</v>
      </c>
      <c r="G298" s="2" t="str">
        <f aca="false">INDEX(Segmentation!$N$2:$N$301,MATCH($A298,Segmentation!$A$2:$A$301,0))</f>
        <v>Lapsed</v>
      </c>
      <c r="H298" s="2" t="str">
        <f aca="false">INDEX(Segmentation!$T$2:$T$301,MATCH($A298,Segmentation!$A$2:$A$301,0))</f>
        <v>9. Long-Tail Automated Nurture</v>
      </c>
      <c r="I298" s="2" t="str">
        <f aca="false">INDEX(Segmentation!$G$2:$G$301,MATCH($A298,Segmentation!$A$2:$A$301,0))</f>
        <v>Low</v>
      </c>
      <c r="J298" s="9" t="n">
        <f aca="false">INDEX(Segmentation!$I$2:$I$301,MATCH($A298,Segmentation!$A$2:$A$301,0))</f>
        <v>61</v>
      </c>
      <c r="K298" s="2" t="n">
        <f aca="false">INDEX(Segmentation!$O$2:$O$301,MATCH($A298,Segmentation!$A$2:$A$301,0))</f>
        <v>1</v>
      </c>
      <c r="L298" s="2" t="n">
        <f aca="false">INDEX(Segmentation!$Q$2:$Q$301,MATCH($A298,Segmentation!$A$2:$A$301,0))</f>
        <v>1</v>
      </c>
      <c r="M298" s="2" t="n">
        <f aca="false">INDEX(Segmentation!$W$2:$W$301,MATCH($A298,Segmentation!$A$2:$A$301,0))</f>
        <v>1</v>
      </c>
      <c r="N298" s="2" t="str">
        <f aca="false">INDEX(Segmentation!$AF$2:$AF$301,MATCH($A298,Segmentation!$A$2:$A$301,0))</f>
        <v>Existing Customer</v>
      </c>
      <c r="O298" s="2" t="n">
        <f aca="false">INDEX(Segmentation!$R$2:$R$301,MATCH($A298,Segmentation!$A$2:$A$301,0))</f>
        <v>7</v>
      </c>
      <c r="P298" s="2" t="n">
        <v>76</v>
      </c>
      <c r="Q298" s="2" t="n">
        <f aca="false">INDEX(Segmentation!$S$2:$S$301,MATCH($A298,Segmentation!$A$2:$A$301,0))</f>
        <v>1</v>
      </c>
      <c r="R298" s="2" t="n">
        <v>3</v>
      </c>
      <c r="S298" s="2" t="n">
        <v>0</v>
      </c>
      <c r="T298" s="2" t="n">
        <v>0</v>
      </c>
      <c r="U298" s="2" t="n">
        <v>1</v>
      </c>
      <c r="V298" s="2" t="n">
        <v>100</v>
      </c>
      <c r="W298" s="2" t="str">
        <f aca="false">IF(V298=100,"Bundle-only",IF(V298=0,"Handpick-only","Mixed"))</f>
        <v>Bundle-only</v>
      </c>
      <c r="X298" s="17" t="n">
        <f aca="false">L298/K298</f>
        <v>1</v>
      </c>
      <c r="Y298" s="9" t="n">
        <f aca="false">J298/K298</f>
        <v>61</v>
      </c>
      <c r="Z298" s="10" t="b">
        <f aca="false">O298&gt;=Assumptions!$B$57</f>
        <v>0</v>
      </c>
      <c r="AA298" s="10" t="b">
        <f aca="false">P298&gt;=Assumptions!$B$58</f>
        <v>1</v>
      </c>
      <c r="AB298" s="10" t="b">
        <f aca="false">Q298&gt;=Assumptions!$B$59</f>
        <v>0</v>
      </c>
      <c r="AC298" s="2" t="n">
        <f aca="false">Z298*1+AA298*1+AB298*1</f>
        <v>1</v>
      </c>
      <c r="AD298" s="2" t="str">
        <f aca="false">IF(E298="Broker-Reliant","Broker-led, product-blind",IF(AND(I298="Low",F298&lt;&gt;"Tail",OR(G298="Declining",G298="Lapsed"),OR(O298&gt;=Assumptions!$B$60,P298&gt;=Assumptions!$B$61)),"Engaged but shrinking (Key/Core)",IF(AND(O298&gt;=Assumptions!$B$60,P298&gt;=Assumptions!$B$61,Q298&gt;=Assumptions!$B$62,K298&gt;=Assumptions!$B$63),"Independent browser-buyer",IF(AND(OR(O298&gt;=Assumptions!$B$60,P298&gt;=Assumptions!$B$61),K298&lt;=2),"Engaged, not converting",IF(AND(K298=1,O298&lt;Assumptions!$B$60,P298&lt;Assumptions!$B$61),"One-off low-touch buyer","Light-touch repeat buyer")))))</f>
        <v>One-off low-touch buyer</v>
      </c>
      <c r="AE298" s="10" t="b">
        <f aca="false">INDEX(Segmentation!$AW$2:$AW$301,MATCH($A298,Segmentation!$A$2:$A$301,0))</f>
        <v>0</v>
      </c>
    </row>
    <row r="299" customFormat="false" ht="15" hidden="false" customHeight="false" outlineLevel="0" collapsed="false">
      <c r="A299" s="2" t="s">
        <v>1008</v>
      </c>
      <c r="B299" s="2" t="s">
        <v>1574</v>
      </c>
      <c r="C299" s="2" t="s">
        <v>1640</v>
      </c>
      <c r="D299" s="2" t="s">
        <v>1655</v>
      </c>
      <c r="E299" s="2" t="str">
        <f aca="false">INDEX(Segmentation!$H$2:$H$301,MATCH($A299,Segmentation!$A$2:$A$301,0))</f>
        <v>Self-Serve</v>
      </c>
      <c r="F299" s="2" t="str">
        <f aca="false">INDEX(Segmentation!$J$2:$J$301,MATCH($A299,Segmentation!$A$2:$A$301,0))</f>
        <v>Tail</v>
      </c>
      <c r="G299" s="2" t="str">
        <f aca="false">INDEX(Segmentation!$N$2:$N$301,MATCH($A299,Segmentation!$A$2:$A$301,0))</f>
        <v>H2 Active / No H1 GMV</v>
      </c>
      <c r="H299" s="2" t="str">
        <f aca="false">INDEX(Segmentation!$T$2:$T$301,MATCH($A299,Segmentation!$A$2:$A$301,0))</f>
        <v>9. Long-Tail Automated Nurture</v>
      </c>
      <c r="I299" s="2" t="str">
        <f aca="false">INDEX(Segmentation!$G$2:$G$301,MATCH($A299,Segmentation!$A$2:$A$301,0))</f>
        <v>Low</v>
      </c>
      <c r="J299" s="9" t="n">
        <f aca="false">INDEX(Segmentation!$I$2:$I$301,MATCH($A299,Segmentation!$A$2:$A$301,0))</f>
        <v>61</v>
      </c>
      <c r="K299" s="2" t="n">
        <f aca="false">INDEX(Segmentation!$O$2:$O$301,MATCH($A299,Segmentation!$A$2:$A$301,0))</f>
        <v>1</v>
      </c>
      <c r="L299" s="2" t="n">
        <f aca="false">INDEX(Segmentation!$Q$2:$Q$301,MATCH($A299,Segmentation!$A$2:$A$301,0))</f>
        <v>1</v>
      </c>
      <c r="M299" s="2" t="n">
        <f aca="false">INDEX(Segmentation!$W$2:$W$301,MATCH($A299,Segmentation!$A$2:$A$301,0))</f>
        <v>1</v>
      </c>
      <c r="N299" s="2" t="str">
        <f aca="false">INDEX(Segmentation!$AF$2:$AF$301,MATCH($A299,Segmentation!$A$2:$A$301,0))</f>
        <v>New Customer</v>
      </c>
      <c r="O299" s="2" t="n">
        <f aca="false">INDEX(Segmentation!$R$2:$R$301,MATCH($A299,Segmentation!$A$2:$A$301,0))</f>
        <v>1</v>
      </c>
      <c r="P299" s="2" t="n">
        <v>0</v>
      </c>
      <c r="Q299" s="2" t="n">
        <f aca="false">INDEX(Segmentation!$S$2:$S$301,MATCH($A299,Segmentation!$A$2:$A$301,0))</f>
        <v>0</v>
      </c>
      <c r="R299" s="2" t="n">
        <v>0</v>
      </c>
      <c r="S299" s="2" t="n">
        <v>0</v>
      </c>
      <c r="T299" s="2" t="n">
        <v>0</v>
      </c>
      <c r="U299" s="2" t="n">
        <v>1</v>
      </c>
      <c r="V299" s="2" t="n">
        <v>100</v>
      </c>
      <c r="W299" s="2" t="str">
        <f aca="false">IF(V299=100,"Bundle-only",IF(V299=0,"Handpick-only","Mixed"))</f>
        <v>Bundle-only</v>
      </c>
      <c r="X299" s="17" t="n">
        <f aca="false">L299/K299</f>
        <v>1</v>
      </c>
      <c r="Y299" s="9" t="n">
        <f aca="false">J299/K299</f>
        <v>61</v>
      </c>
      <c r="Z299" s="10" t="b">
        <f aca="false">O299&gt;=Assumptions!$B$57</f>
        <v>0</v>
      </c>
      <c r="AA299" s="10" t="b">
        <f aca="false">P299&gt;=Assumptions!$B$58</f>
        <v>0</v>
      </c>
      <c r="AB299" s="10" t="b">
        <f aca="false">Q299&gt;=Assumptions!$B$59</f>
        <v>0</v>
      </c>
      <c r="AC299" s="2" t="n">
        <f aca="false">Z299*1+AA299*1+AB299*1</f>
        <v>0</v>
      </c>
      <c r="AD299" s="2" t="str">
        <f aca="false">IF(E299="Broker-Reliant","Broker-led, product-blind",IF(AND(I299="Low",F299&lt;&gt;"Tail",OR(G299="Declining",G299="Lapsed"),OR(O299&gt;=Assumptions!$B$60,P299&gt;=Assumptions!$B$61)),"Engaged but shrinking (Key/Core)",IF(AND(O299&gt;=Assumptions!$B$60,P299&gt;=Assumptions!$B$61,Q299&gt;=Assumptions!$B$62,K299&gt;=Assumptions!$B$63),"Independent browser-buyer",IF(AND(OR(O299&gt;=Assumptions!$B$60,P299&gt;=Assumptions!$B$61),K299&lt;=2),"Engaged, not converting",IF(AND(K299=1,O299&lt;Assumptions!$B$60,P299&lt;Assumptions!$B$61),"One-off low-touch buyer","Light-touch repeat buyer")))))</f>
        <v>One-off low-touch buyer</v>
      </c>
      <c r="AE299" s="10" t="b">
        <f aca="false">INDEX(Segmentation!$AW$2:$AW$301,MATCH($A299,Segmentation!$A$2:$A$301,0))</f>
        <v>0</v>
      </c>
    </row>
    <row r="300" customFormat="false" ht="15" hidden="false" customHeight="false" outlineLevel="0" collapsed="false">
      <c r="A300" s="2" t="s">
        <v>1010</v>
      </c>
      <c r="B300" s="2" t="s">
        <v>1574</v>
      </c>
      <c r="C300" s="2" t="s">
        <v>1640</v>
      </c>
      <c r="D300" s="2" t="s">
        <v>1653</v>
      </c>
      <c r="E300" s="2" t="str">
        <f aca="false">INDEX(Segmentation!$H$2:$H$301,MATCH($A300,Segmentation!$A$2:$A$301,0))</f>
        <v>Self-Serve</v>
      </c>
      <c r="F300" s="2" t="str">
        <f aca="false">INDEX(Segmentation!$J$2:$J$301,MATCH($A300,Segmentation!$A$2:$A$301,0))</f>
        <v>Tail</v>
      </c>
      <c r="G300" s="2" t="str">
        <f aca="false">INDEX(Segmentation!$N$2:$N$301,MATCH($A300,Segmentation!$A$2:$A$301,0))</f>
        <v>Lapsed</v>
      </c>
      <c r="H300" s="2" t="str">
        <f aca="false">INDEX(Segmentation!$T$2:$T$301,MATCH($A300,Segmentation!$A$2:$A$301,0))</f>
        <v>9. Long-Tail Automated Nurture</v>
      </c>
      <c r="I300" s="2" t="str">
        <f aca="false">INDEX(Segmentation!$G$2:$G$301,MATCH($A300,Segmentation!$A$2:$A$301,0))</f>
        <v>Low</v>
      </c>
      <c r="J300" s="9" t="n">
        <f aca="false">INDEX(Segmentation!$I$2:$I$301,MATCH($A300,Segmentation!$A$2:$A$301,0))</f>
        <v>58</v>
      </c>
      <c r="K300" s="2" t="n">
        <f aca="false">INDEX(Segmentation!$O$2:$O$301,MATCH($A300,Segmentation!$A$2:$A$301,0))</f>
        <v>1</v>
      </c>
      <c r="L300" s="2" t="n">
        <f aca="false">INDEX(Segmentation!$Q$2:$Q$301,MATCH($A300,Segmentation!$A$2:$A$301,0))</f>
        <v>1</v>
      </c>
      <c r="M300" s="2" t="n">
        <f aca="false">INDEX(Segmentation!$W$2:$W$301,MATCH($A300,Segmentation!$A$2:$A$301,0))</f>
        <v>1</v>
      </c>
      <c r="N300" s="2" t="str">
        <f aca="false">INDEX(Segmentation!$AF$2:$AF$301,MATCH($A300,Segmentation!$A$2:$A$301,0))</f>
        <v>Existing Customer</v>
      </c>
      <c r="O300" s="2" t="n">
        <f aca="false">INDEX(Segmentation!$R$2:$R$301,MATCH($A300,Segmentation!$A$2:$A$301,0))</f>
        <v>4</v>
      </c>
      <c r="P300" s="2" t="n">
        <v>75</v>
      </c>
      <c r="Q300" s="2" t="n">
        <f aca="false">INDEX(Segmentation!$S$2:$S$301,MATCH($A300,Segmentation!$A$2:$A$301,0))</f>
        <v>0</v>
      </c>
      <c r="R300" s="2" t="n">
        <v>0</v>
      </c>
      <c r="S300" s="2" t="n">
        <v>0</v>
      </c>
      <c r="T300" s="2" t="n">
        <v>0</v>
      </c>
      <c r="U300" s="2" t="n">
        <v>1</v>
      </c>
      <c r="V300" s="2" t="n">
        <v>100</v>
      </c>
      <c r="W300" s="2" t="str">
        <f aca="false">IF(V300=100,"Bundle-only",IF(V300=0,"Handpick-only","Mixed"))</f>
        <v>Bundle-only</v>
      </c>
      <c r="X300" s="17" t="n">
        <f aca="false">L300/K300</f>
        <v>1</v>
      </c>
      <c r="Y300" s="9" t="n">
        <f aca="false">J300/K300</f>
        <v>58</v>
      </c>
      <c r="Z300" s="10" t="b">
        <f aca="false">O300&gt;=Assumptions!$B$57</f>
        <v>0</v>
      </c>
      <c r="AA300" s="10" t="b">
        <f aca="false">P300&gt;=Assumptions!$B$58</f>
        <v>1</v>
      </c>
      <c r="AB300" s="10" t="b">
        <f aca="false">Q300&gt;=Assumptions!$B$59</f>
        <v>0</v>
      </c>
      <c r="AC300" s="2" t="n">
        <f aca="false">Z300*1+AA300*1+AB300*1</f>
        <v>1</v>
      </c>
      <c r="AD300" s="2" t="str">
        <f aca="false">IF(E300="Broker-Reliant","Broker-led, product-blind",IF(AND(I300="Low",F300&lt;&gt;"Tail",OR(G300="Declining",G300="Lapsed"),OR(O300&gt;=Assumptions!$B$60,P300&gt;=Assumptions!$B$61)),"Engaged but shrinking (Key/Core)",IF(AND(O300&gt;=Assumptions!$B$60,P300&gt;=Assumptions!$B$61,Q300&gt;=Assumptions!$B$62,K300&gt;=Assumptions!$B$63),"Independent browser-buyer",IF(AND(OR(O300&gt;=Assumptions!$B$60,P300&gt;=Assumptions!$B$61),K300&lt;=2),"Engaged, not converting",IF(AND(K300=1,O300&lt;Assumptions!$B$60,P300&lt;Assumptions!$B$61),"One-off low-touch buyer","Light-touch repeat buyer")))))</f>
        <v>One-off low-touch buyer</v>
      </c>
      <c r="AE300" s="10" t="b">
        <f aca="false">INDEX(Segmentation!$AW$2:$AW$301,MATCH($A300,Segmentation!$A$2:$A$301,0))</f>
        <v>0</v>
      </c>
    </row>
    <row r="301" customFormat="false" ht="15" hidden="false" customHeight="false" outlineLevel="0" collapsed="false">
      <c r="A301" s="2" t="s">
        <v>1016</v>
      </c>
      <c r="B301" s="2" t="s">
        <v>1574</v>
      </c>
      <c r="C301" s="2" t="s">
        <v>1640</v>
      </c>
      <c r="D301" s="2" t="s">
        <v>1653</v>
      </c>
      <c r="E301" s="2" t="str">
        <f aca="false">INDEX(Segmentation!$H$2:$H$301,MATCH($A301,Segmentation!$A$2:$A$301,0))</f>
        <v>Self-Serve</v>
      </c>
      <c r="F301" s="2" t="str">
        <f aca="false">INDEX(Segmentation!$J$2:$J$301,MATCH($A301,Segmentation!$A$2:$A$301,0))</f>
        <v>Tail</v>
      </c>
      <c r="G301" s="2" t="str">
        <f aca="false">INDEX(Segmentation!$N$2:$N$301,MATCH($A301,Segmentation!$A$2:$A$301,0))</f>
        <v>H2 Active / No H1 GMV</v>
      </c>
      <c r="H301" s="2" t="str">
        <f aca="false">INDEX(Segmentation!$T$2:$T$301,MATCH($A301,Segmentation!$A$2:$A$301,0))</f>
        <v>9. Long-Tail Automated Nurture</v>
      </c>
      <c r="I301" s="2" t="str">
        <f aca="false">INDEX(Segmentation!$G$2:$G$301,MATCH($A301,Segmentation!$A$2:$A$301,0))</f>
        <v>Low</v>
      </c>
      <c r="J301" s="9" t="n">
        <f aca="false">INDEX(Segmentation!$I$2:$I$301,MATCH($A301,Segmentation!$A$2:$A$301,0))</f>
        <v>34</v>
      </c>
      <c r="K301" s="2" t="n">
        <f aca="false">INDEX(Segmentation!$O$2:$O$301,MATCH($A301,Segmentation!$A$2:$A$301,0))</f>
        <v>1</v>
      </c>
      <c r="L301" s="2" t="n">
        <f aca="false">INDEX(Segmentation!$Q$2:$Q$301,MATCH($A301,Segmentation!$A$2:$A$301,0))</f>
        <v>1</v>
      </c>
      <c r="M301" s="2" t="n">
        <f aca="false">INDEX(Segmentation!$W$2:$W$301,MATCH($A301,Segmentation!$A$2:$A$301,0))</f>
        <v>1</v>
      </c>
      <c r="N301" s="2" t="str">
        <f aca="false">INDEX(Segmentation!$AF$2:$AF$301,MATCH($A301,Segmentation!$A$2:$A$301,0))</f>
        <v>New Customer</v>
      </c>
      <c r="O301" s="2" t="n">
        <f aca="false">INDEX(Segmentation!$R$2:$R$301,MATCH($A301,Segmentation!$A$2:$A$301,0))</f>
        <v>3</v>
      </c>
      <c r="P301" s="2" t="n">
        <v>71</v>
      </c>
      <c r="Q301" s="2" t="n">
        <f aca="false">INDEX(Segmentation!$S$2:$S$301,MATCH($A301,Segmentation!$A$2:$A$301,0))</f>
        <v>2</v>
      </c>
      <c r="R301" s="2" t="n">
        <v>0</v>
      </c>
      <c r="S301" s="2" t="n">
        <v>0</v>
      </c>
      <c r="T301" s="2" t="n">
        <v>0</v>
      </c>
      <c r="U301" s="2" t="n">
        <v>1</v>
      </c>
      <c r="V301" s="2" t="n">
        <v>100</v>
      </c>
      <c r="W301" s="2" t="str">
        <f aca="false">IF(V301=100,"Bundle-only",IF(V301=0,"Handpick-only","Mixed"))</f>
        <v>Bundle-only</v>
      </c>
      <c r="X301" s="17" t="n">
        <f aca="false">L301/K301</f>
        <v>1</v>
      </c>
      <c r="Y301" s="9" t="n">
        <f aca="false">J301/K301</f>
        <v>34</v>
      </c>
      <c r="Z301" s="10" t="b">
        <f aca="false">O301&gt;=Assumptions!$B$57</f>
        <v>0</v>
      </c>
      <c r="AA301" s="10" t="b">
        <f aca="false">P301&gt;=Assumptions!$B$58</f>
        <v>1</v>
      </c>
      <c r="AB301" s="10" t="b">
        <f aca="false">Q301&gt;=Assumptions!$B$59</f>
        <v>0</v>
      </c>
      <c r="AC301" s="2" t="n">
        <f aca="false">Z301*1+AA301*1+AB301*1</f>
        <v>1</v>
      </c>
      <c r="AD301" s="2" t="str">
        <f aca="false">IF(E301="Broker-Reliant","Broker-led, product-blind",IF(AND(I301="Low",F301&lt;&gt;"Tail",OR(G301="Declining",G301="Lapsed"),OR(O301&gt;=Assumptions!$B$60,P301&gt;=Assumptions!$B$61)),"Engaged but shrinking (Key/Core)",IF(AND(O301&gt;=Assumptions!$B$60,P301&gt;=Assumptions!$B$61,Q301&gt;=Assumptions!$B$62,K301&gt;=Assumptions!$B$63),"Independent browser-buyer",IF(AND(OR(O301&gt;=Assumptions!$B$60,P301&gt;=Assumptions!$B$61),K301&lt;=2),"Engaged, not converting",IF(AND(K301=1,O301&lt;Assumptions!$B$60,P301&lt;Assumptions!$B$61),"One-off low-touch buyer","Light-touch repeat buyer")))))</f>
        <v>One-off low-touch buyer</v>
      </c>
      <c r="AE301" s="10" t="b">
        <f aca="false">INDEX(Segmentation!$AW$2:$AW$301,MATCH($A301,Segmentation!$A$2:$A$301,0))</f>
        <v>0</v>
      </c>
    </row>
  </sheetData>
  <autoFilter ref="A1:AE3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8" min="2" style="0" width="16"/>
  </cols>
  <sheetData>
    <row r="1" customFormat="false" ht="15" hidden="false" customHeight="false" outlineLevel="0" collapsed="false">
      <c r="A1" s="1" t="s">
        <v>1659</v>
      </c>
      <c r="B1" s="7"/>
      <c r="C1" s="7"/>
      <c r="D1" s="7"/>
      <c r="E1" s="7"/>
      <c r="F1" s="7"/>
      <c r="G1" s="7"/>
      <c r="H1" s="7"/>
    </row>
    <row r="2" customFormat="false" ht="15" hidden="false" customHeight="false" outlineLevel="0" collapsed="false">
      <c r="A2" s="2"/>
      <c r="B2" s="2"/>
      <c r="C2" s="2"/>
      <c r="D2" s="2"/>
      <c r="E2" s="2"/>
      <c r="F2" s="2"/>
      <c r="G2" s="2"/>
      <c r="H2" s="2"/>
    </row>
    <row r="3" customFormat="false" ht="15" hidden="false" customHeight="false" outlineLevel="0" collapsed="false">
      <c r="A3" s="12" t="s">
        <v>1660</v>
      </c>
      <c r="B3" s="12" t="s">
        <v>1319</v>
      </c>
      <c r="C3" s="12" t="s">
        <v>1661</v>
      </c>
      <c r="D3" s="12" t="s">
        <v>1504</v>
      </c>
      <c r="E3" s="12" t="s">
        <v>1662</v>
      </c>
      <c r="F3" s="12" t="s">
        <v>1571</v>
      </c>
      <c r="G3" s="12" t="s">
        <v>1574</v>
      </c>
      <c r="H3" s="12" t="s">
        <v>1663</v>
      </c>
    </row>
    <row r="4" customFormat="false" ht="15" hidden="false" customHeight="false" outlineLevel="0" collapsed="false">
      <c r="A4" s="2" t="s">
        <v>1664</v>
      </c>
      <c r="B4" s="2" t="n">
        <f aca="false">COUNTIF('Scored Accounts'!$R$2:$R$301,A4)</f>
        <v>64</v>
      </c>
      <c r="C4" s="13" t="n">
        <f aca="false">B4/$B$7</f>
        <v>0.213333333333333</v>
      </c>
      <c r="D4" s="9" t="n">
        <f aca="false">SUMIF('Scored Accounts'!$R$2:$R$301,A4,'Scored Accounts'!$F$2:$F$301)</f>
        <v>610007</v>
      </c>
      <c r="E4" s="13" t="n">
        <f aca="false">D4/$D$7</f>
        <v>0.721559354673108</v>
      </c>
      <c r="F4" s="2" t="n">
        <f aca="false">COUNTIFS('Scored Accounts'!$R$2:$R$301,A4,'Scored Accounts'!$B$2:$B$301,"Account Managed")</f>
        <v>64</v>
      </c>
      <c r="G4" s="2" t="n">
        <f aca="false">COUNTIFS('Scored Accounts'!$R$2:$R$301,A4,'Scored Accounts'!$B$2:$B$301,"Self Serve")</f>
        <v>0</v>
      </c>
      <c r="H4" s="2" t="n">
        <f aca="false">COUNTIF('Scored Accounts'!$W$2:$W$301,A4)</f>
        <v>64</v>
      </c>
    </row>
    <row r="5" customFormat="false" ht="15" hidden="false" customHeight="false" outlineLevel="0" collapsed="false">
      <c r="A5" s="2" t="s">
        <v>1665</v>
      </c>
      <c r="B5" s="2" t="n">
        <f aca="false">COUNTIF('Scored Accounts'!$R$2:$R$301,A5)</f>
        <v>14</v>
      </c>
      <c r="C5" s="13" t="n">
        <f aca="false">B5/$B$7</f>
        <v>0.0466666666666667</v>
      </c>
      <c r="D5" s="9" t="n">
        <f aca="false">SUMIF('Scored Accounts'!$R$2:$R$301,A5,'Scored Accounts'!$F$2:$F$301)</f>
        <v>91874</v>
      </c>
      <c r="E5" s="13" t="n">
        <f aca="false">D5/$D$7</f>
        <v>0.108675054796481</v>
      </c>
      <c r="F5" s="2" t="n">
        <f aca="false">COUNTIFS('Scored Accounts'!$R$2:$R$301,A5,'Scored Accounts'!$B$2:$B$301,"Account Managed")</f>
        <v>14</v>
      </c>
      <c r="G5" s="2" t="n">
        <f aca="false">COUNTIFS('Scored Accounts'!$R$2:$R$301,A5,'Scored Accounts'!$B$2:$B$301,"Self Serve")</f>
        <v>0</v>
      </c>
      <c r="H5" s="2" t="n">
        <f aca="false">COUNTIF('Scored Accounts'!$W$2:$W$301,A5)</f>
        <v>93</v>
      </c>
    </row>
    <row r="6" customFormat="false" ht="15" hidden="false" customHeight="false" outlineLevel="0" collapsed="false">
      <c r="A6" s="2" t="s">
        <v>1666</v>
      </c>
      <c r="B6" s="2" t="n">
        <f aca="false">COUNTIF('Scored Accounts'!$R$2:$R$301,A6)</f>
        <v>222</v>
      </c>
      <c r="C6" s="13" t="n">
        <f aca="false">B6/$B$7</f>
        <v>0.74</v>
      </c>
      <c r="D6" s="9" t="n">
        <f aca="false">SUMIF('Scored Accounts'!$R$2:$R$301,A6,'Scored Accounts'!$F$2:$F$301)</f>
        <v>143520</v>
      </c>
      <c r="E6" s="13" t="n">
        <f aca="false">D6/$D$7</f>
        <v>0.169765590530411</v>
      </c>
      <c r="F6" s="2" t="n">
        <f aca="false">COUNTIFS('Scored Accounts'!$R$2:$R$301,A6,'Scored Accounts'!$B$2:$B$301,"Account Managed")</f>
        <v>132</v>
      </c>
      <c r="G6" s="2" t="n">
        <f aca="false">COUNTIFS('Scored Accounts'!$R$2:$R$301,A6,'Scored Accounts'!$B$2:$B$301,"Self Serve")</f>
        <v>90</v>
      </c>
      <c r="H6" s="2" t="n">
        <f aca="false">COUNTIF('Scored Accounts'!$W$2:$W$301,A6)</f>
        <v>143</v>
      </c>
    </row>
    <row r="7" customFormat="false" ht="15" hidden="false" customHeight="false" outlineLevel="0" collapsed="false">
      <c r="A7" s="3" t="s">
        <v>1331</v>
      </c>
      <c r="B7" s="2" t="n">
        <f aca="false">SUM(B4:B6)</f>
        <v>300</v>
      </c>
      <c r="C7" s="2"/>
      <c r="D7" s="9" t="n">
        <f aca="false">SUM(D4:D6)</f>
        <v>845401</v>
      </c>
      <c r="E7" s="2"/>
      <c r="F7" s="2" t="n">
        <f aca="false">SUM(F4:F6)</f>
        <v>210</v>
      </c>
      <c r="G7" s="2" t="n">
        <f aca="false">SUM(G4:G6)</f>
        <v>90</v>
      </c>
      <c r="H7" s="2" t="n">
        <f aca="false">SUM(H4:H6)</f>
        <v>300</v>
      </c>
    </row>
    <row r="8" customFormat="false" ht="15" hidden="false" customHeight="false" outlineLevel="0" collapsed="false">
      <c r="A8" s="2"/>
      <c r="B8" s="2"/>
      <c r="C8" s="2"/>
      <c r="D8" s="2"/>
      <c r="E8" s="2"/>
      <c r="F8" s="2"/>
      <c r="G8" s="2"/>
      <c r="H8" s="2"/>
    </row>
    <row r="9" customFormat="false" ht="15" hidden="false" customHeight="false" outlineLevel="0" collapsed="false">
      <c r="A9" s="3" t="s">
        <v>1667</v>
      </c>
      <c r="B9" s="2"/>
      <c r="C9" s="2"/>
      <c r="D9" s="2"/>
      <c r="E9" s="2"/>
      <c r="F9" s="2"/>
      <c r="G9" s="2"/>
      <c r="H9" s="2"/>
    </row>
    <row r="10" customFormat="false" ht="15" hidden="false" customHeight="false" outlineLevel="0" collapsed="false">
      <c r="A10" s="2" t="s">
        <v>1668</v>
      </c>
      <c r="B10" s="2" t="n">
        <f aca="false">COUNTIF('Scored Accounts'!$U$2:$U$301,4)</f>
        <v>14</v>
      </c>
      <c r="C10" s="2"/>
      <c r="D10" s="2"/>
      <c r="E10" s="2"/>
      <c r="F10" s="2"/>
      <c r="G10" s="2"/>
      <c r="H10" s="2"/>
    </row>
    <row r="11" customFormat="false" ht="15" hidden="false" customHeight="false" outlineLevel="0" collapsed="false">
      <c r="A11" s="2" t="s">
        <v>1669</v>
      </c>
      <c r="B11" s="2" t="n">
        <f aca="false">COUNTIFS('Scored Accounts'!$U$2:$U$301,4,'Scored Accounts'!$R$2:$R$301,"High")</f>
        <v>10</v>
      </c>
      <c r="C11" s="2"/>
      <c r="D11" s="2"/>
      <c r="E11" s="2"/>
      <c r="F11" s="2"/>
      <c r="G11" s="2"/>
      <c r="H11" s="2"/>
    </row>
    <row r="12" customFormat="false" ht="15" hidden="false" customHeight="false" outlineLevel="0" collapsed="false">
      <c r="A12" s="2" t="s">
        <v>1670</v>
      </c>
      <c r="B12" s="2" t="n">
        <f aca="false">COUNTIF('Scored Accounts'!$U$2:$U$301,3)</f>
        <v>45</v>
      </c>
      <c r="C12" s="2"/>
      <c r="D12" s="2"/>
      <c r="E12" s="2"/>
      <c r="F12" s="2"/>
      <c r="G12" s="2"/>
      <c r="H12" s="2"/>
    </row>
    <row r="13" customFormat="false" ht="15" hidden="false" customHeight="false" outlineLevel="0" collapsed="false">
      <c r="A13" s="2" t="s">
        <v>1671</v>
      </c>
      <c r="B13" s="2" t="n">
        <f aca="false">COUNTIF('Scored Accounts'!$T$2:$T$301,"Low confidence")</f>
        <v>15</v>
      </c>
      <c r="C13" s="2"/>
      <c r="D13" s="2"/>
      <c r="E13" s="2"/>
      <c r="F13" s="2"/>
      <c r="G13" s="2"/>
      <c r="H13"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8" min="2" style="0" width="15"/>
  </cols>
  <sheetData>
    <row r="1" customFormat="false" ht="15" hidden="false" customHeight="false" outlineLevel="0" collapsed="false">
      <c r="A1" s="7" t="s">
        <v>1672</v>
      </c>
      <c r="B1" s="7"/>
      <c r="C1" s="7"/>
      <c r="D1" s="7"/>
      <c r="E1" s="7"/>
      <c r="F1" s="7"/>
      <c r="G1" s="7"/>
      <c r="H1" s="7"/>
    </row>
    <row r="2" customFormat="false" ht="15" hidden="false" customHeight="false" outlineLevel="0" collapsed="false">
      <c r="A2" s="2"/>
      <c r="B2" s="2"/>
      <c r="C2" s="2"/>
      <c r="D2" s="2"/>
      <c r="E2" s="2"/>
      <c r="F2" s="2"/>
      <c r="G2" s="2"/>
      <c r="H2" s="2"/>
    </row>
    <row r="3" customFormat="false" ht="15" hidden="false" customHeight="false" outlineLevel="0" collapsed="false">
      <c r="A3" s="2" t="s">
        <v>1673</v>
      </c>
      <c r="B3" s="9" t="n">
        <f aca="false">SUM('Commercial View'!$O$2:$O$301)</f>
        <v>845401</v>
      </c>
      <c r="C3" s="2"/>
      <c r="D3" s="2"/>
      <c r="E3" s="2"/>
      <c r="F3" s="2"/>
      <c r="G3" s="2"/>
      <c r="H3" s="2"/>
    </row>
    <row r="4" customFormat="false" ht="15" hidden="false" customHeight="false" outlineLevel="0" collapsed="false">
      <c r="A4" s="2"/>
      <c r="B4" s="2"/>
      <c r="C4" s="2"/>
      <c r="D4" s="2"/>
      <c r="E4" s="2"/>
      <c r="F4" s="2"/>
      <c r="G4" s="2"/>
      <c r="H4" s="2"/>
    </row>
    <row r="5" customFormat="false" ht="15" hidden="false" customHeight="false" outlineLevel="0" collapsed="false">
      <c r="A5" s="7" t="s">
        <v>1674</v>
      </c>
      <c r="B5" s="2"/>
      <c r="C5" s="2"/>
      <c r="D5" s="2"/>
      <c r="E5" s="2"/>
      <c r="F5" s="2"/>
      <c r="G5" s="2"/>
      <c r="H5" s="2"/>
    </row>
    <row r="6" customFormat="false" ht="15" hidden="false" customHeight="false" outlineLevel="0" collapsed="false">
      <c r="A6" s="2" t="s">
        <v>1675</v>
      </c>
      <c r="B6" s="19" t="n">
        <v>1</v>
      </c>
      <c r="C6" s="13" t="n">
        <f aca="true">SUMPRODUCT(LARGE('Commercial View'!$O$2:$O$301,ROW(INDIRECT("1:"&amp;B6))))/$B$3</f>
        <v>0.201244143311872</v>
      </c>
      <c r="D6" s="2"/>
      <c r="E6" s="2"/>
      <c r="F6" s="2"/>
      <c r="G6" s="2"/>
      <c r="H6" s="2"/>
    </row>
    <row r="7" customFormat="false" ht="15" hidden="false" customHeight="false" outlineLevel="0" collapsed="false">
      <c r="A7" s="2" t="s">
        <v>1676</v>
      </c>
      <c r="B7" s="19" t="n">
        <v>5</v>
      </c>
      <c r="C7" s="13" t="n">
        <f aca="true">SUMPRODUCT(LARGE('Commercial View'!$O$2:$O$301,ROW(INDIRECT("1:"&amp;B7))))/$B$3</f>
        <v>0.394457778024866</v>
      </c>
      <c r="D7" s="2"/>
      <c r="E7" s="2"/>
      <c r="F7" s="2"/>
      <c r="G7" s="2"/>
      <c r="H7" s="2"/>
    </row>
    <row r="8" customFormat="false" ht="15" hidden="false" customHeight="false" outlineLevel="0" collapsed="false">
      <c r="A8" s="2" t="s">
        <v>1677</v>
      </c>
      <c r="B8" s="19" t="n">
        <v>10</v>
      </c>
      <c r="C8" s="13" t="n">
        <f aca="true">SUMPRODUCT(LARGE('Commercial View'!$O$2:$O$301,ROW(INDIRECT("1:"&amp;B8))))/$B$3</f>
        <v>0.513025179766762</v>
      </c>
      <c r="D8" s="2"/>
      <c r="E8" s="2"/>
      <c r="F8" s="2"/>
      <c r="G8" s="2"/>
      <c r="H8" s="2"/>
    </row>
    <row r="9" customFormat="false" ht="15" hidden="false" customHeight="false" outlineLevel="0" collapsed="false">
      <c r="A9" s="2" t="s">
        <v>1678</v>
      </c>
      <c r="B9" s="19" t="n">
        <v>20</v>
      </c>
      <c r="C9" s="13" t="n">
        <f aca="true">SUMPRODUCT(LARGE('Commercial View'!$O$2:$O$301,ROW(INDIRECT("1:"&amp;B9))))/$B$3</f>
        <v>0.655603672103534</v>
      </c>
      <c r="D9" s="2"/>
      <c r="E9" s="2"/>
      <c r="F9" s="2"/>
      <c r="G9" s="2"/>
      <c r="H9" s="2"/>
    </row>
    <row r="10" customFormat="false" ht="15" hidden="false" customHeight="false" outlineLevel="0" collapsed="false">
      <c r="A10" s="2" t="s">
        <v>1679</v>
      </c>
      <c r="B10" s="19" t="n">
        <v>50</v>
      </c>
      <c r="C10" s="13" t="n">
        <f aca="true">SUMPRODUCT(LARGE('Commercial View'!$O$2:$O$301,ROW(INDIRECT("1:"&amp;B10))))/$B$3</f>
        <v>0.815530144866164</v>
      </c>
      <c r="D10" s="2"/>
      <c r="E10" s="2"/>
      <c r="F10" s="2"/>
      <c r="G10" s="2"/>
      <c r="H10" s="2"/>
    </row>
    <row r="11" customFormat="false" ht="15" hidden="false" customHeight="false" outlineLevel="0" collapsed="false">
      <c r="A11" s="2"/>
      <c r="B11" s="2"/>
      <c r="C11" s="2"/>
      <c r="D11" s="2"/>
      <c r="E11" s="2"/>
      <c r="F11" s="2"/>
      <c r="G11" s="2"/>
      <c r="H11" s="2"/>
    </row>
    <row r="12" customFormat="false" ht="15" hidden="false" customHeight="false" outlineLevel="0" collapsed="false">
      <c r="A12" s="7" t="s">
        <v>1680</v>
      </c>
      <c r="B12" s="2"/>
      <c r="C12" s="2"/>
      <c r="D12" s="2"/>
      <c r="E12" s="2"/>
      <c r="F12" s="2"/>
      <c r="G12" s="2"/>
      <c r="H12" s="2"/>
    </row>
    <row r="13" customFormat="false" ht="15" hidden="false" customHeight="false" outlineLevel="0" collapsed="false">
      <c r="A13" s="22" t="s">
        <v>1681</v>
      </c>
      <c r="B13" s="22" t="s">
        <v>1682</v>
      </c>
      <c r="C13" s="22" t="s">
        <v>1683</v>
      </c>
      <c r="D13" s="22" t="s">
        <v>1319</v>
      </c>
      <c r="E13" s="22" t="s">
        <v>1496</v>
      </c>
      <c r="F13" s="22" t="s">
        <v>1320</v>
      </c>
      <c r="G13" s="22" t="s">
        <v>1321</v>
      </c>
      <c r="H13" s="22" t="s">
        <v>1684</v>
      </c>
    </row>
    <row r="14" customFormat="false" ht="15" hidden="false" customHeight="false" outlineLevel="0" collapsed="false">
      <c r="A14" s="2" t="s">
        <v>1685</v>
      </c>
      <c r="B14" s="19" t="n">
        <v>0</v>
      </c>
      <c r="C14" s="19" t="n">
        <v>1000</v>
      </c>
      <c r="D14" s="2" t="n">
        <f aca="false">COUNTIFS('Commercial View'!$O$2:$O$301,"&gt;="&amp;B14,'Commercial View'!$O$2:$O$301,"&lt;"&amp;C14)</f>
        <v>201</v>
      </c>
      <c r="E14" s="13" t="n">
        <f aca="false">D14/300</f>
        <v>0.67</v>
      </c>
      <c r="F14" s="9" t="n">
        <f aca="false">SUMIFS('Commercial View'!$O$2:$O$301,'Commercial View'!$O$2:$O$301,"&gt;="&amp;B14,'Commercial View'!$O$2:$O$301,"&lt;"&amp;C14)</f>
        <v>62633</v>
      </c>
      <c r="G14" s="13" t="n">
        <f aca="false">F14/$B$3</f>
        <v>0.0740867351706468</v>
      </c>
      <c r="H14" s="2" t="n">
        <f aca="false">COUNTIFS('Commercial View'!$O$2:$O$301,"&gt;="&amp;B14,'Commercial View'!$O$2:$O$301,"&lt;"&amp;C14,'Commercial View'!$Z$2:$Z$301,"&lt;&gt;Low")</f>
        <v>10</v>
      </c>
    </row>
    <row r="15" customFormat="false" ht="15" hidden="false" customHeight="false" outlineLevel="0" collapsed="false">
      <c r="A15" s="2" t="s">
        <v>1686</v>
      </c>
      <c r="B15" s="19" t="n">
        <v>1000</v>
      </c>
      <c r="C15" s="19" t="n">
        <v>2000</v>
      </c>
      <c r="D15" s="2" t="n">
        <f aca="false">COUNTIFS('Commercial View'!$O$2:$O$301,"&gt;="&amp;B15,'Commercial View'!$O$2:$O$301,"&lt;"&amp;C15)</f>
        <v>30</v>
      </c>
      <c r="E15" s="13" t="n">
        <f aca="false">D15/300</f>
        <v>0.1</v>
      </c>
      <c r="F15" s="9" t="n">
        <f aca="false">SUMIFS('Commercial View'!$O$2:$O$301,'Commercial View'!$O$2:$O$301,"&gt;="&amp;B15,'Commercial View'!$O$2:$O$301,"&lt;"&amp;C15)</f>
        <v>42633</v>
      </c>
      <c r="G15" s="13" t="n">
        <f aca="false">F15/$B$3</f>
        <v>0.0504293228893744</v>
      </c>
      <c r="H15" s="2" t="n">
        <f aca="false">COUNTIFS('Commercial View'!$O$2:$O$301,"&gt;="&amp;B15,'Commercial View'!$O$2:$O$301,"&lt;"&amp;C15,'Commercial View'!$Z$2:$Z$301,"&lt;&gt;Low")</f>
        <v>11</v>
      </c>
    </row>
    <row r="16" customFormat="false" ht="15" hidden="false" customHeight="false" outlineLevel="0" collapsed="false">
      <c r="A16" s="2" t="s">
        <v>1687</v>
      </c>
      <c r="B16" s="19" t="n">
        <v>2000</v>
      </c>
      <c r="C16" s="19" t="n">
        <v>5000</v>
      </c>
      <c r="D16" s="2" t="n">
        <f aca="false">COUNTIFS('Commercial View'!$O$2:$O$301,"&gt;="&amp;B16,'Commercial View'!$O$2:$O$301,"&lt;"&amp;C16)</f>
        <v>42</v>
      </c>
      <c r="E16" s="13" t="n">
        <f aca="false">D16/300</f>
        <v>0.14</v>
      </c>
      <c r="F16" s="9" t="n">
        <f aca="false">SUMIFS('Commercial View'!$O$2:$O$301,'Commercial View'!$O$2:$O$301,"&gt;="&amp;B16,'Commercial View'!$O$2:$O$301,"&lt;"&amp;C16)</f>
        <v>143425</v>
      </c>
      <c r="G16" s="13" t="n">
        <f aca="false">F16/$B$3</f>
        <v>0.169653217822075</v>
      </c>
      <c r="H16" s="2" t="n">
        <f aca="false">COUNTIFS('Commercial View'!$O$2:$O$301,"&gt;="&amp;B16,'Commercial View'!$O$2:$O$301,"&lt;"&amp;C16,'Commercial View'!$Z$2:$Z$301,"&lt;&gt;Low")</f>
        <v>33</v>
      </c>
    </row>
    <row r="17" customFormat="false" ht="15" hidden="false" customHeight="false" outlineLevel="0" collapsed="false">
      <c r="A17" s="2" t="s">
        <v>1688</v>
      </c>
      <c r="B17" s="19" t="n">
        <v>5000</v>
      </c>
      <c r="C17" s="19" t="n">
        <v>10000</v>
      </c>
      <c r="D17" s="2" t="n">
        <f aca="false">COUNTIFS('Commercial View'!$O$2:$O$301,"&gt;="&amp;B17,'Commercial View'!$O$2:$O$301,"&lt;"&amp;C17)</f>
        <v>9</v>
      </c>
      <c r="E17" s="13" t="n">
        <f aca="false">D17/300</f>
        <v>0.03</v>
      </c>
      <c r="F17" s="9" t="n">
        <f aca="false">SUMIFS('Commercial View'!$O$2:$O$301,'Commercial View'!$O$2:$O$301,"&gt;="&amp;B17,'Commercial View'!$O$2:$O$301,"&lt;"&amp;C17)</f>
        <v>59656</v>
      </c>
      <c r="G17" s="13" t="n">
        <f aca="false">F17/$B$3</f>
        <v>0.0705653293525794</v>
      </c>
      <c r="H17" s="2" t="n">
        <f aca="false">COUNTIFS('Commercial View'!$O$2:$O$301,"&gt;="&amp;B17,'Commercial View'!$O$2:$O$301,"&lt;"&amp;C17,'Commercial View'!$Z$2:$Z$301,"&lt;&gt;Low")</f>
        <v>7</v>
      </c>
    </row>
    <row r="18" customFormat="false" ht="15" hidden="false" customHeight="false" outlineLevel="0" collapsed="false">
      <c r="A18" s="2" t="s">
        <v>1689</v>
      </c>
      <c r="B18" s="19" t="n">
        <v>10000</v>
      </c>
      <c r="C18" s="19" t="n">
        <v>25000</v>
      </c>
      <c r="D18" s="2" t="n">
        <f aca="false">COUNTIFS('Commercial View'!$O$2:$O$301,"&gt;="&amp;B18,'Commercial View'!$O$2:$O$301,"&lt;"&amp;C18)</f>
        <v>14</v>
      </c>
      <c r="E18" s="13" t="n">
        <f aca="false">D18/300</f>
        <v>0.0466666666666667</v>
      </c>
      <c r="F18" s="9" t="n">
        <f aca="false">SUMIFS('Commercial View'!$O$2:$O$301,'Commercial View'!$O$2:$O$301,"&gt;="&amp;B18,'Commercial View'!$O$2:$O$301,"&lt;"&amp;C18)</f>
        <v>228134</v>
      </c>
      <c r="G18" s="13" t="n">
        <f aca="false">F18/$B$3</f>
        <v>0.26985300466879</v>
      </c>
      <c r="H18" s="2" t="n">
        <f aca="false">COUNTIFS('Commercial View'!$O$2:$O$301,"&gt;="&amp;B18,'Commercial View'!$O$2:$O$301,"&lt;"&amp;C18,'Commercial View'!$Z$2:$Z$301,"&lt;&gt;Low")</f>
        <v>13</v>
      </c>
    </row>
    <row r="19" customFormat="false" ht="15" hidden="false" customHeight="false" outlineLevel="0" collapsed="false">
      <c r="A19" s="2" t="s">
        <v>1690</v>
      </c>
      <c r="B19" s="19" t="n">
        <v>25000</v>
      </c>
      <c r="C19" s="19" t="n">
        <v>50000</v>
      </c>
      <c r="D19" s="2" t="n">
        <f aca="false">COUNTIFS('Commercial View'!$O$2:$O$301,"&gt;="&amp;B19,'Commercial View'!$O$2:$O$301,"&lt;"&amp;C19)</f>
        <v>2</v>
      </c>
      <c r="E19" s="13" t="n">
        <f aca="false">D19/300</f>
        <v>0.00666666666666667</v>
      </c>
      <c r="F19" s="9" t="n">
        <f aca="false">SUMIFS('Commercial View'!$O$2:$O$301,'Commercial View'!$O$2:$O$301,"&gt;="&amp;B19,'Commercial View'!$O$2:$O$301,"&lt;"&amp;C19)</f>
        <v>68138</v>
      </c>
      <c r="G19" s="13" t="n">
        <f aca="false">F19/$B$3</f>
        <v>0.0805984379010671</v>
      </c>
      <c r="H19" s="2" t="n">
        <f aca="false">COUNTIFS('Commercial View'!$O$2:$O$301,"&gt;="&amp;B19,'Commercial View'!$O$2:$O$301,"&lt;"&amp;C19,'Commercial View'!$Z$2:$Z$301,"&lt;&gt;Low")</f>
        <v>2</v>
      </c>
    </row>
    <row r="20" customFormat="false" ht="15" hidden="false" customHeight="false" outlineLevel="0" collapsed="false">
      <c r="A20" s="2" t="s">
        <v>1691</v>
      </c>
      <c r="B20" s="19" t="n">
        <v>50000</v>
      </c>
      <c r="C20" s="19" t="n">
        <v>1000000000</v>
      </c>
      <c r="D20" s="2" t="n">
        <f aca="false">COUNTIFS('Commercial View'!$O$2:$O$301,"&gt;="&amp;B20,'Commercial View'!$O$2:$O$301,"&lt;"&amp;C20)</f>
        <v>2</v>
      </c>
      <c r="E20" s="13" t="n">
        <f aca="false">D20/300</f>
        <v>0.00666666666666667</v>
      </c>
      <c r="F20" s="9" t="n">
        <f aca="false">SUMIFS('Commercial View'!$O$2:$O$301,'Commercial View'!$O$2:$O$301,"&gt;="&amp;B20,'Commercial View'!$O$2:$O$301,"&lt;"&amp;C20)</f>
        <v>240782</v>
      </c>
      <c r="G20" s="13" t="n">
        <f aca="false">F20/$B$3</f>
        <v>0.284813952195467</v>
      </c>
      <c r="H20" s="2" t="n">
        <f aca="false">COUNTIFS('Commercial View'!$O$2:$O$301,"&gt;="&amp;B20,'Commercial View'!$O$2:$O$301,"&lt;"&amp;C20,'Commercial View'!$Z$2:$Z$301,"&lt;&gt;Low")</f>
        <v>2</v>
      </c>
    </row>
    <row r="21" customFormat="false" ht="15" hidden="false" customHeight="false" outlineLevel="0" collapsed="false">
      <c r="A21" s="2"/>
      <c r="B21" s="2"/>
      <c r="C21" s="2"/>
      <c r="D21" s="2"/>
      <c r="E21" s="2"/>
      <c r="F21" s="2"/>
      <c r="G21" s="2"/>
      <c r="H21" s="2"/>
    </row>
    <row r="22" customFormat="false" ht="15" hidden="false" customHeight="false" outlineLevel="0" collapsed="false">
      <c r="A22" s="2"/>
      <c r="B22" s="2"/>
      <c r="C22" s="2"/>
      <c r="D22" s="2"/>
      <c r="E22" s="2"/>
      <c r="F22" s="2"/>
      <c r="G22" s="2"/>
      <c r="H22" s="2"/>
    </row>
    <row r="23" customFormat="false" ht="15" hidden="false" customHeight="false" outlineLevel="0" collapsed="false">
      <c r="A23" s="7" t="s">
        <v>1692</v>
      </c>
      <c r="B23" s="2"/>
      <c r="C23" s="2"/>
      <c r="D23" s="2"/>
      <c r="E23" s="2"/>
      <c r="F23" s="2"/>
      <c r="G23" s="2"/>
      <c r="H23" s="2"/>
    </row>
    <row r="24" customFormat="false" ht="15" hidden="false" customHeight="false" outlineLevel="0" collapsed="false">
      <c r="A24" s="22" t="s">
        <v>1660</v>
      </c>
      <c r="B24" s="22" t="s">
        <v>1319</v>
      </c>
      <c r="C24" s="22" t="s">
        <v>1320</v>
      </c>
      <c r="D24" s="22" t="s">
        <v>1321</v>
      </c>
      <c r="E24" s="22" t="s">
        <v>1693</v>
      </c>
      <c r="F24" s="22" t="s">
        <v>1497</v>
      </c>
      <c r="G24" s="2"/>
      <c r="H24" s="2"/>
    </row>
    <row r="25" customFormat="false" ht="15" hidden="false" customHeight="false" outlineLevel="0" collapsed="false">
      <c r="A25" s="2" t="s">
        <v>1664</v>
      </c>
      <c r="B25" s="2" t="n">
        <f aca="false">COUNTIF('Commercial View'!$Z$2:$Z$301,A25)</f>
        <v>64</v>
      </c>
      <c r="C25" s="9" t="n">
        <f aca="false">SUMIF('Commercial View'!$Z$2:$Z$301,A25,'Commercial View'!$O$2:$O$301)</f>
        <v>610007</v>
      </c>
      <c r="D25" s="13" t="n">
        <f aca="false">C25/$B$3</f>
        <v>0.721559354673108</v>
      </c>
      <c r="E25" s="9" t="n">
        <f aca="false">C25/B25</f>
        <v>9531.359375</v>
      </c>
      <c r="F25" s="9" t="n">
        <v>3491.5</v>
      </c>
      <c r="G25" s="2"/>
      <c r="H25" s="2"/>
    </row>
    <row r="26" customFormat="false" ht="15" hidden="false" customHeight="false" outlineLevel="0" collapsed="false">
      <c r="A26" s="2" t="s">
        <v>1665</v>
      </c>
      <c r="B26" s="2" t="n">
        <f aca="false">COUNTIF('Commercial View'!$Z$2:$Z$301,A26)</f>
        <v>14</v>
      </c>
      <c r="C26" s="9" t="n">
        <f aca="false">SUMIF('Commercial View'!$Z$2:$Z$301,A26,'Commercial View'!$O$2:$O$301)</f>
        <v>91874</v>
      </c>
      <c r="D26" s="13" t="n">
        <f aca="false">C26/$B$3</f>
        <v>0.108675054796481</v>
      </c>
      <c r="E26" s="9" t="n">
        <f aca="false">C26/B26</f>
        <v>6562.42857142857</v>
      </c>
      <c r="F26" s="9" t="n">
        <v>3618.5</v>
      </c>
      <c r="G26" s="2"/>
      <c r="H26" s="2"/>
    </row>
    <row r="27" customFormat="false" ht="15" hidden="false" customHeight="false" outlineLevel="0" collapsed="false">
      <c r="A27" s="2" t="s">
        <v>1666</v>
      </c>
      <c r="B27" s="2" t="n">
        <f aca="false">COUNTIF('Commercial View'!$Z$2:$Z$301,A27)</f>
        <v>222</v>
      </c>
      <c r="C27" s="9" t="n">
        <f aca="false">SUMIF('Commercial View'!$Z$2:$Z$301,A27,'Commercial View'!$O$2:$O$301)</f>
        <v>143520</v>
      </c>
      <c r="D27" s="13" t="n">
        <f aca="false">C27/$B$3</f>
        <v>0.169765590530411</v>
      </c>
      <c r="E27" s="9" t="n">
        <f aca="false">C27/B27</f>
        <v>646.486486486487</v>
      </c>
      <c r="F27" s="9" t="n">
        <v>286.5</v>
      </c>
      <c r="G27" s="2"/>
      <c r="H27" s="2"/>
    </row>
    <row r="28" customFormat="false" ht="15" hidden="false" customHeight="false" outlineLevel="0" collapsed="false">
      <c r="A28" s="2" t="s">
        <v>1694</v>
      </c>
      <c r="B28" s="2"/>
      <c r="C28" s="2"/>
      <c r="D28" s="2"/>
      <c r="E28" s="2"/>
      <c r="F28" s="2"/>
      <c r="G28" s="2"/>
      <c r="H28" s="2"/>
    </row>
    <row r="29" customFormat="false" ht="15" hidden="false" customHeight="false" outlineLevel="0" collapsed="false">
      <c r="A29" s="2"/>
      <c r="B29" s="2"/>
      <c r="C29" s="2"/>
      <c r="D29" s="2"/>
      <c r="E29" s="2"/>
      <c r="F29" s="2"/>
      <c r="G29" s="2"/>
      <c r="H29" s="2"/>
    </row>
    <row r="30" customFormat="false" ht="15" hidden="false" customHeight="false" outlineLevel="0" collapsed="false">
      <c r="A30" s="7" t="s">
        <v>1695</v>
      </c>
      <c r="B30" s="2"/>
      <c r="C30" s="2"/>
      <c r="D30" s="2"/>
      <c r="E30" s="2"/>
      <c r="F30" s="2"/>
      <c r="G30" s="2"/>
      <c r="H30" s="2"/>
    </row>
    <row r="31" customFormat="false" ht="15" hidden="false" customHeight="false" outlineLevel="0" collapsed="false">
      <c r="A31" s="22" t="s">
        <v>1696</v>
      </c>
      <c r="B31" s="22" t="s">
        <v>1319</v>
      </c>
      <c r="C31" s="22" t="s">
        <v>1496</v>
      </c>
      <c r="D31" s="22" t="s">
        <v>1320</v>
      </c>
      <c r="E31" s="22" t="s">
        <v>1321</v>
      </c>
      <c r="F31" s="22" t="s">
        <v>1697</v>
      </c>
      <c r="G31" s="2"/>
      <c r="H31" s="2"/>
    </row>
    <row r="32" customFormat="false" ht="15" hidden="false" customHeight="false" outlineLevel="0" collapsed="false">
      <c r="A32" s="2" t="s">
        <v>1698</v>
      </c>
      <c r="B32" s="2" t="n">
        <f aca="false">COUNTIF('Commercial View'!$AB$2:$AB$301,A32)</f>
        <v>57</v>
      </c>
      <c r="C32" s="13" t="n">
        <f aca="false">B32/300</f>
        <v>0.19</v>
      </c>
      <c r="D32" s="9" t="n">
        <f aca="false">SUMIF('Commercial View'!$AB$2:$AB$301,A32,'Commercial View'!$O$2:$O$301)</f>
        <v>680506</v>
      </c>
      <c r="E32" s="13" t="n">
        <f aca="false">D32/$B$3</f>
        <v>0.804950550093979</v>
      </c>
      <c r="F32" s="2" t="n">
        <f aca="false">COUNTIFS('Commercial View'!$AB$2:$AB$301,A32,'Commercial View'!$U$2:$U$301,"Declining")+COUNTIFS('Commercial View'!$AB$2:$AB$301,A32,'Commercial View'!$U$2:$U$301,"Lapsed")</f>
        <v>33</v>
      </c>
      <c r="G32" s="2"/>
      <c r="H32" s="2"/>
    </row>
    <row r="33" customFormat="false" ht="15" hidden="false" customHeight="false" outlineLevel="0" collapsed="false">
      <c r="A33" s="2" t="s">
        <v>1699</v>
      </c>
      <c r="B33" s="2" t="n">
        <f aca="false">COUNTIF('Commercial View'!$AB$2:$AB$301,A33)</f>
        <v>21</v>
      </c>
      <c r="C33" s="13" t="n">
        <f aca="false">B33/300</f>
        <v>0.07</v>
      </c>
      <c r="D33" s="9" t="n">
        <f aca="false">SUMIF('Commercial View'!$AB$2:$AB$301,A33,'Commercial View'!$O$2:$O$301)</f>
        <v>21375</v>
      </c>
      <c r="E33" s="13" t="n">
        <f aca="false">D33/$B$3</f>
        <v>0.0252838593756099</v>
      </c>
      <c r="F33" s="2" t="n">
        <f aca="false">COUNTIFS('Commercial View'!$AB$2:$AB$301,A33,'Commercial View'!$U$2:$U$301,"Declining")+COUNTIFS('Commercial View'!$AB$2:$AB$301,A33,'Commercial View'!$U$2:$U$301,"Lapsed")</f>
        <v>13</v>
      </c>
      <c r="G33" s="2"/>
      <c r="H33" s="2"/>
    </row>
    <row r="34" customFormat="false" ht="15" hidden="false" customHeight="false" outlineLevel="0" collapsed="false">
      <c r="A34" s="2" t="s">
        <v>1700</v>
      </c>
      <c r="B34" s="2" t="n">
        <f aca="false">COUNTIF('Commercial View'!$AB$2:$AB$301,A34)</f>
        <v>12</v>
      </c>
      <c r="C34" s="13" t="n">
        <f aca="false">B34/300</f>
        <v>0.04</v>
      </c>
      <c r="D34" s="9" t="n">
        <f aca="false">SUMIF('Commercial View'!$AB$2:$AB$301,A34,'Commercial View'!$O$2:$O$301)</f>
        <v>59629</v>
      </c>
      <c r="E34" s="13" t="n">
        <f aca="false">D34/$B$3</f>
        <v>0.0705333918459997</v>
      </c>
      <c r="F34" s="2" t="n">
        <f aca="false">COUNTIFS('Commercial View'!$AB$2:$AB$301,A34,'Commercial View'!$U$2:$U$301,"Declining")+COUNTIFS('Commercial View'!$AB$2:$AB$301,A34,'Commercial View'!$U$2:$U$301,"Lapsed")</f>
        <v>6</v>
      </c>
      <c r="G34" s="2"/>
      <c r="H34" s="2"/>
    </row>
    <row r="35" customFormat="false" ht="15" hidden="false" customHeight="false" outlineLevel="0" collapsed="false">
      <c r="A35" s="2" t="s">
        <v>1701</v>
      </c>
      <c r="B35" s="2" t="n">
        <f aca="false">COUNTIF('Commercial View'!$AB$2:$AB$301,A35)</f>
        <v>210</v>
      </c>
      <c r="C35" s="13" t="n">
        <f aca="false">B35/300</f>
        <v>0.7</v>
      </c>
      <c r="D35" s="9" t="n">
        <f aca="false">SUMIF('Commercial View'!$AB$2:$AB$301,A35,'Commercial View'!$O$2:$O$301)</f>
        <v>83891</v>
      </c>
      <c r="E35" s="13" t="n">
        <f aca="false">D35/$B$3</f>
        <v>0.0992321986844113</v>
      </c>
      <c r="F35" s="2" t="n">
        <f aca="false">COUNTIFS('Commercial View'!$AB$2:$AB$301,A35,'Commercial View'!$U$2:$U$301,"Declining")+COUNTIFS('Commercial View'!$AB$2:$AB$301,A35,'Commercial View'!$U$2:$U$301,"Lapsed")</f>
        <v>131</v>
      </c>
      <c r="G35" s="2"/>
      <c r="H35" s="2"/>
    </row>
    <row r="36" customFormat="false" ht="15" hidden="false" customHeight="false" outlineLevel="0" collapsed="false">
      <c r="A36" s="2"/>
      <c r="B36" s="2"/>
      <c r="C36" s="2"/>
      <c r="D36" s="2"/>
      <c r="E36" s="2"/>
      <c r="F36" s="2"/>
      <c r="G36" s="2"/>
      <c r="H36" s="2"/>
    </row>
    <row r="37" customFormat="false" ht="15" hidden="false" customHeight="false" outlineLevel="0" collapsed="false">
      <c r="A37" s="7" t="s">
        <v>1702</v>
      </c>
      <c r="B37" s="2"/>
      <c r="C37" s="2"/>
      <c r="D37" s="2"/>
      <c r="E37" s="2"/>
      <c r="F37" s="2"/>
      <c r="G37" s="2"/>
      <c r="H37" s="2"/>
    </row>
    <row r="38" customFormat="false" ht="15" hidden="false" customHeight="false" outlineLevel="0" collapsed="false">
      <c r="A38" s="22" t="s">
        <v>1356</v>
      </c>
      <c r="B38" s="22" t="s">
        <v>1319</v>
      </c>
      <c r="C38" s="22" t="s">
        <v>1320</v>
      </c>
      <c r="D38" s="22" t="s">
        <v>1321</v>
      </c>
      <c r="E38" s="22" t="s">
        <v>1684</v>
      </c>
      <c r="F38" s="2"/>
      <c r="G38" s="2"/>
      <c r="H38" s="2"/>
    </row>
    <row r="39" customFormat="false" ht="15" hidden="false" customHeight="false" outlineLevel="0" collapsed="false">
      <c r="A39" s="2" t="s">
        <v>1506</v>
      </c>
      <c r="B39" s="2" t="n">
        <f aca="false">COUNTIF('Commercial View'!$U$2:$U$301,A39)</f>
        <v>29</v>
      </c>
      <c r="C39" s="9" t="n">
        <f aca="false">SUMIF('Commercial View'!$U$2:$U$301,A39,'Commercial View'!$O$2:$O$301)</f>
        <v>139750</v>
      </c>
      <c r="D39" s="13" t="n">
        <f aca="false">C39/$B$3</f>
        <v>0.165306168315391</v>
      </c>
      <c r="E39" s="2" t="n">
        <f aca="false">COUNTIFS('Commercial View'!$U$2:$U$301,A39,'Commercial View'!$Z$2:$Z$301,"&lt;&gt;Low")</f>
        <v>14</v>
      </c>
      <c r="F39" s="2"/>
      <c r="G39" s="2"/>
      <c r="H39" s="2"/>
    </row>
    <row r="40" customFormat="false" ht="15" hidden="false" customHeight="false" outlineLevel="0" collapsed="false">
      <c r="A40" s="2" t="s">
        <v>1507</v>
      </c>
      <c r="B40" s="2" t="n">
        <f aca="false">COUNTIF('Commercial View'!$U$2:$U$301,A40)</f>
        <v>15</v>
      </c>
      <c r="C40" s="9" t="n">
        <f aca="false">SUMIF('Commercial View'!$U$2:$U$301,A40,'Commercial View'!$O$2:$O$301)</f>
        <v>273207</v>
      </c>
      <c r="D40" s="13" t="n">
        <f aca="false">C40/$B$3</f>
        <v>0.32316853185648</v>
      </c>
      <c r="E40" s="2" t="n">
        <f aca="false">COUNTIFS('Commercial View'!$U$2:$U$301,A40,'Commercial View'!$Z$2:$Z$301,"&lt;&gt;Low")</f>
        <v>13</v>
      </c>
      <c r="F40" s="2"/>
      <c r="G40" s="2"/>
      <c r="H40" s="2"/>
    </row>
    <row r="41" customFormat="false" ht="15" hidden="false" customHeight="false" outlineLevel="0" collapsed="false">
      <c r="A41" s="2" t="s">
        <v>1508</v>
      </c>
      <c r="B41" s="2" t="n">
        <f aca="false">COUNTIF('Commercial View'!$U$2:$U$301,A41)</f>
        <v>34</v>
      </c>
      <c r="C41" s="9" t="n">
        <f aca="false">SUMIF('Commercial View'!$U$2:$U$301,A41,'Commercial View'!$O$2:$O$301)</f>
        <v>214751</v>
      </c>
      <c r="D41" s="13" t="n">
        <f aca="false">C41/$B$3</f>
        <v>0.254022647240777</v>
      </c>
      <c r="E41" s="2" t="n">
        <f aca="false">COUNTIFS('Commercial View'!$U$2:$U$301,A41,'Commercial View'!$Z$2:$Z$301,"&lt;&gt;Low")</f>
        <v>26</v>
      </c>
      <c r="F41" s="2"/>
      <c r="G41" s="2"/>
      <c r="H41" s="2"/>
    </row>
    <row r="42" customFormat="false" ht="15" hidden="false" customHeight="false" outlineLevel="0" collapsed="false">
      <c r="A42" s="2" t="s">
        <v>1509</v>
      </c>
      <c r="B42" s="2" t="n">
        <f aca="false">COUNTIF('Commercial View'!$U$2:$U$301,A42)</f>
        <v>149</v>
      </c>
      <c r="C42" s="9" t="n">
        <f aca="false">SUMIF('Commercial View'!$U$2:$U$301,A42,'Commercial View'!$O$2:$O$301)</f>
        <v>168231</v>
      </c>
      <c r="D42" s="13" t="n">
        <f aca="false">C42/$B$3</f>
        <v>0.198995506274537</v>
      </c>
      <c r="E42" s="2" t="n">
        <f aca="false">COUNTIFS('Commercial View'!$U$2:$U$301,A42,'Commercial View'!$Z$2:$Z$301,"&lt;&gt;Low")</f>
        <v>20</v>
      </c>
      <c r="F42" s="2"/>
      <c r="G42" s="2"/>
      <c r="H42" s="2"/>
    </row>
    <row r="43" customFormat="false" ht="15" hidden="false" customHeight="false" outlineLevel="0" collapsed="false">
      <c r="A43" s="2" t="s">
        <v>1510</v>
      </c>
      <c r="B43" s="2" t="n">
        <f aca="false">COUNTIF('Commercial View'!$U$2:$U$301,A43)</f>
        <v>73</v>
      </c>
      <c r="C43" s="9" t="n">
        <f aca="false">SUMIF('Commercial View'!$U$2:$U$301,A43,'Commercial View'!$O$2:$O$301)</f>
        <v>49462</v>
      </c>
      <c r="D43" s="13" t="n">
        <f aca="false">C43/$B$3</f>
        <v>0.0585071463128149</v>
      </c>
      <c r="E43" s="2" t="n">
        <f aca="false">COUNTIFS('Commercial View'!$U$2:$U$301,A43,'Commercial View'!$Z$2:$Z$301,"&lt;&gt;Low")</f>
        <v>5</v>
      </c>
      <c r="F43" s="2"/>
      <c r="G43" s="2"/>
      <c r="H43"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8" min="1" style="0" width="13"/>
  </cols>
  <sheetData>
    <row r="1" customFormat="false" ht="45" hidden="false" customHeight="true" outlineLevel="0" collapsed="false">
      <c r="A1" s="8" t="s">
        <v>75</v>
      </c>
      <c r="B1" s="8" t="s">
        <v>1353</v>
      </c>
      <c r="C1" s="8" t="s">
        <v>1644</v>
      </c>
      <c r="D1" s="8" t="s">
        <v>1645</v>
      </c>
      <c r="E1" s="8" t="s">
        <v>1703</v>
      </c>
      <c r="F1" s="8" t="s">
        <v>1543</v>
      </c>
      <c r="G1" s="8" t="s">
        <v>1544</v>
      </c>
      <c r="H1" s="8" t="s">
        <v>1357</v>
      </c>
      <c r="I1" s="8" t="s">
        <v>1704</v>
      </c>
      <c r="J1" s="8" t="s">
        <v>1705</v>
      </c>
      <c r="K1" s="8" t="s">
        <v>1706</v>
      </c>
      <c r="L1" s="8" t="s">
        <v>1707</v>
      </c>
      <c r="M1" s="8" t="s">
        <v>1708</v>
      </c>
      <c r="N1" s="8" t="s">
        <v>1709</v>
      </c>
      <c r="O1" s="8" t="s">
        <v>78</v>
      </c>
      <c r="P1" s="8" t="s">
        <v>1710</v>
      </c>
      <c r="Q1" s="8" t="s">
        <v>1711</v>
      </c>
      <c r="R1" s="8" t="s">
        <v>1547</v>
      </c>
      <c r="S1" s="8" t="s">
        <v>1548</v>
      </c>
      <c r="T1" s="8" t="s">
        <v>1549</v>
      </c>
      <c r="U1" s="8" t="s">
        <v>1356</v>
      </c>
      <c r="V1" s="8" t="s">
        <v>1359</v>
      </c>
      <c r="W1" s="8" t="s">
        <v>1712</v>
      </c>
      <c r="X1" s="8" t="s">
        <v>1582</v>
      </c>
      <c r="Y1" s="8" t="s">
        <v>1546</v>
      </c>
      <c r="Z1" s="8" t="s">
        <v>1355</v>
      </c>
      <c r="AA1" s="8" t="s">
        <v>1713</v>
      </c>
      <c r="AB1" s="8" t="s">
        <v>1696</v>
      </c>
    </row>
    <row r="2" customFormat="false" ht="15" hidden="false" customHeight="false" outlineLevel="0" collapsed="false">
      <c r="A2" s="2" t="s">
        <v>308</v>
      </c>
      <c r="B2" s="2" t="s">
        <v>1571</v>
      </c>
      <c r="C2" s="2" t="s">
        <v>1641</v>
      </c>
      <c r="D2" s="2" t="s">
        <v>1653</v>
      </c>
      <c r="E2" s="2" t="s">
        <v>1653</v>
      </c>
      <c r="F2" s="2" t="s">
        <v>1572</v>
      </c>
      <c r="G2" s="2" t="n">
        <v>26</v>
      </c>
      <c r="H2" s="2" t="n">
        <v>46</v>
      </c>
      <c r="I2" s="9" t="n">
        <v>27469</v>
      </c>
      <c r="J2" s="9" t="n">
        <v>41827</v>
      </c>
      <c r="K2" s="9" t="n">
        <v>24249</v>
      </c>
      <c r="L2" s="9" t="n">
        <v>20463</v>
      </c>
      <c r="M2" s="9" t="n">
        <v>10300</v>
      </c>
      <c r="N2" s="9" t="n">
        <v>45824</v>
      </c>
      <c r="O2" s="9" t="n">
        <v>170132</v>
      </c>
      <c r="P2" s="2" t="n">
        <v>67</v>
      </c>
      <c r="Q2" s="2" t="n">
        <f aca="false">IF(I2&gt;0,ROUND((N2-I2)/I2*100,0),"")</f>
        <v>67</v>
      </c>
      <c r="R2" s="9" t="n">
        <f aca="false">SUM(I2:K2)</f>
        <v>93545</v>
      </c>
      <c r="S2" s="9" t="n">
        <f aca="false">SUM(L2:N2)</f>
        <v>76587</v>
      </c>
      <c r="T2" s="17" t="n">
        <f aca="false">IF(R2&gt;0,S2/R2-1,"")</f>
        <v>-0.181281736062857</v>
      </c>
      <c r="U2" s="2" t="str">
        <f aca="false">IF(AND(R2=0,S2&gt;0),"H2 Active / No H1 GMV",IF(S2=0,"Lapsed",IF(T2&gt;=Assumptions!$B$36,"Growing",IF(T2&lt;-Assumptions!$B$36,"Declining","Stable"))))</f>
        <v>Stable</v>
      </c>
      <c r="V2" s="2" t="n">
        <f aca="false">COUNTIF(I2:N2,"&gt;0")</f>
        <v>6</v>
      </c>
      <c r="W2" s="2" t="str">
        <f aca="false">IF(N2&gt;0,"Feb",IF(M2&gt;0,"Jan",IF(L2&gt;0,"Dec",IF(K2&gt;0,"Nov",IF(J2&gt;0,"Oct","Sep")))))</f>
        <v>Feb</v>
      </c>
      <c r="X2" s="2" t="str">
        <f aca="false">IF(O2&gt;=Assumptions!$B$35,"Key (&gt;=£10k)",IF(O2&gt;=Assumptions!$B$34,"Core (£2k-10k)","Tail (&lt;£2k)"))</f>
        <v>Key (&gt;=£10k)</v>
      </c>
      <c r="Y2" s="21" t="n">
        <f aca="false">INDEX('Scored Accounts'!$Q$2:$Q$301,MATCH(A2,'Scored Accounts'!$A$2:$A$301,0))</f>
        <v>87.5</v>
      </c>
      <c r="Z2" s="2" t="str">
        <f aca="false">INDEX('Scored Accounts'!$R$2:$R$301,MATCH(A2,'Scored Accounts'!$A$2:$A$301,0))</f>
        <v>High</v>
      </c>
      <c r="AA2" s="2" t="str">
        <f aca="false">INDEX('Scored Accounts'!$T$2:$T$301,MATCH(A2,'Scored Accounts'!$A$2:$A$301,0))</f>
        <v/>
      </c>
      <c r="AB2" s="2" t="str">
        <f aca="false">IF(Z2="Low","Lower dep / ","Higher dep / ")&amp;IF(O2&gt;=Assumptions!$B$34,"Higher value","Lower value")</f>
        <v>Higher dep / Higher value</v>
      </c>
    </row>
    <row r="3" customFormat="false" ht="15" hidden="false" customHeight="false" outlineLevel="0" collapsed="false">
      <c r="A3" s="2" t="s">
        <v>139</v>
      </c>
      <c r="B3" s="2" t="s">
        <v>1571</v>
      </c>
      <c r="C3" s="2" t="s">
        <v>1640</v>
      </c>
      <c r="D3" s="2" t="s">
        <v>1654</v>
      </c>
      <c r="E3" s="2" t="s">
        <v>1654</v>
      </c>
      <c r="F3" s="2" t="s">
        <v>1572</v>
      </c>
      <c r="G3" s="2" t="n">
        <v>10</v>
      </c>
      <c r="H3" s="2" t="n">
        <v>2</v>
      </c>
      <c r="I3" s="9" t="n">
        <v>36244</v>
      </c>
      <c r="J3" s="9" t="n">
        <v>34406</v>
      </c>
      <c r="K3" s="9" t="n">
        <v>0</v>
      </c>
      <c r="L3" s="9" t="n">
        <v>0</v>
      </c>
      <c r="M3" s="9" t="n">
        <v>0</v>
      </c>
      <c r="N3" s="9" t="n">
        <v>0</v>
      </c>
      <c r="O3" s="9" t="n">
        <v>70650</v>
      </c>
      <c r="P3" s="2" t="n">
        <v>-100</v>
      </c>
      <c r="Q3" s="2" t="n">
        <f aca="false">IF(I3&gt;0,ROUND((N3-I3)/I3*100,0),"")</f>
        <v>-100</v>
      </c>
      <c r="R3" s="9" t="n">
        <f aca="false">SUM(I3:K3)</f>
        <v>70650</v>
      </c>
      <c r="S3" s="9" t="n">
        <f aca="false">SUM(L3:N3)</f>
        <v>0</v>
      </c>
      <c r="T3" s="17" t="n">
        <f aca="false">IF(R3&gt;0,S3/R3-1,"")</f>
        <v>-1</v>
      </c>
      <c r="U3" s="2" t="str">
        <f aca="false">IF(AND(R3=0,S3&gt;0),"H2 Active / No H1 GMV",IF(S3=0,"Lapsed",IF(T3&gt;=Assumptions!$B$36,"Growing",IF(T3&lt;-Assumptions!$B$36,"Declining","Stable"))))</f>
        <v>Lapsed</v>
      </c>
      <c r="V3" s="2" t="n">
        <f aca="false">COUNTIF(I3:N3,"&gt;0")</f>
        <v>2</v>
      </c>
      <c r="W3" s="2" t="str">
        <f aca="false">IF(N3&gt;0,"Feb",IF(M3&gt;0,"Jan",IF(L3&gt;0,"Dec",IF(K3&gt;0,"Nov",IF(J3&gt;0,"Oct","Sep")))))</f>
        <v>Oct</v>
      </c>
      <c r="X3" s="2" t="str">
        <f aca="false">IF(O3&gt;=Assumptions!$B$35,"Key (&gt;=£10k)",IF(O3&gt;=Assumptions!$B$34,"Core (£2k-10k)","Tail (&lt;£2k)"))</f>
        <v>Key (&gt;=£10k)</v>
      </c>
      <c r="Y3" s="21" t="n">
        <f aca="false">INDEX('Scored Accounts'!$Q$2:$Q$301,MATCH(A3,'Scored Accounts'!$A$2:$A$301,0))</f>
        <v>77.5</v>
      </c>
      <c r="Z3" s="2" t="str">
        <f aca="false">INDEX('Scored Accounts'!$R$2:$R$301,MATCH(A3,'Scored Accounts'!$A$2:$A$301,0))</f>
        <v>High</v>
      </c>
      <c r="AA3" s="2" t="str">
        <f aca="false">INDEX('Scored Accounts'!$T$2:$T$301,MATCH(A3,'Scored Accounts'!$A$2:$A$301,0))</f>
        <v>Low confidence</v>
      </c>
      <c r="AB3" s="2" t="str">
        <f aca="false">IF(Z3="Low","Lower dep / ","Higher dep / ")&amp;IF(O3&gt;=Assumptions!$B$34,"Higher value","Lower value")</f>
        <v>Higher dep / Higher value</v>
      </c>
    </row>
    <row r="4" customFormat="false" ht="15" hidden="false" customHeight="false" outlineLevel="0" collapsed="false">
      <c r="A4" s="2" t="s">
        <v>328</v>
      </c>
      <c r="B4" s="2" t="s">
        <v>1571</v>
      </c>
      <c r="C4" s="2" t="s">
        <v>1640</v>
      </c>
      <c r="D4" s="2" t="s">
        <v>1655</v>
      </c>
      <c r="E4" s="2" t="s">
        <v>1655</v>
      </c>
      <c r="F4" s="2" t="s">
        <v>1572</v>
      </c>
      <c r="G4" s="2" t="n">
        <v>16</v>
      </c>
      <c r="H4" s="2" t="n">
        <v>36</v>
      </c>
      <c r="I4" s="9" t="n">
        <v>6704</v>
      </c>
      <c r="J4" s="9" t="n">
        <v>3638</v>
      </c>
      <c r="K4" s="9" t="n">
        <v>12450</v>
      </c>
      <c r="L4" s="9" t="n">
        <v>7191</v>
      </c>
      <c r="M4" s="9" t="n">
        <v>3988</v>
      </c>
      <c r="N4" s="9" t="n">
        <v>7070</v>
      </c>
      <c r="O4" s="9" t="n">
        <v>41039</v>
      </c>
      <c r="P4" s="2" t="n">
        <v>5</v>
      </c>
      <c r="Q4" s="2" t="n">
        <f aca="false">IF(I4&gt;0,ROUND((N4-I4)/I4*100,0),"")</f>
        <v>5</v>
      </c>
      <c r="R4" s="9" t="n">
        <f aca="false">SUM(I4:K4)</f>
        <v>22792</v>
      </c>
      <c r="S4" s="9" t="n">
        <f aca="false">SUM(L4:N4)</f>
        <v>18249</v>
      </c>
      <c r="T4" s="17" t="n">
        <f aca="false">IF(R4&gt;0,S4/R4-1,"")</f>
        <v>-0.199324324324324</v>
      </c>
      <c r="U4" s="2" t="str">
        <f aca="false">IF(AND(R4=0,S4&gt;0),"H2 Active / No H1 GMV",IF(S4=0,"Lapsed",IF(T4&gt;=Assumptions!$B$36,"Growing",IF(T4&lt;-Assumptions!$B$36,"Declining","Stable"))))</f>
        <v>Stable</v>
      </c>
      <c r="V4" s="2" t="n">
        <f aca="false">COUNTIF(I4:N4,"&gt;0")</f>
        <v>6</v>
      </c>
      <c r="W4" s="2" t="str">
        <f aca="false">IF(N4&gt;0,"Feb",IF(M4&gt;0,"Jan",IF(L4&gt;0,"Dec",IF(K4&gt;0,"Nov",IF(J4&gt;0,"Oct","Sep")))))</f>
        <v>Feb</v>
      </c>
      <c r="X4" s="2" t="str">
        <f aca="false">IF(O4&gt;=Assumptions!$B$35,"Key (&gt;=£10k)",IF(O4&gt;=Assumptions!$B$34,"Core (£2k-10k)","Tail (&lt;£2k)"))</f>
        <v>Key (&gt;=£10k)</v>
      </c>
      <c r="Y4" s="21" t="n">
        <f aca="false">INDEX('Scored Accounts'!$Q$2:$Q$301,MATCH(A4,'Scored Accounts'!$A$2:$A$301,0))</f>
        <v>77.5</v>
      </c>
      <c r="Z4" s="2" t="str">
        <f aca="false">INDEX('Scored Accounts'!$R$2:$R$301,MATCH(A4,'Scored Accounts'!$A$2:$A$301,0))</f>
        <v>High</v>
      </c>
      <c r="AA4" s="2" t="str">
        <f aca="false">INDEX('Scored Accounts'!$T$2:$T$301,MATCH(A4,'Scored Accounts'!$A$2:$A$301,0))</f>
        <v/>
      </c>
      <c r="AB4" s="2" t="str">
        <f aca="false">IF(Z4="Low","Lower dep / ","Higher dep / ")&amp;IF(O4&gt;=Assumptions!$B$34,"Higher value","Lower value")</f>
        <v>Higher dep / Higher value</v>
      </c>
    </row>
    <row r="5" customFormat="false" ht="15" hidden="false" customHeight="false" outlineLevel="0" collapsed="false">
      <c r="A5" s="2" t="s">
        <v>331</v>
      </c>
      <c r="B5" s="2" t="s">
        <v>1571</v>
      </c>
      <c r="C5" s="2" t="s">
        <v>1640</v>
      </c>
      <c r="D5" s="2" t="s">
        <v>1656</v>
      </c>
      <c r="E5" s="2" t="s">
        <v>1714</v>
      </c>
      <c r="F5" s="2" t="s">
        <v>1572</v>
      </c>
      <c r="G5" s="2" t="n">
        <v>22</v>
      </c>
      <c r="H5" s="2" t="n">
        <v>19</v>
      </c>
      <c r="I5" s="9" t="n">
        <v>5171</v>
      </c>
      <c r="J5" s="9" t="n">
        <v>4476</v>
      </c>
      <c r="K5" s="9" t="n">
        <v>5058</v>
      </c>
      <c r="L5" s="9" t="n">
        <v>5067</v>
      </c>
      <c r="M5" s="9" t="n">
        <v>3844</v>
      </c>
      <c r="N5" s="9" t="n">
        <v>3484</v>
      </c>
      <c r="O5" s="9" t="n">
        <v>27099</v>
      </c>
      <c r="P5" s="2" t="n">
        <v>-33</v>
      </c>
      <c r="Q5" s="2" t="n">
        <f aca="false">IF(I5&gt;0,ROUND((N5-I5)/I5*100,0),"")</f>
        <v>-33</v>
      </c>
      <c r="R5" s="9" t="n">
        <f aca="false">SUM(I5:K5)</f>
        <v>14705</v>
      </c>
      <c r="S5" s="9" t="n">
        <f aca="false">SUM(L5:N5)</f>
        <v>12395</v>
      </c>
      <c r="T5" s="17" t="n">
        <f aca="false">IF(R5&gt;0,S5/R5-1,"")</f>
        <v>-0.157089425365522</v>
      </c>
      <c r="U5" s="2" t="str">
        <f aca="false">IF(AND(R5=0,S5&gt;0),"H2 Active / No H1 GMV",IF(S5=0,"Lapsed",IF(T5&gt;=Assumptions!$B$36,"Growing",IF(T5&lt;-Assumptions!$B$36,"Declining","Stable"))))</f>
        <v>Stable</v>
      </c>
      <c r="V5" s="2" t="n">
        <f aca="false">COUNTIF(I5:N5,"&gt;0")</f>
        <v>6</v>
      </c>
      <c r="W5" s="2" t="str">
        <f aca="false">IF(N5&gt;0,"Feb",IF(M5&gt;0,"Jan",IF(L5&gt;0,"Dec",IF(K5&gt;0,"Nov",IF(J5&gt;0,"Oct","Sep")))))</f>
        <v>Feb</v>
      </c>
      <c r="X5" s="2" t="str">
        <f aca="false">IF(O5&gt;=Assumptions!$B$35,"Key (&gt;=£10k)",IF(O5&gt;=Assumptions!$B$34,"Core (£2k-10k)","Tail (&lt;£2k)"))</f>
        <v>Key (&gt;=£10k)</v>
      </c>
      <c r="Y5" s="21" t="n">
        <f aca="false">INDEX('Scored Accounts'!$Q$2:$Q$301,MATCH(A5,'Scored Accounts'!$A$2:$A$301,0))</f>
        <v>70</v>
      </c>
      <c r="Z5" s="2" t="str">
        <f aca="false">INDEX('Scored Accounts'!$R$2:$R$301,MATCH(A5,'Scored Accounts'!$A$2:$A$301,0))</f>
        <v>High</v>
      </c>
      <c r="AA5" s="2" t="str">
        <f aca="false">INDEX('Scored Accounts'!$T$2:$T$301,MATCH(A5,'Scored Accounts'!$A$2:$A$301,0))</f>
        <v/>
      </c>
      <c r="AB5" s="2" t="str">
        <f aca="false">IF(Z5="Low","Lower dep / ","Higher dep / ")&amp;IF(O5&gt;=Assumptions!$B$34,"Higher value","Lower value")</f>
        <v>Higher dep / Higher value</v>
      </c>
    </row>
    <row r="6" customFormat="false" ht="15" hidden="false" customHeight="false" outlineLevel="0" collapsed="false">
      <c r="A6" s="2" t="s">
        <v>113</v>
      </c>
      <c r="B6" s="2" t="s">
        <v>1571</v>
      </c>
      <c r="C6" s="2" t="s">
        <v>1641</v>
      </c>
      <c r="D6" s="2" t="s">
        <v>1653</v>
      </c>
      <c r="E6" s="2" t="s">
        <v>1653</v>
      </c>
      <c r="F6" s="2" t="s">
        <v>1573</v>
      </c>
      <c r="G6" s="2" t="n">
        <v>41</v>
      </c>
      <c r="H6" s="2" t="n">
        <v>14</v>
      </c>
      <c r="I6" s="9" t="n">
        <v>5682</v>
      </c>
      <c r="J6" s="9" t="n">
        <v>3637</v>
      </c>
      <c r="K6" s="9" t="n">
        <v>8210</v>
      </c>
      <c r="L6" s="9" t="n">
        <v>2886</v>
      </c>
      <c r="M6" s="9" t="n">
        <v>0</v>
      </c>
      <c r="N6" s="9" t="n">
        <v>4139</v>
      </c>
      <c r="O6" s="9" t="n">
        <v>24555</v>
      </c>
      <c r="P6" s="2" t="n">
        <v>-27</v>
      </c>
      <c r="Q6" s="2" t="n">
        <f aca="false">IF(I6&gt;0,ROUND((N6-I6)/I6*100,0),"")</f>
        <v>-27</v>
      </c>
      <c r="R6" s="9" t="n">
        <f aca="false">SUM(I6:K6)</f>
        <v>17529</v>
      </c>
      <c r="S6" s="9" t="n">
        <f aca="false">SUM(L6:N6)</f>
        <v>7025</v>
      </c>
      <c r="T6" s="17" t="n">
        <f aca="false">IF(R6&gt;0,S6/R6-1,"")</f>
        <v>-0.599235552512978</v>
      </c>
      <c r="U6" s="2" t="str">
        <f aca="false">IF(AND(R6=0,S6&gt;0),"H2 Active / No H1 GMV",IF(S6=0,"Lapsed",IF(T6&gt;=Assumptions!$B$36,"Growing",IF(T6&lt;-Assumptions!$B$36,"Declining","Stable"))))</f>
        <v>Declining</v>
      </c>
      <c r="V6" s="2" t="n">
        <f aca="false">COUNTIF(I6:N6,"&gt;0")</f>
        <v>5</v>
      </c>
      <c r="W6" s="2" t="str">
        <f aca="false">IF(N6&gt;0,"Feb",IF(M6&gt;0,"Jan",IF(L6&gt;0,"Dec",IF(K6&gt;0,"Nov",IF(J6&gt;0,"Oct","Sep")))))</f>
        <v>Feb</v>
      </c>
      <c r="X6" s="2" t="str">
        <f aca="false">IF(O6&gt;=Assumptions!$B$35,"Key (&gt;=£10k)",IF(O6&gt;=Assumptions!$B$34,"Core (£2k-10k)","Tail (&lt;£2k)"))</f>
        <v>Key (&gt;=£10k)</v>
      </c>
      <c r="Y6" s="21" t="n">
        <f aca="false">INDEX('Scored Accounts'!$Q$2:$Q$301,MATCH(A6,'Scored Accounts'!$A$2:$A$301,0))</f>
        <v>62.5</v>
      </c>
      <c r="Z6" s="2" t="str">
        <f aca="false">INDEX('Scored Accounts'!$R$2:$R$301,MATCH(A6,'Scored Accounts'!$A$2:$A$301,0))</f>
        <v>Medium</v>
      </c>
      <c r="AA6" s="2" t="str">
        <f aca="false">INDEX('Scored Accounts'!$T$2:$T$301,MATCH(A6,'Scored Accounts'!$A$2:$A$301,0))</f>
        <v/>
      </c>
      <c r="AB6" s="2" t="str">
        <f aca="false">IF(Z6="Low","Lower dep / ","Higher dep / ")&amp;IF(O6&gt;=Assumptions!$B$34,"Higher value","Lower value")</f>
        <v>Higher dep / Higher value</v>
      </c>
    </row>
    <row r="7" customFormat="false" ht="15" hidden="false" customHeight="false" outlineLevel="0" collapsed="false">
      <c r="A7" s="2" t="s">
        <v>335</v>
      </c>
      <c r="B7" s="2" t="s">
        <v>1571</v>
      </c>
      <c r="C7" s="2" t="s">
        <v>1640</v>
      </c>
      <c r="D7" s="2" t="s">
        <v>1655</v>
      </c>
      <c r="E7" s="2" t="s">
        <v>1655</v>
      </c>
      <c r="F7" s="2" t="s">
        <v>1572</v>
      </c>
      <c r="G7" s="2" t="n">
        <v>7</v>
      </c>
      <c r="H7" s="2" t="n">
        <v>14</v>
      </c>
      <c r="I7" s="9" t="n">
        <v>4330</v>
      </c>
      <c r="J7" s="9" t="n">
        <v>0</v>
      </c>
      <c r="K7" s="9" t="n">
        <v>3919</v>
      </c>
      <c r="L7" s="9" t="n">
        <v>3680</v>
      </c>
      <c r="M7" s="9" t="n">
        <v>5374</v>
      </c>
      <c r="N7" s="9" t="n">
        <v>5902</v>
      </c>
      <c r="O7" s="9" t="n">
        <v>23205</v>
      </c>
      <c r="P7" s="2" t="n">
        <v>36</v>
      </c>
      <c r="Q7" s="2" t="n">
        <f aca="false">IF(I7&gt;0,ROUND((N7-I7)/I7*100,0),"")</f>
        <v>36</v>
      </c>
      <c r="R7" s="9" t="n">
        <f aca="false">SUM(I7:K7)</f>
        <v>8249</v>
      </c>
      <c r="S7" s="9" t="n">
        <f aca="false">SUM(L7:N7)</f>
        <v>14956</v>
      </c>
      <c r="T7" s="17" t="n">
        <f aca="false">IF(R7&gt;0,S7/R7-1,"")</f>
        <v>0.813068250697054</v>
      </c>
      <c r="U7" s="2" t="str">
        <f aca="false">IF(AND(R7=0,S7&gt;0),"H2 Active / No H1 GMV",IF(S7=0,"Lapsed",IF(T7&gt;=Assumptions!$B$36,"Growing",IF(T7&lt;-Assumptions!$B$36,"Declining","Stable"))))</f>
        <v>Growing</v>
      </c>
      <c r="V7" s="2" t="n">
        <f aca="false">COUNTIF(I7:N7,"&gt;0")</f>
        <v>5</v>
      </c>
      <c r="W7" s="2" t="str">
        <f aca="false">IF(N7&gt;0,"Feb",IF(M7&gt;0,"Jan",IF(L7&gt;0,"Dec",IF(K7&gt;0,"Nov",IF(J7&gt;0,"Oct","Sep")))))</f>
        <v>Feb</v>
      </c>
      <c r="X7" s="2" t="str">
        <f aca="false">IF(O7&gt;=Assumptions!$B$35,"Key (&gt;=£10k)",IF(O7&gt;=Assumptions!$B$34,"Core (£2k-10k)","Tail (&lt;£2k)"))</f>
        <v>Key (&gt;=£10k)</v>
      </c>
      <c r="Y7" s="21" t="n">
        <f aca="false">INDEX('Scored Accounts'!$Q$2:$Q$301,MATCH(A7,'Scored Accounts'!$A$2:$A$301,0))</f>
        <v>95</v>
      </c>
      <c r="Z7" s="2" t="str">
        <f aca="false">INDEX('Scored Accounts'!$R$2:$R$301,MATCH(A7,'Scored Accounts'!$A$2:$A$301,0))</f>
        <v>High</v>
      </c>
      <c r="AA7" s="2" t="str">
        <f aca="false">INDEX('Scored Accounts'!$T$2:$T$301,MATCH(A7,'Scored Accounts'!$A$2:$A$301,0))</f>
        <v/>
      </c>
      <c r="AB7" s="2" t="str">
        <f aca="false">IF(Z7="Low","Lower dep / ","Higher dep / ")&amp;IF(O7&gt;=Assumptions!$B$34,"Higher value","Lower value")</f>
        <v>Higher dep / Higher value</v>
      </c>
    </row>
    <row r="8" customFormat="false" ht="15" hidden="false" customHeight="false" outlineLevel="0" collapsed="false">
      <c r="A8" s="2" t="s">
        <v>339</v>
      </c>
      <c r="B8" s="2" t="s">
        <v>1571</v>
      </c>
      <c r="C8" s="2" t="s">
        <v>1640</v>
      </c>
      <c r="D8" s="2" t="s">
        <v>1657</v>
      </c>
      <c r="E8" s="2" t="s">
        <v>1715</v>
      </c>
      <c r="F8" s="2" t="s">
        <v>1572</v>
      </c>
      <c r="G8" s="2" t="n">
        <v>10</v>
      </c>
      <c r="H8" s="2" t="n">
        <v>23</v>
      </c>
      <c r="I8" s="9" t="n">
        <v>4033</v>
      </c>
      <c r="J8" s="9" t="n">
        <v>0</v>
      </c>
      <c r="K8" s="9" t="n">
        <v>1491</v>
      </c>
      <c r="L8" s="9" t="n">
        <v>7891</v>
      </c>
      <c r="M8" s="9" t="n">
        <v>3259</v>
      </c>
      <c r="N8" s="9" t="n">
        <v>5415</v>
      </c>
      <c r="O8" s="9" t="n">
        <v>22089</v>
      </c>
      <c r="P8" s="2" t="n">
        <v>34</v>
      </c>
      <c r="Q8" s="2" t="n">
        <f aca="false">IF(I8&gt;0,ROUND((N8-I8)/I8*100,0),"")</f>
        <v>34</v>
      </c>
      <c r="R8" s="9" t="n">
        <f aca="false">SUM(I8:K8)</f>
        <v>5524</v>
      </c>
      <c r="S8" s="9" t="n">
        <f aca="false">SUM(L8:N8)</f>
        <v>16565</v>
      </c>
      <c r="T8" s="17" t="n">
        <f aca="false">IF(R8&gt;0,S8/R8-1,"")</f>
        <v>1.99873280231716</v>
      </c>
      <c r="U8" s="2" t="str">
        <f aca="false">IF(AND(R8=0,S8&gt;0),"H2 Active / No H1 GMV",IF(S8=0,"Lapsed",IF(T8&gt;=Assumptions!$B$36,"Growing",IF(T8&lt;-Assumptions!$B$36,"Declining","Stable"))))</f>
        <v>Growing</v>
      </c>
      <c r="V8" s="2" t="n">
        <f aca="false">COUNTIF(I8:N8,"&gt;0")</f>
        <v>5</v>
      </c>
      <c r="W8" s="2" t="str">
        <f aca="false">IF(N8&gt;0,"Feb",IF(M8&gt;0,"Jan",IF(L8&gt;0,"Dec",IF(K8&gt;0,"Nov",IF(J8&gt;0,"Oct","Sep")))))</f>
        <v>Feb</v>
      </c>
      <c r="X8" s="2" t="str">
        <f aca="false">IF(O8&gt;=Assumptions!$B$35,"Key (&gt;=£10k)",IF(O8&gt;=Assumptions!$B$34,"Core (£2k-10k)","Tail (&lt;£2k)"))</f>
        <v>Key (&gt;=£10k)</v>
      </c>
      <c r="Y8" s="21" t="n">
        <f aca="false">INDEX('Scored Accounts'!$Q$2:$Q$301,MATCH(A8,'Scored Accounts'!$A$2:$A$301,0))</f>
        <v>87.5</v>
      </c>
      <c r="Z8" s="2" t="str">
        <f aca="false">INDEX('Scored Accounts'!$R$2:$R$301,MATCH(A8,'Scored Accounts'!$A$2:$A$301,0))</f>
        <v>High</v>
      </c>
      <c r="AA8" s="2" t="str">
        <f aca="false">INDEX('Scored Accounts'!$T$2:$T$301,MATCH(A8,'Scored Accounts'!$A$2:$A$301,0))</f>
        <v/>
      </c>
      <c r="AB8" s="2" t="str">
        <f aca="false">IF(Z8="Low","Lower dep / ","Higher dep / ")&amp;IF(O8&gt;=Assumptions!$B$34,"Higher value","Lower value")</f>
        <v>Higher dep / Higher value</v>
      </c>
    </row>
    <row r="9" customFormat="false" ht="15" hidden="false" customHeight="false" outlineLevel="0" collapsed="false">
      <c r="A9" s="2" t="s">
        <v>161</v>
      </c>
      <c r="B9" s="2" t="s">
        <v>1571</v>
      </c>
      <c r="C9" s="2" t="s">
        <v>1641</v>
      </c>
      <c r="D9" s="2" t="s">
        <v>1657</v>
      </c>
      <c r="E9" s="2" t="s">
        <v>1716</v>
      </c>
      <c r="F9" s="2" t="s">
        <v>1572</v>
      </c>
      <c r="G9" s="2" t="n">
        <v>15</v>
      </c>
      <c r="H9" s="2" t="n">
        <v>16</v>
      </c>
      <c r="I9" s="9" t="n">
        <v>5080</v>
      </c>
      <c r="J9" s="9" t="n">
        <v>3329</v>
      </c>
      <c r="K9" s="9" t="n">
        <v>4049</v>
      </c>
      <c r="L9" s="9" t="n">
        <v>6095</v>
      </c>
      <c r="M9" s="9" t="n">
        <v>0</v>
      </c>
      <c r="N9" s="9" t="n">
        <v>713</v>
      </c>
      <c r="O9" s="9" t="n">
        <v>19265</v>
      </c>
      <c r="P9" s="2" t="n">
        <v>-86</v>
      </c>
      <c r="Q9" s="2" t="n">
        <f aca="false">IF(I9&gt;0,ROUND((N9-I9)/I9*100,0),"")</f>
        <v>-86</v>
      </c>
      <c r="R9" s="9" t="n">
        <f aca="false">SUM(I9:K9)</f>
        <v>12458</v>
      </c>
      <c r="S9" s="9" t="n">
        <f aca="false">SUM(L9:N9)</f>
        <v>6808</v>
      </c>
      <c r="T9" s="17" t="n">
        <f aca="false">IF(R9&gt;0,S9/R9-1,"")</f>
        <v>-0.453523840102745</v>
      </c>
      <c r="U9" s="2" t="str">
        <f aca="false">IF(AND(R9=0,S9&gt;0),"H2 Active / No H1 GMV",IF(S9=0,"Lapsed",IF(T9&gt;=Assumptions!$B$36,"Growing",IF(T9&lt;-Assumptions!$B$36,"Declining","Stable"))))</f>
        <v>Declining</v>
      </c>
      <c r="V9" s="2" t="n">
        <f aca="false">COUNTIF(I9:N9,"&gt;0")</f>
        <v>5</v>
      </c>
      <c r="W9" s="2" t="str">
        <f aca="false">IF(N9&gt;0,"Feb",IF(M9&gt;0,"Jan",IF(L9&gt;0,"Dec",IF(K9&gt;0,"Nov",IF(J9&gt;0,"Oct","Sep")))))</f>
        <v>Feb</v>
      </c>
      <c r="X9" s="2" t="str">
        <f aca="false">IF(O9&gt;=Assumptions!$B$35,"Key (&gt;=£10k)",IF(O9&gt;=Assumptions!$B$34,"Core (£2k-10k)","Tail (&lt;£2k)"))</f>
        <v>Key (&gt;=£10k)</v>
      </c>
      <c r="Y9" s="21" t="n">
        <f aca="false">INDEX('Scored Accounts'!$Q$2:$Q$301,MATCH(A9,'Scored Accounts'!$A$2:$A$301,0))</f>
        <v>100</v>
      </c>
      <c r="Z9" s="2" t="str">
        <f aca="false">INDEX('Scored Accounts'!$R$2:$R$301,MATCH(A9,'Scored Accounts'!$A$2:$A$301,0))</f>
        <v>High</v>
      </c>
      <c r="AA9" s="2" t="str">
        <f aca="false">INDEX('Scored Accounts'!$T$2:$T$301,MATCH(A9,'Scored Accounts'!$A$2:$A$301,0))</f>
        <v/>
      </c>
      <c r="AB9" s="2" t="str">
        <f aca="false">IF(Z9="Low","Lower dep / ","Higher dep / ")&amp;IF(O9&gt;=Assumptions!$B$34,"Higher value","Lower value")</f>
        <v>Higher dep / Higher value</v>
      </c>
    </row>
    <row r="10" customFormat="false" ht="15" hidden="false" customHeight="false" outlineLevel="0" collapsed="false">
      <c r="A10" s="2" t="s">
        <v>168</v>
      </c>
      <c r="B10" s="2" t="s">
        <v>1571</v>
      </c>
      <c r="C10" s="2" t="s">
        <v>1640</v>
      </c>
      <c r="D10" s="2" t="s">
        <v>1653</v>
      </c>
      <c r="E10" s="2" t="s">
        <v>1653</v>
      </c>
      <c r="F10" s="2" t="s">
        <v>1572</v>
      </c>
      <c r="G10" s="2" t="n">
        <v>8</v>
      </c>
      <c r="H10" s="2" t="n">
        <v>35</v>
      </c>
      <c r="I10" s="9" t="n">
        <v>3694</v>
      </c>
      <c r="J10" s="9" t="n">
        <v>3196</v>
      </c>
      <c r="K10" s="9" t="n">
        <v>5917</v>
      </c>
      <c r="L10" s="9" t="n">
        <v>2017</v>
      </c>
      <c r="M10" s="9" t="n">
        <v>2048</v>
      </c>
      <c r="N10" s="9" t="n">
        <v>1780</v>
      </c>
      <c r="O10" s="9" t="n">
        <v>18652</v>
      </c>
      <c r="P10" s="2" t="n">
        <v>-52</v>
      </c>
      <c r="Q10" s="2" t="n">
        <f aca="false">IF(I10&gt;0,ROUND((N10-I10)/I10*100,0),"")</f>
        <v>-52</v>
      </c>
      <c r="R10" s="9" t="n">
        <f aca="false">SUM(I10:K10)</f>
        <v>12807</v>
      </c>
      <c r="S10" s="9" t="n">
        <f aca="false">SUM(L10:N10)</f>
        <v>5845</v>
      </c>
      <c r="T10" s="17" t="n">
        <f aca="false">IF(R10&gt;0,S10/R10-1,"")</f>
        <v>-0.543608963847896</v>
      </c>
      <c r="U10" s="2" t="str">
        <f aca="false">IF(AND(R10=0,S10&gt;0),"H2 Active / No H1 GMV",IF(S10=0,"Lapsed",IF(T10&gt;=Assumptions!$B$36,"Growing",IF(T10&lt;-Assumptions!$B$36,"Declining","Stable"))))</f>
        <v>Declining</v>
      </c>
      <c r="V10" s="2" t="n">
        <f aca="false">COUNTIF(I10:N10,"&gt;0")</f>
        <v>6</v>
      </c>
      <c r="W10" s="2" t="str">
        <f aca="false">IF(N10&gt;0,"Feb",IF(M10&gt;0,"Jan",IF(L10&gt;0,"Dec",IF(K10&gt;0,"Nov",IF(J10&gt;0,"Oct","Sep")))))</f>
        <v>Feb</v>
      </c>
      <c r="X10" s="2" t="str">
        <f aca="false">IF(O10&gt;=Assumptions!$B$35,"Key (&gt;=£10k)",IF(O10&gt;=Assumptions!$B$34,"Core (£2k-10k)","Tail (&lt;£2k)"))</f>
        <v>Key (&gt;=£10k)</v>
      </c>
      <c r="Y10" s="21" t="n">
        <f aca="false">INDEX('Scored Accounts'!$Q$2:$Q$301,MATCH(A10,'Scored Accounts'!$A$2:$A$301,0))</f>
        <v>82.5</v>
      </c>
      <c r="Z10" s="2" t="str">
        <f aca="false">INDEX('Scored Accounts'!$R$2:$R$301,MATCH(A10,'Scored Accounts'!$A$2:$A$301,0))</f>
        <v>High</v>
      </c>
      <c r="AA10" s="2" t="str">
        <f aca="false">INDEX('Scored Accounts'!$T$2:$T$301,MATCH(A10,'Scored Accounts'!$A$2:$A$301,0))</f>
        <v/>
      </c>
      <c r="AB10" s="2" t="str">
        <f aca="false">IF(Z10="Low","Lower dep / ","Higher dep / ")&amp;IF(O10&gt;=Assumptions!$B$34,"Higher value","Lower value")</f>
        <v>Higher dep / Higher value</v>
      </c>
    </row>
    <row r="11" customFormat="false" ht="15" hidden="false" customHeight="false" outlineLevel="0" collapsed="false">
      <c r="A11" s="2" t="s">
        <v>171</v>
      </c>
      <c r="B11" s="2" t="s">
        <v>1571</v>
      </c>
      <c r="C11" s="2" t="s">
        <v>1640</v>
      </c>
      <c r="D11" s="2" t="s">
        <v>1657</v>
      </c>
      <c r="E11" s="2" t="s">
        <v>1717</v>
      </c>
      <c r="F11" s="2" t="s">
        <v>1572</v>
      </c>
      <c r="G11" s="2" t="n">
        <v>10</v>
      </c>
      <c r="H11" s="2" t="n">
        <v>13</v>
      </c>
      <c r="I11" s="9" t="n">
        <v>3228</v>
      </c>
      <c r="J11" s="9" t="n">
        <v>4501</v>
      </c>
      <c r="K11" s="9" t="n">
        <v>3421</v>
      </c>
      <c r="L11" s="9" t="n">
        <v>1914</v>
      </c>
      <c r="M11" s="9" t="n">
        <v>2364</v>
      </c>
      <c r="N11" s="9" t="n">
        <v>1598</v>
      </c>
      <c r="O11" s="9" t="n">
        <v>17026</v>
      </c>
      <c r="P11" s="2" t="n">
        <v>-50</v>
      </c>
      <c r="Q11" s="2" t="n">
        <f aca="false">IF(I11&gt;0,ROUND((N11-I11)/I11*100,0),"")</f>
        <v>-50</v>
      </c>
      <c r="R11" s="9" t="n">
        <f aca="false">SUM(I11:K11)</f>
        <v>11150</v>
      </c>
      <c r="S11" s="9" t="n">
        <f aca="false">SUM(L11:N11)</f>
        <v>5876</v>
      </c>
      <c r="T11" s="17" t="n">
        <f aca="false">IF(R11&gt;0,S11/R11-1,"")</f>
        <v>-0.473004484304933</v>
      </c>
      <c r="U11" s="2" t="str">
        <f aca="false">IF(AND(R11=0,S11&gt;0),"H2 Active / No H1 GMV",IF(S11=0,"Lapsed",IF(T11&gt;=Assumptions!$B$36,"Growing",IF(T11&lt;-Assumptions!$B$36,"Declining","Stable"))))</f>
        <v>Declining</v>
      </c>
      <c r="V11" s="2" t="n">
        <f aca="false">COUNTIF(I11:N11,"&gt;0")</f>
        <v>6</v>
      </c>
      <c r="W11" s="2" t="str">
        <f aca="false">IF(N11&gt;0,"Feb",IF(M11&gt;0,"Jan",IF(L11&gt;0,"Dec",IF(K11&gt;0,"Nov",IF(J11&gt;0,"Oct","Sep")))))</f>
        <v>Feb</v>
      </c>
      <c r="X11" s="2" t="str">
        <f aca="false">IF(O11&gt;=Assumptions!$B$35,"Key (&gt;=£10k)",IF(O11&gt;=Assumptions!$B$34,"Core (£2k-10k)","Tail (&lt;£2k)"))</f>
        <v>Key (&gt;=£10k)</v>
      </c>
      <c r="Y11" s="21" t="n">
        <f aca="false">INDEX('Scored Accounts'!$Q$2:$Q$301,MATCH(A11,'Scored Accounts'!$A$2:$A$301,0))</f>
        <v>87.5</v>
      </c>
      <c r="Z11" s="2" t="str">
        <f aca="false">INDEX('Scored Accounts'!$R$2:$R$301,MATCH(A11,'Scored Accounts'!$A$2:$A$301,0))</f>
        <v>High</v>
      </c>
      <c r="AA11" s="2" t="str">
        <f aca="false">INDEX('Scored Accounts'!$T$2:$T$301,MATCH(A11,'Scored Accounts'!$A$2:$A$301,0))</f>
        <v/>
      </c>
      <c r="AB11" s="2" t="str">
        <f aca="false">IF(Z11="Low","Lower dep / ","Higher dep / ")&amp;IF(O11&gt;=Assumptions!$B$34,"Higher value","Lower value")</f>
        <v>Higher dep / Higher value</v>
      </c>
    </row>
    <row r="12" customFormat="false" ht="15" hidden="false" customHeight="false" outlineLevel="0" collapsed="false">
      <c r="A12" s="2" t="s">
        <v>342</v>
      </c>
      <c r="B12" s="2" t="s">
        <v>1571</v>
      </c>
      <c r="C12" s="2" t="s">
        <v>1640</v>
      </c>
      <c r="D12" s="2" t="s">
        <v>1658</v>
      </c>
      <c r="E12" s="2" t="s">
        <v>1658</v>
      </c>
      <c r="F12" s="2" t="s">
        <v>1572</v>
      </c>
      <c r="G12" s="2" t="n">
        <v>34</v>
      </c>
      <c r="H12" s="2" t="n">
        <v>1</v>
      </c>
      <c r="I12" s="9" t="n">
        <v>0</v>
      </c>
      <c r="J12" s="9" t="n">
        <v>0</v>
      </c>
      <c r="K12" s="9" t="n">
        <v>0</v>
      </c>
      <c r="L12" s="9" t="n">
        <v>15600</v>
      </c>
      <c r="M12" s="9" t="n">
        <v>0</v>
      </c>
      <c r="N12" s="9" t="n">
        <v>0</v>
      </c>
      <c r="O12" s="9" t="n">
        <v>15600</v>
      </c>
      <c r="P12" s="2"/>
      <c r="Q12" s="2" t="str">
        <f aca="false">IF(I12&gt;0,ROUND((N12-I12)/I12*100,0),"")</f>
        <v/>
      </c>
      <c r="R12" s="9" t="n">
        <f aca="false">SUM(I12:K12)</f>
        <v>0</v>
      </c>
      <c r="S12" s="9" t="n">
        <f aca="false">SUM(L12:N12)</f>
        <v>15600</v>
      </c>
      <c r="T12" s="17" t="str">
        <f aca="false">IF(R12&gt;0,S12/R12-1,"")</f>
        <v/>
      </c>
      <c r="U12" s="2" t="str">
        <f aca="false">IF(AND(R12=0,S12&gt;0),"H2 Active / No H1 GMV",IF(S12=0,"Lapsed",IF(T12&gt;=Assumptions!$B$36,"Growing",IF(T12&lt;-Assumptions!$B$36,"Declining","Stable"))))</f>
        <v>H2 Active / No H1 GMV</v>
      </c>
      <c r="V12" s="2" t="n">
        <f aca="false">COUNTIF(I12:N12,"&gt;0")</f>
        <v>1</v>
      </c>
      <c r="W12" s="2" t="str">
        <f aca="false">IF(N12&gt;0,"Feb",IF(M12&gt;0,"Jan",IF(L12&gt;0,"Dec",IF(K12&gt;0,"Nov",IF(J12&gt;0,"Oct","Sep")))))</f>
        <v>Dec</v>
      </c>
      <c r="X12" s="2" t="str">
        <f aca="false">IF(O12&gt;=Assumptions!$B$35,"Key (&gt;=£10k)",IF(O12&gt;=Assumptions!$B$34,"Core (£2k-10k)","Tail (&lt;£2k)"))</f>
        <v>Key (&gt;=£10k)</v>
      </c>
      <c r="Y12" s="21" t="n">
        <f aca="false">INDEX('Scored Accounts'!$Q$2:$Q$301,MATCH(A12,'Scored Accounts'!$A$2:$A$301,0))</f>
        <v>62.5</v>
      </c>
      <c r="Z12" s="2" t="str">
        <f aca="false">INDEX('Scored Accounts'!$R$2:$R$301,MATCH(A12,'Scored Accounts'!$A$2:$A$301,0))</f>
        <v>Medium</v>
      </c>
      <c r="AA12" s="2" t="str">
        <f aca="false">INDEX('Scored Accounts'!$T$2:$T$301,MATCH(A12,'Scored Accounts'!$A$2:$A$301,0))</f>
        <v>Low confidence</v>
      </c>
      <c r="AB12" s="2" t="str">
        <f aca="false">IF(Z12="Low","Lower dep / ","Higher dep / ")&amp;IF(O12&gt;=Assumptions!$B$34,"Higher value","Lower value")</f>
        <v>Higher dep / Higher value</v>
      </c>
    </row>
    <row r="13" customFormat="false" ht="15" hidden="false" customHeight="false" outlineLevel="0" collapsed="false">
      <c r="A13" s="2" t="s">
        <v>357</v>
      </c>
      <c r="B13" s="2" t="s">
        <v>1571</v>
      </c>
      <c r="C13" s="2" t="s">
        <v>1640</v>
      </c>
      <c r="D13" s="2" t="s">
        <v>1653</v>
      </c>
      <c r="E13" s="2" t="s">
        <v>1653</v>
      </c>
      <c r="F13" s="2" t="s">
        <v>1572</v>
      </c>
      <c r="G13" s="2" t="n">
        <v>17</v>
      </c>
      <c r="H13" s="2" t="n">
        <v>28</v>
      </c>
      <c r="I13" s="9" t="n">
        <v>1681</v>
      </c>
      <c r="J13" s="9" t="n">
        <v>1766</v>
      </c>
      <c r="K13" s="9" t="n">
        <v>2679</v>
      </c>
      <c r="L13" s="9" t="n">
        <v>3680</v>
      </c>
      <c r="M13" s="9" t="n">
        <v>2432</v>
      </c>
      <c r="N13" s="9" t="n">
        <v>2373</v>
      </c>
      <c r="O13" s="9" t="n">
        <v>14611</v>
      </c>
      <c r="P13" s="2" t="n">
        <v>41</v>
      </c>
      <c r="Q13" s="2" t="n">
        <f aca="false">IF(I13&gt;0,ROUND((N13-I13)/I13*100,0),"")</f>
        <v>41</v>
      </c>
      <c r="R13" s="9" t="n">
        <f aca="false">SUM(I13:K13)</f>
        <v>6126</v>
      </c>
      <c r="S13" s="9" t="n">
        <f aca="false">SUM(L13:N13)</f>
        <v>8485</v>
      </c>
      <c r="T13" s="17" t="n">
        <f aca="false">IF(R13&gt;0,S13/R13-1,"")</f>
        <v>0.385079986940908</v>
      </c>
      <c r="U13" s="2" t="str">
        <f aca="false">IF(AND(R13=0,S13&gt;0),"H2 Active / No H1 GMV",IF(S13=0,"Lapsed",IF(T13&gt;=Assumptions!$B$36,"Growing",IF(T13&lt;-Assumptions!$B$36,"Declining","Stable"))))</f>
        <v>Growing</v>
      </c>
      <c r="V13" s="2" t="n">
        <f aca="false">COUNTIF(I13:N13,"&gt;0")</f>
        <v>6</v>
      </c>
      <c r="W13" s="2" t="str">
        <f aca="false">IF(N13&gt;0,"Feb",IF(M13&gt;0,"Jan",IF(L13&gt;0,"Dec",IF(K13&gt;0,"Nov",IF(J13&gt;0,"Oct","Sep")))))</f>
        <v>Feb</v>
      </c>
      <c r="X13" s="2" t="str">
        <f aca="false">IF(O13&gt;=Assumptions!$B$35,"Key (&gt;=£10k)",IF(O13&gt;=Assumptions!$B$34,"Core (£2k-10k)","Tail (&lt;£2k)"))</f>
        <v>Key (&gt;=£10k)</v>
      </c>
      <c r="Y13" s="21" t="n">
        <f aca="false">INDEX('Scored Accounts'!$Q$2:$Q$301,MATCH(A13,'Scored Accounts'!$A$2:$A$301,0))</f>
        <v>75</v>
      </c>
      <c r="Z13" s="2" t="str">
        <f aca="false">INDEX('Scored Accounts'!$R$2:$R$301,MATCH(A13,'Scored Accounts'!$A$2:$A$301,0))</f>
        <v>High</v>
      </c>
      <c r="AA13" s="2" t="str">
        <f aca="false">INDEX('Scored Accounts'!$T$2:$T$301,MATCH(A13,'Scored Accounts'!$A$2:$A$301,0))</f>
        <v/>
      </c>
      <c r="AB13" s="2" t="str">
        <f aca="false">IF(Z13="Low","Lower dep / ","Higher dep / ")&amp;IF(O13&gt;=Assumptions!$B$34,"Higher value","Lower value")</f>
        <v>Higher dep / Higher value</v>
      </c>
    </row>
    <row r="14" customFormat="false" ht="15" hidden="false" customHeight="false" outlineLevel="0" collapsed="false">
      <c r="A14" s="2" t="s">
        <v>175</v>
      </c>
      <c r="B14" s="2" t="s">
        <v>1571</v>
      </c>
      <c r="C14" s="2" t="s">
        <v>1640</v>
      </c>
      <c r="D14" s="2" t="s">
        <v>1653</v>
      </c>
      <c r="E14" s="2" t="s">
        <v>1653</v>
      </c>
      <c r="F14" s="2" t="s">
        <v>1572</v>
      </c>
      <c r="G14" s="2" t="n">
        <v>17</v>
      </c>
      <c r="H14" s="2" t="n">
        <v>21</v>
      </c>
      <c r="I14" s="9" t="n">
        <v>1643</v>
      </c>
      <c r="J14" s="9" t="n">
        <v>3907</v>
      </c>
      <c r="K14" s="9" t="n">
        <v>4416</v>
      </c>
      <c r="L14" s="9" t="n">
        <v>1703</v>
      </c>
      <c r="M14" s="9" t="n">
        <v>0</v>
      </c>
      <c r="N14" s="9" t="n">
        <v>2647</v>
      </c>
      <c r="O14" s="9" t="n">
        <v>14315</v>
      </c>
      <c r="P14" s="2" t="n">
        <v>61</v>
      </c>
      <c r="Q14" s="2" t="n">
        <f aca="false">IF(I14&gt;0,ROUND((N14-I14)/I14*100,0),"")</f>
        <v>61</v>
      </c>
      <c r="R14" s="9" t="n">
        <f aca="false">SUM(I14:K14)</f>
        <v>9966</v>
      </c>
      <c r="S14" s="9" t="n">
        <f aca="false">SUM(L14:N14)</f>
        <v>4350</v>
      </c>
      <c r="T14" s="17" t="n">
        <f aca="false">IF(R14&gt;0,S14/R14-1,"")</f>
        <v>-0.563515954244431</v>
      </c>
      <c r="U14" s="2" t="str">
        <f aca="false">IF(AND(R14=0,S14&gt;0),"H2 Active / No H1 GMV",IF(S14=0,"Lapsed",IF(T14&gt;=Assumptions!$B$36,"Growing",IF(T14&lt;-Assumptions!$B$36,"Declining","Stable"))))</f>
        <v>Declining</v>
      </c>
      <c r="V14" s="2" t="n">
        <f aca="false">COUNTIF(I14:N14,"&gt;0")</f>
        <v>5</v>
      </c>
      <c r="W14" s="2" t="str">
        <f aca="false">IF(N14&gt;0,"Feb",IF(M14&gt;0,"Jan",IF(L14&gt;0,"Dec",IF(K14&gt;0,"Nov",IF(J14&gt;0,"Oct","Sep")))))</f>
        <v>Feb</v>
      </c>
      <c r="X14" s="2" t="str">
        <f aca="false">IF(O14&gt;=Assumptions!$B$35,"Key (&gt;=£10k)",IF(O14&gt;=Assumptions!$B$34,"Core (£2k-10k)","Tail (&lt;£2k)"))</f>
        <v>Key (&gt;=£10k)</v>
      </c>
      <c r="Y14" s="21" t="n">
        <f aca="false">INDEX('Scored Accounts'!$Q$2:$Q$301,MATCH(A14,'Scored Accounts'!$A$2:$A$301,0))</f>
        <v>62.5</v>
      </c>
      <c r="Z14" s="2" t="str">
        <f aca="false">INDEX('Scored Accounts'!$R$2:$R$301,MATCH(A14,'Scored Accounts'!$A$2:$A$301,0))</f>
        <v>Medium</v>
      </c>
      <c r="AA14" s="2" t="str">
        <f aca="false">INDEX('Scored Accounts'!$T$2:$T$301,MATCH(A14,'Scored Accounts'!$A$2:$A$301,0))</f>
        <v/>
      </c>
      <c r="AB14" s="2" t="str">
        <f aca="false">IF(Z14="Low","Lower dep / ","Higher dep / ")&amp;IF(O14&gt;=Assumptions!$B$34,"Higher value","Lower value")</f>
        <v>Higher dep / Higher value</v>
      </c>
    </row>
    <row r="15" customFormat="false" ht="15" hidden="false" customHeight="false" outlineLevel="0" collapsed="false">
      <c r="A15" s="2" t="s">
        <v>189</v>
      </c>
      <c r="B15" s="2" t="s">
        <v>1571</v>
      </c>
      <c r="C15" s="2" t="s">
        <v>1640</v>
      </c>
      <c r="D15" s="2" t="s">
        <v>1654</v>
      </c>
      <c r="E15" s="2" t="s">
        <v>1654</v>
      </c>
      <c r="F15" s="2" t="s">
        <v>1572</v>
      </c>
      <c r="G15" s="2" t="n">
        <v>8</v>
      </c>
      <c r="H15" s="2" t="n">
        <v>27</v>
      </c>
      <c r="I15" s="9" t="n">
        <v>2466</v>
      </c>
      <c r="J15" s="9" t="n">
        <v>2261</v>
      </c>
      <c r="K15" s="9" t="n">
        <v>2333</v>
      </c>
      <c r="L15" s="9" t="n">
        <v>1470</v>
      </c>
      <c r="M15" s="9" t="n">
        <v>1789</v>
      </c>
      <c r="N15" s="9" t="n">
        <v>1402</v>
      </c>
      <c r="O15" s="9" t="n">
        <v>11721</v>
      </c>
      <c r="P15" s="2" t="n">
        <v>-43</v>
      </c>
      <c r="Q15" s="2" t="n">
        <f aca="false">IF(I15&gt;0,ROUND((N15-I15)/I15*100,0),"")</f>
        <v>-43</v>
      </c>
      <c r="R15" s="9" t="n">
        <f aca="false">SUM(I15:K15)</f>
        <v>7060</v>
      </c>
      <c r="S15" s="9" t="n">
        <f aca="false">SUM(L15:N15)</f>
        <v>4661</v>
      </c>
      <c r="T15" s="17" t="n">
        <f aca="false">IF(R15&gt;0,S15/R15-1,"")</f>
        <v>-0.339801699716714</v>
      </c>
      <c r="U15" s="2" t="str">
        <f aca="false">IF(AND(R15=0,S15&gt;0),"H2 Active / No H1 GMV",IF(S15=0,"Lapsed",IF(T15&gt;=Assumptions!$B$36,"Growing",IF(T15&lt;-Assumptions!$B$36,"Declining","Stable"))))</f>
        <v>Declining</v>
      </c>
      <c r="V15" s="2" t="n">
        <f aca="false">COUNTIF(I15:N15,"&gt;0")</f>
        <v>6</v>
      </c>
      <c r="W15" s="2" t="str">
        <f aca="false">IF(N15&gt;0,"Feb",IF(M15&gt;0,"Jan",IF(L15&gt;0,"Dec",IF(K15&gt;0,"Nov",IF(J15&gt;0,"Oct","Sep")))))</f>
        <v>Feb</v>
      </c>
      <c r="X15" s="2" t="str">
        <f aca="false">IF(O15&gt;=Assumptions!$B$35,"Key (&gt;=£10k)",IF(O15&gt;=Assumptions!$B$34,"Core (£2k-10k)","Tail (&lt;£2k)"))</f>
        <v>Key (&gt;=£10k)</v>
      </c>
      <c r="Y15" s="21" t="n">
        <f aca="false">INDEX('Scored Accounts'!$Q$2:$Q$301,MATCH(A15,'Scored Accounts'!$A$2:$A$301,0))</f>
        <v>92.5</v>
      </c>
      <c r="Z15" s="2" t="str">
        <f aca="false">INDEX('Scored Accounts'!$R$2:$R$301,MATCH(A15,'Scored Accounts'!$A$2:$A$301,0))</f>
        <v>High</v>
      </c>
      <c r="AA15" s="2" t="str">
        <f aca="false">INDEX('Scored Accounts'!$T$2:$T$301,MATCH(A15,'Scored Accounts'!$A$2:$A$301,0))</f>
        <v/>
      </c>
      <c r="AB15" s="2" t="str">
        <f aca="false">IF(Z15="Low","Lower dep / ","Higher dep / ")&amp;IF(O15&gt;=Assumptions!$B$34,"Higher value","Lower value")</f>
        <v>Higher dep / Higher value</v>
      </c>
    </row>
    <row r="16" customFormat="false" ht="15" hidden="false" customHeight="false" outlineLevel="0" collapsed="false">
      <c r="A16" s="2" t="s">
        <v>192</v>
      </c>
      <c r="B16" s="2" t="s">
        <v>1571</v>
      </c>
      <c r="C16" s="2" t="s">
        <v>1640</v>
      </c>
      <c r="D16" s="2" t="s">
        <v>1653</v>
      </c>
      <c r="E16" s="2" t="s">
        <v>1653</v>
      </c>
      <c r="F16" s="2" t="s">
        <v>1572</v>
      </c>
      <c r="G16" s="2" t="n">
        <v>13</v>
      </c>
      <c r="H16" s="2" t="n">
        <v>8</v>
      </c>
      <c r="I16" s="9" t="n">
        <v>7711</v>
      </c>
      <c r="J16" s="9" t="n">
        <v>1040</v>
      </c>
      <c r="K16" s="9" t="n">
        <v>2730</v>
      </c>
      <c r="L16" s="9" t="n">
        <v>0</v>
      </c>
      <c r="M16" s="9" t="n">
        <v>0</v>
      </c>
      <c r="N16" s="9" t="n">
        <v>0</v>
      </c>
      <c r="O16" s="9" t="n">
        <v>11481</v>
      </c>
      <c r="P16" s="2" t="n">
        <v>-100</v>
      </c>
      <c r="Q16" s="2" t="n">
        <f aca="false">IF(I16&gt;0,ROUND((N16-I16)/I16*100,0),"")</f>
        <v>-100</v>
      </c>
      <c r="R16" s="9" t="n">
        <f aca="false">SUM(I16:K16)</f>
        <v>11481</v>
      </c>
      <c r="S16" s="9" t="n">
        <f aca="false">SUM(L16:N16)</f>
        <v>0</v>
      </c>
      <c r="T16" s="17" t="n">
        <f aca="false">IF(R16&gt;0,S16/R16-1,"")</f>
        <v>-1</v>
      </c>
      <c r="U16" s="2" t="str">
        <f aca="false">IF(AND(R16=0,S16&gt;0),"H2 Active / No H1 GMV",IF(S16=0,"Lapsed",IF(T16&gt;=Assumptions!$B$36,"Growing",IF(T16&lt;-Assumptions!$B$36,"Declining","Stable"))))</f>
        <v>Lapsed</v>
      </c>
      <c r="V16" s="2" t="n">
        <f aca="false">COUNTIF(I16:N16,"&gt;0")</f>
        <v>3</v>
      </c>
      <c r="W16" s="2" t="str">
        <f aca="false">IF(N16&gt;0,"Feb",IF(M16&gt;0,"Jan",IF(L16&gt;0,"Dec",IF(K16&gt;0,"Nov",IF(J16&gt;0,"Oct","Sep")))))</f>
        <v>Nov</v>
      </c>
      <c r="X16" s="2" t="str">
        <f aca="false">IF(O16&gt;=Assumptions!$B$35,"Key (&gt;=£10k)",IF(O16&gt;=Assumptions!$B$34,"Core (£2k-10k)","Tail (&lt;£2k)"))</f>
        <v>Key (&gt;=£10k)</v>
      </c>
      <c r="Y16" s="21" t="n">
        <f aca="false">INDEX('Scored Accounts'!$Q$2:$Q$301,MATCH(A16,'Scored Accounts'!$A$2:$A$301,0))</f>
        <v>75</v>
      </c>
      <c r="Z16" s="2" t="str">
        <f aca="false">INDEX('Scored Accounts'!$R$2:$R$301,MATCH(A16,'Scored Accounts'!$A$2:$A$301,0))</f>
        <v>High</v>
      </c>
      <c r="AA16" s="2" t="str">
        <f aca="false">INDEX('Scored Accounts'!$T$2:$T$301,MATCH(A16,'Scored Accounts'!$A$2:$A$301,0))</f>
        <v/>
      </c>
      <c r="AB16" s="2" t="str">
        <f aca="false">IF(Z16="Low","Lower dep / ","Higher dep / ")&amp;IF(O16&gt;=Assumptions!$B$34,"Higher value","Lower value")</f>
        <v>Higher dep / Higher value</v>
      </c>
    </row>
    <row r="17" customFormat="false" ht="15" hidden="false" customHeight="false" outlineLevel="0" collapsed="false">
      <c r="A17" s="2" t="s">
        <v>361</v>
      </c>
      <c r="B17" s="2" t="s">
        <v>1571</v>
      </c>
      <c r="C17" s="2" t="s">
        <v>1640</v>
      </c>
      <c r="D17" s="2" t="s">
        <v>1656</v>
      </c>
      <c r="E17" s="2" t="s">
        <v>1714</v>
      </c>
      <c r="F17" s="2" t="s">
        <v>1572</v>
      </c>
      <c r="G17" s="2" t="n">
        <v>10</v>
      </c>
      <c r="H17" s="2" t="n">
        <v>26</v>
      </c>
      <c r="I17" s="9" t="n">
        <v>1496</v>
      </c>
      <c r="J17" s="9" t="n">
        <v>2370</v>
      </c>
      <c r="K17" s="9" t="n">
        <v>351</v>
      </c>
      <c r="L17" s="9" t="n">
        <v>4431</v>
      </c>
      <c r="M17" s="9" t="n">
        <v>2604</v>
      </c>
      <c r="N17" s="9" t="n">
        <v>0</v>
      </c>
      <c r="O17" s="9" t="n">
        <v>11252</v>
      </c>
      <c r="P17" s="2" t="n">
        <v>-100</v>
      </c>
      <c r="Q17" s="2" t="n">
        <f aca="false">IF(I17&gt;0,ROUND((N17-I17)/I17*100,0),"")</f>
        <v>-100</v>
      </c>
      <c r="R17" s="9" t="n">
        <f aca="false">SUM(I17:K17)</f>
        <v>4217</v>
      </c>
      <c r="S17" s="9" t="n">
        <f aca="false">SUM(L17:N17)</f>
        <v>7035</v>
      </c>
      <c r="T17" s="17" t="n">
        <f aca="false">IF(R17&gt;0,S17/R17-1,"")</f>
        <v>0.668247569362106</v>
      </c>
      <c r="U17" s="2" t="str">
        <f aca="false">IF(AND(R17=0,S17&gt;0),"H2 Active / No H1 GMV",IF(S17=0,"Lapsed",IF(T17&gt;=Assumptions!$B$36,"Growing",IF(T17&lt;-Assumptions!$B$36,"Declining","Stable"))))</f>
        <v>Growing</v>
      </c>
      <c r="V17" s="2" t="n">
        <f aca="false">COUNTIF(I17:N17,"&gt;0")</f>
        <v>5</v>
      </c>
      <c r="W17" s="2" t="str">
        <f aca="false">IF(N17&gt;0,"Feb",IF(M17&gt;0,"Jan",IF(L17&gt;0,"Dec",IF(K17&gt;0,"Nov",IF(J17&gt;0,"Oct","Sep")))))</f>
        <v>Jan</v>
      </c>
      <c r="X17" s="2" t="str">
        <f aca="false">IF(O17&gt;=Assumptions!$B$35,"Key (&gt;=£10k)",IF(O17&gt;=Assumptions!$B$34,"Core (£2k-10k)","Tail (&lt;£2k)"))</f>
        <v>Key (&gt;=£10k)</v>
      </c>
      <c r="Y17" s="21" t="n">
        <f aca="false">INDEX('Scored Accounts'!$Q$2:$Q$301,MATCH(A17,'Scored Accounts'!$A$2:$A$301,0))</f>
        <v>82.5</v>
      </c>
      <c r="Z17" s="2" t="str">
        <f aca="false">INDEX('Scored Accounts'!$R$2:$R$301,MATCH(A17,'Scored Accounts'!$A$2:$A$301,0))</f>
        <v>High</v>
      </c>
      <c r="AA17" s="2" t="str">
        <f aca="false">INDEX('Scored Accounts'!$T$2:$T$301,MATCH(A17,'Scored Accounts'!$A$2:$A$301,0))</f>
        <v/>
      </c>
      <c r="AB17" s="2" t="str">
        <f aca="false">IF(Z17="Low","Lower dep / ","Higher dep / ")&amp;IF(O17&gt;=Assumptions!$B$34,"Higher value","Lower value")</f>
        <v>Higher dep / Higher value</v>
      </c>
    </row>
    <row r="18" customFormat="false" ht="15" hidden="false" customHeight="false" outlineLevel="0" collapsed="false">
      <c r="A18" s="2" t="s">
        <v>199</v>
      </c>
      <c r="B18" s="2" t="s">
        <v>1571</v>
      </c>
      <c r="C18" s="2" t="s">
        <v>1640</v>
      </c>
      <c r="D18" s="2" t="s">
        <v>1653</v>
      </c>
      <c r="E18" s="2" t="s">
        <v>1653</v>
      </c>
      <c r="F18" s="2" t="s">
        <v>1572</v>
      </c>
      <c r="G18" s="2" t="n">
        <v>18</v>
      </c>
      <c r="H18" s="2" t="n">
        <v>37</v>
      </c>
      <c r="I18" s="9" t="n">
        <v>3693</v>
      </c>
      <c r="J18" s="9" t="n">
        <v>3067</v>
      </c>
      <c r="K18" s="9" t="n">
        <v>951</v>
      </c>
      <c r="L18" s="9" t="n">
        <v>0</v>
      </c>
      <c r="M18" s="9" t="n">
        <v>2899</v>
      </c>
      <c r="N18" s="9" t="n">
        <v>339</v>
      </c>
      <c r="O18" s="9" t="n">
        <v>10950</v>
      </c>
      <c r="P18" s="2" t="n">
        <v>-91</v>
      </c>
      <c r="Q18" s="2" t="n">
        <f aca="false">IF(I18&gt;0,ROUND((N18-I18)/I18*100,0),"")</f>
        <v>-91</v>
      </c>
      <c r="R18" s="9" t="n">
        <f aca="false">SUM(I18:K18)</f>
        <v>7711</v>
      </c>
      <c r="S18" s="9" t="n">
        <f aca="false">SUM(L18:N18)</f>
        <v>3238</v>
      </c>
      <c r="T18" s="17" t="n">
        <f aca="false">IF(R18&gt;0,S18/R18-1,"")</f>
        <v>-0.580080404616781</v>
      </c>
      <c r="U18" s="2" t="str">
        <f aca="false">IF(AND(R18=0,S18&gt;0),"H2 Active / No H1 GMV",IF(S18=0,"Lapsed",IF(T18&gt;=Assumptions!$B$36,"Growing",IF(T18&lt;-Assumptions!$B$36,"Declining","Stable"))))</f>
        <v>Declining</v>
      </c>
      <c r="V18" s="2" t="n">
        <f aca="false">COUNTIF(I18:N18,"&gt;0")</f>
        <v>5</v>
      </c>
      <c r="W18" s="2" t="str">
        <f aca="false">IF(N18&gt;0,"Feb",IF(M18&gt;0,"Jan",IF(L18&gt;0,"Dec",IF(K18&gt;0,"Nov",IF(J18&gt;0,"Oct","Sep")))))</f>
        <v>Feb</v>
      </c>
      <c r="X18" s="2" t="str">
        <f aca="false">IF(O18&gt;=Assumptions!$B$35,"Key (&gt;=£10k)",IF(O18&gt;=Assumptions!$B$34,"Core (£2k-10k)","Tail (&lt;£2k)"))</f>
        <v>Key (&gt;=£10k)</v>
      </c>
      <c r="Y18" s="21" t="n">
        <f aca="false">INDEX('Scored Accounts'!$Q$2:$Q$301,MATCH(A18,'Scored Accounts'!$A$2:$A$301,0))</f>
        <v>82.5</v>
      </c>
      <c r="Z18" s="2" t="str">
        <f aca="false">INDEX('Scored Accounts'!$R$2:$R$301,MATCH(A18,'Scored Accounts'!$A$2:$A$301,0))</f>
        <v>High</v>
      </c>
      <c r="AA18" s="2" t="str">
        <f aca="false">INDEX('Scored Accounts'!$T$2:$T$301,MATCH(A18,'Scored Accounts'!$A$2:$A$301,0))</f>
        <v/>
      </c>
      <c r="AB18" s="2" t="str">
        <f aca="false">IF(Z18="Low","Lower dep / ","Higher dep / ")&amp;IF(O18&gt;=Assumptions!$B$34,"Higher value","Lower value")</f>
        <v>Higher dep / Higher value</v>
      </c>
    </row>
    <row r="19" customFormat="false" ht="15" hidden="false" customHeight="false" outlineLevel="0" collapsed="false">
      <c r="A19" s="2" t="s">
        <v>202</v>
      </c>
      <c r="B19" s="2" t="s">
        <v>1571</v>
      </c>
      <c r="C19" s="2" t="s">
        <v>1640</v>
      </c>
      <c r="D19" s="2" t="s">
        <v>1653</v>
      </c>
      <c r="E19" s="2" t="s">
        <v>1653</v>
      </c>
      <c r="F19" s="2" t="s">
        <v>1572</v>
      </c>
      <c r="G19" s="2" t="n">
        <v>10</v>
      </c>
      <c r="H19" s="2" t="n">
        <v>11</v>
      </c>
      <c r="I19" s="9" t="n">
        <v>1690</v>
      </c>
      <c r="J19" s="9" t="n">
        <v>2229</v>
      </c>
      <c r="K19" s="9" t="n">
        <v>1686</v>
      </c>
      <c r="L19" s="9" t="n">
        <v>1901</v>
      </c>
      <c r="M19" s="9" t="n">
        <v>1109</v>
      </c>
      <c r="N19" s="9" t="n">
        <v>0</v>
      </c>
      <c r="O19" s="9" t="n">
        <v>8613</v>
      </c>
      <c r="P19" s="2" t="n">
        <v>-100</v>
      </c>
      <c r="Q19" s="2" t="n">
        <f aca="false">IF(I19&gt;0,ROUND((N19-I19)/I19*100,0),"")</f>
        <v>-100</v>
      </c>
      <c r="R19" s="9" t="n">
        <f aca="false">SUM(I19:K19)</f>
        <v>5605</v>
      </c>
      <c r="S19" s="9" t="n">
        <f aca="false">SUM(L19:N19)</f>
        <v>3010</v>
      </c>
      <c r="T19" s="17" t="n">
        <f aca="false">IF(R19&gt;0,S19/R19-1,"")</f>
        <v>-0.462979482604817</v>
      </c>
      <c r="U19" s="2" t="str">
        <f aca="false">IF(AND(R19=0,S19&gt;0),"H2 Active / No H1 GMV",IF(S19=0,"Lapsed",IF(T19&gt;=Assumptions!$B$36,"Growing",IF(T19&lt;-Assumptions!$B$36,"Declining","Stable"))))</f>
        <v>Declining</v>
      </c>
      <c r="V19" s="2" t="n">
        <f aca="false">COUNTIF(I19:N19,"&gt;0")</f>
        <v>5</v>
      </c>
      <c r="W19" s="2" t="str">
        <f aca="false">IF(N19&gt;0,"Feb",IF(M19&gt;0,"Jan",IF(L19&gt;0,"Dec",IF(K19&gt;0,"Nov",IF(J19&gt;0,"Oct","Sep")))))</f>
        <v>Jan</v>
      </c>
      <c r="X19" s="2" t="str">
        <f aca="false">IF(O19&gt;=Assumptions!$B$35,"Key (&gt;=£10k)",IF(O19&gt;=Assumptions!$B$34,"Core (£2k-10k)","Tail (&lt;£2k)"))</f>
        <v>Core (£2k-10k)</v>
      </c>
      <c r="Y19" s="21" t="n">
        <f aca="false">INDEX('Scored Accounts'!$Q$2:$Q$301,MATCH(A19,'Scored Accounts'!$A$2:$A$301,0))</f>
        <v>87.5</v>
      </c>
      <c r="Z19" s="2" t="str">
        <f aca="false">INDEX('Scored Accounts'!$R$2:$R$301,MATCH(A19,'Scored Accounts'!$A$2:$A$301,0))</f>
        <v>High</v>
      </c>
      <c r="AA19" s="2" t="str">
        <f aca="false">INDEX('Scored Accounts'!$T$2:$T$301,MATCH(A19,'Scored Accounts'!$A$2:$A$301,0))</f>
        <v/>
      </c>
      <c r="AB19" s="2" t="str">
        <f aca="false">IF(Z19="Low","Lower dep / ","Higher dep / ")&amp;IF(O19&gt;=Assumptions!$B$34,"Higher value","Lower value")</f>
        <v>Higher dep / Higher value</v>
      </c>
    </row>
    <row r="20" customFormat="false" ht="15" hidden="false" customHeight="false" outlineLevel="0" collapsed="false">
      <c r="A20" s="2" t="s">
        <v>380</v>
      </c>
      <c r="B20" s="2" t="s">
        <v>1571</v>
      </c>
      <c r="C20" s="2" t="s">
        <v>1640</v>
      </c>
      <c r="D20" s="2" t="s">
        <v>1654</v>
      </c>
      <c r="E20" s="2" t="s">
        <v>1654</v>
      </c>
      <c r="F20" s="2" t="s">
        <v>1572</v>
      </c>
      <c r="G20" s="2" t="n">
        <v>10</v>
      </c>
      <c r="H20" s="2" t="n">
        <v>7</v>
      </c>
      <c r="I20" s="9" t="n">
        <v>0</v>
      </c>
      <c r="J20" s="9" t="n">
        <v>639</v>
      </c>
      <c r="K20" s="9" t="n">
        <v>807</v>
      </c>
      <c r="L20" s="9" t="n">
        <v>937</v>
      </c>
      <c r="M20" s="9" t="n">
        <v>1609</v>
      </c>
      <c r="N20" s="9" t="n">
        <v>3723</v>
      </c>
      <c r="O20" s="9" t="n">
        <v>7716</v>
      </c>
      <c r="P20" s="2"/>
      <c r="Q20" s="2" t="str">
        <f aca="false">IF(I20&gt;0,ROUND((N20-I20)/I20*100,0),"")</f>
        <v/>
      </c>
      <c r="R20" s="9" t="n">
        <f aca="false">SUM(I20:K20)</f>
        <v>1446</v>
      </c>
      <c r="S20" s="9" t="n">
        <f aca="false">SUM(L20:N20)</f>
        <v>6269</v>
      </c>
      <c r="T20" s="17" t="n">
        <f aca="false">IF(R20&gt;0,S20/R20-1,"")</f>
        <v>3.33540802213001</v>
      </c>
      <c r="U20" s="2" t="str">
        <f aca="false">IF(AND(R20=0,S20&gt;0),"H2 Active / No H1 GMV",IF(S20=0,"Lapsed",IF(T20&gt;=Assumptions!$B$36,"Growing",IF(T20&lt;-Assumptions!$B$36,"Declining","Stable"))))</f>
        <v>Growing</v>
      </c>
      <c r="V20" s="2" t="n">
        <f aca="false">COUNTIF(I20:N20,"&gt;0")</f>
        <v>5</v>
      </c>
      <c r="W20" s="2" t="str">
        <f aca="false">IF(N20&gt;0,"Feb",IF(M20&gt;0,"Jan",IF(L20&gt;0,"Dec",IF(K20&gt;0,"Nov",IF(J20&gt;0,"Oct","Sep")))))</f>
        <v>Feb</v>
      </c>
      <c r="X20" s="2" t="str">
        <f aca="false">IF(O20&gt;=Assumptions!$B$35,"Key (&gt;=£10k)",IF(O20&gt;=Assumptions!$B$34,"Core (£2k-10k)","Tail (&lt;£2k)"))</f>
        <v>Core (£2k-10k)</v>
      </c>
      <c r="Y20" s="21" t="n">
        <f aca="false">INDEX('Scored Accounts'!$Q$2:$Q$301,MATCH(A20,'Scored Accounts'!$A$2:$A$301,0))</f>
        <v>70</v>
      </c>
      <c r="Z20" s="2" t="str">
        <f aca="false">INDEX('Scored Accounts'!$R$2:$R$301,MATCH(A20,'Scored Accounts'!$A$2:$A$301,0))</f>
        <v>High</v>
      </c>
      <c r="AA20" s="2" t="str">
        <f aca="false">INDEX('Scored Accounts'!$T$2:$T$301,MATCH(A20,'Scored Accounts'!$A$2:$A$301,0))</f>
        <v/>
      </c>
      <c r="AB20" s="2" t="str">
        <f aca="false">IF(Z20="Low","Lower dep / ","Higher dep / ")&amp;IF(O20&gt;=Assumptions!$B$34,"Higher value","Lower value")</f>
        <v>Higher dep / Higher value</v>
      </c>
    </row>
    <row r="21" customFormat="false" ht="15" hidden="false" customHeight="false" outlineLevel="0" collapsed="false">
      <c r="A21" s="2" t="s">
        <v>389</v>
      </c>
      <c r="B21" s="2" t="s">
        <v>1571</v>
      </c>
      <c r="C21" s="2" t="s">
        <v>1640</v>
      </c>
      <c r="D21" s="2" t="s">
        <v>1658</v>
      </c>
      <c r="E21" s="2" t="s">
        <v>1658</v>
      </c>
      <c r="F21" s="2" t="s">
        <v>1572</v>
      </c>
      <c r="G21" s="2" t="n">
        <v>31</v>
      </c>
      <c r="H21" s="2" t="n">
        <v>3</v>
      </c>
      <c r="I21" s="9" t="n">
        <v>0</v>
      </c>
      <c r="J21" s="9" t="n">
        <v>3474</v>
      </c>
      <c r="K21" s="9" t="n">
        <v>0</v>
      </c>
      <c r="L21" s="9" t="n">
        <v>0</v>
      </c>
      <c r="M21" s="9" t="n">
        <v>2788</v>
      </c>
      <c r="N21" s="9" t="n">
        <v>190</v>
      </c>
      <c r="O21" s="9" t="n">
        <v>6452</v>
      </c>
      <c r="P21" s="2"/>
      <c r="Q21" s="2" t="str">
        <f aca="false">IF(I21&gt;0,ROUND((N21-I21)/I21*100,0),"")</f>
        <v/>
      </c>
      <c r="R21" s="9" t="n">
        <f aca="false">SUM(I21:K21)</f>
        <v>3474</v>
      </c>
      <c r="S21" s="9" t="n">
        <f aca="false">SUM(L21:N21)</f>
        <v>2978</v>
      </c>
      <c r="T21" s="17" t="n">
        <f aca="false">IF(R21&gt;0,S21/R21-1,"")</f>
        <v>-0.142774899251583</v>
      </c>
      <c r="U21" s="2" t="str">
        <f aca="false">IF(AND(R21=0,S21&gt;0),"H2 Active / No H1 GMV",IF(S21=0,"Lapsed",IF(T21&gt;=Assumptions!$B$36,"Growing",IF(T21&lt;-Assumptions!$B$36,"Declining","Stable"))))</f>
        <v>Stable</v>
      </c>
      <c r="V21" s="2" t="n">
        <f aca="false">COUNTIF(I21:N21,"&gt;0")</f>
        <v>3</v>
      </c>
      <c r="W21" s="2" t="str">
        <f aca="false">IF(N21&gt;0,"Feb",IF(M21&gt;0,"Jan",IF(L21&gt;0,"Dec",IF(K21&gt;0,"Nov",IF(J21&gt;0,"Oct","Sep")))))</f>
        <v>Feb</v>
      </c>
      <c r="X21" s="2" t="str">
        <f aca="false">IF(O21&gt;=Assumptions!$B$35,"Key (&gt;=£10k)",IF(O21&gt;=Assumptions!$B$34,"Core (£2k-10k)","Tail (&lt;£2k)"))</f>
        <v>Core (£2k-10k)</v>
      </c>
      <c r="Y21" s="21" t="n">
        <f aca="false">INDEX('Scored Accounts'!$Q$2:$Q$301,MATCH(A21,'Scored Accounts'!$A$2:$A$301,0))</f>
        <v>67.5</v>
      </c>
      <c r="Z21" s="2" t="str">
        <f aca="false">INDEX('Scored Accounts'!$R$2:$R$301,MATCH(A21,'Scored Accounts'!$A$2:$A$301,0))</f>
        <v>Medium</v>
      </c>
      <c r="AA21" s="2" t="str">
        <f aca="false">INDEX('Scored Accounts'!$T$2:$T$301,MATCH(A21,'Scored Accounts'!$A$2:$A$301,0))</f>
        <v/>
      </c>
      <c r="AB21" s="2" t="str">
        <f aca="false">IF(Z21="Low","Lower dep / ","Higher dep / ")&amp;IF(O21&gt;=Assumptions!$B$34,"Higher value","Lower value")</f>
        <v>Higher dep / Higher value</v>
      </c>
    </row>
    <row r="22" customFormat="false" ht="15" hidden="false" customHeight="false" outlineLevel="0" collapsed="false">
      <c r="A22" s="2" t="s">
        <v>208</v>
      </c>
      <c r="B22" s="2" t="s">
        <v>1571</v>
      </c>
      <c r="C22" s="2" t="s">
        <v>1640</v>
      </c>
      <c r="D22" s="2" t="s">
        <v>1658</v>
      </c>
      <c r="E22" s="2" t="s">
        <v>1658</v>
      </c>
      <c r="F22" s="2" t="s">
        <v>1572</v>
      </c>
      <c r="G22" s="2" t="n">
        <v>7</v>
      </c>
      <c r="H22" s="2" t="n">
        <v>19</v>
      </c>
      <c r="I22" s="9" t="n">
        <v>717</v>
      </c>
      <c r="J22" s="9" t="n">
        <v>568</v>
      </c>
      <c r="K22" s="9" t="n">
        <v>2581</v>
      </c>
      <c r="L22" s="9" t="n">
        <v>872</v>
      </c>
      <c r="M22" s="9" t="n">
        <v>343</v>
      </c>
      <c r="N22" s="9" t="n">
        <v>1117</v>
      </c>
      <c r="O22" s="9" t="n">
        <v>6199</v>
      </c>
      <c r="P22" s="2" t="n">
        <v>56</v>
      </c>
      <c r="Q22" s="2" t="n">
        <f aca="false">IF(I22&gt;0,ROUND((N22-I22)/I22*100,0),"")</f>
        <v>56</v>
      </c>
      <c r="R22" s="9" t="n">
        <f aca="false">SUM(I22:K22)</f>
        <v>3866</v>
      </c>
      <c r="S22" s="9" t="n">
        <f aca="false">SUM(L22:N22)</f>
        <v>2332</v>
      </c>
      <c r="T22" s="17" t="n">
        <f aca="false">IF(R22&gt;0,S22/R22-1,"")</f>
        <v>-0.396792550439731</v>
      </c>
      <c r="U22" s="2" t="str">
        <f aca="false">IF(AND(R22=0,S22&gt;0),"H2 Active / No H1 GMV",IF(S22=0,"Lapsed",IF(T22&gt;=Assumptions!$B$36,"Growing",IF(T22&lt;-Assumptions!$B$36,"Declining","Stable"))))</f>
        <v>Declining</v>
      </c>
      <c r="V22" s="2" t="n">
        <f aca="false">COUNTIF(I22:N22,"&gt;0")</f>
        <v>6</v>
      </c>
      <c r="W22" s="2" t="str">
        <f aca="false">IF(N22&gt;0,"Feb",IF(M22&gt;0,"Jan",IF(L22&gt;0,"Dec",IF(K22&gt;0,"Nov",IF(J22&gt;0,"Oct","Sep")))))</f>
        <v>Feb</v>
      </c>
      <c r="X22" s="2" t="str">
        <f aca="false">IF(O22&gt;=Assumptions!$B$35,"Key (&gt;=£10k)",IF(O22&gt;=Assumptions!$B$34,"Core (£2k-10k)","Tail (&lt;£2k)"))</f>
        <v>Core (£2k-10k)</v>
      </c>
      <c r="Y22" s="21" t="n">
        <f aca="false">INDEX('Scored Accounts'!$Q$2:$Q$301,MATCH(A22,'Scored Accounts'!$A$2:$A$301,0))</f>
        <v>75</v>
      </c>
      <c r="Z22" s="2" t="str">
        <f aca="false">INDEX('Scored Accounts'!$R$2:$R$301,MATCH(A22,'Scored Accounts'!$A$2:$A$301,0))</f>
        <v>High</v>
      </c>
      <c r="AA22" s="2" t="str">
        <f aca="false">INDEX('Scored Accounts'!$T$2:$T$301,MATCH(A22,'Scored Accounts'!$A$2:$A$301,0))</f>
        <v/>
      </c>
      <c r="AB22" s="2" t="str">
        <f aca="false">IF(Z22="Low","Lower dep / ","Higher dep / ")&amp;IF(O22&gt;=Assumptions!$B$34,"Higher value","Lower value")</f>
        <v>Higher dep / Higher value</v>
      </c>
    </row>
    <row r="23" customFormat="false" ht="15" hidden="false" customHeight="false" outlineLevel="0" collapsed="false">
      <c r="A23" s="2" t="s">
        <v>211</v>
      </c>
      <c r="B23" s="2" t="s">
        <v>1571</v>
      </c>
      <c r="C23" s="2" t="s">
        <v>1640</v>
      </c>
      <c r="D23" s="2" t="s">
        <v>1654</v>
      </c>
      <c r="E23" s="2" t="s">
        <v>1654</v>
      </c>
      <c r="F23" s="2" t="s">
        <v>1572</v>
      </c>
      <c r="G23" s="2" t="n">
        <v>21</v>
      </c>
      <c r="H23" s="2" t="n">
        <v>7</v>
      </c>
      <c r="I23" s="9" t="n">
        <v>1958</v>
      </c>
      <c r="J23" s="9" t="n">
        <v>2581</v>
      </c>
      <c r="K23" s="9" t="n">
        <v>0</v>
      </c>
      <c r="L23" s="9" t="n">
        <v>1601</v>
      </c>
      <c r="M23" s="9" t="n">
        <v>0</v>
      </c>
      <c r="N23" s="9" t="n">
        <v>0</v>
      </c>
      <c r="O23" s="9" t="n">
        <v>6140</v>
      </c>
      <c r="P23" s="2" t="n">
        <v>-100</v>
      </c>
      <c r="Q23" s="2" t="n">
        <f aca="false">IF(I23&gt;0,ROUND((N23-I23)/I23*100,0),"")</f>
        <v>-100</v>
      </c>
      <c r="R23" s="9" t="n">
        <f aca="false">SUM(I23:K23)</f>
        <v>4539</v>
      </c>
      <c r="S23" s="9" t="n">
        <f aca="false">SUM(L23:N23)</f>
        <v>1601</v>
      </c>
      <c r="T23" s="17" t="n">
        <f aca="false">IF(R23&gt;0,S23/R23-1,"")</f>
        <v>-0.647279136373651</v>
      </c>
      <c r="U23" s="2" t="str">
        <f aca="false">IF(AND(R23=0,S23&gt;0),"H2 Active / No H1 GMV",IF(S23=0,"Lapsed",IF(T23&gt;=Assumptions!$B$36,"Growing",IF(T23&lt;-Assumptions!$B$36,"Declining","Stable"))))</f>
        <v>Declining</v>
      </c>
      <c r="V23" s="2" t="n">
        <f aca="false">COUNTIF(I23:N23,"&gt;0")</f>
        <v>3</v>
      </c>
      <c r="W23" s="2" t="str">
        <f aca="false">IF(N23&gt;0,"Feb",IF(M23&gt;0,"Jan",IF(L23&gt;0,"Dec",IF(K23&gt;0,"Nov",IF(J23&gt;0,"Oct","Sep")))))</f>
        <v>Dec</v>
      </c>
      <c r="X23" s="2" t="str">
        <f aca="false">IF(O23&gt;=Assumptions!$B$35,"Key (&gt;=£10k)",IF(O23&gt;=Assumptions!$B$34,"Core (£2k-10k)","Tail (&lt;£2k)"))</f>
        <v>Core (£2k-10k)</v>
      </c>
      <c r="Y23" s="21" t="n">
        <f aca="false">INDEX('Scored Accounts'!$Q$2:$Q$301,MATCH(A23,'Scored Accounts'!$A$2:$A$301,0))</f>
        <v>65</v>
      </c>
      <c r="Z23" s="2" t="str">
        <f aca="false">INDEX('Scored Accounts'!$R$2:$R$301,MATCH(A23,'Scored Accounts'!$A$2:$A$301,0))</f>
        <v>Medium</v>
      </c>
      <c r="AA23" s="2" t="str">
        <f aca="false">INDEX('Scored Accounts'!$T$2:$T$301,MATCH(A23,'Scored Accounts'!$A$2:$A$301,0))</f>
        <v/>
      </c>
      <c r="AB23" s="2" t="str">
        <f aca="false">IF(Z23="Low","Lower dep / ","Higher dep / ")&amp;IF(O23&gt;=Assumptions!$B$34,"Higher value","Lower value")</f>
        <v>Higher dep / Higher value</v>
      </c>
    </row>
    <row r="24" customFormat="false" ht="15" hidden="false" customHeight="false" outlineLevel="0" collapsed="false">
      <c r="A24" s="2" t="s">
        <v>214</v>
      </c>
      <c r="B24" s="2" t="s">
        <v>1571</v>
      </c>
      <c r="C24" s="2" t="s">
        <v>1640</v>
      </c>
      <c r="D24" s="2" t="s">
        <v>1658</v>
      </c>
      <c r="E24" s="2" t="s">
        <v>1658</v>
      </c>
      <c r="F24" s="2" t="s">
        <v>1572</v>
      </c>
      <c r="G24" s="2" t="n">
        <v>43</v>
      </c>
      <c r="H24" s="2" t="n">
        <v>4</v>
      </c>
      <c r="I24" s="9" t="n">
        <v>1049</v>
      </c>
      <c r="J24" s="9" t="n">
        <v>1523</v>
      </c>
      <c r="K24" s="9" t="n">
        <v>2228</v>
      </c>
      <c r="L24" s="9" t="n">
        <v>0</v>
      </c>
      <c r="M24" s="9" t="n">
        <v>0</v>
      </c>
      <c r="N24" s="9" t="n">
        <v>927</v>
      </c>
      <c r="O24" s="9" t="n">
        <v>5727</v>
      </c>
      <c r="P24" s="2" t="n">
        <v>-12</v>
      </c>
      <c r="Q24" s="2" t="n">
        <f aca="false">IF(I24&gt;0,ROUND((N24-I24)/I24*100,0),"")</f>
        <v>-12</v>
      </c>
      <c r="R24" s="9" t="n">
        <f aca="false">SUM(I24:K24)</f>
        <v>4800</v>
      </c>
      <c r="S24" s="9" t="n">
        <f aca="false">SUM(L24:N24)</f>
        <v>927</v>
      </c>
      <c r="T24" s="17" t="n">
        <f aca="false">IF(R24&gt;0,S24/R24-1,"")</f>
        <v>-0.806875</v>
      </c>
      <c r="U24" s="2" t="str">
        <f aca="false">IF(AND(R24=0,S24&gt;0),"H2 Active / No H1 GMV",IF(S24=0,"Lapsed",IF(T24&gt;=Assumptions!$B$36,"Growing",IF(T24&lt;-Assumptions!$B$36,"Declining","Stable"))))</f>
        <v>Declining</v>
      </c>
      <c r="V24" s="2" t="n">
        <f aca="false">COUNTIF(I24:N24,"&gt;0")</f>
        <v>4</v>
      </c>
      <c r="W24" s="2" t="str">
        <f aca="false">IF(N24&gt;0,"Feb",IF(M24&gt;0,"Jan",IF(L24&gt;0,"Dec",IF(K24&gt;0,"Nov",IF(J24&gt;0,"Oct","Sep")))))</f>
        <v>Feb</v>
      </c>
      <c r="X24" s="2" t="str">
        <f aca="false">IF(O24&gt;=Assumptions!$B$35,"Key (&gt;=£10k)",IF(O24&gt;=Assumptions!$B$34,"Core (£2k-10k)","Tail (&lt;£2k)"))</f>
        <v>Core (£2k-10k)</v>
      </c>
      <c r="Y24" s="21" t="n">
        <f aca="false">INDEX('Scored Accounts'!$Q$2:$Q$301,MATCH(A24,'Scored Accounts'!$A$2:$A$301,0))</f>
        <v>82.5</v>
      </c>
      <c r="Z24" s="2" t="str">
        <f aca="false">INDEX('Scored Accounts'!$R$2:$R$301,MATCH(A24,'Scored Accounts'!$A$2:$A$301,0))</f>
        <v>High</v>
      </c>
      <c r="AA24" s="2" t="str">
        <f aca="false">INDEX('Scored Accounts'!$T$2:$T$301,MATCH(A24,'Scored Accounts'!$A$2:$A$301,0))</f>
        <v/>
      </c>
      <c r="AB24" s="2" t="str">
        <f aca="false">IF(Z24="Low","Lower dep / ","Higher dep / ")&amp;IF(O24&gt;=Assumptions!$B$34,"Higher value","Lower value")</f>
        <v>Higher dep / Higher value</v>
      </c>
    </row>
    <row r="25" customFormat="false" ht="15" hidden="false" customHeight="false" outlineLevel="0" collapsed="false">
      <c r="A25" s="2" t="s">
        <v>399</v>
      </c>
      <c r="B25" s="2" t="s">
        <v>1571</v>
      </c>
      <c r="C25" s="2" t="s">
        <v>1640</v>
      </c>
      <c r="D25" s="2" t="s">
        <v>1653</v>
      </c>
      <c r="E25" s="2" t="s">
        <v>1653</v>
      </c>
      <c r="F25" s="2" t="s">
        <v>1572</v>
      </c>
      <c r="G25" s="2" t="n">
        <v>11</v>
      </c>
      <c r="H25" s="2" t="n">
        <v>14</v>
      </c>
      <c r="I25" s="9" t="n">
        <v>520</v>
      </c>
      <c r="J25" s="9" t="n">
        <v>756</v>
      </c>
      <c r="K25" s="9" t="n">
        <v>1607</v>
      </c>
      <c r="L25" s="9" t="n">
        <v>0</v>
      </c>
      <c r="M25" s="9" t="n">
        <v>1579</v>
      </c>
      <c r="N25" s="9" t="n">
        <v>751</v>
      </c>
      <c r="O25" s="9" t="n">
        <v>5214</v>
      </c>
      <c r="P25" s="2" t="n">
        <v>44</v>
      </c>
      <c r="Q25" s="2" t="n">
        <f aca="false">IF(I25&gt;0,ROUND((N25-I25)/I25*100,0),"")</f>
        <v>44</v>
      </c>
      <c r="R25" s="9" t="n">
        <f aca="false">SUM(I25:K25)</f>
        <v>2883</v>
      </c>
      <c r="S25" s="9" t="n">
        <f aca="false">SUM(L25:N25)</f>
        <v>2330</v>
      </c>
      <c r="T25" s="17" t="n">
        <f aca="false">IF(R25&gt;0,S25/R25-1,"")</f>
        <v>-0.191814082552896</v>
      </c>
      <c r="U25" s="2" t="str">
        <f aca="false">IF(AND(R25=0,S25&gt;0),"H2 Active / No H1 GMV",IF(S25=0,"Lapsed",IF(T25&gt;=Assumptions!$B$36,"Growing",IF(T25&lt;-Assumptions!$B$36,"Declining","Stable"))))</f>
        <v>Stable</v>
      </c>
      <c r="V25" s="2" t="n">
        <f aca="false">COUNTIF(I25:N25,"&gt;0")</f>
        <v>5</v>
      </c>
      <c r="W25" s="2" t="str">
        <f aca="false">IF(N25&gt;0,"Feb",IF(M25&gt;0,"Jan",IF(L25&gt;0,"Dec",IF(K25&gt;0,"Nov",IF(J25&gt;0,"Oct","Sep")))))</f>
        <v>Feb</v>
      </c>
      <c r="X25" s="2" t="str">
        <f aca="false">IF(O25&gt;=Assumptions!$B$35,"Key (&gt;=£10k)",IF(O25&gt;=Assumptions!$B$34,"Core (£2k-10k)","Tail (&lt;£2k)"))</f>
        <v>Core (£2k-10k)</v>
      </c>
      <c r="Y25" s="21" t="n">
        <f aca="false">INDEX('Scored Accounts'!$Q$2:$Q$301,MATCH(A25,'Scored Accounts'!$A$2:$A$301,0))</f>
        <v>70</v>
      </c>
      <c r="Z25" s="2" t="str">
        <f aca="false">INDEX('Scored Accounts'!$R$2:$R$301,MATCH(A25,'Scored Accounts'!$A$2:$A$301,0))</f>
        <v>High</v>
      </c>
      <c r="AA25" s="2" t="str">
        <f aca="false">INDEX('Scored Accounts'!$T$2:$T$301,MATCH(A25,'Scored Accounts'!$A$2:$A$301,0))</f>
        <v/>
      </c>
      <c r="AB25" s="2" t="str">
        <f aca="false">IF(Z25="Low","Lower dep / ","Higher dep / ")&amp;IF(O25&gt;=Assumptions!$B$34,"Higher value","Lower value")</f>
        <v>Higher dep / Higher value</v>
      </c>
    </row>
    <row r="26" customFormat="false" ht="15" hidden="false" customHeight="false" outlineLevel="0" collapsed="false">
      <c r="A26" s="2" t="s">
        <v>403</v>
      </c>
      <c r="B26" s="2" t="s">
        <v>1571</v>
      </c>
      <c r="C26" s="2" t="s">
        <v>1640</v>
      </c>
      <c r="D26" s="2" t="s">
        <v>1653</v>
      </c>
      <c r="E26" s="2" t="s">
        <v>1653</v>
      </c>
      <c r="F26" s="2"/>
      <c r="G26" s="2" t="n">
        <v>6</v>
      </c>
      <c r="H26" s="2" t="n">
        <v>8</v>
      </c>
      <c r="I26" s="9" t="n">
        <v>150</v>
      </c>
      <c r="J26" s="9" t="n">
        <v>0</v>
      </c>
      <c r="K26" s="9" t="n">
        <v>0</v>
      </c>
      <c r="L26" s="9" t="n">
        <v>4089</v>
      </c>
      <c r="M26" s="9" t="n">
        <v>82</v>
      </c>
      <c r="N26" s="9" t="n">
        <v>694</v>
      </c>
      <c r="O26" s="9" t="n">
        <v>5014</v>
      </c>
      <c r="P26" s="2" t="n">
        <v>363</v>
      </c>
      <c r="Q26" s="2" t="n">
        <f aca="false">IF(I26&gt;0,ROUND((N26-I26)/I26*100,0),"")</f>
        <v>363</v>
      </c>
      <c r="R26" s="9" t="n">
        <f aca="false">SUM(I26:K26)</f>
        <v>150</v>
      </c>
      <c r="S26" s="9" t="n">
        <f aca="false">SUM(L26:N26)</f>
        <v>4865</v>
      </c>
      <c r="T26" s="17" t="n">
        <f aca="false">IF(R26&gt;0,S26/R26-1,"")</f>
        <v>31.4333333333333</v>
      </c>
      <c r="U26" s="2" t="str">
        <f aca="false">IF(AND(R26=0,S26&gt;0),"H2 Active / No H1 GMV",IF(S26=0,"Lapsed",IF(T26&gt;=Assumptions!$B$36,"Growing",IF(T26&lt;-Assumptions!$B$36,"Declining","Stable"))))</f>
        <v>Growing</v>
      </c>
      <c r="V26" s="2" t="n">
        <f aca="false">COUNTIF(I26:N26,"&gt;0")</f>
        <v>4</v>
      </c>
      <c r="W26" s="2" t="str">
        <f aca="false">IF(N26&gt;0,"Feb",IF(M26&gt;0,"Jan",IF(L26&gt;0,"Dec",IF(K26&gt;0,"Nov",IF(J26&gt;0,"Oct","Sep")))))</f>
        <v>Feb</v>
      </c>
      <c r="X26" s="2" t="str">
        <f aca="false">IF(O26&gt;=Assumptions!$B$35,"Key (&gt;=£10k)",IF(O26&gt;=Assumptions!$B$34,"Core (£2k-10k)","Tail (&lt;£2k)"))</f>
        <v>Core (£2k-10k)</v>
      </c>
      <c r="Y26" s="21" t="n">
        <f aca="false">INDEX('Scored Accounts'!$Q$2:$Q$301,MATCH(A26,'Scored Accounts'!$A$2:$A$301,0))</f>
        <v>0</v>
      </c>
      <c r="Z26" s="2" t="str">
        <f aca="false">INDEX('Scored Accounts'!$R$2:$R$301,MATCH(A26,'Scored Accounts'!$A$2:$A$301,0))</f>
        <v>Low</v>
      </c>
      <c r="AA26" s="2" t="str">
        <f aca="false">INDEX('Scored Accounts'!$T$2:$T$301,MATCH(A26,'Scored Accounts'!$A$2:$A$301,0))</f>
        <v/>
      </c>
      <c r="AB26" s="2" t="str">
        <f aca="false">IF(Z26="Low","Lower dep / ","Higher dep / ")&amp;IF(O26&gt;=Assumptions!$B$34,"Higher value","Lower value")</f>
        <v>Lower dep / Higher value</v>
      </c>
    </row>
    <row r="27" customFormat="false" ht="15" hidden="false" customHeight="false" outlineLevel="0" collapsed="false">
      <c r="A27" s="2" t="s">
        <v>218</v>
      </c>
      <c r="B27" s="2" t="s">
        <v>1571</v>
      </c>
      <c r="C27" s="2" t="s">
        <v>1640</v>
      </c>
      <c r="D27" s="2" t="s">
        <v>1655</v>
      </c>
      <c r="E27" s="2" t="s">
        <v>1655</v>
      </c>
      <c r="F27" s="2" t="s">
        <v>1572</v>
      </c>
      <c r="G27" s="2" t="n">
        <v>9</v>
      </c>
      <c r="H27" s="2" t="n">
        <v>2</v>
      </c>
      <c r="I27" s="9" t="n">
        <v>0</v>
      </c>
      <c r="J27" s="9" t="n">
        <v>2172</v>
      </c>
      <c r="K27" s="9" t="n">
        <v>2600</v>
      </c>
      <c r="L27" s="9" t="n">
        <v>0</v>
      </c>
      <c r="M27" s="9" t="n">
        <v>0</v>
      </c>
      <c r="N27" s="9" t="n">
        <v>0</v>
      </c>
      <c r="O27" s="9" t="n">
        <v>4772</v>
      </c>
      <c r="P27" s="2"/>
      <c r="Q27" s="2" t="str">
        <f aca="false">IF(I27&gt;0,ROUND((N27-I27)/I27*100,0),"")</f>
        <v/>
      </c>
      <c r="R27" s="9" t="n">
        <f aca="false">SUM(I27:K27)</f>
        <v>4772</v>
      </c>
      <c r="S27" s="9" t="n">
        <f aca="false">SUM(L27:N27)</f>
        <v>0</v>
      </c>
      <c r="T27" s="17" t="n">
        <f aca="false">IF(R27&gt;0,S27/R27-1,"")</f>
        <v>-1</v>
      </c>
      <c r="U27" s="2" t="str">
        <f aca="false">IF(AND(R27=0,S27&gt;0),"H2 Active / No H1 GMV",IF(S27=0,"Lapsed",IF(T27&gt;=Assumptions!$B$36,"Growing",IF(T27&lt;-Assumptions!$B$36,"Declining","Stable"))))</f>
        <v>Lapsed</v>
      </c>
      <c r="V27" s="2" t="n">
        <f aca="false">COUNTIF(I27:N27,"&gt;0")</f>
        <v>2</v>
      </c>
      <c r="W27" s="2" t="str">
        <f aca="false">IF(N27&gt;0,"Feb",IF(M27&gt;0,"Jan",IF(L27&gt;0,"Dec",IF(K27&gt;0,"Nov",IF(J27&gt;0,"Oct","Sep")))))</f>
        <v>Nov</v>
      </c>
      <c r="X27" s="2" t="str">
        <f aca="false">IF(O27&gt;=Assumptions!$B$35,"Key (&gt;=£10k)",IF(O27&gt;=Assumptions!$B$34,"Core (£2k-10k)","Tail (&lt;£2k)"))</f>
        <v>Core (£2k-10k)</v>
      </c>
      <c r="Y27" s="21" t="n">
        <f aca="false">INDEX('Scored Accounts'!$Q$2:$Q$301,MATCH(A27,'Scored Accounts'!$A$2:$A$301,0))</f>
        <v>90</v>
      </c>
      <c r="Z27" s="2" t="str">
        <f aca="false">INDEX('Scored Accounts'!$R$2:$R$301,MATCH(A27,'Scored Accounts'!$A$2:$A$301,0))</f>
        <v>High</v>
      </c>
      <c r="AA27" s="2" t="str">
        <f aca="false">INDEX('Scored Accounts'!$T$2:$T$301,MATCH(A27,'Scored Accounts'!$A$2:$A$301,0))</f>
        <v>Low confidence</v>
      </c>
      <c r="AB27" s="2" t="str">
        <f aca="false">IF(Z27="Low","Lower dep / ","Higher dep / ")&amp;IF(O27&gt;=Assumptions!$B$34,"Higher value","Lower value")</f>
        <v>Higher dep / Higher value</v>
      </c>
    </row>
    <row r="28" customFormat="false" ht="15" hidden="false" customHeight="false" outlineLevel="0" collapsed="false">
      <c r="A28" s="2" t="s">
        <v>408</v>
      </c>
      <c r="B28" s="2" t="s">
        <v>1571</v>
      </c>
      <c r="C28" s="2" t="s">
        <v>1641</v>
      </c>
      <c r="D28" s="2" t="s">
        <v>1656</v>
      </c>
      <c r="E28" s="2" t="s">
        <v>1714</v>
      </c>
      <c r="F28" s="2" t="s">
        <v>1572</v>
      </c>
      <c r="G28" s="2" t="n">
        <v>30</v>
      </c>
      <c r="H28" s="2" t="n">
        <v>25</v>
      </c>
      <c r="I28" s="9" t="n">
        <v>468</v>
      </c>
      <c r="J28" s="9" t="n">
        <v>1409</v>
      </c>
      <c r="K28" s="9" t="n">
        <v>403</v>
      </c>
      <c r="L28" s="9" t="n">
        <v>1593</v>
      </c>
      <c r="M28" s="9" t="n">
        <v>805</v>
      </c>
      <c r="N28" s="9" t="n">
        <v>0</v>
      </c>
      <c r="O28" s="9" t="n">
        <v>4678</v>
      </c>
      <c r="P28" s="2" t="n">
        <v>-100</v>
      </c>
      <c r="Q28" s="2" t="n">
        <f aca="false">IF(I28&gt;0,ROUND((N28-I28)/I28*100,0),"")</f>
        <v>-100</v>
      </c>
      <c r="R28" s="9" t="n">
        <f aca="false">SUM(I28:K28)</f>
        <v>2280</v>
      </c>
      <c r="S28" s="9" t="n">
        <f aca="false">SUM(L28:N28)</f>
        <v>2398</v>
      </c>
      <c r="T28" s="17" t="n">
        <f aca="false">IF(R28&gt;0,S28/R28-1,"")</f>
        <v>0.0517543859649123</v>
      </c>
      <c r="U28" s="2" t="str">
        <f aca="false">IF(AND(R28=0,S28&gt;0),"H2 Active / No H1 GMV",IF(S28=0,"Lapsed",IF(T28&gt;=Assumptions!$B$36,"Growing",IF(T28&lt;-Assumptions!$B$36,"Declining","Stable"))))</f>
        <v>Stable</v>
      </c>
      <c r="V28" s="2" t="n">
        <f aca="false">COUNTIF(I28:N28,"&gt;0")</f>
        <v>5</v>
      </c>
      <c r="W28" s="2" t="str">
        <f aca="false">IF(N28&gt;0,"Feb",IF(M28&gt;0,"Jan",IF(L28&gt;0,"Dec",IF(K28&gt;0,"Nov",IF(J28&gt;0,"Oct","Sep")))))</f>
        <v>Jan</v>
      </c>
      <c r="X28" s="2" t="str">
        <f aca="false">IF(O28&gt;=Assumptions!$B$35,"Key (&gt;=£10k)",IF(O28&gt;=Assumptions!$B$34,"Core (£2k-10k)","Tail (&lt;£2k)"))</f>
        <v>Core (£2k-10k)</v>
      </c>
      <c r="Y28" s="21" t="n">
        <f aca="false">INDEX('Scored Accounts'!$Q$2:$Q$301,MATCH(A28,'Scored Accounts'!$A$2:$A$301,0))</f>
        <v>82.5</v>
      </c>
      <c r="Z28" s="2" t="str">
        <f aca="false">INDEX('Scored Accounts'!$R$2:$R$301,MATCH(A28,'Scored Accounts'!$A$2:$A$301,0))</f>
        <v>High</v>
      </c>
      <c r="AA28" s="2" t="str">
        <f aca="false">INDEX('Scored Accounts'!$T$2:$T$301,MATCH(A28,'Scored Accounts'!$A$2:$A$301,0))</f>
        <v/>
      </c>
      <c r="AB28" s="2" t="str">
        <f aca="false">IF(Z28="Low","Lower dep / ","Higher dep / ")&amp;IF(O28&gt;=Assumptions!$B$34,"Higher value","Lower value")</f>
        <v>Higher dep / Higher value</v>
      </c>
    </row>
    <row r="29" customFormat="false" ht="15" hidden="false" customHeight="false" outlineLevel="0" collapsed="false">
      <c r="A29" s="2" t="s">
        <v>222</v>
      </c>
      <c r="B29" s="2" t="s">
        <v>1571</v>
      </c>
      <c r="C29" s="2" t="s">
        <v>1640</v>
      </c>
      <c r="D29" s="2" t="s">
        <v>1657</v>
      </c>
      <c r="E29" s="2" t="s">
        <v>1718</v>
      </c>
      <c r="F29" s="2" t="s">
        <v>1572</v>
      </c>
      <c r="G29" s="2" t="n">
        <v>11</v>
      </c>
      <c r="H29" s="2" t="n">
        <v>7</v>
      </c>
      <c r="I29" s="9" t="n">
        <v>603</v>
      </c>
      <c r="J29" s="9" t="n">
        <v>1221</v>
      </c>
      <c r="K29" s="9" t="n">
        <v>1447</v>
      </c>
      <c r="L29" s="9" t="n">
        <v>0</v>
      </c>
      <c r="M29" s="9" t="n">
        <v>1368</v>
      </c>
      <c r="N29" s="9" t="n">
        <v>0</v>
      </c>
      <c r="O29" s="9" t="n">
        <v>4639</v>
      </c>
      <c r="P29" s="2" t="n">
        <v>-100</v>
      </c>
      <c r="Q29" s="2" t="n">
        <f aca="false">IF(I29&gt;0,ROUND((N29-I29)/I29*100,0),"")</f>
        <v>-100</v>
      </c>
      <c r="R29" s="9" t="n">
        <f aca="false">SUM(I29:K29)</f>
        <v>3271</v>
      </c>
      <c r="S29" s="9" t="n">
        <f aca="false">SUM(L29:N29)</f>
        <v>1368</v>
      </c>
      <c r="T29" s="17" t="n">
        <f aca="false">IF(R29&gt;0,S29/R29-1,"")</f>
        <v>-0.581779272393763</v>
      </c>
      <c r="U29" s="2" t="str">
        <f aca="false">IF(AND(R29=0,S29&gt;0),"H2 Active / No H1 GMV",IF(S29=0,"Lapsed",IF(T29&gt;=Assumptions!$B$36,"Growing",IF(T29&lt;-Assumptions!$B$36,"Declining","Stable"))))</f>
        <v>Declining</v>
      </c>
      <c r="V29" s="2" t="n">
        <f aca="false">COUNTIF(I29:N29,"&gt;0")</f>
        <v>4</v>
      </c>
      <c r="W29" s="2" t="str">
        <f aca="false">IF(N29&gt;0,"Feb",IF(M29&gt;0,"Jan",IF(L29&gt;0,"Dec",IF(K29&gt;0,"Nov",IF(J29&gt;0,"Oct","Sep")))))</f>
        <v>Jan</v>
      </c>
      <c r="X29" s="2" t="str">
        <f aca="false">IF(O29&gt;=Assumptions!$B$35,"Key (&gt;=£10k)",IF(O29&gt;=Assumptions!$B$34,"Core (£2k-10k)","Tail (&lt;£2k)"))</f>
        <v>Core (£2k-10k)</v>
      </c>
      <c r="Y29" s="21" t="n">
        <f aca="false">INDEX('Scored Accounts'!$Q$2:$Q$301,MATCH(A29,'Scored Accounts'!$A$2:$A$301,0))</f>
        <v>70</v>
      </c>
      <c r="Z29" s="2" t="str">
        <f aca="false">INDEX('Scored Accounts'!$R$2:$R$301,MATCH(A29,'Scored Accounts'!$A$2:$A$301,0))</f>
        <v>High</v>
      </c>
      <c r="AA29" s="2" t="str">
        <f aca="false">INDEX('Scored Accounts'!$T$2:$T$301,MATCH(A29,'Scored Accounts'!$A$2:$A$301,0))</f>
        <v/>
      </c>
      <c r="AB29" s="2" t="str">
        <f aca="false">IF(Z29="Low","Lower dep / ","Higher dep / ")&amp;IF(O29&gt;=Assumptions!$B$34,"Higher value","Lower value")</f>
        <v>Higher dep / Higher value</v>
      </c>
    </row>
    <row r="30" customFormat="false" ht="15" hidden="false" customHeight="false" outlineLevel="0" collapsed="false">
      <c r="A30" s="2" t="s">
        <v>450</v>
      </c>
      <c r="B30" s="2" t="s">
        <v>1571</v>
      </c>
      <c r="C30" s="2" t="s">
        <v>1640</v>
      </c>
      <c r="D30" s="2" t="s">
        <v>1653</v>
      </c>
      <c r="E30" s="2" t="s">
        <v>1653</v>
      </c>
      <c r="F30" s="2"/>
      <c r="G30" s="2" t="n">
        <v>6</v>
      </c>
      <c r="H30" s="2" t="n">
        <v>5</v>
      </c>
      <c r="I30" s="9" t="n">
        <v>203</v>
      </c>
      <c r="J30" s="9" t="n">
        <v>293</v>
      </c>
      <c r="K30" s="9" t="n">
        <v>0</v>
      </c>
      <c r="L30" s="9" t="n">
        <v>0</v>
      </c>
      <c r="M30" s="9" t="n">
        <v>2123</v>
      </c>
      <c r="N30" s="9" t="n">
        <v>1895</v>
      </c>
      <c r="O30" s="9" t="n">
        <v>4513</v>
      </c>
      <c r="P30" s="2" t="n">
        <v>833</v>
      </c>
      <c r="Q30" s="2" t="n">
        <f aca="false">IF(I30&gt;0,ROUND((N30-I30)/I30*100,0),"")</f>
        <v>833</v>
      </c>
      <c r="R30" s="9" t="n">
        <f aca="false">SUM(I30:K30)</f>
        <v>496</v>
      </c>
      <c r="S30" s="9" t="n">
        <f aca="false">SUM(L30:N30)</f>
        <v>4018</v>
      </c>
      <c r="T30" s="17" t="n">
        <f aca="false">IF(R30&gt;0,S30/R30-1,"")</f>
        <v>7.1008064516129</v>
      </c>
      <c r="U30" s="2" t="str">
        <f aca="false">IF(AND(R30=0,S30&gt;0),"H2 Active / No H1 GMV",IF(S30=0,"Lapsed",IF(T30&gt;=Assumptions!$B$36,"Growing",IF(T30&lt;-Assumptions!$B$36,"Declining","Stable"))))</f>
        <v>Growing</v>
      </c>
      <c r="V30" s="2" t="n">
        <f aca="false">COUNTIF(I30:N30,"&gt;0")</f>
        <v>4</v>
      </c>
      <c r="W30" s="2" t="str">
        <f aca="false">IF(N30&gt;0,"Feb",IF(M30&gt;0,"Jan",IF(L30&gt;0,"Dec",IF(K30&gt;0,"Nov",IF(J30&gt;0,"Oct","Sep")))))</f>
        <v>Feb</v>
      </c>
      <c r="X30" s="2" t="str">
        <f aca="false">IF(O30&gt;=Assumptions!$B$35,"Key (&gt;=£10k)",IF(O30&gt;=Assumptions!$B$34,"Core (£2k-10k)","Tail (&lt;£2k)"))</f>
        <v>Core (£2k-10k)</v>
      </c>
      <c r="Y30" s="21" t="n">
        <f aca="false">INDEX('Scored Accounts'!$Q$2:$Q$301,MATCH(A30,'Scored Accounts'!$A$2:$A$301,0))</f>
        <v>80</v>
      </c>
      <c r="Z30" s="2" t="str">
        <f aca="false">INDEX('Scored Accounts'!$R$2:$R$301,MATCH(A30,'Scored Accounts'!$A$2:$A$301,0))</f>
        <v>High</v>
      </c>
      <c r="AA30" s="2" t="str">
        <f aca="false">INDEX('Scored Accounts'!$T$2:$T$301,MATCH(A30,'Scored Accounts'!$A$2:$A$301,0))</f>
        <v/>
      </c>
      <c r="AB30" s="2" t="str">
        <f aca="false">IF(Z30="Low","Lower dep / ","Higher dep / ")&amp;IF(O30&gt;=Assumptions!$B$34,"Higher value","Lower value")</f>
        <v>Higher dep / Higher value</v>
      </c>
    </row>
    <row r="31" customFormat="false" ht="15" hidden="false" customHeight="false" outlineLevel="0" collapsed="false">
      <c r="A31" s="2" t="s">
        <v>412</v>
      </c>
      <c r="B31" s="2" t="s">
        <v>1571</v>
      </c>
      <c r="C31" s="2" t="s">
        <v>1640</v>
      </c>
      <c r="D31" s="2" t="s">
        <v>1653</v>
      </c>
      <c r="E31" s="2" t="s">
        <v>1653</v>
      </c>
      <c r="F31" s="2" t="s">
        <v>1572</v>
      </c>
      <c r="G31" s="2" t="n">
        <v>48</v>
      </c>
      <c r="H31" s="2" t="n">
        <v>5</v>
      </c>
      <c r="I31" s="9" t="n">
        <v>460</v>
      </c>
      <c r="J31" s="9" t="n">
        <v>329</v>
      </c>
      <c r="K31" s="9" t="n">
        <v>113</v>
      </c>
      <c r="L31" s="9" t="n">
        <v>0</v>
      </c>
      <c r="M31" s="9" t="n">
        <v>3513</v>
      </c>
      <c r="N31" s="9" t="n">
        <v>0</v>
      </c>
      <c r="O31" s="9" t="n">
        <v>4415</v>
      </c>
      <c r="P31" s="2" t="n">
        <v>-100</v>
      </c>
      <c r="Q31" s="2" t="n">
        <f aca="false">IF(I31&gt;0,ROUND((N31-I31)/I31*100,0),"")</f>
        <v>-100</v>
      </c>
      <c r="R31" s="9" t="n">
        <f aca="false">SUM(I31:K31)</f>
        <v>902</v>
      </c>
      <c r="S31" s="9" t="n">
        <f aca="false">SUM(L31:N31)</f>
        <v>3513</v>
      </c>
      <c r="T31" s="17" t="n">
        <f aca="false">IF(R31&gt;0,S31/R31-1,"")</f>
        <v>2.89467849223947</v>
      </c>
      <c r="U31" s="2" t="str">
        <f aca="false">IF(AND(R31=0,S31&gt;0),"H2 Active / No H1 GMV",IF(S31=0,"Lapsed",IF(T31&gt;=Assumptions!$B$36,"Growing",IF(T31&lt;-Assumptions!$B$36,"Declining","Stable"))))</f>
        <v>Growing</v>
      </c>
      <c r="V31" s="2" t="n">
        <f aca="false">COUNTIF(I31:N31,"&gt;0")</f>
        <v>4</v>
      </c>
      <c r="W31" s="2" t="str">
        <f aca="false">IF(N31&gt;0,"Feb",IF(M31&gt;0,"Jan",IF(L31&gt;0,"Dec",IF(K31&gt;0,"Nov",IF(J31&gt;0,"Oct","Sep")))))</f>
        <v>Jan</v>
      </c>
      <c r="X31" s="2" t="str">
        <f aca="false">IF(O31&gt;=Assumptions!$B$35,"Key (&gt;=£10k)",IF(O31&gt;=Assumptions!$B$34,"Core (£2k-10k)","Tail (&lt;£2k)"))</f>
        <v>Core (£2k-10k)</v>
      </c>
      <c r="Y31" s="21" t="n">
        <f aca="false">INDEX('Scored Accounts'!$Q$2:$Q$301,MATCH(A31,'Scored Accounts'!$A$2:$A$301,0))</f>
        <v>87.5</v>
      </c>
      <c r="Z31" s="2" t="str">
        <f aca="false">INDEX('Scored Accounts'!$R$2:$R$301,MATCH(A31,'Scored Accounts'!$A$2:$A$301,0))</f>
        <v>High</v>
      </c>
      <c r="AA31" s="2" t="str">
        <f aca="false">INDEX('Scored Accounts'!$T$2:$T$301,MATCH(A31,'Scored Accounts'!$A$2:$A$301,0))</f>
        <v/>
      </c>
      <c r="AB31" s="2" t="str">
        <f aca="false">IF(Z31="Low","Lower dep / ","Higher dep / ")&amp;IF(O31&gt;=Assumptions!$B$34,"Higher value","Lower value")</f>
        <v>Higher dep / Higher value</v>
      </c>
    </row>
    <row r="32" customFormat="false" ht="15" hidden="false" customHeight="false" outlineLevel="0" collapsed="false">
      <c r="A32" s="2" t="s">
        <v>416</v>
      </c>
      <c r="B32" s="2" t="s">
        <v>1571</v>
      </c>
      <c r="C32" s="2" t="s">
        <v>1640</v>
      </c>
      <c r="D32" s="2" t="s">
        <v>1658</v>
      </c>
      <c r="E32" s="2" t="s">
        <v>1658</v>
      </c>
      <c r="F32" s="2" t="s">
        <v>1572</v>
      </c>
      <c r="G32" s="2" t="n">
        <v>9</v>
      </c>
      <c r="H32" s="2" t="n">
        <v>8</v>
      </c>
      <c r="I32" s="9" t="n">
        <v>0</v>
      </c>
      <c r="J32" s="9" t="n">
        <v>1194</v>
      </c>
      <c r="K32" s="9" t="n">
        <v>0</v>
      </c>
      <c r="L32" s="9" t="n">
        <v>0</v>
      </c>
      <c r="M32" s="9" t="n">
        <v>1153</v>
      </c>
      <c r="N32" s="9" t="n">
        <v>2025</v>
      </c>
      <c r="O32" s="9" t="n">
        <v>4372</v>
      </c>
      <c r="P32" s="2"/>
      <c r="Q32" s="2" t="str">
        <f aca="false">IF(I32&gt;0,ROUND((N32-I32)/I32*100,0),"")</f>
        <v/>
      </c>
      <c r="R32" s="9" t="n">
        <f aca="false">SUM(I32:K32)</f>
        <v>1194</v>
      </c>
      <c r="S32" s="9" t="n">
        <f aca="false">SUM(L32:N32)</f>
        <v>3178</v>
      </c>
      <c r="T32" s="17" t="n">
        <f aca="false">IF(R32&gt;0,S32/R32-1,"")</f>
        <v>1.66164154103853</v>
      </c>
      <c r="U32" s="2" t="str">
        <f aca="false">IF(AND(R32=0,S32&gt;0),"H2 Active / No H1 GMV",IF(S32=0,"Lapsed",IF(T32&gt;=Assumptions!$B$36,"Growing",IF(T32&lt;-Assumptions!$B$36,"Declining","Stable"))))</f>
        <v>Growing</v>
      </c>
      <c r="V32" s="2" t="n">
        <f aca="false">COUNTIF(I32:N32,"&gt;0")</f>
        <v>3</v>
      </c>
      <c r="W32" s="2" t="str">
        <f aca="false">IF(N32&gt;0,"Feb",IF(M32&gt;0,"Jan",IF(L32&gt;0,"Dec",IF(K32&gt;0,"Nov",IF(J32&gt;0,"Oct","Sep")))))</f>
        <v>Feb</v>
      </c>
      <c r="X32" s="2" t="str">
        <f aca="false">IF(O32&gt;=Assumptions!$B$35,"Key (&gt;=£10k)",IF(O32&gt;=Assumptions!$B$34,"Core (£2k-10k)","Tail (&lt;£2k)"))</f>
        <v>Core (£2k-10k)</v>
      </c>
      <c r="Y32" s="21" t="n">
        <f aca="false">INDEX('Scored Accounts'!$Q$2:$Q$301,MATCH(A32,'Scored Accounts'!$A$2:$A$301,0))</f>
        <v>75</v>
      </c>
      <c r="Z32" s="2" t="str">
        <f aca="false">INDEX('Scored Accounts'!$R$2:$R$301,MATCH(A32,'Scored Accounts'!$A$2:$A$301,0))</f>
        <v>High</v>
      </c>
      <c r="AA32" s="2" t="str">
        <f aca="false">INDEX('Scored Accounts'!$T$2:$T$301,MATCH(A32,'Scored Accounts'!$A$2:$A$301,0))</f>
        <v/>
      </c>
      <c r="AB32" s="2" t="str">
        <f aca="false">IF(Z32="Low","Lower dep / ","Higher dep / ")&amp;IF(O32&gt;=Assumptions!$B$34,"Higher value","Lower value")</f>
        <v>Higher dep / Higher value</v>
      </c>
    </row>
    <row r="33" customFormat="false" ht="15" hidden="false" customHeight="false" outlineLevel="0" collapsed="false">
      <c r="A33" s="2" t="s">
        <v>229</v>
      </c>
      <c r="B33" s="2" t="s">
        <v>1571</v>
      </c>
      <c r="C33" s="2" t="s">
        <v>1640</v>
      </c>
      <c r="D33" s="2" t="s">
        <v>1658</v>
      </c>
      <c r="E33" s="2" t="s">
        <v>1658</v>
      </c>
      <c r="F33" s="2" t="s">
        <v>1572</v>
      </c>
      <c r="G33" s="2" t="n">
        <v>12</v>
      </c>
      <c r="H33" s="2" t="n">
        <v>2</v>
      </c>
      <c r="I33" s="9" t="n">
        <v>0</v>
      </c>
      <c r="J33" s="9" t="n">
        <v>1825</v>
      </c>
      <c r="K33" s="9" t="n">
        <v>2354</v>
      </c>
      <c r="L33" s="9" t="n">
        <v>0</v>
      </c>
      <c r="M33" s="9" t="n">
        <v>0</v>
      </c>
      <c r="N33" s="9" t="n">
        <v>0</v>
      </c>
      <c r="O33" s="9" t="n">
        <v>4179</v>
      </c>
      <c r="P33" s="2"/>
      <c r="Q33" s="2" t="str">
        <f aca="false">IF(I33&gt;0,ROUND((N33-I33)/I33*100,0),"")</f>
        <v/>
      </c>
      <c r="R33" s="9" t="n">
        <f aca="false">SUM(I33:K33)</f>
        <v>4179</v>
      </c>
      <c r="S33" s="9" t="n">
        <f aca="false">SUM(L33:N33)</f>
        <v>0</v>
      </c>
      <c r="T33" s="17" t="n">
        <f aca="false">IF(R33&gt;0,S33/R33-1,"")</f>
        <v>-1</v>
      </c>
      <c r="U33" s="2" t="str">
        <f aca="false">IF(AND(R33=0,S33&gt;0),"H2 Active / No H1 GMV",IF(S33=0,"Lapsed",IF(T33&gt;=Assumptions!$B$36,"Growing",IF(T33&lt;-Assumptions!$B$36,"Declining","Stable"))))</f>
        <v>Lapsed</v>
      </c>
      <c r="V33" s="2" t="n">
        <f aca="false">COUNTIF(I33:N33,"&gt;0")</f>
        <v>2</v>
      </c>
      <c r="W33" s="2" t="str">
        <f aca="false">IF(N33&gt;0,"Feb",IF(M33&gt;0,"Jan",IF(L33&gt;0,"Dec",IF(K33&gt;0,"Nov",IF(J33&gt;0,"Oct","Sep")))))</f>
        <v>Nov</v>
      </c>
      <c r="X33" s="2" t="str">
        <f aca="false">IF(O33&gt;=Assumptions!$B$35,"Key (&gt;=£10k)",IF(O33&gt;=Assumptions!$B$34,"Core (£2k-10k)","Tail (&lt;£2k)"))</f>
        <v>Core (£2k-10k)</v>
      </c>
      <c r="Y33" s="21" t="n">
        <f aca="false">INDEX('Scored Accounts'!$Q$2:$Q$301,MATCH(A33,'Scored Accounts'!$A$2:$A$301,0))</f>
        <v>95</v>
      </c>
      <c r="Z33" s="2" t="str">
        <f aca="false">INDEX('Scored Accounts'!$R$2:$R$301,MATCH(A33,'Scored Accounts'!$A$2:$A$301,0))</f>
        <v>High</v>
      </c>
      <c r="AA33" s="2" t="str">
        <f aca="false">INDEX('Scored Accounts'!$T$2:$T$301,MATCH(A33,'Scored Accounts'!$A$2:$A$301,0))</f>
        <v>Low confidence</v>
      </c>
      <c r="AB33" s="2" t="str">
        <f aca="false">IF(Z33="Low","Lower dep / ","Higher dep / ")&amp;IF(O33&gt;=Assumptions!$B$34,"Higher value","Lower value")</f>
        <v>Higher dep / Higher value</v>
      </c>
    </row>
    <row r="34" customFormat="false" ht="15" hidden="false" customHeight="false" outlineLevel="0" collapsed="false">
      <c r="A34" s="2" t="s">
        <v>419</v>
      </c>
      <c r="B34" s="2" t="s">
        <v>1571</v>
      </c>
      <c r="C34" s="2" t="s">
        <v>1640</v>
      </c>
      <c r="D34" s="2" t="s">
        <v>1657</v>
      </c>
      <c r="E34" s="2" t="s">
        <v>1718</v>
      </c>
      <c r="F34" s="2" t="s">
        <v>1572</v>
      </c>
      <c r="G34" s="2" t="n">
        <v>7</v>
      </c>
      <c r="H34" s="2" t="n">
        <v>8</v>
      </c>
      <c r="I34" s="9" t="n">
        <v>0</v>
      </c>
      <c r="J34" s="9" t="n">
        <v>754</v>
      </c>
      <c r="K34" s="9" t="n">
        <v>1372</v>
      </c>
      <c r="L34" s="9" t="n">
        <v>290</v>
      </c>
      <c r="M34" s="9" t="n">
        <v>895</v>
      </c>
      <c r="N34" s="9" t="n">
        <v>614</v>
      </c>
      <c r="O34" s="9" t="n">
        <v>3925</v>
      </c>
      <c r="P34" s="2"/>
      <c r="Q34" s="2" t="str">
        <f aca="false">IF(I34&gt;0,ROUND((N34-I34)/I34*100,0),"")</f>
        <v/>
      </c>
      <c r="R34" s="9" t="n">
        <f aca="false">SUM(I34:K34)</f>
        <v>2126</v>
      </c>
      <c r="S34" s="9" t="n">
        <f aca="false">SUM(L34:N34)</f>
        <v>1799</v>
      </c>
      <c r="T34" s="17" t="n">
        <f aca="false">IF(R34&gt;0,S34/R34-1,"")</f>
        <v>-0.153809971777987</v>
      </c>
      <c r="U34" s="2" t="str">
        <f aca="false">IF(AND(R34=0,S34&gt;0),"H2 Active / No H1 GMV",IF(S34=0,"Lapsed",IF(T34&gt;=Assumptions!$B$36,"Growing",IF(T34&lt;-Assumptions!$B$36,"Declining","Stable"))))</f>
        <v>Stable</v>
      </c>
      <c r="V34" s="2" t="n">
        <f aca="false">COUNTIF(I34:N34,"&gt;0")</f>
        <v>5</v>
      </c>
      <c r="W34" s="2" t="str">
        <f aca="false">IF(N34&gt;0,"Feb",IF(M34&gt;0,"Jan",IF(L34&gt;0,"Dec",IF(K34&gt;0,"Nov",IF(J34&gt;0,"Oct","Sep")))))</f>
        <v>Feb</v>
      </c>
      <c r="X34" s="2" t="str">
        <f aca="false">IF(O34&gt;=Assumptions!$B$35,"Key (&gt;=£10k)",IF(O34&gt;=Assumptions!$B$34,"Core (£2k-10k)","Tail (&lt;£2k)"))</f>
        <v>Core (£2k-10k)</v>
      </c>
      <c r="Y34" s="21" t="n">
        <f aca="false">INDEX('Scored Accounts'!$Q$2:$Q$301,MATCH(A34,'Scored Accounts'!$A$2:$A$301,0))</f>
        <v>65</v>
      </c>
      <c r="Z34" s="2" t="str">
        <f aca="false">INDEX('Scored Accounts'!$R$2:$R$301,MATCH(A34,'Scored Accounts'!$A$2:$A$301,0))</f>
        <v>Medium</v>
      </c>
      <c r="AA34" s="2" t="str">
        <f aca="false">INDEX('Scored Accounts'!$T$2:$T$301,MATCH(A34,'Scored Accounts'!$A$2:$A$301,0))</f>
        <v/>
      </c>
      <c r="AB34" s="2" t="str">
        <f aca="false">IF(Z34="Low","Lower dep / ","Higher dep / ")&amp;IF(O34&gt;=Assumptions!$B$34,"Higher value","Lower value")</f>
        <v>Higher dep / Higher value</v>
      </c>
    </row>
    <row r="35" customFormat="false" ht="15" hidden="false" customHeight="false" outlineLevel="0" collapsed="false">
      <c r="A35" s="2" t="s">
        <v>458</v>
      </c>
      <c r="B35" s="2" t="s">
        <v>1571</v>
      </c>
      <c r="C35" s="2" t="s">
        <v>1640</v>
      </c>
      <c r="D35" s="2" t="s">
        <v>1655</v>
      </c>
      <c r="E35" s="2" t="s">
        <v>1655</v>
      </c>
      <c r="F35" s="2" t="s">
        <v>1572</v>
      </c>
      <c r="G35" s="2" t="n">
        <v>7</v>
      </c>
      <c r="H35" s="2" t="n">
        <v>4</v>
      </c>
      <c r="I35" s="9" t="n">
        <v>616</v>
      </c>
      <c r="J35" s="9" t="n">
        <v>1325</v>
      </c>
      <c r="K35" s="9" t="n">
        <v>0</v>
      </c>
      <c r="L35" s="9" t="n">
        <v>1585</v>
      </c>
      <c r="M35" s="9" t="n">
        <v>386</v>
      </c>
      <c r="N35" s="9" t="n">
        <v>0</v>
      </c>
      <c r="O35" s="9" t="n">
        <v>3913</v>
      </c>
      <c r="P35" s="2" t="n">
        <v>-100</v>
      </c>
      <c r="Q35" s="2" t="n">
        <f aca="false">IF(I35&gt;0,ROUND((N35-I35)/I35*100,0),"")</f>
        <v>-100</v>
      </c>
      <c r="R35" s="9" t="n">
        <f aca="false">SUM(I35:K35)</f>
        <v>1941</v>
      </c>
      <c r="S35" s="9" t="n">
        <f aca="false">SUM(L35:N35)</f>
        <v>1971</v>
      </c>
      <c r="T35" s="17" t="n">
        <f aca="false">IF(R35&gt;0,S35/R35-1,"")</f>
        <v>0.0154559505409582</v>
      </c>
      <c r="U35" s="2" t="str">
        <f aca="false">IF(AND(R35=0,S35&gt;0),"H2 Active / No H1 GMV",IF(S35=0,"Lapsed",IF(T35&gt;=Assumptions!$B$36,"Growing",IF(T35&lt;-Assumptions!$B$36,"Declining","Stable"))))</f>
        <v>Stable</v>
      </c>
      <c r="V35" s="2" t="n">
        <f aca="false">COUNTIF(I35:N35,"&gt;0")</f>
        <v>4</v>
      </c>
      <c r="W35" s="2" t="str">
        <f aca="false">IF(N35&gt;0,"Feb",IF(M35&gt;0,"Jan",IF(L35&gt;0,"Dec",IF(K35&gt;0,"Nov",IF(J35&gt;0,"Oct","Sep")))))</f>
        <v>Jan</v>
      </c>
      <c r="X35" s="2" t="str">
        <f aca="false">IF(O35&gt;=Assumptions!$B$35,"Key (&gt;=£10k)",IF(O35&gt;=Assumptions!$B$34,"Core (£2k-10k)","Tail (&lt;£2k)"))</f>
        <v>Core (£2k-10k)</v>
      </c>
      <c r="Y35" s="21" t="n">
        <f aca="false">INDEX('Scored Accounts'!$Q$2:$Q$301,MATCH(A35,'Scored Accounts'!$A$2:$A$301,0))</f>
        <v>87.5</v>
      </c>
      <c r="Z35" s="2" t="str">
        <f aca="false">INDEX('Scored Accounts'!$R$2:$R$301,MATCH(A35,'Scored Accounts'!$A$2:$A$301,0))</f>
        <v>High</v>
      </c>
      <c r="AA35" s="2" t="str">
        <f aca="false">INDEX('Scored Accounts'!$T$2:$T$301,MATCH(A35,'Scored Accounts'!$A$2:$A$301,0))</f>
        <v/>
      </c>
      <c r="AB35" s="2" t="str">
        <f aca="false">IF(Z35="Low","Lower dep / ","Higher dep / ")&amp;IF(O35&gt;=Assumptions!$B$34,"Higher value","Lower value")</f>
        <v>Higher dep / Higher value</v>
      </c>
    </row>
    <row r="36" customFormat="false" ht="15" hidden="false" customHeight="false" outlineLevel="0" collapsed="false">
      <c r="A36" s="2" t="s">
        <v>235</v>
      </c>
      <c r="B36" s="2" t="s">
        <v>1571</v>
      </c>
      <c r="C36" s="2" t="s">
        <v>1640</v>
      </c>
      <c r="D36" s="2" t="s">
        <v>1653</v>
      </c>
      <c r="E36" s="2" t="s">
        <v>1653</v>
      </c>
      <c r="F36" s="2" t="s">
        <v>1572</v>
      </c>
      <c r="G36" s="2" t="n">
        <v>19</v>
      </c>
      <c r="H36" s="2" t="n">
        <v>5</v>
      </c>
      <c r="I36" s="9" t="n">
        <v>0</v>
      </c>
      <c r="J36" s="9" t="n">
        <v>442</v>
      </c>
      <c r="K36" s="9" t="n">
        <v>2153</v>
      </c>
      <c r="L36" s="9" t="n">
        <v>0</v>
      </c>
      <c r="M36" s="9" t="n">
        <v>1311</v>
      </c>
      <c r="N36" s="9" t="n">
        <v>0</v>
      </c>
      <c r="O36" s="9" t="n">
        <v>3906</v>
      </c>
      <c r="P36" s="2"/>
      <c r="Q36" s="2" t="str">
        <f aca="false">IF(I36&gt;0,ROUND((N36-I36)/I36*100,0),"")</f>
        <v/>
      </c>
      <c r="R36" s="9" t="n">
        <f aca="false">SUM(I36:K36)</f>
        <v>2595</v>
      </c>
      <c r="S36" s="9" t="n">
        <f aca="false">SUM(L36:N36)</f>
        <v>1311</v>
      </c>
      <c r="T36" s="17" t="n">
        <f aca="false">IF(R36&gt;0,S36/R36-1,"")</f>
        <v>-0.494797687861272</v>
      </c>
      <c r="U36" s="2" t="str">
        <f aca="false">IF(AND(R36=0,S36&gt;0),"H2 Active / No H1 GMV",IF(S36=0,"Lapsed",IF(T36&gt;=Assumptions!$B$36,"Growing",IF(T36&lt;-Assumptions!$B$36,"Declining","Stable"))))</f>
        <v>Declining</v>
      </c>
      <c r="V36" s="2" t="n">
        <f aca="false">COUNTIF(I36:N36,"&gt;0")</f>
        <v>3</v>
      </c>
      <c r="W36" s="2" t="str">
        <f aca="false">IF(N36&gt;0,"Feb",IF(M36&gt;0,"Jan",IF(L36&gt;0,"Dec",IF(K36&gt;0,"Nov",IF(J36&gt;0,"Oct","Sep")))))</f>
        <v>Jan</v>
      </c>
      <c r="X36" s="2" t="str">
        <f aca="false">IF(O36&gt;=Assumptions!$B$35,"Key (&gt;=£10k)",IF(O36&gt;=Assumptions!$B$34,"Core (£2k-10k)","Tail (&lt;£2k)"))</f>
        <v>Core (£2k-10k)</v>
      </c>
      <c r="Y36" s="21" t="n">
        <f aca="false">INDEX('Scored Accounts'!$Q$2:$Q$301,MATCH(A36,'Scored Accounts'!$A$2:$A$301,0))</f>
        <v>67.5</v>
      </c>
      <c r="Z36" s="2" t="str">
        <f aca="false">INDEX('Scored Accounts'!$R$2:$R$301,MATCH(A36,'Scored Accounts'!$A$2:$A$301,0))</f>
        <v>Medium</v>
      </c>
      <c r="AA36" s="2" t="str">
        <f aca="false">INDEX('Scored Accounts'!$T$2:$T$301,MATCH(A36,'Scored Accounts'!$A$2:$A$301,0))</f>
        <v/>
      </c>
      <c r="AB36" s="2" t="str">
        <f aca="false">IF(Z36="Low","Lower dep / ","Higher dep / ")&amp;IF(O36&gt;=Assumptions!$B$34,"Higher value","Lower value")</f>
        <v>Higher dep / Higher value</v>
      </c>
    </row>
    <row r="37" customFormat="false" ht="15" hidden="false" customHeight="false" outlineLevel="0" collapsed="false">
      <c r="A37" s="2" t="s">
        <v>422</v>
      </c>
      <c r="B37" s="2" t="s">
        <v>1571</v>
      </c>
      <c r="C37" s="2" t="s">
        <v>1641</v>
      </c>
      <c r="D37" s="2" t="s">
        <v>1653</v>
      </c>
      <c r="E37" s="2" t="s">
        <v>1653</v>
      </c>
      <c r="F37" s="2" t="s">
        <v>1572</v>
      </c>
      <c r="G37" s="2" t="n">
        <v>13</v>
      </c>
      <c r="H37" s="2" t="n">
        <v>37</v>
      </c>
      <c r="I37" s="9" t="n">
        <v>0</v>
      </c>
      <c r="J37" s="9" t="n">
        <v>0</v>
      </c>
      <c r="K37" s="9" t="n">
        <v>369</v>
      </c>
      <c r="L37" s="9" t="n">
        <v>0</v>
      </c>
      <c r="M37" s="9" t="n">
        <v>3510</v>
      </c>
      <c r="N37" s="9" t="n">
        <v>0</v>
      </c>
      <c r="O37" s="9" t="n">
        <v>3879</v>
      </c>
      <c r="P37" s="2"/>
      <c r="Q37" s="2" t="str">
        <f aca="false">IF(I37&gt;0,ROUND((N37-I37)/I37*100,0),"")</f>
        <v/>
      </c>
      <c r="R37" s="9" t="n">
        <f aca="false">SUM(I37:K37)</f>
        <v>369</v>
      </c>
      <c r="S37" s="9" t="n">
        <f aca="false">SUM(L37:N37)</f>
        <v>3510</v>
      </c>
      <c r="T37" s="17" t="n">
        <f aca="false">IF(R37&gt;0,S37/R37-1,"")</f>
        <v>8.51219512195122</v>
      </c>
      <c r="U37" s="2" t="str">
        <f aca="false">IF(AND(R37=0,S37&gt;0),"H2 Active / No H1 GMV",IF(S37=0,"Lapsed",IF(T37&gt;=Assumptions!$B$36,"Growing",IF(T37&lt;-Assumptions!$B$36,"Declining","Stable"))))</f>
        <v>Growing</v>
      </c>
      <c r="V37" s="2" t="n">
        <f aca="false">COUNTIF(I37:N37,"&gt;0")</f>
        <v>2</v>
      </c>
      <c r="W37" s="2" t="str">
        <f aca="false">IF(N37&gt;0,"Feb",IF(M37&gt;0,"Jan",IF(L37&gt;0,"Dec",IF(K37&gt;0,"Nov",IF(J37&gt;0,"Oct","Sep")))))</f>
        <v>Jan</v>
      </c>
      <c r="X37" s="2" t="str">
        <f aca="false">IF(O37&gt;=Assumptions!$B$35,"Key (&gt;=£10k)",IF(O37&gt;=Assumptions!$B$34,"Core (£2k-10k)","Tail (&lt;£2k)"))</f>
        <v>Core (£2k-10k)</v>
      </c>
      <c r="Y37" s="21" t="n">
        <f aca="false">INDEX('Scored Accounts'!$Q$2:$Q$301,MATCH(A37,'Scored Accounts'!$A$2:$A$301,0))</f>
        <v>75</v>
      </c>
      <c r="Z37" s="2" t="str">
        <f aca="false">INDEX('Scored Accounts'!$R$2:$R$301,MATCH(A37,'Scored Accounts'!$A$2:$A$301,0))</f>
        <v>High</v>
      </c>
      <c r="AA37" s="2" t="str">
        <f aca="false">INDEX('Scored Accounts'!$T$2:$T$301,MATCH(A37,'Scored Accounts'!$A$2:$A$301,0))</f>
        <v/>
      </c>
      <c r="AB37" s="2" t="str">
        <f aca="false">IF(Z37="Low","Lower dep / ","Higher dep / ")&amp;IF(O37&gt;=Assumptions!$B$34,"Higher value","Lower value")</f>
        <v>Higher dep / Higher value</v>
      </c>
    </row>
    <row r="38" customFormat="false" ht="15" hidden="false" customHeight="false" outlineLevel="0" collapsed="false">
      <c r="A38" s="2" t="s">
        <v>239</v>
      </c>
      <c r="B38" s="2" t="s">
        <v>1571</v>
      </c>
      <c r="C38" s="2" t="s">
        <v>1640</v>
      </c>
      <c r="D38" s="2" t="s">
        <v>1657</v>
      </c>
      <c r="E38" s="2" t="s">
        <v>1719</v>
      </c>
      <c r="F38" s="2" t="s">
        <v>1572</v>
      </c>
      <c r="G38" s="2" t="n">
        <v>11</v>
      </c>
      <c r="H38" s="2" t="n">
        <v>7</v>
      </c>
      <c r="I38" s="9" t="n">
        <v>0</v>
      </c>
      <c r="J38" s="9" t="n">
        <v>93</v>
      </c>
      <c r="K38" s="9" t="n">
        <v>2502</v>
      </c>
      <c r="L38" s="9" t="n">
        <v>0</v>
      </c>
      <c r="M38" s="9" t="n">
        <v>1013</v>
      </c>
      <c r="N38" s="9" t="n">
        <v>254</v>
      </c>
      <c r="O38" s="9" t="n">
        <v>3863</v>
      </c>
      <c r="P38" s="2"/>
      <c r="Q38" s="2" t="str">
        <f aca="false">IF(I38&gt;0,ROUND((N38-I38)/I38*100,0),"")</f>
        <v/>
      </c>
      <c r="R38" s="9" t="n">
        <f aca="false">SUM(I38:K38)</f>
        <v>2595</v>
      </c>
      <c r="S38" s="9" t="n">
        <f aca="false">SUM(L38:N38)</f>
        <v>1267</v>
      </c>
      <c r="T38" s="17" t="n">
        <f aca="false">IF(R38&gt;0,S38/R38-1,"")</f>
        <v>-0.511753371868979</v>
      </c>
      <c r="U38" s="2" t="str">
        <f aca="false">IF(AND(R38=0,S38&gt;0),"H2 Active / No H1 GMV",IF(S38=0,"Lapsed",IF(T38&gt;=Assumptions!$B$36,"Growing",IF(T38&lt;-Assumptions!$B$36,"Declining","Stable"))))</f>
        <v>Declining</v>
      </c>
      <c r="V38" s="2" t="n">
        <f aca="false">COUNTIF(I38:N38,"&gt;0")</f>
        <v>4</v>
      </c>
      <c r="W38" s="2" t="str">
        <f aca="false">IF(N38&gt;0,"Feb",IF(M38&gt;0,"Jan",IF(L38&gt;0,"Dec",IF(K38&gt;0,"Nov",IF(J38&gt;0,"Oct","Sep")))))</f>
        <v>Feb</v>
      </c>
      <c r="X38" s="2" t="str">
        <f aca="false">IF(O38&gt;=Assumptions!$B$35,"Key (&gt;=£10k)",IF(O38&gt;=Assumptions!$B$34,"Core (£2k-10k)","Tail (&lt;£2k)"))</f>
        <v>Core (£2k-10k)</v>
      </c>
      <c r="Y38" s="21" t="n">
        <f aca="false">INDEX('Scored Accounts'!$Q$2:$Q$301,MATCH(A38,'Scored Accounts'!$A$2:$A$301,0))</f>
        <v>95</v>
      </c>
      <c r="Z38" s="2" t="str">
        <f aca="false">INDEX('Scored Accounts'!$R$2:$R$301,MATCH(A38,'Scored Accounts'!$A$2:$A$301,0))</f>
        <v>High</v>
      </c>
      <c r="AA38" s="2" t="str">
        <f aca="false">INDEX('Scored Accounts'!$T$2:$T$301,MATCH(A38,'Scored Accounts'!$A$2:$A$301,0))</f>
        <v/>
      </c>
      <c r="AB38" s="2" t="str">
        <f aca="false">IF(Z38="Low","Lower dep / ","Higher dep / ")&amp;IF(O38&gt;=Assumptions!$B$34,"Higher value","Lower value")</f>
        <v>Higher dep / Higher value</v>
      </c>
    </row>
    <row r="39" customFormat="false" ht="15" hidden="false" customHeight="false" outlineLevel="0" collapsed="false">
      <c r="A39" s="2" t="s">
        <v>242</v>
      </c>
      <c r="B39" s="2" t="s">
        <v>1571</v>
      </c>
      <c r="C39" s="2" t="s">
        <v>1641</v>
      </c>
      <c r="D39" s="2" t="s">
        <v>1653</v>
      </c>
      <c r="E39" s="2" t="s">
        <v>1653</v>
      </c>
      <c r="F39" s="2" t="s">
        <v>1572</v>
      </c>
      <c r="G39" s="2" t="n">
        <v>32</v>
      </c>
      <c r="H39" s="2" t="n">
        <v>2</v>
      </c>
      <c r="I39" s="9" t="n">
        <v>965</v>
      </c>
      <c r="J39" s="9" t="n">
        <v>2737</v>
      </c>
      <c r="K39" s="9" t="n">
        <v>0</v>
      </c>
      <c r="L39" s="9" t="n">
        <v>0</v>
      </c>
      <c r="M39" s="9" t="n">
        <v>0</v>
      </c>
      <c r="N39" s="9" t="n">
        <v>0</v>
      </c>
      <c r="O39" s="9" t="n">
        <v>3702</v>
      </c>
      <c r="P39" s="2" t="n">
        <v>-100</v>
      </c>
      <c r="Q39" s="2" t="n">
        <f aca="false">IF(I39&gt;0,ROUND((N39-I39)/I39*100,0),"")</f>
        <v>-100</v>
      </c>
      <c r="R39" s="9" t="n">
        <f aca="false">SUM(I39:K39)</f>
        <v>3702</v>
      </c>
      <c r="S39" s="9" t="n">
        <f aca="false">SUM(L39:N39)</f>
        <v>0</v>
      </c>
      <c r="T39" s="17" t="n">
        <f aca="false">IF(R39&gt;0,S39/R39-1,"")</f>
        <v>-1</v>
      </c>
      <c r="U39" s="2" t="str">
        <f aca="false">IF(AND(R39=0,S39&gt;0),"H2 Active / No H1 GMV",IF(S39=0,"Lapsed",IF(T39&gt;=Assumptions!$B$36,"Growing",IF(T39&lt;-Assumptions!$B$36,"Declining","Stable"))))</f>
        <v>Lapsed</v>
      </c>
      <c r="V39" s="2" t="n">
        <f aca="false">COUNTIF(I39:N39,"&gt;0")</f>
        <v>2</v>
      </c>
      <c r="W39" s="2" t="str">
        <f aca="false">IF(N39&gt;0,"Feb",IF(M39&gt;0,"Jan",IF(L39&gt;0,"Dec",IF(K39&gt;0,"Nov",IF(J39&gt;0,"Oct","Sep")))))</f>
        <v>Oct</v>
      </c>
      <c r="X39" s="2" t="str">
        <f aca="false">IF(O39&gt;=Assumptions!$B$35,"Key (&gt;=£10k)",IF(O39&gt;=Assumptions!$B$34,"Core (£2k-10k)","Tail (&lt;£2k)"))</f>
        <v>Core (£2k-10k)</v>
      </c>
      <c r="Y39" s="21" t="n">
        <f aca="false">INDEX('Scored Accounts'!$Q$2:$Q$301,MATCH(A39,'Scored Accounts'!$A$2:$A$301,0))</f>
        <v>0</v>
      </c>
      <c r="Z39" s="2" t="str">
        <f aca="false">INDEX('Scored Accounts'!$R$2:$R$301,MATCH(A39,'Scored Accounts'!$A$2:$A$301,0))</f>
        <v>Low</v>
      </c>
      <c r="AA39" s="2" t="str">
        <f aca="false">INDEX('Scored Accounts'!$T$2:$T$301,MATCH(A39,'Scored Accounts'!$A$2:$A$301,0))</f>
        <v/>
      </c>
      <c r="AB39" s="2" t="str">
        <f aca="false">IF(Z39="Low","Lower dep / ","Higher dep / ")&amp;IF(O39&gt;=Assumptions!$B$34,"Higher value","Lower value")</f>
        <v>Lower dep / Higher value</v>
      </c>
    </row>
    <row r="40" customFormat="false" ht="15" hidden="false" customHeight="false" outlineLevel="0" collapsed="false">
      <c r="A40" s="2" t="s">
        <v>462</v>
      </c>
      <c r="B40" s="2" t="s">
        <v>1571</v>
      </c>
      <c r="C40" s="2" t="s">
        <v>1640</v>
      </c>
      <c r="D40" s="2" t="s">
        <v>1658</v>
      </c>
      <c r="E40" s="2" t="s">
        <v>1658</v>
      </c>
      <c r="F40" s="2" t="s">
        <v>1572</v>
      </c>
      <c r="G40" s="2" t="n">
        <v>22</v>
      </c>
      <c r="H40" s="2" t="n">
        <v>4</v>
      </c>
      <c r="I40" s="9" t="n">
        <v>0</v>
      </c>
      <c r="J40" s="9" t="n">
        <v>361</v>
      </c>
      <c r="K40" s="9" t="n">
        <v>1092</v>
      </c>
      <c r="L40" s="9" t="n">
        <v>0</v>
      </c>
      <c r="M40" s="9" t="n">
        <v>0</v>
      </c>
      <c r="N40" s="9" t="n">
        <v>2173</v>
      </c>
      <c r="O40" s="9" t="n">
        <v>3626</v>
      </c>
      <c r="P40" s="2"/>
      <c r="Q40" s="2" t="str">
        <f aca="false">IF(I40&gt;0,ROUND((N40-I40)/I40*100,0),"")</f>
        <v/>
      </c>
      <c r="R40" s="9" t="n">
        <f aca="false">SUM(I40:K40)</f>
        <v>1453</v>
      </c>
      <c r="S40" s="9" t="n">
        <f aca="false">SUM(L40:N40)</f>
        <v>2173</v>
      </c>
      <c r="T40" s="17" t="n">
        <f aca="false">IF(R40&gt;0,S40/R40-1,"")</f>
        <v>0.495526496902959</v>
      </c>
      <c r="U40" s="2" t="str">
        <f aca="false">IF(AND(R40=0,S40&gt;0),"H2 Active / No H1 GMV",IF(S40=0,"Lapsed",IF(T40&gt;=Assumptions!$B$36,"Growing",IF(T40&lt;-Assumptions!$B$36,"Declining","Stable"))))</f>
        <v>Growing</v>
      </c>
      <c r="V40" s="2" t="n">
        <f aca="false">COUNTIF(I40:N40,"&gt;0")</f>
        <v>3</v>
      </c>
      <c r="W40" s="2" t="str">
        <f aca="false">IF(N40&gt;0,"Feb",IF(M40&gt;0,"Jan",IF(L40&gt;0,"Dec",IF(K40&gt;0,"Nov",IF(J40&gt;0,"Oct","Sep")))))</f>
        <v>Feb</v>
      </c>
      <c r="X40" s="2" t="str">
        <f aca="false">IF(O40&gt;=Assumptions!$B$35,"Key (&gt;=£10k)",IF(O40&gt;=Assumptions!$B$34,"Core (£2k-10k)","Tail (&lt;£2k)"))</f>
        <v>Core (£2k-10k)</v>
      </c>
      <c r="Y40" s="21" t="n">
        <f aca="false">INDEX('Scored Accounts'!$Q$2:$Q$301,MATCH(A40,'Scored Accounts'!$A$2:$A$301,0))</f>
        <v>75</v>
      </c>
      <c r="Z40" s="2" t="str">
        <f aca="false">INDEX('Scored Accounts'!$R$2:$R$301,MATCH(A40,'Scored Accounts'!$A$2:$A$301,0))</f>
        <v>High</v>
      </c>
      <c r="AA40" s="2" t="str">
        <f aca="false">INDEX('Scored Accounts'!$T$2:$T$301,MATCH(A40,'Scored Accounts'!$A$2:$A$301,0))</f>
        <v/>
      </c>
      <c r="AB40" s="2" t="str">
        <f aca="false">IF(Z40="Low","Lower dep / ","Higher dep / ")&amp;IF(O40&gt;=Assumptions!$B$34,"Higher value","Lower value")</f>
        <v>Higher dep / Higher value</v>
      </c>
    </row>
    <row r="41" customFormat="false" ht="15" hidden="false" customHeight="false" outlineLevel="0" collapsed="false">
      <c r="A41" s="2" t="s">
        <v>245</v>
      </c>
      <c r="B41" s="2" t="s">
        <v>1571</v>
      </c>
      <c r="C41" s="2" t="s">
        <v>1640</v>
      </c>
      <c r="D41" s="2" t="s">
        <v>1654</v>
      </c>
      <c r="E41" s="2" t="s">
        <v>1654</v>
      </c>
      <c r="F41" s="2" t="s">
        <v>1572</v>
      </c>
      <c r="G41" s="2" t="n">
        <v>12</v>
      </c>
      <c r="H41" s="2" t="n">
        <v>6</v>
      </c>
      <c r="I41" s="9" t="n">
        <v>926</v>
      </c>
      <c r="J41" s="9" t="n">
        <v>1766</v>
      </c>
      <c r="K41" s="9" t="n">
        <v>0</v>
      </c>
      <c r="L41" s="9" t="n">
        <v>0</v>
      </c>
      <c r="M41" s="9" t="n">
        <v>0</v>
      </c>
      <c r="N41" s="9" t="n">
        <v>887</v>
      </c>
      <c r="O41" s="9" t="n">
        <v>3579</v>
      </c>
      <c r="P41" s="2" t="n">
        <v>-4</v>
      </c>
      <c r="Q41" s="2" t="n">
        <f aca="false">IF(I41&gt;0,ROUND((N41-I41)/I41*100,0),"")</f>
        <v>-4</v>
      </c>
      <c r="R41" s="9" t="n">
        <f aca="false">SUM(I41:K41)</f>
        <v>2692</v>
      </c>
      <c r="S41" s="9" t="n">
        <f aca="false">SUM(L41:N41)</f>
        <v>887</v>
      </c>
      <c r="T41" s="17" t="n">
        <f aca="false">IF(R41&gt;0,S41/R41-1,"")</f>
        <v>-0.670505200594354</v>
      </c>
      <c r="U41" s="2" t="str">
        <f aca="false">IF(AND(R41=0,S41&gt;0),"H2 Active / No H1 GMV",IF(S41=0,"Lapsed",IF(T41&gt;=Assumptions!$B$36,"Growing",IF(T41&lt;-Assumptions!$B$36,"Declining","Stable"))))</f>
        <v>Declining</v>
      </c>
      <c r="V41" s="2" t="n">
        <f aca="false">COUNTIF(I41:N41,"&gt;0")</f>
        <v>3</v>
      </c>
      <c r="W41" s="2" t="str">
        <f aca="false">IF(N41&gt;0,"Feb",IF(M41&gt;0,"Jan",IF(L41&gt;0,"Dec",IF(K41&gt;0,"Nov",IF(J41&gt;0,"Oct","Sep")))))</f>
        <v>Feb</v>
      </c>
      <c r="X41" s="2" t="str">
        <f aca="false">IF(O41&gt;=Assumptions!$B$35,"Key (&gt;=£10k)",IF(O41&gt;=Assumptions!$B$34,"Core (£2k-10k)","Tail (&lt;£2k)"))</f>
        <v>Core (£2k-10k)</v>
      </c>
      <c r="Y41" s="21" t="n">
        <f aca="false">INDEX('Scored Accounts'!$Q$2:$Q$301,MATCH(A41,'Scored Accounts'!$A$2:$A$301,0))</f>
        <v>75</v>
      </c>
      <c r="Z41" s="2" t="str">
        <f aca="false">INDEX('Scored Accounts'!$R$2:$R$301,MATCH(A41,'Scored Accounts'!$A$2:$A$301,0))</f>
        <v>High</v>
      </c>
      <c r="AA41" s="2" t="str">
        <f aca="false">INDEX('Scored Accounts'!$T$2:$T$301,MATCH(A41,'Scored Accounts'!$A$2:$A$301,0))</f>
        <v/>
      </c>
      <c r="AB41" s="2" t="str">
        <f aca="false">IF(Z41="Low","Lower dep / ","Higher dep / ")&amp;IF(O41&gt;=Assumptions!$B$34,"Higher value","Lower value")</f>
        <v>Higher dep / Higher value</v>
      </c>
    </row>
    <row r="42" customFormat="false" ht="15" hidden="false" customHeight="false" outlineLevel="0" collapsed="false">
      <c r="A42" s="2" t="s">
        <v>248</v>
      </c>
      <c r="B42" s="2" t="s">
        <v>1571</v>
      </c>
      <c r="C42" s="2" t="s">
        <v>1640</v>
      </c>
      <c r="D42" s="2" t="s">
        <v>1658</v>
      </c>
      <c r="E42" s="2" t="s">
        <v>1658</v>
      </c>
      <c r="F42" s="2" t="s">
        <v>1572</v>
      </c>
      <c r="G42" s="2" t="n">
        <v>28</v>
      </c>
      <c r="H42" s="2" t="n">
        <v>7</v>
      </c>
      <c r="I42" s="9" t="n">
        <v>276</v>
      </c>
      <c r="J42" s="9" t="n">
        <v>1203</v>
      </c>
      <c r="K42" s="9" t="n">
        <v>1026</v>
      </c>
      <c r="L42" s="9" t="n">
        <v>547</v>
      </c>
      <c r="M42" s="9" t="n">
        <v>498</v>
      </c>
      <c r="N42" s="9" t="n">
        <v>0</v>
      </c>
      <c r="O42" s="9" t="n">
        <v>3549</v>
      </c>
      <c r="P42" s="2" t="n">
        <v>-100</v>
      </c>
      <c r="Q42" s="2" t="n">
        <f aca="false">IF(I42&gt;0,ROUND((N42-I42)/I42*100,0),"")</f>
        <v>-100</v>
      </c>
      <c r="R42" s="9" t="n">
        <f aca="false">SUM(I42:K42)</f>
        <v>2505</v>
      </c>
      <c r="S42" s="9" t="n">
        <f aca="false">SUM(L42:N42)</f>
        <v>1045</v>
      </c>
      <c r="T42" s="17" t="n">
        <f aca="false">IF(R42&gt;0,S42/R42-1,"")</f>
        <v>-0.582834331337325</v>
      </c>
      <c r="U42" s="2" t="str">
        <f aca="false">IF(AND(R42=0,S42&gt;0),"H2 Active / No H1 GMV",IF(S42=0,"Lapsed",IF(T42&gt;=Assumptions!$B$36,"Growing",IF(T42&lt;-Assumptions!$B$36,"Declining","Stable"))))</f>
        <v>Declining</v>
      </c>
      <c r="V42" s="2" t="n">
        <f aca="false">COUNTIF(I42:N42,"&gt;0")</f>
        <v>5</v>
      </c>
      <c r="W42" s="2" t="str">
        <f aca="false">IF(N42&gt;0,"Feb",IF(M42&gt;0,"Jan",IF(L42&gt;0,"Dec",IF(K42&gt;0,"Nov",IF(J42&gt;0,"Oct","Sep")))))</f>
        <v>Jan</v>
      </c>
      <c r="X42" s="2" t="str">
        <f aca="false">IF(O42&gt;=Assumptions!$B$35,"Key (&gt;=£10k)",IF(O42&gt;=Assumptions!$B$34,"Core (£2k-10k)","Tail (&lt;£2k)"))</f>
        <v>Core (£2k-10k)</v>
      </c>
      <c r="Y42" s="21" t="n">
        <f aca="false">INDEX('Scored Accounts'!$Q$2:$Q$301,MATCH(A42,'Scored Accounts'!$A$2:$A$301,0))</f>
        <v>80</v>
      </c>
      <c r="Z42" s="2" t="str">
        <f aca="false">INDEX('Scored Accounts'!$R$2:$R$301,MATCH(A42,'Scored Accounts'!$A$2:$A$301,0))</f>
        <v>High</v>
      </c>
      <c r="AA42" s="2" t="str">
        <f aca="false">INDEX('Scored Accounts'!$T$2:$T$301,MATCH(A42,'Scored Accounts'!$A$2:$A$301,0))</f>
        <v/>
      </c>
      <c r="AB42" s="2" t="str">
        <f aca="false">IF(Z42="Low","Lower dep / ","Higher dep / ")&amp;IF(O42&gt;=Assumptions!$B$34,"Higher value","Lower value")</f>
        <v>Higher dep / Higher value</v>
      </c>
    </row>
    <row r="43" customFormat="false" ht="15" hidden="false" customHeight="false" outlineLevel="0" collapsed="false">
      <c r="A43" s="2" t="s">
        <v>260</v>
      </c>
      <c r="B43" s="2" t="s">
        <v>1571</v>
      </c>
      <c r="C43" s="2" t="s">
        <v>1640</v>
      </c>
      <c r="D43" s="2" t="s">
        <v>1657</v>
      </c>
      <c r="E43" s="2" t="s">
        <v>1720</v>
      </c>
      <c r="F43" s="2" t="s">
        <v>1572</v>
      </c>
      <c r="G43" s="2" t="n">
        <v>34</v>
      </c>
      <c r="H43" s="2" t="n">
        <v>1</v>
      </c>
      <c r="I43" s="9" t="n">
        <v>3478</v>
      </c>
      <c r="J43" s="9" t="n">
        <v>0</v>
      </c>
      <c r="K43" s="9" t="n">
        <v>0</v>
      </c>
      <c r="L43" s="9" t="n">
        <v>0</v>
      </c>
      <c r="M43" s="9" t="n">
        <v>0</v>
      </c>
      <c r="N43" s="9" t="n">
        <v>0</v>
      </c>
      <c r="O43" s="9" t="n">
        <v>3478</v>
      </c>
      <c r="P43" s="2" t="n">
        <v>-100</v>
      </c>
      <c r="Q43" s="2" t="n">
        <f aca="false">IF(I43&gt;0,ROUND((N43-I43)/I43*100,0),"")</f>
        <v>-100</v>
      </c>
      <c r="R43" s="9" t="n">
        <f aca="false">SUM(I43:K43)</f>
        <v>3478</v>
      </c>
      <c r="S43" s="9" t="n">
        <f aca="false">SUM(L43:N43)</f>
        <v>0</v>
      </c>
      <c r="T43" s="17" t="n">
        <f aca="false">IF(R43&gt;0,S43/R43-1,"")</f>
        <v>-1</v>
      </c>
      <c r="U43" s="2" t="str">
        <f aca="false">IF(AND(R43=0,S43&gt;0),"H2 Active / No H1 GMV",IF(S43=0,"Lapsed",IF(T43&gt;=Assumptions!$B$36,"Growing",IF(T43&lt;-Assumptions!$B$36,"Declining","Stable"))))</f>
        <v>Lapsed</v>
      </c>
      <c r="V43" s="2" t="n">
        <f aca="false">COUNTIF(I43:N43,"&gt;0")</f>
        <v>1</v>
      </c>
      <c r="W43" s="2" t="str">
        <f aca="false">IF(N43&gt;0,"Feb",IF(M43&gt;0,"Jan",IF(L43&gt;0,"Dec",IF(K43&gt;0,"Nov",IF(J43&gt;0,"Oct","Sep")))))</f>
        <v>Sep</v>
      </c>
      <c r="X43" s="2" t="str">
        <f aca="false">IF(O43&gt;=Assumptions!$B$35,"Key (&gt;=£10k)",IF(O43&gt;=Assumptions!$B$34,"Core (£2k-10k)","Tail (&lt;£2k)"))</f>
        <v>Core (£2k-10k)</v>
      </c>
      <c r="Y43" s="21" t="n">
        <f aca="false">INDEX('Scored Accounts'!$Q$2:$Q$301,MATCH(A43,'Scored Accounts'!$A$2:$A$301,0))</f>
        <v>0</v>
      </c>
      <c r="Z43" s="2" t="str">
        <f aca="false">INDEX('Scored Accounts'!$R$2:$R$301,MATCH(A43,'Scored Accounts'!$A$2:$A$301,0))</f>
        <v>Low</v>
      </c>
      <c r="AA43" s="2" t="str">
        <f aca="false">INDEX('Scored Accounts'!$T$2:$T$301,MATCH(A43,'Scored Accounts'!$A$2:$A$301,0))</f>
        <v/>
      </c>
      <c r="AB43" s="2" t="str">
        <f aca="false">IF(Z43="Low","Lower dep / ","Higher dep / ")&amp;IF(O43&gt;=Assumptions!$B$34,"Higher value","Lower value")</f>
        <v>Lower dep / Higher value</v>
      </c>
    </row>
    <row r="44" customFormat="false" ht="15" hidden="false" customHeight="false" outlineLevel="0" collapsed="false">
      <c r="A44" s="2" t="s">
        <v>263</v>
      </c>
      <c r="B44" s="2" t="s">
        <v>1571</v>
      </c>
      <c r="C44" s="2" t="s">
        <v>1640</v>
      </c>
      <c r="D44" s="2" t="s">
        <v>1658</v>
      </c>
      <c r="E44" s="2" t="s">
        <v>1658</v>
      </c>
      <c r="F44" s="2" t="s">
        <v>1572</v>
      </c>
      <c r="G44" s="2" t="n">
        <v>20</v>
      </c>
      <c r="H44" s="2" t="n">
        <v>5</v>
      </c>
      <c r="I44" s="9" t="n">
        <v>1101</v>
      </c>
      <c r="J44" s="9" t="n">
        <v>0</v>
      </c>
      <c r="K44" s="9" t="n">
        <v>1354</v>
      </c>
      <c r="L44" s="9" t="n">
        <v>0</v>
      </c>
      <c r="M44" s="9" t="n">
        <v>980</v>
      </c>
      <c r="N44" s="9" t="n">
        <v>0</v>
      </c>
      <c r="O44" s="9" t="n">
        <v>3434</v>
      </c>
      <c r="P44" s="2" t="n">
        <v>-100</v>
      </c>
      <c r="Q44" s="2" t="n">
        <f aca="false">IF(I44&gt;0,ROUND((N44-I44)/I44*100,0),"")</f>
        <v>-100</v>
      </c>
      <c r="R44" s="9" t="n">
        <f aca="false">SUM(I44:K44)</f>
        <v>2455</v>
      </c>
      <c r="S44" s="9" t="n">
        <f aca="false">SUM(L44:N44)</f>
        <v>980</v>
      </c>
      <c r="T44" s="17" t="n">
        <f aca="false">IF(R44&gt;0,S44/R44-1,"")</f>
        <v>-0.60081466395112</v>
      </c>
      <c r="U44" s="2" t="str">
        <f aca="false">IF(AND(R44=0,S44&gt;0),"H2 Active / No H1 GMV",IF(S44=0,"Lapsed",IF(T44&gt;=Assumptions!$B$36,"Growing",IF(T44&lt;-Assumptions!$B$36,"Declining","Stable"))))</f>
        <v>Declining</v>
      </c>
      <c r="V44" s="2" t="n">
        <f aca="false">COUNTIF(I44:N44,"&gt;0")</f>
        <v>3</v>
      </c>
      <c r="W44" s="2" t="str">
        <f aca="false">IF(N44&gt;0,"Feb",IF(M44&gt;0,"Jan",IF(L44&gt;0,"Dec",IF(K44&gt;0,"Nov",IF(J44&gt;0,"Oct","Sep")))))</f>
        <v>Jan</v>
      </c>
      <c r="X44" s="2" t="str">
        <f aca="false">IF(O44&gt;=Assumptions!$B$35,"Key (&gt;=£10k)",IF(O44&gt;=Assumptions!$B$34,"Core (£2k-10k)","Tail (&lt;£2k)"))</f>
        <v>Core (£2k-10k)</v>
      </c>
      <c r="Y44" s="21" t="n">
        <f aca="false">INDEX('Scored Accounts'!$Q$2:$Q$301,MATCH(A44,'Scored Accounts'!$A$2:$A$301,0))</f>
        <v>75</v>
      </c>
      <c r="Z44" s="2" t="str">
        <f aca="false">INDEX('Scored Accounts'!$R$2:$R$301,MATCH(A44,'Scored Accounts'!$A$2:$A$301,0))</f>
        <v>High</v>
      </c>
      <c r="AA44" s="2" t="str">
        <f aca="false">INDEX('Scored Accounts'!$T$2:$T$301,MATCH(A44,'Scored Accounts'!$A$2:$A$301,0))</f>
        <v/>
      </c>
      <c r="AB44" s="2" t="str">
        <f aca="false">IF(Z44="Low","Lower dep / ","Higher dep / ")&amp;IF(O44&gt;=Assumptions!$B$34,"Higher value","Lower value")</f>
        <v>Higher dep / Higher value</v>
      </c>
    </row>
    <row r="45" customFormat="false" ht="15" hidden="false" customHeight="false" outlineLevel="0" collapsed="false">
      <c r="A45" s="2" t="s">
        <v>266</v>
      </c>
      <c r="B45" s="2" t="s">
        <v>1571</v>
      </c>
      <c r="C45" s="2" t="s">
        <v>1641</v>
      </c>
      <c r="D45" s="2" t="s">
        <v>1658</v>
      </c>
      <c r="E45" s="2" t="s">
        <v>1658</v>
      </c>
      <c r="F45" s="2" t="s">
        <v>1572</v>
      </c>
      <c r="G45" s="2" t="n">
        <v>8</v>
      </c>
      <c r="H45" s="2" t="n">
        <v>3</v>
      </c>
      <c r="I45" s="9" t="n">
        <v>3383</v>
      </c>
      <c r="J45" s="9" t="n">
        <v>0</v>
      </c>
      <c r="K45" s="9" t="n">
        <v>0</v>
      </c>
      <c r="L45" s="9" t="n">
        <v>0</v>
      </c>
      <c r="M45" s="9" t="n">
        <v>0</v>
      </c>
      <c r="N45" s="9" t="n">
        <v>0</v>
      </c>
      <c r="O45" s="9" t="n">
        <v>3383</v>
      </c>
      <c r="P45" s="2" t="n">
        <v>-100</v>
      </c>
      <c r="Q45" s="2" t="n">
        <f aca="false">IF(I45&gt;0,ROUND((N45-I45)/I45*100,0),"")</f>
        <v>-100</v>
      </c>
      <c r="R45" s="9" t="n">
        <f aca="false">SUM(I45:K45)</f>
        <v>3383</v>
      </c>
      <c r="S45" s="9" t="n">
        <f aca="false">SUM(L45:N45)</f>
        <v>0</v>
      </c>
      <c r="T45" s="17" t="n">
        <f aca="false">IF(R45&gt;0,S45/R45-1,"")</f>
        <v>-1</v>
      </c>
      <c r="U45" s="2" t="str">
        <f aca="false">IF(AND(R45=0,S45&gt;0),"H2 Active / No H1 GMV",IF(S45=0,"Lapsed",IF(T45&gt;=Assumptions!$B$36,"Growing",IF(T45&lt;-Assumptions!$B$36,"Declining","Stable"))))</f>
        <v>Lapsed</v>
      </c>
      <c r="V45" s="2" t="n">
        <f aca="false">COUNTIF(I45:N45,"&gt;0")</f>
        <v>1</v>
      </c>
      <c r="W45" s="2" t="str">
        <f aca="false">IF(N45&gt;0,"Feb",IF(M45&gt;0,"Jan",IF(L45&gt;0,"Dec",IF(K45&gt;0,"Nov",IF(J45&gt;0,"Oct","Sep")))))</f>
        <v>Sep</v>
      </c>
      <c r="X45" s="2" t="str">
        <f aca="false">IF(O45&gt;=Assumptions!$B$35,"Key (&gt;=£10k)",IF(O45&gt;=Assumptions!$B$34,"Core (£2k-10k)","Tail (&lt;£2k)"))</f>
        <v>Core (£2k-10k)</v>
      </c>
      <c r="Y45" s="21" t="n">
        <f aca="false">INDEX('Scored Accounts'!$Q$2:$Q$301,MATCH(A45,'Scored Accounts'!$A$2:$A$301,0))</f>
        <v>82.5</v>
      </c>
      <c r="Z45" s="2" t="str">
        <f aca="false">INDEX('Scored Accounts'!$R$2:$R$301,MATCH(A45,'Scored Accounts'!$A$2:$A$301,0))</f>
        <v>High</v>
      </c>
      <c r="AA45" s="2" t="str">
        <f aca="false">INDEX('Scored Accounts'!$T$2:$T$301,MATCH(A45,'Scored Accounts'!$A$2:$A$301,0))</f>
        <v/>
      </c>
      <c r="AB45" s="2" t="str">
        <f aca="false">IF(Z45="Low","Lower dep / ","Higher dep / ")&amp;IF(O45&gt;=Assumptions!$B$34,"Higher value","Lower value")</f>
        <v>Higher dep / Higher value</v>
      </c>
    </row>
    <row r="46" customFormat="false" ht="15" hidden="false" customHeight="false" outlineLevel="0" collapsed="false">
      <c r="A46" s="2" t="s">
        <v>269</v>
      </c>
      <c r="B46" s="2" t="s">
        <v>1571</v>
      </c>
      <c r="C46" s="2" t="s">
        <v>1640</v>
      </c>
      <c r="D46" s="2" t="s">
        <v>1656</v>
      </c>
      <c r="E46" s="2" t="s">
        <v>1721</v>
      </c>
      <c r="F46" s="2" t="s">
        <v>1572</v>
      </c>
      <c r="G46" s="2" t="n">
        <v>7</v>
      </c>
      <c r="H46" s="2" t="n">
        <v>18</v>
      </c>
      <c r="I46" s="9" t="n">
        <v>463</v>
      </c>
      <c r="J46" s="9" t="n">
        <v>979</v>
      </c>
      <c r="K46" s="9" t="n">
        <v>1114</v>
      </c>
      <c r="L46" s="9" t="n">
        <v>425</v>
      </c>
      <c r="M46" s="9" t="n">
        <v>0</v>
      </c>
      <c r="N46" s="9" t="n">
        <v>350</v>
      </c>
      <c r="O46" s="9" t="n">
        <v>3331</v>
      </c>
      <c r="P46" s="2" t="n">
        <v>-24</v>
      </c>
      <c r="Q46" s="2" t="n">
        <f aca="false">IF(I46&gt;0,ROUND((N46-I46)/I46*100,0),"")</f>
        <v>-24</v>
      </c>
      <c r="R46" s="9" t="n">
        <f aca="false">SUM(I46:K46)</f>
        <v>2556</v>
      </c>
      <c r="S46" s="9" t="n">
        <f aca="false">SUM(L46:N46)</f>
        <v>775</v>
      </c>
      <c r="T46" s="17" t="n">
        <f aca="false">IF(R46&gt;0,S46/R46-1,"")</f>
        <v>-0.69679186228482</v>
      </c>
      <c r="U46" s="2" t="str">
        <f aca="false">IF(AND(R46=0,S46&gt;0),"H2 Active / No H1 GMV",IF(S46=0,"Lapsed",IF(T46&gt;=Assumptions!$B$36,"Growing",IF(T46&lt;-Assumptions!$B$36,"Declining","Stable"))))</f>
        <v>Declining</v>
      </c>
      <c r="V46" s="2" t="n">
        <f aca="false">COUNTIF(I46:N46,"&gt;0")</f>
        <v>5</v>
      </c>
      <c r="W46" s="2" t="str">
        <f aca="false">IF(N46&gt;0,"Feb",IF(M46&gt;0,"Jan",IF(L46&gt;0,"Dec",IF(K46&gt;0,"Nov",IF(J46&gt;0,"Oct","Sep")))))</f>
        <v>Feb</v>
      </c>
      <c r="X46" s="2" t="str">
        <f aca="false">IF(O46&gt;=Assumptions!$B$35,"Key (&gt;=£10k)",IF(O46&gt;=Assumptions!$B$34,"Core (£2k-10k)","Tail (&lt;£2k)"))</f>
        <v>Core (£2k-10k)</v>
      </c>
      <c r="Y46" s="21" t="n">
        <f aca="false">INDEX('Scored Accounts'!$Q$2:$Q$301,MATCH(A46,'Scored Accounts'!$A$2:$A$301,0))</f>
        <v>65</v>
      </c>
      <c r="Z46" s="2" t="str">
        <f aca="false">INDEX('Scored Accounts'!$R$2:$R$301,MATCH(A46,'Scored Accounts'!$A$2:$A$301,0))</f>
        <v>Medium</v>
      </c>
      <c r="AA46" s="2" t="str">
        <f aca="false">INDEX('Scored Accounts'!$T$2:$T$301,MATCH(A46,'Scored Accounts'!$A$2:$A$301,0))</f>
        <v/>
      </c>
      <c r="AB46" s="2" t="str">
        <f aca="false">IF(Z46="Low","Lower dep / ","Higher dep / ")&amp;IF(O46&gt;=Assumptions!$B$34,"Higher value","Lower value")</f>
        <v>Higher dep / Higher value</v>
      </c>
    </row>
    <row r="47" customFormat="false" ht="15" hidden="false" customHeight="false" outlineLevel="0" collapsed="false">
      <c r="A47" s="2" t="s">
        <v>272</v>
      </c>
      <c r="B47" s="2" t="s">
        <v>1571</v>
      </c>
      <c r="C47" s="2" t="s">
        <v>1640</v>
      </c>
      <c r="D47" s="2" t="s">
        <v>1657</v>
      </c>
      <c r="E47" s="2" t="s">
        <v>1717</v>
      </c>
      <c r="F47" s="2" t="s">
        <v>1572</v>
      </c>
      <c r="G47" s="2" t="n">
        <v>11</v>
      </c>
      <c r="H47" s="2" t="n">
        <v>3</v>
      </c>
      <c r="I47" s="9" t="n">
        <v>2081</v>
      </c>
      <c r="J47" s="9" t="n">
        <v>0</v>
      </c>
      <c r="K47" s="9" t="n">
        <v>0</v>
      </c>
      <c r="L47" s="9" t="n">
        <v>0</v>
      </c>
      <c r="M47" s="9" t="n">
        <v>0</v>
      </c>
      <c r="N47" s="9" t="n">
        <v>1202</v>
      </c>
      <c r="O47" s="9" t="n">
        <v>3283</v>
      </c>
      <c r="P47" s="2" t="n">
        <v>-42</v>
      </c>
      <c r="Q47" s="2" t="n">
        <f aca="false">IF(I47&gt;0,ROUND((N47-I47)/I47*100,0),"")</f>
        <v>-42</v>
      </c>
      <c r="R47" s="9" t="n">
        <f aca="false">SUM(I47:K47)</f>
        <v>2081</v>
      </c>
      <c r="S47" s="9" t="n">
        <f aca="false">SUM(L47:N47)</f>
        <v>1202</v>
      </c>
      <c r="T47" s="17" t="n">
        <f aca="false">IF(R47&gt;0,S47/R47-1,"")</f>
        <v>-0.42239308024988</v>
      </c>
      <c r="U47" s="2" t="str">
        <f aca="false">IF(AND(R47=0,S47&gt;0),"H2 Active / No H1 GMV",IF(S47=0,"Lapsed",IF(T47&gt;=Assumptions!$B$36,"Growing",IF(T47&lt;-Assumptions!$B$36,"Declining","Stable"))))</f>
        <v>Declining</v>
      </c>
      <c r="V47" s="2" t="n">
        <f aca="false">COUNTIF(I47:N47,"&gt;0")</f>
        <v>2</v>
      </c>
      <c r="W47" s="2" t="str">
        <f aca="false">IF(N47&gt;0,"Feb",IF(M47&gt;0,"Jan",IF(L47&gt;0,"Dec",IF(K47&gt;0,"Nov",IF(J47&gt;0,"Oct","Sep")))))</f>
        <v>Feb</v>
      </c>
      <c r="X47" s="2" t="str">
        <f aca="false">IF(O47&gt;=Assumptions!$B$35,"Key (&gt;=£10k)",IF(O47&gt;=Assumptions!$B$34,"Core (£2k-10k)","Tail (&lt;£2k)"))</f>
        <v>Core (£2k-10k)</v>
      </c>
      <c r="Y47" s="21" t="n">
        <f aca="false">INDEX('Scored Accounts'!$Q$2:$Q$301,MATCH(A47,'Scored Accounts'!$A$2:$A$301,0))</f>
        <v>82.5</v>
      </c>
      <c r="Z47" s="2" t="str">
        <f aca="false">INDEX('Scored Accounts'!$R$2:$R$301,MATCH(A47,'Scored Accounts'!$A$2:$A$301,0))</f>
        <v>High</v>
      </c>
      <c r="AA47" s="2" t="str">
        <f aca="false">INDEX('Scored Accounts'!$T$2:$T$301,MATCH(A47,'Scored Accounts'!$A$2:$A$301,0))</f>
        <v/>
      </c>
      <c r="AB47" s="2" t="str">
        <f aca="false">IF(Z47="Low","Lower dep / ","Higher dep / ")&amp;IF(O47&gt;=Assumptions!$B$34,"Higher value","Lower value")</f>
        <v>Higher dep / Higher value</v>
      </c>
    </row>
    <row r="48" customFormat="false" ht="15" hidden="false" customHeight="false" outlineLevel="0" collapsed="false">
      <c r="A48" s="2" t="s">
        <v>426</v>
      </c>
      <c r="B48" s="2" t="s">
        <v>1571</v>
      </c>
      <c r="C48" s="2" t="s">
        <v>1640</v>
      </c>
      <c r="D48" s="2" t="s">
        <v>1653</v>
      </c>
      <c r="E48" s="2" t="s">
        <v>1653</v>
      </c>
      <c r="F48" s="2" t="s">
        <v>1572</v>
      </c>
      <c r="G48" s="2" t="n">
        <v>10</v>
      </c>
      <c r="H48" s="2" t="n">
        <v>6</v>
      </c>
      <c r="I48" s="9" t="n">
        <v>0</v>
      </c>
      <c r="J48" s="9" t="n">
        <v>0</v>
      </c>
      <c r="K48" s="9" t="n">
        <v>0</v>
      </c>
      <c r="L48" s="9" t="n">
        <v>681</v>
      </c>
      <c r="M48" s="9" t="n">
        <v>0</v>
      </c>
      <c r="N48" s="9" t="n">
        <v>2519</v>
      </c>
      <c r="O48" s="9" t="n">
        <v>3200</v>
      </c>
      <c r="P48" s="2"/>
      <c r="Q48" s="2" t="str">
        <f aca="false">IF(I48&gt;0,ROUND((N48-I48)/I48*100,0),"")</f>
        <v/>
      </c>
      <c r="R48" s="9" t="n">
        <f aca="false">SUM(I48:K48)</f>
        <v>0</v>
      </c>
      <c r="S48" s="9" t="n">
        <f aca="false">SUM(L48:N48)</f>
        <v>3200</v>
      </c>
      <c r="T48" s="17" t="str">
        <f aca="false">IF(R48&gt;0,S48/R48-1,"")</f>
        <v/>
      </c>
      <c r="U48" s="2" t="str">
        <f aca="false">IF(AND(R48=0,S48&gt;0),"H2 Active / No H1 GMV",IF(S48=0,"Lapsed",IF(T48&gt;=Assumptions!$B$36,"Growing",IF(T48&lt;-Assumptions!$B$36,"Declining","Stable"))))</f>
        <v>H2 Active / No H1 GMV</v>
      </c>
      <c r="V48" s="2" t="n">
        <f aca="false">COUNTIF(I48:N48,"&gt;0")</f>
        <v>2</v>
      </c>
      <c r="W48" s="2" t="str">
        <f aca="false">IF(N48&gt;0,"Feb",IF(M48&gt;0,"Jan",IF(L48&gt;0,"Dec",IF(K48&gt;0,"Nov",IF(J48&gt;0,"Oct","Sep")))))</f>
        <v>Feb</v>
      </c>
      <c r="X48" s="2" t="str">
        <f aca="false">IF(O48&gt;=Assumptions!$B$35,"Key (&gt;=£10k)",IF(O48&gt;=Assumptions!$B$34,"Core (£2k-10k)","Tail (&lt;£2k)"))</f>
        <v>Core (£2k-10k)</v>
      </c>
      <c r="Y48" s="21" t="n">
        <f aca="false">INDEX('Scored Accounts'!$Q$2:$Q$301,MATCH(A48,'Scored Accounts'!$A$2:$A$301,0))</f>
        <v>62.5</v>
      </c>
      <c r="Z48" s="2" t="str">
        <f aca="false">INDEX('Scored Accounts'!$R$2:$R$301,MATCH(A48,'Scored Accounts'!$A$2:$A$301,0))</f>
        <v>Medium</v>
      </c>
      <c r="AA48" s="2" t="str">
        <f aca="false">INDEX('Scored Accounts'!$T$2:$T$301,MATCH(A48,'Scored Accounts'!$A$2:$A$301,0))</f>
        <v/>
      </c>
      <c r="AB48" s="2" t="str">
        <f aca="false">IF(Z48="Low","Lower dep / ","Higher dep / ")&amp;IF(O48&gt;=Assumptions!$B$34,"Higher value","Lower value")</f>
        <v>Higher dep / Higher value</v>
      </c>
    </row>
    <row r="49" customFormat="false" ht="15" hidden="false" customHeight="false" outlineLevel="0" collapsed="false">
      <c r="A49" s="2" t="s">
        <v>430</v>
      </c>
      <c r="B49" s="2" t="s">
        <v>1571</v>
      </c>
      <c r="C49" s="2" t="s">
        <v>1640</v>
      </c>
      <c r="D49" s="2" t="s">
        <v>1653</v>
      </c>
      <c r="E49" s="2" t="s">
        <v>1653</v>
      </c>
      <c r="F49" s="2" t="s">
        <v>1572</v>
      </c>
      <c r="G49" s="2" t="n">
        <v>14</v>
      </c>
      <c r="H49" s="2" t="n">
        <v>4</v>
      </c>
      <c r="I49" s="9" t="n">
        <v>0</v>
      </c>
      <c r="J49" s="9" t="n">
        <v>0</v>
      </c>
      <c r="K49" s="9" t="n">
        <v>0</v>
      </c>
      <c r="L49" s="9" t="n">
        <v>0</v>
      </c>
      <c r="M49" s="9" t="n">
        <v>2649</v>
      </c>
      <c r="N49" s="9" t="n">
        <v>464</v>
      </c>
      <c r="O49" s="9" t="n">
        <v>3113</v>
      </c>
      <c r="P49" s="2"/>
      <c r="Q49" s="2" t="str">
        <f aca="false">IF(I49&gt;0,ROUND((N49-I49)/I49*100,0),"")</f>
        <v/>
      </c>
      <c r="R49" s="9" t="n">
        <f aca="false">SUM(I49:K49)</f>
        <v>0</v>
      </c>
      <c r="S49" s="9" t="n">
        <f aca="false">SUM(L49:N49)</f>
        <v>3113</v>
      </c>
      <c r="T49" s="17" t="str">
        <f aca="false">IF(R49&gt;0,S49/R49-1,"")</f>
        <v/>
      </c>
      <c r="U49" s="2" t="str">
        <f aca="false">IF(AND(R49=0,S49&gt;0),"H2 Active / No H1 GMV",IF(S49=0,"Lapsed",IF(T49&gt;=Assumptions!$B$36,"Growing",IF(T49&lt;-Assumptions!$B$36,"Declining","Stable"))))</f>
        <v>H2 Active / No H1 GMV</v>
      </c>
      <c r="V49" s="2" t="n">
        <f aca="false">COUNTIF(I49:N49,"&gt;0")</f>
        <v>2</v>
      </c>
      <c r="W49" s="2" t="str">
        <f aca="false">IF(N49&gt;0,"Feb",IF(M49&gt;0,"Jan",IF(L49&gt;0,"Dec",IF(K49&gt;0,"Nov",IF(J49&gt;0,"Oct","Sep")))))</f>
        <v>Feb</v>
      </c>
      <c r="X49" s="2" t="str">
        <f aca="false">IF(O49&gt;=Assumptions!$B$35,"Key (&gt;=£10k)",IF(O49&gt;=Assumptions!$B$34,"Core (£2k-10k)","Tail (&lt;£2k)"))</f>
        <v>Core (£2k-10k)</v>
      </c>
      <c r="Y49" s="21" t="n">
        <f aca="false">INDEX('Scored Accounts'!$Q$2:$Q$301,MATCH(A49,'Scored Accounts'!$A$2:$A$301,0))</f>
        <v>0</v>
      </c>
      <c r="Z49" s="2" t="str">
        <f aca="false">INDEX('Scored Accounts'!$R$2:$R$301,MATCH(A49,'Scored Accounts'!$A$2:$A$301,0))</f>
        <v>Low</v>
      </c>
      <c r="AA49" s="2" t="str">
        <f aca="false">INDEX('Scored Accounts'!$T$2:$T$301,MATCH(A49,'Scored Accounts'!$A$2:$A$301,0))</f>
        <v/>
      </c>
      <c r="AB49" s="2" t="str">
        <f aca="false">IF(Z49="Low","Lower dep / ","Higher dep / ")&amp;IF(O49&gt;=Assumptions!$B$34,"Higher value","Lower value")</f>
        <v>Lower dep / Higher value</v>
      </c>
    </row>
    <row r="50" customFormat="false" ht="15" hidden="false" customHeight="false" outlineLevel="0" collapsed="false">
      <c r="A50" s="2" t="s">
        <v>466</v>
      </c>
      <c r="B50" s="2" t="s">
        <v>1571</v>
      </c>
      <c r="C50" s="2" t="s">
        <v>1640</v>
      </c>
      <c r="D50" s="2" t="s">
        <v>1653</v>
      </c>
      <c r="E50" s="2" t="s">
        <v>1653</v>
      </c>
      <c r="F50" s="2" t="s">
        <v>1572</v>
      </c>
      <c r="G50" s="2" t="n">
        <v>10</v>
      </c>
      <c r="H50" s="2" t="n">
        <v>7</v>
      </c>
      <c r="I50" s="9" t="n">
        <v>0</v>
      </c>
      <c r="J50" s="9" t="n">
        <v>132</v>
      </c>
      <c r="K50" s="9" t="n">
        <v>633</v>
      </c>
      <c r="L50" s="9" t="n">
        <v>269</v>
      </c>
      <c r="M50" s="9" t="n">
        <v>1762</v>
      </c>
      <c r="N50" s="9" t="n">
        <v>316</v>
      </c>
      <c r="O50" s="9" t="n">
        <v>3111</v>
      </c>
      <c r="P50" s="2"/>
      <c r="Q50" s="2" t="str">
        <f aca="false">IF(I50&gt;0,ROUND((N50-I50)/I50*100,0),"")</f>
        <v/>
      </c>
      <c r="R50" s="9" t="n">
        <f aca="false">SUM(I50:K50)</f>
        <v>765</v>
      </c>
      <c r="S50" s="9" t="n">
        <f aca="false">SUM(L50:N50)</f>
        <v>2347</v>
      </c>
      <c r="T50" s="17" t="n">
        <f aca="false">IF(R50&gt;0,S50/R50-1,"")</f>
        <v>2.06797385620915</v>
      </c>
      <c r="U50" s="2" t="str">
        <f aca="false">IF(AND(R50=0,S50&gt;0),"H2 Active / No H1 GMV",IF(S50=0,"Lapsed",IF(T50&gt;=Assumptions!$B$36,"Growing",IF(T50&lt;-Assumptions!$B$36,"Declining","Stable"))))</f>
        <v>Growing</v>
      </c>
      <c r="V50" s="2" t="n">
        <f aca="false">COUNTIF(I50:N50,"&gt;0")</f>
        <v>5</v>
      </c>
      <c r="W50" s="2" t="str">
        <f aca="false">IF(N50&gt;0,"Feb",IF(M50&gt;0,"Jan",IF(L50&gt;0,"Dec",IF(K50&gt;0,"Nov",IF(J50&gt;0,"Oct","Sep")))))</f>
        <v>Feb</v>
      </c>
      <c r="X50" s="2" t="str">
        <f aca="false">IF(O50&gt;=Assumptions!$B$35,"Key (&gt;=£10k)",IF(O50&gt;=Assumptions!$B$34,"Core (£2k-10k)","Tail (&lt;£2k)"))</f>
        <v>Core (£2k-10k)</v>
      </c>
      <c r="Y50" s="21" t="n">
        <f aca="false">INDEX('Scored Accounts'!$Q$2:$Q$301,MATCH(A50,'Scored Accounts'!$A$2:$A$301,0))</f>
        <v>87.5</v>
      </c>
      <c r="Z50" s="2" t="str">
        <f aca="false">INDEX('Scored Accounts'!$R$2:$R$301,MATCH(A50,'Scored Accounts'!$A$2:$A$301,0))</f>
        <v>High</v>
      </c>
      <c r="AA50" s="2" t="str">
        <f aca="false">INDEX('Scored Accounts'!$T$2:$T$301,MATCH(A50,'Scored Accounts'!$A$2:$A$301,0))</f>
        <v/>
      </c>
      <c r="AB50" s="2" t="str">
        <f aca="false">IF(Z50="Low","Lower dep / ","Higher dep / ")&amp;IF(O50&gt;=Assumptions!$B$34,"Higher value","Lower value")</f>
        <v>Higher dep / Higher value</v>
      </c>
    </row>
    <row r="51" customFormat="false" ht="15" hidden="false" customHeight="false" outlineLevel="0" collapsed="false">
      <c r="A51" s="2" t="s">
        <v>275</v>
      </c>
      <c r="B51" s="2" t="s">
        <v>1571</v>
      </c>
      <c r="C51" s="2" t="s">
        <v>1640</v>
      </c>
      <c r="D51" s="2" t="s">
        <v>1655</v>
      </c>
      <c r="E51" s="2" t="s">
        <v>1655</v>
      </c>
      <c r="F51" s="2" t="s">
        <v>1572</v>
      </c>
      <c r="G51" s="2" t="n">
        <v>7</v>
      </c>
      <c r="H51" s="2" t="n">
        <v>6</v>
      </c>
      <c r="I51" s="9" t="n">
        <v>0</v>
      </c>
      <c r="J51" s="9" t="n">
        <v>3044</v>
      </c>
      <c r="K51" s="9" t="n">
        <v>0</v>
      </c>
      <c r="L51" s="9" t="n">
        <v>0</v>
      </c>
      <c r="M51" s="9" t="n">
        <v>0</v>
      </c>
      <c r="N51" s="9" t="n">
        <v>0</v>
      </c>
      <c r="O51" s="9" t="n">
        <v>3044</v>
      </c>
      <c r="P51" s="2"/>
      <c r="Q51" s="2" t="str">
        <f aca="false">IF(I51&gt;0,ROUND((N51-I51)/I51*100,0),"")</f>
        <v/>
      </c>
      <c r="R51" s="9" t="n">
        <f aca="false">SUM(I51:K51)</f>
        <v>3044</v>
      </c>
      <c r="S51" s="9" t="n">
        <f aca="false">SUM(L51:N51)</f>
        <v>0</v>
      </c>
      <c r="T51" s="17" t="n">
        <f aca="false">IF(R51&gt;0,S51/R51-1,"")</f>
        <v>-1</v>
      </c>
      <c r="U51" s="2" t="str">
        <f aca="false">IF(AND(R51=0,S51&gt;0),"H2 Active / No H1 GMV",IF(S51=0,"Lapsed",IF(T51&gt;=Assumptions!$B$36,"Growing",IF(T51&lt;-Assumptions!$B$36,"Declining","Stable"))))</f>
        <v>Lapsed</v>
      </c>
      <c r="V51" s="2" t="n">
        <f aca="false">COUNTIF(I51:N51,"&gt;0")</f>
        <v>1</v>
      </c>
      <c r="W51" s="2" t="str">
        <f aca="false">IF(N51&gt;0,"Feb",IF(M51&gt;0,"Jan",IF(L51&gt;0,"Dec",IF(K51&gt;0,"Nov",IF(J51&gt;0,"Oct","Sep")))))</f>
        <v>Oct</v>
      </c>
      <c r="X51" s="2" t="str">
        <f aca="false">IF(O51&gt;=Assumptions!$B$35,"Key (&gt;=£10k)",IF(O51&gt;=Assumptions!$B$34,"Core (£2k-10k)","Tail (&lt;£2k)"))</f>
        <v>Core (£2k-10k)</v>
      </c>
      <c r="Y51" s="21" t="n">
        <f aca="false">INDEX('Scored Accounts'!$Q$2:$Q$301,MATCH(A51,'Scored Accounts'!$A$2:$A$301,0))</f>
        <v>62.5</v>
      </c>
      <c r="Z51" s="2" t="str">
        <f aca="false">INDEX('Scored Accounts'!$R$2:$R$301,MATCH(A51,'Scored Accounts'!$A$2:$A$301,0))</f>
        <v>Medium</v>
      </c>
      <c r="AA51" s="2" t="str">
        <f aca="false">INDEX('Scored Accounts'!$T$2:$T$301,MATCH(A51,'Scored Accounts'!$A$2:$A$301,0))</f>
        <v/>
      </c>
      <c r="AB51" s="2" t="str">
        <f aca="false">IF(Z51="Low","Lower dep / ","Higher dep / ")&amp;IF(O51&gt;=Assumptions!$B$34,"Higher value","Lower value")</f>
        <v>Higher dep / Higher value</v>
      </c>
    </row>
    <row r="52" customFormat="false" ht="15" hidden="false" customHeight="false" outlineLevel="0" collapsed="false">
      <c r="A52" s="2" t="s">
        <v>278</v>
      </c>
      <c r="B52" s="2" t="s">
        <v>1571</v>
      </c>
      <c r="C52" s="2" t="s">
        <v>1640</v>
      </c>
      <c r="D52" s="2" t="s">
        <v>1657</v>
      </c>
      <c r="E52" s="2" t="s">
        <v>1715</v>
      </c>
      <c r="F52" s="2" t="s">
        <v>1572</v>
      </c>
      <c r="G52" s="2" t="n">
        <v>8</v>
      </c>
      <c r="H52" s="2" t="n">
        <v>7</v>
      </c>
      <c r="I52" s="9" t="n">
        <v>768</v>
      </c>
      <c r="J52" s="9" t="n">
        <v>0</v>
      </c>
      <c r="K52" s="9" t="n">
        <v>956</v>
      </c>
      <c r="L52" s="9" t="n">
        <v>453</v>
      </c>
      <c r="M52" s="9" t="n">
        <v>0</v>
      </c>
      <c r="N52" s="9" t="n">
        <v>815</v>
      </c>
      <c r="O52" s="9" t="n">
        <v>2992</v>
      </c>
      <c r="P52" s="2" t="n">
        <v>6</v>
      </c>
      <c r="Q52" s="2" t="n">
        <f aca="false">IF(I52&gt;0,ROUND((N52-I52)/I52*100,0),"")</f>
        <v>6</v>
      </c>
      <c r="R52" s="9" t="n">
        <f aca="false">SUM(I52:K52)</f>
        <v>1724</v>
      </c>
      <c r="S52" s="9" t="n">
        <f aca="false">SUM(L52:N52)</f>
        <v>1268</v>
      </c>
      <c r="T52" s="17" t="n">
        <f aca="false">IF(R52&gt;0,S52/R52-1,"")</f>
        <v>-0.264501160092807</v>
      </c>
      <c r="U52" s="2" t="str">
        <f aca="false">IF(AND(R52=0,S52&gt;0),"H2 Active / No H1 GMV",IF(S52=0,"Lapsed",IF(T52&gt;=Assumptions!$B$36,"Growing",IF(T52&lt;-Assumptions!$B$36,"Declining","Stable"))))</f>
        <v>Declining</v>
      </c>
      <c r="V52" s="2" t="n">
        <f aca="false">COUNTIF(I52:N52,"&gt;0")</f>
        <v>4</v>
      </c>
      <c r="W52" s="2" t="str">
        <f aca="false">IF(N52&gt;0,"Feb",IF(M52&gt;0,"Jan",IF(L52&gt;0,"Dec",IF(K52&gt;0,"Nov",IF(J52&gt;0,"Oct","Sep")))))</f>
        <v>Feb</v>
      </c>
      <c r="X52" s="2" t="str">
        <f aca="false">IF(O52&gt;=Assumptions!$B$35,"Key (&gt;=£10k)",IF(O52&gt;=Assumptions!$B$34,"Core (£2k-10k)","Tail (&lt;£2k)"))</f>
        <v>Core (£2k-10k)</v>
      </c>
      <c r="Y52" s="21" t="n">
        <f aca="false">INDEX('Scored Accounts'!$Q$2:$Q$301,MATCH(A52,'Scored Accounts'!$A$2:$A$301,0))</f>
        <v>0</v>
      </c>
      <c r="Z52" s="2" t="str">
        <f aca="false">INDEX('Scored Accounts'!$R$2:$R$301,MATCH(A52,'Scored Accounts'!$A$2:$A$301,0))</f>
        <v>Low</v>
      </c>
      <c r="AA52" s="2" t="str">
        <f aca="false">INDEX('Scored Accounts'!$T$2:$T$301,MATCH(A52,'Scored Accounts'!$A$2:$A$301,0))</f>
        <v/>
      </c>
      <c r="AB52" s="2" t="str">
        <f aca="false">IF(Z52="Low","Lower dep / ","Higher dep / ")&amp;IF(O52&gt;=Assumptions!$B$34,"Higher value","Lower value")</f>
        <v>Lower dep / Higher value</v>
      </c>
    </row>
    <row r="53" customFormat="false" ht="15" hidden="false" customHeight="false" outlineLevel="0" collapsed="false">
      <c r="A53" s="2" t="s">
        <v>281</v>
      </c>
      <c r="B53" s="2" t="s">
        <v>1571</v>
      </c>
      <c r="C53" s="2" t="s">
        <v>1640</v>
      </c>
      <c r="D53" s="2" t="s">
        <v>1653</v>
      </c>
      <c r="E53" s="2" t="s">
        <v>1653</v>
      </c>
      <c r="F53" s="2"/>
      <c r="G53" s="2" t="n">
        <v>6</v>
      </c>
      <c r="H53" s="2" t="n">
        <v>8</v>
      </c>
      <c r="I53" s="9" t="n">
        <v>555</v>
      </c>
      <c r="J53" s="9" t="n">
        <v>1694</v>
      </c>
      <c r="K53" s="9" t="n">
        <v>0</v>
      </c>
      <c r="L53" s="9" t="n">
        <v>703</v>
      </c>
      <c r="M53" s="9" t="n">
        <v>0</v>
      </c>
      <c r="N53" s="9" t="n">
        <v>0</v>
      </c>
      <c r="O53" s="9" t="n">
        <v>2952</v>
      </c>
      <c r="P53" s="2" t="n">
        <v>-100</v>
      </c>
      <c r="Q53" s="2" t="n">
        <f aca="false">IF(I53&gt;0,ROUND((N53-I53)/I53*100,0),"")</f>
        <v>-100</v>
      </c>
      <c r="R53" s="9" t="n">
        <f aca="false">SUM(I53:K53)</f>
        <v>2249</v>
      </c>
      <c r="S53" s="9" t="n">
        <f aca="false">SUM(L53:N53)</f>
        <v>703</v>
      </c>
      <c r="T53" s="17" t="n">
        <f aca="false">IF(R53&gt;0,S53/R53-1,"")</f>
        <v>-0.687416629613161</v>
      </c>
      <c r="U53" s="2" t="str">
        <f aca="false">IF(AND(R53=0,S53&gt;0),"H2 Active / No H1 GMV",IF(S53=0,"Lapsed",IF(T53&gt;=Assumptions!$B$36,"Growing",IF(T53&lt;-Assumptions!$B$36,"Declining","Stable"))))</f>
        <v>Declining</v>
      </c>
      <c r="V53" s="2" t="n">
        <f aca="false">COUNTIF(I53:N53,"&gt;0")</f>
        <v>3</v>
      </c>
      <c r="W53" s="2" t="str">
        <f aca="false">IF(N53&gt;0,"Feb",IF(M53&gt;0,"Jan",IF(L53&gt;0,"Dec",IF(K53&gt;0,"Nov",IF(J53&gt;0,"Oct","Sep")))))</f>
        <v>Dec</v>
      </c>
      <c r="X53" s="2" t="str">
        <f aca="false">IF(O53&gt;=Assumptions!$B$35,"Key (&gt;=£10k)",IF(O53&gt;=Assumptions!$B$34,"Core (£2k-10k)","Tail (&lt;£2k)"))</f>
        <v>Core (£2k-10k)</v>
      </c>
      <c r="Y53" s="21" t="n">
        <f aca="false">INDEX('Scored Accounts'!$Q$2:$Q$301,MATCH(A53,'Scored Accounts'!$A$2:$A$301,0))</f>
        <v>70</v>
      </c>
      <c r="Z53" s="2" t="str">
        <f aca="false">INDEX('Scored Accounts'!$R$2:$R$301,MATCH(A53,'Scored Accounts'!$A$2:$A$301,0))</f>
        <v>High</v>
      </c>
      <c r="AA53" s="2" t="str">
        <f aca="false">INDEX('Scored Accounts'!$T$2:$T$301,MATCH(A53,'Scored Accounts'!$A$2:$A$301,0))</f>
        <v/>
      </c>
      <c r="AB53" s="2" t="str">
        <f aca="false">IF(Z53="Low","Lower dep / ","Higher dep / ")&amp;IF(O53&gt;=Assumptions!$B$34,"Higher value","Lower value")</f>
        <v>Higher dep / Higher value</v>
      </c>
    </row>
    <row r="54" customFormat="false" ht="15" hidden="false" customHeight="false" outlineLevel="0" collapsed="false">
      <c r="A54" s="2" t="s">
        <v>284</v>
      </c>
      <c r="B54" s="2" t="s">
        <v>1571</v>
      </c>
      <c r="C54" s="2" t="s">
        <v>1640</v>
      </c>
      <c r="D54" s="2" t="s">
        <v>1657</v>
      </c>
      <c r="E54" s="2" t="s">
        <v>1722</v>
      </c>
      <c r="F54" s="2" t="s">
        <v>1572</v>
      </c>
      <c r="G54" s="2" t="n">
        <v>14</v>
      </c>
      <c r="H54" s="2" t="n">
        <v>7</v>
      </c>
      <c r="I54" s="9" t="n">
        <v>381</v>
      </c>
      <c r="J54" s="9" t="n">
        <v>833</v>
      </c>
      <c r="K54" s="9" t="n">
        <v>1279</v>
      </c>
      <c r="L54" s="9" t="n">
        <v>0</v>
      </c>
      <c r="M54" s="9" t="n">
        <v>0</v>
      </c>
      <c r="N54" s="9" t="n">
        <v>87</v>
      </c>
      <c r="O54" s="9" t="n">
        <v>2581</v>
      </c>
      <c r="P54" s="2" t="n">
        <v>-77</v>
      </c>
      <c r="Q54" s="2" t="n">
        <f aca="false">IF(I54&gt;0,ROUND((N54-I54)/I54*100,0),"")</f>
        <v>-77</v>
      </c>
      <c r="R54" s="9" t="n">
        <f aca="false">SUM(I54:K54)</f>
        <v>2493</v>
      </c>
      <c r="S54" s="9" t="n">
        <f aca="false">SUM(L54:N54)</f>
        <v>87</v>
      </c>
      <c r="T54" s="17" t="n">
        <f aca="false">IF(R54&gt;0,S54/R54-1,"")</f>
        <v>-0.965102286401925</v>
      </c>
      <c r="U54" s="2" t="str">
        <f aca="false">IF(AND(R54=0,S54&gt;0),"H2 Active / No H1 GMV",IF(S54=0,"Lapsed",IF(T54&gt;=Assumptions!$B$36,"Growing",IF(T54&lt;-Assumptions!$B$36,"Declining","Stable"))))</f>
        <v>Declining</v>
      </c>
      <c r="V54" s="2" t="n">
        <f aca="false">COUNTIF(I54:N54,"&gt;0")</f>
        <v>4</v>
      </c>
      <c r="W54" s="2" t="str">
        <f aca="false">IF(N54&gt;0,"Feb",IF(M54&gt;0,"Jan",IF(L54&gt;0,"Dec",IF(K54&gt;0,"Nov",IF(J54&gt;0,"Oct","Sep")))))</f>
        <v>Feb</v>
      </c>
      <c r="X54" s="2" t="str">
        <f aca="false">IF(O54&gt;=Assumptions!$B$35,"Key (&gt;=£10k)",IF(O54&gt;=Assumptions!$B$34,"Core (£2k-10k)","Tail (&lt;£2k)"))</f>
        <v>Core (£2k-10k)</v>
      </c>
      <c r="Y54" s="21" t="n">
        <f aca="false">INDEX('Scored Accounts'!$Q$2:$Q$301,MATCH(A54,'Scored Accounts'!$A$2:$A$301,0))</f>
        <v>87.5</v>
      </c>
      <c r="Z54" s="2" t="str">
        <f aca="false">INDEX('Scored Accounts'!$R$2:$R$301,MATCH(A54,'Scored Accounts'!$A$2:$A$301,0))</f>
        <v>High</v>
      </c>
      <c r="AA54" s="2" t="str">
        <f aca="false">INDEX('Scored Accounts'!$T$2:$T$301,MATCH(A54,'Scored Accounts'!$A$2:$A$301,0))</f>
        <v/>
      </c>
      <c r="AB54" s="2" t="str">
        <f aca="false">IF(Z54="Low","Lower dep / ","Higher dep / ")&amp;IF(O54&gt;=Assumptions!$B$34,"Higher value","Lower value")</f>
        <v>Higher dep / Higher value</v>
      </c>
    </row>
    <row r="55" customFormat="false" ht="15" hidden="false" customHeight="false" outlineLevel="0" collapsed="false">
      <c r="A55" s="2" t="s">
        <v>287</v>
      </c>
      <c r="B55" s="2" t="s">
        <v>1571</v>
      </c>
      <c r="C55" s="2" t="s">
        <v>1640</v>
      </c>
      <c r="D55" s="2" t="s">
        <v>1653</v>
      </c>
      <c r="E55" s="2" t="s">
        <v>1653</v>
      </c>
      <c r="F55" s="2"/>
      <c r="G55" s="2" t="n">
        <v>6</v>
      </c>
      <c r="H55" s="2" t="n">
        <v>9</v>
      </c>
      <c r="I55" s="9" t="n">
        <v>445</v>
      </c>
      <c r="J55" s="9" t="n">
        <v>1510</v>
      </c>
      <c r="K55" s="9" t="n">
        <v>162</v>
      </c>
      <c r="L55" s="9" t="n">
        <v>0</v>
      </c>
      <c r="M55" s="9" t="n">
        <v>188</v>
      </c>
      <c r="N55" s="9" t="n">
        <v>211</v>
      </c>
      <c r="O55" s="9" t="n">
        <v>2516</v>
      </c>
      <c r="P55" s="2" t="n">
        <v>-53</v>
      </c>
      <c r="Q55" s="2" t="n">
        <f aca="false">IF(I55&gt;0,ROUND((N55-I55)/I55*100,0),"")</f>
        <v>-53</v>
      </c>
      <c r="R55" s="9" t="n">
        <f aca="false">SUM(I55:K55)</f>
        <v>2117</v>
      </c>
      <c r="S55" s="9" t="n">
        <f aca="false">SUM(L55:N55)</f>
        <v>399</v>
      </c>
      <c r="T55" s="17" t="n">
        <f aca="false">IF(R55&gt;0,S55/R55-1,"")</f>
        <v>-0.811525743977327</v>
      </c>
      <c r="U55" s="2" t="str">
        <f aca="false">IF(AND(R55=0,S55&gt;0),"H2 Active / No H1 GMV",IF(S55=0,"Lapsed",IF(T55&gt;=Assumptions!$B$36,"Growing",IF(T55&lt;-Assumptions!$B$36,"Declining","Stable"))))</f>
        <v>Declining</v>
      </c>
      <c r="V55" s="2" t="n">
        <f aca="false">COUNTIF(I55:N55,"&gt;0")</f>
        <v>5</v>
      </c>
      <c r="W55" s="2" t="str">
        <f aca="false">IF(N55&gt;0,"Feb",IF(M55&gt;0,"Jan",IF(L55&gt;0,"Dec",IF(K55&gt;0,"Nov",IF(J55&gt;0,"Oct","Sep")))))</f>
        <v>Feb</v>
      </c>
      <c r="X55" s="2" t="str">
        <f aca="false">IF(O55&gt;=Assumptions!$B$35,"Key (&gt;=£10k)",IF(O55&gt;=Assumptions!$B$34,"Core (£2k-10k)","Tail (&lt;£2k)"))</f>
        <v>Core (£2k-10k)</v>
      </c>
      <c r="Y55" s="21" t="n">
        <f aca="false">INDEX('Scored Accounts'!$Q$2:$Q$301,MATCH(A55,'Scored Accounts'!$A$2:$A$301,0))</f>
        <v>82.5</v>
      </c>
      <c r="Z55" s="2" t="str">
        <f aca="false">INDEX('Scored Accounts'!$R$2:$R$301,MATCH(A55,'Scored Accounts'!$A$2:$A$301,0))</f>
        <v>High</v>
      </c>
      <c r="AA55" s="2" t="str">
        <f aca="false">INDEX('Scored Accounts'!$T$2:$T$301,MATCH(A55,'Scored Accounts'!$A$2:$A$301,0))</f>
        <v/>
      </c>
      <c r="AB55" s="2" t="str">
        <f aca="false">IF(Z55="Low","Lower dep / ","Higher dep / ")&amp;IF(O55&gt;=Assumptions!$B$34,"Higher value","Lower value")</f>
        <v>Higher dep / Higher value</v>
      </c>
    </row>
    <row r="56" customFormat="false" ht="15" hidden="false" customHeight="false" outlineLevel="0" collapsed="false">
      <c r="A56" s="2" t="s">
        <v>290</v>
      </c>
      <c r="B56" s="2" t="s">
        <v>1571</v>
      </c>
      <c r="C56" s="2" t="s">
        <v>1640</v>
      </c>
      <c r="D56" s="2" t="s">
        <v>1653</v>
      </c>
      <c r="E56" s="2" t="s">
        <v>1653</v>
      </c>
      <c r="F56" s="2" t="s">
        <v>1572</v>
      </c>
      <c r="G56" s="2" t="n">
        <v>17</v>
      </c>
      <c r="H56" s="2" t="n">
        <v>12</v>
      </c>
      <c r="I56" s="9" t="n">
        <v>1610</v>
      </c>
      <c r="J56" s="9" t="n">
        <v>399</v>
      </c>
      <c r="K56" s="9" t="n">
        <v>212</v>
      </c>
      <c r="L56" s="9" t="n">
        <v>0</v>
      </c>
      <c r="M56" s="9" t="n">
        <v>194</v>
      </c>
      <c r="N56" s="9" t="n">
        <v>99</v>
      </c>
      <c r="O56" s="9" t="n">
        <v>2514</v>
      </c>
      <c r="P56" s="2" t="n">
        <v>-94</v>
      </c>
      <c r="Q56" s="2" t="n">
        <f aca="false">IF(I56&gt;0,ROUND((N56-I56)/I56*100,0),"")</f>
        <v>-94</v>
      </c>
      <c r="R56" s="9" t="n">
        <f aca="false">SUM(I56:K56)</f>
        <v>2221</v>
      </c>
      <c r="S56" s="9" t="n">
        <f aca="false">SUM(L56:N56)</f>
        <v>293</v>
      </c>
      <c r="T56" s="17" t="n">
        <f aca="false">IF(R56&gt;0,S56/R56-1,"")</f>
        <v>-0.868077442593426</v>
      </c>
      <c r="U56" s="2" t="str">
        <f aca="false">IF(AND(R56=0,S56&gt;0),"H2 Active / No H1 GMV",IF(S56=0,"Lapsed",IF(T56&gt;=Assumptions!$B$36,"Growing",IF(T56&lt;-Assumptions!$B$36,"Declining","Stable"))))</f>
        <v>Declining</v>
      </c>
      <c r="V56" s="2" t="n">
        <f aca="false">COUNTIF(I56:N56,"&gt;0")</f>
        <v>5</v>
      </c>
      <c r="W56" s="2" t="str">
        <f aca="false">IF(N56&gt;0,"Feb",IF(M56&gt;0,"Jan",IF(L56&gt;0,"Dec",IF(K56&gt;0,"Nov",IF(J56&gt;0,"Oct","Sep")))))</f>
        <v>Feb</v>
      </c>
      <c r="X56" s="2" t="str">
        <f aca="false">IF(O56&gt;=Assumptions!$B$35,"Key (&gt;=£10k)",IF(O56&gt;=Assumptions!$B$34,"Core (£2k-10k)","Tail (&lt;£2k)"))</f>
        <v>Core (£2k-10k)</v>
      </c>
      <c r="Y56" s="21" t="n">
        <f aca="false">INDEX('Scored Accounts'!$Q$2:$Q$301,MATCH(A56,'Scored Accounts'!$A$2:$A$301,0))</f>
        <v>70</v>
      </c>
      <c r="Z56" s="2" t="str">
        <f aca="false">INDEX('Scored Accounts'!$R$2:$R$301,MATCH(A56,'Scored Accounts'!$A$2:$A$301,0))</f>
        <v>High</v>
      </c>
      <c r="AA56" s="2" t="str">
        <f aca="false">INDEX('Scored Accounts'!$T$2:$T$301,MATCH(A56,'Scored Accounts'!$A$2:$A$301,0))</f>
        <v/>
      </c>
      <c r="AB56" s="2" t="str">
        <f aca="false">IF(Z56="Low","Lower dep / ","Higher dep / ")&amp;IF(O56&gt;=Assumptions!$B$34,"Higher value","Lower value")</f>
        <v>Higher dep / Higher value</v>
      </c>
    </row>
    <row r="57" customFormat="false" ht="15" hidden="false" customHeight="false" outlineLevel="0" collapsed="false">
      <c r="A57" s="2" t="s">
        <v>442</v>
      </c>
      <c r="B57" s="2" t="s">
        <v>1571</v>
      </c>
      <c r="C57" s="2" t="s">
        <v>1640</v>
      </c>
      <c r="D57" s="2" t="s">
        <v>1653</v>
      </c>
      <c r="E57" s="2" t="s">
        <v>1653</v>
      </c>
      <c r="F57" s="2" t="s">
        <v>1572</v>
      </c>
      <c r="G57" s="2" t="n">
        <v>7</v>
      </c>
      <c r="H57" s="2" t="n">
        <v>5</v>
      </c>
      <c r="I57" s="9" t="n">
        <v>0</v>
      </c>
      <c r="J57" s="9" t="n">
        <v>1089</v>
      </c>
      <c r="K57" s="9" t="n">
        <v>0</v>
      </c>
      <c r="L57" s="9" t="n">
        <v>491</v>
      </c>
      <c r="M57" s="9" t="n">
        <v>800</v>
      </c>
      <c r="N57" s="9" t="n">
        <v>0</v>
      </c>
      <c r="O57" s="9" t="n">
        <v>2380</v>
      </c>
      <c r="P57" s="2"/>
      <c r="Q57" s="2" t="str">
        <f aca="false">IF(I57&gt;0,ROUND((N57-I57)/I57*100,0),"")</f>
        <v/>
      </c>
      <c r="R57" s="9" t="n">
        <f aca="false">SUM(I57:K57)</f>
        <v>1089</v>
      </c>
      <c r="S57" s="9" t="n">
        <f aca="false">SUM(L57:N57)</f>
        <v>1291</v>
      </c>
      <c r="T57" s="17" t="n">
        <f aca="false">IF(R57&gt;0,S57/R57-1,"")</f>
        <v>0.185491276400367</v>
      </c>
      <c r="U57" s="2" t="str">
        <f aca="false">IF(AND(R57=0,S57&gt;0),"H2 Active / No H1 GMV",IF(S57=0,"Lapsed",IF(T57&gt;=Assumptions!$B$36,"Growing",IF(T57&lt;-Assumptions!$B$36,"Declining","Stable"))))</f>
        <v>Stable</v>
      </c>
      <c r="V57" s="2" t="n">
        <f aca="false">COUNTIF(I57:N57,"&gt;0")</f>
        <v>3</v>
      </c>
      <c r="W57" s="2" t="str">
        <f aca="false">IF(N57&gt;0,"Feb",IF(M57&gt;0,"Jan",IF(L57&gt;0,"Dec",IF(K57&gt;0,"Nov",IF(J57&gt;0,"Oct","Sep")))))</f>
        <v>Jan</v>
      </c>
      <c r="X57" s="2" t="str">
        <f aca="false">IF(O57&gt;=Assumptions!$B$35,"Key (&gt;=£10k)",IF(O57&gt;=Assumptions!$B$34,"Core (£2k-10k)","Tail (&lt;£2k)"))</f>
        <v>Core (£2k-10k)</v>
      </c>
      <c r="Y57" s="21" t="n">
        <f aca="false">INDEX('Scored Accounts'!$Q$2:$Q$301,MATCH(A57,'Scored Accounts'!$A$2:$A$301,0))</f>
        <v>62.5</v>
      </c>
      <c r="Z57" s="2" t="str">
        <f aca="false">INDEX('Scored Accounts'!$R$2:$R$301,MATCH(A57,'Scored Accounts'!$A$2:$A$301,0))</f>
        <v>Medium</v>
      </c>
      <c r="AA57" s="2" t="str">
        <f aca="false">INDEX('Scored Accounts'!$T$2:$T$301,MATCH(A57,'Scored Accounts'!$A$2:$A$301,0))</f>
        <v/>
      </c>
      <c r="AB57" s="2" t="str">
        <f aca="false">IF(Z57="Low","Lower dep / ","Higher dep / ")&amp;IF(O57&gt;=Assumptions!$B$34,"Higher value","Lower value")</f>
        <v>Higher dep / Higher value</v>
      </c>
    </row>
    <row r="58" customFormat="false" ht="15" hidden="false" customHeight="false" outlineLevel="0" collapsed="false">
      <c r="A58" s="2" t="s">
        <v>469</v>
      </c>
      <c r="B58" s="2" t="s">
        <v>1571</v>
      </c>
      <c r="C58" s="2" t="s">
        <v>1640</v>
      </c>
      <c r="D58" s="2" t="s">
        <v>1658</v>
      </c>
      <c r="E58" s="2" t="s">
        <v>1658</v>
      </c>
      <c r="F58" s="2" t="s">
        <v>1572</v>
      </c>
      <c r="G58" s="2" t="n">
        <v>16</v>
      </c>
      <c r="H58" s="2" t="n">
        <v>3</v>
      </c>
      <c r="I58" s="9" t="n">
        <v>418</v>
      </c>
      <c r="J58" s="9" t="n">
        <v>749</v>
      </c>
      <c r="K58" s="9" t="n">
        <v>0</v>
      </c>
      <c r="L58" s="9" t="n">
        <v>1199</v>
      </c>
      <c r="M58" s="9" t="n">
        <v>0</v>
      </c>
      <c r="N58" s="9" t="n">
        <v>0</v>
      </c>
      <c r="O58" s="9" t="n">
        <v>2366</v>
      </c>
      <c r="P58" s="2" t="n">
        <v>-100</v>
      </c>
      <c r="Q58" s="2" t="n">
        <f aca="false">IF(I58&gt;0,ROUND((N58-I58)/I58*100,0),"")</f>
        <v>-100</v>
      </c>
      <c r="R58" s="9" t="n">
        <f aca="false">SUM(I58:K58)</f>
        <v>1167</v>
      </c>
      <c r="S58" s="9" t="n">
        <f aca="false">SUM(L58:N58)</f>
        <v>1199</v>
      </c>
      <c r="T58" s="17" t="n">
        <f aca="false">IF(R58&gt;0,S58/R58-1,"")</f>
        <v>0.027420736932305</v>
      </c>
      <c r="U58" s="2" t="str">
        <f aca="false">IF(AND(R58=0,S58&gt;0),"H2 Active / No H1 GMV",IF(S58=0,"Lapsed",IF(T58&gt;=Assumptions!$B$36,"Growing",IF(T58&lt;-Assumptions!$B$36,"Declining","Stable"))))</f>
        <v>Stable</v>
      </c>
      <c r="V58" s="2" t="n">
        <f aca="false">COUNTIF(I58:N58,"&gt;0")</f>
        <v>3</v>
      </c>
      <c r="W58" s="2" t="str">
        <f aca="false">IF(N58&gt;0,"Feb",IF(M58&gt;0,"Jan",IF(L58&gt;0,"Dec",IF(K58&gt;0,"Nov",IF(J58&gt;0,"Oct","Sep")))))</f>
        <v>Dec</v>
      </c>
      <c r="X58" s="2" t="str">
        <f aca="false">IF(O58&gt;=Assumptions!$B$35,"Key (&gt;=£10k)",IF(O58&gt;=Assumptions!$B$34,"Core (£2k-10k)","Tail (&lt;£2k)"))</f>
        <v>Core (£2k-10k)</v>
      </c>
      <c r="Y58" s="21" t="n">
        <f aca="false">INDEX('Scored Accounts'!$Q$2:$Q$301,MATCH(A58,'Scored Accounts'!$A$2:$A$301,0))</f>
        <v>82.5</v>
      </c>
      <c r="Z58" s="2" t="str">
        <f aca="false">INDEX('Scored Accounts'!$R$2:$R$301,MATCH(A58,'Scored Accounts'!$A$2:$A$301,0))</f>
        <v>High</v>
      </c>
      <c r="AA58" s="2" t="str">
        <f aca="false">INDEX('Scored Accounts'!$T$2:$T$301,MATCH(A58,'Scored Accounts'!$A$2:$A$301,0))</f>
        <v/>
      </c>
      <c r="AB58" s="2" t="str">
        <f aca="false">IF(Z58="Low","Lower dep / ","Higher dep / ")&amp;IF(O58&gt;=Assumptions!$B$34,"Higher value","Lower value")</f>
        <v>Higher dep / Higher value</v>
      </c>
    </row>
    <row r="59" customFormat="false" ht="15" hidden="false" customHeight="false" outlineLevel="0" collapsed="false">
      <c r="A59" s="2" t="s">
        <v>446</v>
      </c>
      <c r="B59" s="2" t="s">
        <v>1571</v>
      </c>
      <c r="C59" s="2" t="s">
        <v>1640</v>
      </c>
      <c r="D59" s="2" t="s">
        <v>1655</v>
      </c>
      <c r="E59" s="2" t="s">
        <v>1655</v>
      </c>
      <c r="F59" s="2" t="s">
        <v>1572</v>
      </c>
      <c r="G59" s="2" t="n">
        <v>14</v>
      </c>
      <c r="H59" s="2" t="n">
        <v>8</v>
      </c>
      <c r="I59" s="9" t="n">
        <v>0</v>
      </c>
      <c r="J59" s="9" t="n">
        <v>0</v>
      </c>
      <c r="K59" s="9" t="n">
        <v>982</v>
      </c>
      <c r="L59" s="9" t="n">
        <v>0</v>
      </c>
      <c r="M59" s="9" t="n">
        <v>0</v>
      </c>
      <c r="N59" s="9" t="n">
        <v>1295</v>
      </c>
      <c r="O59" s="9" t="n">
        <v>2277</v>
      </c>
      <c r="P59" s="2"/>
      <c r="Q59" s="2" t="str">
        <f aca="false">IF(I59&gt;0,ROUND((N59-I59)/I59*100,0),"")</f>
        <v/>
      </c>
      <c r="R59" s="9" t="n">
        <f aca="false">SUM(I59:K59)</f>
        <v>982</v>
      </c>
      <c r="S59" s="9" t="n">
        <f aca="false">SUM(L59:N59)</f>
        <v>1295</v>
      </c>
      <c r="T59" s="17" t="n">
        <f aca="false">IF(R59&gt;0,S59/R59-1,"")</f>
        <v>0.318737270875764</v>
      </c>
      <c r="U59" s="2" t="str">
        <f aca="false">IF(AND(R59=0,S59&gt;0),"H2 Active / No H1 GMV",IF(S59=0,"Lapsed",IF(T59&gt;=Assumptions!$B$36,"Growing",IF(T59&lt;-Assumptions!$B$36,"Declining","Stable"))))</f>
        <v>Growing</v>
      </c>
      <c r="V59" s="2" t="n">
        <f aca="false">COUNTIF(I59:N59,"&gt;0")</f>
        <v>2</v>
      </c>
      <c r="W59" s="2" t="str">
        <f aca="false">IF(N59&gt;0,"Feb",IF(M59&gt;0,"Jan",IF(L59&gt;0,"Dec",IF(K59&gt;0,"Nov",IF(J59&gt;0,"Oct","Sep")))))</f>
        <v>Feb</v>
      </c>
      <c r="X59" s="2" t="str">
        <f aca="false">IF(O59&gt;=Assumptions!$B$35,"Key (&gt;=£10k)",IF(O59&gt;=Assumptions!$B$34,"Core (£2k-10k)","Tail (&lt;£2k)"))</f>
        <v>Core (£2k-10k)</v>
      </c>
      <c r="Y59" s="21" t="n">
        <f aca="false">INDEX('Scored Accounts'!$Q$2:$Q$301,MATCH(A59,'Scored Accounts'!$A$2:$A$301,0))</f>
        <v>67.5</v>
      </c>
      <c r="Z59" s="2" t="str">
        <f aca="false">INDEX('Scored Accounts'!$R$2:$R$301,MATCH(A59,'Scored Accounts'!$A$2:$A$301,0))</f>
        <v>Medium</v>
      </c>
      <c r="AA59" s="2" t="str">
        <f aca="false">INDEX('Scored Accounts'!$T$2:$T$301,MATCH(A59,'Scored Accounts'!$A$2:$A$301,0))</f>
        <v/>
      </c>
      <c r="AB59" s="2" t="str">
        <f aca="false">IF(Z59="Low","Lower dep / ","Higher dep / ")&amp;IF(O59&gt;=Assumptions!$B$34,"Higher value","Lower value")</f>
        <v>Higher dep / Higher value</v>
      </c>
    </row>
    <row r="60" customFormat="false" ht="15" hidden="false" customHeight="false" outlineLevel="0" collapsed="false">
      <c r="A60" s="2" t="s">
        <v>293</v>
      </c>
      <c r="B60" s="2" t="s">
        <v>1571</v>
      </c>
      <c r="C60" s="2" t="s">
        <v>1640</v>
      </c>
      <c r="D60" s="2" t="s">
        <v>1653</v>
      </c>
      <c r="E60" s="2" t="s">
        <v>1653</v>
      </c>
      <c r="F60" s="2" t="s">
        <v>1572</v>
      </c>
      <c r="G60" s="2" t="n">
        <v>21</v>
      </c>
      <c r="H60" s="2" t="n">
        <v>3</v>
      </c>
      <c r="I60" s="9" t="n">
        <v>455</v>
      </c>
      <c r="J60" s="9" t="n">
        <v>813</v>
      </c>
      <c r="K60" s="9" t="n">
        <v>0</v>
      </c>
      <c r="L60" s="9" t="n">
        <v>995</v>
      </c>
      <c r="M60" s="9" t="n">
        <v>0</v>
      </c>
      <c r="N60" s="9" t="n">
        <v>0</v>
      </c>
      <c r="O60" s="9" t="n">
        <v>2262</v>
      </c>
      <c r="P60" s="2" t="n">
        <v>-100</v>
      </c>
      <c r="Q60" s="2" t="n">
        <f aca="false">IF(I60&gt;0,ROUND((N60-I60)/I60*100,0),"")</f>
        <v>-100</v>
      </c>
      <c r="R60" s="9" t="n">
        <f aca="false">SUM(I60:K60)</f>
        <v>1268</v>
      </c>
      <c r="S60" s="9" t="n">
        <f aca="false">SUM(L60:N60)</f>
        <v>995</v>
      </c>
      <c r="T60" s="17" t="n">
        <f aca="false">IF(R60&gt;0,S60/R60-1,"")</f>
        <v>-0.215299684542587</v>
      </c>
      <c r="U60" s="2" t="str">
        <f aca="false">IF(AND(R60=0,S60&gt;0),"H2 Active / No H1 GMV",IF(S60=0,"Lapsed",IF(T60&gt;=Assumptions!$B$36,"Growing",IF(T60&lt;-Assumptions!$B$36,"Declining","Stable"))))</f>
        <v>Declining</v>
      </c>
      <c r="V60" s="2" t="n">
        <f aca="false">COUNTIF(I60:N60,"&gt;0")</f>
        <v>3</v>
      </c>
      <c r="W60" s="2" t="str">
        <f aca="false">IF(N60&gt;0,"Feb",IF(M60&gt;0,"Jan",IF(L60&gt;0,"Dec",IF(K60&gt;0,"Nov",IF(J60&gt;0,"Oct","Sep")))))</f>
        <v>Dec</v>
      </c>
      <c r="X60" s="2" t="str">
        <f aca="false">IF(O60&gt;=Assumptions!$B$35,"Key (&gt;=£10k)",IF(O60&gt;=Assumptions!$B$34,"Core (£2k-10k)","Tail (&lt;£2k)"))</f>
        <v>Core (£2k-10k)</v>
      </c>
      <c r="Y60" s="21" t="n">
        <f aca="false">INDEX('Scored Accounts'!$Q$2:$Q$301,MATCH(A60,'Scored Accounts'!$A$2:$A$301,0))</f>
        <v>82.5</v>
      </c>
      <c r="Z60" s="2" t="str">
        <f aca="false">INDEX('Scored Accounts'!$R$2:$R$301,MATCH(A60,'Scored Accounts'!$A$2:$A$301,0))</f>
        <v>High</v>
      </c>
      <c r="AA60" s="2" t="str">
        <f aca="false">INDEX('Scored Accounts'!$T$2:$T$301,MATCH(A60,'Scored Accounts'!$A$2:$A$301,0))</f>
        <v/>
      </c>
      <c r="AB60" s="2" t="str">
        <f aca="false">IF(Z60="Low","Lower dep / ","Higher dep / ")&amp;IF(O60&gt;=Assumptions!$B$34,"Higher value","Lower value")</f>
        <v>Higher dep / Higher value</v>
      </c>
    </row>
    <row r="61" customFormat="false" ht="15" hidden="false" customHeight="false" outlineLevel="0" collapsed="false">
      <c r="A61" s="2" t="s">
        <v>297</v>
      </c>
      <c r="B61" s="2" t="s">
        <v>1571</v>
      </c>
      <c r="C61" s="2" t="s">
        <v>1641</v>
      </c>
      <c r="D61" s="2" t="s">
        <v>1658</v>
      </c>
      <c r="E61" s="2" t="s">
        <v>1658</v>
      </c>
      <c r="F61" s="2" t="s">
        <v>1572</v>
      </c>
      <c r="G61" s="2" t="n">
        <v>28</v>
      </c>
      <c r="H61" s="2" t="n">
        <v>3</v>
      </c>
      <c r="I61" s="9" t="n">
        <v>2214</v>
      </c>
      <c r="J61" s="9" t="n">
        <v>0</v>
      </c>
      <c r="K61" s="9" t="n">
        <v>0</v>
      </c>
      <c r="L61" s="9" t="n">
        <v>0</v>
      </c>
      <c r="M61" s="9" t="n">
        <v>0</v>
      </c>
      <c r="N61" s="9" t="n">
        <v>0</v>
      </c>
      <c r="O61" s="9" t="n">
        <v>2214</v>
      </c>
      <c r="P61" s="2" t="n">
        <v>-100</v>
      </c>
      <c r="Q61" s="2" t="n">
        <f aca="false">IF(I61&gt;0,ROUND((N61-I61)/I61*100,0),"")</f>
        <v>-100</v>
      </c>
      <c r="R61" s="9" t="n">
        <f aca="false">SUM(I61:K61)</f>
        <v>2214</v>
      </c>
      <c r="S61" s="9" t="n">
        <f aca="false">SUM(L61:N61)</f>
        <v>0</v>
      </c>
      <c r="T61" s="17" t="n">
        <f aca="false">IF(R61&gt;0,S61/R61-1,"")</f>
        <v>-1</v>
      </c>
      <c r="U61" s="2" t="str">
        <f aca="false">IF(AND(R61=0,S61&gt;0),"H2 Active / No H1 GMV",IF(S61=0,"Lapsed",IF(T61&gt;=Assumptions!$B$36,"Growing",IF(T61&lt;-Assumptions!$B$36,"Declining","Stable"))))</f>
        <v>Lapsed</v>
      </c>
      <c r="V61" s="2" t="n">
        <f aca="false">COUNTIF(I61:N61,"&gt;0")</f>
        <v>1</v>
      </c>
      <c r="W61" s="2" t="str">
        <f aca="false">IF(N61&gt;0,"Feb",IF(M61&gt;0,"Jan",IF(L61&gt;0,"Dec",IF(K61&gt;0,"Nov",IF(J61&gt;0,"Oct","Sep")))))</f>
        <v>Sep</v>
      </c>
      <c r="X61" s="2" t="str">
        <f aca="false">IF(O61&gt;=Assumptions!$B$35,"Key (&gt;=£10k)",IF(O61&gt;=Assumptions!$B$34,"Core (£2k-10k)","Tail (&lt;£2k)"))</f>
        <v>Core (£2k-10k)</v>
      </c>
      <c r="Y61" s="21" t="n">
        <f aca="false">INDEX('Scored Accounts'!$Q$2:$Q$301,MATCH(A61,'Scored Accounts'!$A$2:$A$301,0))</f>
        <v>95</v>
      </c>
      <c r="Z61" s="2" t="str">
        <f aca="false">INDEX('Scored Accounts'!$R$2:$R$301,MATCH(A61,'Scored Accounts'!$A$2:$A$301,0))</f>
        <v>High</v>
      </c>
      <c r="AA61" s="2" t="str">
        <f aca="false">INDEX('Scored Accounts'!$T$2:$T$301,MATCH(A61,'Scored Accounts'!$A$2:$A$301,0))</f>
        <v/>
      </c>
      <c r="AB61" s="2" t="str">
        <f aca="false">IF(Z61="Low","Lower dep / ","Higher dep / ")&amp;IF(O61&gt;=Assumptions!$B$34,"Higher value","Lower value")</f>
        <v>Higher dep / Higher value</v>
      </c>
    </row>
    <row r="62" customFormat="false" ht="15" hidden="false" customHeight="false" outlineLevel="0" collapsed="false">
      <c r="A62" s="2" t="s">
        <v>301</v>
      </c>
      <c r="B62" s="2" t="s">
        <v>1571</v>
      </c>
      <c r="C62" s="2" t="s">
        <v>1640</v>
      </c>
      <c r="D62" s="2" t="s">
        <v>1657</v>
      </c>
      <c r="E62" s="2" t="s">
        <v>1717</v>
      </c>
      <c r="F62" s="2" t="s">
        <v>1572</v>
      </c>
      <c r="G62" s="2" t="n">
        <v>7</v>
      </c>
      <c r="H62" s="2" t="n">
        <v>4</v>
      </c>
      <c r="I62" s="9" t="n">
        <v>0</v>
      </c>
      <c r="J62" s="9" t="n">
        <v>1206</v>
      </c>
      <c r="K62" s="9" t="n">
        <v>347</v>
      </c>
      <c r="L62" s="9" t="n">
        <v>563</v>
      </c>
      <c r="M62" s="9" t="n">
        <v>0</v>
      </c>
      <c r="N62" s="9" t="n">
        <v>0</v>
      </c>
      <c r="O62" s="9" t="n">
        <v>2116</v>
      </c>
      <c r="P62" s="2"/>
      <c r="Q62" s="2" t="str">
        <f aca="false">IF(I62&gt;0,ROUND((N62-I62)/I62*100,0),"")</f>
        <v/>
      </c>
      <c r="R62" s="9" t="n">
        <f aca="false">SUM(I62:K62)</f>
        <v>1553</v>
      </c>
      <c r="S62" s="9" t="n">
        <f aca="false">SUM(L62:N62)</f>
        <v>563</v>
      </c>
      <c r="T62" s="17" t="n">
        <f aca="false">IF(R62&gt;0,S62/R62-1,"")</f>
        <v>-0.637475853187379</v>
      </c>
      <c r="U62" s="2" t="str">
        <f aca="false">IF(AND(R62=0,S62&gt;0),"H2 Active / No H1 GMV",IF(S62=0,"Lapsed",IF(T62&gt;=Assumptions!$B$36,"Growing",IF(T62&lt;-Assumptions!$B$36,"Declining","Stable"))))</f>
        <v>Declining</v>
      </c>
      <c r="V62" s="2" t="n">
        <f aca="false">COUNTIF(I62:N62,"&gt;0")</f>
        <v>3</v>
      </c>
      <c r="W62" s="2" t="str">
        <f aca="false">IF(N62&gt;0,"Feb",IF(M62&gt;0,"Jan",IF(L62&gt;0,"Dec",IF(K62&gt;0,"Nov",IF(J62&gt;0,"Oct","Sep")))))</f>
        <v>Dec</v>
      </c>
      <c r="X62" s="2" t="str">
        <f aca="false">IF(O62&gt;=Assumptions!$B$35,"Key (&gt;=£10k)",IF(O62&gt;=Assumptions!$B$34,"Core (£2k-10k)","Tail (&lt;£2k)"))</f>
        <v>Core (£2k-10k)</v>
      </c>
      <c r="Y62" s="21" t="n">
        <f aca="false">INDEX('Scored Accounts'!$Q$2:$Q$301,MATCH(A62,'Scored Accounts'!$A$2:$A$301,0))</f>
        <v>82.5</v>
      </c>
      <c r="Z62" s="2" t="str">
        <f aca="false">INDEX('Scored Accounts'!$R$2:$R$301,MATCH(A62,'Scored Accounts'!$A$2:$A$301,0))</f>
        <v>High</v>
      </c>
      <c r="AA62" s="2" t="str">
        <f aca="false">INDEX('Scored Accounts'!$T$2:$T$301,MATCH(A62,'Scored Accounts'!$A$2:$A$301,0))</f>
        <v/>
      </c>
      <c r="AB62" s="2" t="str">
        <f aca="false">IF(Z62="Low","Lower dep / ","Higher dep / ")&amp;IF(O62&gt;=Assumptions!$B$34,"Higher value","Lower value")</f>
        <v>Higher dep / Higher value</v>
      </c>
    </row>
    <row r="63" customFormat="false" ht="15" hidden="false" customHeight="false" outlineLevel="0" collapsed="false">
      <c r="A63" s="2" t="s">
        <v>304</v>
      </c>
      <c r="B63" s="2" t="s">
        <v>1571</v>
      </c>
      <c r="C63" s="2" t="s">
        <v>1640</v>
      </c>
      <c r="D63" s="2" t="s">
        <v>1653</v>
      </c>
      <c r="E63" s="2" t="s">
        <v>1653</v>
      </c>
      <c r="F63" s="2" t="s">
        <v>1572</v>
      </c>
      <c r="G63" s="2" t="n">
        <v>14</v>
      </c>
      <c r="H63" s="2" t="n">
        <v>5</v>
      </c>
      <c r="I63" s="9" t="n">
        <v>278</v>
      </c>
      <c r="J63" s="9" t="n">
        <v>1049</v>
      </c>
      <c r="K63" s="9" t="n">
        <v>704</v>
      </c>
      <c r="L63" s="9" t="n">
        <v>0</v>
      </c>
      <c r="M63" s="9" t="n">
        <v>0</v>
      </c>
      <c r="N63" s="9" t="n">
        <v>0</v>
      </c>
      <c r="O63" s="9" t="n">
        <v>2031</v>
      </c>
      <c r="P63" s="2" t="n">
        <v>-100</v>
      </c>
      <c r="Q63" s="2" t="n">
        <f aca="false">IF(I63&gt;0,ROUND((N63-I63)/I63*100,0),"")</f>
        <v>-100</v>
      </c>
      <c r="R63" s="9" t="n">
        <f aca="false">SUM(I63:K63)</f>
        <v>2031</v>
      </c>
      <c r="S63" s="9" t="n">
        <f aca="false">SUM(L63:N63)</f>
        <v>0</v>
      </c>
      <c r="T63" s="17" t="n">
        <f aca="false">IF(R63&gt;0,S63/R63-1,"")</f>
        <v>-1</v>
      </c>
      <c r="U63" s="2" t="str">
        <f aca="false">IF(AND(R63=0,S63&gt;0),"H2 Active / No H1 GMV",IF(S63=0,"Lapsed",IF(T63&gt;=Assumptions!$B$36,"Growing",IF(T63&lt;-Assumptions!$B$36,"Declining","Stable"))))</f>
        <v>Lapsed</v>
      </c>
      <c r="V63" s="2" t="n">
        <f aca="false">COUNTIF(I63:N63,"&gt;0")</f>
        <v>3</v>
      </c>
      <c r="W63" s="2" t="str">
        <f aca="false">IF(N63&gt;0,"Feb",IF(M63&gt;0,"Jan",IF(L63&gt;0,"Dec",IF(K63&gt;0,"Nov",IF(J63&gt;0,"Oct","Sep")))))</f>
        <v>Nov</v>
      </c>
      <c r="X63" s="2" t="str">
        <f aca="false">IF(O63&gt;=Assumptions!$B$35,"Key (&gt;=£10k)",IF(O63&gt;=Assumptions!$B$34,"Core (£2k-10k)","Tail (&lt;£2k)"))</f>
        <v>Core (£2k-10k)</v>
      </c>
      <c r="Y63" s="21" t="n">
        <f aca="false">INDEX('Scored Accounts'!$Q$2:$Q$301,MATCH(A63,'Scored Accounts'!$A$2:$A$301,0))</f>
        <v>67.5</v>
      </c>
      <c r="Z63" s="2" t="str">
        <f aca="false">INDEX('Scored Accounts'!$R$2:$R$301,MATCH(A63,'Scored Accounts'!$A$2:$A$301,0))</f>
        <v>Medium</v>
      </c>
      <c r="AA63" s="2" t="str">
        <f aca="false">INDEX('Scored Accounts'!$T$2:$T$301,MATCH(A63,'Scored Accounts'!$A$2:$A$301,0))</f>
        <v/>
      </c>
      <c r="AB63" s="2" t="str">
        <f aca="false">IF(Z63="Low","Lower dep / ","Higher dep / ")&amp;IF(O63&gt;=Assumptions!$B$34,"Higher value","Lower value")</f>
        <v>Higher dep / Higher value</v>
      </c>
    </row>
    <row r="64" customFormat="false" ht="15" hidden="false" customHeight="false" outlineLevel="0" collapsed="false">
      <c r="A64" s="2" t="s">
        <v>568</v>
      </c>
      <c r="B64" s="2" t="s">
        <v>1571</v>
      </c>
      <c r="C64" s="2" t="s">
        <v>1640</v>
      </c>
      <c r="D64" s="2" t="s">
        <v>1654</v>
      </c>
      <c r="E64" s="2" t="s">
        <v>1654</v>
      </c>
      <c r="F64" s="2" t="s">
        <v>1572</v>
      </c>
      <c r="G64" s="2" t="n">
        <v>35</v>
      </c>
      <c r="H64" s="2" t="n">
        <v>1</v>
      </c>
      <c r="I64" s="9" t="n">
        <v>0</v>
      </c>
      <c r="J64" s="9" t="n">
        <v>1963</v>
      </c>
      <c r="K64" s="9" t="n">
        <v>0</v>
      </c>
      <c r="L64" s="9" t="n">
        <v>0</v>
      </c>
      <c r="M64" s="9" t="n">
        <v>0</v>
      </c>
      <c r="N64" s="9" t="n">
        <v>0</v>
      </c>
      <c r="O64" s="9" t="n">
        <v>1963</v>
      </c>
      <c r="P64" s="2"/>
      <c r="Q64" s="2" t="str">
        <f aca="false">IF(I64&gt;0,ROUND((N64-I64)/I64*100,0),"")</f>
        <v/>
      </c>
      <c r="R64" s="9" t="n">
        <f aca="false">SUM(I64:K64)</f>
        <v>1963</v>
      </c>
      <c r="S64" s="9" t="n">
        <f aca="false">SUM(L64:N64)</f>
        <v>0</v>
      </c>
      <c r="T64" s="17" t="n">
        <f aca="false">IF(R64&gt;0,S64/R64-1,"")</f>
        <v>-1</v>
      </c>
      <c r="U64" s="2" t="str">
        <f aca="false">IF(AND(R64=0,S64&gt;0),"H2 Active / No H1 GMV",IF(S64=0,"Lapsed",IF(T64&gt;=Assumptions!$B$36,"Growing",IF(T64&lt;-Assumptions!$B$36,"Declining","Stable"))))</f>
        <v>Lapsed</v>
      </c>
      <c r="V64" s="2" t="n">
        <f aca="false">COUNTIF(I64:N64,"&gt;0")</f>
        <v>1</v>
      </c>
      <c r="W64" s="2" t="str">
        <f aca="false">IF(N64&gt;0,"Feb",IF(M64&gt;0,"Jan",IF(L64&gt;0,"Dec",IF(K64&gt;0,"Nov",IF(J64&gt;0,"Oct","Sep")))))</f>
        <v>Oct</v>
      </c>
      <c r="X64" s="2" t="str">
        <f aca="false">IF(O64&gt;=Assumptions!$B$35,"Key (&gt;=£10k)",IF(O64&gt;=Assumptions!$B$34,"Core (£2k-10k)","Tail (&lt;£2k)"))</f>
        <v>Tail (&lt;£2k)</v>
      </c>
      <c r="Y64" s="21" t="n">
        <f aca="false">INDEX('Scored Accounts'!$Q$2:$Q$301,MATCH(A64,'Scored Accounts'!$A$2:$A$301,0))</f>
        <v>0</v>
      </c>
      <c r="Z64" s="2" t="str">
        <f aca="false">INDEX('Scored Accounts'!$R$2:$R$301,MATCH(A64,'Scored Accounts'!$A$2:$A$301,0))</f>
        <v>Low</v>
      </c>
      <c r="AA64" s="2" t="str">
        <f aca="false">INDEX('Scored Accounts'!$T$2:$T$301,MATCH(A64,'Scored Accounts'!$A$2:$A$301,0))</f>
        <v/>
      </c>
      <c r="AB64" s="2" t="str">
        <f aca="false">IF(Z64="Low","Lower dep / ","Higher dep / ")&amp;IF(O64&gt;=Assumptions!$B$34,"Higher value","Lower value")</f>
        <v>Lower dep / Lower value</v>
      </c>
    </row>
    <row r="65" customFormat="false" ht="15" hidden="false" customHeight="false" outlineLevel="0" collapsed="false">
      <c r="A65" s="2" t="s">
        <v>473</v>
      </c>
      <c r="B65" s="2" t="s">
        <v>1571</v>
      </c>
      <c r="C65" s="2" t="s">
        <v>1641</v>
      </c>
      <c r="D65" s="2" t="s">
        <v>1653</v>
      </c>
      <c r="E65" s="2" t="s">
        <v>1653</v>
      </c>
      <c r="F65" s="2" t="s">
        <v>1572</v>
      </c>
      <c r="G65" s="2" t="n">
        <v>9</v>
      </c>
      <c r="H65" s="2" t="n">
        <v>15</v>
      </c>
      <c r="I65" s="9" t="n">
        <v>281</v>
      </c>
      <c r="J65" s="9" t="n">
        <v>0</v>
      </c>
      <c r="K65" s="9" t="n">
        <v>761</v>
      </c>
      <c r="L65" s="9" t="n">
        <v>131</v>
      </c>
      <c r="M65" s="9" t="n">
        <v>393</v>
      </c>
      <c r="N65" s="9" t="n">
        <v>345</v>
      </c>
      <c r="O65" s="9" t="n">
        <v>1911</v>
      </c>
      <c r="P65" s="2" t="n">
        <v>23</v>
      </c>
      <c r="Q65" s="2" t="n">
        <f aca="false">IF(I65&gt;0,ROUND((N65-I65)/I65*100,0),"")</f>
        <v>23</v>
      </c>
      <c r="R65" s="9" t="n">
        <f aca="false">SUM(I65:K65)</f>
        <v>1042</v>
      </c>
      <c r="S65" s="9" t="n">
        <f aca="false">SUM(L65:N65)</f>
        <v>869</v>
      </c>
      <c r="T65" s="17" t="n">
        <f aca="false">IF(R65&gt;0,S65/R65-1,"")</f>
        <v>-0.166026871401152</v>
      </c>
      <c r="U65" s="2" t="str">
        <f aca="false">IF(AND(R65=0,S65&gt;0),"H2 Active / No H1 GMV",IF(S65=0,"Lapsed",IF(T65&gt;=Assumptions!$B$36,"Growing",IF(T65&lt;-Assumptions!$B$36,"Declining","Stable"))))</f>
        <v>Stable</v>
      </c>
      <c r="V65" s="2" t="n">
        <f aca="false">COUNTIF(I65:N65,"&gt;0")</f>
        <v>5</v>
      </c>
      <c r="W65" s="2" t="str">
        <f aca="false">IF(N65&gt;0,"Feb",IF(M65&gt;0,"Jan",IF(L65&gt;0,"Dec",IF(K65&gt;0,"Nov",IF(J65&gt;0,"Oct","Sep")))))</f>
        <v>Feb</v>
      </c>
      <c r="X65" s="2" t="str">
        <f aca="false">IF(O65&gt;=Assumptions!$B$35,"Key (&gt;=£10k)",IF(O65&gt;=Assumptions!$B$34,"Core (£2k-10k)","Tail (&lt;£2k)"))</f>
        <v>Tail (&lt;£2k)</v>
      </c>
      <c r="Y65" s="21" t="n">
        <f aca="false">INDEX('Scored Accounts'!$Q$2:$Q$301,MATCH(A65,'Scored Accounts'!$A$2:$A$301,0))</f>
        <v>77.5</v>
      </c>
      <c r="Z65" s="2" t="str">
        <f aca="false">INDEX('Scored Accounts'!$R$2:$R$301,MATCH(A65,'Scored Accounts'!$A$2:$A$301,0))</f>
        <v>High</v>
      </c>
      <c r="AA65" s="2" t="str">
        <f aca="false">INDEX('Scored Accounts'!$T$2:$T$301,MATCH(A65,'Scored Accounts'!$A$2:$A$301,0))</f>
        <v/>
      </c>
      <c r="AB65" s="2" t="str">
        <f aca="false">IF(Z65="Low","Lower dep / ","Higher dep / ")&amp;IF(O65&gt;=Assumptions!$B$34,"Higher value","Lower value")</f>
        <v>Higher dep / Lower value</v>
      </c>
    </row>
    <row r="66" customFormat="false" ht="15" hidden="false" customHeight="false" outlineLevel="0" collapsed="false">
      <c r="A66" s="2" t="s">
        <v>490</v>
      </c>
      <c r="B66" s="2" t="s">
        <v>1571</v>
      </c>
      <c r="C66" s="2" t="s">
        <v>1640</v>
      </c>
      <c r="D66" s="2" t="s">
        <v>1653</v>
      </c>
      <c r="E66" s="2" t="s">
        <v>1653</v>
      </c>
      <c r="F66" s="2" t="s">
        <v>1572</v>
      </c>
      <c r="G66" s="2" t="n">
        <v>9</v>
      </c>
      <c r="H66" s="2" t="n">
        <v>5</v>
      </c>
      <c r="I66" s="9" t="n">
        <v>0</v>
      </c>
      <c r="J66" s="9" t="n">
        <v>0</v>
      </c>
      <c r="K66" s="9" t="n">
        <v>0</v>
      </c>
      <c r="L66" s="9" t="n">
        <v>657</v>
      </c>
      <c r="M66" s="9" t="n">
        <v>1154</v>
      </c>
      <c r="N66" s="9" t="n">
        <v>0</v>
      </c>
      <c r="O66" s="9" t="n">
        <v>1812</v>
      </c>
      <c r="P66" s="2"/>
      <c r="Q66" s="2" t="str">
        <f aca="false">IF(I66&gt;0,ROUND((N66-I66)/I66*100,0),"")</f>
        <v/>
      </c>
      <c r="R66" s="9" t="n">
        <f aca="false">SUM(I66:K66)</f>
        <v>0</v>
      </c>
      <c r="S66" s="9" t="n">
        <f aca="false">SUM(L66:N66)</f>
        <v>1811</v>
      </c>
      <c r="T66" s="17" t="str">
        <f aca="false">IF(R66&gt;0,S66/R66-1,"")</f>
        <v/>
      </c>
      <c r="U66" s="2" t="str">
        <f aca="false">IF(AND(R66=0,S66&gt;0),"H2 Active / No H1 GMV",IF(S66=0,"Lapsed",IF(T66&gt;=Assumptions!$B$36,"Growing",IF(T66&lt;-Assumptions!$B$36,"Declining","Stable"))))</f>
        <v>H2 Active / No H1 GMV</v>
      </c>
      <c r="V66" s="2" t="n">
        <f aca="false">COUNTIF(I66:N66,"&gt;0")</f>
        <v>2</v>
      </c>
      <c r="W66" s="2" t="str">
        <f aca="false">IF(N66&gt;0,"Feb",IF(M66&gt;0,"Jan",IF(L66&gt;0,"Dec",IF(K66&gt;0,"Nov",IF(J66&gt;0,"Oct","Sep")))))</f>
        <v>Jan</v>
      </c>
      <c r="X66" s="2" t="str">
        <f aca="false">IF(O66&gt;=Assumptions!$B$35,"Key (&gt;=£10k)",IF(O66&gt;=Assumptions!$B$34,"Core (£2k-10k)","Tail (&lt;£2k)"))</f>
        <v>Tail (&lt;£2k)</v>
      </c>
      <c r="Y66" s="21" t="n">
        <f aca="false">INDEX('Scored Accounts'!$Q$2:$Q$301,MATCH(A66,'Scored Accounts'!$A$2:$A$301,0))</f>
        <v>0</v>
      </c>
      <c r="Z66" s="2" t="str">
        <f aca="false">INDEX('Scored Accounts'!$R$2:$R$301,MATCH(A66,'Scored Accounts'!$A$2:$A$301,0))</f>
        <v>Low</v>
      </c>
      <c r="AA66" s="2" t="str">
        <f aca="false">INDEX('Scored Accounts'!$T$2:$T$301,MATCH(A66,'Scored Accounts'!$A$2:$A$301,0))</f>
        <v/>
      </c>
      <c r="AB66" s="2" t="str">
        <f aca="false">IF(Z66="Low","Lower dep / ","Higher dep / ")&amp;IF(O66&gt;=Assumptions!$B$34,"Higher value","Lower value")</f>
        <v>Lower dep / Lower value</v>
      </c>
    </row>
    <row r="67" customFormat="false" ht="15" hidden="false" customHeight="false" outlineLevel="0" collapsed="false">
      <c r="A67" s="2" t="s">
        <v>574</v>
      </c>
      <c r="B67" s="2" t="s">
        <v>1571</v>
      </c>
      <c r="C67" s="2" t="s">
        <v>1640</v>
      </c>
      <c r="D67" s="2" t="s">
        <v>1657</v>
      </c>
      <c r="E67" s="2" t="s">
        <v>1723</v>
      </c>
      <c r="F67" s="2"/>
      <c r="G67" s="2" t="n">
        <v>6</v>
      </c>
      <c r="H67" s="2" t="n">
        <v>3</v>
      </c>
      <c r="I67" s="9" t="n">
        <v>509</v>
      </c>
      <c r="J67" s="9" t="n">
        <v>895</v>
      </c>
      <c r="K67" s="9" t="n">
        <v>387</v>
      </c>
      <c r="L67" s="9" t="n">
        <v>0</v>
      </c>
      <c r="M67" s="9" t="n">
        <v>0</v>
      </c>
      <c r="N67" s="9" t="n">
        <v>0</v>
      </c>
      <c r="O67" s="9" t="n">
        <v>1791</v>
      </c>
      <c r="P67" s="2" t="n">
        <v>-100</v>
      </c>
      <c r="Q67" s="2" t="n">
        <f aca="false">IF(I67&gt;0,ROUND((N67-I67)/I67*100,0),"")</f>
        <v>-100</v>
      </c>
      <c r="R67" s="9" t="n">
        <f aca="false">SUM(I67:K67)</f>
        <v>1791</v>
      </c>
      <c r="S67" s="9" t="n">
        <f aca="false">SUM(L67:N67)</f>
        <v>0</v>
      </c>
      <c r="T67" s="17" t="n">
        <f aca="false">IF(R67&gt;0,S67/R67-1,"")</f>
        <v>-1</v>
      </c>
      <c r="U67" s="2" t="str">
        <f aca="false">IF(AND(R67=0,S67&gt;0),"H2 Active / No H1 GMV",IF(S67=0,"Lapsed",IF(T67&gt;=Assumptions!$B$36,"Growing",IF(T67&lt;-Assumptions!$B$36,"Declining","Stable"))))</f>
        <v>Lapsed</v>
      </c>
      <c r="V67" s="2" t="n">
        <f aca="false">COUNTIF(I67:N67,"&gt;0")</f>
        <v>3</v>
      </c>
      <c r="W67" s="2" t="str">
        <f aca="false">IF(N67&gt;0,"Feb",IF(M67&gt;0,"Jan",IF(L67&gt;0,"Dec",IF(K67&gt;0,"Nov",IF(J67&gt;0,"Oct","Sep")))))</f>
        <v>Nov</v>
      </c>
      <c r="X67" s="2" t="str">
        <f aca="false">IF(O67&gt;=Assumptions!$B$35,"Key (&gt;=£10k)",IF(O67&gt;=Assumptions!$B$34,"Core (£2k-10k)","Tail (&lt;£2k)"))</f>
        <v>Tail (&lt;£2k)</v>
      </c>
      <c r="Y67" s="21" t="n">
        <f aca="false">INDEX('Scored Accounts'!$Q$2:$Q$301,MATCH(A67,'Scored Accounts'!$A$2:$A$301,0))</f>
        <v>0</v>
      </c>
      <c r="Z67" s="2" t="str">
        <f aca="false">INDEX('Scored Accounts'!$R$2:$R$301,MATCH(A67,'Scored Accounts'!$A$2:$A$301,0))</f>
        <v>Low</v>
      </c>
      <c r="AA67" s="2" t="str">
        <f aca="false">INDEX('Scored Accounts'!$T$2:$T$301,MATCH(A67,'Scored Accounts'!$A$2:$A$301,0))</f>
        <v/>
      </c>
      <c r="AB67" s="2" t="str">
        <f aca="false">IF(Z67="Low","Lower dep / ","Higher dep / ")&amp;IF(O67&gt;=Assumptions!$B$34,"Higher value","Lower value")</f>
        <v>Lower dep / Lower value</v>
      </c>
    </row>
    <row r="68" customFormat="false" ht="15" hidden="false" customHeight="false" outlineLevel="0" collapsed="false">
      <c r="A68" s="2" t="s">
        <v>504</v>
      </c>
      <c r="B68" s="2" t="s">
        <v>1571</v>
      </c>
      <c r="C68" s="2" t="s">
        <v>1640</v>
      </c>
      <c r="D68" s="2" t="s">
        <v>1653</v>
      </c>
      <c r="E68" s="2" t="s">
        <v>1653</v>
      </c>
      <c r="F68" s="2" t="s">
        <v>1572</v>
      </c>
      <c r="G68" s="2" t="n">
        <v>14</v>
      </c>
      <c r="H68" s="2" t="n">
        <v>9</v>
      </c>
      <c r="I68" s="9" t="n">
        <v>261</v>
      </c>
      <c r="J68" s="9" t="n">
        <v>0</v>
      </c>
      <c r="K68" s="9" t="n">
        <v>394</v>
      </c>
      <c r="L68" s="9" t="n">
        <v>368</v>
      </c>
      <c r="M68" s="9" t="n">
        <v>548</v>
      </c>
      <c r="N68" s="9" t="n">
        <v>188</v>
      </c>
      <c r="O68" s="9" t="n">
        <v>1759</v>
      </c>
      <c r="P68" s="2" t="n">
        <v>-28</v>
      </c>
      <c r="Q68" s="2" t="n">
        <f aca="false">IF(I68&gt;0,ROUND((N68-I68)/I68*100,0),"")</f>
        <v>-28</v>
      </c>
      <c r="R68" s="9" t="n">
        <f aca="false">SUM(I68:K68)</f>
        <v>655</v>
      </c>
      <c r="S68" s="9" t="n">
        <f aca="false">SUM(L68:N68)</f>
        <v>1104</v>
      </c>
      <c r="T68" s="17" t="n">
        <f aca="false">IF(R68&gt;0,S68/R68-1,"")</f>
        <v>0.685496183206107</v>
      </c>
      <c r="U68" s="2" t="str">
        <f aca="false">IF(AND(R68=0,S68&gt;0),"H2 Active / No H1 GMV",IF(S68=0,"Lapsed",IF(T68&gt;=Assumptions!$B$36,"Growing",IF(T68&lt;-Assumptions!$B$36,"Declining","Stable"))))</f>
        <v>Growing</v>
      </c>
      <c r="V68" s="2" t="n">
        <f aca="false">COUNTIF(I68:N68,"&gt;0")</f>
        <v>5</v>
      </c>
      <c r="W68" s="2" t="str">
        <f aca="false">IF(N68&gt;0,"Feb",IF(M68&gt;0,"Jan",IF(L68&gt;0,"Dec",IF(K68&gt;0,"Nov",IF(J68&gt;0,"Oct","Sep")))))</f>
        <v>Feb</v>
      </c>
      <c r="X68" s="2" t="str">
        <f aca="false">IF(O68&gt;=Assumptions!$B$35,"Key (&gt;=£10k)",IF(O68&gt;=Assumptions!$B$34,"Core (£2k-10k)","Tail (&lt;£2k)"))</f>
        <v>Tail (&lt;£2k)</v>
      </c>
      <c r="Y68" s="21" t="n">
        <f aca="false">INDEX('Scored Accounts'!$Q$2:$Q$301,MATCH(A68,'Scored Accounts'!$A$2:$A$301,0))</f>
        <v>77.5</v>
      </c>
      <c r="Z68" s="2" t="str">
        <f aca="false">INDEX('Scored Accounts'!$R$2:$R$301,MATCH(A68,'Scored Accounts'!$A$2:$A$301,0))</f>
        <v>High</v>
      </c>
      <c r="AA68" s="2" t="str">
        <f aca="false">INDEX('Scored Accounts'!$T$2:$T$301,MATCH(A68,'Scored Accounts'!$A$2:$A$301,0))</f>
        <v/>
      </c>
      <c r="AB68" s="2" t="str">
        <f aca="false">IF(Z68="Low","Lower dep / ","Higher dep / ")&amp;IF(O68&gt;=Assumptions!$B$34,"Higher value","Lower value")</f>
        <v>Higher dep / Lower value</v>
      </c>
    </row>
    <row r="69" customFormat="false" ht="15" hidden="false" customHeight="false" outlineLevel="0" collapsed="false">
      <c r="A69" s="2" t="s">
        <v>507</v>
      </c>
      <c r="B69" s="2" t="s">
        <v>1571</v>
      </c>
      <c r="C69" s="2" t="s">
        <v>1640</v>
      </c>
      <c r="D69" s="2" t="s">
        <v>1653</v>
      </c>
      <c r="E69" s="2" t="s">
        <v>1653</v>
      </c>
      <c r="F69" s="2" t="s">
        <v>1572</v>
      </c>
      <c r="G69" s="2" t="n">
        <v>19</v>
      </c>
      <c r="H69" s="2" t="n">
        <v>5</v>
      </c>
      <c r="I69" s="9" t="n">
        <v>351</v>
      </c>
      <c r="J69" s="9" t="n">
        <v>0</v>
      </c>
      <c r="K69" s="9" t="n">
        <v>0</v>
      </c>
      <c r="L69" s="9" t="n">
        <v>563</v>
      </c>
      <c r="M69" s="9" t="n">
        <v>0</v>
      </c>
      <c r="N69" s="9" t="n">
        <v>792</v>
      </c>
      <c r="O69" s="9" t="n">
        <v>1706</v>
      </c>
      <c r="P69" s="2" t="n">
        <v>126</v>
      </c>
      <c r="Q69" s="2" t="n">
        <f aca="false">IF(I69&gt;0,ROUND((N69-I69)/I69*100,0),"")</f>
        <v>126</v>
      </c>
      <c r="R69" s="9" t="n">
        <f aca="false">SUM(I69:K69)</f>
        <v>351</v>
      </c>
      <c r="S69" s="9" t="n">
        <f aca="false">SUM(L69:N69)</f>
        <v>1355</v>
      </c>
      <c r="T69" s="17" t="n">
        <f aca="false">IF(R69&gt;0,S69/R69-1,"")</f>
        <v>2.86039886039886</v>
      </c>
      <c r="U69" s="2" t="str">
        <f aca="false">IF(AND(R69=0,S69&gt;0),"H2 Active / No H1 GMV",IF(S69=0,"Lapsed",IF(T69&gt;=Assumptions!$B$36,"Growing",IF(T69&lt;-Assumptions!$B$36,"Declining","Stable"))))</f>
        <v>Growing</v>
      </c>
      <c r="V69" s="2" t="n">
        <f aca="false">COUNTIF(I69:N69,"&gt;0")</f>
        <v>3</v>
      </c>
      <c r="W69" s="2" t="str">
        <f aca="false">IF(N69&gt;0,"Feb",IF(M69&gt;0,"Jan",IF(L69&gt;0,"Dec",IF(K69&gt;0,"Nov",IF(J69&gt;0,"Oct","Sep")))))</f>
        <v>Feb</v>
      </c>
      <c r="X69" s="2" t="str">
        <f aca="false">IF(O69&gt;=Assumptions!$B$35,"Key (&gt;=£10k)",IF(O69&gt;=Assumptions!$B$34,"Core (£2k-10k)","Tail (&lt;£2k)"))</f>
        <v>Tail (&lt;£2k)</v>
      </c>
      <c r="Y69" s="21" t="n">
        <f aca="false">INDEX('Scored Accounts'!$Q$2:$Q$301,MATCH(A69,'Scored Accounts'!$A$2:$A$301,0))</f>
        <v>0</v>
      </c>
      <c r="Z69" s="2" t="str">
        <f aca="false">INDEX('Scored Accounts'!$R$2:$R$301,MATCH(A69,'Scored Accounts'!$A$2:$A$301,0))</f>
        <v>Low</v>
      </c>
      <c r="AA69" s="2" t="str">
        <f aca="false">INDEX('Scored Accounts'!$T$2:$T$301,MATCH(A69,'Scored Accounts'!$A$2:$A$301,0))</f>
        <v/>
      </c>
      <c r="AB69" s="2" t="str">
        <f aca="false">IF(Z69="Low","Lower dep / ","Higher dep / ")&amp;IF(O69&gt;=Assumptions!$B$34,"Higher value","Lower value")</f>
        <v>Lower dep / Lower value</v>
      </c>
    </row>
    <row r="70" customFormat="false" ht="15" hidden="false" customHeight="false" outlineLevel="0" collapsed="false">
      <c r="A70" s="2" t="s">
        <v>577</v>
      </c>
      <c r="B70" s="2" t="s">
        <v>1571</v>
      </c>
      <c r="C70" s="2" t="s">
        <v>1640</v>
      </c>
      <c r="D70" s="2" t="s">
        <v>1653</v>
      </c>
      <c r="E70" s="2" t="s">
        <v>1653</v>
      </c>
      <c r="F70" s="2" t="s">
        <v>1572</v>
      </c>
      <c r="G70" s="2" t="n">
        <v>9</v>
      </c>
      <c r="H70" s="2" t="n">
        <v>8</v>
      </c>
      <c r="I70" s="9" t="n">
        <v>82</v>
      </c>
      <c r="J70" s="9" t="n">
        <v>969</v>
      </c>
      <c r="K70" s="9" t="n">
        <v>0</v>
      </c>
      <c r="L70" s="9" t="n">
        <v>222</v>
      </c>
      <c r="M70" s="9" t="n">
        <v>218</v>
      </c>
      <c r="N70" s="9" t="n">
        <v>192</v>
      </c>
      <c r="O70" s="9" t="n">
        <v>1682</v>
      </c>
      <c r="P70" s="2" t="n">
        <v>134</v>
      </c>
      <c r="Q70" s="2" t="n">
        <f aca="false">IF(I70&gt;0,ROUND((N70-I70)/I70*100,0),"")</f>
        <v>134</v>
      </c>
      <c r="R70" s="9" t="n">
        <f aca="false">SUM(I70:K70)</f>
        <v>1051</v>
      </c>
      <c r="S70" s="9" t="n">
        <f aca="false">SUM(L70:N70)</f>
        <v>632</v>
      </c>
      <c r="T70" s="17" t="n">
        <f aca="false">IF(R70&gt;0,S70/R70-1,"")</f>
        <v>-0.398667935299715</v>
      </c>
      <c r="U70" s="2" t="str">
        <f aca="false">IF(AND(R70=0,S70&gt;0),"H2 Active / No H1 GMV",IF(S70=0,"Lapsed",IF(T70&gt;=Assumptions!$B$36,"Growing",IF(T70&lt;-Assumptions!$B$36,"Declining","Stable"))))</f>
        <v>Declining</v>
      </c>
      <c r="V70" s="2" t="n">
        <f aca="false">COUNTIF(I70:N70,"&gt;0")</f>
        <v>5</v>
      </c>
      <c r="W70" s="2" t="str">
        <f aca="false">IF(N70&gt;0,"Feb",IF(M70&gt;0,"Jan",IF(L70&gt;0,"Dec",IF(K70&gt;0,"Nov",IF(J70&gt;0,"Oct","Sep")))))</f>
        <v>Feb</v>
      </c>
      <c r="X70" s="2" t="str">
        <f aca="false">IF(O70&gt;=Assumptions!$B$35,"Key (&gt;=£10k)",IF(O70&gt;=Assumptions!$B$34,"Core (£2k-10k)","Tail (&lt;£2k)"))</f>
        <v>Tail (&lt;£2k)</v>
      </c>
      <c r="Y70" s="21" t="n">
        <f aca="false">INDEX('Scored Accounts'!$Q$2:$Q$301,MATCH(A70,'Scored Accounts'!$A$2:$A$301,0))</f>
        <v>0</v>
      </c>
      <c r="Z70" s="2" t="str">
        <f aca="false">INDEX('Scored Accounts'!$R$2:$R$301,MATCH(A70,'Scored Accounts'!$A$2:$A$301,0))</f>
        <v>Low</v>
      </c>
      <c r="AA70" s="2" t="str">
        <f aca="false">INDEX('Scored Accounts'!$T$2:$T$301,MATCH(A70,'Scored Accounts'!$A$2:$A$301,0))</f>
        <v/>
      </c>
      <c r="AB70" s="2" t="str">
        <f aca="false">IF(Z70="Low","Lower dep / ","Higher dep / ")&amp;IF(O70&gt;=Assumptions!$B$34,"Higher value","Lower value")</f>
        <v>Lower dep / Lower value</v>
      </c>
    </row>
    <row r="71" customFormat="false" ht="15" hidden="false" customHeight="false" outlineLevel="0" collapsed="false">
      <c r="A71" s="2" t="s">
        <v>582</v>
      </c>
      <c r="B71" s="2" t="s">
        <v>1571</v>
      </c>
      <c r="C71" s="2" t="s">
        <v>1640</v>
      </c>
      <c r="D71" s="2" t="s">
        <v>1658</v>
      </c>
      <c r="E71" s="2" t="s">
        <v>1658</v>
      </c>
      <c r="F71" s="2" t="s">
        <v>1572</v>
      </c>
      <c r="G71" s="2" t="n">
        <v>7</v>
      </c>
      <c r="H71" s="2" t="n">
        <v>1</v>
      </c>
      <c r="I71" s="9" t="n">
        <v>1671</v>
      </c>
      <c r="J71" s="9" t="n">
        <v>0</v>
      </c>
      <c r="K71" s="9" t="n">
        <v>0</v>
      </c>
      <c r="L71" s="9" t="n">
        <v>0</v>
      </c>
      <c r="M71" s="9" t="n">
        <v>0</v>
      </c>
      <c r="N71" s="9" t="n">
        <v>0</v>
      </c>
      <c r="O71" s="9" t="n">
        <v>1671</v>
      </c>
      <c r="P71" s="2" t="n">
        <v>-100</v>
      </c>
      <c r="Q71" s="2" t="n">
        <f aca="false">IF(I71&gt;0,ROUND((N71-I71)/I71*100,0),"")</f>
        <v>-100</v>
      </c>
      <c r="R71" s="9" t="n">
        <f aca="false">SUM(I71:K71)</f>
        <v>1671</v>
      </c>
      <c r="S71" s="9" t="n">
        <f aca="false">SUM(L71:N71)</f>
        <v>0</v>
      </c>
      <c r="T71" s="17" t="n">
        <f aca="false">IF(R71&gt;0,S71/R71-1,"")</f>
        <v>-1</v>
      </c>
      <c r="U71" s="2" t="str">
        <f aca="false">IF(AND(R71=0,S71&gt;0),"H2 Active / No H1 GMV",IF(S71=0,"Lapsed",IF(T71&gt;=Assumptions!$B$36,"Growing",IF(T71&lt;-Assumptions!$B$36,"Declining","Stable"))))</f>
        <v>Lapsed</v>
      </c>
      <c r="V71" s="2" t="n">
        <f aca="false">COUNTIF(I71:N71,"&gt;0")</f>
        <v>1</v>
      </c>
      <c r="W71" s="2" t="str">
        <f aca="false">IF(N71&gt;0,"Feb",IF(M71&gt;0,"Jan",IF(L71&gt;0,"Dec",IF(K71&gt;0,"Nov",IF(J71&gt;0,"Oct","Sep")))))</f>
        <v>Sep</v>
      </c>
      <c r="X71" s="2" t="str">
        <f aca="false">IF(O71&gt;=Assumptions!$B$35,"Key (&gt;=£10k)",IF(O71&gt;=Assumptions!$B$34,"Core (£2k-10k)","Tail (&lt;£2k)"))</f>
        <v>Tail (&lt;£2k)</v>
      </c>
      <c r="Y71" s="21" t="n">
        <f aca="false">INDEX('Scored Accounts'!$Q$2:$Q$301,MATCH(A71,'Scored Accounts'!$A$2:$A$301,0))</f>
        <v>0</v>
      </c>
      <c r="Z71" s="2" t="str">
        <f aca="false">INDEX('Scored Accounts'!$R$2:$R$301,MATCH(A71,'Scored Accounts'!$A$2:$A$301,0))</f>
        <v>Low</v>
      </c>
      <c r="AA71" s="2" t="str">
        <f aca="false">INDEX('Scored Accounts'!$T$2:$T$301,MATCH(A71,'Scored Accounts'!$A$2:$A$301,0))</f>
        <v/>
      </c>
      <c r="AB71" s="2" t="str">
        <f aca="false">IF(Z71="Low","Lower dep / ","Higher dep / ")&amp;IF(O71&gt;=Assumptions!$B$34,"Higher value","Lower value")</f>
        <v>Lower dep / Lower value</v>
      </c>
    </row>
    <row r="72" customFormat="false" ht="15" hidden="false" customHeight="false" outlineLevel="0" collapsed="false">
      <c r="A72" s="2" t="s">
        <v>510</v>
      </c>
      <c r="B72" s="2" t="s">
        <v>1571</v>
      </c>
      <c r="C72" s="2" t="s">
        <v>1640</v>
      </c>
      <c r="D72" s="2" t="s">
        <v>1657</v>
      </c>
      <c r="E72" s="2" t="s">
        <v>1724</v>
      </c>
      <c r="F72" s="2" t="s">
        <v>1572</v>
      </c>
      <c r="G72" s="2" t="n">
        <v>12</v>
      </c>
      <c r="H72" s="2" t="n">
        <v>6</v>
      </c>
      <c r="I72" s="9" t="n">
        <v>0</v>
      </c>
      <c r="J72" s="9" t="n">
        <v>68</v>
      </c>
      <c r="K72" s="9" t="n">
        <v>0</v>
      </c>
      <c r="L72" s="9" t="n">
        <v>0</v>
      </c>
      <c r="M72" s="9" t="n">
        <v>1246</v>
      </c>
      <c r="N72" s="9" t="n">
        <v>301</v>
      </c>
      <c r="O72" s="9" t="n">
        <v>1614</v>
      </c>
      <c r="P72" s="2"/>
      <c r="Q72" s="2" t="str">
        <f aca="false">IF(I72&gt;0,ROUND((N72-I72)/I72*100,0),"")</f>
        <v/>
      </c>
      <c r="R72" s="9" t="n">
        <f aca="false">SUM(I72:K72)</f>
        <v>68</v>
      </c>
      <c r="S72" s="9" t="n">
        <f aca="false">SUM(L72:N72)</f>
        <v>1547</v>
      </c>
      <c r="T72" s="17" t="n">
        <f aca="false">IF(R72&gt;0,S72/R72-1,"")</f>
        <v>21.75</v>
      </c>
      <c r="U72" s="2" t="str">
        <f aca="false">IF(AND(R72=0,S72&gt;0),"H2 Active / No H1 GMV",IF(S72=0,"Lapsed",IF(T72&gt;=Assumptions!$B$36,"Growing",IF(T72&lt;-Assumptions!$B$36,"Declining","Stable"))))</f>
        <v>Growing</v>
      </c>
      <c r="V72" s="2" t="n">
        <f aca="false">COUNTIF(I72:N72,"&gt;0")</f>
        <v>3</v>
      </c>
      <c r="W72" s="2" t="str">
        <f aca="false">IF(N72&gt;0,"Feb",IF(M72&gt;0,"Jan",IF(L72&gt;0,"Dec",IF(K72&gt;0,"Nov",IF(J72&gt;0,"Oct","Sep")))))</f>
        <v>Feb</v>
      </c>
      <c r="X72" s="2" t="str">
        <f aca="false">IF(O72&gt;=Assumptions!$B$35,"Key (&gt;=£10k)",IF(O72&gt;=Assumptions!$B$34,"Core (£2k-10k)","Tail (&lt;£2k)"))</f>
        <v>Tail (&lt;£2k)</v>
      </c>
      <c r="Y72" s="21" t="n">
        <f aca="false">INDEX('Scored Accounts'!$Q$2:$Q$301,MATCH(A72,'Scored Accounts'!$A$2:$A$301,0))</f>
        <v>75</v>
      </c>
      <c r="Z72" s="2" t="str">
        <f aca="false">INDEX('Scored Accounts'!$R$2:$R$301,MATCH(A72,'Scored Accounts'!$A$2:$A$301,0))</f>
        <v>High</v>
      </c>
      <c r="AA72" s="2" t="str">
        <f aca="false">INDEX('Scored Accounts'!$T$2:$T$301,MATCH(A72,'Scored Accounts'!$A$2:$A$301,0))</f>
        <v/>
      </c>
      <c r="AB72" s="2" t="str">
        <f aca="false">IF(Z72="Low","Lower dep / ","Higher dep / ")&amp;IF(O72&gt;=Assumptions!$B$34,"Higher value","Lower value")</f>
        <v>Higher dep / Lower value</v>
      </c>
    </row>
    <row r="73" customFormat="false" ht="15" hidden="false" customHeight="false" outlineLevel="0" collapsed="false">
      <c r="A73" s="2" t="s">
        <v>584</v>
      </c>
      <c r="B73" s="2" t="s">
        <v>1571</v>
      </c>
      <c r="C73" s="2" t="s">
        <v>1640</v>
      </c>
      <c r="D73" s="2" t="s">
        <v>1653</v>
      </c>
      <c r="E73" s="2" t="s">
        <v>1653</v>
      </c>
      <c r="F73" s="2"/>
      <c r="G73" s="2" t="n">
        <v>6</v>
      </c>
      <c r="H73" s="2" t="n">
        <v>5</v>
      </c>
      <c r="I73" s="9" t="n">
        <v>516</v>
      </c>
      <c r="J73" s="9" t="n">
        <v>782</v>
      </c>
      <c r="K73" s="9" t="n">
        <v>0</v>
      </c>
      <c r="L73" s="9" t="n">
        <v>0</v>
      </c>
      <c r="M73" s="9" t="n">
        <v>244</v>
      </c>
      <c r="N73" s="9" t="n">
        <v>0</v>
      </c>
      <c r="O73" s="9" t="n">
        <v>1542</v>
      </c>
      <c r="P73" s="2" t="n">
        <v>-100</v>
      </c>
      <c r="Q73" s="2" t="n">
        <f aca="false">IF(I73&gt;0,ROUND((N73-I73)/I73*100,0),"")</f>
        <v>-100</v>
      </c>
      <c r="R73" s="9" t="n">
        <f aca="false">SUM(I73:K73)</f>
        <v>1298</v>
      </c>
      <c r="S73" s="9" t="n">
        <f aca="false">SUM(L73:N73)</f>
        <v>244</v>
      </c>
      <c r="T73" s="17" t="n">
        <f aca="false">IF(R73&gt;0,S73/R73-1,"")</f>
        <v>-0.812018489984592</v>
      </c>
      <c r="U73" s="2" t="str">
        <f aca="false">IF(AND(R73=0,S73&gt;0),"H2 Active / No H1 GMV",IF(S73=0,"Lapsed",IF(T73&gt;=Assumptions!$B$36,"Growing",IF(T73&lt;-Assumptions!$B$36,"Declining","Stable"))))</f>
        <v>Declining</v>
      </c>
      <c r="V73" s="2" t="n">
        <f aca="false">COUNTIF(I73:N73,"&gt;0")</f>
        <v>3</v>
      </c>
      <c r="W73" s="2" t="str">
        <f aca="false">IF(N73&gt;0,"Feb",IF(M73&gt;0,"Jan",IF(L73&gt;0,"Dec",IF(K73&gt;0,"Nov",IF(J73&gt;0,"Oct","Sep")))))</f>
        <v>Jan</v>
      </c>
      <c r="X73" s="2" t="str">
        <f aca="false">IF(O73&gt;=Assumptions!$B$35,"Key (&gt;=£10k)",IF(O73&gt;=Assumptions!$B$34,"Core (£2k-10k)","Tail (&lt;£2k)"))</f>
        <v>Tail (&lt;£2k)</v>
      </c>
      <c r="Y73" s="21" t="n">
        <f aca="false">INDEX('Scored Accounts'!$Q$2:$Q$301,MATCH(A73,'Scored Accounts'!$A$2:$A$301,0))</f>
        <v>0</v>
      </c>
      <c r="Z73" s="2" t="str">
        <f aca="false">INDEX('Scored Accounts'!$R$2:$R$301,MATCH(A73,'Scored Accounts'!$A$2:$A$301,0))</f>
        <v>Low</v>
      </c>
      <c r="AA73" s="2" t="str">
        <f aca="false">INDEX('Scored Accounts'!$T$2:$T$301,MATCH(A73,'Scored Accounts'!$A$2:$A$301,0))</f>
        <v/>
      </c>
      <c r="AB73" s="2" t="str">
        <f aca="false">IF(Z73="Low","Lower dep / ","Higher dep / ")&amp;IF(O73&gt;=Assumptions!$B$34,"Higher value","Lower value")</f>
        <v>Lower dep / Lower value</v>
      </c>
    </row>
    <row r="74" customFormat="false" ht="15" hidden="false" customHeight="false" outlineLevel="0" collapsed="false">
      <c r="A74" s="2" t="s">
        <v>586</v>
      </c>
      <c r="B74" s="2" t="s">
        <v>1571</v>
      </c>
      <c r="C74" s="2" t="s">
        <v>1640</v>
      </c>
      <c r="D74" s="2" t="s">
        <v>1658</v>
      </c>
      <c r="E74" s="2" t="s">
        <v>1658</v>
      </c>
      <c r="F74" s="2" t="s">
        <v>1572</v>
      </c>
      <c r="G74" s="2" t="n">
        <v>26</v>
      </c>
      <c r="H74" s="2" t="n">
        <v>1</v>
      </c>
      <c r="I74" s="9" t="n">
        <v>0</v>
      </c>
      <c r="J74" s="9" t="n">
        <v>0</v>
      </c>
      <c r="K74" s="9" t="n">
        <v>0</v>
      </c>
      <c r="L74" s="9" t="n">
        <v>1501</v>
      </c>
      <c r="M74" s="9" t="n">
        <v>0</v>
      </c>
      <c r="N74" s="9" t="n">
        <v>0</v>
      </c>
      <c r="O74" s="9" t="n">
        <v>1501</v>
      </c>
      <c r="P74" s="2"/>
      <c r="Q74" s="2" t="str">
        <f aca="false">IF(I74&gt;0,ROUND((N74-I74)/I74*100,0),"")</f>
        <v/>
      </c>
      <c r="R74" s="9" t="n">
        <f aca="false">SUM(I74:K74)</f>
        <v>0</v>
      </c>
      <c r="S74" s="9" t="n">
        <f aca="false">SUM(L74:N74)</f>
        <v>1501</v>
      </c>
      <c r="T74" s="17" t="str">
        <f aca="false">IF(R74&gt;0,S74/R74-1,"")</f>
        <v/>
      </c>
      <c r="U74" s="2" t="str">
        <f aca="false">IF(AND(R74=0,S74&gt;0),"H2 Active / No H1 GMV",IF(S74=0,"Lapsed",IF(T74&gt;=Assumptions!$B$36,"Growing",IF(T74&lt;-Assumptions!$B$36,"Declining","Stable"))))</f>
        <v>H2 Active / No H1 GMV</v>
      </c>
      <c r="V74" s="2" t="n">
        <f aca="false">COUNTIF(I74:N74,"&gt;0")</f>
        <v>1</v>
      </c>
      <c r="W74" s="2" t="str">
        <f aca="false">IF(N74&gt;0,"Feb",IF(M74&gt;0,"Jan",IF(L74&gt;0,"Dec",IF(K74&gt;0,"Nov",IF(J74&gt;0,"Oct","Sep")))))</f>
        <v>Dec</v>
      </c>
      <c r="X74" s="2" t="str">
        <f aca="false">IF(O74&gt;=Assumptions!$B$35,"Key (&gt;=£10k)",IF(O74&gt;=Assumptions!$B$34,"Core (£2k-10k)","Tail (&lt;£2k)"))</f>
        <v>Tail (&lt;£2k)</v>
      </c>
      <c r="Y74" s="21" t="n">
        <f aca="false">INDEX('Scored Accounts'!$Q$2:$Q$301,MATCH(A74,'Scored Accounts'!$A$2:$A$301,0))</f>
        <v>0</v>
      </c>
      <c r="Z74" s="2" t="str">
        <f aca="false">INDEX('Scored Accounts'!$R$2:$R$301,MATCH(A74,'Scored Accounts'!$A$2:$A$301,0))</f>
        <v>Low</v>
      </c>
      <c r="AA74" s="2" t="str">
        <f aca="false">INDEX('Scored Accounts'!$T$2:$T$301,MATCH(A74,'Scored Accounts'!$A$2:$A$301,0))</f>
        <v/>
      </c>
      <c r="AB74" s="2" t="str">
        <f aca="false">IF(Z74="Low","Lower dep / ","Higher dep / ")&amp;IF(O74&gt;=Assumptions!$B$34,"Higher value","Lower value")</f>
        <v>Lower dep / Lower value</v>
      </c>
    </row>
    <row r="75" customFormat="false" ht="15" hidden="false" customHeight="false" outlineLevel="0" collapsed="false">
      <c r="A75" s="2" t="s">
        <v>513</v>
      </c>
      <c r="B75" s="2" t="s">
        <v>1571</v>
      </c>
      <c r="C75" s="2" t="s">
        <v>1640</v>
      </c>
      <c r="D75" s="2" t="s">
        <v>1658</v>
      </c>
      <c r="E75" s="2" t="s">
        <v>1658</v>
      </c>
      <c r="F75" s="2" t="s">
        <v>1572</v>
      </c>
      <c r="G75" s="2" t="n">
        <v>10</v>
      </c>
      <c r="H75" s="2" t="n">
        <v>2</v>
      </c>
      <c r="I75" s="9" t="n">
        <v>0</v>
      </c>
      <c r="J75" s="9" t="n">
        <v>0</v>
      </c>
      <c r="K75" s="9" t="n">
        <v>0</v>
      </c>
      <c r="L75" s="9" t="n">
        <v>0</v>
      </c>
      <c r="M75" s="9" t="n">
        <v>1448</v>
      </c>
      <c r="N75" s="9" t="n">
        <v>0</v>
      </c>
      <c r="O75" s="9" t="n">
        <v>1448</v>
      </c>
      <c r="P75" s="2"/>
      <c r="Q75" s="2" t="str">
        <f aca="false">IF(I75&gt;0,ROUND((N75-I75)/I75*100,0),"")</f>
        <v/>
      </c>
      <c r="R75" s="9" t="n">
        <f aca="false">SUM(I75:K75)</f>
        <v>0</v>
      </c>
      <c r="S75" s="9" t="n">
        <f aca="false">SUM(L75:N75)</f>
        <v>1448</v>
      </c>
      <c r="T75" s="17" t="str">
        <f aca="false">IF(R75&gt;0,S75/R75-1,"")</f>
        <v/>
      </c>
      <c r="U75" s="2" t="str">
        <f aca="false">IF(AND(R75=0,S75&gt;0),"H2 Active / No H1 GMV",IF(S75=0,"Lapsed",IF(T75&gt;=Assumptions!$B$36,"Growing",IF(T75&lt;-Assumptions!$B$36,"Declining","Stable"))))</f>
        <v>H2 Active / No H1 GMV</v>
      </c>
      <c r="V75" s="2" t="n">
        <f aca="false">COUNTIF(I75:N75,"&gt;0")</f>
        <v>1</v>
      </c>
      <c r="W75" s="2" t="str">
        <f aca="false">IF(N75&gt;0,"Feb",IF(M75&gt;0,"Jan",IF(L75&gt;0,"Dec",IF(K75&gt;0,"Nov",IF(J75&gt;0,"Oct","Sep")))))</f>
        <v>Jan</v>
      </c>
      <c r="X75" s="2" t="str">
        <f aca="false">IF(O75&gt;=Assumptions!$B$35,"Key (&gt;=£10k)",IF(O75&gt;=Assumptions!$B$34,"Core (£2k-10k)","Tail (&lt;£2k)"))</f>
        <v>Tail (&lt;£2k)</v>
      </c>
      <c r="Y75" s="21" t="n">
        <f aca="false">INDEX('Scored Accounts'!$Q$2:$Q$301,MATCH(A75,'Scored Accounts'!$A$2:$A$301,0))</f>
        <v>80</v>
      </c>
      <c r="Z75" s="2" t="str">
        <f aca="false">INDEX('Scored Accounts'!$R$2:$R$301,MATCH(A75,'Scored Accounts'!$A$2:$A$301,0))</f>
        <v>High</v>
      </c>
      <c r="AA75" s="2" t="str">
        <f aca="false">INDEX('Scored Accounts'!$T$2:$T$301,MATCH(A75,'Scored Accounts'!$A$2:$A$301,0))</f>
        <v>Low confidence</v>
      </c>
      <c r="AB75" s="2" t="str">
        <f aca="false">IF(Z75="Low","Lower dep / ","Higher dep / ")&amp;IF(O75&gt;=Assumptions!$B$34,"Higher value","Lower value")</f>
        <v>Higher dep / Lower value</v>
      </c>
    </row>
    <row r="76" customFormat="false" ht="15" hidden="false" customHeight="false" outlineLevel="0" collapsed="false">
      <c r="A76" s="2" t="s">
        <v>517</v>
      </c>
      <c r="B76" s="2" t="s">
        <v>1571</v>
      </c>
      <c r="C76" s="2" t="s">
        <v>1640</v>
      </c>
      <c r="D76" s="2" t="s">
        <v>1653</v>
      </c>
      <c r="E76" s="2" t="s">
        <v>1653</v>
      </c>
      <c r="F76" s="2" t="s">
        <v>1572</v>
      </c>
      <c r="G76" s="2" t="n">
        <v>14</v>
      </c>
      <c r="H76" s="2" t="n">
        <v>3</v>
      </c>
      <c r="I76" s="9" t="n">
        <v>345</v>
      </c>
      <c r="J76" s="9" t="n">
        <v>345</v>
      </c>
      <c r="K76" s="9" t="n">
        <v>0</v>
      </c>
      <c r="L76" s="9" t="n">
        <v>0</v>
      </c>
      <c r="M76" s="9" t="n">
        <v>731</v>
      </c>
      <c r="N76" s="9" t="n">
        <v>0</v>
      </c>
      <c r="O76" s="9" t="n">
        <v>1422</v>
      </c>
      <c r="P76" s="2" t="n">
        <v>-100</v>
      </c>
      <c r="Q76" s="2" t="n">
        <f aca="false">IF(I76&gt;0,ROUND((N76-I76)/I76*100,0),"")</f>
        <v>-100</v>
      </c>
      <c r="R76" s="9" t="n">
        <f aca="false">SUM(I76:K76)</f>
        <v>690</v>
      </c>
      <c r="S76" s="9" t="n">
        <f aca="false">SUM(L76:N76)</f>
        <v>731</v>
      </c>
      <c r="T76" s="17" t="n">
        <f aca="false">IF(R76&gt;0,S76/R76-1,"")</f>
        <v>0.0594202898550724</v>
      </c>
      <c r="U76" s="2" t="str">
        <f aca="false">IF(AND(R76=0,S76&gt;0),"H2 Active / No H1 GMV",IF(S76=0,"Lapsed",IF(T76&gt;=Assumptions!$B$36,"Growing",IF(T76&lt;-Assumptions!$B$36,"Declining","Stable"))))</f>
        <v>Stable</v>
      </c>
      <c r="V76" s="2" t="n">
        <f aca="false">COUNTIF(I76:N76,"&gt;0")</f>
        <v>3</v>
      </c>
      <c r="W76" s="2" t="str">
        <f aca="false">IF(N76&gt;0,"Feb",IF(M76&gt;0,"Jan",IF(L76&gt;0,"Dec",IF(K76&gt;0,"Nov",IF(J76&gt;0,"Oct","Sep")))))</f>
        <v>Jan</v>
      </c>
      <c r="X76" s="2" t="str">
        <f aca="false">IF(O76&gt;=Assumptions!$B$35,"Key (&gt;=£10k)",IF(O76&gt;=Assumptions!$B$34,"Core (£2k-10k)","Tail (&lt;£2k)"))</f>
        <v>Tail (&lt;£2k)</v>
      </c>
      <c r="Y76" s="21" t="n">
        <f aca="false">INDEX('Scored Accounts'!$Q$2:$Q$301,MATCH(A76,'Scored Accounts'!$A$2:$A$301,0))</f>
        <v>77.5</v>
      </c>
      <c r="Z76" s="2" t="str">
        <f aca="false">INDEX('Scored Accounts'!$R$2:$R$301,MATCH(A76,'Scored Accounts'!$A$2:$A$301,0))</f>
        <v>High</v>
      </c>
      <c r="AA76" s="2" t="str">
        <f aca="false">INDEX('Scored Accounts'!$T$2:$T$301,MATCH(A76,'Scored Accounts'!$A$2:$A$301,0))</f>
        <v/>
      </c>
      <c r="AB76" s="2" t="str">
        <f aca="false">IF(Z76="Low","Lower dep / ","Higher dep / ")&amp;IF(O76&gt;=Assumptions!$B$34,"Higher value","Lower value")</f>
        <v>Higher dep / Lower value</v>
      </c>
    </row>
    <row r="77" customFormat="false" ht="15" hidden="false" customHeight="false" outlineLevel="0" collapsed="false">
      <c r="A77" s="2" t="s">
        <v>591</v>
      </c>
      <c r="B77" s="2" t="s">
        <v>1571</v>
      </c>
      <c r="C77" s="2" t="s">
        <v>1640</v>
      </c>
      <c r="D77" s="2" t="s">
        <v>1653</v>
      </c>
      <c r="E77" s="2" t="s">
        <v>1653</v>
      </c>
      <c r="F77" s="2" t="s">
        <v>1572</v>
      </c>
      <c r="G77" s="2" t="n">
        <v>12</v>
      </c>
      <c r="H77" s="2" t="n">
        <v>1</v>
      </c>
      <c r="I77" s="9" t="n">
        <v>0</v>
      </c>
      <c r="J77" s="9" t="n">
        <v>0</v>
      </c>
      <c r="K77" s="9" t="n">
        <v>1422</v>
      </c>
      <c r="L77" s="9" t="n">
        <v>0</v>
      </c>
      <c r="M77" s="9" t="n">
        <v>0</v>
      </c>
      <c r="N77" s="9" t="n">
        <v>0</v>
      </c>
      <c r="O77" s="9" t="n">
        <v>1422</v>
      </c>
      <c r="P77" s="2"/>
      <c r="Q77" s="2" t="str">
        <f aca="false">IF(I77&gt;0,ROUND((N77-I77)/I77*100,0),"")</f>
        <v/>
      </c>
      <c r="R77" s="9" t="n">
        <f aca="false">SUM(I77:K77)</f>
        <v>1422</v>
      </c>
      <c r="S77" s="9" t="n">
        <f aca="false">SUM(L77:N77)</f>
        <v>0</v>
      </c>
      <c r="T77" s="17" t="n">
        <f aca="false">IF(R77&gt;0,S77/R77-1,"")</f>
        <v>-1</v>
      </c>
      <c r="U77" s="2" t="str">
        <f aca="false">IF(AND(R77=0,S77&gt;0),"H2 Active / No H1 GMV",IF(S77=0,"Lapsed",IF(T77&gt;=Assumptions!$B$36,"Growing",IF(T77&lt;-Assumptions!$B$36,"Declining","Stable"))))</f>
        <v>Lapsed</v>
      </c>
      <c r="V77" s="2" t="n">
        <f aca="false">COUNTIF(I77:N77,"&gt;0")</f>
        <v>1</v>
      </c>
      <c r="W77" s="2" t="str">
        <f aca="false">IF(N77&gt;0,"Feb",IF(M77&gt;0,"Jan",IF(L77&gt;0,"Dec",IF(K77&gt;0,"Nov",IF(J77&gt;0,"Oct","Sep")))))</f>
        <v>Nov</v>
      </c>
      <c r="X77" s="2" t="str">
        <f aca="false">IF(O77&gt;=Assumptions!$B$35,"Key (&gt;=£10k)",IF(O77&gt;=Assumptions!$B$34,"Core (£2k-10k)","Tail (&lt;£2k)"))</f>
        <v>Tail (&lt;£2k)</v>
      </c>
      <c r="Y77" s="21" t="n">
        <f aca="false">INDEX('Scored Accounts'!$Q$2:$Q$301,MATCH(A77,'Scored Accounts'!$A$2:$A$301,0))</f>
        <v>0</v>
      </c>
      <c r="Z77" s="2" t="str">
        <f aca="false">INDEX('Scored Accounts'!$R$2:$R$301,MATCH(A77,'Scored Accounts'!$A$2:$A$301,0))</f>
        <v>Low</v>
      </c>
      <c r="AA77" s="2" t="str">
        <f aca="false">INDEX('Scored Accounts'!$T$2:$T$301,MATCH(A77,'Scored Accounts'!$A$2:$A$301,0))</f>
        <v/>
      </c>
      <c r="AB77" s="2" t="str">
        <f aca="false">IF(Z77="Low","Lower dep / ","Higher dep / ")&amp;IF(O77&gt;=Assumptions!$B$34,"Higher value","Lower value")</f>
        <v>Lower dep / Lower value</v>
      </c>
    </row>
    <row r="78" customFormat="false" ht="15" hidden="false" customHeight="false" outlineLevel="0" collapsed="false">
      <c r="A78" s="2" t="s">
        <v>520</v>
      </c>
      <c r="B78" s="2" t="s">
        <v>1571</v>
      </c>
      <c r="C78" s="2" t="s">
        <v>1640</v>
      </c>
      <c r="D78" s="2" t="s">
        <v>1653</v>
      </c>
      <c r="E78" s="2" t="s">
        <v>1653</v>
      </c>
      <c r="F78" s="2" t="s">
        <v>1572</v>
      </c>
      <c r="G78" s="2" t="n">
        <v>14</v>
      </c>
      <c r="H78" s="2" t="n">
        <v>5</v>
      </c>
      <c r="I78" s="9" t="n">
        <v>376</v>
      </c>
      <c r="J78" s="9" t="n">
        <v>754</v>
      </c>
      <c r="K78" s="9" t="n">
        <v>0</v>
      </c>
      <c r="L78" s="9" t="n">
        <v>0</v>
      </c>
      <c r="M78" s="9" t="n">
        <v>0</v>
      </c>
      <c r="N78" s="9" t="n">
        <v>272</v>
      </c>
      <c r="O78" s="9" t="n">
        <v>1401</v>
      </c>
      <c r="P78" s="2" t="n">
        <v>-28</v>
      </c>
      <c r="Q78" s="2" t="n">
        <f aca="false">IF(I78&gt;0,ROUND((N78-I78)/I78*100,0),"")</f>
        <v>-28</v>
      </c>
      <c r="R78" s="9" t="n">
        <f aca="false">SUM(I78:K78)</f>
        <v>1130</v>
      </c>
      <c r="S78" s="9" t="n">
        <f aca="false">SUM(L78:N78)</f>
        <v>272</v>
      </c>
      <c r="T78" s="17" t="n">
        <f aca="false">IF(R78&gt;0,S78/R78-1,"")</f>
        <v>-0.75929203539823</v>
      </c>
      <c r="U78" s="2" t="str">
        <f aca="false">IF(AND(R78=0,S78&gt;0),"H2 Active / No H1 GMV",IF(S78=0,"Lapsed",IF(T78&gt;=Assumptions!$B$36,"Growing",IF(T78&lt;-Assumptions!$B$36,"Declining","Stable"))))</f>
        <v>Declining</v>
      </c>
      <c r="V78" s="2" t="n">
        <f aca="false">COUNTIF(I78:N78,"&gt;0")</f>
        <v>3</v>
      </c>
      <c r="W78" s="2" t="str">
        <f aca="false">IF(N78&gt;0,"Feb",IF(M78&gt;0,"Jan",IF(L78&gt;0,"Dec",IF(K78&gt;0,"Nov",IF(J78&gt;0,"Oct","Sep")))))</f>
        <v>Feb</v>
      </c>
      <c r="X78" s="2" t="str">
        <f aca="false">IF(O78&gt;=Assumptions!$B$35,"Key (&gt;=£10k)",IF(O78&gt;=Assumptions!$B$34,"Core (£2k-10k)","Tail (&lt;£2k)"))</f>
        <v>Tail (&lt;£2k)</v>
      </c>
      <c r="Y78" s="21" t="n">
        <f aca="false">INDEX('Scored Accounts'!$Q$2:$Q$301,MATCH(A78,'Scored Accounts'!$A$2:$A$301,0))</f>
        <v>95</v>
      </c>
      <c r="Z78" s="2" t="str">
        <f aca="false">INDEX('Scored Accounts'!$R$2:$R$301,MATCH(A78,'Scored Accounts'!$A$2:$A$301,0))</f>
        <v>High</v>
      </c>
      <c r="AA78" s="2" t="str">
        <f aca="false">INDEX('Scored Accounts'!$T$2:$T$301,MATCH(A78,'Scored Accounts'!$A$2:$A$301,0))</f>
        <v/>
      </c>
      <c r="AB78" s="2" t="str">
        <f aca="false">IF(Z78="Low","Lower dep / ","Higher dep / ")&amp;IF(O78&gt;=Assumptions!$B$34,"Higher value","Lower value")</f>
        <v>Higher dep / Lower value</v>
      </c>
    </row>
    <row r="79" customFormat="false" ht="15" hidden="false" customHeight="false" outlineLevel="0" collapsed="false">
      <c r="A79" s="2" t="s">
        <v>523</v>
      </c>
      <c r="B79" s="2" t="s">
        <v>1571</v>
      </c>
      <c r="C79" s="2" t="s">
        <v>1640</v>
      </c>
      <c r="D79" s="2" t="s">
        <v>1658</v>
      </c>
      <c r="E79" s="2" t="s">
        <v>1658</v>
      </c>
      <c r="F79" s="2" t="s">
        <v>1572</v>
      </c>
      <c r="G79" s="2" t="n">
        <v>16</v>
      </c>
      <c r="H79" s="2" t="n">
        <v>4</v>
      </c>
      <c r="I79" s="9" t="n">
        <v>0</v>
      </c>
      <c r="J79" s="9" t="n">
        <v>662</v>
      </c>
      <c r="K79" s="9" t="n">
        <v>0</v>
      </c>
      <c r="L79" s="9" t="n">
        <v>704</v>
      </c>
      <c r="M79" s="9" t="n">
        <v>0</v>
      </c>
      <c r="N79" s="9" t="n">
        <v>0</v>
      </c>
      <c r="O79" s="9" t="n">
        <v>1366</v>
      </c>
      <c r="P79" s="2"/>
      <c r="Q79" s="2" t="str">
        <f aca="false">IF(I79&gt;0,ROUND((N79-I79)/I79*100,0),"")</f>
        <v/>
      </c>
      <c r="R79" s="9" t="n">
        <f aca="false">SUM(I79:K79)</f>
        <v>662</v>
      </c>
      <c r="S79" s="9" t="n">
        <f aca="false">SUM(L79:N79)</f>
        <v>704</v>
      </c>
      <c r="T79" s="17" t="n">
        <f aca="false">IF(R79&gt;0,S79/R79-1,"")</f>
        <v>0.0634441087613293</v>
      </c>
      <c r="U79" s="2" t="str">
        <f aca="false">IF(AND(R79=0,S79&gt;0),"H2 Active / No H1 GMV",IF(S79=0,"Lapsed",IF(T79&gt;=Assumptions!$B$36,"Growing",IF(T79&lt;-Assumptions!$B$36,"Declining","Stable"))))</f>
        <v>Stable</v>
      </c>
      <c r="V79" s="2" t="n">
        <f aca="false">COUNTIF(I79:N79,"&gt;0")</f>
        <v>2</v>
      </c>
      <c r="W79" s="2" t="str">
        <f aca="false">IF(N79&gt;0,"Feb",IF(M79&gt;0,"Jan",IF(L79&gt;0,"Dec",IF(K79&gt;0,"Nov",IF(J79&gt;0,"Oct","Sep")))))</f>
        <v>Dec</v>
      </c>
      <c r="X79" s="2" t="str">
        <f aca="false">IF(O79&gt;=Assumptions!$B$35,"Key (&gt;=£10k)",IF(O79&gt;=Assumptions!$B$34,"Core (£2k-10k)","Tail (&lt;£2k)"))</f>
        <v>Tail (&lt;£2k)</v>
      </c>
      <c r="Y79" s="21" t="n">
        <f aca="false">INDEX('Scored Accounts'!$Q$2:$Q$301,MATCH(A79,'Scored Accounts'!$A$2:$A$301,0))</f>
        <v>0</v>
      </c>
      <c r="Z79" s="2" t="str">
        <f aca="false">INDEX('Scored Accounts'!$R$2:$R$301,MATCH(A79,'Scored Accounts'!$A$2:$A$301,0))</f>
        <v>Low</v>
      </c>
      <c r="AA79" s="2" t="str">
        <f aca="false">INDEX('Scored Accounts'!$T$2:$T$301,MATCH(A79,'Scored Accounts'!$A$2:$A$301,0))</f>
        <v/>
      </c>
      <c r="AB79" s="2" t="str">
        <f aca="false">IF(Z79="Low","Lower dep / ","Higher dep / ")&amp;IF(O79&gt;=Assumptions!$B$34,"Higher value","Lower value")</f>
        <v>Lower dep / Lower value</v>
      </c>
    </row>
    <row r="80" customFormat="false" ht="15" hidden="false" customHeight="false" outlineLevel="0" collapsed="false">
      <c r="A80" s="2" t="s">
        <v>594</v>
      </c>
      <c r="B80" s="2" t="s">
        <v>1571</v>
      </c>
      <c r="C80" s="2" t="s">
        <v>1640</v>
      </c>
      <c r="D80" s="2" t="s">
        <v>1653</v>
      </c>
      <c r="E80" s="2" t="s">
        <v>1653</v>
      </c>
      <c r="F80" s="2" t="s">
        <v>1572</v>
      </c>
      <c r="G80" s="2" t="n">
        <v>8</v>
      </c>
      <c r="H80" s="2" t="n">
        <v>3</v>
      </c>
      <c r="I80" s="9" t="n">
        <v>1342</v>
      </c>
      <c r="J80" s="9" t="n">
        <v>0</v>
      </c>
      <c r="K80" s="9" t="n">
        <v>0</v>
      </c>
      <c r="L80" s="9" t="n">
        <v>0</v>
      </c>
      <c r="M80" s="9" t="n">
        <v>0</v>
      </c>
      <c r="N80" s="9" t="n">
        <v>0</v>
      </c>
      <c r="O80" s="9" t="n">
        <v>1342</v>
      </c>
      <c r="P80" s="2" t="n">
        <v>-100</v>
      </c>
      <c r="Q80" s="2" t="n">
        <f aca="false">IF(I80&gt;0,ROUND((N80-I80)/I80*100,0),"")</f>
        <v>-100</v>
      </c>
      <c r="R80" s="9" t="n">
        <f aca="false">SUM(I80:K80)</f>
        <v>1342</v>
      </c>
      <c r="S80" s="9" t="n">
        <f aca="false">SUM(L80:N80)</f>
        <v>0</v>
      </c>
      <c r="T80" s="17" t="n">
        <f aca="false">IF(R80&gt;0,S80/R80-1,"")</f>
        <v>-1</v>
      </c>
      <c r="U80" s="2" t="str">
        <f aca="false">IF(AND(R80=0,S80&gt;0),"H2 Active / No H1 GMV",IF(S80=0,"Lapsed",IF(T80&gt;=Assumptions!$B$36,"Growing",IF(T80&lt;-Assumptions!$B$36,"Declining","Stable"))))</f>
        <v>Lapsed</v>
      </c>
      <c r="V80" s="2" t="n">
        <f aca="false">COUNTIF(I80:N80,"&gt;0")</f>
        <v>1</v>
      </c>
      <c r="W80" s="2" t="str">
        <f aca="false">IF(N80&gt;0,"Feb",IF(M80&gt;0,"Jan",IF(L80&gt;0,"Dec",IF(K80&gt;0,"Nov",IF(J80&gt;0,"Oct","Sep")))))</f>
        <v>Sep</v>
      </c>
      <c r="X80" s="2" t="str">
        <f aca="false">IF(O80&gt;=Assumptions!$B$35,"Key (&gt;=£10k)",IF(O80&gt;=Assumptions!$B$34,"Core (£2k-10k)","Tail (&lt;£2k)"))</f>
        <v>Tail (&lt;£2k)</v>
      </c>
      <c r="Y80" s="21" t="n">
        <f aca="false">INDEX('Scored Accounts'!$Q$2:$Q$301,MATCH(A80,'Scored Accounts'!$A$2:$A$301,0))</f>
        <v>70</v>
      </c>
      <c r="Z80" s="2" t="str">
        <f aca="false">INDEX('Scored Accounts'!$R$2:$R$301,MATCH(A80,'Scored Accounts'!$A$2:$A$301,0))</f>
        <v>High</v>
      </c>
      <c r="AA80" s="2" t="str">
        <f aca="false">INDEX('Scored Accounts'!$T$2:$T$301,MATCH(A80,'Scored Accounts'!$A$2:$A$301,0))</f>
        <v/>
      </c>
      <c r="AB80" s="2" t="str">
        <f aca="false">IF(Z80="Low","Lower dep / ","Higher dep / ")&amp;IF(O80&gt;=Assumptions!$B$34,"Higher value","Lower value")</f>
        <v>Higher dep / Lower value</v>
      </c>
    </row>
    <row r="81" customFormat="false" ht="15" hidden="false" customHeight="false" outlineLevel="0" collapsed="false">
      <c r="A81" s="2" t="s">
        <v>530</v>
      </c>
      <c r="B81" s="2" t="s">
        <v>1571</v>
      </c>
      <c r="C81" s="2" t="s">
        <v>1640</v>
      </c>
      <c r="D81" s="2" t="s">
        <v>1653</v>
      </c>
      <c r="E81" s="2" t="s">
        <v>1653</v>
      </c>
      <c r="F81" s="2" t="s">
        <v>1572</v>
      </c>
      <c r="G81" s="2" t="n">
        <v>10</v>
      </c>
      <c r="H81" s="2" t="n">
        <v>7</v>
      </c>
      <c r="I81" s="9" t="n">
        <v>0</v>
      </c>
      <c r="J81" s="9" t="n">
        <v>0</v>
      </c>
      <c r="K81" s="9" t="n">
        <v>0</v>
      </c>
      <c r="L81" s="9" t="n">
        <v>0</v>
      </c>
      <c r="M81" s="9" t="n">
        <v>434</v>
      </c>
      <c r="N81" s="9" t="n">
        <v>908</v>
      </c>
      <c r="O81" s="9" t="n">
        <v>1342</v>
      </c>
      <c r="P81" s="2"/>
      <c r="Q81" s="2" t="str">
        <f aca="false">IF(I81&gt;0,ROUND((N81-I81)/I81*100,0),"")</f>
        <v/>
      </c>
      <c r="R81" s="9" t="n">
        <f aca="false">SUM(I81:K81)</f>
        <v>0</v>
      </c>
      <c r="S81" s="9" t="n">
        <f aca="false">SUM(L81:N81)</f>
        <v>1342</v>
      </c>
      <c r="T81" s="17" t="str">
        <f aca="false">IF(R81&gt;0,S81/R81-1,"")</f>
        <v/>
      </c>
      <c r="U81" s="2" t="str">
        <f aca="false">IF(AND(R81=0,S81&gt;0),"H2 Active / No H1 GMV",IF(S81=0,"Lapsed",IF(T81&gt;=Assumptions!$B$36,"Growing",IF(T81&lt;-Assumptions!$B$36,"Declining","Stable"))))</f>
        <v>H2 Active / No H1 GMV</v>
      </c>
      <c r="V81" s="2" t="n">
        <f aca="false">COUNTIF(I81:N81,"&gt;0")</f>
        <v>2</v>
      </c>
      <c r="W81" s="2" t="str">
        <f aca="false">IF(N81&gt;0,"Feb",IF(M81&gt;0,"Jan",IF(L81&gt;0,"Dec",IF(K81&gt;0,"Nov",IF(J81&gt;0,"Oct","Sep")))))</f>
        <v>Feb</v>
      </c>
      <c r="X81" s="2" t="str">
        <f aca="false">IF(O81&gt;=Assumptions!$B$35,"Key (&gt;=£10k)",IF(O81&gt;=Assumptions!$B$34,"Core (£2k-10k)","Tail (&lt;£2k)"))</f>
        <v>Tail (&lt;£2k)</v>
      </c>
      <c r="Y81" s="21" t="n">
        <f aca="false">INDEX('Scored Accounts'!$Q$2:$Q$301,MATCH(A81,'Scored Accounts'!$A$2:$A$301,0))</f>
        <v>70</v>
      </c>
      <c r="Z81" s="2" t="str">
        <f aca="false">INDEX('Scored Accounts'!$R$2:$R$301,MATCH(A81,'Scored Accounts'!$A$2:$A$301,0))</f>
        <v>High</v>
      </c>
      <c r="AA81" s="2" t="str">
        <f aca="false">INDEX('Scored Accounts'!$T$2:$T$301,MATCH(A81,'Scored Accounts'!$A$2:$A$301,0))</f>
        <v/>
      </c>
      <c r="AB81" s="2" t="str">
        <f aca="false">IF(Z81="Low","Lower dep / ","Higher dep / ")&amp;IF(O81&gt;=Assumptions!$B$34,"Higher value","Lower value")</f>
        <v>Higher dep / Lower value</v>
      </c>
    </row>
    <row r="82" customFormat="false" ht="15" hidden="false" customHeight="false" outlineLevel="0" collapsed="false">
      <c r="A82" s="2" t="s">
        <v>597</v>
      </c>
      <c r="B82" s="2" t="s">
        <v>1571</v>
      </c>
      <c r="C82" s="2" t="s">
        <v>1640</v>
      </c>
      <c r="D82" s="2" t="s">
        <v>1653</v>
      </c>
      <c r="E82" s="2" t="s">
        <v>1653</v>
      </c>
      <c r="F82" s="2" t="s">
        <v>1572</v>
      </c>
      <c r="G82" s="2" t="n">
        <v>17</v>
      </c>
      <c r="H82" s="2" t="n">
        <v>4</v>
      </c>
      <c r="I82" s="9" t="n">
        <v>704</v>
      </c>
      <c r="J82" s="9" t="n">
        <v>585</v>
      </c>
      <c r="K82" s="9" t="n">
        <v>0</v>
      </c>
      <c r="L82" s="9" t="n">
        <v>0</v>
      </c>
      <c r="M82" s="9" t="n">
        <v>0</v>
      </c>
      <c r="N82" s="9" t="n">
        <v>0</v>
      </c>
      <c r="O82" s="9" t="n">
        <v>1289</v>
      </c>
      <c r="P82" s="2" t="n">
        <v>-100</v>
      </c>
      <c r="Q82" s="2" t="n">
        <f aca="false">IF(I82&gt;0,ROUND((N82-I82)/I82*100,0),"")</f>
        <v>-100</v>
      </c>
      <c r="R82" s="9" t="n">
        <f aca="false">SUM(I82:K82)</f>
        <v>1289</v>
      </c>
      <c r="S82" s="9" t="n">
        <f aca="false">SUM(L82:N82)</f>
        <v>0</v>
      </c>
      <c r="T82" s="17" t="n">
        <f aca="false">IF(R82&gt;0,S82/R82-1,"")</f>
        <v>-1</v>
      </c>
      <c r="U82" s="2" t="str">
        <f aca="false">IF(AND(R82=0,S82&gt;0),"H2 Active / No H1 GMV",IF(S82=0,"Lapsed",IF(T82&gt;=Assumptions!$B$36,"Growing",IF(T82&lt;-Assumptions!$B$36,"Declining","Stable"))))</f>
        <v>Lapsed</v>
      </c>
      <c r="V82" s="2" t="n">
        <f aca="false">COUNTIF(I82:N82,"&gt;0")</f>
        <v>2</v>
      </c>
      <c r="W82" s="2" t="str">
        <f aca="false">IF(N82&gt;0,"Feb",IF(M82&gt;0,"Jan",IF(L82&gt;0,"Dec",IF(K82&gt;0,"Nov",IF(J82&gt;0,"Oct","Sep")))))</f>
        <v>Oct</v>
      </c>
      <c r="X82" s="2" t="str">
        <f aca="false">IF(O82&gt;=Assumptions!$B$35,"Key (&gt;=£10k)",IF(O82&gt;=Assumptions!$B$34,"Core (£2k-10k)","Tail (&lt;£2k)"))</f>
        <v>Tail (&lt;£2k)</v>
      </c>
      <c r="Y82" s="21" t="n">
        <f aca="false">INDEX('Scored Accounts'!$Q$2:$Q$301,MATCH(A82,'Scored Accounts'!$A$2:$A$301,0))</f>
        <v>75</v>
      </c>
      <c r="Z82" s="2" t="str">
        <f aca="false">INDEX('Scored Accounts'!$R$2:$R$301,MATCH(A82,'Scored Accounts'!$A$2:$A$301,0))</f>
        <v>High</v>
      </c>
      <c r="AA82" s="2" t="str">
        <f aca="false">INDEX('Scored Accounts'!$T$2:$T$301,MATCH(A82,'Scored Accounts'!$A$2:$A$301,0))</f>
        <v/>
      </c>
      <c r="AB82" s="2" t="str">
        <f aca="false">IF(Z82="Low","Lower dep / ","Higher dep / ")&amp;IF(O82&gt;=Assumptions!$B$34,"Higher value","Lower value")</f>
        <v>Higher dep / Lower value</v>
      </c>
    </row>
    <row r="83" customFormat="false" ht="15" hidden="false" customHeight="false" outlineLevel="0" collapsed="false">
      <c r="A83" s="2" t="s">
        <v>599</v>
      </c>
      <c r="B83" s="2" t="s">
        <v>1571</v>
      </c>
      <c r="C83" s="2" t="s">
        <v>1640</v>
      </c>
      <c r="D83" s="2" t="s">
        <v>1653</v>
      </c>
      <c r="E83" s="2" t="s">
        <v>1653</v>
      </c>
      <c r="F83" s="2"/>
      <c r="G83" s="2" t="n">
        <v>6</v>
      </c>
      <c r="H83" s="2" t="n">
        <v>4</v>
      </c>
      <c r="I83" s="9" t="n">
        <v>131</v>
      </c>
      <c r="J83" s="9" t="n">
        <v>761</v>
      </c>
      <c r="K83" s="9" t="n">
        <v>372</v>
      </c>
      <c r="L83" s="9" t="n">
        <v>0</v>
      </c>
      <c r="M83" s="9" t="n">
        <v>0</v>
      </c>
      <c r="N83" s="9" t="n">
        <v>0</v>
      </c>
      <c r="O83" s="9" t="n">
        <v>1263</v>
      </c>
      <c r="P83" s="2" t="n">
        <v>-100</v>
      </c>
      <c r="Q83" s="2" t="n">
        <f aca="false">IF(I83&gt;0,ROUND((N83-I83)/I83*100,0),"")</f>
        <v>-100</v>
      </c>
      <c r="R83" s="9" t="n">
        <f aca="false">SUM(I83:K83)</f>
        <v>1264</v>
      </c>
      <c r="S83" s="9" t="n">
        <f aca="false">SUM(L83:N83)</f>
        <v>0</v>
      </c>
      <c r="T83" s="17" t="n">
        <f aca="false">IF(R83&gt;0,S83/R83-1,"")</f>
        <v>-1</v>
      </c>
      <c r="U83" s="2" t="str">
        <f aca="false">IF(AND(R83=0,S83&gt;0),"H2 Active / No H1 GMV",IF(S83=0,"Lapsed",IF(T83&gt;=Assumptions!$B$36,"Growing",IF(T83&lt;-Assumptions!$B$36,"Declining","Stable"))))</f>
        <v>Lapsed</v>
      </c>
      <c r="V83" s="2" t="n">
        <f aca="false">COUNTIF(I83:N83,"&gt;0")</f>
        <v>3</v>
      </c>
      <c r="W83" s="2" t="str">
        <f aca="false">IF(N83&gt;0,"Feb",IF(M83&gt;0,"Jan",IF(L83&gt;0,"Dec",IF(K83&gt;0,"Nov",IF(J83&gt;0,"Oct","Sep")))))</f>
        <v>Nov</v>
      </c>
      <c r="X83" s="2" t="str">
        <f aca="false">IF(O83&gt;=Assumptions!$B$35,"Key (&gt;=£10k)",IF(O83&gt;=Assumptions!$B$34,"Core (£2k-10k)","Tail (&lt;£2k)"))</f>
        <v>Tail (&lt;£2k)</v>
      </c>
      <c r="Y83" s="21" t="n">
        <f aca="false">INDEX('Scored Accounts'!$Q$2:$Q$301,MATCH(A83,'Scored Accounts'!$A$2:$A$301,0))</f>
        <v>0</v>
      </c>
      <c r="Z83" s="2" t="str">
        <f aca="false">INDEX('Scored Accounts'!$R$2:$R$301,MATCH(A83,'Scored Accounts'!$A$2:$A$301,0))</f>
        <v>Low</v>
      </c>
      <c r="AA83" s="2" t="str">
        <f aca="false">INDEX('Scored Accounts'!$T$2:$T$301,MATCH(A83,'Scored Accounts'!$A$2:$A$301,0))</f>
        <v/>
      </c>
      <c r="AB83" s="2" t="str">
        <f aca="false">IF(Z83="Low","Lower dep / ","Higher dep / ")&amp;IF(O83&gt;=Assumptions!$B$34,"Higher value","Lower value")</f>
        <v>Lower dep / Lower value</v>
      </c>
    </row>
    <row r="84" customFormat="false" ht="15" hidden="false" customHeight="false" outlineLevel="0" collapsed="false">
      <c r="A84" s="2" t="s">
        <v>533</v>
      </c>
      <c r="B84" s="2" t="s">
        <v>1571</v>
      </c>
      <c r="C84" s="2" t="s">
        <v>1640</v>
      </c>
      <c r="D84" s="2" t="s">
        <v>1653</v>
      </c>
      <c r="E84" s="2" t="s">
        <v>1653</v>
      </c>
      <c r="F84" s="2" t="s">
        <v>1572</v>
      </c>
      <c r="G84" s="2" t="n">
        <v>8</v>
      </c>
      <c r="H84" s="2" t="n">
        <v>8</v>
      </c>
      <c r="I84" s="9" t="n">
        <v>148</v>
      </c>
      <c r="J84" s="9" t="n">
        <v>148</v>
      </c>
      <c r="K84" s="9" t="n">
        <v>0</v>
      </c>
      <c r="L84" s="9" t="n">
        <v>0</v>
      </c>
      <c r="M84" s="9" t="n">
        <v>359</v>
      </c>
      <c r="N84" s="9" t="n">
        <v>562</v>
      </c>
      <c r="O84" s="9" t="n">
        <v>1217</v>
      </c>
      <c r="P84" s="2" t="n">
        <v>280</v>
      </c>
      <c r="Q84" s="2" t="n">
        <f aca="false">IF(I84&gt;0,ROUND((N84-I84)/I84*100,0),"")</f>
        <v>280</v>
      </c>
      <c r="R84" s="9" t="n">
        <f aca="false">SUM(I84:K84)</f>
        <v>296</v>
      </c>
      <c r="S84" s="9" t="n">
        <f aca="false">SUM(L84:N84)</f>
        <v>921</v>
      </c>
      <c r="T84" s="17" t="n">
        <f aca="false">IF(R84&gt;0,S84/R84-1,"")</f>
        <v>2.11148648648649</v>
      </c>
      <c r="U84" s="2" t="str">
        <f aca="false">IF(AND(R84=0,S84&gt;0),"H2 Active / No H1 GMV",IF(S84=0,"Lapsed",IF(T84&gt;=Assumptions!$B$36,"Growing",IF(T84&lt;-Assumptions!$B$36,"Declining","Stable"))))</f>
        <v>Growing</v>
      </c>
      <c r="V84" s="2" t="n">
        <f aca="false">COUNTIF(I84:N84,"&gt;0")</f>
        <v>4</v>
      </c>
      <c r="W84" s="2" t="str">
        <f aca="false">IF(N84&gt;0,"Feb",IF(M84&gt;0,"Jan",IF(L84&gt;0,"Dec",IF(K84&gt;0,"Nov",IF(J84&gt;0,"Oct","Sep")))))</f>
        <v>Feb</v>
      </c>
      <c r="X84" s="2" t="str">
        <f aca="false">IF(O84&gt;=Assumptions!$B$35,"Key (&gt;=£10k)",IF(O84&gt;=Assumptions!$B$34,"Core (£2k-10k)","Tail (&lt;£2k)"))</f>
        <v>Tail (&lt;£2k)</v>
      </c>
      <c r="Y84" s="21" t="n">
        <f aca="false">INDEX('Scored Accounts'!$Q$2:$Q$301,MATCH(A84,'Scored Accounts'!$A$2:$A$301,0))</f>
        <v>0</v>
      </c>
      <c r="Z84" s="2" t="str">
        <f aca="false">INDEX('Scored Accounts'!$R$2:$R$301,MATCH(A84,'Scored Accounts'!$A$2:$A$301,0))</f>
        <v>Low</v>
      </c>
      <c r="AA84" s="2" t="str">
        <f aca="false">INDEX('Scored Accounts'!$T$2:$T$301,MATCH(A84,'Scored Accounts'!$A$2:$A$301,0))</f>
        <v/>
      </c>
      <c r="AB84" s="2" t="str">
        <f aca="false">IF(Z84="Low","Lower dep / ","Higher dep / ")&amp;IF(O84&gt;=Assumptions!$B$34,"Higher value","Lower value")</f>
        <v>Lower dep / Lower value</v>
      </c>
    </row>
    <row r="85" customFormat="false" ht="15" hidden="false" customHeight="false" outlineLevel="0" collapsed="false">
      <c r="A85" s="2" t="s">
        <v>603</v>
      </c>
      <c r="B85" s="2" t="s">
        <v>1571</v>
      </c>
      <c r="C85" s="2" t="s">
        <v>1640</v>
      </c>
      <c r="D85" s="2" t="s">
        <v>1653</v>
      </c>
      <c r="E85" s="2" t="s">
        <v>1653</v>
      </c>
      <c r="F85" s="2" t="s">
        <v>1572</v>
      </c>
      <c r="G85" s="2" t="n">
        <v>38</v>
      </c>
      <c r="H85" s="2" t="n">
        <v>2</v>
      </c>
      <c r="I85" s="9" t="n">
        <v>662</v>
      </c>
      <c r="J85" s="9" t="n">
        <v>523</v>
      </c>
      <c r="K85" s="9" t="n">
        <v>0</v>
      </c>
      <c r="L85" s="9" t="n">
        <v>0</v>
      </c>
      <c r="M85" s="9" t="n">
        <v>0</v>
      </c>
      <c r="N85" s="9" t="n">
        <v>0</v>
      </c>
      <c r="O85" s="9" t="n">
        <v>1185</v>
      </c>
      <c r="P85" s="2" t="n">
        <v>-100</v>
      </c>
      <c r="Q85" s="2" t="n">
        <f aca="false">IF(I85&gt;0,ROUND((N85-I85)/I85*100,0),"")</f>
        <v>-100</v>
      </c>
      <c r="R85" s="9" t="n">
        <f aca="false">SUM(I85:K85)</f>
        <v>1185</v>
      </c>
      <c r="S85" s="9" t="n">
        <f aca="false">SUM(L85:N85)</f>
        <v>0</v>
      </c>
      <c r="T85" s="17" t="n">
        <f aca="false">IF(R85&gt;0,S85/R85-1,"")</f>
        <v>-1</v>
      </c>
      <c r="U85" s="2" t="str">
        <f aca="false">IF(AND(R85=0,S85&gt;0),"H2 Active / No H1 GMV",IF(S85=0,"Lapsed",IF(T85&gt;=Assumptions!$B$36,"Growing",IF(T85&lt;-Assumptions!$B$36,"Declining","Stable"))))</f>
        <v>Lapsed</v>
      </c>
      <c r="V85" s="2" t="n">
        <f aca="false">COUNTIF(I85:N85,"&gt;0")</f>
        <v>2</v>
      </c>
      <c r="W85" s="2" t="str">
        <f aca="false">IF(N85&gt;0,"Feb",IF(M85&gt;0,"Jan",IF(L85&gt;0,"Dec",IF(K85&gt;0,"Nov",IF(J85&gt;0,"Oct","Sep")))))</f>
        <v>Oct</v>
      </c>
      <c r="X85" s="2" t="str">
        <f aca="false">IF(O85&gt;=Assumptions!$B$35,"Key (&gt;=£10k)",IF(O85&gt;=Assumptions!$B$34,"Core (£2k-10k)","Tail (&lt;£2k)"))</f>
        <v>Tail (&lt;£2k)</v>
      </c>
      <c r="Y85" s="21" t="n">
        <f aca="false">INDEX('Scored Accounts'!$Q$2:$Q$301,MATCH(A85,'Scored Accounts'!$A$2:$A$301,0))</f>
        <v>0</v>
      </c>
      <c r="Z85" s="2" t="str">
        <f aca="false">INDEX('Scored Accounts'!$R$2:$R$301,MATCH(A85,'Scored Accounts'!$A$2:$A$301,0))</f>
        <v>Low</v>
      </c>
      <c r="AA85" s="2" t="str">
        <f aca="false">INDEX('Scored Accounts'!$T$2:$T$301,MATCH(A85,'Scored Accounts'!$A$2:$A$301,0))</f>
        <v/>
      </c>
      <c r="AB85" s="2" t="str">
        <f aca="false">IF(Z85="Low","Lower dep / ","Higher dep / ")&amp;IF(O85&gt;=Assumptions!$B$34,"Higher value","Lower value")</f>
        <v>Lower dep / Lower value</v>
      </c>
    </row>
    <row r="86" customFormat="false" ht="15" hidden="false" customHeight="false" outlineLevel="0" collapsed="false">
      <c r="A86" s="2" t="s">
        <v>539</v>
      </c>
      <c r="B86" s="2" t="s">
        <v>1571</v>
      </c>
      <c r="C86" s="2" t="s">
        <v>1641</v>
      </c>
      <c r="D86" s="2" t="s">
        <v>1653</v>
      </c>
      <c r="E86" s="2" t="s">
        <v>1653</v>
      </c>
      <c r="F86" s="2" t="s">
        <v>1572</v>
      </c>
      <c r="G86" s="2" t="n">
        <v>13</v>
      </c>
      <c r="H86" s="2" t="n">
        <v>4</v>
      </c>
      <c r="I86" s="9" t="n">
        <v>229</v>
      </c>
      <c r="J86" s="9" t="n">
        <v>0</v>
      </c>
      <c r="K86" s="9" t="n">
        <v>173</v>
      </c>
      <c r="L86" s="9" t="n">
        <v>573</v>
      </c>
      <c r="M86" s="9" t="n">
        <v>0</v>
      </c>
      <c r="N86" s="9" t="n">
        <v>191</v>
      </c>
      <c r="O86" s="9" t="n">
        <v>1166</v>
      </c>
      <c r="P86" s="2" t="n">
        <v>-17</v>
      </c>
      <c r="Q86" s="2" t="n">
        <f aca="false">IF(I86&gt;0,ROUND((N86-I86)/I86*100,0),"")</f>
        <v>-17</v>
      </c>
      <c r="R86" s="9" t="n">
        <f aca="false">SUM(I86:K86)</f>
        <v>402</v>
      </c>
      <c r="S86" s="9" t="n">
        <f aca="false">SUM(L86:N86)</f>
        <v>764</v>
      </c>
      <c r="T86" s="17" t="n">
        <f aca="false">IF(R86&gt;0,S86/R86-1,"")</f>
        <v>0.900497512437811</v>
      </c>
      <c r="U86" s="2" t="str">
        <f aca="false">IF(AND(R86=0,S86&gt;0),"H2 Active / No H1 GMV",IF(S86=0,"Lapsed",IF(T86&gt;=Assumptions!$B$36,"Growing",IF(T86&lt;-Assumptions!$B$36,"Declining","Stable"))))</f>
        <v>Growing</v>
      </c>
      <c r="V86" s="2" t="n">
        <f aca="false">COUNTIF(I86:N86,"&gt;0")</f>
        <v>4</v>
      </c>
      <c r="W86" s="2" t="str">
        <f aca="false">IF(N86&gt;0,"Feb",IF(M86&gt;0,"Jan",IF(L86&gt;0,"Dec",IF(K86&gt;0,"Nov",IF(J86&gt;0,"Oct","Sep")))))</f>
        <v>Feb</v>
      </c>
      <c r="X86" s="2" t="str">
        <f aca="false">IF(O86&gt;=Assumptions!$B$35,"Key (&gt;=£10k)",IF(O86&gt;=Assumptions!$B$34,"Core (£2k-10k)","Tail (&lt;£2k)"))</f>
        <v>Tail (&lt;£2k)</v>
      </c>
      <c r="Y86" s="21" t="n">
        <f aca="false">INDEX('Scored Accounts'!$Q$2:$Q$301,MATCH(A86,'Scored Accounts'!$A$2:$A$301,0))</f>
        <v>0</v>
      </c>
      <c r="Z86" s="2" t="str">
        <f aca="false">INDEX('Scored Accounts'!$R$2:$R$301,MATCH(A86,'Scored Accounts'!$A$2:$A$301,0))</f>
        <v>Low</v>
      </c>
      <c r="AA86" s="2" t="str">
        <f aca="false">INDEX('Scored Accounts'!$T$2:$T$301,MATCH(A86,'Scored Accounts'!$A$2:$A$301,0))</f>
        <v/>
      </c>
      <c r="AB86" s="2" t="str">
        <f aca="false">IF(Z86="Low","Lower dep / ","Higher dep / ")&amp;IF(O86&gt;=Assumptions!$B$34,"Higher value","Lower value")</f>
        <v>Lower dep / Lower value</v>
      </c>
    </row>
    <row r="87" customFormat="false" ht="15" hidden="false" customHeight="false" outlineLevel="0" collapsed="false">
      <c r="A87" s="2" t="s">
        <v>553</v>
      </c>
      <c r="B87" s="2" t="s">
        <v>1571</v>
      </c>
      <c r="C87" s="2" t="s">
        <v>1640</v>
      </c>
      <c r="D87" s="2" t="s">
        <v>1657</v>
      </c>
      <c r="E87" s="2" t="s">
        <v>1718</v>
      </c>
      <c r="F87" s="2" t="s">
        <v>1572</v>
      </c>
      <c r="G87" s="2" t="n">
        <v>7</v>
      </c>
      <c r="H87" s="2" t="n">
        <v>3</v>
      </c>
      <c r="I87" s="9" t="n">
        <v>0</v>
      </c>
      <c r="J87" s="9" t="n">
        <v>470</v>
      </c>
      <c r="K87" s="9" t="n">
        <v>0</v>
      </c>
      <c r="L87" s="9" t="n">
        <v>0</v>
      </c>
      <c r="M87" s="9" t="n">
        <v>0</v>
      </c>
      <c r="N87" s="9" t="n">
        <v>684</v>
      </c>
      <c r="O87" s="9" t="n">
        <v>1153</v>
      </c>
      <c r="P87" s="2"/>
      <c r="Q87" s="2" t="str">
        <f aca="false">IF(I87&gt;0,ROUND((N87-I87)/I87*100,0),"")</f>
        <v/>
      </c>
      <c r="R87" s="9" t="n">
        <f aca="false">SUM(I87:K87)</f>
        <v>470</v>
      </c>
      <c r="S87" s="9" t="n">
        <f aca="false">SUM(L87:N87)</f>
        <v>684</v>
      </c>
      <c r="T87" s="17" t="n">
        <f aca="false">IF(R87&gt;0,S87/R87-1,"")</f>
        <v>0.45531914893617</v>
      </c>
      <c r="U87" s="2" t="str">
        <f aca="false">IF(AND(R87=0,S87&gt;0),"H2 Active / No H1 GMV",IF(S87=0,"Lapsed",IF(T87&gt;=Assumptions!$B$36,"Growing",IF(T87&lt;-Assumptions!$B$36,"Declining","Stable"))))</f>
        <v>Growing</v>
      </c>
      <c r="V87" s="2" t="n">
        <f aca="false">COUNTIF(I87:N87,"&gt;0")</f>
        <v>2</v>
      </c>
      <c r="W87" s="2" t="str">
        <f aca="false">IF(N87&gt;0,"Feb",IF(M87&gt;0,"Jan",IF(L87&gt;0,"Dec",IF(K87&gt;0,"Nov",IF(J87&gt;0,"Oct","Sep")))))</f>
        <v>Feb</v>
      </c>
      <c r="X87" s="2" t="str">
        <f aca="false">IF(O87&gt;=Assumptions!$B$35,"Key (&gt;=£10k)",IF(O87&gt;=Assumptions!$B$34,"Core (£2k-10k)","Tail (&lt;£2k)"))</f>
        <v>Tail (&lt;£2k)</v>
      </c>
      <c r="Y87" s="21" t="n">
        <f aca="false">INDEX('Scored Accounts'!$Q$2:$Q$301,MATCH(A87,'Scored Accounts'!$A$2:$A$301,0))</f>
        <v>0</v>
      </c>
      <c r="Z87" s="2" t="str">
        <f aca="false">INDEX('Scored Accounts'!$R$2:$R$301,MATCH(A87,'Scored Accounts'!$A$2:$A$301,0))</f>
        <v>Low</v>
      </c>
      <c r="AA87" s="2" t="str">
        <f aca="false">INDEX('Scored Accounts'!$T$2:$T$301,MATCH(A87,'Scored Accounts'!$A$2:$A$301,0))</f>
        <v/>
      </c>
      <c r="AB87" s="2" t="str">
        <f aca="false">IF(Z87="Low","Lower dep / ","Higher dep / ")&amp;IF(O87&gt;=Assumptions!$B$34,"Higher value","Lower value")</f>
        <v>Lower dep / Lower value</v>
      </c>
    </row>
    <row r="88" customFormat="false" ht="15" hidden="false" customHeight="false" outlineLevel="0" collapsed="false">
      <c r="A88" s="2" t="s">
        <v>610</v>
      </c>
      <c r="B88" s="2" t="s">
        <v>1571</v>
      </c>
      <c r="C88" s="2" t="s">
        <v>1640</v>
      </c>
      <c r="D88" s="2" t="s">
        <v>1658</v>
      </c>
      <c r="E88" s="2" t="s">
        <v>1658</v>
      </c>
      <c r="F88" s="2" t="s">
        <v>1572</v>
      </c>
      <c r="G88" s="2" t="n">
        <v>16</v>
      </c>
      <c r="H88" s="2" t="n">
        <v>3</v>
      </c>
      <c r="I88" s="9" t="n">
        <v>352</v>
      </c>
      <c r="J88" s="9" t="n">
        <v>0</v>
      </c>
      <c r="K88" s="9" t="n">
        <v>727</v>
      </c>
      <c r="L88" s="9" t="n">
        <v>0</v>
      </c>
      <c r="M88" s="9" t="n">
        <v>0</v>
      </c>
      <c r="N88" s="9" t="n">
        <v>0</v>
      </c>
      <c r="O88" s="9" t="n">
        <v>1079</v>
      </c>
      <c r="P88" s="2" t="n">
        <v>-100</v>
      </c>
      <c r="Q88" s="2" t="n">
        <f aca="false">IF(I88&gt;0,ROUND((N88-I88)/I88*100,0),"")</f>
        <v>-100</v>
      </c>
      <c r="R88" s="9" t="n">
        <f aca="false">SUM(I88:K88)</f>
        <v>1079</v>
      </c>
      <c r="S88" s="9" t="n">
        <f aca="false">SUM(L88:N88)</f>
        <v>0</v>
      </c>
      <c r="T88" s="17" t="n">
        <f aca="false">IF(R88&gt;0,S88/R88-1,"")</f>
        <v>-1</v>
      </c>
      <c r="U88" s="2" t="str">
        <f aca="false">IF(AND(R88=0,S88&gt;0),"H2 Active / No H1 GMV",IF(S88=0,"Lapsed",IF(T88&gt;=Assumptions!$B$36,"Growing",IF(T88&lt;-Assumptions!$B$36,"Declining","Stable"))))</f>
        <v>Lapsed</v>
      </c>
      <c r="V88" s="2" t="n">
        <f aca="false">COUNTIF(I88:N88,"&gt;0")</f>
        <v>2</v>
      </c>
      <c r="W88" s="2" t="str">
        <f aca="false">IF(N88&gt;0,"Feb",IF(M88&gt;0,"Jan",IF(L88&gt;0,"Dec",IF(K88&gt;0,"Nov",IF(J88&gt;0,"Oct","Sep")))))</f>
        <v>Nov</v>
      </c>
      <c r="X88" s="2" t="str">
        <f aca="false">IF(O88&gt;=Assumptions!$B$35,"Key (&gt;=£10k)",IF(O88&gt;=Assumptions!$B$34,"Core (£2k-10k)","Tail (&lt;£2k)"))</f>
        <v>Tail (&lt;£2k)</v>
      </c>
      <c r="Y88" s="21" t="n">
        <f aca="false">INDEX('Scored Accounts'!$Q$2:$Q$301,MATCH(A88,'Scored Accounts'!$A$2:$A$301,0))</f>
        <v>70</v>
      </c>
      <c r="Z88" s="2" t="str">
        <f aca="false">INDEX('Scored Accounts'!$R$2:$R$301,MATCH(A88,'Scored Accounts'!$A$2:$A$301,0))</f>
        <v>High</v>
      </c>
      <c r="AA88" s="2" t="str">
        <f aca="false">INDEX('Scored Accounts'!$T$2:$T$301,MATCH(A88,'Scored Accounts'!$A$2:$A$301,0))</f>
        <v/>
      </c>
      <c r="AB88" s="2" t="str">
        <f aca="false">IF(Z88="Low","Lower dep / ","Higher dep / ")&amp;IF(O88&gt;=Assumptions!$B$34,"Higher value","Lower value")</f>
        <v>Higher dep / Lower value</v>
      </c>
    </row>
    <row r="89" customFormat="false" ht="15" hidden="false" customHeight="false" outlineLevel="0" collapsed="false">
      <c r="A89" s="2" t="s">
        <v>612</v>
      </c>
      <c r="B89" s="2" t="s">
        <v>1571</v>
      </c>
      <c r="C89" s="2" t="s">
        <v>1640</v>
      </c>
      <c r="D89" s="2" t="s">
        <v>1653</v>
      </c>
      <c r="E89" s="2" t="s">
        <v>1653</v>
      </c>
      <c r="F89" s="2" t="s">
        <v>1572</v>
      </c>
      <c r="G89" s="2" t="n">
        <v>9</v>
      </c>
      <c r="H89" s="2" t="n">
        <v>2</v>
      </c>
      <c r="I89" s="9" t="n">
        <v>1071</v>
      </c>
      <c r="J89" s="9" t="n">
        <v>0</v>
      </c>
      <c r="K89" s="9" t="n">
        <v>0</v>
      </c>
      <c r="L89" s="9" t="n">
        <v>0</v>
      </c>
      <c r="M89" s="9" t="n">
        <v>0</v>
      </c>
      <c r="N89" s="9" t="n">
        <v>0</v>
      </c>
      <c r="O89" s="9" t="n">
        <v>1071</v>
      </c>
      <c r="P89" s="2" t="n">
        <v>-100</v>
      </c>
      <c r="Q89" s="2" t="n">
        <f aca="false">IF(I89&gt;0,ROUND((N89-I89)/I89*100,0),"")</f>
        <v>-100</v>
      </c>
      <c r="R89" s="9" t="n">
        <f aca="false">SUM(I89:K89)</f>
        <v>1071</v>
      </c>
      <c r="S89" s="9" t="n">
        <f aca="false">SUM(L89:N89)</f>
        <v>0</v>
      </c>
      <c r="T89" s="17" t="n">
        <f aca="false">IF(R89&gt;0,S89/R89-1,"")</f>
        <v>-1</v>
      </c>
      <c r="U89" s="2" t="str">
        <f aca="false">IF(AND(R89=0,S89&gt;0),"H2 Active / No H1 GMV",IF(S89=0,"Lapsed",IF(T89&gt;=Assumptions!$B$36,"Growing",IF(T89&lt;-Assumptions!$B$36,"Declining","Stable"))))</f>
        <v>Lapsed</v>
      </c>
      <c r="V89" s="2" t="n">
        <f aca="false">COUNTIF(I89:N89,"&gt;0")</f>
        <v>1</v>
      </c>
      <c r="W89" s="2" t="str">
        <f aca="false">IF(N89&gt;0,"Feb",IF(M89&gt;0,"Jan",IF(L89&gt;0,"Dec",IF(K89&gt;0,"Nov",IF(J89&gt;0,"Oct","Sep")))))</f>
        <v>Sep</v>
      </c>
      <c r="X89" s="2" t="str">
        <f aca="false">IF(O89&gt;=Assumptions!$B$35,"Key (&gt;=£10k)",IF(O89&gt;=Assumptions!$B$34,"Core (£2k-10k)","Tail (&lt;£2k)"))</f>
        <v>Tail (&lt;£2k)</v>
      </c>
      <c r="Y89" s="21" t="n">
        <f aca="false">INDEX('Scored Accounts'!$Q$2:$Q$301,MATCH(A89,'Scored Accounts'!$A$2:$A$301,0))</f>
        <v>70</v>
      </c>
      <c r="Z89" s="2" t="str">
        <f aca="false">INDEX('Scored Accounts'!$R$2:$R$301,MATCH(A89,'Scored Accounts'!$A$2:$A$301,0))</f>
        <v>High</v>
      </c>
      <c r="AA89" s="2" t="str">
        <f aca="false">INDEX('Scored Accounts'!$T$2:$T$301,MATCH(A89,'Scored Accounts'!$A$2:$A$301,0))</f>
        <v>Low confidence</v>
      </c>
      <c r="AB89" s="2" t="str">
        <f aca="false">IF(Z89="Low","Lower dep / ","Higher dep / ")&amp;IF(O89&gt;=Assumptions!$B$34,"Higher value","Lower value")</f>
        <v>Higher dep / Lower value</v>
      </c>
    </row>
    <row r="90" customFormat="false" ht="15" hidden="false" customHeight="false" outlineLevel="0" collapsed="false">
      <c r="A90" s="2" t="s">
        <v>614</v>
      </c>
      <c r="B90" s="2" t="s">
        <v>1571</v>
      </c>
      <c r="C90" s="2" t="s">
        <v>1640</v>
      </c>
      <c r="D90" s="2" t="s">
        <v>1658</v>
      </c>
      <c r="E90" s="2" t="s">
        <v>1658</v>
      </c>
      <c r="F90" s="2"/>
      <c r="G90" s="2" t="n">
        <v>6</v>
      </c>
      <c r="H90" s="2" t="n">
        <v>2</v>
      </c>
      <c r="I90" s="9" t="n">
        <v>1011</v>
      </c>
      <c r="J90" s="9" t="n">
        <v>0</v>
      </c>
      <c r="K90" s="9" t="n">
        <v>0</v>
      </c>
      <c r="L90" s="9" t="n">
        <v>0</v>
      </c>
      <c r="M90" s="9" t="n">
        <v>0</v>
      </c>
      <c r="N90" s="9" t="n">
        <v>0</v>
      </c>
      <c r="O90" s="9" t="n">
        <v>1011</v>
      </c>
      <c r="P90" s="2" t="n">
        <v>-100</v>
      </c>
      <c r="Q90" s="2" t="n">
        <f aca="false">IF(I90&gt;0,ROUND((N90-I90)/I90*100,0),"")</f>
        <v>-100</v>
      </c>
      <c r="R90" s="9" t="n">
        <f aca="false">SUM(I90:K90)</f>
        <v>1011</v>
      </c>
      <c r="S90" s="9" t="n">
        <f aca="false">SUM(L90:N90)</f>
        <v>0</v>
      </c>
      <c r="T90" s="17" t="n">
        <f aca="false">IF(R90&gt;0,S90/R90-1,"")</f>
        <v>-1</v>
      </c>
      <c r="U90" s="2" t="str">
        <f aca="false">IF(AND(R90=0,S90&gt;0),"H2 Active / No H1 GMV",IF(S90=0,"Lapsed",IF(T90&gt;=Assumptions!$B$36,"Growing",IF(T90&lt;-Assumptions!$B$36,"Declining","Stable"))))</f>
        <v>Lapsed</v>
      </c>
      <c r="V90" s="2" t="n">
        <f aca="false">COUNTIF(I90:N90,"&gt;0")</f>
        <v>1</v>
      </c>
      <c r="W90" s="2" t="str">
        <f aca="false">IF(N90&gt;0,"Feb",IF(M90&gt;0,"Jan",IF(L90&gt;0,"Dec",IF(K90&gt;0,"Nov",IF(J90&gt;0,"Oct","Sep")))))</f>
        <v>Sep</v>
      </c>
      <c r="X90" s="2" t="str">
        <f aca="false">IF(O90&gt;=Assumptions!$B$35,"Key (&gt;=£10k)",IF(O90&gt;=Assumptions!$B$34,"Core (£2k-10k)","Tail (&lt;£2k)"))</f>
        <v>Tail (&lt;£2k)</v>
      </c>
      <c r="Y90" s="21" t="n">
        <f aca="false">INDEX('Scored Accounts'!$Q$2:$Q$301,MATCH(A90,'Scored Accounts'!$A$2:$A$301,0))</f>
        <v>0</v>
      </c>
      <c r="Z90" s="2" t="str">
        <f aca="false">INDEX('Scored Accounts'!$R$2:$R$301,MATCH(A90,'Scored Accounts'!$A$2:$A$301,0))</f>
        <v>Low</v>
      </c>
      <c r="AA90" s="2" t="str">
        <f aca="false">INDEX('Scored Accounts'!$T$2:$T$301,MATCH(A90,'Scored Accounts'!$A$2:$A$301,0))</f>
        <v/>
      </c>
      <c r="AB90" s="2" t="str">
        <f aca="false">IF(Z90="Low","Lower dep / ","Higher dep / ")&amp;IF(O90&gt;=Assumptions!$B$34,"Higher value","Lower value")</f>
        <v>Lower dep / Lower value</v>
      </c>
    </row>
    <row r="91" customFormat="false" ht="15" hidden="false" customHeight="false" outlineLevel="0" collapsed="false">
      <c r="A91" s="2" t="s">
        <v>616</v>
      </c>
      <c r="B91" s="2" t="s">
        <v>1571</v>
      </c>
      <c r="C91" s="2" t="s">
        <v>1640</v>
      </c>
      <c r="D91" s="2" t="s">
        <v>1653</v>
      </c>
      <c r="E91" s="2" t="s">
        <v>1653</v>
      </c>
      <c r="F91" s="2" t="s">
        <v>1572</v>
      </c>
      <c r="G91" s="2" t="n">
        <v>13</v>
      </c>
      <c r="H91" s="2" t="n">
        <v>7</v>
      </c>
      <c r="I91" s="9" t="n">
        <v>178</v>
      </c>
      <c r="J91" s="9" t="n">
        <v>0</v>
      </c>
      <c r="K91" s="9" t="n">
        <v>0</v>
      </c>
      <c r="L91" s="9" t="n">
        <v>311</v>
      </c>
      <c r="M91" s="9" t="n">
        <v>294</v>
      </c>
      <c r="N91" s="9" t="n">
        <v>205</v>
      </c>
      <c r="O91" s="9" t="n">
        <v>987</v>
      </c>
      <c r="P91" s="2" t="n">
        <v>15</v>
      </c>
      <c r="Q91" s="2" t="n">
        <f aca="false">IF(I91&gt;0,ROUND((N91-I91)/I91*100,0),"")</f>
        <v>15</v>
      </c>
      <c r="R91" s="9" t="n">
        <f aca="false">SUM(I91:K91)</f>
        <v>178</v>
      </c>
      <c r="S91" s="9" t="n">
        <f aca="false">SUM(L91:N91)</f>
        <v>810</v>
      </c>
      <c r="T91" s="17" t="n">
        <f aca="false">IF(R91&gt;0,S91/R91-1,"")</f>
        <v>3.55056179775281</v>
      </c>
      <c r="U91" s="2" t="str">
        <f aca="false">IF(AND(R91=0,S91&gt;0),"H2 Active / No H1 GMV",IF(S91=0,"Lapsed",IF(T91&gt;=Assumptions!$B$36,"Growing",IF(T91&lt;-Assumptions!$B$36,"Declining","Stable"))))</f>
        <v>Growing</v>
      </c>
      <c r="V91" s="2" t="n">
        <f aca="false">COUNTIF(I91:N91,"&gt;0")</f>
        <v>4</v>
      </c>
      <c r="W91" s="2" t="str">
        <f aca="false">IF(N91&gt;0,"Feb",IF(M91&gt;0,"Jan",IF(L91&gt;0,"Dec",IF(K91&gt;0,"Nov",IF(J91&gt;0,"Oct","Sep")))))</f>
        <v>Feb</v>
      </c>
      <c r="X91" s="2" t="str">
        <f aca="false">IF(O91&gt;=Assumptions!$B$35,"Key (&gt;=£10k)",IF(O91&gt;=Assumptions!$B$34,"Core (£2k-10k)","Tail (&lt;£2k)"))</f>
        <v>Tail (&lt;£2k)</v>
      </c>
      <c r="Y91" s="21" t="n">
        <f aca="false">INDEX('Scored Accounts'!$Q$2:$Q$301,MATCH(A91,'Scored Accounts'!$A$2:$A$301,0))</f>
        <v>0</v>
      </c>
      <c r="Z91" s="2" t="str">
        <f aca="false">INDEX('Scored Accounts'!$R$2:$R$301,MATCH(A91,'Scored Accounts'!$A$2:$A$301,0))</f>
        <v>Low</v>
      </c>
      <c r="AA91" s="2" t="str">
        <f aca="false">INDEX('Scored Accounts'!$T$2:$T$301,MATCH(A91,'Scored Accounts'!$A$2:$A$301,0))</f>
        <v/>
      </c>
      <c r="AB91" s="2" t="str">
        <f aca="false">IF(Z91="Low","Lower dep / ","Higher dep / ")&amp;IF(O91&gt;=Assumptions!$B$34,"Higher value","Lower value")</f>
        <v>Lower dep / Lower value</v>
      </c>
    </row>
    <row r="92" customFormat="false" ht="15" hidden="false" customHeight="false" outlineLevel="0" collapsed="false">
      <c r="A92" s="2" t="s">
        <v>618</v>
      </c>
      <c r="B92" s="2" t="s">
        <v>1571</v>
      </c>
      <c r="C92" s="2" t="s">
        <v>1640</v>
      </c>
      <c r="D92" s="2" t="s">
        <v>1655</v>
      </c>
      <c r="E92" s="2" t="s">
        <v>1655</v>
      </c>
      <c r="F92" s="2" t="s">
        <v>1572</v>
      </c>
      <c r="G92" s="2" t="n">
        <v>12</v>
      </c>
      <c r="H92" s="2" t="n">
        <v>3</v>
      </c>
      <c r="I92" s="9" t="n">
        <v>982</v>
      </c>
      <c r="J92" s="9" t="n">
        <v>0</v>
      </c>
      <c r="K92" s="9" t="n">
        <v>0</v>
      </c>
      <c r="L92" s="9" t="n">
        <v>0</v>
      </c>
      <c r="M92" s="9" t="n">
        <v>0</v>
      </c>
      <c r="N92" s="9" t="n">
        <v>0</v>
      </c>
      <c r="O92" s="9" t="n">
        <v>982</v>
      </c>
      <c r="P92" s="2" t="n">
        <v>-100</v>
      </c>
      <c r="Q92" s="2" t="n">
        <f aca="false">IF(I92&gt;0,ROUND((N92-I92)/I92*100,0),"")</f>
        <v>-100</v>
      </c>
      <c r="R92" s="9" t="n">
        <f aca="false">SUM(I92:K92)</f>
        <v>982</v>
      </c>
      <c r="S92" s="9" t="n">
        <f aca="false">SUM(L92:N92)</f>
        <v>0</v>
      </c>
      <c r="T92" s="17" t="n">
        <f aca="false">IF(R92&gt;0,S92/R92-1,"")</f>
        <v>-1</v>
      </c>
      <c r="U92" s="2" t="str">
        <f aca="false">IF(AND(R92=0,S92&gt;0),"H2 Active / No H1 GMV",IF(S92=0,"Lapsed",IF(T92&gt;=Assumptions!$B$36,"Growing",IF(T92&lt;-Assumptions!$B$36,"Declining","Stable"))))</f>
        <v>Lapsed</v>
      </c>
      <c r="V92" s="2" t="n">
        <f aca="false">COUNTIF(I92:N92,"&gt;0")</f>
        <v>1</v>
      </c>
      <c r="W92" s="2" t="str">
        <f aca="false">IF(N92&gt;0,"Feb",IF(M92&gt;0,"Jan",IF(L92&gt;0,"Dec",IF(K92&gt;0,"Nov",IF(J92&gt;0,"Oct","Sep")))))</f>
        <v>Sep</v>
      </c>
      <c r="X92" s="2" t="str">
        <f aca="false">IF(O92&gt;=Assumptions!$B$35,"Key (&gt;=£10k)",IF(O92&gt;=Assumptions!$B$34,"Core (£2k-10k)","Tail (&lt;£2k)"))</f>
        <v>Tail (&lt;£2k)</v>
      </c>
      <c r="Y92" s="21" t="n">
        <f aca="false">INDEX('Scored Accounts'!$Q$2:$Q$301,MATCH(A92,'Scored Accounts'!$A$2:$A$301,0))</f>
        <v>0</v>
      </c>
      <c r="Z92" s="2" t="str">
        <f aca="false">INDEX('Scored Accounts'!$R$2:$R$301,MATCH(A92,'Scored Accounts'!$A$2:$A$301,0))</f>
        <v>Low</v>
      </c>
      <c r="AA92" s="2" t="str">
        <f aca="false">INDEX('Scored Accounts'!$T$2:$T$301,MATCH(A92,'Scored Accounts'!$A$2:$A$301,0))</f>
        <v/>
      </c>
      <c r="AB92" s="2" t="str">
        <f aca="false">IF(Z92="Low","Lower dep / ","Higher dep / ")&amp;IF(O92&gt;=Assumptions!$B$34,"Higher value","Lower value")</f>
        <v>Lower dep / Lower value</v>
      </c>
    </row>
    <row r="93" customFormat="false" ht="15" hidden="false" customHeight="false" outlineLevel="0" collapsed="false">
      <c r="A93" s="2" t="s">
        <v>620</v>
      </c>
      <c r="B93" s="2" t="s">
        <v>1571</v>
      </c>
      <c r="C93" s="2" t="s">
        <v>1640</v>
      </c>
      <c r="D93" s="2" t="s">
        <v>1653</v>
      </c>
      <c r="E93" s="2" t="s">
        <v>1653</v>
      </c>
      <c r="F93" s="2" t="s">
        <v>1572</v>
      </c>
      <c r="G93" s="2" t="n">
        <v>25</v>
      </c>
      <c r="H93" s="2" t="n">
        <v>2</v>
      </c>
      <c r="I93" s="9" t="n">
        <v>294</v>
      </c>
      <c r="J93" s="9" t="n">
        <v>650</v>
      </c>
      <c r="K93" s="9" t="n">
        <v>0</v>
      </c>
      <c r="L93" s="9" t="n">
        <v>0</v>
      </c>
      <c r="M93" s="9" t="n">
        <v>0</v>
      </c>
      <c r="N93" s="9" t="n">
        <v>0</v>
      </c>
      <c r="O93" s="9" t="n">
        <v>944</v>
      </c>
      <c r="P93" s="2" t="n">
        <v>-100</v>
      </c>
      <c r="Q93" s="2" t="n">
        <f aca="false">IF(I93&gt;0,ROUND((N93-I93)/I93*100,0),"")</f>
        <v>-100</v>
      </c>
      <c r="R93" s="9" t="n">
        <f aca="false">SUM(I93:K93)</f>
        <v>944</v>
      </c>
      <c r="S93" s="9" t="n">
        <f aca="false">SUM(L93:N93)</f>
        <v>0</v>
      </c>
      <c r="T93" s="17" t="n">
        <f aca="false">IF(R93&gt;0,S93/R93-1,"")</f>
        <v>-1</v>
      </c>
      <c r="U93" s="2" t="str">
        <f aca="false">IF(AND(R93=0,S93&gt;0),"H2 Active / No H1 GMV",IF(S93=0,"Lapsed",IF(T93&gt;=Assumptions!$B$36,"Growing",IF(T93&lt;-Assumptions!$B$36,"Declining","Stable"))))</f>
        <v>Lapsed</v>
      </c>
      <c r="V93" s="2" t="n">
        <f aca="false">COUNTIF(I93:N93,"&gt;0")</f>
        <v>2</v>
      </c>
      <c r="W93" s="2" t="str">
        <f aca="false">IF(N93&gt;0,"Feb",IF(M93&gt;0,"Jan",IF(L93&gt;0,"Dec",IF(K93&gt;0,"Nov",IF(J93&gt;0,"Oct","Sep")))))</f>
        <v>Oct</v>
      </c>
      <c r="X93" s="2" t="str">
        <f aca="false">IF(O93&gt;=Assumptions!$B$35,"Key (&gt;=£10k)",IF(O93&gt;=Assumptions!$B$34,"Core (£2k-10k)","Tail (&lt;£2k)"))</f>
        <v>Tail (&lt;£2k)</v>
      </c>
      <c r="Y93" s="21" t="n">
        <f aca="false">INDEX('Scored Accounts'!$Q$2:$Q$301,MATCH(A93,'Scored Accounts'!$A$2:$A$301,0))</f>
        <v>0</v>
      </c>
      <c r="Z93" s="2" t="str">
        <f aca="false">INDEX('Scored Accounts'!$R$2:$R$301,MATCH(A93,'Scored Accounts'!$A$2:$A$301,0))</f>
        <v>Low</v>
      </c>
      <c r="AA93" s="2" t="str">
        <f aca="false">INDEX('Scored Accounts'!$T$2:$T$301,MATCH(A93,'Scored Accounts'!$A$2:$A$301,0))</f>
        <v/>
      </c>
      <c r="AB93" s="2" t="str">
        <f aca="false">IF(Z93="Low","Lower dep / ","Higher dep / ")&amp;IF(O93&gt;=Assumptions!$B$34,"Higher value","Lower value")</f>
        <v>Lower dep / Lower value</v>
      </c>
    </row>
    <row r="94" customFormat="false" ht="15" hidden="false" customHeight="false" outlineLevel="0" collapsed="false">
      <c r="A94" s="2" t="s">
        <v>624</v>
      </c>
      <c r="B94" s="2" t="s">
        <v>1571</v>
      </c>
      <c r="C94" s="2" t="s">
        <v>1640</v>
      </c>
      <c r="D94" s="2" t="s">
        <v>1657</v>
      </c>
      <c r="E94" s="2" t="s">
        <v>1717</v>
      </c>
      <c r="F94" s="2" t="s">
        <v>1572</v>
      </c>
      <c r="G94" s="2" t="n">
        <v>6</v>
      </c>
      <c r="H94" s="2" t="n">
        <v>4</v>
      </c>
      <c r="I94" s="9" t="n">
        <v>155</v>
      </c>
      <c r="J94" s="9" t="n">
        <v>0</v>
      </c>
      <c r="K94" s="9" t="n">
        <v>166</v>
      </c>
      <c r="L94" s="9" t="n">
        <v>336</v>
      </c>
      <c r="M94" s="9" t="n">
        <v>253</v>
      </c>
      <c r="N94" s="9" t="n">
        <v>0</v>
      </c>
      <c r="O94" s="9" t="n">
        <v>908</v>
      </c>
      <c r="P94" s="2" t="n">
        <v>-100</v>
      </c>
      <c r="Q94" s="2" t="n">
        <f aca="false">IF(I94&gt;0,ROUND((N94-I94)/I94*100,0),"")</f>
        <v>-100</v>
      </c>
      <c r="R94" s="9" t="n">
        <f aca="false">SUM(I94:K94)</f>
        <v>321</v>
      </c>
      <c r="S94" s="9" t="n">
        <f aca="false">SUM(L94:N94)</f>
        <v>589</v>
      </c>
      <c r="T94" s="17" t="n">
        <f aca="false">IF(R94&gt;0,S94/R94-1,"")</f>
        <v>0.834890965732087</v>
      </c>
      <c r="U94" s="2" t="str">
        <f aca="false">IF(AND(R94=0,S94&gt;0),"H2 Active / No H1 GMV",IF(S94=0,"Lapsed",IF(T94&gt;=Assumptions!$B$36,"Growing",IF(T94&lt;-Assumptions!$B$36,"Declining","Stable"))))</f>
        <v>Growing</v>
      </c>
      <c r="V94" s="2" t="n">
        <f aca="false">COUNTIF(I94:N94,"&gt;0")</f>
        <v>4</v>
      </c>
      <c r="W94" s="2" t="str">
        <f aca="false">IF(N94&gt;0,"Feb",IF(M94&gt;0,"Jan",IF(L94&gt;0,"Dec",IF(K94&gt;0,"Nov",IF(J94&gt;0,"Oct","Sep")))))</f>
        <v>Jan</v>
      </c>
      <c r="X94" s="2" t="str">
        <f aca="false">IF(O94&gt;=Assumptions!$B$35,"Key (&gt;=£10k)",IF(O94&gt;=Assumptions!$B$34,"Core (£2k-10k)","Tail (&lt;£2k)"))</f>
        <v>Tail (&lt;£2k)</v>
      </c>
      <c r="Y94" s="21" t="n">
        <f aca="false">INDEX('Scored Accounts'!$Q$2:$Q$301,MATCH(A94,'Scored Accounts'!$A$2:$A$301,0))</f>
        <v>0</v>
      </c>
      <c r="Z94" s="2" t="str">
        <f aca="false">INDEX('Scored Accounts'!$R$2:$R$301,MATCH(A94,'Scored Accounts'!$A$2:$A$301,0))</f>
        <v>Low</v>
      </c>
      <c r="AA94" s="2" t="str">
        <f aca="false">INDEX('Scored Accounts'!$T$2:$T$301,MATCH(A94,'Scored Accounts'!$A$2:$A$301,0))</f>
        <v/>
      </c>
      <c r="AB94" s="2" t="str">
        <f aca="false">IF(Z94="Low","Lower dep / ","Higher dep / ")&amp;IF(O94&gt;=Assumptions!$B$34,"Higher value","Lower value")</f>
        <v>Lower dep / Lower value</v>
      </c>
    </row>
    <row r="95" customFormat="false" ht="15" hidden="false" customHeight="false" outlineLevel="0" collapsed="false">
      <c r="A95" s="2" t="s">
        <v>627</v>
      </c>
      <c r="B95" s="2" t="s">
        <v>1571</v>
      </c>
      <c r="C95" s="2" t="s">
        <v>1640</v>
      </c>
      <c r="D95" s="2" t="s">
        <v>1657</v>
      </c>
      <c r="E95" s="2" t="s">
        <v>1718</v>
      </c>
      <c r="F95" s="2"/>
      <c r="G95" s="2" t="n">
        <v>6</v>
      </c>
      <c r="H95" s="2" t="n">
        <v>2</v>
      </c>
      <c r="I95" s="9" t="n">
        <v>193</v>
      </c>
      <c r="J95" s="9" t="n">
        <v>703</v>
      </c>
      <c r="K95" s="9" t="n">
        <v>0</v>
      </c>
      <c r="L95" s="9" t="n">
        <v>0</v>
      </c>
      <c r="M95" s="9" t="n">
        <v>0</v>
      </c>
      <c r="N95" s="9" t="n">
        <v>0</v>
      </c>
      <c r="O95" s="9" t="n">
        <v>896</v>
      </c>
      <c r="P95" s="2" t="n">
        <v>-100</v>
      </c>
      <c r="Q95" s="2" t="n">
        <f aca="false">IF(I95&gt;0,ROUND((N95-I95)/I95*100,0),"")</f>
        <v>-100</v>
      </c>
      <c r="R95" s="9" t="n">
        <f aca="false">SUM(I95:K95)</f>
        <v>896</v>
      </c>
      <c r="S95" s="9" t="n">
        <f aca="false">SUM(L95:N95)</f>
        <v>0</v>
      </c>
      <c r="T95" s="17" t="n">
        <f aca="false">IF(R95&gt;0,S95/R95-1,"")</f>
        <v>-1</v>
      </c>
      <c r="U95" s="2" t="str">
        <f aca="false">IF(AND(R95=0,S95&gt;0),"H2 Active / No H1 GMV",IF(S95=0,"Lapsed",IF(T95&gt;=Assumptions!$B$36,"Growing",IF(T95&lt;-Assumptions!$B$36,"Declining","Stable"))))</f>
        <v>Lapsed</v>
      </c>
      <c r="V95" s="2" t="n">
        <f aca="false">COUNTIF(I95:N95,"&gt;0")</f>
        <v>2</v>
      </c>
      <c r="W95" s="2" t="str">
        <f aca="false">IF(N95&gt;0,"Feb",IF(M95&gt;0,"Jan",IF(L95&gt;0,"Dec",IF(K95&gt;0,"Nov",IF(J95&gt;0,"Oct","Sep")))))</f>
        <v>Oct</v>
      </c>
      <c r="X95" s="2" t="str">
        <f aca="false">IF(O95&gt;=Assumptions!$B$35,"Key (&gt;=£10k)",IF(O95&gt;=Assumptions!$B$34,"Core (£2k-10k)","Tail (&lt;£2k)"))</f>
        <v>Tail (&lt;£2k)</v>
      </c>
      <c r="Y95" s="21" t="n">
        <f aca="false">INDEX('Scored Accounts'!$Q$2:$Q$301,MATCH(A95,'Scored Accounts'!$A$2:$A$301,0))</f>
        <v>0</v>
      </c>
      <c r="Z95" s="2" t="str">
        <f aca="false">INDEX('Scored Accounts'!$R$2:$R$301,MATCH(A95,'Scored Accounts'!$A$2:$A$301,0))</f>
        <v>Low</v>
      </c>
      <c r="AA95" s="2" t="str">
        <f aca="false">INDEX('Scored Accounts'!$T$2:$T$301,MATCH(A95,'Scored Accounts'!$A$2:$A$301,0))</f>
        <v/>
      </c>
      <c r="AB95" s="2" t="str">
        <f aca="false">IF(Z95="Low","Lower dep / ","Higher dep / ")&amp;IF(O95&gt;=Assumptions!$B$34,"Higher value","Lower value")</f>
        <v>Lower dep / Lower value</v>
      </c>
    </row>
    <row r="96" customFormat="false" ht="15" hidden="false" customHeight="false" outlineLevel="0" collapsed="false">
      <c r="A96" s="2" t="s">
        <v>629</v>
      </c>
      <c r="B96" s="2" t="s">
        <v>1571</v>
      </c>
      <c r="C96" s="2" t="s">
        <v>1640</v>
      </c>
      <c r="D96" s="2" t="s">
        <v>1658</v>
      </c>
      <c r="E96" s="2" t="s">
        <v>1658</v>
      </c>
      <c r="F96" s="2" t="s">
        <v>1572</v>
      </c>
      <c r="G96" s="2" t="n">
        <v>9</v>
      </c>
      <c r="H96" s="2" t="n">
        <v>1</v>
      </c>
      <c r="I96" s="9" t="n">
        <v>0</v>
      </c>
      <c r="J96" s="9" t="n">
        <v>892</v>
      </c>
      <c r="K96" s="9" t="n">
        <v>0</v>
      </c>
      <c r="L96" s="9" t="n">
        <v>0</v>
      </c>
      <c r="M96" s="9" t="n">
        <v>0</v>
      </c>
      <c r="N96" s="9" t="n">
        <v>0</v>
      </c>
      <c r="O96" s="9" t="n">
        <v>892</v>
      </c>
      <c r="P96" s="2"/>
      <c r="Q96" s="2" t="str">
        <f aca="false">IF(I96&gt;0,ROUND((N96-I96)/I96*100,0),"")</f>
        <v/>
      </c>
      <c r="R96" s="9" t="n">
        <f aca="false">SUM(I96:K96)</f>
        <v>892</v>
      </c>
      <c r="S96" s="9" t="n">
        <f aca="false">SUM(L96:N96)</f>
        <v>0</v>
      </c>
      <c r="T96" s="17" t="n">
        <f aca="false">IF(R96&gt;0,S96/R96-1,"")</f>
        <v>-1</v>
      </c>
      <c r="U96" s="2" t="str">
        <f aca="false">IF(AND(R96=0,S96&gt;0),"H2 Active / No H1 GMV",IF(S96=0,"Lapsed",IF(T96&gt;=Assumptions!$B$36,"Growing",IF(T96&lt;-Assumptions!$B$36,"Declining","Stable"))))</f>
        <v>Lapsed</v>
      </c>
      <c r="V96" s="2" t="n">
        <f aca="false">COUNTIF(I96:N96,"&gt;0")</f>
        <v>1</v>
      </c>
      <c r="W96" s="2" t="str">
        <f aca="false">IF(N96&gt;0,"Feb",IF(M96&gt;0,"Jan",IF(L96&gt;0,"Dec",IF(K96&gt;0,"Nov",IF(J96&gt;0,"Oct","Sep")))))</f>
        <v>Oct</v>
      </c>
      <c r="X96" s="2" t="str">
        <f aca="false">IF(O96&gt;=Assumptions!$B$35,"Key (&gt;=£10k)",IF(O96&gt;=Assumptions!$B$34,"Core (£2k-10k)","Tail (&lt;£2k)"))</f>
        <v>Tail (&lt;£2k)</v>
      </c>
      <c r="Y96" s="21" t="n">
        <f aca="false">INDEX('Scored Accounts'!$Q$2:$Q$301,MATCH(A96,'Scored Accounts'!$A$2:$A$301,0))</f>
        <v>0</v>
      </c>
      <c r="Z96" s="2" t="str">
        <f aca="false">INDEX('Scored Accounts'!$R$2:$R$301,MATCH(A96,'Scored Accounts'!$A$2:$A$301,0))</f>
        <v>Low</v>
      </c>
      <c r="AA96" s="2" t="str">
        <f aca="false">INDEX('Scored Accounts'!$T$2:$T$301,MATCH(A96,'Scored Accounts'!$A$2:$A$301,0))</f>
        <v/>
      </c>
      <c r="AB96" s="2" t="str">
        <f aca="false">IF(Z96="Low","Lower dep / ","Higher dep / ")&amp;IF(O96&gt;=Assumptions!$B$34,"Higher value","Lower value")</f>
        <v>Lower dep / Lower value</v>
      </c>
    </row>
    <row r="97" customFormat="false" ht="15" hidden="false" customHeight="false" outlineLevel="0" collapsed="false">
      <c r="A97" s="2" t="s">
        <v>634</v>
      </c>
      <c r="B97" s="2" t="s">
        <v>1571</v>
      </c>
      <c r="C97" s="2" t="s">
        <v>1640</v>
      </c>
      <c r="D97" s="2" t="s">
        <v>1653</v>
      </c>
      <c r="E97" s="2" t="s">
        <v>1653</v>
      </c>
      <c r="F97" s="2"/>
      <c r="G97" s="2" t="n">
        <v>6</v>
      </c>
      <c r="H97" s="2" t="n">
        <v>2</v>
      </c>
      <c r="I97" s="9" t="n">
        <v>482</v>
      </c>
      <c r="J97" s="9" t="n">
        <v>392</v>
      </c>
      <c r="K97" s="9" t="n">
        <v>0</v>
      </c>
      <c r="L97" s="9" t="n">
        <v>0</v>
      </c>
      <c r="M97" s="9" t="n">
        <v>0</v>
      </c>
      <c r="N97" s="9" t="n">
        <v>0</v>
      </c>
      <c r="O97" s="9" t="n">
        <v>874</v>
      </c>
      <c r="P97" s="2" t="n">
        <v>-100</v>
      </c>
      <c r="Q97" s="2" t="n">
        <f aca="false">IF(I97&gt;0,ROUND((N97-I97)/I97*100,0),"")</f>
        <v>-100</v>
      </c>
      <c r="R97" s="9" t="n">
        <f aca="false">SUM(I97:K97)</f>
        <v>874</v>
      </c>
      <c r="S97" s="9" t="n">
        <f aca="false">SUM(L97:N97)</f>
        <v>0</v>
      </c>
      <c r="T97" s="17" t="n">
        <f aca="false">IF(R97&gt;0,S97/R97-1,"")</f>
        <v>-1</v>
      </c>
      <c r="U97" s="2" t="str">
        <f aca="false">IF(AND(R97=0,S97&gt;0),"H2 Active / No H1 GMV",IF(S97=0,"Lapsed",IF(T97&gt;=Assumptions!$B$36,"Growing",IF(T97&lt;-Assumptions!$B$36,"Declining","Stable"))))</f>
        <v>Lapsed</v>
      </c>
      <c r="V97" s="2" t="n">
        <f aca="false">COUNTIF(I97:N97,"&gt;0")</f>
        <v>2</v>
      </c>
      <c r="W97" s="2" t="str">
        <f aca="false">IF(N97&gt;0,"Feb",IF(M97&gt;0,"Jan",IF(L97&gt;0,"Dec",IF(K97&gt;0,"Nov",IF(J97&gt;0,"Oct","Sep")))))</f>
        <v>Oct</v>
      </c>
      <c r="X97" s="2" t="str">
        <f aca="false">IF(O97&gt;=Assumptions!$B$35,"Key (&gt;=£10k)",IF(O97&gt;=Assumptions!$B$34,"Core (£2k-10k)","Tail (&lt;£2k)"))</f>
        <v>Tail (&lt;£2k)</v>
      </c>
      <c r="Y97" s="21" t="n">
        <f aca="false">INDEX('Scored Accounts'!$Q$2:$Q$301,MATCH(A97,'Scored Accounts'!$A$2:$A$301,0))</f>
        <v>70</v>
      </c>
      <c r="Z97" s="2" t="str">
        <f aca="false">INDEX('Scored Accounts'!$R$2:$R$301,MATCH(A97,'Scored Accounts'!$A$2:$A$301,0))</f>
        <v>High</v>
      </c>
      <c r="AA97" s="2" t="str">
        <f aca="false">INDEX('Scored Accounts'!$T$2:$T$301,MATCH(A97,'Scored Accounts'!$A$2:$A$301,0))</f>
        <v>Low confidence</v>
      </c>
      <c r="AB97" s="2" t="str">
        <f aca="false">IF(Z97="Low","Lower dep / ","Higher dep / ")&amp;IF(O97&gt;=Assumptions!$B$34,"Higher value","Lower value")</f>
        <v>Higher dep / Lower value</v>
      </c>
    </row>
    <row r="98" customFormat="false" ht="15" hidden="false" customHeight="false" outlineLevel="0" collapsed="false">
      <c r="A98" s="2" t="s">
        <v>636</v>
      </c>
      <c r="B98" s="2" t="s">
        <v>1571</v>
      </c>
      <c r="C98" s="2" t="s">
        <v>1640</v>
      </c>
      <c r="D98" s="2" t="s">
        <v>1653</v>
      </c>
      <c r="E98" s="2" t="s">
        <v>1653</v>
      </c>
      <c r="F98" s="2" t="s">
        <v>1572</v>
      </c>
      <c r="G98" s="2" t="n">
        <v>8</v>
      </c>
      <c r="H98" s="2" t="n">
        <v>6</v>
      </c>
      <c r="I98" s="9" t="n">
        <v>346</v>
      </c>
      <c r="J98" s="9" t="n">
        <v>506</v>
      </c>
      <c r="K98" s="9" t="n">
        <v>0</v>
      </c>
      <c r="L98" s="9" t="n">
        <v>0</v>
      </c>
      <c r="M98" s="9" t="n">
        <v>0</v>
      </c>
      <c r="N98" s="9" t="n">
        <v>0</v>
      </c>
      <c r="O98" s="9" t="n">
        <v>852</v>
      </c>
      <c r="P98" s="2" t="n">
        <v>-100</v>
      </c>
      <c r="Q98" s="2" t="n">
        <f aca="false">IF(I98&gt;0,ROUND((N98-I98)/I98*100,0),"")</f>
        <v>-100</v>
      </c>
      <c r="R98" s="9" t="n">
        <f aca="false">SUM(I98:K98)</f>
        <v>852</v>
      </c>
      <c r="S98" s="9" t="n">
        <f aca="false">SUM(L98:N98)</f>
        <v>0</v>
      </c>
      <c r="T98" s="17" t="n">
        <f aca="false">IF(R98&gt;0,S98/R98-1,"")</f>
        <v>-1</v>
      </c>
      <c r="U98" s="2" t="str">
        <f aca="false">IF(AND(R98=0,S98&gt;0),"H2 Active / No H1 GMV",IF(S98=0,"Lapsed",IF(T98&gt;=Assumptions!$B$36,"Growing",IF(T98&lt;-Assumptions!$B$36,"Declining","Stable"))))</f>
        <v>Lapsed</v>
      </c>
      <c r="V98" s="2" t="n">
        <f aca="false">COUNTIF(I98:N98,"&gt;0")</f>
        <v>2</v>
      </c>
      <c r="W98" s="2" t="str">
        <f aca="false">IF(N98&gt;0,"Feb",IF(M98&gt;0,"Jan",IF(L98&gt;0,"Dec",IF(K98&gt;0,"Nov",IF(J98&gt;0,"Oct","Sep")))))</f>
        <v>Oct</v>
      </c>
      <c r="X98" s="2" t="str">
        <f aca="false">IF(O98&gt;=Assumptions!$B$35,"Key (&gt;=£10k)",IF(O98&gt;=Assumptions!$B$34,"Core (£2k-10k)","Tail (&lt;£2k)"))</f>
        <v>Tail (&lt;£2k)</v>
      </c>
      <c r="Y98" s="21" t="n">
        <f aca="false">INDEX('Scored Accounts'!$Q$2:$Q$301,MATCH(A98,'Scored Accounts'!$A$2:$A$301,0))</f>
        <v>0</v>
      </c>
      <c r="Z98" s="2" t="str">
        <f aca="false">INDEX('Scored Accounts'!$R$2:$R$301,MATCH(A98,'Scored Accounts'!$A$2:$A$301,0))</f>
        <v>Low</v>
      </c>
      <c r="AA98" s="2" t="str">
        <f aca="false">INDEX('Scored Accounts'!$T$2:$T$301,MATCH(A98,'Scored Accounts'!$A$2:$A$301,0))</f>
        <v/>
      </c>
      <c r="AB98" s="2" t="str">
        <f aca="false">IF(Z98="Low","Lower dep / ","Higher dep / ")&amp;IF(O98&gt;=Assumptions!$B$34,"Higher value","Lower value")</f>
        <v>Lower dep / Lower value</v>
      </c>
    </row>
    <row r="99" customFormat="false" ht="15" hidden="false" customHeight="false" outlineLevel="0" collapsed="false">
      <c r="A99" s="2" t="s">
        <v>638</v>
      </c>
      <c r="B99" s="2" t="s">
        <v>1571</v>
      </c>
      <c r="C99" s="2" t="s">
        <v>1640</v>
      </c>
      <c r="D99" s="2" t="s">
        <v>1653</v>
      </c>
      <c r="E99" s="2" t="s">
        <v>1653</v>
      </c>
      <c r="F99" s="2" t="s">
        <v>1572</v>
      </c>
      <c r="G99" s="2" t="n">
        <v>8</v>
      </c>
      <c r="H99" s="2" t="n">
        <v>3</v>
      </c>
      <c r="I99" s="9" t="n">
        <v>134</v>
      </c>
      <c r="J99" s="9" t="n">
        <v>710</v>
      </c>
      <c r="K99" s="9" t="n">
        <v>0</v>
      </c>
      <c r="L99" s="9" t="n">
        <v>0</v>
      </c>
      <c r="M99" s="9" t="n">
        <v>0</v>
      </c>
      <c r="N99" s="9" t="n">
        <v>0</v>
      </c>
      <c r="O99" s="9" t="n">
        <v>844</v>
      </c>
      <c r="P99" s="2" t="n">
        <v>-100</v>
      </c>
      <c r="Q99" s="2" t="n">
        <f aca="false">IF(I99&gt;0,ROUND((N99-I99)/I99*100,0),"")</f>
        <v>-100</v>
      </c>
      <c r="R99" s="9" t="n">
        <f aca="false">SUM(I99:K99)</f>
        <v>844</v>
      </c>
      <c r="S99" s="9" t="n">
        <f aca="false">SUM(L99:N99)</f>
        <v>0</v>
      </c>
      <c r="T99" s="17" t="n">
        <f aca="false">IF(R99&gt;0,S99/R99-1,"")</f>
        <v>-1</v>
      </c>
      <c r="U99" s="2" t="str">
        <f aca="false">IF(AND(R99=0,S99&gt;0),"H2 Active / No H1 GMV",IF(S99=0,"Lapsed",IF(T99&gt;=Assumptions!$B$36,"Growing",IF(T99&lt;-Assumptions!$B$36,"Declining","Stable"))))</f>
        <v>Lapsed</v>
      </c>
      <c r="V99" s="2" t="n">
        <f aca="false">COUNTIF(I99:N99,"&gt;0")</f>
        <v>2</v>
      </c>
      <c r="W99" s="2" t="str">
        <f aca="false">IF(N99&gt;0,"Feb",IF(M99&gt;0,"Jan",IF(L99&gt;0,"Dec",IF(K99&gt;0,"Nov",IF(J99&gt;0,"Oct","Sep")))))</f>
        <v>Oct</v>
      </c>
      <c r="X99" s="2" t="str">
        <f aca="false">IF(O99&gt;=Assumptions!$B$35,"Key (&gt;=£10k)",IF(O99&gt;=Assumptions!$B$34,"Core (£2k-10k)","Tail (&lt;£2k)"))</f>
        <v>Tail (&lt;£2k)</v>
      </c>
      <c r="Y99" s="21" t="n">
        <f aca="false">INDEX('Scored Accounts'!$Q$2:$Q$301,MATCH(A99,'Scored Accounts'!$A$2:$A$301,0))</f>
        <v>0</v>
      </c>
      <c r="Z99" s="2" t="str">
        <f aca="false">INDEX('Scored Accounts'!$R$2:$R$301,MATCH(A99,'Scored Accounts'!$A$2:$A$301,0))</f>
        <v>Low</v>
      </c>
      <c r="AA99" s="2" t="str">
        <f aca="false">INDEX('Scored Accounts'!$T$2:$T$301,MATCH(A99,'Scored Accounts'!$A$2:$A$301,0))</f>
        <v/>
      </c>
      <c r="AB99" s="2" t="str">
        <f aca="false">IF(Z99="Low","Lower dep / ","Higher dep / ")&amp;IF(O99&gt;=Assumptions!$B$34,"Higher value","Lower value")</f>
        <v>Lower dep / Lower value</v>
      </c>
    </row>
    <row r="100" customFormat="false" ht="15" hidden="false" customHeight="false" outlineLevel="0" collapsed="false">
      <c r="A100" s="2" t="s">
        <v>640</v>
      </c>
      <c r="B100" s="2" t="s">
        <v>1571</v>
      </c>
      <c r="C100" s="2" t="s">
        <v>1640</v>
      </c>
      <c r="D100" s="2" t="s">
        <v>1653</v>
      </c>
      <c r="E100" s="2" t="s">
        <v>1653</v>
      </c>
      <c r="F100" s="2"/>
      <c r="G100" s="2" t="n">
        <v>6</v>
      </c>
      <c r="H100" s="2" t="n">
        <v>2</v>
      </c>
      <c r="I100" s="9" t="n">
        <v>617</v>
      </c>
      <c r="J100" s="9" t="n">
        <v>222</v>
      </c>
      <c r="K100" s="9" t="n">
        <v>0</v>
      </c>
      <c r="L100" s="9" t="n">
        <v>0</v>
      </c>
      <c r="M100" s="9" t="n">
        <v>0</v>
      </c>
      <c r="N100" s="9" t="n">
        <v>0</v>
      </c>
      <c r="O100" s="9" t="n">
        <v>840</v>
      </c>
      <c r="P100" s="2" t="n">
        <v>-100</v>
      </c>
      <c r="Q100" s="2" t="n">
        <f aca="false">IF(I100&gt;0,ROUND((N100-I100)/I100*100,0),"")</f>
        <v>-100</v>
      </c>
      <c r="R100" s="9" t="n">
        <f aca="false">SUM(I100:K100)</f>
        <v>839</v>
      </c>
      <c r="S100" s="9" t="n">
        <f aca="false">SUM(L100:N100)</f>
        <v>0</v>
      </c>
      <c r="T100" s="17" t="n">
        <f aca="false">IF(R100&gt;0,S100/R100-1,"")</f>
        <v>-1</v>
      </c>
      <c r="U100" s="2" t="str">
        <f aca="false">IF(AND(R100=0,S100&gt;0),"H2 Active / No H1 GMV",IF(S100=0,"Lapsed",IF(T100&gt;=Assumptions!$B$36,"Growing",IF(T100&lt;-Assumptions!$B$36,"Declining","Stable"))))</f>
        <v>Lapsed</v>
      </c>
      <c r="V100" s="2" t="n">
        <f aca="false">COUNTIF(I100:N100,"&gt;0")</f>
        <v>2</v>
      </c>
      <c r="W100" s="2" t="str">
        <f aca="false">IF(N100&gt;0,"Feb",IF(M100&gt;0,"Jan",IF(L100&gt;0,"Dec",IF(K100&gt;0,"Nov",IF(J100&gt;0,"Oct","Sep")))))</f>
        <v>Oct</v>
      </c>
      <c r="X100" s="2" t="str">
        <f aca="false">IF(O100&gt;=Assumptions!$B$35,"Key (&gt;=£10k)",IF(O100&gt;=Assumptions!$B$34,"Core (£2k-10k)","Tail (&lt;£2k)"))</f>
        <v>Tail (&lt;£2k)</v>
      </c>
      <c r="Y100" s="21" t="n">
        <f aca="false">INDEX('Scored Accounts'!$Q$2:$Q$301,MATCH(A100,'Scored Accounts'!$A$2:$A$301,0))</f>
        <v>0</v>
      </c>
      <c r="Z100" s="2" t="str">
        <f aca="false">INDEX('Scored Accounts'!$R$2:$R$301,MATCH(A100,'Scored Accounts'!$A$2:$A$301,0))</f>
        <v>Low</v>
      </c>
      <c r="AA100" s="2" t="str">
        <f aca="false">INDEX('Scored Accounts'!$T$2:$T$301,MATCH(A100,'Scored Accounts'!$A$2:$A$301,0))</f>
        <v/>
      </c>
      <c r="AB100" s="2" t="str">
        <f aca="false">IF(Z100="Low","Lower dep / ","Higher dep / ")&amp;IF(O100&gt;=Assumptions!$B$34,"Higher value","Lower value")</f>
        <v>Lower dep / Lower value</v>
      </c>
    </row>
    <row r="101" customFormat="false" ht="15" hidden="false" customHeight="false" outlineLevel="0" collapsed="false">
      <c r="A101" s="2" t="s">
        <v>642</v>
      </c>
      <c r="B101" s="2" t="s">
        <v>1571</v>
      </c>
      <c r="C101" s="2" t="s">
        <v>1640</v>
      </c>
      <c r="D101" s="2" t="s">
        <v>1653</v>
      </c>
      <c r="E101" s="2" t="s">
        <v>1653</v>
      </c>
      <c r="F101" s="2"/>
      <c r="G101" s="2" t="n">
        <v>6</v>
      </c>
      <c r="H101" s="2" t="n">
        <v>4</v>
      </c>
      <c r="I101" s="9" t="n">
        <v>488</v>
      </c>
      <c r="J101" s="9" t="n">
        <v>346</v>
      </c>
      <c r="K101" s="9" t="n">
        <v>0</v>
      </c>
      <c r="L101" s="9" t="n">
        <v>0</v>
      </c>
      <c r="M101" s="9" t="n">
        <v>0</v>
      </c>
      <c r="N101" s="9" t="n">
        <v>0</v>
      </c>
      <c r="O101" s="9" t="n">
        <v>834</v>
      </c>
      <c r="P101" s="2" t="n">
        <v>-100</v>
      </c>
      <c r="Q101" s="2" t="n">
        <f aca="false">IF(I101&gt;0,ROUND((N101-I101)/I101*100,0),"")</f>
        <v>-100</v>
      </c>
      <c r="R101" s="9" t="n">
        <f aca="false">SUM(I101:K101)</f>
        <v>834</v>
      </c>
      <c r="S101" s="9" t="n">
        <f aca="false">SUM(L101:N101)</f>
        <v>0</v>
      </c>
      <c r="T101" s="17" t="n">
        <f aca="false">IF(R101&gt;0,S101/R101-1,"")</f>
        <v>-1</v>
      </c>
      <c r="U101" s="2" t="str">
        <f aca="false">IF(AND(R101=0,S101&gt;0),"H2 Active / No H1 GMV",IF(S101=0,"Lapsed",IF(T101&gt;=Assumptions!$B$36,"Growing",IF(T101&lt;-Assumptions!$B$36,"Declining","Stable"))))</f>
        <v>Lapsed</v>
      </c>
      <c r="V101" s="2" t="n">
        <f aca="false">COUNTIF(I101:N101,"&gt;0")</f>
        <v>2</v>
      </c>
      <c r="W101" s="2" t="str">
        <f aca="false">IF(N101&gt;0,"Feb",IF(M101&gt;0,"Jan",IF(L101&gt;0,"Dec",IF(K101&gt;0,"Nov",IF(J101&gt;0,"Oct","Sep")))))</f>
        <v>Oct</v>
      </c>
      <c r="X101" s="2" t="str">
        <f aca="false">IF(O101&gt;=Assumptions!$B$35,"Key (&gt;=£10k)",IF(O101&gt;=Assumptions!$B$34,"Core (£2k-10k)","Tail (&lt;£2k)"))</f>
        <v>Tail (&lt;£2k)</v>
      </c>
      <c r="Y101" s="21" t="n">
        <f aca="false">INDEX('Scored Accounts'!$Q$2:$Q$301,MATCH(A101,'Scored Accounts'!$A$2:$A$301,0))</f>
        <v>0</v>
      </c>
      <c r="Z101" s="2" t="str">
        <f aca="false">INDEX('Scored Accounts'!$R$2:$R$301,MATCH(A101,'Scored Accounts'!$A$2:$A$301,0))</f>
        <v>Low</v>
      </c>
      <c r="AA101" s="2" t="str">
        <f aca="false">INDEX('Scored Accounts'!$T$2:$T$301,MATCH(A101,'Scored Accounts'!$A$2:$A$301,0))</f>
        <v/>
      </c>
      <c r="AB101" s="2" t="str">
        <f aca="false">IF(Z101="Low","Lower dep / ","Higher dep / ")&amp;IF(O101&gt;=Assumptions!$B$34,"Higher value","Lower value")</f>
        <v>Lower dep / Lower value</v>
      </c>
    </row>
    <row r="102" customFormat="false" ht="15" hidden="false" customHeight="false" outlineLevel="0" collapsed="false">
      <c r="A102" s="2" t="s">
        <v>644</v>
      </c>
      <c r="B102" s="2" t="s">
        <v>1571</v>
      </c>
      <c r="C102" s="2" t="s">
        <v>1640</v>
      </c>
      <c r="D102" s="2" t="s">
        <v>1657</v>
      </c>
      <c r="E102" s="2" t="s">
        <v>1718</v>
      </c>
      <c r="F102" s="2" t="s">
        <v>1572</v>
      </c>
      <c r="G102" s="2" t="n">
        <v>11</v>
      </c>
      <c r="H102" s="2" t="n">
        <v>2</v>
      </c>
      <c r="I102" s="9" t="n">
        <v>0</v>
      </c>
      <c r="J102" s="9" t="n">
        <v>0</v>
      </c>
      <c r="K102" s="9" t="n">
        <v>0</v>
      </c>
      <c r="L102" s="9" t="n">
        <v>788</v>
      </c>
      <c r="M102" s="9" t="n">
        <v>0</v>
      </c>
      <c r="N102" s="9" t="n">
        <v>0</v>
      </c>
      <c r="O102" s="9" t="n">
        <v>788</v>
      </c>
      <c r="P102" s="2"/>
      <c r="Q102" s="2" t="str">
        <f aca="false">IF(I102&gt;0,ROUND((N102-I102)/I102*100,0),"")</f>
        <v/>
      </c>
      <c r="R102" s="9" t="n">
        <f aca="false">SUM(I102:K102)</f>
        <v>0</v>
      </c>
      <c r="S102" s="9" t="n">
        <f aca="false">SUM(L102:N102)</f>
        <v>788</v>
      </c>
      <c r="T102" s="17" t="str">
        <f aca="false">IF(R102&gt;0,S102/R102-1,"")</f>
        <v/>
      </c>
      <c r="U102" s="2" t="str">
        <f aca="false">IF(AND(R102=0,S102&gt;0),"H2 Active / No H1 GMV",IF(S102=0,"Lapsed",IF(T102&gt;=Assumptions!$B$36,"Growing",IF(T102&lt;-Assumptions!$B$36,"Declining","Stable"))))</f>
        <v>H2 Active / No H1 GMV</v>
      </c>
      <c r="V102" s="2" t="n">
        <f aca="false">COUNTIF(I102:N102,"&gt;0")</f>
        <v>1</v>
      </c>
      <c r="W102" s="2" t="str">
        <f aca="false">IF(N102&gt;0,"Feb",IF(M102&gt;0,"Jan",IF(L102&gt;0,"Dec",IF(K102&gt;0,"Nov",IF(J102&gt;0,"Oct","Sep")))))</f>
        <v>Dec</v>
      </c>
      <c r="X102" s="2" t="str">
        <f aca="false">IF(O102&gt;=Assumptions!$B$35,"Key (&gt;=£10k)",IF(O102&gt;=Assumptions!$B$34,"Core (£2k-10k)","Tail (&lt;£2k)"))</f>
        <v>Tail (&lt;£2k)</v>
      </c>
      <c r="Y102" s="21" t="n">
        <f aca="false">INDEX('Scored Accounts'!$Q$2:$Q$301,MATCH(A102,'Scored Accounts'!$A$2:$A$301,0))</f>
        <v>0</v>
      </c>
      <c r="Z102" s="2" t="str">
        <f aca="false">INDEX('Scored Accounts'!$R$2:$R$301,MATCH(A102,'Scored Accounts'!$A$2:$A$301,0))</f>
        <v>Low</v>
      </c>
      <c r="AA102" s="2" t="str">
        <f aca="false">INDEX('Scored Accounts'!$T$2:$T$301,MATCH(A102,'Scored Accounts'!$A$2:$A$301,0))</f>
        <v/>
      </c>
      <c r="AB102" s="2" t="str">
        <f aca="false">IF(Z102="Low","Lower dep / ","Higher dep / ")&amp;IF(O102&gt;=Assumptions!$B$34,"Higher value","Lower value")</f>
        <v>Lower dep / Lower value</v>
      </c>
    </row>
    <row r="103" customFormat="false" ht="15" hidden="false" customHeight="false" outlineLevel="0" collapsed="false">
      <c r="A103" s="2" t="s">
        <v>647</v>
      </c>
      <c r="B103" s="2" t="s">
        <v>1571</v>
      </c>
      <c r="C103" s="2" t="s">
        <v>1640</v>
      </c>
      <c r="D103" s="2" t="s">
        <v>1657</v>
      </c>
      <c r="E103" s="2" t="s">
        <v>1723</v>
      </c>
      <c r="F103" s="2"/>
      <c r="G103" s="2" t="n">
        <v>6</v>
      </c>
      <c r="H103" s="2" t="n">
        <v>2</v>
      </c>
      <c r="I103" s="9" t="n">
        <v>159</v>
      </c>
      <c r="J103" s="9" t="n">
        <v>603</v>
      </c>
      <c r="K103" s="9" t="n">
        <v>0</v>
      </c>
      <c r="L103" s="9" t="n">
        <v>0</v>
      </c>
      <c r="M103" s="9" t="n">
        <v>0</v>
      </c>
      <c r="N103" s="9" t="n">
        <v>0</v>
      </c>
      <c r="O103" s="9" t="n">
        <v>763</v>
      </c>
      <c r="P103" s="2" t="n">
        <v>-100</v>
      </c>
      <c r="Q103" s="2" t="n">
        <f aca="false">IF(I103&gt;0,ROUND((N103-I103)/I103*100,0),"")</f>
        <v>-100</v>
      </c>
      <c r="R103" s="9" t="n">
        <f aca="false">SUM(I103:K103)</f>
        <v>762</v>
      </c>
      <c r="S103" s="9" t="n">
        <f aca="false">SUM(L103:N103)</f>
        <v>0</v>
      </c>
      <c r="T103" s="17" t="n">
        <f aca="false">IF(R103&gt;0,S103/R103-1,"")</f>
        <v>-1</v>
      </c>
      <c r="U103" s="2" t="str">
        <f aca="false">IF(AND(R103=0,S103&gt;0),"H2 Active / No H1 GMV",IF(S103=0,"Lapsed",IF(T103&gt;=Assumptions!$B$36,"Growing",IF(T103&lt;-Assumptions!$B$36,"Declining","Stable"))))</f>
        <v>Lapsed</v>
      </c>
      <c r="V103" s="2" t="n">
        <f aca="false">COUNTIF(I103:N103,"&gt;0")</f>
        <v>2</v>
      </c>
      <c r="W103" s="2" t="str">
        <f aca="false">IF(N103&gt;0,"Feb",IF(M103&gt;0,"Jan",IF(L103&gt;0,"Dec",IF(K103&gt;0,"Nov",IF(J103&gt;0,"Oct","Sep")))))</f>
        <v>Oct</v>
      </c>
      <c r="X103" s="2" t="str">
        <f aca="false">IF(O103&gt;=Assumptions!$B$35,"Key (&gt;=£10k)",IF(O103&gt;=Assumptions!$B$34,"Core (£2k-10k)","Tail (&lt;£2k)"))</f>
        <v>Tail (&lt;£2k)</v>
      </c>
      <c r="Y103" s="21" t="n">
        <f aca="false">INDEX('Scored Accounts'!$Q$2:$Q$301,MATCH(A103,'Scored Accounts'!$A$2:$A$301,0))</f>
        <v>0</v>
      </c>
      <c r="Z103" s="2" t="str">
        <f aca="false">INDEX('Scored Accounts'!$R$2:$R$301,MATCH(A103,'Scored Accounts'!$A$2:$A$301,0))</f>
        <v>Low</v>
      </c>
      <c r="AA103" s="2" t="str">
        <f aca="false">INDEX('Scored Accounts'!$T$2:$T$301,MATCH(A103,'Scored Accounts'!$A$2:$A$301,0))</f>
        <v/>
      </c>
      <c r="AB103" s="2" t="str">
        <f aca="false">IF(Z103="Low","Lower dep / ","Higher dep / ")&amp;IF(O103&gt;=Assumptions!$B$34,"Higher value","Lower value")</f>
        <v>Lower dep / Lower value</v>
      </c>
    </row>
    <row r="104" customFormat="false" ht="15" hidden="false" customHeight="false" outlineLevel="0" collapsed="false">
      <c r="A104" s="2" t="s">
        <v>649</v>
      </c>
      <c r="B104" s="2" t="s">
        <v>1571</v>
      </c>
      <c r="C104" s="2" t="s">
        <v>1640</v>
      </c>
      <c r="D104" s="2" t="s">
        <v>1657</v>
      </c>
      <c r="E104" s="2" t="s">
        <v>1718</v>
      </c>
      <c r="F104" s="2" t="s">
        <v>1572</v>
      </c>
      <c r="G104" s="2" t="n">
        <v>29</v>
      </c>
      <c r="H104" s="2" t="n">
        <v>1</v>
      </c>
      <c r="I104" s="9" t="n">
        <v>0</v>
      </c>
      <c r="J104" s="9" t="n">
        <v>757</v>
      </c>
      <c r="K104" s="9" t="n">
        <v>0</v>
      </c>
      <c r="L104" s="9" t="n">
        <v>0</v>
      </c>
      <c r="M104" s="9" t="n">
        <v>0</v>
      </c>
      <c r="N104" s="9" t="n">
        <v>0</v>
      </c>
      <c r="O104" s="9" t="n">
        <v>757</v>
      </c>
      <c r="P104" s="2"/>
      <c r="Q104" s="2" t="str">
        <f aca="false">IF(I104&gt;0,ROUND((N104-I104)/I104*100,0),"")</f>
        <v/>
      </c>
      <c r="R104" s="9" t="n">
        <f aca="false">SUM(I104:K104)</f>
        <v>757</v>
      </c>
      <c r="S104" s="9" t="n">
        <f aca="false">SUM(L104:N104)</f>
        <v>0</v>
      </c>
      <c r="T104" s="17" t="n">
        <f aca="false">IF(R104&gt;0,S104/R104-1,"")</f>
        <v>-1</v>
      </c>
      <c r="U104" s="2" t="str">
        <f aca="false">IF(AND(R104=0,S104&gt;0),"H2 Active / No H1 GMV",IF(S104=0,"Lapsed",IF(T104&gt;=Assumptions!$B$36,"Growing",IF(T104&lt;-Assumptions!$B$36,"Declining","Stable"))))</f>
        <v>Lapsed</v>
      </c>
      <c r="V104" s="2" t="n">
        <f aca="false">COUNTIF(I104:N104,"&gt;0")</f>
        <v>1</v>
      </c>
      <c r="W104" s="2" t="str">
        <f aca="false">IF(N104&gt;0,"Feb",IF(M104&gt;0,"Jan",IF(L104&gt;0,"Dec",IF(K104&gt;0,"Nov",IF(J104&gt;0,"Oct","Sep")))))</f>
        <v>Oct</v>
      </c>
      <c r="X104" s="2" t="str">
        <f aca="false">IF(O104&gt;=Assumptions!$B$35,"Key (&gt;=£10k)",IF(O104&gt;=Assumptions!$B$34,"Core (£2k-10k)","Tail (&lt;£2k)"))</f>
        <v>Tail (&lt;£2k)</v>
      </c>
      <c r="Y104" s="21" t="n">
        <f aca="false">INDEX('Scored Accounts'!$Q$2:$Q$301,MATCH(A104,'Scored Accounts'!$A$2:$A$301,0))</f>
        <v>0</v>
      </c>
      <c r="Z104" s="2" t="str">
        <f aca="false">INDEX('Scored Accounts'!$R$2:$R$301,MATCH(A104,'Scored Accounts'!$A$2:$A$301,0))</f>
        <v>Low</v>
      </c>
      <c r="AA104" s="2" t="str">
        <f aca="false">INDEX('Scored Accounts'!$T$2:$T$301,MATCH(A104,'Scored Accounts'!$A$2:$A$301,0))</f>
        <v/>
      </c>
      <c r="AB104" s="2" t="str">
        <f aca="false">IF(Z104="Low","Lower dep / ","Higher dep / ")&amp;IF(O104&gt;=Assumptions!$B$34,"Higher value","Lower value")</f>
        <v>Lower dep / Lower value</v>
      </c>
    </row>
    <row r="105" customFormat="false" ht="15" hidden="false" customHeight="false" outlineLevel="0" collapsed="false">
      <c r="A105" s="2" t="s">
        <v>556</v>
      </c>
      <c r="B105" s="2" t="s">
        <v>1571</v>
      </c>
      <c r="C105" s="2" t="s">
        <v>1640</v>
      </c>
      <c r="D105" s="2" t="s">
        <v>1658</v>
      </c>
      <c r="E105" s="2" t="s">
        <v>1658</v>
      </c>
      <c r="F105" s="2" t="s">
        <v>1572</v>
      </c>
      <c r="G105" s="2" t="n">
        <v>18</v>
      </c>
      <c r="H105" s="2" t="n">
        <v>2</v>
      </c>
      <c r="I105" s="9" t="n">
        <v>0</v>
      </c>
      <c r="J105" s="9" t="n">
        <v>383</v>
      </c>
      <c r="K105" s="9" t="n">
        <v>0</v>
      </c>
      <c r="L105" s="9" t="n">
        <v>0</v>
      </c>
      <c r="M105" s="9" t="n">
        <v>335</v>
      </c>
      <c r="N105" s="9" t="n">
        <v>0</v>
      </c>
      <c r="O105" s="9" t="n">
        <v>718</v>
      </c>
      <c r="P105" s="2"/>
      <c r="Q105" s="2" t="str">
        <f aca="false">IF(I105&gt;0,ROUND((N105-I105)/I105*100,0),"")</f>
        <v/>
      </c>
      <c r="R105" s="9" t="n">
        <f aca="false">SUM(I105:K105)</f>
        <v>383</v>
      </c>
      <c r="S105" s="9" t="n">
        <f aca="false">SUM(L105:N105)</f>
        <v>335</v>
      </c>
      <c r="T105" s="17" t="n">
        <f aca="false">IF(R105&gt;0,S105/R105-1,"")</f>
        <v>-0.12532637075718</v>
      </c>
      <c r="U105" s="2" t="str">
        <f aca="false">IF(AND(R105=0,S105&gt;0),"H2 Active / No H1 GMV",IF(S105=0,"Lapsed",IF(T105&gt;=Assumptions!$B$36,"Growing",IF(T105&lt;-Assumptions!$B$36,"Declining","Stable"))))</f>
        <v>Stable</v>
      </c>
      <c r="V105" s="2" t="n">
        <f aca="false">COUNTIF(I105:N105,"&gt;0")</f>
        <v>2</v>
      </c>
      <c r="W105" s="2" t="str">
        <f aca="false">IF(N105&gt;0,"Feb",IF(M105&gt;0,"Jan",IF(L105&gt;0,"Dec",IF(K105&gt;0,"Nov",IF(J105&gt;0,"Oct","Sep")))))</f>
        <v>Jan</v>
      </c>
      <c r="X105" s="2" t="str">
        <f aca="false">IF(O105&gt;=Assumptions!$B$35,"Key (&gt;=£10k)",IF(O105&gt;=Assumptions!$B$34,"Core (£2k-10k)","Tail (&lt;£2k)"))</f>
        <v>Tail (&lt;£2k)</v>
      </c>
      <c r="Y105" s="21" t="n">
        <f aca="false">INDEX('Scored Accounts'!$Q$2:$Q$301,MATCH(A105,'Scored Accounts'!$A$2:$A$301,0))</f>
        <v>65</v>
      </c>
      <c r="Z105" s="2" t="str">
        <f aca="false">INDEX('Scored Accounts'!$R$2:$R$301,MATCH(A105,'Scored Accounts'!$A$2:$A$301,0))</f>
        <v>Medium</v>
      </c>
      <c r="AA105" s="2" t="str">
        <f aca="false">INDEX('Scored Accounts'!$T$2:$T$301,MATCH(A105,'Scored Accounts'!$A$2:$A$301,0))</f>
        <v>Low confidence</v>
      </c>
      <c r="AB105" s="2" t="str">
        <f aca="false">IF(Z105="Low","Lower dep / ","Higher dep / ")&amp;IF(O105&gt;=Assumptions!$B$34,"Higher value","Lower value")</f>
        <v>Higher dep / Lower value</v>
      </c>
    </row>
    <row r="106" customFormat="false" ht="15" hidden="false" customHeight="false" outlineLevel="0" collapsed="false">
      <c r="A106" s="2" t="s">
        <v>651</v>
      </c>
      <c r="B106" s="2" t="s">
        <v>1571</v>
      </c>
      <c r="C106" s="2" t="s">
        <v>1640</v>
      </c>
      <c r="D106" s="2" t="s">
        <v>1655</v>
      </c>
      <c r="E106" s="2" t="s">
        <v>1655</v>
      </c>
      <c r="F106" s="2" t="s">
        <v>1572</v>
      </c>
      <c r="G106" s="2" t="n">
        <v>6</v>
      </c>
      <c r="H106" s="2" t="n">
        <v>1</v>
      </c>
      <c r="I106" s="9" t="n">
        <v>710</v>
      </c>
      <c r="J106" s="9" t="n">
        <v>0</v>
      </c>
      <c r="K106" s="9" t="n">
        <v>0</v>
      </c>
      <c r="L106" s="9" t="n">
        <v>0</v>
      </c>
      <c r="M106" s="9" t="n">
        <v>0</v>
      </c>
      <c r="N106" s="9" t="n">
        <v>0</v>
      </c>
      <c r="O106" s="9" t="n">
        <v>710</v>
      </c>
      <c r="P106" s="2" t="n">
        <v>-100</v>
      </c>
      <c r="Q106" s="2" t="n">
        <f aca="false">IF(I106&gt;0,ROUND((N106-I106)/I106*100,0),"")</f>
        <v>-100</v>
      </c>
      <c r="R106" s="9" t="n">
        <f aca="false">SUM(I106:K106)</f>
        <v>710</v>
      </c>
      <c r="S106" s="9" t="n">
        <f aca="false">SUM(L106:N106)</f>
        <v>0</v>
      </c>
      <c r="T106" s="17" t="n">
        <f aca="false">IF(R106&gt;0,S106/R106-1,"")</f>
        <v>-1</v>
      </c>
      <c r="U106" s="2" t="str">
        <f aca="false">IF(AND(R106=0,S106&gt;0),"H2 Active / No H1 GMV",IF(S106=0,"Lapsed",IF(T106&gt;=Assumptions!$B$36,"Growing",IF(T106&lt;-Assumptions!$B$36,"Declining","Stable"))))</f>
        <v>Lapsed</v>
      </c>
      <c r="V106" s="2" t="n">
        <f aca="false">COUNTIF(I106:N106,"&gt;0")</f>
        <v>1</v>
      </c>
      <c r="W106" s="2" t="str">
        <f aca="false">IF(N106&gt;0,"Feb",IF(M106&gt;0,"Jan",IF(L106&gt;0,"Dec",IF(K106&gt;0,"Nov",IF(J106&gt;0,"Oct","Sep")))))</f>
        <v>Sep</v>
      </c>
      <c r="X106" s="2" t="str">
        <f aca="false">IF(O106&gt;=Assumptions!$B$35,"Key (&gt;=£10k)",IF(O106&gt;=Assumptions!$B$34,"Core (£2k-10k)","Tail (&lt;£2k)"))</f>
        <v>Tail (&lt;£2k)</v>
      </c>
      <c r="Y106" s="21" t="n">
        <f aca="false">INDEX('Scored Accounts'!$Q$2:$Q$301,MATCH(A106,'Scored Accounts'!$A$2:$A$301,0))</f>
        <v>95</v>
      </c>
      <c r="Z106" s="2" t="str">
        <f aca="false">INDEX('Scored Accounts'!$R$2:$R$301,MATCH(A106,'Scored Accounts'!$A$2:$A$301,0))</f>
        <v>High</v>
      </c>
      <c r="AA106" s="2" t="str">
        <f aca="false">INDEX('Scored Accounts'!$T$2:$T$301,MATCH(A106,'Scored Accounts'!$A$2:$A$301,0))</f>
        <v>Low confidence</v>
      </c>
      <c r="AB106" s="2" t="str">
        <f aca="false">IF(Z106="Low","Lower dep / ","Higher dep / ")&amp;IF(O106&gt;=Assumptions!$B$34,"Higher value","Lower value")</f>
        <v>Higher dep / Lower value</v>
      </c>
    </row>
    <row r="107" customFormat="false" ht="15" hidden="false" customHeight="false" outlineLevel="0" collapsed="false">
      <c r="A107" s="2" t="s">
        <v>653</v>
      </c>
      <c r="B107" s="2" t="s">
        <v>1571</v>
      </c>
      <c r="C107" s="2" t="s">
        <v>1640</v>
      </c>
      <c r="D107" s="2" t="s">
        <v>1658</v>
      </c>
      <c r="E107" s="2" t="s">
        <v>1658</v>
      </c>
      <c r="F107" s="2" t="s">
        <v>1572</v>
      </c>
      <c r="G107" s="2" t="n">
        <v>24</v>
      </c>
      <c r="H107" s="2" t="n">
        <v>1</v>
      </c>
      <c r="I107" s="9" t="n">
        <v>0</v>
      </c>
      <c r="J107" s="9" t="n">
        <v>0</v>
      </c>
      <c r="K107" s="9" t="n">
        <v>0</v>
      </c>
      <c r="L107" s="9" t="n">
        <v>0</v>
      </c>
      <c r="M107" s="9" t="n">
        <v>680</v>
      </c>
      <c r="N107" s="9" t="n">
        <v>0</v>
      </c>
      <c r="O107" s="9" t="n">
        <v>680</v>
      </c>
      <c r="P107" s="2"/>
      <c r="Q107" s="2" t="str">
        <f aca="false">IF(I107&gt;0,ROUND((N107-I107)/I107*100,0),"")</f>
        <v/>
      </c>
      <c r="R107" s="9" t="n">
        <f aca="false">SUM(I107:K107)</f>
        <v>0</v>
      </c>
      <c r="S107" s="9" t="n">
        <f aca="false">SUM(L107:N107)</f>
        <v>680</v>
      </c>
      <c r="T107" s="17" t="str">
        <f aca="false">IF(R107&gt;0,S107/R107-1,"")</f>
        <v/>
      </c>
      <c r="U107" s="2" t="str">
        <f aca="false">IF(AND(R107=0,S107&gt;0),"H2 Active / No H1 GMV",IF(S107=0,"Lapsed",IF(T107&gt;=Assumptions!$B$36,"Growing",IF(T107&lt;-Assumptions!$B$36,"Declining","Stable"))))</f>
        <v>H2 Active / No H1 GMV</v>
      </c>
      <c r="V107" s="2" t="n">
        <f aca="false">COUNTIF(I107:N107,"&gt;0")</f>
        <v>1</v>
      </c>
      <c r="W107" s="2" t="str">
        <f aca="false">IF(N107&gt;0,"Feb",IF(M107&gt;0,"Jan",IF(L107&gt;0,"Dec",IF(K107&gt;0,"Nov",IF(J107&gt;0,"Oct","Sep")))))</f>
        <v>Jan</v>
      </c>
      <c r="X107" s="2" t="str">
        <f aca="false">IF(O107&gt;=Assumptions!$B$35,"Key (&gt;=£10k)",IF(O107&gt;=Assumptions!$B$34,"Core (£2k-10k)","Tail (&lt;£2k)"))</f>
        <v>Tail (&lt;£2k)</v>
      </c>
      <c r="Y107" s="21" t="n">
        <f aca="false">INDEX('Scored Accounts'!$Q$2:$Q$301,MATCH(A107,'Scored Accounts'!$A$2:$A$301,0))</f>
        <v>0</v>
      </c>
      <c r="Z107" s="2" t="str">
        <f aca="false">INDEX('Scored Accounts'!$R$2:$R$301,MATCH(A107,'Scored Accounts'!$A$2:$A$301,0))</f>
        <v>Low</v>
      </c>
      <c r="AA107" s="2" t="str">
        <f aca="false">INDEX('Scored Accounts'!$T$2:$T$301,MATCH(A107,'Scored Accounts'!$A$2:$A$301,0))</f>
        <v/>
      </c>
      <c r="AB107" s="2" t="str">
        <f aca="false">IF(Z107="Low","Lower dep / ","Higher dep / ")&amp;IF(O107&gt;=Assumptions!$B$34,"Higher value","Lower value")</f>
        <v>Lower dep / Lower value</v>
      </c>
    </row>
    <row r="108" customFormat="false" ht="15" hidden="false" customHeight="false" outlineLevel="0" collapsed="false">
      <c r="A108" s="2" t="s">
        <v>655</v>
      </c>
      <c r="B108" s="2" t="s">
        <v>1571</v>
      </c>
      <c r="C108" s="2" t="s">
        <v>1641</v>
      </c>
      <c r="D108" s="2" t="s">
        <v>1653</v>
      </c>
      <c r="E108" s="2" t="s">
        <v>1653</v>
      </c>
      <c r="F108" s="2" t="s">
        <v>1572</v>
      </c>
      <c r="G108" s="2" t="n">
        <v>16</v>
      </c>
      <c r="H108" s="2" t="n">
        <v>2</v>
      </c>
      <c r="I108" s="9" t="n">
        <v>0</v>
      </c>
      <c r="J108" s="9" t="n">
        <v>460</v>
      </c>
      <c r="K108" s="9" t="n">
        <v>215</v>
      </c>
      <c r="L108" s="9" t="n">
        <v>0</v>
      </c>
      <c r="M108" s="9" t="n">
        <v>0</v>
      </c>
      <c r="N108" s="9" t="n">
        <v>0</v>
      </c>
      <c r="O108" s="9" t="n">
        <v>675</v>
      </c>
      <c r="P108" s="2"/>
      <c r="Q108" s="2" t="str">
        <f aca="false">IF(I108&gt;0,ROUND((N108-I108)/I108*100,0),"")</f>
        <v/>
      </c>
      <c r="R108" s="9" t="n">
        <f aca="false">SUM(I108:K108)</f>
        <v>675</v>
      </c>
      <c r="S108" s="9" t="n">
        <f aca="false">SUM(L108:N108)</f>
        <v>0</v>
      </c>
      <c r="T108" s="17" t="n">
        <f aca="false">IF(R108&gt;0,S108/R108-1,"")</f>
        <v>-1</v>
      </c>
      <c r="U108" s="2" t="str">
        <f aca="false">IF(AND(R108=0,S108&gt;0),"H2 Active / No H1 GMV",IF(S108=0,"Lapsed",IF(T108&gt;=Assumptions!$B$36,"Growing",IF(T108&lt;-Assumptions!$B$36,"Declining","Stable"))))</f>
        <v>Lapsed</v>
      </c>
      <c r="V108" s="2" t="n">
        <f aca="false">COUNTIF(I108:N108,"&gt;0")</f>
        <v>2</v>
      </c>
      <c r="W108" s="2" t="str">
        <f aca="false">IF(N108&gt;0,"Feb",IF(M108&gt;0,"Jan",IF(L108&gt;0,"Dec",IF(K108&gt;0,"Nov",IF(J108&gt;0,"Oct","Sep")))))</f>
        <v>Nov</v>
      </c>
      <c r="X108" s="2" t="str">
        <f aca="false">IF(O108&gt;=Assumptions!$B$35,"Key (&gt;=£10k)",IF(O108&gt;=Assumptions!$B$34,"Core (£2k-10k)","Tail (&lt;£2k)"))</f>
        <v>Tail (&lt;£2k)</v>
      </c>
      <c r="Y108" s="21" t="n">
        <f aca="false">INDEX('Scored Accounts'!$Q$2:$Q$301,MATCH(A108,'Scored Accounts'!$A$2:$A$301,0))</f>
        <v>90</v>
      </c>
      <c r="Z108" s="2" t="str">
        <f aca="false">INDEX('Scored Accounts'!$R$2:$R$301,MATCH(A108,'Scored Accounts'!$A$2:$A$301,0))</f>
        <v>High</v>
      </c>
      <c r="AA108" s="2" t="str">
        <f aca="false">INDEX('Scored Accounts'!$T$2:$T$301,MATCH(A108,'Scored Accounts'!$A$2:$A$301,0))</f>
        <v>Low confidence</v>
      </c>
      <c r="AB108" s="2" t="str">
        <f aca="false">IF(Z108="Low","Lower dep / ","Higher dep / ")&amp;IF(O108&gt;=Assumptions!$B$34,"Higher value","Lower value")</f>
        <v>Higher dep / Lower value</v>
      </c>
    </row>
    <row r="109" customFormat="false" ht="15" hidden="false" customHeight="false" outlineLevel="0" collapsed="false">
      <c r="A109" s="2" t="s">
        <v>657</v>
      </c>
      <c r="B109" s="2" t="s">
        <v>1571</v>
      </c>
      <c r="C109" s="2" t="s">
        <v>1640</v>
      </c>
      <c r="D109" s="2" t="s">
        <v>1653</v>
      </c>
      <c r="E109" s="2" t="s">
        <v>1653</v>
      </c>
      <c r="F109" s="2" t="s">
        <v>1572</v>
      </c>
      <c r="G109" s="2" t="n">
        <v>7</v>
      </c>
      <c r="H109" s="2" t="n">
        <v>6</v>
      </c>
      <c r="I109" s="9" t="n">
        <v>0</v>
      </c>
      <c r="J109" s="9" t="n">
        <v>223</v>
      </c>
      <c r="K109" s="9" t="n">
        <v>382</v>
      </c>
      <c r="L109" s="9" t="n">
        <v>58</v>
      </c>
      <c r="M109" s="9" t="n">
        <v>0</v>
      </c>
      <c r="N109" s="9" t="n">
        <v>0</v>
      </c>
      <c r="O109" s="9" t="n">
        <v>663</v>
      </c>
      <c r="P109" s="2"/>
      <c r="Q109" s="2" t="str">
        <f aca="false">IF(I109&gt;0,ROUND((N109-I109)/I109*100,0),"")</f>
        <v/>
      </c>
      <c r="R109" s="9" t="n">
        <f aca="false">SUM(I109:K109)</f>
        <v>605</v>
      </c>
      <c r="S109" s="9" t="n">
        <f aca="false">SUM(L109:N109)</f>
        <v>58</v>
      </c>
      <c r="T109" s="17" t="n">
        <f aca="false">IF(R109&gt;0,S109/R109-1,"")</f>
        <v>-0.904132231404959</v>
      </c>
      <c r="U109" s="2" t="str">
        <f aca="false">IF(AND(R109=0,S109&gt;0),"H2 Active / No H1 GMV",IF(S109=0,"Lapsed",IF(T109&gt;=Assumptions!$B$36,"Growing",IF(T109&lt;-Assumptions!$B$36,"Declining","Stable"))))</f>
        <v>Declining</v>
      </c>
      <c r="V109" s="2" t="n">
        <f aca="false">COUNTIF(I109:N109,"&gt;0")</f>
        <v>3</v>
      </c>
      <c r="W109" s="2" t="str">
        <f aca="false">IF(N109&gt;0,"Feb",IF(M109&gt;0,"Jan",IF(L109&gt;0,"Dec",IF(K109&gt;0,"Nov",IF(J109&gt;0,"Oct","Sep")))))</f>
        <v>Dec</v>
      </c>
      <c r="X109" s="2" t="str">
        <f aca="false">IF(O109&gt;=Assumptions!$B$35,"Key (&gt;=£10k)",IF(O109&gt;=Assumptions!$B$34,"Core (£2k-10k)","Tail (&lt;£2k)"))</f>
        <v>Tail (&lt;£2k)</v>
      </c>
      <c r="Y109" s="21" t="n">
        <f aca="false">INDEX('Scored Accounts'!$Q$2:$Q$301,MATCH(A109,'Scored Accounts'!$A$2:$A$301,0))</f>
        <v>0</v>
      </c>
      <c r="Z109" s="2" t="str">
        <f aca="false">INDEX('Scored Accounts'!$R$2:$R$301,MATCH(A109,'Scored Accounts'!$A$2:$A$301,0))</f>
        <v>Low</v>
      </c>
      <c r="AA109" s="2" t="str">
        <f aca="false">INDEX('Scored Accounts'!$T$2:$T$301,MATCH(A109,'Scored Accounts'!$A$2:$A$301,0))</f>
        <v/>
      </c>
      <c r="AB109" s="2" t="str">
        <f aca="false">IF(Z109="Low","Lower dep / ","Higher dep / ")&amp;IF(O109&gt;=Assumptions!$B$34,"Higher value","Lower value")</f>
        <v>Lower dep / Lower value</v>
      </c>
    </row>
    <row r="110" customFormat="false" ht="15" hidden="false" customHeight="false" outlineLevel="0" collapsed="false">
      <c r="A110" s="2" t="s">
        <v>661</v>
      </c>
      <c r="B110" s="2" t="s">
        <v>1571</v>
      </c>
      <c r="C110" s="2" t="s">
        <v>1640</v>
      </c>
      <c r="D110" s="2" t="s">
        <v>1654</v>
      </c>
      <c r="E110" s="2" t="s">
        <v>1654</v>
      </c>
      <c r="F110" s="2" t="s">
        <v>1572</v>
      </c>
      <c r="G110" s="2" t="n">
        <v>25</v>
      </c>
      <c r="H110" s="2" t="n">
        <v>2</v>
      </c>
      <c r="I110" s="9" t="n">
        <v>243</v>
      </c>
      <c r="J110" s="9" t="n">
        <v>0</v>
      </c>
      <c r="K110" s="9" t="n">
        <v>0</v>
      </c>
      <c r="L110" s="9" t="n">
        <v>0</v>
      </c>
      <c r="M110" s="9" t="n">
        <v>0</v>
      </c>
      <c r="N110" s="9" t="n">
        <v>365</v>
      </c>
      <c r="O110" s="9" t="n">
        <v>607</v>
      </c>
      <c r="P110" s="2" t="n">
        <v>50</v>
      </c>
      <c r="Q110" s="2" t="n">
        <f aca="false">IF(I110&gt;0,ROUND((N110-I110)/I110*100,0),"")</f>
        <v>50</v>
      </c>
      <c r="R110" s="9" t="n">
        <f aca="false">SUM(I110:K110)</f>
        <v>243</v>
      </c>
      <c r="S110" s="9" t="n">
        <f aca="false">SUM(L110:N110)</f>
        <v>365</v>
      </c>
      <c r="T110" s="17" t="n">
        <f aca="false">IF(R110&gt;0,S110/R110-1,"")</f>
        <v>0.502057613168724</v>
      </c>
      <c r="U110" s="2" t="str">
        <f aca="false">IF(AND(R110=0,S110&gt;0),"H2 Active / No H1 GMV",IF(S110=0,"Lapsed",IF(T110&gt;=Assumptions!$B$36,"Growing",IF(T110&lt;-Assumptions!$B$36,"Declining","Stable"))))</f>
        <v>Growing</v>
      </c>
      <c r="V110" s="2" t="n">
        <f aca="false">COUNTIF(I110:N110,"&gt;0")</f>
        <v>2</v>
      </c>
      <c r="W110" s="2" t="str">
        <f aca="false">IF(N110&gt;0,"Feb",IF(M110&gt;0,"Jan",IF(L110&gt;0,"Dec",IF(K110&gt;0,"Nov",IF(J110&gt;0,"Oct","Sep")))))</f>
        <v>Feb</v>
      </c>
      <c r="X110" s="2" t="str">
        <f aca="false">IF(O110&gt;=Assumptions!$B$35,"Key (&gt;=£10k)",IF(O110&gt;=Assumptions!$B$34,"Core (£2k-10k)","Tail (&lt;£2k)"))</f>
        <v>Tail (&lt;£2k)</v>
      </c>
      <c r="Y110" s="21" t="n">
        <f aca="false">INDEX('Scored Accounts'!$Q$2:$Q$301,MATCH(A110,'Scored Accounts'!$A$2:$A$301,0))</f>
        <v>0</v>
      </c>
      <c r="Z110" s="2" t="str">
        <f aca="false">INDEX('Scored Accounts'!$R$2:$R$301,MATCH(A110,'Scored Accounts'!$A$2:$A$301,0))</f>
        <v>Low</v>
      </c>
      <c r="AA110" s="2" t="str">
        <f aca="false">INDEX('Scored Accounts'!$T$2:$T$301,MATCH(A110,'Scored Accounts'!$A$2:$A$301,0))</f>
        <v/>
      </c>
      <c r="AB110" s="2" t="str">
        <f aca="false">IF(Z110="Low","Lower dep / ","Higher dep / ")&amp;IF(O110&gt;=Assumptions!$B$34,"Higher value","Lower value")</f>
        <v>Lower dep / Lower value</v>
      </c>
    </row>
    <row r="111" customFormat="false" ht="15" hidden="false" customHeight="false" outlineLevel="0" collapsed="false">
      <c r="A111" s="2" t="s">
        <v>666</v>
      </c>
      <c r="B111" s="2" t="s">
        <v>1571</v>
      </c>
      <c r="C111" s="2" t="s">
        <v>1640</v>
      </c>
      <c r="D111" s="2" t="s">
        <v>1657</v>
      </c>
      <c r="E111" s="2" t="s">
        <v>1718</v>
      </c>
      <c r="F111" s="2" t="s">
        <v>1572</v>
      </c>
      <c r="G111" s="2" t="n">
        <v>11</v>
      </c>
      <c r="H111" s="2" t="n">
        <v>2</v>
      </c>
      <c r="I111" s="9" t="n">
        <v>594</v>
      </c>
      <c r="J111" s="9" t="n">
        <v>0</v>
      </c>
      <c r="K111" s="9" t="n">
        <v>0</v>
      </c>
      <c r="L111" s="9" t="n">
        <v>0</v>
      </c>
      <c r="M111" s="9" t="n">
        <v>0</v>
      </c>
      <c r="N111" s="9" t="n">
        <v>0</v>
      </c>
      <c r="O111" s="9" t="n">
        <v>594</v>
      </c>
      <c r="P111" s="2" t="n">
        <v>-100</v>
      </c>
      <c r="Q111" s="2" t="n">
        <f aca="false">IF(I111&gt;0,ROUND((N111-I111)/I111*100,0),"")</f>
        <v>-100</v>
      </c>
      <c r="R111" s="9" t="n">
        <f aca="false">SUM(I111:K111)</f>
        <v>594</v>
      </c>
      <c r="S111" s="9" t="n">
        <f aca="false">SUM(L111:N111)</f>
        <v>0</v>
      </c>
      <c r="T111" s="17" t="n">
        <f aca="false">IF(R111&gt;0,S111/R111-1,"")</f>
        <v>-1</v>
      </c>
      <c r="U111" s="2" t="str">
        <f aca="false">IF(AND(R111=0,S111&gt;0),"H2 Active / No H1 GMV",IF(S111=0,"Lapsed",IF(T111&gt;=Assumptions!$B$36,"Growing",IF(T111&lt;-Assumptions!$B$36,"Declining","Stable"))))</f>
        <v>Lapsed</v>
      </c>
      <c r="V111" s="2" t="n">
        <f aca="false">COUNTIF(I111:N111,"&gt;0")</f>
        <v>1</v>
      </c>
      <c r="W111" s="2" t="str">
        <f aca="false">IF(N111&gt;0,"Feb",IF(M111&gt;0,"Jan",IF(L111&gt;0,"Dec",IF(K111&gt;0,"Nov",IF(J111&gt;0,"Oct","Sep")))))</f>
        <v>Sep</v>
      </c>
      <c r="X111" s="2" t="str">
        <f aca="false">IF(O111&gt;=Assumptions!$B$35,"Key (&gt;=£10k)",IF(O111&gt;=Assumptions!$B$34,"Core (£2k-10k)","Tail (&lt;£2k)"))</f>
        <v>Tail (&lt;£2k)</v>
      </c>
      <c r="Y111" s="21" t="n">
        <f aca="false">INDEX('Scored Accounts'!$Q$2:$Q$301,MATCH(A111,'Scored Accounts'!$A$2:$A$301,0))</f>
        <v>0</v>
      </c>
      <c r="Z111" s="2" t="str">
        <f aca="false">INDEX('Scored Accounts'!$R$2:$R$301,MATCH(A111,'Scored Accounts'!$A$2:$A$301,0))</f>
        <v>Low</v>
      </c>
      <c r="AA111" s="2" t="str">
        <f aca="false">INDEX('Scored Accounts'!$T$2:$T$301,MATCH(A111,'Scored Accounts'!$A$2:$A$301,0))</f>
        <v/>
      </c>
      <c r="AB111" s="2" t="str">
        <f aca="false">IF(Z111="Low","Lower dep / ","Higher dep / ")&amp;IF(O111&gt;=Assumptions!$B$34,"Higher value","Lower value")</f>
        <v>Lower dep / Lower value</v>
      </c>
    </row>
    <row r="112" customFormat="false" ht="15" hidden="false" customHeight="false" outlineLevel="0" collapsed="false">
      <c r="A112" s="2" t="s">
        <v>560</v>
      </c>
      <c r="B112" s="2" t="s">
        <v>1571</v>
      </c>
      <c r="C112" s="2" t="s">
        <v>1640</v>
      </c>
      <c r="D112" s="2" t="s">
        <v>1655</v>
      </c>
      <c r="E112" s="2" t="s">
        <v>1655</v>
      </c>
      <c r="F112" s="2" t="s">
        <v>1572</v>
      </c>
      <c r="G112" s="2" t="n">
        <v>14</v>
      </c>
      <c r="H112" s="2" t="n">
        <v>4</v>
      </c>
      <c r="I112" s="9" t="n">
        <v>0</v>
      </c>
      <c r="J112" s="9" t="n">
        <v>118</v>
      </c>
      <c r="K112" s="9" t="n">
        <v>170</v>
      </c>
      <c r="L112" s="9" t="n">
        <v>180</v>
      </c>
      <c r="M112" s="9" t="n">
        <v>124</v>
      </c>
      <c r="N112" s="9" t="n">
        <v>0</v>
      </c>
      <c r="O112" s="9" t="n">
        <v>592</v>
      </c>
      <c r="P112" s="2"/>
      <c r="Q112" s="2" t="str">
        <f aca="false">IF(I112&gt;0,ROUND((N112-I112)/I112*100,0),"")</f>
        <v/>
      </c>
      <c r="R112" s="9" t="n">
        <f aca="false">SUM(I112:K112)</f>
        <v>288</v>
      </c>
      <c r="S112" s="9" t="n">
        <f aca="false">SUM(L112:N112)</f>
        <v>304</v>
      </c>
      <c r="T112" s="17" t="n">
        <f aca="false">IF(R112&gt;0,S112/R112-1,"")</f>
        <v>0.0555555555555556</v>
      </c>
      <c r="U112" s="2" t="str">
        <f aca="false">IF(AND(R112=0,S112&gt;0),"H2 Active / No H1 GMV",IF(S112=0,"Lapsed",IF(T112&gt;=Assumptions!$B$36,"Growing",IF(T112&lt;-Assumptions!$B$36,"Declining","Stable"))))</f>
        <v>Stable</v>
      </c>
      <c r="V112" s="2" t="n">
        <f aca="false">COUNTIF(I112:N112,"&gt;0")</f>
        <v>4</v>
      </c>
      <c r="W112" s="2" t="str">
        <f aca="false">IF(N112&gt;0,"Feb",IF(M112&gt;0,"Jan",IF(L112&gt;0,"Dec",IF(K112&gt;0,"Nov",IF(J112&gt;0,"Oct","Sep")))))</f>
        <v>Jan</v>
      </c>
      <c r="X112" s="2" t="str">
        <f aca="false">IF(O112&gt;=Assumptions!$B$35,"Key (&gt;=£10k)",IF(O112&gt;=Assumptions!$B$34,"Core (£2k-10k)","Tail (&lt;£2k)"))</f>
        <v>Tail (&lt;£2k)</v>
      </c>
      <c r="Y112" s="21" t="n">
        <f aca="false">INDEX('Scored Accounts'!$Q$2:$Q$301,MATCH(A112,'Scored Accounts'!$A$2:$A$301,0))</f>
        <v>0</v>
      </c>
      <c r="Z112" s="2" t="str">
        <f aca="false">INDEX('Scored Accounts'!$R$2:$R$301,MATCH(A112,'Scored Accounts'!$A$2:$A$301,0))</f>
        <v>Low</v>
      </c>
      <c r="AA112" s="2" t="str">
        <f aca="false">INDEX('Scored Accounts'!$T$2:$T$301,MATCH(A112,'Scored Accounts'!$A$2:$A$301,0))</f>
        <v/>
      </c>
      <c r="AB112" s="2" t="str">
        <f aca="false">IF(Z112="Low","Lower dep / ","Higher dep / ")&amp;IF(O112&gt;=Assumptions!$B$34,"Higher value","Lower value")</f>
        <v>Lower dep / Lower value</v>
      </c>
    </row>
    <row r="113" customFormat="false" ht="15" hidden="false" customHeight="false" outlineLevel="0" collapsed="false">
      <c r="A113" s="2" t="s">
        <v>668</v>
      </c>
      <c r="B113" s="2" t="s">
        <v>1571</v>
      </c>
      <c r="C113" s="2" t="s">
        <v>1640</v>
      </c>
      <c r="D113" s="2" t="s">
        <v>1657</v>
      </c>
      <c r="E113" s="2" t="s">
        <v>1725</v>
      </c>
      <c r="F113" s="2" t="s">
        <v>1572</v>
      </c>
      <c r="G113" s="2" t="n">
        <v>23</v>
      </c>
      <c r="H113" s="2" t="n">
        <v>1</v>
      </c>
      <c r="I113" s="9" t="n">
        <v>0</v>
      </c>
      <c r="J113" s="9" t="n">
        <v>0</v>
      </c>
      <c r="K113" s="9" t="n">
        <v>586</v>
      </c>
      <c r="L113" s="9" t="n">
        <v>0</v>
      </c>
      <c r="M113" s="9" t="n">
        <v>0</v>
      </c>
      <c r="N113" s="9" t="n">
        <v>0</v>
      </c>
      <c r="O113" s="9" t="n">
        <v>586</v>
      </c>
      <c r="P113" s="2"/>
      <c r="Q113" s="2" t="str">
        <f aca="false">IF(I113&gt;0,ROUND((N113-I113)/I113*100,0),"")</f>
        <v/>
      </c>
      <c r="R113" s="9" t="n">
        <f aca="false">SUM(I113:K113)</f>
        <v>586</v>
      </c>
      <c r="S113" s="9" t="n">
        <f aca="false">SUM(L113:N113)</f>
        <v>0</v>
      </c>
      <c r="T113" s="17" t="n">
        <f aca="false">IF(R113&gt;0,S113/R113-1,"")</f>
        <v>-1</v>
      </c>
      <c r="U113" s="2" t="str">
        <f aca="false">IF(AND(R113=0,S113&gt;0),"H2 Active / No H1 GMV",IF(S113=0,"Lapsed",IF(T113&gt;=Assumptions!$B$36,"Growing",IF(T113&lt;-Assumptions!$B$36,"Declining","Stable"))))</f>
        <v>Lapsed</v>
      </c>
      <c r="V113" s="2" t="n">
        <f aca="false">COUNTIF(I113:N113,"&gt;0")</f>
        <v>1</v>
      </c>
      <c r="W113" s="2" t="str">
        <f aca="false">IF(N113&gt;0,"Feb",IF(M113&gt;0,"Jan",IF(L113&gt;0,"Dec",IF(K113&gt;0,"Nov",IF(J113&gt;0,"Oct","Sep")))))</f>
        <v>Nov</v>
      </c>
      <c r="X113" s="2" t="str">
        <f aca="false">IF(O113&gt;=Assumptions!$B$35,"Key (&gt;=£10k)",IF(O113&gt;=Assumptions!$B$34,"Core (£2k-10k)","Tail (&lt;£2k)"))</f>
        <v>Tail (&lt;£2k)</v>
      </c>
      <c r="Y113" s="21" t="n">
        <f aca="false">INDEX('Scored Accounts'!$Q$2:$Q$301,MATCH(A113,'Scored Accounts'!$A$2:$A$301,0))</f>
        <v>0</v>
      </c>
      <c r="Z113" s="2" t="str">
        <f aca="false">INDEX('Scored Accounts'!$R$2:$R$301,MATCH(A113,'Scored Accounts'!$A$2:$A$301,0))</f>
        <v>Low</v>
      </c>
      <c r="AA113" s="2" t="str">
        <f aca="false">INDEX('Scored Accounts'!$T$2:$T$301,MATCH(A113,'Scored Accounts'!$A$2:$A$301,0))</f>
        <v/>
      </c>
      <c r="AB113" s="2" t="str">
        <f aca="false">IF(Z113="Low","Lower dep / ","Higher dep / ")&amp;IF(O113&gt;=Assumptions!$B$34,"Higher value","Lower value")</f>
        <v>Lower dep / Lower value</v>
      </c>
    </row>
    <row r="114" customFormat="false" ht="15" hidden="false" customHeight="false" outlineLevel="0" collapsed="false">
      <c r="A114" s="2" t="s">
        <v>670</v>
      </c>
      <c r="B114" s="2" t="s">
        <v>1571</v>
      </c>
      <c r="C114" s="2" t="s">
        <v>1640</v>
      </c>
      <c r="D114" s="2" t="s">
        <v>1653</v>
      </c>
      <c r="E114" s="2" t="s">
        <v>1653</v>
      </c>
      <c r="F114" s="2"/>
      <c r="G114" s="2" t="n">
        <v>7</v>
      </c>
      <c r="H114" s="2" t="n">
        <v>2</v>
      </c>
      <c r="I114" s="9" t="n">
        <v>478</v>
      </c>
      <c r="J114" s="9" t="n">
        <v>103</v>
      </c>
      <c r="K114" s="9" t="n">
        <v>0</v>
      </c>
      <c r="L114" s="9" t="n">
        <v>0</v>
      </c>
      <c r="M114" s="9" t="n">
        <v>0</v>
      </c>
      <c r="N114" s="9" t="n">
        <v>0</v>
      </c>
      <c r="O114" s="9" t="n">
        <v>580</v>
      </c>
      <c r="P114" s="2" t="n">
        <v>-100</v>
      </c>
      <c r="Q114" s="2" t="n">
        <f aca="false">IF(I114&gt;0,ROUND((N114-I114)/I114*100,0),"")</f>
        <v>-100</v>
      </c>
      <c r="R114" s="9" t="n">
        <f aca="false">SUM(I114:K114)</f>
        <v>581</v>
      </c>
      <c r="S114" s="9" t="n">
        <f aca="false">SUM(L114:N114)</f>
        <v>0</v>
      </c>
      <c r="T114" s="17" t="n">
        <f aca="false">IF(R114&gt;0,S114/R114-1,"")</f>
        <v>-1</v>
      </c>
      <c r="U114" s="2" t="str">
        <f aca="false">IF(AND(R114=0,S114&gt;0),"H2 Active / No H1 GMV",IF(S114=0,"Lapsed",IF(T114&gt;=Assumptions!$B$36,"Growing",IF(T114&lt;-Assumptions!$B$36,"Declining","Stable"))))</f>
        <v>Lapsed</v>
      </c>
      <c r="V114" s="2" t="n">
        <f aca="false">COUNTIF(I114:N114,"&gt;0")</f>
        <v>2</v>
      </c>
      <c r="W114" s="2" t="str">
        <f aca="false">IF(N114&gt;0,"Feb",IF(M114&gt;0,"Jan",IF(L114&gt;0,"Dec",IF(K114&gt;0,"Nov",IF(J114&gt;0,"Oct","Sep")))))</f>
        <v>Oct</v>
      </c>
      <c r="X114" s="2" t="str">
        <f aca="false">IF(O114&gt;=Assumptions!$B$35,"Key (&gt;=£10k)",IF(O114&gt;=Assumptions!$B$34,"Core (£2k-10k)","Tail (&lt;£2k)"))</f>
        <v>Tail (&lt;£2k)</v>
      </c>
      <c r="Y114" s="21" t="n">
        <f aca="false">INDEX('Scored Accounts'!$Q$2:$Q$301,MATCH(A114,'Scored Accounts'!$A$2:$A$301,0))</f>
        <v>77.5</v>
      </c>
      <c r="Z114" s="2" t="str">
        <f aca="false">INDEX('Scored Accounts'!$R$2:$R$301,MATCH(A114,'Scored Accounts'!$A$2:$A$301,0))</f>
        <v>High</v>
      </c>
      <c r="AA114" s="2" t="str">
        <f aca="false">INDEX('Scored Accounts'!$T$2:$T$301,MATCH(A114,'Scored Accounts'!$A$2:$A$301,0))</f>
        <v>Low confidence</v>
      </c>
      <c r="AB114" s="2" t="str">
        <f aca="false">IF(Z114="Low","Lower dep / ","Higher dep / ")&amp;IF(O114&gt;=Assumptions!$B$34,"Higher value","Lower value")</f>
        <v>Higher dep / Lower value</v>
      </c>
    </row>
    <row r="115" customFormat="false" ht="15" hidden="false" customHeight="false" outlineLevel="0" collapsed="false">
      <c r="A115" s="2" t="s">
        <v>672</v>
      </c>
      <c r="B115" s="2" t="s">
        <v>1571</v>
      </c>
      <c r="C115" s="2" t="s">
        <v>1640</v>
      </c>
      <c r="D115" s="2" t="s">
        <v>1653</v>
      </c>
      <c r="E115" s="2" t="s">
        <v>1653</v>
      </c>
      <c r="F115" s="2" t="s">
        <v>1572</v>
      </c>
      <c r="G115" s="2" t="n">
        <v>18</v>
      </c>
      <c r="H115" s="2" t="n">
        <v>2</v>
      </c>
      <c r="I115" s="9" t="n">
        <v>34</v>
      </c>
      <c r="J115" s="9" t="n">
        <v>542</v>
      </c>
      <c r="K115" s="9" t="n">
        <v>0</v>
      </c>
      <c r="L115" s="9" t="n">
        <v>0</v>
      </c>
      <c r="M115" s="9" t="n">
        <v>0</v>
      </c>
      <c r="N115" s="9" t="n">
        <v>0</v>
      </c>
      <c r="O115" s="9" t="n">
        <v>576</v>
      </c>
      <c r="P115" s="2" t="n">
        <v>-100</v>
      </c>
      <c r="Q115" s="2" t="n">
        <f aca="false">IF(I115&gt;0,ROUND((N115-I115)/I115*100,0),"")</f>
        <v>-100</v>
      </c>
      <c r="R115" s="9" t="n">
        <f aca="false">SUM(I115:K115)</f>
        <v>576</v>
      </c>
      <c r="S115" s="9" t="n">
        <f aca="false">SUM(L115:N115)</f>
        <v>0</v>
      </c>
      <c r="T115" s="17" t="n">
        <f aca="false">IF(R115&gt;0,S115/R115-1,"")</f>
        <v>-1</v>
      </c>
      <c r="U115" s="2" t="str">
        <f aca="false">IF(AND(R115=0,S115&gt;0),"H2 Active / No H1 GMV",IF(S115=0,"Lapsed",IF(T115&gt;=Assumptions!$B$36,"Growing",IF(T115&lt;-Assumptions!$B$36,"Declining","Stable"))))</f>
        <v>Lapsed</v>
      </c>
      <c r="V115" s="2" t="n">
        <f aca="false">COUNTIF(I115:N115,"&gt;0")</f>
        <v>2</v>
      </c>
      <c r="W115" s="2" t="str">
        <f aca="false">IF(N115&gt;0,"Feb",IF(M115&gt;0,"Jan",IF(L115&gt;0,"Dec",IF(K115&gt;0,"Nov",IF(J115&gt;0,"Oct","Sep")))))</f>
        <v>Oct</v>
      </c>
      <c r="X115" s="2" t="str">
        <f aca="false">IF(O115&gt;=Assumptions!$B$35,"Key (&gt;=£10k)",IF(O115&gt;=Assumptions!$B$34,"Core (£2k-10k)","Tail (&lt;£2k)"))</f>
        <v>Tail (&lt;£2k)</v>
      </c>
      <c r="Y115" s="21" t="n">
        <f aca="false">INDEX('Scored Accounts'!$Q$2:$Q$301,MATCH(A115,'Scored Accounts'!$A$2:$A$301,0))</f>
        <v>70</v>
      </c>
      <c r="Z115" s="2" t="str">
        <f aca="false">INDEX('Scored Accounts'!$R$2:$R$301,MATCH(A115,'Scored Accounts'!$A$2:$A$301,0))</f>
        <v>High</v>
      </c>
      <c r="AA115" s="2" t="str">
        <f aca="false">INDEX('Scored Accounts'!$T$2:$T$301,MATCH(A115,'Scored Accounts'!$A$2:$A$301,0))</f>
        <v>Low confidence</v>
      </c>
      <c r="AB115" s="2" t="str">
        <f aca="false">IF(Z115="Low","Lower dep / ","Higher dep / ")&amp;IF(O115&gt;=Assumptions!$B$34,"Higher value","Lower value")</f>
        <v>Higher dep / Lower value</v>
      </c>
    </row>
    <row r="116" customFormat="false" ht="15" hidden="false" customHeight="false" outlineLevel="0" collapsed="false">
      <c r="A116" s="2" t="s">
        <v>674</v>
      </c>
      <c r="B116" s="2" t="s">
        <v>1571</v>
      </c>
      <c r="C116" s="2" t="s">
        <v>1640</v>
      </c>
      <c r="D116" s="2" t="s">
        <v>1653</v>
      </c>
      <c r="E116" s="2" t="s">
        <v>1653</v>
      </c>
      <c r="F116" s="2" t="s">
        <v>1572</v>
      </c>
      <c r="G116" s="2" t="n">
        <v>7</v>
      </c>
      <c r="H116" s="2" t="n">
        <v>1</v>
      </c>
      <c r="I116" s="9" t="n">
        <v>0</v>
      </c>
      <c r="J116" s="9" t="n">
        <v>0</v>
      </c>
      <c r="K116" s="9" t="n">
        <v>574</v>
      </c>
      <c r="L116" s="9" t="n">
        <v>0</v>
      </c>
      <c r="M116" s="9" t="n">
        <v>0</v>
      </c>
      <c r="N116" s="9" t="n">
        <v>0</v>
      </c>
      <c r="O116" s="9" t="n">
        <v>574</v>
      </c>
      <c r="P116" s="2"/>
      <c r="Q116" s="2" t="str">
        <f aca="false">IF(I116&gt;0,ROUND((N116-I116)/I116*100,0),"")</f>
        <v/>
      </c>
      <c r="R116" s="9" t="n">
        <f aca="false">SUM(I116:K116)</f>
        <v>574</v>
      </c>
      <c r="S116" s="9" t="n">
        <f aca="false">SUM(L116:N116)</f>
        <v>0</v>
      </c>
      <c r="T116" s="17" t="n">
        <f aca="false">IF(R116&gt;0,S116/R116-1,"")</f>
        <v>-1</v>
      </c>
      <c r="U116" s="2" t="str">
        <f aca="false">IF(AND(R116=0,S116&gt;0),"H2 Active / No H1 GMV",IF(S116=0,"Lapsed",IF(T116&gt;=Assumptions!$B$36,"Growing",IF(T116&lt;-Assumptions!$B$36,"Declining","Stable"))))</f>
        <v>Lapsed</v>
      </c>
      <c r="V116" s="2" t="n">
        <f aca="false">COUNTIF(I116:N116,"&gt;0")</f>
        <v>1</v>
      </c>
      <c r="W116" s="2" t="str">
        <f aca="false">IF(N116&gt;0,"Feb",IF(M116&gt;0,"Jan",IF(L116&gt;0,"Dec",IF(K116&gt;0,"Nov",IF(J116&gt;0,"Oct","Sep")))))</f>
        <v>Nov</v>
      </c>
      <c r="X116" s="2" t="str">
        <f aca="false">IF(O116&gt;=Assumptions!$B$35,"Key (&gt;=£10k)",IF(O116&gt;=Assumptions!$B$34,"Core (£2k-10k)","Tail (&lt;£2k)"))</f>
        <v>Tail (&lt;£2k)</v>
      </c>
      <c r="Y116" s="21" t="n">
        <f aca="false">INDEX('Scored Accounts'!$Q$2:$Q$301,MATCH(A116,'Scored Accounts'!$A$2:$A$301,0))</f>
        <v>0</v>
      </c>
      <c r="Z116" s="2" t="str">
        <f aca="false">INDEX('Scored Accounts'!$R$2:$R$301,MATCH(A116,'Scored Accounts'!$A$2:$A$301,0))</f>
        <v>Low</v>
      </c>
      <c r="AA116" s="2" t="str">
        <f aca="false">INDEX('Scored Accounts'!$T$2:$T$301,MATCH(A116,'Scored Accounts'!$A$2:$A$301,0))</f>
        <v/>
      </c>
      <c r="AB116" s="2" t="str">
        <f aca="false">IF(Z116="Low","Lower dep / ","Higher dep / ")&amp;IF(O116&gt;=Assumptions!$B$34,"Higher value","Lower value")</f>
        <v>Lower dep / Lower value</v>
      </c>
    </row>
    <row r="117" customFormat="false" ht="15" hidden="false" customHeight="false" outlineLevel="0" collapsed="false">
      <c r="A117" s="2" t="s">
        <v>678</v>
      </c>
      <c r="B117" s="2" t="s">
        <v>1571</v>
      </c>
      <c r="C117" s="2" t="s">
        <v>1640</v>
      </c>
      <c r="D117" s="2" t="s">
        <v>1653</v>
      </c>
      <c r="E117" s="2" t="s">
        <v>1653</v>
      </c>
      <c r="F117" s="2" t="s">
        <v>1572</v>
      </c>
      <c r="G117" s="2" t="n">
        <v>8</v>
      </c>
      <c r="H117" s="2" t="n">
        <v>5</v>
      </c>
      <c r="I117" s="9" t="n">
        <v>207</v>
      </c>
      <c r="J117" s="9" t="n">
        <v>0</v>
      </c>
      <c r="K117" s="9" t="n">
        <v>317</v>
      </c>
      <c r="L117" s="9" t="n">
        <v>0</v>
      </c>
      <c r="M117" s="9" t="n">
        <v>0</v>
      </c>
      <c r="N117" s="9" t="n">
        <v>0</v>
      </c>
      <c r="O117" s="9" t="n">
        <v>523</v>
      </c>
      <c r="P117" s="2" t="n">
        <v>-100</v>
      </c>
      <c r="Q117" s="2" t="n">
        <f aca="false">IF(I117&gt;0,ROUND((N117-I117)/I117*100,0),"")</f>
        <v>-100</v>
      </c>
      <c r="R117" s="9" t="n">
        <f aca="false">SUM(I117:K117)</f>
        <v>524</v>
      </c>
      <c r="S117" s="9" t="n">
        <f aca="false">SUM(L117:N117)</f>
        <v>0</v>
      </c>
      <c r="T117" s="17" t="n">
        <f aca="false">IF(R117&gt;0,S117/R117-1,"")</f>
        <v>-1</v>
      </c>
      <c r="U117" s="2" t="str">
        <f aca="false">IF(AND(R117=0,S117&gt;0),"H2 Active / No H1 GMV",IF(S117=0,"Lapsed",IF(T117&gt;=Assumptions!$B$36,"Growing",IF(T117&lt;-Assumptions!$B$36,"Declining","Stable"))))</f>
        <v>Lapsed</v>
      </c>
      <c r="V117" s="2" t="n">
        <f aca="false">COUNTIF(I117:N117,"&gt;0")</f>
        <v>2</v>
      </c>
      <c r="W117" s="2" t="str">
        <f aca="false">IF(N117&gt;0,"Feb",IF(M117&gt;0,"Jan",IF(L117&gt;0,"Dec",IF(K117&gt;0,"Nov",IF(J117&gt;0,"Oct","Sep")))))</f>
        <v>Nov</v>
      </c>
      <c r="X117" s="2" t="str">
        <f aca="false">IF(O117&gt;=Assumptions!$B$35,"Key (&gt;=£10k)",IF(O117&gt;=Assumptions!$B$34,"Core (£2k-10k)","Tail (&lt;£2k)"))</f>
        <v>Tail (&lt;£2k)</v>
      </c>
      <c r="Y117" s="21" t="n">
        <f aca="false">INDEX('Scored Accounts'!$Q$2:$Q$301,MATCH(A117,'Scored Accounts'!$A$2:$A$301,0))</f>
        <v>0</v>
      </c>
      <c r="Z117" s="2" t="str">
        <f aca="false">INDEX('Scored Accounts'!$R$2:$R$301,MATCH(A117,'Scored Accounts'!$A$2:$A$301,0))</f>
        <v>Low</v>
      </c>
      <c r="AA117" s="2" t="str">
        <f aca="false">INDEX('Scored Accounts'!$T$2:$T$301,MATCH(A117,'Scored Accounts'!$A$2:$A$301,0))</f>
        <v/>
      </c>
      <c r="AB117" s="2" t="str">
        <f aca="false">IF(Z117="Low","Lower dep / ","Higher dep / ")&amp;IF(O117&gt;=Assumptions!$B$34,"Higher value","Lower value")</f>
        <v>Lower dep / Lower value</v>
      </c>
    </row>
    <row r="118" customFormat="false" ht="15" hidden="false" customHeight="false" outlineLevel="0" collapsed="false">
      <c r="A118" s="2" t="s">
        <v>680</v>
      </c>
      <c r="B118" s="2" t="s">
        <v>1571</v>
      </c>
      <c r="C118" s="2" t="s">
        <v>1640</v>
      </c>
      <c r="D118" s="2" t="s">
        <v>1657</v>
      </c>
      <c r="E118" s="2" t="s">
        <v>1726</v>
      </c>
      <c r="F118" s="2" t="s">
        <v>1572</v>
      </c>
      <c r="G118" s="2" t="n">
        <v>7</v>
      </c>
      <c r="H118" s="2" t="n">
        <v>1</v>
      </c>
      <c r="I118" s="9" t="n">
        <v>0</v>
      </c>
      <c r="J118" s="9" t="n">
        <v>0</v>
      </c>
      <c r="K118" s="9" t="n">
        <v>0</v>
      </c>
      <c r="L118" s="9" t="n">
        <v>519</v>
      </c>
      <c r="M118" s="9" t="n">
        <v>0</v>
      </c>
      <c r="N118" s="9" t="n">
        <v>0</v>
      </c>
      <c r="O118" s="9" t="n">
        <v>519</v>
      </c>
      <c r="P118" s="2"/>
      <c r="Q118" s="2" t="str">
        <f aca="false">IF(I118&gt;0,ROUND((N118-I118)/I118*100,0),"")</f>
        <v/>
      </c>
      <c r="R118" s="9" t="n">
        <f aca="false">SUM(I118:K118)</f>
        <v>0</v>
      </c>
      <c r="S118" s="9" t="n">
        <f aca="false">SUM(L118:N118)</f>
        <v>519</v>
      </c>
      <c r="T118" s="17" t="str">
        <f aca="false">IF(R118&gt;0,S118/R118-1,"")</f>
        <v/>
      </c>
      <c r="U118" s="2" t="str">
        <f aca="false">IF(AND(R118=0,S118&gt;0),"H2 Active / No H1 GMV",IF(S118=0,"Lapsed",IF(T118&gt;=Assumptions!$B$36,"Growing",IF(T118&lt;-Assumptions!$B$36,"Declining","Stable"))))</f>
        <v>H2 Active / No H1 GMV</v>
      </c>
      <c r="V118" s="2" t="n">
        <f aca="false">COUNTIF(I118:N118,"&gt;0")</f>
        <v>1</v>
      </c>
      <c r="W118" s="2" t="str">
        <f aca="false">IF(N118&gt;0,"Feb",IF(M118&gt;0,"Jan",IF(L118&gt;0,"Dec",IF(K118&gt;0,"Nov",IF(J118&gt;0,"Oct","Sep")))))</f>
        <v>Dec</v>
      </c>
      <c r="X118" s="2" t="str">
        <f aca="false">IF(O118&gt;=Assumptions!$B$35,"Key (&gt;=£10k)",IF(O118&gt;=Assumptions!$B$34,"Core (£2k-10k)","Tail (&lt;£2k)"))</f>
        <v>Tail (&lt;£2k)</v>
      </c>
      <c r="Y118" s="21" t="n">
        <f aca="false">INDEX('Scored Accounts'!$Q$2:$Q$301,MATCH(A118,'Scored Accounts'!$A$2:$A$301,0))</f>
        <v>0</v>
      </c>
      <c r="Z118" s="2" t="str">
        <f aca="false">INDEX('Scored Accounts'!$R$2:$R$301,MATCH(A118,'Scored Accounts'!$A$2:$A$301,0))</f>
        <v>Low</v>
      </c>
      <c r="AA118" s="2" t="str">
        <f aca="false">INDEX('Scored Accounts'!$T$2:$T$301,MATCH(A118,'Scored Accounts'!$A$2:$A$301,0))</f>
        <v/>
      </c>
      <c r="AB118" s="2" t="str">
        <f aca="false">IF(Z118="Low","Lower dep / ","Higher dep / ")&amp;IF(O118&gt;=Assumptions!$B$34,"Higher value","Lower value")</f>
        <v>Lower dep / Lower value</v>
      </c>
    </row>
    <row r="119" customFormat="false" ht="15" hidden="false" customHeight="false" outlineLevel="0" collapsed="false">
      <c r="A119" s="2" t="s">
        <v>686</v>
      </c>
      <c r="B119" s="2" t="s">
        <v>1571</v>
      </c>
      <c r="C119" s="2" t="s">
        <v>1641</v>
      </c>
      <c r="D119" s="2" t="s">
        <v>1655</v>
      </c>
      <c r="E119" s="2" t="s">
        <v>1655</v>
      </c>
      <c r="F119" s="2" t="s">
        <v>1572</v>
      </c>
      <c r="G119" s="2" t="n">
        <v>13</v>
      </c>
      <c r="H119" s="2" t="n">
        <v>3</v>
      </c>
      <c r="I119" s="9" t="n">
        <v>0</v>
      </c>
      <c r="J119" s="9" t="n">
        <v>136</v>
      </c>
      <c r="K119" s="9" t="n">
        <v>0</v>
      </c>
      <c r="L119" s="9" t="n">
        <v>0</v>
      </c>
      <c r="M119" s="9" t="n">
        <v>186</v>
      </c>
      <c r="N119" s="9" t="n">
        <v>167</v>
      </c>
      <c r="O119" s="9" t="n">
        <v>489</v>
      </c>
      <c r="P119" s="2"/>
      <c r="Q119" s="2" t="str">
        <f aca="false">IF(I119&gt;0,ROUND((N119-I119)/I119*100,0),"")</f>
        <v/>
      </c>
      <c r="R119" s="9" t="n">
        <f aca="false">SUM(I119:K119)</f>
        <v>136</v>
      </c>
      <c r="S119" s="9" t="n">
        <f aca="false">SUM(L119:N119)</f>
        <v>353</v>
      </c>
      <c r="T119" s="17" t="n">
        <f aca="false">IF(R119&gt;0,S119/R119-1,"")</f>
        <v>1.59558823529412</v>
      </c>
      <c r="U119" s="2" t="str">
        <f aca="false">IF(AND(R119=0,S119&gt;0),"H2 Active / No H1 GMV",IF(S119=0,"Lapsed",IF(T119&gt;=Assumptions!$B$36,"Growing",IF(T119&lt;-Assumptions!$B$36,"Declining","Stable"))))</f>
        <v>Growing</v>
      </c>
      <c r="V119" s="2" t="n">
        <f aca="false">COUNTIF(I119:N119,"&gt;0")</f>
        <v>3</v>
      </c>
      <c r="W119" s="2" t="str">
        <f aca="false">IF(N119&gt;0,"Feb",IF(M119&gt;0,"Jan",IF(L119&gt;0,"Dec",IF(K119&gt;0,"Nov",IF(J119&gt;0,"Oct","Sep")))))</f>
        <v>Feb</v>
      </c>
      <c r="X119" s="2" t="str">
        <f aca="false">IF(O119&gt;=Assumptions!$B$35,"Key (&gt;=£10k)",IF(O119&gt;=Assumptions!$B$34,"Core (£2k-10k)","Tail (&lt;£2k)"))</f>
        <v>Tail (&lt;£2k)</v>
      </c>
      <c r="Y119" s="21" t="n">
        <f aca="false">INDEX('Scored Accounts'!$Q$2:$Q$301,MATCH(A119,'Scored Accounts'!$A$2:$A$301,0))</f>
        <v>0</v>
      </c>
      <c r="Z119" s="2" t="str">
        <f aca="false">INDEX('Scored Accounts'!$R$2:$R$301,MATCH(A119,'Scored Accounts'!$A$2:$A$301,0))</f>
        <v>Low</v>
      </c>
      <c r="AA119" s="2" t="str">
        <f aca="false">INDEX('Scored Accounts'!$T$2:$T$301,MATCH(A119,'Scored Accounts'!$A$2:$A$301,0))</f>
        <v/>
      </c>
      <c r="AB119" s="2" t="str">
        <f aca="false">IF(Z119="Low","Lower dep / ","Higher dep / ")&amp;IF(O119&gt;=Assumptions!$B$34,"Higher value","Lower value")</f>
        <v>Lower dep / Lower value</v>
      </c>
    </row>
    <row r="120" customFormat="false" ht="15" hidden="false" customHeight="false" outlineLevel="0" collapsed="false">
      <c r="A120" s="2" t="s">
        <v>689</v>
      </c>
      <c r="B120" s="2" t="s">
        <v>1571</v>
      </c>
      <c r="C120" s="2" t="s">
        <v>1641</v>
      </c>
      <c r="D120" s="2" t="s">
        <v>1658</v>
      </c>
      <c r="E120" s="2" t="s">
        <v>1658</v>
      </c>
      <c r="F120" s="2"/>
      <c r="G120" s="2" t="n">
        <v>6</v>
      </c>
      <c r="H120" s="2" t="n">
        <v>2</v>
      </c>
      <c r="I120" s="9" t="n">
        <v>489</v>
      </c>
      <c r="J120" s="9" t="n">
        <v>0</v>
      </c>
      <c r="K120" s="9" t="n">
        <v>0</v>
      </c>
      <c r="L120" s="9" t="n">
        <v>0</v>
      </c>
      <c r="M120" s="9" t="n">
        <v>0</v>
      </c>
      <c r="N120" s="9" t="n">
        <v>0</v>
      </c>
      <c r="O120" s="9" t="n">
        <v>489</v>
      </c>
      <c r="P120" s="2" t="n">
        <v>-100</v>
      </c>
      <c r="Q120" s="2" t="n">
        <f aca="false">IF(I120&gt;0,ROUND((N120-I120)/I120*100,0),"")</f>
        <v>-100</v>
      </c>
      <c r="R120" s="9" t="n">
        <f aca="false">SUM(I120:K120)</f>
        <v>489</v>
      </c>
      <c r="S120" s="9" t="n">
        <f aca="false">SUM(L120:N120)</f>
        <v>0</v>
      </c>
      <c r="T120" s="17" t="n">
        <f aca="false">IF(R120&gt;0,S120/R120-1,"")</f>
        <v>-1</v>
      </c>
      <c r="U120" s="2" t="str">
        <f aca="false">IF(AND(R120=0,S120&gt;0),"H2 Active / No H1 GMV",IF(S120=0,"Lapsed",IF(T120&gt;=Assumptions!$B$36,"Growing",IF(T120&lt;-Assumptions!$B$36,"Declining","Stable"))))</f>
        <v>Lapsed</v>
      </c>
      <c r="V120" s="2" t="n">
        <f aca="false">COUNTIF(I120:N120,"&gt;0")</f>
        <v>1</v>
      </c>
      <c r="W120" s="2" t="str">
        <f aca="false">IF(N120&gt;0,"Feb",IF(M120&gt;0,"Jan",IF(L120&gt;0,"Dec",IF(K120&gt;0,"Nov",IF(J120&gt;0,"Oct","Sep")))))</f>
        <v>Sep</v>
      </c>
      <c r="X120" s="2" t="str">
        <f aca="false">IF(O120&gt;=Assumptions!$B$35,"Key (&gt;=£10k)",IF(O120&gt;=Assumptions!$B$34,"Core (£2k-10k)","Tail (&lt;£2k)"))</f>
        <v>Tail (&lt;£2k)</v>
      </c>
      <c r="Y120" s="21" t="n">
        <f aca="false">INDEX('Scored Accounts'!$Q$2:$Q$301,MATCH(A120,'Scored Accounts'!$A$2:$A$301,0))</f>
        <v>0</v>
      </c>
      <c r="Z120" s="2" t="str">
        <f aca="false">INDEX('Scored Accounts'!$R$2:$R$301,MATCH(A120,'Scored Accounts'!$A$2:$A$301,0))</f>
        <v>Low</v>
      </c>
      <c r="AA120" s="2" t="str">
        <f aca="false">INDEX('Scored Accounts'!$T$2:$T$301,MATCH(A120,'Scored Accounts'!$A$2:$A$301,0))</f>
        <v/>
      </c>
      <c r="AB120" s="2" t="str">
        <f aca="false">IF(Z120="Low","Lower dep / ","Higher dep / ")&amp;IF(O120&gt;=Assumptions!$B$34,"Higher value","Lower value")</f>
        <v>Lower dep / Lower value</v>
      </c>
    </row>
    <row r="121" customFormat="false" ht="15" hidden="false" customHeight="false" outlineLevel="0" collapsed="false">
      <c r="A121" s="2" t="s">
        <v>693</v>
      </c>
      <c r="B121" s="2" t="s">
        <v>1571</v>
      </c>
      <c r="C121" s="2" t="s">
        <v>1640</v>
      </c>
      <c r="D121" s="2" t="s">
        <v>1655</v>
      </c>
      <c r="E121" s="2" t="s">
        <v>1655</v>
      </c>
      <c r="F121" s="2" t="s">
        <v>1572</v>
      </c>
      <c r="G121" s="2" t="n">
        <v>18</v>
      </c>
      <c r="H121" s="2" t="n">
        <v>3</v>
      </c>
      <c r="I121" s="9" t="n">
        <v>0</v>
      </c>
      <c r="J121" s="9" t="n">
        <v>170</v>
      </c>
      <c r="K121" s="9" t="n">
        <v>301</v>
      </c>
      <c r="L121" s="9" t="n">
        <v>0</v>
      </c>
      <c r="M121" s="9" t="n">
        <v>0</v>
      </c>
      <c r="N121" s="9" t="n">
        <v>0</v>
      </c>
      <c r="O121" s="9" t="n">
        <v>471</v>
      </c>
      <c r="P121" s="2"/>
      <c r="Q121" s="2" t="str">
        <f aca="false">IF(I121&gt;0,ROUND((N121-I121)/I121*100,0),"")</f>
        <v/>
      </c>
      <c r="R121" s="9" t="n">
        <f aca="false">SUM(I121:K121)</f>
        <v>471</v>
      </c>
      <c r="S121" s="9" t="n">
        <f aca="false">SUM(L121:N121)</f>
        <v>0</v>
      </c>
      <c r="T121" s="17" t="n">
        <f aca="false">IF(R121&gt;0,S121/R121-1,"")</f>
        <v>-1</v>
      </c>
      <c r="U121" s="2" t="str">
        <f aca="false">IF(AND(R121=0,S121&gt;0),"H2 Active / No H1 GMV",IF(S121=0,"Lapsed",IF(T121&gt;=Assumptions!$B$36,"Growing",IF(T121&lt;-Assumptions!$B$36,"Declining","Stable"))))</f>
        <v>Lapsed</v>
      </c>
      <c r="V121" s="2" t="n">
        <f aca="false">COUNTIF(I121:N121,"&gt;0")</f>
        <v>2</v>
      </c>
      <c r="W121" s="2" t="str">
        <f aca="false">IF(N121&gt;0,"Feb",IF(M121&gt;0,"Jan",IF(L121&gt;0,"Dec",IF(K121&gt;0,"Nov",IF(J121&gt;0,"Oct","Sep")))))</f>
        <v>Nov</v>
      </c>
      <c r="X121" s="2" t="str">
        <f aca="false">IF(O121&gt;=Assumptions!$B$35,"Key (&gt;=£10k)",IF(O121&gt;=Assumptions!$B$34,"Core (£2k-10k)","Tail (&lt;£2k)"))</f>
        <v>Tail (&lt;£2k)</v>
      </c>
      <c r="Y121" s="21" t="n">
        <f aca="false">INDEX('Scored Accounts'!$Q$2:$Q$301,MATCH(A121,'Scored Accounts'!$A$2:$A$301,0))</f>
        <v>0</v>
      </c>
      <c r="Z121" s="2" t="str">
        <f aca="false">INDEX('Scored Accounts'!$R$2:$R$301,MATCH(A121,'Scored Accounts'!$A$2:$A$301,0))</f>
        <v>Low</v>
      </c>
      <c r="AA121" s="2" t="str">
        <f aca="false">INDEX('Scored Accounts'!$T$2:$T$301,MATCH(A121,'Scored Accounts'!$A$2:$A$301,0))</f>
        <v/>
      </c>
      <c r="AB121" s="2" t="str">
        <f aca="false">IF(Z121="Low","Lower dep / ","Higher dep / ")&amp;IF(O121&gt;=Assumptions!$B$34,"Higher value","Lower value")</f>
        <v>Lower dep / Lower value</v>
      </c>
    </row>
    <row r="122" customFormat="false" ht="15" hidden="false" customHeight="false" outlineLevel="0" collapsed="false">
      <c r="A122" s="2" t="s">
        <v>695</v>
      </c>
      <c r="B122" s="2" t="s">
        <v>1571</v>
      </c>
      <c r="C122" s="2" t="s">
        <v>1640</v>
      </c>
      <c r="D122" s="2" t="s">
        <v>1656</v>
      </c>
      <c r="E122" s="2" t="s">
        <v>1714</v>
      </c>
      <c r="F122" s="2" t="s">
        <v>1572</v>
      </c>
      <c r="G122" s="2" t="n">
        <v>30</v>
      </c>
      <c r="H122" s="2" t="n">
        <v>1</v>
      </c>
      <c r="I122" s="9" t="n">
        <v>0</v>
      </c>
      <c r="J122" s="9" t="n">
        <v>468</v>
      </c>
      <c r="K122" s="9" t="n">
        <v>0</v>
      </c>
      <c r="L122" s="9" t="n">
        <v>0</v>
      </c>
      <c r="M122" s="9" t="n">
        <v>0</v>
      </c>
      <c r="N122" s="9" t="n">
        <v>0</v>
      </c>
      <c r="O122" s="9" t="n">
        <v>468</v>
      </c>
      <c r="P122" s="2"/>
      <c r="Q122" s="2" t="str">
        <f aca="false">IF(I122&gt;0,ROUND((N122-I122)/I122*100,0),"")</f>
        <v/>
      </c>
      <c r="R122" s="9" t="n">
        <f aca="false">SUM(I122:K122)</f>
        <v>468</v>
      </c>
      <c r="S122" s="9" t="n">
        <f aca="false">SUM(L122:N122)</f>
        <v>0</v>
      </c>
      <c r="T122" s="17" t="n">
        <f aca="false">IF(R122&gt;0,S122/R122-1,"")</f>
        <v>-1</v>
      </c>
      <c r="U122" s="2" t="str">
        <f aca="false">IF(AND(R122=0,S122&gt;0),"H2 Active / No H1 GMV",IF(S122=0,"Lapsed",IF(T122&gt;=Assumptions!$B$36,"Growing",IF(T122&lt;-Assumptions!$B$36,"Declining","Stable"))))</f>
        <v>Lapsed</v>
      </c>
      <c r="V122" s="2" t="n">
        <f aca="false">COUNTIF(I122:N122,"&gt;0")</f>
        <v>1</v>
      </c>
      <c r="W122" s="2" t="str">
        <f aca="false">IF(N122&gt;0,"Feb",IF(M122&gt;0,"Jan",IF(L122&gt;0,"Dec",IF(K122&gt;0,"Nov",IF(J122&gt;0,"Oct","Sep")))))</f>
        <v>Oct</v>
      </c>
      <c r="X122" s="2" t="str">
        <f aca="false">IF(O122&gt;=Assumptions!$B$35,"Key (&gt;=£10k)",IF(O122&gt;=Assumptions!$B$34,"Core (£2k-10k)","Tail (&lt;£2k)"))</f>
        <v>Tail (&lt;£2k)</v>
      </c>
      <c r="Y122" s="21" t="n">
        <f aca="false">INDEX('Scored Accounts'!$Q$2:$Q$301,MATCH(A122,'Scored Accounts'!$A$2:$A$301,0))</f>
        <v>0</v>
      </c>
      <c r="Z122" s="2" t="str">
        <f aca="false">INDEX('Scored Accounts'!$R$2:$R$301,MATCH(A122,'Scored Accounts'!$A$2:$A$301,0))</f>
        <v>Low</v>
      </c>
      <c r="AA122" s="2" t="str">
        <f aca="false">INDEX('Scored Accounts'!$T$2:$T$301,MATCH(A122,'Scored Accounts'!$A$2:$A$301,0))</f>
        <v/>
      </c>
      <c r="AB122" s="2" t="str">
        <f aca="false">IF(Z122="Low","Lower dep / ","Higher dep / ")&amp;IF(O122&gt;=Assumptions!$B$34,"Higher value","Lower value")</f>
        <v>Lower dep / Lower value</v>
      </c>
    </row>
    <row r="123" customFormat="false" ht="15" hidden="false" customHeight="false" outlineLevel="0" collapsed="false">
      <c r="A123" s="2" t="s">
        <v>699</v>
      </c>
      <c r="B123" s="2" t="s">
        <v>1571</v>
      </c>
      <c r="C123" s="2" t="s">
        <v>1640</v>
      </c>
      <c r="D123" s="2" t="s">
        <v>1653</v>
      </c>
      <c r="E123" s="2" t="s">
        <v>1653</v>
      </c>
      <c r="F123" s="2"/>
      <c r="G123" s="2" t="n">
        <v>6</v>
      </c>
      <c r="H123" s="2" t="n">
        <v>4</v>
      </c>
      <c r="I123" s="9" t="n">
        <v>80</v>
      </c>
      <c r="J123" s="9" t="n">
        <v>379</v>
      </c>
      <c r="K123" s="9" t="n">
        <v>0</v>
      </c>
      <c r="L123" s="9" t="n">
        <v>0</v>
      </c>
      <c r="M123" s="9" t="n">
        <v>0</v>
      </c>
      <c r="N123" s="9" t="n">
        <v>0</v>
      </c>
      <c r="O123" s="9" t="n">
        <v>459</v>
      </c>
      <c r="P123" s="2" t="n">
        <v>-100</v>
      </c>
      <c r="Q123" s="2" t="n">
        <f aca="false">IF(I123&gt;0,ROUND((N123-I123)/I123*100,0),"")</f>
        <v>-100</v>
      </c>
      <c r="R123" s="9" t="n">
        <f aca="false">SUM(I123:K123)</f>
        <v>459</v>
      </c>
      <c r="S123" s="9" t="n">
        <f aca="false">SUM(L123:N123)</f>
        <v>0</v>
      </c>
      <c r="T123" s="17" t="n">
        <f aca="false">IF(R123&gt;0,S123/R123-1,"")</f>
        <v>-1</v>
      </c>
      <c r="U123" s="2" t="str">
        <f aca="false">IF(AND(R123=0,S123&gt;0),"H2 Active / No H1 GMV",IF(S123=0,"Lapsed",IF(T123&gt;=Assumptions!$B$36,"Growing",IF(T123&lt;-Assumptions!$B$36,"Declining","Stable"))))</f>
        <v>Lapsed</v>
      </c>
      <c r="V123" s="2" t="n">
        <f aca="false">COUNTIF(I123:N123,"&gt;0")</f>
        <v>2</v>
      </c>
      <c r="W123" s="2" t="str">
        <f aca="false">IF(N123&gt;0,"Feb",IF(M123&gt;0,"Jan",IF(L123&gt;0,"Dec",IF(K123&gt;0,"Nov",IF(J123&gt;0,"Oct","Sep")))))</f>
        <v>Oct</v>
      </c>
      <c r="X123" s="2" t="str">
        <f aca="false">IF(O123&gt;=Assumptions!$B$35,"Key (&gt;=£10k)",IF(O123&gt;=Assumptions!$B$34,"Core (£2k-10k)","Tail (&lt;£2k)"))</f>
        <v>Tail (&lt;£2k)</v>
      </c>
      <c r="Y123" s="21" t="n">
        <f aca="false">INDEX('Scored Accounts'!$Q$2:$Q$301,MATCH(A123,'Scored Accounts'!$A$2:$A$301,0))</f>
        <v>0</v>
      </c>
      <c r="Z123" s="2" t="str">
        <f aca="false">INDEX('Scored Accounts'!$R$2:$R$301,MATCH(A123,'Scored Accounts'!$A$2:$A$301,0))</f>
        <v>Low</v>
      </c>
      <c r="AA123" s="2" t="str">
        <f aca="false">INDEX('Scored Accounts'!$T$2:$T$301,MATCH(A123,'Scored Accounts'!$A$2:$A$301,0))</f>
        <v/>
      </c>
      <c r="AB123" s="2" t="str">
        <f aca="false">IF(Z123="Low","Lower dep / ","Higher dep / ")&amp;IF(O123&gt;=Assumptions!$B$34,"Higher value","Lower value")</f>
        <v>Lower dep / Lower value</v>
      </c>
    </row>
    <row r="124" customFormat="false" ht="15" hidden="false" customHeight="false" outlineLevel="0" collapsed="false">
      <c r="A124" s="2" t="s">
        <v>703</v>
      </c>
      <c r="B124" s="2" t="s">
        <v>1571</v>
      </c>
      <c r="C124" s="2" t="s">
        <v>1640</v>
      </c>
      <c r="D124" s="2" t="s">
        <v>1653</v>
      </c>
      <c r="E124" s="2" t="s">
        <v>1653</v>
      </c>
      <c r="F124" s="2" t="s">
        <v>1572</v>
      </c>
      <c r="G124" s="2" t="n">
        <v>7</v>
      </c>
      <c r="H124" s="2" t="n">
        <v>3</v>
      </c>
      <c r="I124" s="9" t="n">
        <v>0</v>
      </c>
      <c r="J124" s="9" t="n">
        <v>0</v>
      </c>
      <c r="K124" s="9" t="n">
        <v>0</v>
      </c>
      <c r="L124" s="9" t="n">
        <v>454</v>
      </c>
      <c r="M124" s="9" t="n">
        <v>0</v>
      </c>
      <c r="N124" s="9" t="n">
        <v>0</v>
      </c>
      <c r="O124" s="9" t="n">
        <v>454</v>
      </c>
      <c r="P124" s="2"/>
      <c r="Q124" s="2" t="str">
        <f aca="false">IF(I124&gt;0,ROUND((N124-I124)/I124*100,0),"")</f>
        <v/>
      </c>
      <c r="R124" s="9" t="n">
        <f aca="false">SUM(I124:K124)</f>
        <v>0</v>
      </c>
      <c r="S124" s="9" t="n">
        <f aca="false">SUM(L124:N124)</f>
        <v>454</v>
      </c>
      <c r="T124" s="17" t="str">
        <f aca="false">IF(R124&gt;0,S124/R124-1,"")</f>
        <v/>
      </c>
      <c r="U124" s="2" t="str">
        <f aca="false">IF(AND(R124=0,S124&gt;0),"H2 Active / No H1 GMV",IF(S124=0,"Lapsed",IF(T124&gt;=Assumptions!$B$36,"Growing",IF(T124&lt;-Assumptions!$B$36,"Declining","Stable"))))</f>
        <v>H2 Active / No H1 GMV</v>
      </c>
      <c r="V124" s="2" t="n">
        <f aca="false">COUNTIF(I124:N124,"&gt;0")</f>
        <v>1</v>
      </c>
      <c r="W124" s="2" t="str">
        <f aca="false">IF(N124&gt;0,"Feb",IF(M124&gt;0,"Jan",IF(L124&gt;0,"Dec",IF(K124&gt;0,"Nov",IF(J124&gt;0,"Oct","Sep")))))</f>
        <v>Dec</v>
      </c>
      <c r="X124" s="2" t="str">
        <f aca="false">IF(O124&gt;=Assumptions!$B$35,"Key (&gt;=£10k)",IF(O124&gt;=Assumptions!$B$34,"Core (£2k-10k)","Tail (&lt;£2k)"))</f>
        <v>Tail (&lt;£2k)</v>
      </c>
      <c r="Y124" s="21" t="n">
        <f aca="false">INDEX('Scored Accounts'!$Q$2:$Q$301,MATCH(A124,'Scored Accounts'!$A$2:$A$301,0))</f>
        <v>82.5</v>
      </c>
      <c r="Z124" s="2" t="str">
        <f aca="false">INDEX('Scored Accounts'!$R$2:$R$301,MATCH(A124,'Scored Accounts'!$A$2:$A$301,0))</f>
        <v>High</v>
      </c>
      <c r="AA124" s="2" t="str">
        <f aca="false">INDEX('Scored Accounts'!$T$2:$T$301,MATCH(A124,'Scored Accounts'!$A$2:$A$301,0))</f>
        <v/>
      </c>
      <c r="AB124" s="2" t="str">
        <f aca="false">IF(Z124="Low","Lower dep / ","Higher dep / ")&amp;IF(O124&gt;=Assumptions!$B$34,"Higher value","Lower value")</f>
        <v>Higher dep / Lower value</v>
      </c>
    </row>
    <row r="125" customFormat="false" ht="15" hidden="false" customHeight="false" outlineLevel="0" collapsed="false">
      <c r="A125" s="2" t="s">
        <v>705</v>
      </c>
      <c r="B125" s="2" t="s">
        <v>1571</v>
      </c>
      <c r="C125" s="2" t="s">
        <v>1640</v>
      </c>
      <c r="D125" s="2" t="s">
        <v>1657</v>
      </c>
      <c r="E125" s="2" t="s">
        <v>1718</v>
      </c>
      <c r="F125" s="2" t="s">
        <v>1572</v>
      </c>
      <c r="G125" s="2" t="n">
        <v>14</v>
      </c>
      <c r="H125" s="2" t="n">
        <v>1</v>
      </c>
      <c r="I125" s="9" t="n">
        <v>447</v>
      </c>
      <c r="J125" s="9" t="n">
        <v>0</v>
      </c>
      <c r="K125" s="9" t="n">
        <v>0</v>
      </c>
      <c r="L125" s="9" t="n">
        <v>0</v>
      </c>
      <c r="M125" s="9" t="n">
        <v>0</v>
      </c>
      <c r="N125" s="9" t="n">
        <v>0</v>
      </c>
      <c r="O125" s="9" t="n">
        <v>447</v>
      </c>
      <c r="P125" s="2" t="n">
        <v>-100</v>
      </c>
      <c r="Q125" s="2" t="n">
        <f aca="false">IF(I125&gt;0,ROUND((N125-I125)/I125*100,0),"")</f>
        <v>-100</v>
      </c>
      <c r="R125" s="9" t="n">
        <f aca="false">SUM(I125:K125)</f>
        <v>447</v>
      </c>
      <c r="S125" s="9" t="n">
        <f aca="false">SUM(L125:N125)</f>
        <v>0</v>
      </c>
      <c r="T125" s="17" t="n">
        <f aca="false">IF(R125&gt;0,S125/R125-1,"")</f>
        <v>-1</v>
      </c>
      <c r="U125" s="2" t="str">
        <f aca="false">IF(AND(R125=0,S125&gt;0),"H2 Active / No H1 GMV",IF(S125=0,"Lapsed",IF(T125&gt;=Assumptions!$B$36,"Growing",IF(T125&lt;-Assumptions!$B$36,"Declining","Stable"))))</f>
        <v>Lapsed</v>
      </c>
      <c r="V125" s="2" t="n">
        <f aca="false">COUNTIF(I125:N125,"&gt;0")</f>
        <v>1</v>
      </c>
      <c r="W125" s="2" t="str">
        <f aca="false">IF(N125&gt;0,"Feb",IF(M125&gt;0,"Jan",IF(L125&gt;0,"Dec",IF(K125&gt;0,"Nov",IF(J125&gt;0,"Oct","Sep")))))</f>
        <v>Sep</v>
      </c>
      <c r="X125" s="2" t="str">
        <f aca="false">IF(O125&gt;=Assumptions!$B$35,"Key (&gt;=£10k)",IF(O125&gt;=Assumptions!$B$34,"Core (£2k-10k)","Tail (&lt;£2k)"))</f>
        <v>Tail (&lt;£2k)</v>
      </c>
      <c r="Y125" s="21" t="n">
        <f aca="false">INDEX('Scored Accounts'!$Q$2:$Q$301,MATCH(A125,'Scored Accounts'!$A$2:$A$301,0))</f>
        <v>0</v>
      </c>
      <c r="Z125" s="2" t="str">
        <f aca="false">INDEX('Scored Accounts'!$R$2:$R$301,MATCH(A125,'Scored Accounts'!$A$2:$A$301,0))</f>
        <v>Low</v>
      </c>
      <c r="AA125" s="2" t="str">
        <f aca="false">INDEX('Scored Accounts'!$T$2:$T$301,MATCH(A125,'Scored Accounts'!$A$2:$A$301,0))</f>
        <v/>
      </c>
      <c r="AB125" s="2" t="str">
        <f aca="false">IF(Z125="Low","Lower dep / ","Higher dep / ")&amp;IF(O125&gt;=Assumptions!$B$34,"Higher value","Lower value")</f>
        <v>Lower dep / Lower value</v>
      </c>
    </row>
    <row r="126" customFormat="false" ht="15" hidden="false" customHeight="false" outlineLevel="0" collapsed="false">
      <c r="A126" s="2" t="s">
        <v>707</v>
      </c>
      <c r="B126" s="2" t="s">
        <v>1571</v>
      </c>
      <c r="C126" s="2" t="s">
        <v>1641</v>
      </c>
      <c r="D126" s="2" t="s">
        <v>1655</v>
      </c>
      <c r="E126" s="2" t="s">
        <v>1655</v>
      </c>
      <c r="F126" s="2" t="s">
        <v>1572</v>
      </c>
      <c r="G126" s="2" t="n">
        <v>8</v>
      </c>
      <c r="H126" s="2" t="n">
        <v>2</v>
      </c>
      <c r="I126" s="9" t="n">
        <v>446</v>
      </c>
      <c r="J126" s="9" t="n">
        <v>0</v>
      </c>
      <c r="K126" s="9" t="n">
        <v>0</v>
      </c>
      <c r="L126" s="9" t="n">
        <v>0</v>
      </c>
      <c r="M126" s="9" t="n">
        <v>0</v>
      </c>
      <c r="N126" s="9" t="n">
        <v>0</v>
      </c>
      <c r="O126" s="9" t="n">
        <v>446</v>
      </c>
      <c r="P126" s="2" t="n">
        <v>-100</v>
      </c>
      <c r="Q126" s="2" t="n">
        <f aca="false">IF(I126&gt;0,ROUND((N126-I126)/I126*100,0),"")</f>
        <v>-100</v>
      </c>
      <c r="R126" s="9" t="n">
        <f aca="false">SUM(I126:K126)</f>
        <v>446</v>
      </c>
      <c r="S126" s="9" t="n">
        <f aca="false">SUM(L126:N126)</f>
        <v>0</v>
      </c>
      <c r="T126" s="17" t="n">
        <f aca="false">IF(R126&gt;0,S126/R126-1,"")</f>
        <v>-1</v>
      </c>
      <c r="U126" s="2" t="str">
        <f aca="false">IF(AND(R126=0,S126&gt;0),"H2 Active / No H1 GMV",IF(S126=0,"Lapsed",IF(T126&gt;=Assumptions!$B$36,"Growing",IF(T126&lt;-Assumptions!$B$36,"Declining","Stable"))))</f>
        <v>Lapsed</v>
      </c>
      <c r="V126" s="2" t="n">
        <f aca="false">COUNTIF(I126:N126,"&gt;0")</f>
        <v>1</v>
      </c>
      <c r="W126" s="2" t="str">
        <f aca="false">IF(N126&gt;0,"Feb",IF(M126&gt;0,"Jan",IF(L126&gt;0,"Dec",IF(K126&gt;0,"Nov",IF(J126&gt;0,"Oct","Sep")))))</f>
        <v>Sep</v>
      </c>
      <c r="X126" s="2" t="str">
        <f aca="false">IF(O126&gt;=Assumptions!$B$35,"Key (&gt;=£10k)",IF(O126&gt;=Assumptions!$B$34,"Core (£2k-10k)","Tail (&lt;£2k)"))</f>
        <v>Tail (&lt;£2k)</v>
      </c>
      <c r="Y126" s="21" t="n">
        <f aca="false">INDEX('Scored Accounts'!$Q$2:$Q$301,MATCH(A126,'Scored Accounts'!$A$2:$A$301,0))</f>
        <v>0</v>
      </c>
      <c r="Z126" s="2" t="str">
        <f aca="false">INDEX('Scored Accounts'!$R$2:$R$301,MATCH(A126,'Scored Accounts'!$A$2:$A$301,0))</f>
        <v>Low</v>
      </c>
      <c r="AA126" s="2" t="str">
        <f aca="false">INDEX('Scored Accounts'!$T$2:$T$301,MATCH(A126,'Scored Accounts'!$A$2:$A$301,0))</f>
        <v/>
      </c>
      <c r="AB126" s="2" t="str">
        <f aca="false">IF(Z126="Low","Lower dep / ","Higher dep / ")&amp;IF(O126&gt;=Assumptions!$B$34,"Higher value","Lower value")</f>
        <v>Lower dep / Lower value</v>
      </c>
    </row>
    <row r="127" customFormat="false" ht="15" hidden="false" customHeight="false" outlineLevel="0" collapsed="false">
      <c r="A127" s="2" t="s">
        <v>709</v>
      </c>
      <c r="B127" s="2" t="s">
        <v>1571</v>
      </c>
      <c r="C127" s="2" t="s">
        <v>1640</v>
      </c>
      <c r="D127" s="2" t="s">
        <v>1653</v>
      </c>
      <c r="E127" s="2" t="s">
        <v>1653</v>
      </c>
      <c r="F127" s="2" t="s">
        <v>1572</v>
      </c>
      <c r="G127" s="2" t="n">
        <v>9</v>
      </c>
      <c r="H127" s="2" t="n">
        <v>1</v>
      </c>
      <c r="I127" s="9" t="n">
        <v>443</v>
      </c>
      <c r="J127" s="9" t="n">
        <v>0</v>
      </c>
      <c r="K127" s="9" t="n">
        <v>0</v>
      </c>
      <c r="L127" s="9" t="n">
        <v>0</v>
      </c>
      <c r="M127" s="9" t="n">
        <v>0</v>
      </c>
      <c r="N127" s="9" t="n">
        <v>0</v>
      </c>
      <c r="O127" s="9" t="n">
        <v>443</v>
      </c>
      <c r="P127" s="2" t="n">
        <v>-100</v>
      </c>
      <c r="Q127" s="2" t="n">
        <f aca="false">IF(I127&gt;0,ROUND((N127-I127)/I127*100,0),"")</f>
        <v>-100</v>
      </c>
      <c r="R127" s="9" t="n">
        <f aca="false">SUM(I127:K127)</f>
        <v>443</v>
      </c>
      <c r="S127" s="9" t="n">
        <f aca="false">SUM(L127:N127)</f>
        <v>0</v>
      </c>
      <c r="T127" s="17" t="n">
        <f aca="false">IF(R127&gt;0,S127/R127-1,"")</f>
        <v>-1</v>
      </c>
      <c r="U127" s="2" t="str">
        <f aca="false">IF(AND(R127=0,S127&gt;0),"H2 Active / No H1 GMV",IF(S127=0,"Lapsed",IF(T127&gt;=Assumptions!$B$36,"Growing",IF(T127&lt;-Assumptions!$B$36,"Declining","Stable"))))</f>
        <v>Lapsed</v>
      </c>
      <c r="V127" s="2" t="n">
        <f aca="false">COUNTIF(I127:N127,"&gt;0")</f>
        <v>1</v>
      </c>
      <c r="W127" s="2" t="str">
        <f aca="false">IF(N127&gt;0,"Feb",IF(M127&gt;0,"Jan",IF(L127&gt;0,"Dec",IF(K127&gt;0,"Nov",IF(J127&gt;0,"Oct","Sep")))))</f>
        <v>Sep</v>
      </c>
      <c r="X127" s="2" t="str">
        <f aca="false">IF(O127&gt;=Assumptions!$B$35,"Key (&gt;=£10k)",IF(O127&gt;=Assumptions!$B$34,"Core (£2k-10k)","Tail (&lt;£2k)"))</f>
        <v>Tail (&lt;£2k)</v>
      </c>
      <c r="Y127" s="21" t="n">
        <f aca="false">INDEX('Scored Accounts'!$Q$2:$Q$301,MATCH(A127,'Scored Accounts'!$A$2:$A$301,0))</f>
        <v>0</v>
      </c>
      <c r="Z127" s="2" t="str">
        <f aca="false">INDEX('Scored Accounts'!$R$2:$R$301,MATCH(A127,'Scored Accounts'!$A$2:$A$301,0))</f>
        <v>Low</v>
      </c>
      <c r="AA127" s="2" t="str">
        <f aca="false">INDEX('Scored Accounts'!$T$2:$T$301,MATCH(A127,'Scored Accounts'!$A$2:$A$301,0))</f>
        <v/>
      </c>
      <c r="AB127" s="2" t="str">
        <f aca="false">IF(Z127="Low","Lower dep / ","Higher dep / ")&amp;IF(O127&gt;=Assumptions!$B$34,"Higher value","Lower value")</f>
        <v>Lower dep / Lower value</v>
      </c>
    </row>
    <row r="128" customFormat="false" ht="15" hidden="false" customHeight="false" outlineLevel="0" collapsed="false">
      <c r="A128" s="2" t="s">
        <v>724</v>
      </c>
      <c r="B128" s="2" t="s">
        <v>1571</v>
      </c>
      <c r="C128" s="2" t="s">
        <v>1640</v>
      </c>
      <c r="D128" s="2" t="s">
        <v>1658</v>
      </c>
      <c r="E128" s="2" t="s">
        <v>1658</v>
      </c>
      <c r="F128" s="2" t="s">
        <v>1572</v>
      </c>
      <c r="G128" s="2" t="n">
        <v>14</v>
      </c>
      <c r="H128" s="2" t="n">
        <v>1</v>
      </c>
      <c r="I128" s="9" t="n">
        <v>392</v>
      </c>
      <c r="J128" s="9" t="n">
        <v>0</v>
      </c>
      <c r="K128" s="9" t="n">
        <v>0</v>
      </c>
      <c r="L128" s="9" t="n">
        <v>0</v>
      </c>
      <c r="M128" s="9" t="n">
        <v>0</v>
      </c>
      <c r="N128" s="9" t="n">
        <v>0</v>
      </c>
      <c r="O128" s="9" t="n">
        <v>392</v>
      </c>
      <c r="P128" s="2" t="n">
        <v>-100</v>
      </c>
      <c r="Q128" s="2" t="n">
        <f aca="false">IF(I128&gt;0,ROUND((N128-I128)/I128*100,0),"")</f>
        <v>-100</v>
      </c>
      <c r="R128" s="9" t="n">
        <f aca="false">SUM(I128:K128)</f>
        <v>392</v>
      </c>
      <c r="S128" s="9" t="n">
        <f aca="false">SUM(L128:N128)</f>
        <v>0</v>
      </c>
      <c r="T128" s="17" t="n">
        <f aca="false">IF(R128&gt;0,S128/R128-1,"")</f>
        <v>-1</v>
      </c>
      <c r="U128" s="2" t="str">
        <f aca="false">IF(AND(R128=0,S128&gt;0),"H2 Active / No H1 GMV",IF(S128=0,"Lapsed",IF(T128&gt;=Assumptions!$B$36,"Growing",IF(T128&lt;-Assumptions!$B$36,"Declining","Stable"))))</f>
        <v>Lapsed</v>
      </c>
      <c r="V128" s="2" t="n">
        <f aca="false">COUNTIF(I128:N128,"&gt;0")</f>
        <v>1</v>
      </c>
      <c r="W128" s="2" t="str">
        <f aca="false">IF(N128&gt;0,"Feb",IF(M128&gt;0,"Jan",IF(L128&gt;0,"Dec",IF(K128&gt;0,"Nov",IF(J128&gt;0,"Oct","Sep")))))</f>
        <v>Sep</v>
      </c>
      <c r="X128" s="2" t="str">
        <f aca="false">IF(O128&gt;=Assumptions!$B$35,"Key (&gt;=£10k)",IF(O128&gt;=Assumptions!$B$34,"Core (£2k-10k)","Tail (&lt;£2k)"))</f>
        <v>Tail (&lt;£2k)</v>
      </c>
      <c r="Y128" s="21" t="n">
        <f aca="false">INDEX('Scored Accounts'!$Q$2:$Q$301,MATCH(A128,'Scored Accounts'!$A$2:$A$301,0))</f>
        <v>0</v>
      </c>
      <c r="Z128" s="2" t="str">
        <f aca="false">INDEX('Scored Accounts'!$R$2:$R$301,MATCH(A128,'Scored Accounts'!$A$2:$A$301,0))</f>
        <v>Low</v>
      </c>
      <c r="AA128" s="2" t="str">
        <f aca="false">INDEX('Scored Accounts'!$T$2:$T$301,MATCH(A128,'Scored Accounts'!$A$2:$A$301,0))</f>
        <v/>
      </c>
      <c r="AB128" s="2" t="str">
        <f aca="false">IF(Z128="Low","Lower dep / ","Higher dep / ")&amp;IF(O128&gt;=Assumptions!$B$34,"Higher value","Lower value")</f>
        <v>Lower dep / Lower value</v>
      </c>
    </row>
    <row r="129" customFormat="false" ht="15" hidden="false" customHeight="false" outlineLevel="0" collapsed="false">
      <c r="A129" s="2" t="s">
        <v>726</v>
      </c>
      <c r="B129" s="2" t="s">
        <v>1571</v>
      </c>
      <c r="C129" s="2" t="s">
        <v>1640</v>
      </c>
      <c r="D129" s="2" t="s">
        <v>1657</v>
      </c>
      <c r="E129" s="2" t="s">
        <v>1717</v>
      </c>
      <c r="F129" s="2" t="s">
        <v>1572</v>
      </c>
      <c r="G129" s="2" t="n">
        <v>9</v>
      </c>
      <c r="H129" s="2" t="n">
        <v>2</v>
      </c>
      <c r="I129" s="9" t="n">
        <v>386</v>
      </c>
      <c r="J129" s="9" t="n">
        <v>0</v>
      </c>
      <c r="K129" s="9" t="n">
        <v>0</v>
      </c>
      <c r="L129" s="9" t="n">
        <v>0</v>
      </c>
      <c r="M129" s="9" t="n">
        <v>0</v>
      </c>
      <c r="N129" s="9" t="n">
        <v>0</v>
      </c>
      <c r="O129" s="9" t="n">
        <v>386</v>
      </c>
      <c r="P129" s="2" t="n">
        <v>-100</v>
      </c>
      <c r="Q129" s="2" t="n">
        <f aca="false">IF(I129&gt;0,ROUND((N129-I129)/I129*100,0),"")</f>
        <v>-100</v>
      </c>
      <c r="R129" s="9" t="n">
        <f aca="false">SUM(I129:K129)</f>
        <v>386</v>
      </c>
      <c r="S129" s="9" t="n">
        <f aca="false">SUM(L129:N129)</f>
        <v>0</v>
      </c>
      <c r="T129" s="17" t="n">
        <f aca="false">IF(R129&gt;0,S129/R129-1,"")</f>
        <v>-1</v>
      </c>
      <c r="U129" s="2" t="str">
        <f aca="false">IF(AND(R129=0,S129&gt;0),"H2 Active / No H1 GMV",IF(S129=0,"Lapsed",IF(T129&gt;=Assumptions!$B$36,"Growing",IF(T129&lt;-Assumptions!$B$36,"Declining","Stable"))))</f>
        <v>Lapsed</v>
      </c>
      <c r="V129" s="2" t="n">
        <f aca="false">COUNTIF(I129:N129,"&gt;0")</f>
        <v>1</v>
      </c>
      <c r="W129" s="2" t="str">
        <f aca="false">IF(N129&gt;0,"Feb",IF(M129&gt;0,"Jan",IF(L129&gt;0,"Dec",IF(K129&gt;0,"Nov",IF(J129&gt;0,"Oct","Sep")))))</f>
        <v>Sep</v>
      </c>
      <c r="X129" s="2" t="str">
        <f aca="false">IF(O129&gt;=Assumptions!$B$35,"Key (&gt;=£10k)",IF(O129&gt;=Assumptions!$B$34,"Core (£2k-10k)","Tail (&lt;£2k)"))</f>
        <v>Tail (&lt;£2k)</v>
      </c>
      <c r="Y129" s="21" t="n">
        <f aca="false">INDEX('Scored Accounts'!$Q$2:$Q$301,MATCH(A129,'Scored Accounts'!$A$2:$A$301,0))</f>
        <v>75</v>
      </c>
      <c r="Z129" s="2" t="str">
        <f aca="false">INDEX('Scored Accounts'!$R$2:$R$301,MATCH(A129,'Scored Accounts'!$A$2:$A$301,0))</f>
        <v>High</v>
      </c>
      <c r="AA129" s="2" t="str">
        <f aca="false">INDEX('Scored Accounts'!$T$2:$T$301,MATCH(A129,'Scored Accounts'!$A$2:$A$301,0))</f>
        <v>Low confidence</v>
      </c>
      <c r="AB129" s="2" t="str">
        <f aca="false">IF(Z129="Low","Lower dep / ","Higher dep / ")&amp;IF(O129&gt;=Assumptions!$B$34,"Higher value","Lower value")</f>
        <v>Higher dep / Lower value</v>
      </c>
    </row>
    <row r="130" customFormat="false" ht="15" hidden="false" customHeight="false" outlineLevel="0" collapsed="false">
      <c r="A130" s="2" t="s">
        <v>730</v>
      </c>
      <c r="B130" s="2" t="s">
        <v>1571</v>
      </c>
      <c r="C130" s="2" t="s">
        <v>1640</v>
      </c>
      <c r="D130" s="2" t="s">
        <v>1657</v>
      </c>
      <c r="E130" s="2" t="s">
        <v>1717</v>
      </c>
      <c r="F130" s="2"/>
      <c r="G130" s="2" t="n">
        <v>6</v>
      </c>
      <c r="H130" s="2" t="n">
        <v>2</v>
      </c>
      <c r="I130" s="9" t="n">
        <v>147</v>
      </c>
      <c r="J130" s="9" t="n">
        <v>232</v>
      </c>
      <c r="K130" s="9" t="n">
        <v>0</v>
      </c>
      <c r="L130" s="9" t="n">
        <v>0</v>
      </c>
      <c r="M130" s="9" t="n">
        <v>0</v>
      </c>
      <c r="N130" s="9" t="n">
        <v>0</v>
      </c>
      <c r="O130" s="9" t="n">
        <v>379</v>
      </c>
      <c r="P130" s="2" t="n">
        <v>-100</v>
      </c>
      <c r="Q130" s="2" t="n">
        <f aca="false">IF(I130&gt;0,ROUND((N130-I130)/I130*100,0),"")</f>
        <v>-100</v>
      </c>
      <c r="R130" s="9" t="n">
        <f aca="false">SUM(I130:K130)</f>
        <v>379</v>
      </c>
      <c r="S130" s="9" t="n">
        <f aca="false">SUM(L130:N130)</f>
        <v>0</v>
      </c>
      <c r="T130" s="17" t="n">
        <f aca="false">IF(R130&gt;0,S130/R130-1,"")</f>
        <v>-1</v>
      </c>
      <c r="U130" s="2" t="str">
        <f aca="false">IF(AND(R130=0,S130&gt;0),"H2 Active / No H1 GMV",IF(S130=0,"Lapsed",IF(T130&gt;=Assumptions!$B$36,"Growing",IF(T130&lt;-Assumptions!$B$36,"Declining","Stable"))))</f>
        <v>Lapsed</v>
      </c>
      <c r="V130" s="2" t="n">
        <f aca="false">COUNTIF(I130:N130,"&gt;0")</f>
        <v>2</v>
      </c>
      <c r="W130" s="2" t="str">
        <f aca="false">IF(N130&gt;0,"Feb",IF(M130&gt;0,"Jan",IF(L130&gt;0,"Dec",IF(K130&gt;0,"Nov",IF(J130&gt;0,"Oct","Sep")))))</f>
        <v>Oct</v>
      </c>
      <c r="X130" s="2" t="str">
        <f aca="false">IF(O130&gt;=Assumptions!$B$35,"Key (&gt;=£10k)",IF(O130&gt;=Assumptions!$B$34,"Core (£2k-10k)","Tail (&lt;£2k)"))</f>
        <v>Tail (&lt;£2k)</v>
      </c>
      <c r="Y130" s="21" t="n">
        <f aca="false">INDEX('Scored Accounts'!$Q$2:$Q$301,MATCH(A130,'Scored Accounts'!$A$2:$A$301,0))</f>
        <v>70</v>
      </c>
      <c r="Z130" s="2" t="str">
        <f aca="false">INDEX('Scored Accounts'!$R$2:$R$301,MATCH(A130,'Scored Accounts'!$A$2:$A$301,0))</f>
        <v>High</v>
      </c>
      <c r="AA130" s="2" t="str">
        <f aca="false">INDEX('Scored Accounts'!$T$2:$T$301,MATCH(A130,'Scored Accounts'!$A$2:$A$301,0))</f>
        <v>Low confidence</v>
      </c>
      <c r="AB130" s="2" t="str">
        <f aca="false">IF(Z130="Low","Lower dep / ","Higher dep / ")&amp;IF(O130&gt;=Assumptions!$B$34,"Higher value","Lower value")</f>
        <v>Higher dep / Lower value</v>
      </c>
    </row>
    <row r="131" customFormat="false" ht="15" hidden="false" customHeight="false" outlineLevel="0" collapsed="false">
      <c r="A131" s="2" t="s">
        <v>732</v>
      </c>
      <c r="B131" s="2" t="s">
        <v>1571</v>
      </c>
      <c r="C131" s="2" t="s">
        <v>1640</v>
      </c>
      <c r="D131" s="2" t="s">
        <v>1653</v>
      </c>
      <c r="E131" s="2" t="s">
        <v>1653</v>
      </c>
      <c r="F131" s="2" t="s">
        <v>1572</v>
      </c>
      <c r="G131" s="2" t="n">
        <v>7</v>
      </c>
      <c r="H131" s="2" t="n">
        <v>1</v>
      </c>
      <c r="I131" s="9" t="n">
        <v>377</v>
      </c>
      <c r="J131" s="9" t="n">
        <v>0</v>
      </c>
      <c r="K131" s="9" t="n">
        <v>0</v>
      </c>
      <c r="L131" s="9" t="n">
        <v>0</v>
      </c>
      <c r="M131" s="9" t="n">
        <v>0</v>
      </c>
      <c r="N131" s="9" t="n">
        <v>0</v>
      </c>
      <c r="O131" s="9" t="n">
        <v>377</v>
      </c>
      <c r="P131" s="2" t="n">
        <v>-100</v>
      </c>
      <c r="Q131" s="2" t="n">
        <f aca="false">IF(I131&gt;0,ROUND((N131-I131)/I131*100,0),"")</f>
        <v>-100</v>
      </c>
      <c r="R131" s="9" t="n">
        <f aca="false">SUM(I131:K131)</f>
        <v>377</v>
      </c>
      <c r="S131" s="9" t="n">
        <f aca="false">SUM(L131:N131)</f>
        <v>0</v>
      </c>
      <c r="T131" s="17" t="n">
        <f aca="false">IF(R131&gt;0,S131/R131-1,"")</f>
        <v>-1</v>
      </c>
      <c r="U131" s="2" t="str">
        <f aca="false">IF(AND(R131=0,S131&gt;0),"H2 Active / No H1 GMV",IF(S131=0,"Lapsed",IF(T131&gt;=Assumptions!$B$36,"Growing",IF(T131&lt;-Assumptions!$B$36,"Declining","Stable"))))</f>
        <v>Lapsed</v>
      </c>
      <c r="V131" s="2" t="n">
        <f aca="false">COUNTIF(I131:N131,"&gt;0")</f>
        <v>1</v>
      </c>
      <c r="W131" s="2" t="str">
        <f aca="false">IF(N131&gt;0,"Feb",IF(M131&gt;0,"Jan",IF(L131&gt;0,"Dec",IF(K131&gt;0,"Nov",IF(J131&gt;0,"Oct","Sep")))))</f>
        <v>Sep</v>
      </c>
      <c r="X131" s="2" t="str">
        <f aca="false">IF(O131&gt;=Assumptions!$B$35,"Key (&gt;=£10k)",IF(O131&gt;=Assumptions!$B$34,"Core (£2k-10k)","Tail (&lt;£2k)"))</f>
        <v>Tail (&lt;£2k)</v>
      </c>
      <c r="Y131" s="21" t="n">
        <f aca="false">INDEX('Scored Accounts'!$Q$2:$Q$301,MATCH(A131,'Scored Accounts'!$A$2:$A$301,0))</f>
        <v>0</v>
      </c>
      <c r="Z131" s="2" t="str">
        <f aca="false">INDEX('Scored Accounts'!$R$2:$R$301,MATCH(A131,'Scored Accounts'!$A$2:$A$301,0))</f>
        <v>Low</v>
      </c>
      <c r="AA131" s="2" t="str">
        <f aca="false">INDEX('Scored Accounts'!$T$2:$T$301,MATCH(A131,'Scored Accounts'!$A$2:$A$301,0))</f>
        <v/>
      </c>
      <c r="AB131" s="2" t="str">
        <f aca="false">IF(Z131="Low","Lower dep / ","Higher dep / ")&amp;IF(O131&gt;=Assumptions!$B$34,"Higher value","Lower value")</f>
        <v>Lower dep / Lower value</v>
      </c>
    </row>
    <row r="132" customFormat="false" ht="15" hidden="false" customHeight="false" outlineLevel="0" collapsed="false">
      <c r="A132" s="2" t="s">
        <v>738</v>
      </c>
      <c r="B132" s="2" t="s">
        <v>1571</v>
      </c>
      <c r="C132" s="2" t="s">
        <v>1640</v>
      </c>
      <c r="D132" s="2" t="s">
        <v>1654</v>
      </c>
      <c r="E132" s="2" t="s">
        <v>1654</v>
      </c>
      <c r="F132" s="2" t="s">
        <v>1572</v>
      </c>
      <c r="G132" s="2" t="n">
        <v>18</v>
      </c>
      <c r="H132" s="2" t="n">
        <v>1</v>
      </c>
      <c r="I132" s="9" t="n">
        <v>0</v>
      </c>
      <c r="J132" s="9" t="n">
        <v>0</v>
      </c>
      <c r="K132" s="9" t="n">
        <v>0</v>
      </c>
      <c r="L132" s="9" t="n">
        <v>0</v>
      </c>
      <c r="M132" s="9" t="n">
        <v>363</v>
      </c>
      <c r="N132" s="9" t="n">
        <v>0</v>
      </c>
      <c r="O132" s="9" t="n">
        <v>363</v>
      </c>
      <c r="P132" s="2"/>
      <c r="Q132" s="2" t="str">
        <f aca="false">IF(I132&gt;0,ROUND((N132-I132)/I132*100,0),"")</f>
        <v/>
      </c>
      <c r="R132" s="9" t="n">
        <f aca="false">SUM(I132:K132)</f>
        <v>0</v>
      </c>
      <c r="S132" s="9" t="n">
        <f aca="false">SUM(L132:N132)</f>
        <v>363</v>
      </c>
      <c r="T132" s="17" t="str">
        <f aca="false">IF(R132&gt;0,S132/R132-1,"")</f>
        <v/>
      </c>
      <c r="U132" s="2" t="str">
        <f aca="false">IF(AND(R132=0,S132&gt;0),"H2 Active / No H1 GMV",IF(S132=0,"Lapsed",IF(T132&gt;=Assumptions!$B$36,"Growing",IF(T132&lt;-Assumptions!$B$36,"Declining","Stable"))))</f>
        <v>H2 Active / No H1 GMV</v>
      </c>
      <c r="V132" s="2" t="n">
        <f aca="false">COUNTIF(I132:N132,"&gt;0")</f>
        <v>1</v>
      </c>
      <c r="W132" s="2" t="str">
        <f aca="false">IF(N132&gt;0,"Feb",IF(M132&gt;0,"Jan",IF(L132&gt;0,"Dec",IF(K132&gt;0,"Nov",IF(J132&gt;0,"Oct","Sep")))))</f>
        <v>Jan</v>
      </c>
      <c r="X132" s="2" t="str">
        <f aca="false">IF(O132&gt;=Assumptions!$B$35,"Key (&gt;=£10k)",IF(O132&gt;=Assumptions!$B$34,"Core (£2k-10k)","Tail (&lt;£2k)"))</f>
        <v>Tail (&lt;£2k)</v>
      </c>
      <c r="Y132" s="21" t="n">
        <f aca="false">INDEX('Scored Accounts'!$Q$2:$Q$301,MATCH(A132,'Scored Accounts'!$A$2:$A$301,0))</f>
        <v>0</v>
      </c>
      <c r="Z132" s="2" t="str">
        <f aca="false">INDEX('Scored Accounts'!$R$2:$R$301,MATCH(A132,'Scored Accounts'!$A$2:$A$301,0))</f>
        <v>Low</v>
      </c>
      <c r="AA132" s="2" t="str">
        <f aca="false">INDEX('Scored Accounts'!$T$2:$T$301,MATCH(A132,'Scored Accounts'!$A$2:$A$301,0))</f>
        <v/>
      </c>
      <c r="AB132" s="2" t="str">
        <f aca="false">IF(Z132="Low","Lower dep / ","Higher dep / ")&amp;IF(O132&gt;=Assumptions!$B$34,"Higher value","Lower value")</f>
        <v>Lower dep / Lower value</v>
      </c>
    </row>
    <row r="133" customFormat="false" ht="15" hidden="false" customHeight="false" outlineLevel="0" collapsed="false">
      <c r="A133" s="2" t="s">
        <v>740</v>
      </c>
      <c r="B133" s="2" t="s">
        <v>1571</v>
      </c>
      <c r="C133" s="2" t="s">
        <v>1640</v>
      </c>
      <c r="D133" s="2" t="s">
        <v>1656</v>
      </c>
      <c r="E133" s="2" t="s">
        <v>1714</v>
      </c>
      <c r="F133" s="2" t="s">
        <v>1572</v>
      </c>
      <c r="G133" s="2" t="n">
        <v>28</v>
      </c>
      <c r="H133" s="2" t="n">
        <v>1</v>
      </c>
      <c r="I133" s="9" t="n">
        <v>0</v>
      </c>
      <c r="J133" s="9" t="n">
        <v>0</v>
      </c>
      <c r="K133" s="9" t="n">
        <v>360</v>
      </c>
      <c r="L133" s="9" t="n">
        <v>0</v>
      </c>
      <c r="M133" s="9" t="n">
        <v>0</v>
      </c>
      <c r="N133" s="9" t="n">
        <v>0</v>
      </c>
      <c r="O133" s="9" t="n">
        <v>360</v>
      </c>
      <c r="P133" s="2"/>
      <c r="Q133" s="2" t="str">
        <f aca="false">IF(I133&gt;0,ROUND((N133-I133)/I133*100,0),"")</f>
        <v/>
      </c>
      <c r="R133" s="9" t="n">
        <f aca="false">SUM(I133:K133)</f>
        <v>360</v>
      </c>
      <c r="S133" s="9" t="n">
        <f aca="false">SUM(L133:N133)</f>
        <v>0</v>
      </c>
      <c r="T133" s="17" t="n">
        <f aca="false">IF(R133&gt;0,S133/R133-1,"")</f>
        <v>-1</v>
      </c>
      <c r="U133" s="2" t="str">
        <f aca="false">IF(AND(R133=0,S133&gt;0),"H2 Active / No H1 GMV",IF(S133=0,"Lapsed",IF(T133&gt;=Assumptions!$B$36,"Growing",IF(T133&lt;-Assumptions!$B$36,"Declining","Stable"))))</f>
        <v>Lapsed</v>
      </c>
      <c r="V133" s="2" t="n">
        <f aca="false">COUNTIF(I133:N133,"&gt;0")</f>
        <v>1</v>
      </c>
      <c r="W133" s="2" t="str">
        <f aca="false">IF(N133&gt;0,"Feb",IF(M133&gt;0,"Jan",IF(L133&gt;0,"Dec",IF(K133&gt;0,"Nov",IF(J133&gt;0,"Oct","Sep")))))</f>
        <v>Nov</v>
      </c>
      <c r="X133" s="2" t="str">
        <f aca="false">IF(O133&gt;=Assumptions!$B$35,"Key (&gt;=£10k)",IF(O133&gt;=Assumptions!$B$34,"Core (£2k-10k)","Tail (&lt;£2k)"))</f>
        <v>Tail (&lt;£2k)</v>
      </c>
      <c r="Y133" s="21" t="n">
        <f aca="false">INDEX('Scored Accounts'!$Q$2:$Q$301,MATCH(A133,'Scored Accounts'!$A$2:$A$301,0))</f>
        <v>0</v>
      </c>
      <c r="Z133" s="2" t="str">
        <f aca="false">INDEX('Scored Accounts'!$R$2:$R$301,MATCH(A133,'Scored Accounts'!$A$2:$A$301,0))</f>
        <v>Low</v>
      </c>
      <c r="AA133" s="2" t="str">
        <f aca="false">INDEX('Scored Accounts'!$T$2:$T$301,MATCH(A133,'Scored Accounts'!$A$2:$A$301,0))</f>
        <v/>
      </c>
      <c r="AB133" s="2" t="str">
        <f aca="false">IF(Z133="Low","Lower dep / ","Higher dep / ")&amp;IF(O133&gt;=Assumptions!$B$34,"Higher value","Lower value")</f>
        <v>Lower dep / Lower value</v>
      </c>
    </row>
    <row r="134" customFormat="false" ht="15" hidden="false" customHeight="false" outlineLevel="0" collapsed="false">
      <c r="A134" s="2" t="s">
        <v>742</v>
      </c>
      <c r="B134" s="2" t="s">
        <v>1571</v>
      </c>
      <c r="C134" s="2" t="s">
        <v>1640</v>
      </c>
      <c r="D134" s="2" t="s">
        <v>1653</v>
      </c>
      <c r="E134" s="2" t="s">
        <v>1653</v>
      </c>
      <c r="F134" s="2"/>
      <c r="G134" s="2" t="n">
        <v>6</v>
      </c>
      <c r="H134" s="2" t="n">
        <v>1</v>
      </c>
      <c r="I134" s="9" t="n">
        <v>356</v>
      </c>
      <c r="J134" s="9" t="n">
        <v>0</v>
      </c>
      <c r="K134" s="9" t="n">
        <v>0</v>
      </c>
      <c r="L134" s="9" t="n">
        <v>0</v>
      </c>
      <c r="M134" s="9" t="n">
        <v>0</v>
      </c>
      <c r="N134" s="9" t="n">
        <v>0</v>
      </c>
      <c r="O134" s="9" t="n">
        <v>356</v>
      </c>
      <c r="P134" s="2" t="n">
        <v>-100</v>
      </c>
      <c r="Q134" s="2" t="n">
        <f aca="false">IF(I134&gt;0,ROUND((N134-I134)/I134*100,0),"")</f>
        <v>-100</v>
      </c>
      <c r="R134" s="9" t="n">
        <f aca="false">SUM(I134:K134)</f>
        <v>356</v>
      </c>
      <c r="S134" s="9" t="n">
        <f aca="false">SUM(L134:N134)</f>
        <v>0</v>
      </c>
      <c r="T134" s="17" t="n">
        <f aca="false">IF(R134&gt;0,S134/R134-1,"")</f>
        <v>-1</v>
      </c>
      <c r="U134" s="2" t="str">
        <f aca="false">IF(AND(R134=0,S134&gt;0),"H2 Active / No H1 GMV",IF(S134=0,"Lapsed",IF(T134&gt;=Assumptions!$B$36,"Growing",IF(T134&lt;-Assumptions!$B$36,"Declining","Stable"))))</f>
        <v>Lapsed</v>
      </c>
      <c r="V134" s="2" t="n">
        <f aca="false">COUNTIF(I134:N134,"&gt;0")</f>
        <v>1</v>
      </c>
      <c r="W134" s="2" t="str">
        <f aca="false">IF(N134&gt;0,"Feb",IF(M134&gt;0,"Jan",IF(L134&gt;0,"Dec",IF(K134&gt;0,"Nov",IF(J134&gt;0,"Oct","Sep")))))</f>
        <v>Sep</v>
      </c>
      <c r="X134" s="2" t="str">
        <f aca="false">IF(O134&gt;=Assumptions!$B$35,"Key (&gt;=£10k)",IF(O134&gt;=Assumptions!$B$34,"Core (£2k-10k)","Tail (&lt;£2k)"))</f>
        <v>Tail (&lt;£2k)</v>
      </c>
      <c r="Y134" s="21" t="n">
        <f aca="false">INDEX('Scored Accounts'!$Q$2:$Q$301,MATCH(A134,'Scored Accounts'!$A$2:$A$301,0))</f>
        <v>0</v>
      </c>
      <c r="Z134" s="2" t="str">
        <f aca="false">INDEX('Scored Accounts'!$R$2:$R$301,MATCH(A134,'Scored Accounts'!$A$2:$A$301,0))</f>
        <v>Low</v>
      </c>
      <c r="AA134" s="2" t="str">
        <f aca="false">INDEX('Scored Accounts'!$T$2:$T$301,MATCH(A134,'Scored Accounts'!$A$2:$A$301,0))</f>
        <v/>
      </c>
      <c r="AB134" s="2" t="str">
        <f aca="false">IF(Z134="Low","Lower dep / ","Higher dep / ")&amp;IF(O134&gt;=Assumptions!$B$34,"Higher value","Lower value")</f>
        <v>Lower dep / Lower value</v>
      </c>
    </row>
    <row r="135" customFormat="false" ht="15" hidden="false" customHeight="false" outlineLevel="0" collapsed="false">
      <c r="A135" s="2" t="s">
        <v>744</v>
      </c>
      <c r="B135" s="2" t="s">
        <v>1571</v>
      </c>
      <c r="C135" s="2" t="s">
        <v>1640</v>
      </c>
      <c r="D135" s="2" t="s">
        <v>1655</v>
      </c>
      <c r="E135" s="2" t="s">
        <v>1655</v>
      </c>
      <c r="F135" s="2" t="s">
        <v>1572</v>
      </c>
      <c r="G135" s="2" t="n">
        <v>11</v>
      </c>
      <c r="H135" s="2" t="n">
        <v>1</v>
      </c>
      <c r="I135" s="9" t="n">
        <v>0</v>
      </c>
      <c r="J135" s="9" t="n">
        <v>0</v>
      </c>
      <c r="K135" s="9" t="n">
        <v>0</v>
      </c>
      <c r="L135" s="9" t="n">
        <v>0</v>
      </c>
      <c r="M135" s="9" t="n">
        <v>0</v>
      </c>
      <c r="N135" s="9" t="n">
        <v>355</v>
      </c>
      <c r="O135" s="9" t="n">
        <v>355</v>
      </c>
      <c r="P135" s="2"/>
      <c r="Q135" s="2" t="str">
        <f aca="false">IF(I135&gt;0,ROUND((N135-I135)/I135*100,0),"")</f>
        <v/>
      </c>
      <c r="R135" s="9" t="n">
        <f aca="false">SUM(I135:K135)</f>
        <v>0</v>
      </c>
      <c r="S135" s="9" t="n">
        <f aca="false">SUM(L135:N135)</f>
        <v>355</v>
      </c>
      <c r="T135" s="17" t="str">
        <f aca="false">IF(R135&gt;0,S135/R135-1,"")</f>
        <v/>
      </c>
      <c r="U135" s="2" t="str">
        <f aca="false">IF(AND(R135=0,S135&gt;0),"H2 Active / No H1 GMV",IF(S135=0,"Lapsed",IF(T135&gt;=Assumptions!$B$36,"Growing",IF(T135&lt;-Assumptions!$B$36,"Declining","Stable"))))</f>
        <v>H2 Active / No H1 GMV</v>
      </c>
      <c r="V135" s="2" t="n">
        <f aca="false">COUNTIF(I135:N135,"&gt;0")</f>
        <v>1</v>
      </c>
      <c r="W135" s="2" t="str">
        <f aca="false">IF(N135&gt;0,"Feb",IF(M135&gt;0,"Jan",IF(L135&gt;0,"Dec",IF(K135&gt;0,"Nov",IF(J135&gt;0,"Oct","Sep")))))</f>
        <v>Feb</v>
      </c>
      <c r="X135" s="2" t="str">
        <f aca="false">IF(O135&gt;=Assumptions!$B$35,"Key (&gt;=£10k)",IF(O135&gt;=Assumptions!$B$34,"Core (£2k-10k)","Tail (&lt;£2k)"))</f>
        <v>Tail (&lt;£2k)</v>
      </c>
      <c r="Y135" s="21" t="n">
        <f aca="false">INDEX('Scored Accounts'!$Q$2:$Q$301,MATCH(A135,'Scored Accounts'!$A$2:$A$301,0))</f>
        <v>0</v>
      </c>
      <c r="Z135" s="2" t="str">
        <f aca="false">INDEX('Scored Accounts'!$R$2:$R$301,MATCH(A135,'Scored Accounts'!$A$2:$A$301,0))</f>
        <v>Low</v>
      </c>
      <c r="AA135" s="2" t="str">
        <f aca="false">INDEX('Scored Accounts'!$T$2:$T$301,MATCH(A135,'Scored Accounts'!$A$2:$A$301,0))</f>
        <v/>
      </c>
      <c r="AB135" s="2" t="str">
        <f aca="false">IF(Z135="Low","Lower dep / ","Higher dep / ")&amp;IF(O135&gt;=Assumptions!$B$34,"Higher value","Lower value")</f>
        <v>Lower dep / Lower value</v>
      </c>
    </row>
    <row r="136" customFormat="false" ht="15" hidden="false" customHeight="false" outlineLevel="0" collapsed="false">
      <c r="A136" s="2" t="s">
        <v>746</v>
      </c>
      <c r="B136" s="2" t="s">
        <v>1571</v>
      </c>
      <c r="C136" s="2" t="s">
        <v>1640</v>
      </c>
      <c r="D136" s="2" t="s">
        <v>1653</v>
      </c>
      <c r="E136" s="2" t="s">
        <v>1653</v>
      </c>
      <c r="F136" s="2" t="s">
        <v>1572</v>
      </c>
      <c r="G136" s="2" t="n">
        <v>6</v>
      </c>
      <c r="H136" s="2" t="n">
        <v>2</v>
      </c>
      <c r="I136" s="9" t="n">
        <v>177</v>
      </c>
      <c r="J136" s="9" t="n">
        <v>176</v>
      </c>
      <c r="K136" s="9" t="n">
        <v>0</v>
      </c>
      <c r="L136" s="9" t="n">
        <v>0</v>
      </c>
      <c r="M136" s="9" t="n">
        <v>0</v>
      </c>
      <c r="N136" s="9" t="n">
        <v>0</v>
      </c>
      <c r="O136" s="9" t="n">
        <v>353</v>
      </c>
      <c r="P136" s="2" t="n">
        <v>-100</v>
      </c>
      <c r="Q136" s="2" t="n">
        <f aca="false">IF(I136&gt;0,ROUND((N136-I136)/I136*100,0),"")</f>
        <v>-100</v>
      </c>
      <c r="R136" s="9" t="n">
        <f aca="false">SUM(I136:K136)</f>
        <v>353</v>
      </c>
      <c r="S136" s="9" t="n">
        <f aca="false">SUM(L136:N136)</f>
        <v>0</v>
      </c>
      <c r="T136" s="17" t="n">
        <f aca="false">IF(R136&gt;0,S136/R136-1,"")</f>
        <v>-1</v>
      </c>
      <c r="U136" s="2" t="str">
        <f aca="false">IF(AND(R136=0,S136&gt;0),"H2 Active / No H1 GMV",IF(S136=0,"Lapsed",IF(T136&gt;=Assumptions!$B$36,"Growing",IF(T136&lt;-Assumptions!$B$36,"Declining","Stable"))))</f>
        <v>Lapsed</v>
      </c>
      <c r="V136" s="2" t="n">
        <f aca="false">COUNTIF(I136:N136,"&gt;0")</f>
        <v>2</v>
      </c>
      <c r="W136" s="2" t="str">
        <f aca="false">IF(N136&gt;0,"Feb",IF(M136&gt;0,"Jan",IF(L136&gt;0,"Dec",IF(K136&gt;0,"Nov",IF(J136&gt;0,"Oct","Sep")))))</f>
        <v>Oct</v>
      </c>
      <c r="X136" s="2" t="str">
        <f aca="false">IF(O136&gt;=Assumptions!$B$35,"Key (&gt;=£10k)",IF(O136&gt;=Assumptions!$B$34,"Core (£2k-10k)","Tail (&lt;£2k)"))</f>
        <v>Tail (&lt;£2k)</v>
      </c>
      <c r="Y136" s="21" t="n">
        <f aca="false">INDEX('Scored Accounts'!$Q$2:$Q$301,MATCH(A136,'Scored Accounts'!$A$2:$A$301,0))</f>
        <v>0</v>
      </c>
      <c r="Z136" s="2" t="str">
        <f aca="false">INDEX('Scored Accounts'!$R$2:$R$301,MATCH(A136,'Scored Accounts'!$A$2:$A$301,0))</f>
        <v>Low</v>
      </c>
      <c r="AA136" s="2" t="str">
        <f aca="false">INDEX('Scored Accounts'!$T$2:$T$301,MATCH(A136,'Scored Accounts'!$A$2:$A$301,0))</f>
        <v/>
      </c>
      <c r="AB136" s="2" t="str">
        <f aca="false">IF(Z136="Low","Lower dep / ","Higher dep / ")&amp;IF(O136&gt;=Assumptions!$B$34,"Higher value","Lower value")</f>
        <v>Lower dep / Lower value</v>
      </c>
    </row>
    <row r="137" customFormat="false" ht="15" hidden="false" customHeight="false" outlineLevel="0" collapsed="false">
      <c r="A137" s="2" t="s">
        <v>750</v>
      </c>
      <c r="B137" s="2" t="s">
        <v>1571</v>
      </c>
      <c r="C137" s="2" t="s">
        <v>1640</v>
      </c>
      <c r="D137" s="2" t="s">
        <v>1653</v>
      </c>
      <c r="E137" s="2" t="s">
        <v>1653</v>
      </c>
      <c r="F137" s="2" t="s">
        <v>1572</v>
      </c>
      <c r="G137" s="2" t="n">
        <v>7</v>
      </c>
      <c r="H137" s="2" t="n">
        <v>2</v>
      </c>
      <c r="I137" s="9" t="n">
        <v>0</v>
      </c>
      <c r="J137" s="9" t="n">
        <v>0</v>
      </c>
      <c r="K137" s="9" t="n">
        <v>345</v>
      </c>
      <c r="L137" s="9" t="n">
        <v>0</v>
      </c>
      <c r="M137" s="9" t="n">
        <v>0</v>
      </c>
      <c r="N137" s="9" t="n">
        <v>0</v>
      </c>
      <c r="O137" s="9" t="n">
        <v>345</v>
      </c>
      <c r="P137" s="2"/>
      <c r="Q137" s="2" t="str">
        <f aca="false">IF(I137&gt;0,ROUND((N137-I137)/I137*100,0),"")</f>
        <v/>
      </c>
      <c r="R137" s="9" t="n">
        <f aca="false">SUM(I137:K137)</f>
        <v>345</v>
      </c>
      <c r="S137" s="9" t="n">
        <f aca="false">SUM(L137:N137)</f>
        <v>0</v>
      </c>
      <c r="T137" s="17" t="n">
        <f aca="false">IF(R137&gt;0,S137/R137-1,"")</f>
        <v>-1</v>
      </c>
      <c r="U137" s="2" t="str">
        <f aca="false">IF(AND(R137=0,S137&gt;0),"H2 Active / No H1 GMV",IF(S137=0,"Lapsed",IF(T137&gt;=Assumptions!$B$36,"Growing",IF(T137&lt;-Assumptions!$B$36,"Declining","Stable"))))</f>
        <v>Lapsed</v>
      </c>
      <c r="V137" s="2" t="n">
        <f aca="false">COUNTIF(I137:N137,"&gt;0")</f>
        <v>1</v>
      </c>
      <c r="W137" s="2" t="str">
        <f aca="false">IF(N137&gt;0,"Feb",IF(M137&gt;0,"Jan",IF(L137&gt;0,"Dec",IF(K137&gt;0,"Nov",IF(J137&gt;0,"Oct","Sep")))))</f>
        <v>Nov</v>
      </c>
      <c r="X137" s="2" t="str">
        <f aca="false">IF(O137&gt;=Assumptions!$B$35,"Key (&gt;=£10k)",IF(O137&gt;=Assumptions!$B$34,"Core (£2k-10k)","Tail (&lt;£2k)"))</f>
        <v>Tail (&lt;£2k)</v>
      </c>
      <c r="Y137" s="21" t="n">
        <f aca="false">INDEX('Scored Accounts'!$Q$2:$Q$301,MATCH(A137,'Scored Accounts'!$A$2:$A$301,0))</f>
        <v>70</v>
      </c>
      <c r="Z137" s="2" t="str">
        <f aca="false">INDEX('Scored Accounts'!$R$2:$R$301,MATCH(A137,'Scored Accounts'!$A$2:$A$301,0))</f>
        <v>High</v>
      </c>
      <c r="AA137" s="2" t="str">
        <f aca="false">INDEX('Scored Accounts'!$T$2:$T$301,MATCH(A137,'Scored Accounts'!$A$2:$A$301,0))</f>
        <v>Low confidence</v>
      </c>
      <c r="AB137" s="2" t="str">
        <f aca="false">IF(Z137="Low","Lower dep / ","Higher dep / ")&amp;IF(O137&gt;=Assumptions!$B$34,"Higher value","Lower value")</f>
        <v>Higher dep / Lower value</v>
      </c>
    </row>
    <row r="138" customFormat="false" ht="15" hidden="false" customHeight="false" outlineLevel="0" collapsed="false">
      <c r="A138" s="2" t="s">
        <v>754</v>
      </c>
      <c r="B138" s="2" t="s">
        <v>1571</v>
      </c>
      <c r="C138" s="2" t="s">
        <v>1640</v>
      </c>
      <c r="D138" s="2" t="s">
        <v>1653</v>
      </c>
      <c r="E138" s="2" t="s">
        <v>1653</v>
      </c>
      <c r="F138" s="2" t="s">
        <v>1572</v>
      </c>
      <c r="G138" s="2" t="n">
        <v>16</v>
      </c>
      <c r="H138" s="2" t="n">
        <v>2</v>
      </c>
      <c r="I138" s="9" t="n">
        <v>294</v>
      </c>
      <c r="J138" s="9" t="n">
        <v>0</v>
      </c>
      <c r="K138" s="9" t="n">
        <v>0</v>
      </c>
      <c r="L138" s="9" t="n">
        <v>0</v>
      </c>
      <c r="M138" s="9" t="n">
        <v>0</v>
      </c>
      <c r="N138" s="9" t="n">
        <v>50</v>
      </c>
      <c r="O138" s="9" t="n">
        <v>344</v>
      </c>
      <c r="P138" s="2" t="n">
        <v>-83</v>
      </c>
      <c r="Q138" s="2" t="n">
        <f aca="false">IF(I138&gt;0,ROUND((N138-I138)/I138*100,0),"")</f>
        <v>-83</v>
      </c>
      <c r="R138" s="9" t="n">
        <f aca="false">SUM(I138:K138)</f>
        <v>294</v>
      </c>
      <c r="S138" s="9" t="n">
        <f aca="false">SUM(L138:N138)</f>
        <v>50</v>
      </c>
      <c r="T138" s="17" t="n">
        <f aca="false">IF(R138&gt;0,S138/R138-1,"")</f>
        <v>-0.829931972789116</v>
      </c>
      <c r="U138" s="2" t="str">
        <f aca="false">IF(AND(R138=0,S138&gt;0),"H2 Active / No H1 GMV",IF(S138=0,"Lapsed",IF(T138&gt;=Assumptions!$B$36,"Growing",IF(T138&lt;-Assumptions!$B$36,"Declining","Stable"))))</f>
        <v>Declining</v>
      </c>
      <c r="V138" s="2" t="n">
        <f aca="false">COUNTIF(I138:N138,"&gt;0")</f>
        <v>2</v>
      </c>
      <c r="W138" s="2" t="str">
        <f aca="false">IF(N138&gt;0,"Feb",IF(M138&gt;0,"Jan",IF(L138&gt;0,"Dec",IF(K138&gt;0,"Nov",IF(J138&gt;0,"Oct","Sep")))))</f>
        <v>Feb</v>
      </c>
      <c r="X138" s="2" t="str">
        <f aca="false">IF(O138&gt;=Assumptions!$B$35,"Key (&gt;=£10k)",IF(O138&gt;=Assumptions!$B$34,"Core (£2k-10k)","Tail (&lt;£2k)"))</f>
        <v>Tail (&lt;£2k)</v>
      </c>
      <c r="Y138" s="21" t="n">
        <f aca="false">INDEX('Scored Accounts'!$Q$2:$Q$301,MATCH(A138,'Scored Accounts'!$A$2:$A$301,0))</f>
        <v>0</v>
      </c>
      <c r="Z138" s="2" t="str">
        <f aca="false">INDEX('Scored Accounts'!$R$2:$R$301,MATCH(A138,'Scored Accounts'!$A$2:$A$301,0))</f>
        <v>Low</v>
      </c>
      <c r="AA138" s="2" t="str">
        <f aca="false">INDEX('Scored Accounts'!$T$2:$T$301,MATCH(A138,'Scored Accounts'!$A$2:$A$301,0))</f>
        <v/>
      </c>
      <c r="AB138" s="2" t="str">
        <f aca="false">IF(Z138="Low","Lower dep / ","Higher dep / ")&amp;IF(O138&gt;=Assumptions!$B$34,"Higher value","Lower value")</f>
        <v>Lower dep / Lower value</v>
      </c>
    </row>
    <row r="139" customFormat="false" ht="15" hidden="false" customHeight="false" outlineLevel="0" collapsed="false">
      <c r="A139" s="2" t="s">
        <v>762</v>
      </c>
      <c r="B139" s="2" t="s">
        <v>1571</v>
      </c>
      <c r="C139" s="2" t="s">
        <v>1641</v>
      </c>
      <c r="D139" s="2" t="s">
        <v>1657</v>
      </c>
      <c r="E139" s="2" t="s">
        <v>1722</v>
      </c>
      <c r="F139" s="2"/>
      <c r="G139" s="2" t="n">
        <v>6</v>
      </c>
      <c r="H139" s="2" t="n">
        <v>2</v>
      </c>
      <c r="I139" s="9" t="n">
        <v>202</v>
      </c>
      <c r="J139" s="9" t="n">
        <v>127</v>
      </c>
      <c r="K139" s="9" t="n">
        <v>0</v>
      </c>
      <c r="L139" s="9" t="n">
        <v>0</v>
      </c>
      <c r="M139" s="9" t="n">
        <v>0</v>
      </c>
      <c r="N139" s="9" t="n">
        <v>0</v>
      </c>
      <c r="O139" s="9" t="n">
        <v>329</v>
      </c>
      <c r="P139" s="2" t="n">
        <v>-100</v>
      </c>
      <c r="Q139" s="2" t="n">
        <f aca="false">IF(I139&gt;0,ROUND((N139-I139)/I139*100,0),"")</f>
        <v>-100</v>
      </c>
      <c r="R139" s="9" t="n">
        <f aca="false">SUM(I139:K139)</f>
        <v>329</v>
      </c>
      <c r="S139" s="9" t="n">
        <f aca="false">SUM(L139:N139)</f>
        <v>0</v>
      </c>
      <c r="T139" s="17" t="n">
        <f aca="false">IF(R139&gt;0,S139/R139-1,"")</f>
        <v>-1</v>
      </c>
      <c r="U139" s="2" t="str">
        <f aca="false">IF(AND(R139=0,S139&gt;0),"H2 Active / No H1 GMV",IF(S139=0,"Lapsed",IF(T139&gt;=Assumptions!$B$36,"Growing",IF(T139&lt;-Assumptions!$B$36,"Declining","Stable"))))</f>
        <v>Lapsed</v>
      </c>
      <c r="V139" s="2" t="n">
        <f aca="false">COUNTIF(I139:N139,"&gt;0")</f>
        <v>2</v>
      </c>
      <c r="W139" s="2" t="str">
        <f aca="false">IF(N139&gt;0,"Feb",IF(M139&gt;0,"Jan",IF(L139&gt;0,"Dec",IF(K139&gt;0,"Nov",IF(J139&gt;0,"Oct","Sep")))))</f>
        <v>Oct</v>
      </c>
      <c r="X139" s="2" t="str">
        <f aca="false">IF(O139&gt;=Assumptions!$B$35,"Key (&gt;=£10k)",IF(O139&gt;=Assumptions!$B$34,"Core (£2k-10k)","Tail (&lt;£2k)"))</f>
        <v>Tail (&lt;£2k)</v>
      </c>
      <c r="Y139" s="21" t="n">
        <f aca="false">INDEX('Scored Accounts'!$Q$2:$Q$301,MATCH(A139,'Scored Accounts'!$A$2:$A$301,0))</f>
        <v>0</v>
      </c>
      <c r="Z139" s="2" t="str">
        <f aca="false">INDEX('Scored Accounts'!$R$2:$R$301,MATCH(A139,'Scored Accounts'!$A$2:$A$301,0))</f>
        <v>Low</v>
      </c>
      <c r="AA139" s="2" t="str">
        <f aca="false">INDEX('Scored Accounts'!$T$2:$T$301,MATCH(A139,'Scored Accounts'!$A$2:$A$301,0))</f>
        <v/>
      </c>
      <c r="AB139" s="2" t="str">
        <f aca="false">IF(Z139="Low","Lower dep / ","Higher dep / ")&amp;IF(O139&gt;=Assumptions!$B$34,"Higher value","Lower value")</f>
        <v>Lower dep / Lower value</v>
      </c>
    </row>
    <row r="140" customFormat="false" ht="15" hidden="false" customHeight="false" outlineLevel="0" collapsed="false">
      <c r="A140" s="2" t="s">
        <v>764</v>
      </c>
      <c r="B140" s="2" t="s">
        <v>1571</v>
      </c>
      <c r="C140" s="2" t="s">
        <v>1640</v>
      </c>
      <c r="D140" s="2" t="s">
        <v>1653</v>
      </c>
      <c r="E140" s="2" t="s">
        <v>1653</v>
      </c>
      <c r="F140" s="2" t="s">
        <v>1572</v>
      </c>
      <c r="G140" s="2" t="n">
        <v>7</v>
      </c>
      <c r="H140" s="2" t="n">
        <v>1</v>
      </c>
      <c r="I140" s="9" t="n">
        <v>0</v>
      </c>
      <c r="J140" s="9" t="n">
        <v>322</v>
      </c>
      <c r="K140" s="9" t="n">
        <v>0</v>
      </c>
      <c r="L140" s="9" t="n">
        <v>0</v>
      </c>
      <c r="M140" s="9" t="n">
        <v>0</v>
      </c>
      <c r="N140" s="9" t="n">
        <v>0</v>
      </c>
      <c r="O140" s="9" t="n">
        <v>322</v>
      </c>
      <c r="P140" s="2"/>
      <c r="Q140" s="2" t="str">
        <f aca="false">IF(I140&gt;0,ROUND((N140-I140)/I140*100,0),"")</f>
        <v/>
      </c>
      <c r="R140" s="9" t="n">
        <f aca="false">SUM(I140:K140)</f>
        <v>322</v>
      </c>
      <c r="S140" s="9" t="n">
        <f aca="false">SUM(L140:N140)</f>
        <v>0</v>
      </c>
      <c r="T140" s="17" t="n">
        <f aca="false">IF(R140&gt;0,S140/R140-1,"")</f>
        <v>-1</v>
      </c>
      <c r="U140" s="2" t="str">
        <f aca="false">IF(AND(R140=0,S140&gt;0),"H2 Active / No H1 GMV",IF(S140=0,"Lapsed",IF(T140&gt;=Assumptions!$B$36,"Growing",IF(T140&lt;-Assumptions!$B$36,"Declining","Stable"))))</f>
        <v>Lapsed</v>
      </c>
      <c r="V140" s="2" t="n">
        <f aca="false">COUNTIF(I140:N140,"&gt;0")</f>
        <v>1</v>
      </c>
      <c r="W140" s="2" t="str">
        <f aca="false">IF(N140&gt;0,"Feb",IF(M140&gt;0,"Jan",IF(L140&gt;0,"Dec",IF(K140&gt;0,"Nov",IF(J140&gt;0,"Oct","Sep")))))</f>
        <v>Oct</v>
      </c>
      <c r="X140" s="2" t="str">
        <f aca="false">IF(O140&gt;=Assumptions!$B$35,"Key (&gt;=£10k)",IF(O140&gt;=Assumptions!$B$34,"Core (£2k-10k)","Tail (&lt;£2k)"))</f>
        <v>Tail (&lt;£2k)</v>
      </c>
      <c r="Y140" s="21" t="n">
        <f aca="false">INDEX('Scored Accounts'!$Q$2:$Q$301,MATCH(A140,'Scored Accounts'!$A$2:$A$301,0))</f>
        <v>0</v>
      </c>
      <c r="Z140" s="2" t="str">
        <f aca="false">INDEX('Scored Accounts'!$R$2:$R$301,MATCH(A140,'Scored Accounts'!$A$2:$A$301,0))</f>
        <v>Low</v>
      </c>
      <c r="AA140" s="2" t="str">
        <f aca="false">INDEX('Scored Accounts'!$T$2:$T$301,MATCH(A140,'Scored Accounts'!$A$2:$A$301,0))</f>
        <v/>
      </c>
      <c r="AB140" s="2" t="str">
        <f aca="false">IF(Z140="Low","Lower dep / ","Higher dep / ")&amp;IF(O140&gt;=Assumptions!$B$34,"Higher value","Lower value")</f>
        <v>Lower dep / Lower value</v>
      </c>
    </row>
    <row r="141" customFormat="false" ht="15" hidden="false" customHeight="false" outlineLevel="0" collapsed="false">
      <c r="A141" s="2" t="s">
        <v>768</v>
      </c>
      <c r="B141" s="2" t="s">
        <v>1571</v>
      </c>
      <c r="C141" s="2" t="s">
        <v>1640</v>
      </c>
      <c r="D141" s="2" t="s">
        <v>1657</v>
      </c>
      <c r="E141" s="2" t="s">
        <v>1716</v>
      </c>
      <c r="F141" s="2" t="s">
        <v>1572</v>
      </c>
      <c r="G141" s="2" t="n">
        <v>6</v>
      </c>
      <c r="H141" s="2" t="n">
        <v>1</v>
      </c>
      <c r="I141" s="9" t="n">
        <v>320</v>
      </c>
      <c r="J141" s="9" t="n">
        <v>0</v>
      </c>
      <c r="K141" s="9" t="n">
        <v>0</v>
      </c>
      <c r="L141" s="9" t="n">
        <v>0</v>
      </c>
      <c r="M141" s="9" t="n">
        <v>0</v>
      </c>
      <c r="N141" s="9" t="n">
        <v>0</v>
      </c>
      <c r="O141" s="9" t="n">
        <v>320</v>
      </c>
      <c r="P141" s="2" t="n">
        <v>-100</v>
      </c>
      <c r="Q141" s="2" t="n">
        <f aca="false">IF(I141&gt;0,ROUND((N141-I141)/I141*100,0),"")</f>
        <v>-100</v>
      </c>
      <c r="R141" s="9" t="n">
        <f aca="false">SUM(I141:K141)</f>
        <v>320</v>
      </c>
      <c r="S141" s="9" t="n">
        <f aca="false">SUM(L141:N141)</f>
        <v>0</v>
      </c>
      <c r="T141" s="17" t="n">
        <f aca="false">IF(R141&gt;0,S141/R141-1,"")</f>
        <v>-1</v>
      </c>
      <c r="U141" s="2" t="str">
        <f aca="false">IF(AND(R141=0,S141&gt;0),"H2 Active / No H1 GMV",IF(S141=0,"Lapsed",IF(T141&gt;=Assumptions!$B$36,"Growing",IF(T141&lt;-Assumptions!$B$36,"Declining","Stable"))))</f>
        <v>Lapsed</v>
      </c>
      <c r="V141" s="2" t="n">
        <f aca="false">COUNTIF(I141:N141,"&gt;0")</f>
        <v>1</v>
      </c>
      <c r="W141" s="2" t="str">
        <f aca="false">IF(N141&gt;0,"Feb",IF(M141&gt;0,"Jan",IF(L141&gt;0,"Dec",IF(K141&gt;0,"Nov",IF(J141&gt;0,"Oct","Sep")))))</f>
        <v>Sep</v>
      </c>
      <c r="X141" s="2" t="str">
        <f aca="false">IF(O141&gt;=Assumptions!$B$35,"Key (&gt;=£10k)",IF(O141&gt;=Assumptions!$B$34,"Core (£2k-10k)","Tail (&lt;£2k)"))</f>
        <v>Tail (&lt;£2k)</v>
      </c>
      <c r="Y141" s="21" t="n">
        <f aca="false">INDEX('Scored Accounts'!$Q$2:$Q$301,MATCH(A141,'Scored Accounts'!$A$2:$A$301,0))</f>
        <v>0</v>
      </c>
      <c r="Z141" s="2" t="str">
        <f aca="false">INDEX('Scored Accounts'!$R$2:$R$301,MATCH(A141,'Scored Accounts'!$A$2:$A$301,0))</f>
        <v>Low</v>
      </c>
      <c r="AA141" s="2" t="str">
        <f aca="false">INDEX('Scored Accounts'!$T$2:$T$301,MATCH(A141,'Scored Accounts'!$A$2:$A$301,0))</f>
        <v/>
      </c>
      <c r="AB141" s="2" t="str">
        <f aca="false">IF(Z141="Low","Lower dep / ","Higher dep / ")&amp;IF(O141&gt;=Assumptions!$B$34,"Higher value","Lower value")</f>
        <v>Lower dep / Lower value</v>
      </c>
    </row>
    <row r="142" customFormat="false" ht="15" hidden="false" customHeight="false" outlineLevel="0" collapsed="false">
      <c r="A142" s="2" t="s">
        <v>772</v>
      </c>
      <c r="B142" s="2" t="s">
        <v>1571</v>
      </c>
      <c r="C142" s="2" t="s">
        <v>1640</v>
      </c>
      <c r="D142" s="2" t="s">
        <v>1654</v>
      </c>
      <c r="E142" s="2" t="s">
        <v>1654</v>
      </c>
      <c r="F142" s="2" t="s">
        <v>1572</v>
      </c>
      <c r="G142" s="2" t="n">
        <v>11</v>
      </c>
      <c r="H142" s="2" t="n">
        <v>1</v>
      </c>
      <c r="I142" s="9" t="n">
        <v>0</v>
      </c>
      <c r="J142" s="9" t="n">
        <v>0</v>
      </c>
      <c r="K142" s="9" t="n">
        <v>0</v>
      </c>
      <c r="L142" s="9" t="n">
        <v>0</v>
      </c>
      <c r="M142" s="9" t="n">
        <v>313</v>
      </c>
      <c r="N142" s="9" t="n">
        <v>0</v>
      </c>
      <c r="O142" s="9" t="n">
        <v>313</v>
      </c>
      <c r="P142" s="2"/>
      <c r="Q142" s="2" t="str">
        <f aca="false">IF(I142&gt;0,ROUND((N142-I142)/I142*100,0),"")</f>
        <v/>
      </c>
      <c r="R142" s="9" t="n">
        <f aca="false">SUM(I142:K142)</f>
        <v>0</v>
      </c>
      <c r="S142" s="9" t="n">
        <f aca="false">SUM(L142:N142)</f>
        <v>313</v>
      </c>
      <c r="T142" s="17" t="str">
        <f aca="false">IF(R142&gt;0,S142/R142-1,"")</f>
        <v/>
      </c>
      <c r="U142" s="2" t="str">
        <f aca="false">IF(AND(R142=0,S142&gt;0),"H2 Active / No H1 GMV",IF(S142=0,"Lapsed",IF(T142&gt;=Assumptions!$B$36,"Growing",IF(T142&lt;-Assumptions!$B$36,"Declining","Stable"))))</f>
        <v>H2 Active / No H1 GMV</v>
      </c>
      <c r="V142" s="2" t="n">
        <f aca="false">COUNTIF(I142:N142,"&gt;0")</f>
        <v>1</v>
      </c>
      <c r="W142" s="2" t="str">
        <f aca="false">IF(N142&gt;0,"Feb",IF(M142&gt;0,"Jan",IF(L142&gt;0,"Dec",IF(K142&gt;0,"Nov",IF(J142&gt;0,"Oct","Sep")))))</f>
        <v>Jan</v>
      </c>
      <c r="X142" s="2" t="str">
        <f aca="false">IF(O142&gt;=Assumptions!$B$35,"Key (&gt;=£10k)",IF(O142&gt;=Assumptions!$B$34,"Core (£2k-10k)","Tail (&lt;£2k)"))</f>
        <v>Tail (&lt;£2k)</v>
      </c>
      <c r="Y142" s="21" t="n">
        <f aca="false">INDEX('Scored Accounts'!$Q$2:$Q$301,MATCH(A142,'Scored Accounts'!$A$2:$A$301,0))</f>
        <v>0</v>
      </c>
      <c r="Z142" s="2" t="str">
        <f aca="false">INDEX('Scored Accounts'!$R$2:$R$301,MATCH(A142,'Scored Accounts'!$A$2:$A$301,0))</f>
        <v>Low</v>
      </c>
      <c r="AA142" s="2" t="str">
        <f aca="false">INDEX('Scored Accounts'!$T$2:$T$301,MATCH(A142,'Scored Accounts'!$A$2:$A$301,0))</f>
        <v/>
      </c>
      <c r="AB142" s="2" t="str">
        <f aca="false">IF(Z142="Low","Lower dep / ","Higher dep / ")&amp;IF(O142&gt;=Assumptions!$B$34,"Higher value","Lower value")</f>
        <v>Lower dep / Lower value</v>
      </c>
    </row>
    <row r="143" customFormat="false" ht="15" hidden="false" customHeight="false" outlineLevel="0" collapsed="false">
      <c r="A143" s="2" t="s">
        <v>774</v>
      </c>
      <c r="B143" s="2" t="s">
        <v>1571</v>
      </c>
      <c r="C143" s="2" t="s">
        <v>1640</v>
      </c>
      <c r="D143" s="2" t="s">
        <v>1653</v>
      </c>
      <c r="E143" s="2" t="s">
        <v>1653</v>
      </c>
      <c r="F143" s="2" t="s">
        <v>1572</v>
      </c>
      <c r="G143" s="2" t="n">
        <v>6</v>
      </c>
      <c r="H143" s="2" t="n">
        <v>1</v>
      </c>
      <c r="I143" s="9" t="n">
        <v>312</v>
      </c>
      <c r="J143" s="9" t="n">
        <v>0</v>
      </c>
      <c r="K143" s="9" t="n">
        <v>0</v>
      </c>
      <c r="L143" s="9" t="n">
        <v>0</v>
      </c>
      <c r="M143" s="9" t="n">
        <v>0</v>
      </c>
      <c r="N143" s="9" t="n">
        <v>0</v>
      </c>
      <c r="O143" s="9" t="n">
        <v>312</v>
      </c>
      <c r="P143" s="2" t="n">
        <v>-100</v>
      </c>
      <c r="Q143" s="2" t="n">
        <f aca="false">IF(I143&gt;0,ROUND((N143-I143)/I143*100,0),"")</f>
        <v>-100</v>
      </c>
      <c r="R143" s="9" t="n">
        <f aca="false">SUM(I143:K143)</f>
        <v>312</v>
      </c>
      <c r="S143" s="9" t="n">
        <f aca="false">SUM(L143:N143)</f>
        <v>0</v>
      </c>
      <c r="T143" s="17" t="n">
        <f aca="false">IF(R143&gt;0,S143/R143-1,"")</f>
        <v>-1</v>
      </c>
      <c r="U143" s="2" t="str">
        <f aca="false">IF(AND(R143=0,S143&gt;0),"H2 Active / No H1 GMV",IF(S143=0,"Lapsed",IF(T143&gt;=Assumptions!$B$36,"Growing",IF(T143&lt;-Assumptions!$B$36,"Declining","Stable"))))</f>
        <v>Lapsed</v>
      </c>
      <c r="V143" s="2" t="n">
        <f aca="false">COUNTIF(I143:N143,"&gt;0")</f>
        <v>1</v>
      </c>
      <c r="W143" s="2" t="str">
        <f aca="false">IF(N143&gt;0,"Feb",IF(M143&gt;0,"Jan",IF(L143&gt;0,"Dec",IF(K143&gt;0,"Nov",IF(J143&gt;0,"Oct","Sep")))))</f>
        <v>Sep</v>
      </c>
      <c r="X143" s="2" t="str">
        <f aca="false">IF(O143&gt;=Assumptions!$B$35,"Key (&gt;=£10k)",IF(O143&gt;=Assumptions!$B$34,"Core (£2k-10k)","Tail (&lt;£2k)"))</f>
        <v>Tail (&lt;£2k)</v>
      </c>
      <c r="Y143" s="21" t="n">
        <f aca="false">INDEX('Scored Accounts'!$Q$2:$Q$301,MATCH(A143,'Scored Accounts'!$A$2:$A$301,0))</f>
        <v>0</v>
      </c>
      <c r="Z143" s="2" t="str">
        <f aca="false">INDEX('Scored Accounts'!$R$2:$R$301,MATCH(A143,'Scored Accounts'!$A$2:$A$301,0))</f>
        <v>Low</v>
      </c>
      <c r="AA143" s="2" t="str">
        <f aca="false">INDEX('Scored Accounts'!$T$2:$T$301,MATCH(A143,'Scored Accounts'!$A$2:$A$301,0))</f>
        <v/>
      </c>
      <c r="AB143" s="2" t="str">
        <f aca="false">IF(Z143="Low","Lower dep / ","Higher dep / ")&amp;IF(O143&gt;=Assumptions!$B$34,"Higher value","Lower value")</f>
        <v>Lower dep / Lower value</v>
      </c>
    </row>
    <row r="144" customFormat="false" ht="15" hidden="false" customHeight="false" outlineLevel="0" collapsed="false">
      <c r="A144" s="2" t="s">
        <v>778</v>
      </c>
      <c r="B144" s="2" t="s">
        <v>1571</v>
      </c>
      <c r="C144" s="2" t="s">
        <v>1640</v>
      </c>
      <c r="D144" s="2" t="s">
        <v>1654</v>
      </c>
      <c r="E144" s="2" t="s">
        <v>1654</v>
      </c>
      <c r="F144" s="2" t="s">
        <v>1572</v>
      </c>
      <c r="G144" s="2" t="n">
        <v>14</v>
      </c>
      <c r="H144" s="2" t="n">
        <v>1</v>
      </c>
      <c r="I144" s="9" t="n">
        <v>0</v>
      </c>
      <c r="J144" s="9" t="n">
        <v>0</v>
      </c>
      <c r="K144" s="9" t="n">
        <v>308</v>
      </c>
      <c r="L144" s="9" t="n">
        <v>0</v>
      </c>
      <c r="M144" s="9" t="n">
        <v>0</v>
      </c>
      <c r="N144" s="9" t="n">
        <v>0</v>
      </c>
      <c r="O144" s="9" t="n">
        <v>308</v>
      </c>
      <c r="P144" s="2"/>
      <c r="Q144" s="2" t="str">
        <f aca="false">IF(I144&gt;0,ROUND((N144-I144)/I144*100,0),"")</f>
        <v/>
      </c>
      <c r="R144" s="9" t="n">
        <f aca="false">SUM(I144:K144)</f>
        <v>308</v>
      </c>
      <c r="S144" s="9" t="n">
        <f aca="false">SUM(L144:N144)</f>
        <v>0</v>
      </c>
      <c r="T144" s="17" t="n">
        <f aca="false">IF(R144&gt;0,S144/R144-1,"")</f>
        <v>-1</v>
      </c>
      <c r="U144" s="2" t="str">
        <f aca="false">IF(AND(R144=0,S144&gt;0),"H2 Active / No H1 GMV",IF(S144=0,"Lapsed",IF(T144&gt;=Assumptions!$B$36,"Growing",IF(T144&lt;-Assumptions!$B$36,"Declining","Stable"))))</f>
        <v>Lapsed</v>
      </c>
      <c r="V144" s="2" t="n">
        <f aca="false">COUNTIF(I144:N144,"&gt;0")</f>
        <v>1</v>
      </c>
      <c r="W144" s="2" t="str">
        <f aca="false">IF(N144&gt;0,"Feb",IF(M144&gt;0,"Jan",IF(L144&gt;0,"Dec",IF(K144&gt;0,"Nov",IF(J144&gt;0,"Oct","Sep")))))</f>
        <v>Nov</v>
      </c>
      <c r="X144" s="2" t="str">
        <f aca="false">IF(O144&gt;=Assumptions!$B$35,"Key (&gt;=£10k)",IF(O144&gt;=Assumptions!$B$34,"Core (£2k-10k)","Tail (&lt;£2k)"))</f>
        <v>Tail (&lt;£2k)</v>
      </c>
      <c r="Y144" s="21" t="n">
        <f aca="false">INDEX('Scored Accounts'!$Q$2:$Q$301,MATCH(A144,'Scored Accounts'!$A$2:$A$301,0))</f>
        <v>0</v>
      </c>
      <c r="Z144" s="2" t="str">
        <f aca="false">INDEX('Scored Accounts'!$R$2:$R$301,MATCH(A144,'Scored Accounts'!$A$2:$A$301,0))</f>
        <v>Low</v>
      </c>
      <c r="AA144" s="2" t="str">
        <f aca="false">INDEX('Scored Accounts'!$T$2:$T$301,MATCH(A144,'Scored Accounts'!$A$2:$A$301,0))</f>
        <v/>
      </c>
      <c r="AB144" s="2" t="str">
        <f aca="false">IF(Z144="Low","Lower dep / ","Higher dep / ")&amp;IF(O144&gt;=Assumptions!$B$34,"Higher value","Lower value")</f>
        <v>Lower dep / Lower value</v>
      </c>
    </row>
    <row r="145" customFormat="false" ht="15" hidden="false" customHeight="false" outlineLevel="0" collapsed="false">
      <c r="A145" s="2" t="s">
        <v>782</v>
      </c>
      <c r="B145" s="2" t="s">
        <v>1571</v>
      </c>
      <c r="C145" s="2" t="s">
        <v>1640</v>
      </c>
      <c r="D145" s="2" t="s">
        <v>1653</v>
      </c>
      <c r="E145" s="2" t="s">
        <v>1653</v>
      </c>
      <c r="F145" s="2" t="s">
        <v>1572</v>
      </c>
      <c r="G145" s="2" t="n">
        <v>6</v>
      </c>
      <c r="H145" s="2" t="n">
        <v>1</v>
      </c>
      <c r="I145" s="9" t="n">
        <v>306</v>
      </c>
      <c r="J145" s="9" t="n">
        <v>0</v>
      </c>
      <c r="K145" s="9" t="n">
        <v>0</v>
      </c>
      <c r="L145" s="9" t="n">
        <v>0</v>
      </c>
      <c r="M145" s="9" t="n">
        <v>0</v>
      </c>
      <c r="N145" s="9" t="n">
        <v>0</v>
      </c>
      <c r="O145" s="9" t="n">
        <v>306</v>
      </c>
      <c r="P145" s="2" t="n">
        <v>-100</v>
      </c>
      <c r="Q145" s="2" t="n">
        <f aca="false">IF(I145&gt;0,ROUND((N145-I145)/I145*100,0),"")</f>
        <v>-100</v>
      </c>
      <c r="R145" s="9" t="n">
        <f aca="false">SUM(I145:K145)</f>
        <v>306</v>
      </c>
      <c r="S145" s="9" t="n">
        <f aca="false">SUM(L145:N145)</f>
        <v>0</v>
      </c>
      <c r="T145" s="17" t="n">
        <f aca="false">IF(R145&gt;0,S145/R145-1,"")</f>
        <v>-1</v>
      </c>
      <c r="U145" s="2" t="str">
        <f aca="false">IF(AND(R145=0,S145&gt;0),"H2 Active / No H1 GMV",IF(S145=0,"Lapsed",IF(T145&gt;=Assumptions!$B$36,"Growing",IF(T145&lt;-Assumptions!$B$36,"Declining","Stable"))))</f>
        <v>Lapsed</v>
      </c>
      <c r="V145" s="2" t="n">
        <f aca="false">COUNTIF(I145:N145,"&gt;0")</f>
        <v>1</v>
      </c>
      <c r="W145" s="2" t="str">
        <f aca="false">IF(N145&gt;0,"Feb",IF(M145&gt;0,"Jan",IF(L145&gt;0,"Dec",IF(K145&gt;0,"Nov",IF(J145&gt;0,"Oct","Sep")))))</f>
        <v>Sep</v>
      </c>
      <c r="X145" s="2" t="str">
        <f aca="false">IF(O145&gt;=Assumptions!$B$35,"Key (&gt;=£10k)",IF(O145&gt;=Assumptions!$B$34,"Core (£2k-10k)","Tail (&lt;£2k)"))</f>
        <v>Tail (&lt;£2k)</v>
      </c>
      <c r="Y145" s="21" t="n">
        <f aca="false">INDEX('Scored Accounts'!$Q$2:$Q$301,MATCH(A145,'Scored Accounts'!$A$2:$A$301,0))</f>
        <v>0</v>
      </c>
      <c r="Z145" s="2" t="str">
        <f aca="false">INDEX('Scored Accounts'!$R$2:$R$301,MATCH(A145,'Scored Accounts'!$A$2:$A$301,0))</f>
        <v>Low</v>
      </c>
      <c r="AA145" s="2" t="str">
        <f aca="false">INDEX('Scored Accounts'!$T$2:$T$301,MATCH(A145,'Scored Accounts'!$A$2:$A$301,0))</f>
        <v/>
      </c>
      <c r="AB145" s="2" t="str">
        <f aca="false">IF(Z145="Low","Lower dep / ","Higher dep / ")&amp;IF(O145&gt;=Assumptions!$B$34,"Higher value","Lower value")</f>
        <v>Lower dep / Lower value</v>
      </c>
    </row>
    <row r="146" customFormat="false" ht="15" hidden="false" customHeight="false" outlineLevel="0" collapsed="false">
      <c r="A146" s="2" t="s">
        <v>784</v>
      </c>
      <c r="B146" s="2" t="s">
        <v>1571</v>
      </c>
      <c r="C146" s="2" t="s">
        <v>1640</v>
      </c>
      <c r="D146" s="2" t="s">
        <v>1653</v>
      </c>
      <c r="E146" s="2" t="s">
        <v>1653</v>
      </c>
      <c r="F146" s="2" t="s">
        <v>1572</v>
      </c>
      <c r="G146" s="2" t="n">
        <v>11</v>
      </c>
      <c r="H146" s="2" t="n">
        <v>1</v>
      </c>
      <c r="I146" s="9" t="n">
        <v>0</v>
      </c>
      <c r="J146" s="9" t="n">
        <v>0</v>
      </c>
      <c r="K146" s="9" t="n">
        <v>0</v>
      </c>
      <c r="L146" s="9" t="n">
        <v>0</v>
      </c>
      <c r="M146" s="9" t="n">
        <v>0</v>
      </c>
      <c r="N146" s="9" t="n">
        <v>305</v>
      </c>
      <c r="O146" s="9" t="n">
        <v>305</v>
      </c>
      <c r="P146" s="2"/>
      <c r="Q146" s="2" t="str">
        <f aca="false">IF(I146&gt;0,ROUND((N146-I146)/I146*100,0),"")</f>
        <v/>
      </c>
      <c r="R146" s="9" t="n">
        <f aca="false">SUM(I146:K146)</f>
        <v>0</v>
      </c>
      <c r="S146" s="9" t="n">
        <f aca="false">SUM(L146:N146)</f>
        <v>305</v>
      </c>
      <c r="T146" s="17" t="str">
        <f aca="false">IF(R146&gt;0,S146/R146-1,"")</f>
        <v/>
      </c>
      <c r="U146" s="2" t="str">
        <f aca="false">IF(AND(R146=0,S146&gt;0),"H2 Active / No H1 GMV",IF(S146=0,"Lapsed",IF(T146&gt;=Assumptions!$B$36,"Growing",IF(T146&lt;-Assumptions!$B$36,"Declining","Stable"))))</f>
        <v>H2 Active / No H1 GMV</v>
      </c>
      <c r="V146" s="2" t="n">
        <f aca="false">COUNTIF(I146:N146,"&gt;0")</f>
        <v>1</v>
      </c>
      <c r="W146" s="2" t="str">
        <f aca="false">IF(N146&gt;0,"Feb",IF(M146&gt;0,"Jan",IF(L146&gt;0,"Dec",IF(K146&gt;0,"Nov",IF(J146&gt;0,"Oct","Sep")))))</f>
        <v>Feb</v>
      </c>
      <c r="X146" s="2" t="str">
        <f aca="false">IF(O146&gt;=Assumptions!$B$35,"Key (&gt;=£10k)",IF(O146&gt;=Assumptions!$B$34,"Core (£2k-10k)","Tail (&lt;£2k)"))</f>
        <v>Tail (&lt;£2k)</v>
      </c>
      <c r="Y146" s="21" t="n">
        <f aca="false">INDEX('Scored Accounts'!$Q$2:$Q$301,MATCH(A146,'Scored Accounts'!$A$2:$A$301,0))</f>
        <v>0</v>
      </c>
      <c r="Z146" s="2" t="str">
        <f aca="false">INDEX('Scored Accounts'!$R$2:$R$301,MATCH(A146,'Scored Accounts'!$A$2:$A$301,0))</f>
        <v>Low</v>
      </c>
      <c r="AA146" s="2" t="str">
        <f aca="false">INDEX('Scored Accounts'!$T$2:$T$301,MATCH(A146,'Scored Accounts'!$A$2:$A$301,0))</f>
        <v/>
      </c>
      <c r="AB146" s="2" t="str">
        <f aca="false">IF(Z146="Low","Lower dep / ","Higher dep / ")&amp;IF(O146&gt;=Assumptions!$B$34,"Higher value","Lower value")</f>
        <v>Lower dep / Lower value</v>
      </c>
    </row>
    <row r="147" customFormat="false" ht="15" hidden="false" customHeight="false" outlineLevel="0" collapsed="false">
      <c r="A147" s="2" t="s">
        <v>790</v>
      </c>
      <c r="B147" s="2" t="s">
        <v>1571</v>
      </c>
      <c r="C147" s="2" t="s">
        <v>1640</v>
      </c>
      <c r="D147" s="2" t="s">
        <v>1657</v>
      </c>
      <c r="E147" s="2" t="s">
        <v>1722</v>
      </c>
      <c r="F147" s="2"/>
      <c r="G147" s="2" t="n">
        <v>6</v>
      </c>
      <c r="H147" s="2" t="n">
        <v>3</v>
      </c>
      <c r="I147" s="9" t="n">
        <v>95</v>
      </c>
      <c r="J147" s="9" t="n">
        <v>70</v>
      </c>
      <c r="K147" s="9" t="n">
        <v>132</v>
      </c>
      <c r="L147" s="9" t="n">
        <v>0</v>
      </c>
      <c r="M147" s="9" t="n">
        <v>0</v>
      </c>
      <c r="N147" s="9" t="n">
        <v>0</v>
      </c>
      <c r="O147" s="9" t="n">
        <v>298</v>
      </c>
      <c r="P147" s="2" t="n">
        <v>-100</v>
      </c>
      <c r="Q147" s="2" t="n">
        <f aca="false">IF(I147&gt;0,ROUND((N147-I147)/I147*100,0),"")</f>
        <v>-100</v>
      </c>
      <c r="R147" s="9" t="n">
        <f aca="false">SUM(I147:K147)</f>
        <v>297</v>
      </c>
      <c r="S147" s="9" t="n">
        <f aca="false">SUM(L147:N147)</f>
        <v>0</v>
      </c>
      <c r="T147" s="17" t="n">
        <f aca="false">IF(R147&gt;0,S147/R147-1,"")</f>
        <v>-1</v>
      </c>
      <c r="U147" s="2" t="str">
        <f aca="false">IF(AND(R147=0,S147&gt;0),"H2 Active / No H1 GMV",IF(S147=0,"Lapsed",IF(T147&gt;=Assumptions!$B$36,"Growing",IF(T147&lt;-Assumptions!$B$36,"Declining","Stable"))))</f>
        <v>Lapsed</v>
      </c>
      <c r="V147" s="2" t="n">
        <f aca="false">COUNTIF(I147:N147,"&gt;0")</f>
        <v>3</v>
      </c>
      <c r="W147" s="2" t="str">
        <f aca="false">IF(N147&gt;0,"Feb",IF(M147&gt;0,"Jan",IF(L147&gt;0,"Dec",IF(K147&gt;0,"Nov",IF(J147&gt;0,"Oct","Sep")))))</f>
        <v>Nov</v>
      </c>
      <c r="X147" s="2" t="str">
        <f aca="false">IF(O147&gt;=Assumptions!$B$35,"Key (&gt;=£10k)",IF(O147&gt;=Assumptions!$B$34,"Core (£2k-10k)","Tail (&lt;£2k)"))</f>
        <v>Tail (&lt;£2k)</v>
      </c>
      <c r="Y147" s="21" t="n">
        <f aca="false">INDEX('Scored Accounts'!$Q$2:$Q$301,MATCH(A147,'Scored Accounts'!$A$2:$A$301,0))</f>
        <v>0</v>
      </c>
      <c r="Z147" s="2" t="str">
        <f aca="false">INDEX('Scored Accounts'!$R$2:$R$301,MATCH(A147,'Scored Accounts'!$A$2:$A$301,0))</f>
        <v>Low</v>
      </c>
      <c r="AA147" s="2" t="str">
        <f aca="false">INDEX('Scored Accounts'!$T$2:$T$301,MATCH(A147,'Scored Accounts'!$A$2:$A$301,0))</f>
        <v/>
      </c>
      <c r="AB147" s="2" t="str">
        <f aca="false">IF(Z147="Low","Lower dep / ","Higher dep / ")&amp;IF(O147&gt;=Assumptions!$B$34,"Higher value","Lower value")</f>
        <v>Lower dep / Lower value</v>
      </c>
    </row>
    <row r="148" customFormat="false" ht="15" hidden="false" customHeight="false" outlineLevel="0" collapsed="false">
      <c r="A148" s="2" t="s">
        <v>794</v>
      </c>
      <c r="B148" s="2" t="s">
        <v>1571</v>
      </c>
      <c r="C148" s="2" t="s">
        <v>1640</v>
      </c>
      <c r="D148" s="2" t="s">
        <v>1653</v>
      </c>
      <c r="E148" s="2" t="s">
        <v>1653</v>
      </c>
      <c r="F148" s="2" t="s">
        <v>1572</v>
      </c>
      <c r="G148" s="2" t="n">
        <v>6</v>
      </c>
      <c r="H148" s="2" t="n">
        <v>1</v>
      </c>
      <c r="I148" s="9" t="n">
        <v>296</v>
      </c>
      <c r="J148" s="9" t="n">
        <v>0</v>
      </c>
      <c r="K148" s="9" t="n">
        <v>0</v>
      </c>
      <c r="L148" s="9" t="n">
        <v>0</v>
      </c>
      <c r="M148" s="9" t="n">
        <v>0</v>
      </c>
      <c r="N148" s="9" t="n">
        <v>0</v>
      </c>
      <c r="O148" s="9" t="n">
        <v>296</v>
      </c>
      <c r="P148" s="2" t="n">
        <v>-100</v>
      </c>
      <c r="Q148" s="2" t="n">
        <f aca="false">IF(I148&gt;0,ROUND((N148-I148)/I148*100,0),"")</f>
        <v>-100</v>
      </c>
      <c r="R148" s="9" t="n">
        <f aca="false">SUM(I148:K148)</f>
        <v>296</v>
      </c>
      <c r="S148" s="9" t="n">
        <f aca="false">SUM(L148:N148)</f>
        <v>0</v>
      </c>
      <c r="T148" s="17" t="n">
        <f aca="false">IF(R148&gt;0,S148/R148-1,"")</f>
        <v>-1</v>
      </c>
      <c r="U148" s="2" t="str">
        <f aca="false">IF(AND(R148=0,S148&gt;0),"H2 Active / No H1 GMV",IF(S148=0,"Lapsed",IF(T148&gt;=Assumptions!$B$36,"Growing",IF(T148&lt;-Assumptions!$B$36,"Declining","Stable"))))</f>
        <v>Lapsed</v>
      </c>
      <c r="V148" s="2" t="n">
        <f aca="false">COUNTIF(I148:N148,"&gt;0")</f>
        <v>1</v>
      </c>
      <c r="W148" s="2" t="str">
        <f aca="false">IF(N148&gt;0,"Feb",IF(M148&gt;0,"Jan",IF(L148&gt;0,"Dec",IF(K148&gt;0,"Nov",IF(J148&gt;0,"Oct","Sep")))))</f>
        <v>Sep</v>
      </c>
      <c r="X148" s="2" t="str">
        <f aca="false">IF(O148&gt;=Assumptions!$B$35,"Key (&gt;=£10k)",IF(O148&gt;=Assumptions!$B$34,"Core (£2k-10k)","Tail (&lt;£2k)"))</f>
        <v>Tail (&lt;£2k)</v>
      </c>
      <c r="Y148" s="21" t="n">
        <f aca="false">INDEX('Scored Accounts'!$Q$2:$Q$301,MATCH(A148,'Scored Accounts'!$A$2:$A$301,0))</f>
        <v>0</v>
      </c>
      <c r="Z148" s="2" t="str">
        <f aca="false">INDEX('Scored Accounts'!$R$2:$R$301,MATCH(A148,'Scored Accounts'!$A$2:$A$301,0))</f>
        <v>Low</v>
      </c>
      <c r="AA148" s="2" t="str">
        <f aca="false">INDEX('Scored Accounts'!$T$2:$T$301,MATCH(A148,'Scored Accounts'!$A$2:$A$301,0))</f>
        <v/>
      </c>
      <c r="AB148" s="2" t="str">
        <f aca="false">IF(Z148="Low","Lower dep / ","Higher dep / ")&amp;IF(O148&gt;=Assumptions!$B$34,"Higher value","Lower value")</f>
        <v>Lower dep / Lower value</v>
      </c>
    </row>
    <row r="149" customFormat="false" ht="15" hidden="false" customHeight="false" outlineLevel="0" collapsed="false">
      <c r="A149" s="2" t="s">
        <v>798</v>
      </c>
      <c r="B149" s="2" t="s">
        <v>1571</v>
      </c>
      <c r="C149" s="2" t="s">
        <v>1640</v>
      </c>
      <c r="D149" s="2" t="s">
        <v>1655</v>
      </c>
      <c r="E149" s="2" t="s">
        <v>1655</v>
      </c>
      <c r="F149" s="2" t="s">
        <v>1572</v>
      </c>
      <c r="G149" s="2" t="n">
        <v>14</v>
      </c>
      <c r="H149" s="2" t="n">
        <v>1</v>
      </c>
      <c r="I149" s="9" t="n">
        <v>0</v>
      </c>
      <c r="J149" s="9" t="n">
        <v>291</v>
      </c>
      <c r="K149" s="9" t="n">
        <v>0</v>
      </c>
      <c r="L149" s="9" t="n">
        <v>0</v>
      </c>
      <c r="M149" s="9" t="n">
        <v>0</v>
      </c>
      <c r="N149" s="9" t="n">
        <v>0</v>
      </c>
      <c r="O149" s="9" t="n">
        <v>291</v>
      </c>
      <c r="P149" s="2"/>
      <c r="Q149" s="2" t="str">
        <f aca="false">IF(I149&gt;0,ROUND((N149-I149)/I149*100,0),"")</f>
        <v/>
      </c>
      <c r="R149" s="9" t="n">
        <f aca="false">SUM(I149:K149)</f>
        <v>291</v>
      </c>
      <c r="S149" s="9" t="n">
        <f aca="false">SUM(L149:N149)</f>
        <v>0</v>
      </c>
      <c r="T149" s="17" t="n">
        <f aca="false">IF(R149&gt;0,S149/R149-1,"")</f>
        <v>-1</v>
      </c>
      <c r="U149" s="2" t="str">
        <f aca="false">IF(AND(R149=0,S149&gt;0),"H2 Active / No H1 GMV",IF(S149=0,"Lapsed",IF(T149&gt;=Assumptions!$B$36,"Growing",IF(T149&lt;-Assumptions!$B$36,"Declining","Stable"))))</f>
        <v>Lapsed</v>
      </c>
      <c r="V149" s="2" t="n">
        <f aca="false">COUNTIF(I149:N149,"&gt;0")</f>
        <v>1</v>
      </c>
      <c r="W149" s="2" t="str">
        <f aca="false">IF(N149&gt;0,"Feb",IF(M149&gt;0,"Jan",IF(L149&gt;0,"Dec",IF(K149&gt;0,"Nov",IF(J149&gt;0,"Oct","Sep")))))</f>
        <v>Oct</v>
      </c>
      <c r="X149" s="2" t="str">
        <f aca="false">IF(O149&gt;=Assumptions!$B$35,"Key (&gt;=£10k)",IF(O149&gt;=Assumptions!$B$34,"Core (£2k-10k)","Tail (&lt;£2k)"))</f>
        <v>Tail (&lt;£2k)</v>
      </c>
      <c r="Y149" s="21" t="n">
        <f aca="false">INDEX('Scored Accounts'!$Q$2:$Q$301,MATCH(A149,'Scored Accounts'!$A$2:$A$301,0))</f>
        <v>0</v>
      </c>
      <c r="Z149" s="2" t="str">
        <f aca="false">INDEX('Scored Accounts'!$R$2:$R$301,MATCH(A149,'Scored Accounts'!$A$2:$A$301,0))</f>
        <v>Low</v>
      </c>
      <c r="AA149" s="2" t="str">
        <f aca="false">INDEX('Scored Accounts'!$T$2:$T$301,MATCH(A149,'Scored Accounts'!$A$2:$A$301,0))</f>
        <v/>
      </c>
      <c r="AB149" s="2" t="str">
        <f aca="false">IF(Z149="Low","Lower dep / ","Higher dep / ")&amp;IF(O149&gt;=Assumptions!$B$34,"Higher value","Lower value")</f>
        <v>Lower dep / Lower value</v>
      </c>
    </row>
    <row r="150" customFormat="false" ht="15" hidden="false" customHeight="false" outlineLevel="0" collapsed="false">
      <c r="A150" s="2" t="s">
        <v>800</v>
      </c>
      <c r="B150" s="2" t="s">
        <v>1571</v>
      </c>
      <c r="C150" s="2" t="s">
        <v>1640</v>
      </c>
      <c r="D150" s="2" t="s">
        <v>1654</v>
      </c>
      <c r="E150" s="2" t="s">
        <v>1654</v>
      </c>
      <c r="F150" s="2" t="s">
        <v>1572</v>
      </c>
      <c r="G150" s="2" t="n">
        <v>8</v>
      </c>
      <c r="H150" s="2" t="n">
        <v>2</v>
      </c>
      <c r="I150" s="9" t="n">
        <v>289</v>
      </c>
      <c r="J150" s="9" t="n">
        <v>0</v>
      </c>
      <c r="K150" s="9" t="n">
        <v>0</v>
      </c>
      <c r="L150" s="9" t="n">
        <v>0</v>
      </c>
      <c r="M150" s="9" t="n">
        <v>0</v>
      </c>
      <c r="N150" s="9" t="n">
        <v>0</v>
      </c>
      <c r="O150" s="9" t="n">
        <v>289</v>
      </c>
      <c r="P150" s="2" t="n">
        <v>-100</v>
      </c>
      <c r="Q150" s="2" t="n">
        <f aca="false">IF(I150&gt;0,ROUND((N150-I150)/I150*100,0),"")</f>
        <v>-100</v>
      </c>
      <c r="R150" s="9" t="n">
        <f aca="false">SUM(I150:K150)</f>
        <v>289</v>
      </c>
      <c r="S150" s="9" t="n">
        <f aca="false">SUM(L150:N150)</f>
        <v>0</v>
      </c>
      <c r="T150" s="17" t="n">
        <f aca="false">IF(R150&gt;0,S150/R150-1,"")</f>
        <v>-1</v>
      </c>
      <c r="U150" s="2" t="str">
        <f aca="false">IF(AND(R150=0,S150&gt;0),"H2 Active / No H1 GMV",IF(S150=0,"Lapsed",IF(T150&gt;=Assumptions!$B$36,"Growing",IF(T150&lt;-Assumptions!$B$36,"Declining","Stable"))))</f>
        <v>Lapsed</v>
      </c>
      <c r="V150" s="2" t="n">
        <f aca="false">COUNTIF(I150:N150,"&gt;0")</f>
        <v>1</v>
      </c>
      <c r="W150" s="2" t="str">
        <f aca="false">IF(N150&gt;0,"Feb",IF(M150&gt;0,"Jan",IF(L150&gt;0,"Dec",IF(K150&gt;0,"Nov",IF(J150&gt;0,"Oct","Sep")))))</f>
        <v>Sep</v>
      </c>
      <c r="X150" s="2" t="str">
        <f aca="false">IF(O150&gt;=Assumptions!$B$35,"Key (&gt;=£10k)",IF(O150&gt;=Assumptions!$B$34,"Core (£2k-10k)","Tail (&lt;£2k)"))</f>
        <v>Tail (&lt;£2k)</v>
      </c>
      <c r="Y150" s="21" t="n">
        <f aca="false">INDEX('Scored Accounts'!$Q$2:$Q$301,MATCH(A150,'Scored Accounts'!$A$2:$A$301,0))</f>
        <v>0</v>
      </c>
      <c r="Z150" s="2" t="str">
        <f aca="false">INDEX('Scored Accounts'!$R$2:$R$301,MATCH(A150,'Scored Accounts'!$A$2:$A$301,0))</f>
        <v>Low</v>
      </c>
      <c r="AA150" s="2" t="str">
        <f aca="false">INDEX('Scored Accounts'!$T$2:$T$301,MATCH(A150,'Scored Accounts'!$A$2:$A$301,0))</f>
        <v/>
      </c>
      <c r="AB150" s="2" t="str">
        <f aca="false">IF(Z150="Low","Lower dep / ","Higher dep / ")&amp;IF(O150&gt;=Assumptions!$B$34,"Higher value","Lower value")</f>
        <v>Lower dep / Lower value</v>
      </c>
    </row>
    <row r="151" customFormat="false" ht="15" hidden="false" customHeight="false" outlineLevel="0" collapsed="false">
      <c r="A151" s="2" t="s">
        <v>802</v>
      </c>
      <c r="B151" s="2" t="s">
        <v>1571</v>
      </c>
      <c r="C151" s="2" t="s">
        <v>1640</v>
      </c>
      <c r="D151" s="2" t="s">
        <v>1657</v>
      </c>
      <c r="E151" s="2" t="s">
        <v>1718</v>
      </c>
      <c r="F151" s="2" t="s">
        <v>1572</v>
      </c>
      <c r="G151" s="2" t="n">
        <v>7</v>
      </c>
      <c r="H151" s="2" t="n">
        <v>1</v>
      </c>
      <c r="I151" s="9" t="n">
        <v>0</v>
      </c>
      <c r="J151" s="9" t="n">
        <v>284</v>
      </c>
      <c r="K151" s="9" t="n">
        <v>0</v>
      </c>
      <c r="L151" s="9" t="n">
        <v>0</v>
      </c>
      <c r="M151" s="9" t="n">
        <v>0</v>
      </c>
      <c r="N151" s="9" t="n">
        <v>0</v>
      </c>
      <c r="O151" s="9" t="n">
        <v>284</v>
      </c>
      <c r="P151" s="2"/>
      <c r="Q151" s="2" t="str">
        <f aca="false">IF(I151&gt;0,ROUND((N151-I151)/I151*100,0),"")</f>
        <v/>
      </c>
      <c r="R151" s="9" t="n">
        <f aca="false">SUM(I151:K151)</f>
        <v>284</v>
      </c>
      <c r="S151" s="9" t="n">
        <f aca="false">SUM(L151:N151)</f>
        <v>0</v>
      </c>
      <c r="T151" s="17" t="n">
        <f aca="false">IF(R151&gt;0,S151/R151-1,"")</f>
        <v>-1</v>
      </c>
      <c r="U151" s="2" t="str">
        <f aca="false">IF(AND(R151=0,S151&gt;0),"H2 Active / No H1 GMV",IF(S151=0,"Lapsed",IF(T151&gt;=Assumptions!$B$36,"Growing",IF(T151&lt;-Assumptions!$B$36,"Declining","Stable"))))</f>
        <v>Lapsed</v>
      </c>
      <c r="V151" s="2" t="n">
        <f aca="false">COUNTIF(I151:N151,"&gt;0")</f>
        <v>1</v>
      </c>
      <c r="W151" s="2" t="str">
        <f aca="false">IF(N151&gt;0,"Feb",IF(M151&gt;0,"Jan",IF(L151&gt;0,"Dec",IF(K151&gt;0,"Nov",IF(J151&gt;0,"Oct","Sep")))))</f>
        <v>Oct</v>
      </c>
      <c r="X151" s="2" t="str">
        <f aca="false">IF(O151&gt;=Assumptions!$B$35,"Key (&gt;=£10k)",IF(O151&gt;=Assumptions!$B$34,"Core (£2k-10k)","Tail (&lt;£2k)"))</f>
        <v>Tail (&lt;£2k)</v>
      </c>
      <c r="Y151" s="21" t="n">
        <f aca="false">INDEX('Scored Accounts'!$Q$2:$Q$301,MATCH(A151,'Scored Accounts'!$A$2:$A$301,0))</f>
        <v>0</v>
      </c>
      <c r="Z151" s="2" t="str">
        <f aca="false">INDEX('Scored Accounts'!$R$2:$R$301,MATCH(A151,'Scored Accounts'!$A$2:$A$301,0))</f>
        <v>Low</v>
      </c>
      <c r="AA151" s="2" t="str">
        <f aca="false">INDEX('Scored Accounts'!$T$2:$T$301,MATCH(A151,'Scored Accounts'!$A$2:$A$301,0))</f>
        <v/>
      </c>
      <c r="AB151" s="2" t="str">
        <f aca="false">IF(Z151="Low","Lower dep / ","Higher dep / ")&amp;IF(O151&gt;=Assumptions!$B$34,"Higher value","Lower value")</f>
        <v>Lower dep / Lower value</v>
      </c>
    </row>
    <row r="152" customFormat="false" ht="15" hidden="false" customHeight="false" outlineLevel="0" collapsed="false">
      <c r="A152" s="2" t="s">
        <v>804</v>
      </c>
      <c r="B152" s="2" t="s">
        <v>1571</v>
      </c>
      <c r="C152" s="2" t="s">
        <v>1640</v>
      </c>
      <c r="D152" s="2" t="s">
        <v>1658</v>
      </c>
      <c r="E152" s="2" t="s">
        <v>1658</v>
      </c>
      <c r="F152" s="2" t="s">
        <v>1572</v>
      </c>
      <c r="G152" s="2" t="n">
        <v>6</v>
      </c>
      <c r="H152" s="2" t="n">
        <v>1</v>
      </c>
      <c r="I152" s="9" t="n">
        <v>282</v>
      </c>
      <c r="J152" s="9" t="n">
        <v>0</v>
      </c>
      <c r="K152" s="9" t="n">
        <v>0</v>
      </c>
      <c r="L152" s="9" t="n">
        <v>0</v>
      </c>
      <c r="M152" s="9" t="n">
        <v>0</v>
      </c>
      <c r="N152" s="9" t="n">
        <v>0</v>
      </c>
      <c r="O152" s="9" t="n">
        <v>282</v>
      </c>
      <c r="P152" s="2" t="n">
        <v>-100</v>
      </c>
      <c r="Q152" s="2" t="n">
        <f aca="false">IF(I152&gt;0,ROUND((N152-I152)/I152*100,0),"")</f>
        <v>-100</v>
      </c>
      <c r="R152" s="9" t="n">
        <f aca="false">SUM(I152:K152)</f>
        <v>282</v>
      </c>
      <c r="S152" s="9" t="n">
        <f aca="false">SUM(L152:N152)</f>
        <v>0</v>
      </c>
      <c r="T152" s="17" t="n">
        <f aca="false">IF(R152&gt;0,S152/R152-1,"")</f>
        <v>-1</v>
      </c>
      <c r="U152" s="2" t="str">
        <f aca="false">IF(AND(R152=0,S152&gt;0),"H2 Active / No H1 GMV",IF(S152=0,"Lapsed",IF(T152&gt;=Assumptions!$B$36,"Growing",IF(T152&lt;-Assumptions!$B$36,"Declining","Stable"))))</f>
        <v>Lapsed</v>
      </c>
      <c r="V152" s="2" t="n">
        <f aca="false">COUNTIF(I152:N152,"&gt;0")</f>
        <v>1</v>
      </c>
      <c r="W152" s="2" t="str">
        <f aca="false">IF(N152&gt;0,"Feb",IF(M152&gt;0,"Jan",IF(L152&gt;0,"Dec",IF(K152&gt;0,"Nov",IF(J152&gt;0,"Oct","Sep")))))</f>
        <v>Sep</v>
      </c>
      <c r="X152" s="2" t="str">
        <f aca="false">IF(O152&gt;=Assumptions!$B$35,"Key (&gt;=£10k)",IF(O152&gt;=Assumptions!$B$34,"Core (£2k-10k)","Tail (&lt;£2k)"))</f>
        <v>Tail (&lt;£2k)</v>
      </c>
      <c r="Y152" s="21" t="n">
        <f aca="false">INDEX('Scored Accounts'!$Q$2:$Q$301,MATCH(A152,'Scored Accounts'!$A$2:$A$301,0))</f>
        <v>0</v>
      </c>
      <c r="Z152" s="2" t="str">
        <f aca="false">INDEX('Scored Accounts'!$R$2:$R$301,MATCH(A152,'Scored Accounts'!$A$2:$A$301,0))</f>
        <v>Low</v>
      </c>
      <c r="AA152" s="2" t="str">
        <f aca="false">INDEX('Scored Accounts'!$T$2:$T$301,MATCH(A152,'Scored Accounts'!$A$2:$A$301,0))</f>
        <v/>
      </c>
      <c r="AB152" s="2" t="str">
        <f aca="false">IF(Z152="Low","Lower dep / ","Higher dep / ")&amp;IF(O152&gt;=Assumptions!$B$34,"Higher value","Lower value")</f>
        <v>Lower dep / Lower value</v>
      </c>
    </row>
    <row r="153" customFormat="false" ht="15" hidden="false" customHeight="false" outlineLevel="0" collapsed="false">
      <c r="A153" s="2" t="s">
        <v>812</v>
      </c>
      <c r="B153" s="2" t="s">
        <v>1571</v>
      </c>
      <c r="C153" s="2" t="s">
        <v>1641</v>
      </c>
      <c r="D153" s="2" t="s">
        <v>1657</v>
      </c>
      <c r="E153" s="2" t="s">
        <v>1719</v>
      </c>
      <c r="F153" s="2"/>
      <c r="G153" s="2" t="n">
        <v>6</v>
      </c>
      <c r="H153" s="2" t="n">
        <v>1</v>
      </c>
      <c r="I153" s="9" t="n">
        <v>273</v>
      </c>
      <c r="J153" s="9" t="n">
        <v>0</v>
      </c>
      <c r="K153" s="9" t="n">
        <v>0</v>
      </c>
      <c r="L153" s="9" t="n">
        <v>0</v>
      </c>
      <c r="M153" s="9" t="n">
        <v>0</v>
      </c>
      <c r="N153" s="9" t="n">
        <v>0</v>
      </c>
      <c r="O153" s="9" t="n">
        <v>273</v>
      </c>
      <c r="P153" s="2" t="n">
        <v>-100</v>
      </c>
      <c r="Q153" s="2" t="n">
        <f aca="false">IF(I153&gt;0,ROUND((N153-I153)/I153*100,0),"")</f>
        <v>-100</v>
      </c>
      <c r="R153" s="9" t="n">
        <f aca="false">SUM(I153:K153)</f>
        <v>273</v>
      </c>
      <c r="S153" s="9" t="n">
        <f aca="false">SUM(L153:N153)</f>
        <v>0</v>
      </c>
      <c r="T153" s="17" t="n">
        <f aca="false">IF(R153&gt;0,S153/R153-1,"")</f>
        <v>-1</v>
      </c>
      <c r="U153" s="2" t="str">
        <f aca="false">IF(AND(R153=0,S153&gt;0),"H2 Active / No H1 GMV",IF(S153=0,"Lapsed",IF(T153&gt;=Assumptions!$B$36,"Growing",IF(T153&lt;-Assumptions!$B$36,"Declining","Stable"))))</f>
        <v>Lapsed</v>
      </c>
      <c r="V153" s="2" t="n">
        <f aca="false">COUNTIF(I153:N153,"&gt;0")</f>
        <v>1</v>
      </c>
      <c r="W153" s="2" t="str">
        <f aca="false">IF(N153&gt;0,"Feb",IF(M153&gt;0,"Jan",IF(L153&gt;0,"Dec",IF(K153&gt;0,"Nov",IF(J153&gt;0,"Oct","Sep")))))</f>
        <v>Sep</v>
      </c>
      <c r="X153" s="2" t="str">
        <f aca="false">IF(O153&gt;=Assumptions!$B$35,"Key (&gt;=£10k)",IF(O153&gt;=Assumptions!$B$34,"Core (£2k-10k)","Tail (&lt;£2k)"))</f>
        <v>Tail (&lt;£2k)</v>
      </c>
      <c r="Y153" s="21" t="n">
        <f aca="false">INDEX('Scored Accounts'!$Q$2:$Q$301,MATCH(A153,'Scored Accounts'!$A$2:$A$301,0))</f>
        <v>0</v>
      </c>
      <c r="Z153" s="2" t="str">
        <f aca="false">INDEX('Scored Accounts'!$R$2:$R$301,MATCH(A153,'Scored Accounts'!$A$2:$A$301,0))</f>
        <v>Low</v>
      </c>
      <c r="AA153" s="2" t="str">
        <f aca="false">INDEX('Scored Accounts'!$T$2:$T$301,MATCH(A153,'Scored Accounts'!$A$2:$A$301,0))</f>
        <v/>
      </c>
      <c r="AB153" s="2" t="str">
        <f aca="false">IF(Z153="Low","Lower dep / ","Higher dep / ")&amp;IF(O153&gt;=Assumptions!$B$34,"Higher value","Lower value")</f>
        <v>Lower dep / Lower value</v>
      </c>
    </row>
    <row r="154" customFormat="false" ht="15" hidden="false" customHeight="false" outlineLevel="0" collapsed="false">
      <c r="A154" s="2" t="s">
        <v>814</v>
      </c>
      <c r="B154" s="2" t="s">
        <v>1571</v>
      </c>
      <c r="C154" s="2" t="s">
        <v>1640</v>
      </c>
      <c r="D154" s="2" t="s">
        <v>1657</v>
      </c>
      <c r="E154" s="2" t="s">
        <v>1720</v>
      </c>
      <c r="F154" s="2"/>
      <c r="G154" s="2" t="n">
        <v>6</v>
      </c>
      <c r="H154" s="2" t="n">
        <v>1</v>
      </c>
      <c r="I154" s="9" t="n">
        <v>272</v>
      </c>
      <c r="J154" s="9" t="n">
        <v>0</v>
      </c>
      <c r="K154" s="9" t="n">
        <v>0</v>
      </c>
      <c r="L154" s="9" t="n">
        <v>0</v>
      </c>
      <c r="M154" s="9" t="n">
        <v>0</v>
      </c>
      <c r="N154" s="9" t="n">
        <v>0</v>
      </c>
      <c r="O154" s="9" t="n">
        <v>272</v>
      </c>
      <c r="P154" s="2" t="n">
        <v>-100</v>
      </c>
      <c r="Q154" s="2" t="n">
        <f aca="false">IF(I154&gt;0,ROUND((N154-I154)/I154*100,0),"")</f>
        <v>-100</v>
      </c>
      <c r="R154" s="9" t="n">
        <f aca="false">SUM(I154:K154)</f>
        <v>272</v>
      </c>
      <c r="S154" s="9" t="n">
        <f aca="false">SUM(L154:N154)</f>
        <v>0</v>
      </c>
      <c r="T154" s="17" t="n">
        <f aca="false">IF(R154&gt;0,S154/R154-1,"")</f>
        <v>-1</v>
      </c>
      <c r="U154" s="2" t="str">
        <f aca="false">IF(AND(R154=0,S154&gt;0),"H2 Active / No H1 GMV",IF(S154=0,"Lapsed",IF(T154&gt;=Assumptions!$B$36,"Growing",IF(T154&lt;-Assumptions!$B$36,"Declining","Stable"))))</f>
        <v>Lapsed</v>
      </c>
      <c r="V154" s="2" t="n">
        <f aca="false">COUNTIF(I154:N154,"&gt;0")</f>
        <v>1</v>
      </c>
      <c r="W154" s="2" t="str">
        <f aca="false">IF(N154&gt;0,"Feb",IF(M154&gt;0,"Jan",IF(L154&gt;0,"Dec",IF(K154&gt;0,"Nov",IF(J154&gt;0,"Oct","Sep")))))</f>
        <v>Sep</v>
      </c>
      <c r="X154" s="2" t="str">
        <f aca="false">IF(O154&gt;=Assumptions!$B$35,"Key (&gt;=£10k)",IF(O154&gt;=Assumptions!$B$34,"Core (£2k-10k)","Tail (&lt;£2k)"))</f>
        <v>Tail (&lt;£2k)</v>
      </c>
      <c r="Y154" s="21" t="n">
        <f aca="false">INDEX('Scored Accounts'!$Q$2:$Q$301,MATCH(A154,'Scored Accounts'!$A$2:$A$301,0))</f>
        <v>0</v>
      </c>
      <c r="Z154" s="2" t="str">
        <f aca="false">INDEX('Scored Accounts'!$R$2:$R$301,MATCH(A154,'Scored Accounts'!$A$2:$A$301,0))</f>
        <v>Low</v>
      </c>
      <c r="AA154" s="2" t="str">
        <f aca="false">INDEX('Scored Accounts'!$T$2:$T$301,MATCH(A154,'Scored Accounts'!$A$2:$A$301,0))</f>
        <v/>
      </c>
      <c r="AB154" s="2" t="str">
        <f aca="false">IF(Z154="Low","Lower dep / ","Higher dep / ")&amp;IF(O154&gt;=Assumptions!$B$34,"Higher value","Lower value")</f>
        <v>Lower dep / Lower value</v>
      </c>
    </row>
    <row r="155" customFormat="false" ht="15" hidden="false" customHeight="false" outlineLevel="0" collapsed="false">
      <c r="A155" s="2" t="s">
        <v>818</v>
      </c>
      <c r="B155" s="2" t="s">
        <v>1571</v>
      </c>
      <c r="C155" s="2" t="s">
        <v>1640</v>
      </c>
      <c r="D155" s="2" t="s">
        <v>1657</v>
      </c>
      <c r="E155" s="2" t="s">
        <v>1722</v>
      </c>
      <c r="F155" s="2" t="s">
        <v>1572</v>
      </c>
      <c r="G155" s="2" t="n">
        <v>6</v>
      </c>
      <c r="H155" s="2" t="n">
        <v>1</v>
      </c>
      <c r="I155" s="9" t="n">
        <v>269</v>
      </c>
      <c r="J155" s="9" t="n">
        <v>0</v>
      </c>
      <c r="K155" s="9" t="n">
        <v>0</v>
      </c>
      <c r="L155" s="9" t="n">
        <v>0</v>
      </c>
      <c r="M155" s="9" t="n">
        <v>0</v>
      </c>
      <c r="N155" s="9" t="n">
        <v>0</v>
      </c>
      <c r="O155" s="9" t="n">
        <v>269</v>
      </c>
      <c r="P155" s="2" t="n">
        <v>-100</v>
      </c>
      <c r="Q155" s="2" t="n">
        <f aca="false">IF(I155&gt;0,ROUND((N155-I155)/I155*100,0),"")</f>
        <v>-100</v>
      </c>
      <c r="R155" s="9" t="n">
        <f aca="false">SUM(I155:K155)</f>
        <v>269</v>
      </c>
      <c r="S155" s="9" t="n">
        <f aca="false">SUM(L155:N155)</f>
        <v>0</v>
      </c>
      <c r="T155" s="17" t="n">
        <f aca="false">IF(R155&gt;0,S155/R155-1,"")</f>
        <v>-1</v>
      </c>
      <c r="U155" s="2" t="str">
        <f aca="false">IF(AND(R155=0,S155&gt;0),"H2 Active / No H1 GMV",IF(S155=0,"Lapsed",IF(T155&gt;=Assumptions!$B$36,"Growing",IF(T155&lt;-Assumptions!$B$36,"Declining","Stable"))))</f>
        <v>Lapsed</v>
      </c>
      <c r="V155" s="2" t="n">
        <f aca="false">COUNTIF(I155:N155,"&gt;0")</f>
        <v>1</v>
      </c>
      <c r="W155" s="2" t="str">
        <f aca="false">IF(N155&gt;0,"Feb",IF(M155&gt;0,"Jan",IF(L155&gt;0,"Dec",IF(K155&gt;0,"Nov",IF(J155&gt;0,"Oct","Sep")))))</f>
        <v>Sep</v>
      </c>
      <c r="X155" s="2" t="str">
        <f aca="false">IF(O155&gt;=Assumptions!$B$35,"Key (&gt;=£10k)",IF(O155&gt;=Assumptions!$B$34,"Core (£2k-10k)","Tail (&lt;£2k)"))</f>
        <v>Tail (&lt;£2k)</v>
      </c>
      <c r="Y155" s="21" t="n">
        <f aca="false">INDEX('Scored Accounts'!$Q$2:$Q$301,MATCH(A155,'Scored Accounts'!$A$2:$A$301,0))</f>
        <v>0</v>
      </c>
      <c r="Z155" s="2" t="str">
        <f aca="false">INDEX('Scored Accounts'!$R$2:$R$301,MATCH(A155,'Scored Accounts'!$A$2:$A$301,0))</f>
        <v>Low</v>
      </c>
      <c r="AA155" s="2" t="str">
        <f aca="false">INDEX('Scored Accounts'!$T$2:$T$301,MATCH(A155,'Scored Accounts'!$A$2:$A$301,0))</f>
        <v/>
      </c>
      <c r="AB155" s="2" t="str">
        <f aca="false">IF(Z155="Low","Lower dep / ","Higher dep / ")&amp;IF(O155&gt;=Assumptions!$B$34,"Higher value","Lower value")</f>
        <v>Lower dep / Lower value</v>
      </c>
    </row>
    <row r="156" customFormat="false" ht="15" hidden="false" customHeight="false" outlineLevel="0" collapsed="false">
      <c r="A156" s="2" t="s">
        <v>822</v>
      </c>
      <c r="B156" s="2" t="s">
        <v>1571</v>
      </c>
      <c r="C156" s="2" t="s">
        <v>1640</v>
      </c>
      <c r="D156" s="2" t="s">
        <v>1657</v>
      </c>
      <c r="E156" s="2" t="s">
        <v>1718</v>
      </c>
      <c r="F156" s="2" t="s">
        <v>1572</v>
      </c>
      <c r="G156" s="2" t="n">
        <v>12</v>
      </c>
      <c r="H156" s="2" t="n">
        <v>1</v>
      </c>
      <c r="I156" s="9" t="n">
        <v>0</v>
      </c>
      <c r="J156" s="9" t="n">
        <v>261</v>
      </c>
      <c r="K156" s="9" t="n">
        <v>0</v>
      </c>
      <c r="L156" s="9" t="n">
        <v>0</v>
      </c>
      <c r="M156" s="9" t="n">
        <v>0</v>
      </c>
      <c r="N156" s="9" t="n">
        <v>0</v>
      </c>
      <c r="O156" s="9" t="n">
        <v>261</v>
      </c>
      <c r="P156" s="2"/>
      <c r="Q156" s="2" t="str">
        <f aca="false">IF(I156&gt;0,ROUND((N156-I156)/I156*100,0),"")</f>
        <v/>
      </c>
      <c r="R156" s="9" t="n">
        <f aca="false">SUM(I156:K156)</f>
        <v>261</v>
      </c>
      <c r="S156" s="9" t="n">
        <f aca="false">SUM(L156:N156)</f>
        <v>0</v>
      </c>
      <c r="T156" s="17" t="n">
        <f aca="false">IF(R156&gt;0,S156/R156-1,"")</f>
        <v>-1</v>
      </c>
      <c r="U156" s="2" t="str">
        <f aca="false">IF(AND(R156=0,S156&gt;0),"H2 Active / No H1 GMV",IF(S156=0,"Lapsed",IF(T156&gt;=Assumptions!$B$36,"Growing",IF(T156&lt;-Assumptions!$B$36,"Declining","Stable"))))</f>
        <v>Lapsed</v>
      </c>
      <c r="V156" s="2" t="n">
        <f aca="false">COUNTIF(I156:N156,"&gt;0")</f>
        <v>1</v>
      </c>
      <c r="W156" s="2" t="str">
        <f aca="false">IF(N156&gt;0,"Feb",IF(M156&gt;0,"Jan",IF(L156&gt;0,"Dec",IF(K156&gt;0,"Nov",IF(J156&gt;0,"Oct","Sep")))))</f>
        <v>Oct</v>
      </c>
      <c r="X156" s="2" t="str">
        <f aca="false">IF(O156&gt;=Assumptions!$B$35,"Key (&gt;=£10k)",IF(O156&gt;=Assumptions!$B$34,"Core (£2k-10k)","Tail (&lt;£2k)"))</f>
        <v>Tail (&lt;£2k)</v>
      </c>
      <c r="Y156" s="21" t="n">
        <f aca="false">INDEX('Scored Accounts'!$Q$2:$Q$301,MATCH(A156,'Scored Accounts'!$A$2:$A$301,0))</f>
        <v>0</v>
      </c>
      <c r="Z156" s="2" t="str">
        <f aca="false">INDEX('Scored Accounts'!$R$2:$R$301,MATCH(A156,'Scored Accounts'!$A$2:$A$301,0))</f>
        <v>Low</v>
      </c>
      <c r="AA156" s="2" t="str">
        <f aca="false">INDEX('Scored Accounts'!$T$2:$T$301,MATCH(A156,'Scored Accounts'!$A$2:$A$301,0))</f>
        <v/>
      </c>
      <c r="AB156" s="2" t="str">
        <f aca="false">IF(Z156="Low","Lower dep / ","Higher dep / ")&amp;IF(O156&gt;=Assumptions!$B$34,"Higher value","Lower value")</f>
        <v>Lower dep / Lower value</v>
      </c>
    </row>
    <row r="157" customFormat="false" ht="15" hidden="false" customHeight="false" outlineLevel="0" collapsed="false">
      <c r="A157" s="2" t="s">
        <v>826</v>
      </c>
      <c r="B157" s="2" t="s">
        <v>1571</v>
      </c>
      <c r="C157" s="2" t="s">
        <v>1641</v>
      </c>
      <c r="D157" s="2" t="s">
        <v>1657</v>
      </c>
      <c r="E157" s="2" t="s">
        <v>1723</v>
      </c>
      <c r="F157" s="2" t="s">
        <v>1572</v>
      </c>
      <c r="G157" s="2" t="n">
        <v>23</v>
      </c>
      <c r="H157" s="2" t="n">
        <v>1</v>
      </c>
      <c r="I157" s="9" t="n">
        <v>0</v>
      </c>
      <c r="J157" s="9" t="n">
        <v>0</v>
      </c>
      <c r="K157" s="9" t="n">
        <v>0</v>
      </c>
      <c r="L157" s="9" t="n">
        <v>0</v>
      </c>
      <c r="M157" s="9" t="n">
        <v>0</v>
      </c>
      <c r="N157" s="9" t="n">
        <v>255</v>
      </c>
      <c r="O157" s="9" t="n">
        <v>255</v>
      </c>
      <c r="P157" s="2"/>
      <c r="Q157" s="2" t="str">
        <f aca="false">IF(I157&gt;0,ROUND((N157-I157)/I157*100,0),"")</f>
        <v/>
      </c>
      <c r="R157" s="9" t="n">
        <f aca="false">SUM(I157:K157)</f>
        <v>0</v>
      </c>
      <c r="S157" s="9" t="n">
        <f aca="false">SUM(L157:N157)</f>
        <v>255</v>
      </c>
      <c r="T157" s="17" t="str">
        <f aca="false">IF(R157&gt;0,S157/R157-1,"")</f>
        <v/>
      </c>
      <c r="U157" s="2" t="str">
        <f aca="false">IF(AND(R157=0,S157&gt;0),"H2 Active / No H1 GMV",IF(S157=0,"Lapsed",IF(T157&gt;=Assumptions!$B$36,"Growing",IF(T157&lt;-Assumptions!$B$36,"Declining","Stable"))))</f>
        <v>H2 Active / No H1 GMV</v>
      </c>
      <c r="V157" s="2" t="n">
        <f aca="false">COUNTIF(I157:N157,"&gt;0")</f>
        <v>1</v>
      </c>
      <c r="W157" s="2" t="str">
        <f aca="false">IF(N157&gt;0,"Feb",IF(M157&gt;0,"Jan",IF(L157&gt;0,"Dec",IF(K157&gt;0,"Nov",IF(J157&gt;0,"Oct","Sep")))))</f>
        <v>Feb</v>
      </c>
      <c r="X157" s="2" t="str">
        <f aca="false">IF(O157&gt;=Assumptions!$B$35,"Key (&gt;=£10k)",IF(O157&gt;=Assumptions!$B$34,"Core (£2k-10k)","Tail (&lt;£2k)"))</f>
        <v>Tail (&lt;£2k)</v>
      </c>
      <c r="Y157" s="21" t="n">
        <f aca="false">INDEX('Scored Accounts'!$Q$2:$Q$301,MATCH(A157,'Scored Accounts'!$A$2:$A$301,0))</f>
        <v>0</v>
      </c>
      <c r="Z157" s="2" t="str">
        <f aca="false">INDEX('Scored Accounts'!$R$2:$R$301,MATCH(A157,'Scored Accounts'!$A$2:$A$301,0))</f>
        <v>Low</v>
      </c>
      <c r="AA157" s="2" t="str">
        <f aca="false">INDEX('Scored Accounts'!$T$2:$T$301,MATCH(A157,'Scored Accounts'!$A$2:$A$301,0))</f>
        <v/>
      </c>
      <c r="AB157" s="2" t="str">
        <f aca="false">IF(Z157="Low","Lower dep / ","Higher dep / ")&amp;IF(O157&gt;=Assumptions!$B$34,"Higher value","Lower value")</f>
        <v>Lower dep / Lower value</v>
      </c>
    </row>
    <row r="158" customFormat="false" ht="15" hidden="false" customHeight="false" outlineLevel="0" collapsed="false">
      <c r="A158" s="2" t="s">
        <v>828</v>
      </c>
      <c r="B158" s="2" t="s">
        <v>1571</v>
      </c>
      <c r="C158" s="2" t="s">
        <v>1640</v>
      </c>
      <c r="D158" s="2" t="s">
        <v>1657</v>
      </c>
      <c r="E158" s="2" t="s">
        <v>1717</v>
      </c>
      <c r="F158" s="2" t="s">
        <v>1572</v>
      </c>
      <c r="G158" s="2" t="n">
        <v>14</v>
      </c>
      <c r="H158" s="2" t="n">
        <v>1</v>
      </c>
      <c r="I158" s="9" t="n">
        <v>254</v>
      </c>
      <c r="J158" s="9" t="n">
        <v>0</v>
      </c>
      <c r="K158" s="9" t="n">
        <v>0</v>
      </c>
      <c r="L158" s="9" t="n">
        <v>0</v>
      </c>
      <c r="M158" s="9" t="n">
        <v>0</v>
      </c>
      <c r="N158" s="9" t="n">
        <v>0</v>
      </c>
      <c r="O158" s="9" t="n">
        <v>254</v>
      </c>
      <c r="P158" s="2" t="n">
        <v>-100</v>
      </c>
      <c r="Q158" s="2" t="n">
        <f aca="false">IF(I158&gt;0,ROUND((N158-I158)/I158*100,0),"")</f>
        <v>-100</v>
      </c>
      <c r="R158" s="9" t="n">
        <f aca="false">SUM(I158:K158)</f>
        <v>254</v>
      </c>
      <c r="S158" s="9" t="n">
        <f aca="false">SUM(L158:N158)</f>
        <v>0</v>
      </c>
      <c r="T158" s="17" t="n">
        <f aca="false">IF(R158&gt;0,S158/R158-1,"")</f>
        <v>-1</v>
      </c>
      <c r="U158" s="2" t="str">
        <f aca="false">IF(AND(R158=0,S158&gt;0),"H2 Active / No H1 GMV",IF(S158=0,"Lapsed",IF(T158&gt;=Assumptions!$B$36,"Growing",IF(T158&lt;-Assumptions!$B$36,"Declining","Stable"))))</f>
        <v>Lapsed</v>
      </c>
      <c r="V158" s="2" t="n">
        <f aca="false">COUNTIF(I158:N158,"&gt;0")</f>
        <v>1</v>
      </c>
      <c r="W158" s="2" t="str">
        <f aca="false">IF(N158&gt;0,"Feb",IF(M158&gt;0,"Jan",IF(L158&gt;0,"Dec",IF(K158&gt;0,"Nov",IF(J158&gt;0,"Oct","Sep")))))</f>
        <v>Sep</v>
      </c>
      <c r="X158" s="2" t="str">
        <f aca="false">IF(O158&gt;=Assumptions!$B$35,"Key (&gt;=£10k)",IF(O158&gt;=Assumptions!$B$34,"Core (£2k-10k)","Tail (&lt;£2k)"))</f>
        <v>Tail (&lt;£2k)</v>
      </c>
      <c r="Y158" s="21" t="n">
        <f aca="false">INDEX('Scored Accounts'!$Q$2:$Q$301,MATCH(A158,'Scored Accounts'!$A$2:$A$301,0))</f>
        <v>0</v>
      </c>
      <c r="Z158" s="2" t="str">
        <f aca="false">INDEX('Scored Accounts'!$R$2:$R$301,MATCH(A158,'Scored Accounts'!$A$2:$A$301,0))</f>
        <v>Low</v>
      </c>
      <c r="AA158" s="2" t="str">
        <f aca="false">INDEX('Scored Accounts'!$T$2:$T$301,MATCH(A158,'Scored Accounts'!$A$2:$A$301,0))</f>
        <v/>
      </c>
      <c r="AB158" s="2" t="str">
        <f aca="false">IF(Z158="Low","Lower dep / ","Higher dep / ")&amp;IF(O158&gt;=Assumptions!$B$34,"Higher value","Lower value")</f>
        <v>Lower dep / Lower value</v>
      </c>
    </row>
    <row r="159" customFormat="false" ht="15" hidden="false" customHeight="false" outlineLevel="0" collapsed="false">
      <c r="A159" s="2" t="s">
        <v>830</v>
      </c>
      <c r="B159" s="2" t="s">
        <v>1571</v>
      </c>
      <c r="C159" s="2" t="s">
        <v>1640</v>
      </c>
      <c r="D159" s="2" t="s">
        <v>1657</v>
      </c>
      <c r="E159" s="2" t="s">
        <v>1716</v>
      </c>
      <c r="F159" s="2"/>
      <c r="G159" s="2" t="n">
        <v>6</v>
      </c>
      <c r="H159" s="2" t="n">
        <v>1</v>
      </c>
      <c r="I159" s="9" t="n">
        <v>254</v>
      </c>
      <c r="J159" s="9" t="n">
        <v>0</v>
      </c>
      <c r="K159" s="9" t="n">
        <v>0</v>
      </c>
      <c r="L159" s="9" t="n">
        <v>0</v>
      </c>
      <c r="M159" s="9" t="n">
        <v>0</v>
      </c>
      <c r="N159" s="9" t="n">
        <v>0</v>
      </c>
      <c r="O159" s="9" t="n">
        <v>254</v>
      </c>
      <c r="P159" s="2" t="n">
        <v>-100</v>
      </c>
      <c r="Q159" s="2" t="n">
        <f aca="false">IF(I159&gt;0,ROUND((N159-I159)/I159*100,0),"")</f>
        <v>-100</v>
      </c>
      <c r="R159" s="9" t="n">
        <f aca="false">SUM(I159:K159)</f>
        <v>254</v>
      </c>
      <c r="S159" s="9" t="n">
        <f aca="false">SUM(L159:N159)</f>
        <v>0</v>
      </c>
      <c r="T159" s="17" t="n">
        <f aca="false">IF(R159&gt;0,S159/R159-1,"")</f>
        <v>-1</v>
      </c>
      <c r="U159" s="2" t="str">
        <f aca="false">IF(AND(R159=0,S159&gt;0),"H2 Active / No H1 GMV",IF(S159=0,"Lapsed",IF(T159&gt;=Assumptions!$B$36,"Growing",IF(T159&lt;-Assumptions!$B$36,"Declining","Stable"))))</f>
        <v>Lapsed</v>
      </c>
      <c r="V159" s="2" t="n">
        <f aca="false">COUNTIF(I159:N159,"&gt;0")</f>
        <v>1</v>
      </c>
      <c r="W159" s="2" t="str">
        <f aca="false">IF(N159&gt;0,"Feb",IF(M159&gt;0,"Jan",IF(L159&gt;0,"Dec",IF(K159&gt;0,"Nov",IF(J159&gt;0,"Oct","Sep")))))</f>
        <v>Sep</v>
      </c>
      <c r="X159" s="2" t="str">
        <f aca="false">IF(O159&gt;=Assumptions!$B$35,"Key (&gt;=£10k)",IF(O159&gt;=Assumptions!$B$34,"Core (£2k-10k)","Tail (&lt;£2k)"))</f>
        <v>Tail (&lt;£2k)</v>
      </c>
      <c r="Y159" s="21" t="n">
        <f aca="false">INDEX('Scored Accounts'!$Q$2:$Q$301,MATCH(A159,'Scored Accounts'!$A$2:$A$301,0))</f>
        <v>0</v>
      </c>
      <c r="Z159" s="2" t="str">
        <f aca="false">INDEX('Scored Accounts'!$R$2:$R$301,MATCH(A159,'Scored Accounts'!$A$2:$A$301,0))</f>
        <v>Low</v>
      </c>
      <c r="AA159" s="2" t="str">
        <f aca="false">INDEX('Scored Accounts'!$T$2:$T$301,MATCH(A159,'Scored Accounts'!$A$2:$A$301,0))</f>
        <v/>
      </c>
      <c r="AB159" s="2" t="str">
        <f aca="false">IF(Z159="Low","Lower dep / ","Higher dep / ")&amp;IF(O159&gt;=Assumptions!$B$34,"Higher value","Lower value")</f>
        <v>Lower dep / Lower value</v>
      </c>
    </row>
    <row r="160" customFormat="false" ht="15" hidden="false" customHeight="false" outlineLevel="0" collapsed="false">
      <c r="A160" s="2" t="s">
        <v>832</v>
      </c>
      <c r="B160" s="2" t="s">
        <v>1571</v>
      </c>
      <c r="C160" s="2" t="s">
        <v>1640</v>
      </c>
      <c r="D160" s="2" t="s">
        <v>1653</v>
      </c>
      <c r="E160" s="2" t="s">
        <v>1653</v>
      </c>
      <c r="F160" s="2" t="s">
        <v>1572</v>
      </c>
      <c r="G160" s="2" t="n">
        <v>6</v>
      </c>
      <c r="H160" s="2" t="n">
        <v>1</v>
      </c>
      <c r="I160" s="9" t="n">
        <v>253</v>
      </c>
      <c r="J160" s="9" t="n">
        <v>0</v>
      </c>
      <c r="K160" s="9" t="n">
        <v>0</v>
      </c>
      <c r="L160" s="9" t="n">
        <v>0</v>
      </c>
      <c r="M160" s="9" t="n">
        <v>0</v>
      </c>
      <c r="N160" s="9" t="n">
        <v>0</v>
      </c>
      <c r="O160" s="9" t="n">
        <v>253</v>
      </c>
      <c r="P160" s="2" t="n">
        <v>-100</v>
      </c>
      <c r="Q160" s="2" t="n">
        <f aca="false">IF(I160&gt;0,ROUND((N160-I160)/I160*100,0),"")</f>
        <v>-100</v>
      </c>
      <c r="R160" s="9" t="n">
        <f aca="false">SUM(I160:K160)</f>
        <v>253</v>
      </c>
      <c r="S160" s="9" t="n">
        <f aca="false">SUM(L160:N160)</f>
        <v>0</v>
      </c>
      <c r="T160" s="17" t="n">
        <f aca="false">IF(R160&gt;0,S160/R160-1,"")</f>
        <v>-1</v>
      </c>
      <c r="U160" s="2" t="str">
        <f aca="false">IF(AND(R160=0,S160&gt;0),"H2 Active / No H1 GMV",IF(S160=0,"Lapsed",IF(T160&gt;=Assumptions!$B$36,"Growing",IF(T160&lt;-Assumptions!$B$36,"Declining","Stable"))))</f>
        <v>Lapsed</v>
      </c>
      <c r="V160" s="2" t="n">
        <f aca="false">COUNTIF(I160:N160,"&gt;0")</f>
        <v>1</v>
      </c>
      <c r="W160" s="2" t="str">
        <f aca="false">IF(N160&gt;0,"Feb",IF(M160&gt;0,"Jan",IF(L160&gt;0,"Dec",IF(K160&gt;0,"Nov",IF(J160&gt;0,"Oct","Sep")))))</f>
        <v>Sep</v>
      </c>
      <c r="X160" s="2" t="str">
        <f aca="false">IF(O160&gt;=Assumptions!$B$35,"Key (&gt;=£10k)",IF(O160&gt;=Assumptions!$B$34,"Core (£2k-10k)","Tail (&lt;£2k)"))</f>
        <v>Tail (&lt;£2k)</v>
      </c>
      <c r="Y160" s="21" t="n">
        <f aca="false">INDEX('Scored Accounts'!$Q$2:$Q$301,MATCH(A160,'Scored Accounts'!$A$2:$A$301,0))</f>
        <v>0</v>
      </c>
      <c r="Z160" s="2" t="str">
        <f aca="false">INDEX('Scored Accounts'!$R$2:$R$301,MATCH(A160,'Scored Accounts'!$A$2:$A$301,0))</f>
        <v>Low</v>
      </c>
      <c r="AA160" s="2" t="str">
        <f aca="false">INDEX('Scored Accounts'!$T$2:$T$301,MATCH(A160,'Scored Accounts'!$A$2:$A$301,0))</f>
        <v/>
      </c>
      <c r="AB160" s="2" t="str">
        <f aca="false">IF(Z160="Low","Lower dep / ","Higher dep / ")&amp;IF(O160&gt;=Assumptions!$B$34,"Higher value","Lower value")</f>
        <v>Lower dep / Lower value</v>
      </c>
    </row>
    <row r="161" customFormat="false" ht="15" hidden="false" customHeight="false" outlineLevel="0" collapsed="false">
      <c r="A161" s="2" t="s">
        <v>566</v>
      </c>
      <c r="B161" s="2" t="s">
        <v>1571</v>
      </c>
      <c r="C161" s="2" t="s">
        <v>1640</v>
      </c>
      <c r="D161" s="2" t="s">
        <v>1657</v>
      </c>
      <c r="E161" s="2" t="s">
        <v>1716</v>
      </c>
      <c r="F161" s="2" t="s">
        <v>1572</v>
      </c>
      <c r="G161" s="2" t="n">
        <v>12</v>
      </c>
      <c r="H161" s="2" t="n">
        <v>2</v>
      </c>
      <c r="I161" s="9" t="n">
        <v>92</v>
      </c>
      <c r="J161" s="9" t="n">
        <v>0</v>
      </c>
      <c r="K161" s="9" t="n">
        <v>0</v>
      </c>
      <c r="L161" s="9" t="n">
        <v>0</v>
      </c>
      <c r="M161" s="9" t="n">
        <v>157</v>
      </c>
      <c r="N161" s="9" t="n">
        <v>0</v>
      </c>
      <c r="O161" s="9" t="n">
        <v>249</v>
      </c>
      <c r="P161" s="2" t="n">
        <v>-100</v>
      </c>
      <c r="Q161" s="2" t="n">
        <f aca="false">IF(I161&gt;0,ROUND((N161-I161)/I161*100,0),"")</f>
        <v>-100</v>
      </c>
      <c r="R161" s="9" t="n">
        <f aca="false">SUM(I161:K161)</f>
        <v>92</v>
      </c>
      <c r="S161" s="9" t="n">
        <f aca="false">SUM(L161:N161)</f>
        <v>157</v>
      </c>
      <c r="T161" s="17" t="n">
        <f aca="false">IF(R161&gt;0,S161/R161-1,"")</f>
        <v>0.706521739130435</v>
      </c>
      <c r="U161" s="2" t="str">
        <f aca="false">IF(AND(R161=0,S161&gt;0),"H2 Active / No H1 GMV",IF(S161=0,"Lapsed",IF(T161&gt;=Assumptions!$B$36,"Growing",IF(T161&lt;-Assumptions!$B$36,"Declining","Stable"))))</f>
        <v>Growing</v>
      </c>
      <c r="V161" s="2" t="n">
        <f aca="false">COUNTIF(I161:N161,"&gt;0")</f>
        <v>2</v>
      </c>
      <c r="W161" s="2" t="str">
        <f aca="false">IF(N161&gt;0,"Feb",IF(M161&gt;0,"Jan",IF(L161&gt;0,"Dec",IF(K161&gt;0,"Nov",IF(J161&gt;0,"Oct","Sep")))))</f>
        <v>Jan</v>
      </c>
      <c r="X161" s="2" t="str">
        <f aca="false">IF(O161&gt;=Assumptions!$B$35,"Key (&gt;=£10k)",IF(O161&gt;=Assumptions!$B$34,"Core (£2k-10k)","Tail (&lt;£2k)"))</f>
        <v>Tail (&lt;£2k)</v>
      </c>
      <c r="Y161" s="21" t="n">
        <f aca="false">INDEX('Scored Accounts'!$Q$2:$Q$301,MATCH(A161,'Scored Accounts'!$A$2:$A$301,0))</f>
        <v>0</v>
      </c>
      <c r="Z161" s="2" t="str">
        <f aca="false">INDEX('Scored Accounts'!$R$2:$R$301,MATCH(A161,'Scored Accounts'!$A$2:$A$301,0))</f>
        <v>Low</v>
      </c>
      <c r="AA161" s="2" t="str">
        <f aca="false">INDEX('Scored Accounts'!$T$2:$T$301,MATCH(A161,'Scored Accounts'!$A$2:$A$301,0))</f>
        <v/>
      </c>
      <c r="AB161" s="2" t="str">
        <f aca="false">IF(Z161="Low","Lower dep / ","Higher dep / ")&amp;IF(O161&gt;=Assumptions!$B$34,"Higher value","Lower value")</f>
        <v>Lower dep / Lower value</v>
      </c>
    </row>
    <row r="162" customFormat="false" ht="15" hidden="false" customHeight="false" outlineLevel="0" collapsed="false">
      <c r="A162" s="2" t="s">
        <v>834</v>
      </c>
      <c r="B162" s="2" t="s">
        <v>1571</v>
      </c>
      <c r="C162" s="2" t="s">
        <v>1640</v>
      </c>
      <c r="D162" s="2" t="s">
        <v>1658</v>
      </c>
      <c r="E162" s="2" t="s">
        <v>1658</v>
      </c>
      <c r="F162" s="2" t="s">
        <v>1572</v>
      </c>
      <c r="G162" s="2" t="n">
        <v>16</v>
      </c>
      <c r="H162" s="2" t="n">
        <v>1</v>
      </c>
      <c r="I162" s="9" t="n">
        <v>248</v>
      </c>
      <c r="J162" s="9" t="n">
        <v>0</v>
      </c>
      <c r="K162" s="9" t="n">
        <v>0</v>
      </c>
      <c r="L162" s="9" t="n">
        <v>0</v>
      </c>
      <c r="M162" s="9" t="n">
        <v>0</v>
      </c>
      <c r="N162" s="9" t="n">
        <v>0</v>
      </c>
      <c r="O162" s="9" t="n">
        <v>248</v>
      </c>
      <c r="P162" s="2" t="n">
        <v>-100</v>
      </c>
      <c r="Q162" s="2" t="n">
        <f aca="false">IF(I162&gt;0,ROUND((N162-I162)/I162*100,0),"")</f>
        <v>-100</v>
      </c>
      <c r="R162" s="9" t="n">
        <f aca="false">SUM(I162:K162)</f>
        <v>248</v>
      </c>
      <c r="S162" s="9" t="n">
        <f aca="false">SUM(L162:N162)</f>
        <v>0</v>
      </c>
      <c r="T162" s="17" t="n">
        <f aca="false">IF(R162&gt;0,S162/R162-1,"")</f>
        <v>-1</v>
      </c>
      <c r="U162" s="2" t="str">
        <f aca="false">IF(AND(R162=0,S162&gt;0),"H2 Active / No H1 GMV",IF(S162=0,"Lapsed",IF(T162&gt;=Assumptions!$B$36,"Growing",IF(T162&lt;-Assumptions!$B$36,"Declining","Stable"))))</f>
        <v>Lapsed</v>
      </c>
      <c r="V162" s="2" t="n">
        <f aca="false">COUNTIF(I162:N162,"&gt;0")</f>
        <v>1</v>
      </c>
      <c r="W162" s="2" t="str">
        <f aca="false">IF(N162&gt;0,"Feb",IF(M162&gt;0,"Jan",IF(L162&gt;0,"Dec",IF(K162&gt;0,"Nov",IF(J162&gt;0,"Oct","Sep")))))</f>
        <v>Sep</v>
      </c>
      <c r="X162" s="2" t="str">
        <f aca="false">IF(O162&gt;=Assumptions!$B$35,"Key (&gt;=£10k)",IF(O162&gt;=Assumptions!$B$34,"Core (£2k-10k)","Tail (&lt;£2k)"))</f>
        <v>Tail (&lt;£2k)</v>
      </c>
      <c r="Y162" s="21" t="n">
        <f aca="false">INDEX('Scored Accounts'!$Q$2:$Q$301,MATCH(A162,'Scored Accounts'!$A$2:$A$301,0))</f>
        <v>0</v>
      </c>
      <c r="Z162" s="2" t="str">
        <f aca="false">INDEX('Scored Accounts'!$R$2:$R$301,MATCH(A162,'Scored Accounts'!$A$2:$A$301,0))</f>
        <v>Low</v>
      </c>
      <c r="AA162" s="2" t="str">
        <f aca="false">INDEX('Scored Accounts'!$T$2:$T$301,MATCH(A162,'Scored Accounts'!$A$2:$A$301,0))</f>
        <v/>
      </c>
      <c r="AB162" s="2" t="str">
        <f aca="false">IF(Z162="Low","Lower dep / ","Higher dep / ")&amp;IF(O162&gt;=Assumptions!$B$34,"Higher value","Lower value")</f>
        <v>Lower dep / Lower value</v>
      </c>
    </row>
    <row r="163" customFormat="false" ht="15" hidden="false" customHeight="false" outlineLevel="0" collapsed="false">
      <c r="A163" s="2" t="s">
        <v>838</v>
      </c>
      <c r="B163" s="2" t="s">
        <v>1571</v>
      </c>
      <c r="C163" s="2" t="s">
        <v>1641</v>
      </c>
      <c r="D163" s="2" t="s">
        <v>1653</v>
      </c>
      <c r="E163" s="2" t="s">
        <v>1653</v>
      </c>
      <c r="F163" s="2"/>
      <c r="G163" s="2" t="n">
        <v>6</v>
      </c>
      <c r="H163" s="2" t="n">
        <v>1</v>
      </c>
      <c r="I163" s="9" t="n">
        <v>242</v>
      </c>
      <c r="J163" s="9" t="n">
        <v>0</v>
      </c>
      <c r="K163" s="9" t="n">
        <v>0</v>
      </c>
      <c r="L163" s="9" t="n">
        <v>0</v>
      </c>
      <c r="M163" s="9" t="n">
        <v>0</v>
      </c>
      <c r="N163" s="9" t="n">
        <v>0</v>
      </c>
      <c r="O163" s="9" t="n">
        <v>242</v>
      </c>
      <c r="P163" s="2" t="n">
        <v>-100</v>
      </c>
      <c r="Q163" s="2" t="n">
        <f aca="false">IF(I163&gt;0,ROUND((N163-I163)/I163*100,0),"")</f>
        <v>-100</v>
      </c>
      <c r="R163" s="9" t="n">
        <f aca="false">SUM(I163:K163)</f>
        <v>242</v>
      </c>
      <c r="S163" s="9" t="n">
        <f aca="false">SUM(L163:N163)</f>
        <v>0</v>
      </c>
      <c r="T163" s="17" t="n">
        <f aca="false">IF(R163&gt;0,S163/R163-1,"")</f>
        <v>-1</v>
      </c>
      <c r="U163" s="2" t="str">
        <f aca="false">IF(AND(R163=0,S163&gt;0),"H2 Active / No H1 GMV",IF(S163=0,"Lapsed",IF(T163&gt;=Assumptions!$B$36,"Growing",IF(T163&lt;-Assumptions!$B$36,"Declining","Stable"))))</f>
        <v>Lapsed</v>
      </c>
      <c r="V163" s="2" t="n">
        <f aca="false">COUNTIF(I163:N163,"&gt;0")</f>
        <v>1</v>
      </c>
      <c r="W163" s="2" t="str">
        <f aca="false">IF(N163&gt;0,"Feb",IF(M163&gt;0,"Jan",IF(L163&gt;0,"Dec",IF(K163&gt;0,"Nov",IF(J163&gt;0,"Oct","Sep")))))</f>
        <v>Sep</v>
      </c>
      <c r="X163" s="2" t="str">
        <f aca="false">IF(O163&gt;=Assumptions!$B$35,"Key (&gt;=£10k)",IF(O163&gt;=Assumptions!$B$34,"Core (£2k-10k)","Tail (&lt;£2k)"))</f>
        <v>Tail (&lt;£2k)</v>
      </c>
      <c r="Y163" s="21" t="n">
        <f aca="false">INDEX('Scored Accounts'!$Q$2:$Q$301,MATCH(A163,'Scored Accounts'!$A$2:$A$301,0))</f>
        <v>0</v>
      </c>
      <c r="Z163" s="2" t="str">
        <f aca="false">INDEX('Scored Accounts'!$R$2:$R$301,MATCH(A163,'Scored Accounts'!$A$2:$A$301,0))</f>
        <v>Low</v>
      </c>
      <c r="AA163" s="2" t="str">
        <f aca="false">INDEX('Scored Accounts'!$T$2:$T$301,MATCH(A163,'Scored Accounts'!$A$2:$A$301,0))</f>
        <v/>
      </c>
      <c r="AB163" s="2" t="str">
        <f aca="false">IF(Z163="Low","Lower dep / ","Higher dep / ")&amp;IF(O163&gt;=Assumptions!$B$34,"Higher value","Lower value")</f>
        <v>Lower dep / Lower value</v>
      </c>
    </row>
    <row r="164" customFormat="false" ht="15" hidden="false" customHeight="false" outlineLevel="0" collapsed="false">
      <c r="A164" s="2" t="s">
        <v>842</v>
      </c>
      <c r="B164" s="2" t="s">
        <v>1571</v>
      </c>
      <c r="C164" s="2" t="s">
        <v>1640</v>
      </c>
      <c r="D164" s="2" t="s">
        <v>1653</v>
      </c>
      <c r="E164" s="2" t="s">
        <v>1653</v>
      </c>
      <c r="F164" s="2" t="s">
        <v>1572</v>
      </c>
      <c r="G164" s="2" t="n">
        <v>6</v>
      </c>
      <c r="H164" s="2" t="n">
        <v>1</v>
      </c>
      <c r="I164" s="9" t="n">
        <v>240</v>
      </c>
      <c r="J164" s="9" t="n">
        <v>0</v>
      </c>
      <c r="K164" s="9" t="n">
        <v>0</v>
      </c>
      <c r="L164" s="9" t="n">
        <v>0</v>
      </c>
      <c r="M164" s="9" t="n">
        <v>0</v>
      </c>
      <c r="N164" s="9" t="n">
        <v>0</v>
      </c>
      <c r="O164" s="9" t="n">
        <v>240</v>
      </c>
      <c r="P164" s="2" t="n">
        <v>-100</v>
      </c>
      <c r="Q164" s="2" t="n">
        <f aca="false">IF(I164&gt;0,ROUND((N164-I164)/I164*100,0),"")</f>
        <v>-100</v>
      </c>
      <c r="R164" s="9" t="n">
        <f aca="false">SUM(I164:K164)</f>
        <v>240</v>
      </c>
      <c r="S164" s="9" t="n">
        <f aca="false">SUM(L164:N164)</f>
        <v>0</v>
      </c>
      <c r="T164" s="17" t="n">
        <f aca="false">IF(R164&gt;0,S164/R164-1,"")</f>
        <v>-1</v>
      </c>
      <c r="U164" s="2" t="str">
        <f aca="false">IF(AND(R164=0,S164&gt;0),"H2 Active / No H1 GMV",IF(S164=0,"Lapsed",IF(T164&gt;=Assumptions!$B$36,"Growing",IF(T164&lt;-Assumptions!$B$36,"Declining","Stable"))))</f>
        <v>Lapsed</v>
      </c>
      <c r="V164" s="2" t="n">
        <f aca="false">COUNTIF(I164:N164,"&gt;0")</f>
        <v>1</v>
      </c>
      <c r="W164" s="2" t="str">
        <f aca="false">IF(N164&gt;0,"Feb",IF(M164&gt;0,"Jan",IF(L164&gt;0,"Dec",IF(K164&gt;0,"Nov",IF(J164&gt;0,"Oct","Sep")))))</f>
        <v>Sep</v>
      </c>
      <c r="X164" s="2" t="str">
        <f aca="false">IF(O164&gt;=Assumptions!$B$35,"Key (&gt;=£10k)",IF(O164&gt;=Assumptions!$B$34,"Core (£2k-10k)","Tail (&lt;£2k)"))</f>
        <v>Tail (&lt;£2k)</v>
      </c>
      <c r="Y164" s="21" t="n">
        <f aca="false">INDEX('Scored Accounts'!$Q$2:$Q$301,MATCH(A164,'Scored Accounts'!$A$2:$A$301,0))</f>
        <v>0</v>
      </c>
      <c r="Z164" s="2" t="str">
        <f aca="false">INDEX('Scored Accounts'!$R$2:$R$301,MATCH(A164,'Scored Accounts'!$A$2:$A$301,0))</f>
        <v>Low</v>
      </c>
      <c r="AA164" s="2" t="str">
        <f aca="false">INDEX('Scored Accounts'!$T$2:$T$301,MATCH(A164,'Scored Accounts'!$A$2:$A$301,0))</f>
        <v/>
      </c>
      <c r="AB164" s="2" t="str">
        <f aca="false">IF(Z164="Low","Lower dep / ","Higher dep / ")&amp;IF(O164&gt;=Assumptions!$B$34,"Higher value","Lower value")</f>
        <v>Lower dep / Lower value</v>
      </c>
    </row>
    <row r="165" customFormat="false" ht="15" hidden="false" customHeight="false" outlineLevel="0" collapsed="false">
      <c r="A165" s="2" t="s">
        <v>844</v>
      </c>
      <c r="B165" s="2" t="s">
        <v>1571</v>
      </c>
      <c r="C165" s="2" t="s">
        <v>1640</v>
      </c>
      <c r="D165" s="2" t="s">
        <v>1657</v>
      </c>
      <c r="E165" s="2" t="s">
        <v>1717</v>
      </c>
      <c r="F165" s="2"/>
      <c r="G165" s="2" t="n">
        <v>6</v>
      </c>
      <c r="H165" s="2" t="n">
        <v>1</v>
      </c>
      <c r="I165" s="9" t="n">
        <v>230</v>
      </c>
      <c r="J165" s="9" t="n">
        <v>0</v>
      </c>
      <c r="K165" s="9" t="n">
        <v>0</v>
      </c>
      <c r="L165" s="9" t="n">
        <v>0</v>
      </c>
      <c r="M165" s="9" t="n">
        <v>0</v>
      </c>
      <c r="N165" s="9" t="n">
        <v>0</v>
      </c>
      <c r="O165" s="9" t="n">
        <v>230</v>
      </c>
      <c r="P165" s="2" t="n">
        <v>-100</v>
      </c>
      <c r="Q165" s="2" t="n">
        <f aca="false">IF(I165&gt;0,ROUND((N165-I165)/I165*100,0),"")</f>
        <v>-100</v>
      </c>
      <c r="R165" s="9" t="n">
        <f aca="false">SUM(I165:K165)</f>
        <v>230</v>
      </c>
      <c r="S165" s="9" t="n">
        <f aca="false">SUM(L165:N165)</f>
        <v>0</v>
      </c>
      <c r="T165" s="17" t="n">
        <f aca="false">IF(R165&gt;0,S165/R165-1,"")</f>
        <v>-1</v>
      </c>
      <c r="U165" s="2" t="str">
        <f aca="false">IF(AND(R165=0,S165&gt;0),"H2 Active / No H1 GMV",IF(S165=0,"Lapsed",IF(T165&gt;=Assumptions!$B$36,"Growing",IF(T165&lt;-Assumptions!$B$36,"Declining","Stable"))))</f>
        <v>Lapsed</v>
      </c>
      <c r="V165" s="2" t="n">
        <f aca="false">COUNTIF(I165:N165,"&gt;0")</f>
        <v>1</v>
      </c>
      <c r="W165" s="2" t="str">
        <f aca="false">IF(N165&gt;0,"Feb",IF(M165&gt;0,"Jan",IF(L165&gt;0,"Dec",IF(K165&gt;0,"Nov",IF(J165&gt;0,"Oct","Sep")))))</f>
        <v>Sep</v>
      </c>
      <c r="X165" s="2" t="str">
        <f aca="false">IF(O165&gt;=Assumptions!$B$35,"Key (&gt;=£10k)",IF(O165&gt;=Assumptions!$B$34,"Core (£2k-10k)","Tail (&lt;£2k)"))</f>
        <v>Tail (&lt;£2k)</v>
      </c>
      <c r="Y165" s="21" t="n">
        <f aca="false">INDEX('Scored Accounts'!$Q$2:$Q$301,MATCH(A165,'Scored Accounts'!$A$2:$A$301,0))</f>
        <v>0</v>
      </c>
      <c r="Z165" s="2" t="str">
        <f aca="false">INDEX('Scored Accounts'!$R$2:$R$301,MATCH(A165,'Scored Accounts'!$A$2:$A$301,0))</f>
        <v>Low</v>
      </c>
      <c r="AA165" s="2" t="str">
        <f aca="false">INDEX('Scored Accounts'!$T$2:$T$301,MATCH(A165,'Scored Accounts'!$A$2:$A$301,0))</f>
        <v/>
      </c>
      <c r="AB165" s="2" t="str">
        <f aca="false">IF(Z165="Low","Lower dep / ","Higher dep / ")&amp;IF(O165&gt;=Assumptions!$B$34,"Higher value","Lower value")</f>
        <v>Lower dep / Lower value</v>
      </c>
    </row>
    <row r="166" customFormat="false" ht="15" hidden="false" customHeight="false" outlineLevel="0" collapsed="false">
      <c r="A166" s="2" t="s">
        <v>846</v>
      </c>
      <c r="B166" s="2" t="s">
        <v>1571</v>
      </c>
      <c r="C166" s="2" t="s">
        <v>1640</v>
      </c>
      <c r="D166" s="2" t="s">
        <v>1653</v>
      </c>
      <c r="E166" s="2" t="s">
        <v>1653</v>
      </c>
      <c r="F166" s="2"/>
      <c r="G166" s="2" t="n">
        <v>6</v>
      </c>
      <c r="H166" s="2" t="n">
        <v>2</v>
      </c>
      <c r="I166" s="9" t="n">
        <v>110</v>
      </c>
      <c r="J166" s="9" t="n">
        <v>0</v>
      </c>
      <c r="K166" s="9" t="n">
        <v>111</v>
      </c>
      <c r="L166" s="9" t="n">
        <v>0</v>
      </c>
      <c r="M166" s="9" t="n">
        <v>0</v>
      </c>
      <c r="N166" s="9" t="n">
        <v>0</v>
      </c>
      <c r="O166" s="9" t="n">
        <v>222</v>
      </c>
      <c r="P166" s="2" t="n">
        <v>-100</v>
      </c>
      <c r="Q166" s="2" t="n">
        <f aca="false">IF(I166&gt;0,ROUND((N166-I166)/I166*100,0),"")</f>
        <v>-100</v>
      </c>
      <c r="R166" s="9" t="n">
        <f aca="false">SUM(I166:K166)</f>
        <v>221</v>
      </c>
      <c r="S166" s="9" t="n">
        <f aca="false">SUM(L166:N166)</f>
        <v>0</v>
      </c>
      <c r="T166" s="17" t="n">
        <f aca="false">IF(R166&gt;0,S166/R166-1,"")</f>
        <v>-1</v>
      </c>
      <c r="U166" s="2" t="str">
        <f aca="false">IF(AND(R166=0,S166&gt;0),"H2 Active / No H1 GMV",IF(S166=0,"Lapsed",IF(T166&gt;=Assumptions!$B$36,"Growing",IF(T166&lt;-Assumptions!$B$36,"Declining","Stable"))))</f>
        <v>Lapsed</v>
      </c>
      <c r="V166" s="2" t="n">
        <f aca="false">COUNTIF(I166:N166,"&gt;0")</f>
        <v>2</v>
      </c>
      <c r="W166" s="2" t="str">
        <f aca="false">IF(N166&gt;0,"Feb",IF(M166&gt;0,"Jan",IF(L166&gt;0,"Dec",IF(K166&gt;0,"Nov",IF(J166&gt;0,"Oct","Sep")))))</f>
        <v>Nov</v>
      </c>
      <c r="X166" s="2" t="str">
        <f aca="false">IF(O166&gt;=Assumptions!$B$35,"Key (&gt;=£10k)",IF(O166&gt;=Assumptions!$B$34,"Core (£2k-10k)","Tail (&lt;£2k)"))</f>
        <v>Tail (&lt;£2k)</v>
      </c>
      <c r="Y166" s="21" t="n">
        <f aca="false">INDEX('Scored Accounts'!$Q$2:$Q$301,MATCH(A166,'Scored Accounts'!$A$2:$A$301,0))</f>
        <v>0</v>
      </c>
      <c r="Z166" s="2" t="str">
        <f aca="false">INDEX('Scored Accounts'!$R$2:$R$301,MATCH(A166,'Scored Accounts'!$A$2:$A$301,0))</f>
        <v>Low</v>
      </c>
      <c r="AA166" s="2" t="str">
        <f aca="false">INDEX('Scored Accounts'!$T$2:$T$301,MATCH(A166,'Scored Accounts'!$A$2:$A$301,0))</f>
        <v/>
      </c>
      <c r="AB166" s="2" t="str">
        <f aca="false">IF(Z166="Low","Lower dep / ","Higher dep / ")&amp;IF(O166&gt;=Assumptions!$B$34,"Higher value","Lower value")</f>
        <v>Lower dep / Lower value</v>
      </c>
    </row>
    <row r="167" customFormat="false" ht="15" hidden="false" customHeight="false" outlineLevel="0" collapsed="false">
      <c r="A167" s="2" t="s">
        <v>848</v>
      </c>
      <c r="B167" s="2" t="s">
        <v>1571</v>
      </c>
      <c r="C167" s="2" t="s">
        <v>1640</v>
      </c>
      <c r="D167" s="2" t="s">
        <v>1653</v>
      </c>
      <c r="E167" s="2" t="s">
        <v>1653</v>
      </c>
      <c r="F167" s="2"/>
      <c r="G167" s="2" t="n">
        <v>6</v>
      </c>
      <c r="H167" s="2" t="n">
        <v>2</v>
      </c>
      <c r="I167" s="9" t="n">
        <v>26</v>
      </c>
      <c r="J167" s="9" t="n">
        <v>191</v>
      </c>
      <c r="K167" s="9" t="n">
        <v>0</v>
      </c>
      <c r="L167" s="9" t="n">
        <v>0</v>
      </c>
      <c r="M167" s="9" t="n">
        <v>0</v>
      </c>
      <c r="N167" s="9" t="n">
        <v>0</v>
      </c>
      <c r="O167" s="9" t="n">
        <v>217</v>
      </c>
      <c r="P167" s="2" t="n">
        <v>-100</v>
      </c>
      <c r="Q167" s="2" t="n">
        <f aca="false">IF(I167&gt;0,ROUND((N167-I167)/I167*100,0),"")</f>
        <v>-100</v>
      </c>
      <c r="R167" s="9" t="n">
        <f aca="false">SUM(I167:K167)</f>
        <v>217</v>
      </c>
      <c r="S167" s="9" t="n">
        <f aca="false">SUM(L167:N167)</f>
        <v>0</v>
      </c>
      <c r="T167" s="17" t="n">
        <f aca="false">IF(R167&gt;0,S167/R167-1,"")</f>
        <v>-1</v>
      </c>
      <c r="U167" s="2" t="str">
        <f aca="false">IF(AND(R167=0,S167&gt;0),"H2 Active / No H1 GMV",IF(S167=0,"Lapsed",IF(T167&gt;=Assumptions!$B$36,"Growing",IF(T167&lt;-Assumptions!$B$36,"Declining","Stable"))))</f>
        <v>Lapsed</v>
      </c>
      <c r="V167" s="2" t="n">
        <f aca="false">COUNTIF(I167:N167,"&gt;0")</f>
        <v>2</v>
      </c>
      <c r="W167" s="2" t="str">
        <f aca="false">IF(N167&gt;0,"Feb",IF(M167&gt;0,"Jan",IF(L167&gt;0,"Dec",IF(K167&gt;0,"Nov",IF(J167&gt;0,"Oct","Sep")))))</f>
        <v>Oct</v>
      </c>
      <c r="X167" s="2" t="str">
        <f aca="false">IF(O167&gt;=Assumptions!$B$35,"Key (&gt;=£10k)",IF(O167&gt;=Assumptions!$B$34,"Core (£2k-10k)","Tail (&lt;£2k)"))</f>
        <v>Tail (&lt;£2k)</v>
      </c>
      <c r="Y167" s="21" t="n">
        <f aca="false">INDEX('Scored Accounts'!$Q$2:$Q$301,MATCH(A167,'Scored Accounts'!$A$2:$A$301,0))</f>
        <v>0</v>
      </c>
      <c r="Z167" s="2" t="str">
        <f aca="false">INDEX('Scored Accounts'!$R$2:$R$301,MATCH(A167,'Scored Accounts'!$A$2:$A$301,0))</f>
        <v>Low</v>
      </c>
      <c r="AA167" s="2" t="str">
        <f aca="false">INDEX('Scored Accounts'!$T$2:$T$301,MATCH(A167,'Scored Accounts'!$A$2:$A$301,0))</f>
        <v/>
      </c>
      <c r="AB167" s="2" t="str">
        <f aca="false">IF(Z167="Low","Lower dep / ","Higher dep / ")&amp;IF(O167&gt;=Assumptions!$B$34,"Higher value","Lower value")</f>
        <v>Lower dep / Lower value</v>
      </c>
    </row>
    <row r="168" customFormat="false" ht="15" hidden="false" customHeight="false" outlineLevel="0" collapsed="false">
      <c r="A168" s="2" t="s">
        <v>858</v>
      </c>
      <c r="B168" s="2" t="s">
        <v>1571</v>
      </c>
      <c r="C168" s="2" t="s">
        <v>1640</v>
      </c>
      <c r="D168" s="2" t="s">
        <v>1653</v>
      </c>
      <c r="E168" s="2" t="s">
        <v>1653</v>
      </c>
      <c r="F168" s="2" t="s">
        <v>1572</v>
      </c>
      <c r="G168" s="2" t="n">
        <v>7</v>
      </c>
      <c r="H168" s="2" t="n">
        <v>1</v>
      </c>
      <c r="I168" s="9" t="n">
        <v>209</v>
      </c>
      <c r="J168" s="9" t="n">
        <v>0</v>
      </c>
      <c r="K168" s="9" t="n">
        <v>0</v>
      </c>
      <c r="L168" s="9" t="n">
        <v>0</v>
      </c>
      <c r="M168" s="9" t="n">
        <v>0</v>
      </c>
      <c r="N168" s="9" t="n">
        <v>0</v>
      </c>
      <c r="O168" s="9" t="n">
        <v>209</v>
      </c>
      <c r="P168" s="2" t="n">
        <v>-100</v>
      </c>
      <c r="Q168" s="2" t="n">
        <f aca="false">IF(I168&gt;0,ROUND((N168-I168)/I168*100,0),"")</f>
        <v>-100</v>
      </c>
      <c r="R168" s="9" t="n">
        <f aca="false">SUM(I168:K168)</f>
        <v>209</v>
      </c>
      <c r="S168" s="9" t="n">
        <f aca="false">SUM(L168:N168)</f>
        <v>0</v>
      </c>
      <c r="T168" s="17" t="n">
        <f aca="false">IF(R168&gt;0,S168/R168-1,"")</f>
        <v>-1</v>
      </c>
      <c r="U168" s="2" t="str">
        <f aca="false">IF(AND(R168=0,S168&gt;0),"H2 Active / No H1 GMV",IF(S168=0,"Lapsed",IF(T168&gt;=Assumptions!$B$36,"Growing",IF(T168&lt;-Assumptions!$B$36,"Declining","Stable"))))</f>
        <v>Lapsed</v>
      </c>
      <c r="V168" s="2" t="n">
        <f aca="false">COUNTIF(I168:N168,"&gt;0")</f>
        <v>1</v>
      </c>
      <c r="W168" s="2" t="str">
        <f aca="false">IF(N168&gt;0,"Feb",IF(M168&gt;0,"Jan",IF(L168&gt;0,"Dec",IF(K168&gt;0,"Nov",IF(J168&gt;0,"Oct","Sep")))))</f>
        <v>Sep</v>
      </c>
      <c r="X168" s="2" t="str">
        <f aca="false">IF(O168&gt;=Assumptions!$B$35,"Key (&gt;=£10k)",IF(O168&gt;=Assumptions!$B$34,"Core (£2k-10k)","Tail (&lt;£2k)"))</f>
        <v>Tail (&lt;£2k)</v>
      </c>
      <c r="Y168" s="21" t="n">
        <f aca="false">INDEX('Scored Accounts'!$Q$2:$Q$301,MATCH(A168,'Scored Accounts'!$A$2:$A$301,0))</f>
        <v>0</v>
      </c>
      <c r="Z168" s="2" t="str">
        <f aca="false">INDEX('Scored Accounts'!$R$2:$R$301,MATCH(A168,'Scored Accounts'!$A$2:$A$301,0))</f>
        <v>Low</v>
      </c>
      <c r="AA168" s="2" t="str">
        <f aca="false">INDEX('Scored Accounts'!$T$2:$T$301,MATCH(A168,'Scored Accounts'!$A$2:$A$301,0))</f>
        <v/>
      </c>
      <c r="AB168" s="2" t="str">
        <f aca="false">IF(Z168="Low","Lower dep / ","Higher dep / ")&amp;IF(O168&gt;=Assumptions!$B$34,"Higher value","Lower value")</f>
        <v>Lower dep / Lower value</v>
      </c>
    </row>
    <row r="169" customFormat="false" ht="15" hidden="false" customHeight="false" outlineLevel="0" collapsed="false">
      <c r="A169" s="2" t="s">
        <v>862</v>
      </c>
      <c r="B169" s="2" t="s">
        <v>1571</v>
      </c>
      <c r="C169" s="2" t="s">
        <v>1640</v>
      </c>
      <c r="D169" s="2" t="s">
        <v>1653</v>
      </c>
      <c r="E169" s="2" t="s">
        <v>1653</v>
      </c>
      <c r="F169" s="2"/>
      <c r="G169" s="2" t="n">
        <v>6</v>
      </c>
      <c r="H169" s="2" t="n">
        <v>1</v>
      </c>
      <c r="I169" s="9" t="n">
        <v>200</v>
      </c>
      <c r="J169" s="9" t="n">
        <v>0</v>
      </c>
      <c r="K169" s="9" t="n">
        <v>0</v>
      </c>
      <c r="L169" s="9" t="n">
        <v>0</v>
      </c>
      <c r="M169" s="9" t="n">
        <v>0</v>
      </c>
      <c r="N169" s="9" t="n">
        <v>0</v>
      </c>
      <c r="O169" s="9" t="n">
        <v>200</v>
      </c>
      <c r="P169" s="2" t="n">
        <v>-100</v>
      </c>
      <c r="Q169" s="2" t="n">
        <f aca="false">IF(I169&gt;0,ROUND((N169-I169)/I169*100,0),"")</f>
        <v>-100</v>
      </c>
      <c r="R169" s="9" t="n">
        <f aca="false">SUM(I169:K169)</f>
        <v>200</v>
      </c>
      <c r="S169" s="9" t="n">
        <f aca="false">SUM(L169:N169)</f>
        <v>0</v>
      </c>
      <c r="T169" s="17" t="n">
        <f aca="false">IF(R169&gt;0,S169/R169-1,"")</f>
        <v>-1</v>
      </c>
      <c r="U169" s="2" t="str">
        <f aca="false">IF(AND(R169=0,S169&gt;0),"H2 Active / No H1 GMV",IF(S169=0,"Lapsed",IF(T169&gt;=Assumptions!$B$36,"Growing",IF(T169&lt;-Assumptions!$B$36,"Declining","Stable"))))</f>
        <v>Lapsed</v>
      </c>
      <c r="V169" s="2" t="n">
        <f aca="false">COUNTIF(I169:N169,"&gt;0")</f>
        <v>1</v>
      </c>
      <c r="W169" s="2" t="str">
        <f aca="false">IF(N169&gt;0,"Feb",IF(M169&gt;0,"Jan",IF(L169&gt;0,"Dec",IF(K169&gt;0,"Nov",IF(J169&gt;0,"Oct","Sep")))))</f>
        <v>Sep</v>
      </c>
      <c r="X169" s="2" t="str">
        <f aca="false">IF(O169&gt;=Assumptions!$B$35,"Key (&gt;=£10k)",IF(O169&gt;=Assumptions!$B$34,"Core (£2k-10k)","Tail (&lt;£2k)"))</f>
        <v>Tail (&lt;£2k)</v>
      </c>
      <c r="Y169" s="21" t="n">
        <f aca="false">INDEX('Scored Accounts'!$Q$2:$Q$301,MATCH(A169,'Scored Accounts'!$A$2:$A$301,0))</f>
        <v>0</v>
      </c>
      <c r="Z169" s="2" t="str">
        <f aca="false">INDEX('Scored Accounts'!$R$2:$R$301,MATCH(A169,'Scored Accounts'!$A$2:$A$301,0))</f>
        <v>Low</v>
      </c>
      <c r="AA169" s="2" t="str">
        <f aca="false">INDEX('Scored Accounts'!$T$2:$T$301,MATCH(A169,'Scored Accounts'!$A$2:$A$301,0))</f>
        <v/>
      </c>
      <c r="AB169" s="2" t="str">
        <f aca="false">IF(Z169="Low","Lower dep / ","Higher dep / ")&amp;IF(O169&gt;=Assumptions!$B$34,"Higher value","Lower value")</f>
        <v>Lower dep / Lower value</v>
      </c>
    </row>
    <row r="170" customFormat="false" ht="15" hidden="false" customHeight="false" outlineLevel="0" collapsed="false">
      <c r="A170" s="2" t="s">
        <v>864</v>
      </c>
      <c r="B170" s="2" t="s">
        <v>1571</v>
      </c>
      <c r="C170" s="2" t="s">
        <v>1641</v>
      </c>
      <c r="D170" s="2" t="s">
        <v>1653</v>
      </c>
      <c r="E170" s="2" t="s">
        <v>1653</v>
      </c>
      <c r="F170" s="2"/>
      <c r="G170" s="2" t="n">
        <v>6</v>
      </c>
      <c r="H170" s="2" t="n">
        <v>1</v>
      </c>
      <c r="I170" s="9" t="n">
        <v>200</v>
      </c>
      <c r="J170" s="9" t="n">
        <v>0</v>
      </c>
      <c r="K170" s="9" t="n">
        <v>0</v>
      </c>
      <c r="L170" s="9" t="n">
        <v>0</v>
      </c>
      <c r="M170" s="9" t="n">
        <v>0</v>
      </c>
      <c r="N170" s="9" t="n">
        <v>0</v>
      </c>
      <c r="O170" s="9" t="n">
        <v>200</v>
      </c>
      <c r="P170" s="2" t="n">
        <v>-100</v>
      </c>
      <c r="Q170" s="2" t="n">
        <f aca="false">IF(I170&gt;0,ROUND((N170-I170)/I170*100,0),"")</f>
        <v>-100</v>
      </c>
      <c r="R170" s="9" t="n">
        <f aca="false">SUM(I170:K170)</f>
        <v>200</v>
      </c>
      <c r="S170" s="9" t="n">
        <f aca="false">SUM(L170:N170)</f>
        <v>0</v>
      </c>
      <c r="T170" s="17" t="n">
        <f aca="false">IF(R170&gt;0,S170/R170-1,"")</f>
        <v>-1</v>
      </c>
      <c r="U170" s="2" t="str">
        <f aca="false">IF(AND(R170=0,S170&gt;0),"H2 Active / No H1 GMV",IF(S170=0,"Lapsed",IF(T170&gt;=Assumptions!$B$36,"Growing",IF(T170&lt;-Assumptions!$B$36,"Declining","Stable"))))</f>
        <v>Lapsed</v>
      </c>
      <c r="V170" s="2" t="n">
        <f aca="false">COUNTIF(I170:N170,"&gt;0")</f>
        <v>1</v>
      </c>
      <c r="W170" s="2" t="str">
        <f aca="false">IF(N170&gt;0,"Feb",IF(M170&gt;0,"Jan",IF(L170&gt;0,"Dec",IF(K170&gt;0,"Nov",IF(J170&gt;0,"Oct","Sep")))))</f>
        <v>Sep</v>
      </c>
      <c r="X170" s="2" t="str">
        <f aca="false">IF(O170&gt;=Assumptions!$B$35,"Key (&gt;=£10k)",IF(O170&gt;=Assumptions!$B$34,"Core (£2k-10k)","Tail (&lt;£2k)"))</f>
        <v>Tail (&lt;£2k)</v>
      </c>
      <c r="Y170" s="21" t="n">
        <f aca="false">INDEX('Scored Accounts'!$Q$2:$Q$301,MATCH(A170,'Scored Accounts'!$A$2:$A$301,0))</f>
        <v>0</v>
      </c>
      <c r="Z170" s="2" t="str">
        <f aca="false">INDEX('Scored Accounts'!$R$2:$R$301,MATCH(A170,'Scored Accounts'!$A$2:$A$301,0))</f>
        <v>Low</v>
      </c>
      <c r="AA170" s="2" t="str">
        <f aca="false">INDEX('Scored Accounts'!$T$2:$T$301,MATCH(A170,'Scored Accounts'!$A$2:$A$301,0))</f>
        <v/>
      </c>
      <c r="AB170" s="2" t="str">
        <f aca="false">IF(Z170="Low","Lower dep / ","Higher dep / ")&amp;IF(O170&gt;=Assumptions!$B$34,"Higher value","Lower value")</f>
        <v>Lower dep / Lower value</v>
      </c>
    </row>
    <row r="171" customFormat="false" ht="15" hidden="false" customHeight="false" outlineLevel="0" collapsed="false">
      <c r="A171" s="2" t="s">
        <v>866</v>
      </c>
      <c r="B171" s="2" t="s">
        <v>1571</v>
      </c>
      <c r="C171" s="2" t="s">
        <v>1640</v>
      </c>
      <c r="D171" s="2" t="s">
        <v>1657</v>
      </c>
      <c r="E171" s="2" t="s">
        <v>1727</v>
      </c>
      <c r="F171" s="2"/>
      <c r="G171" s="2" t="n">
        <v>6</v>
      </c>
      <c r="H171" s="2" t="n">
        <v>1</v>
      </c>
      <c r="I171" s="9" t="n">
        <v>196</v>
      </c>
      <c r="J171" s="9" t="n">
        <v>0</v>
      </c>
      <c r="K171" s="9" t="n">
        <v>0</v>
      </c>
      <c r="L171" s="9" t="n">
        <v>0</v>
      </c>
      <c r="M171" s="9" t="n">
        <v>0</v>
      </c>
      <c r="N171" s="9" t="n">
        <v>0</v>
      </c>
      <c r="O171" s="9" t="n">
        <v>196</v>
      </c>
      <c r="P171" s="2" t="n">
        <v>-100</v>
      </c>
      <c r="Q171" s="2" t="n">
        <f aca="false">IF(I171&gt;0,ROUND((N171-I171)/I171*100,0),"")</f>
        <v>-100</v>
      </c>
      <c r="R171" s="9" t="n">
        <f aca="false">SUM(I171:K171)</f>
        <v>196</v>
      </c>
      <c r="S171" s="9" t="n">
        <f aca="false">SUM(L171:N171)</f>
        <v>0</v>
      </c>
      <c r="T171" s="17" t="n">
        <f aca="false">IF(R171&gt;0,S171/R171-1,"")</f>
        <v>-1</v>
      </c>
      <c r="U171" s="2" t="str">
        <f aca="false">IF(AND(R171=0,S171&gt;0),"H2 Active / No H1 GMV",IF(S171=0,"Lapsed",IF(T171&gt;=Assumptions!$B$36,"Growing",IF(T171&lt;-Assumptions!$B$36,"Declining","Stable"))))</f>
        <v>Lapsed</v>
      </c>
      <c r="V171" s="2" t="n">
        <f aca="false">COUNTIF(I171:N171,"&gt;0")</f>
        <v>1</v>
      </c>
      <c r="W171" s="2" t="str">
        <f aca="false">IF(N171&gt;0,"Feb",IF(M171&gt;0,"Jan",IF(L171&gt;0,"Dec",IF(K171&gt;0,"Nov",IF(J171&gt;0,"Oct","Sep")))))</f>
        <v>Sep</v>
      </c>
      <c r="X171" s="2" t="str">
        <f aca="false">IF(O171&gt;=Assumptions!$B$35,"Key (&gt;=£10k)",IF(O171&gt;=Assumptions!$B$34,"Core (£2k-10k)","Tail (&lt;£2k)"))</f>
        <v>Tail (&lt;£2k)</v>
      </c>
      <c r="Y171" s="21" t="n">
        <f aca="false">INDEX('Scored Accounts'!$Q$2:$Q$301,MATCH(A171,'Scored Accounts'!$A$2:$A$301,0))</f>
        <v>0</v>
      </c>
      <c r="Z171" s="2" t="str">
        <f aca="false">INDEX('Scored Accounts'!$R$2:$R$301,MATCH(A171,'Scored Accounts'!$A$2:$A$301,0))</f>
        <v>Low</v>
      </c>
      <c r="AA171" s="2" t="str">
        <f aca="false">INDEX('Scored Accounts'!$T$2:$T$301,MATCH(A171,'Scored Accounts'!$A$2:$A$301,0))</f>
        <v/>
      </c>
      <c r="AB171" s="2" t="str">
        <f aca="false">IF(Z171="Low","Lower dep / ","Higher dep / ")&amp;IF(O171&gt;=Assumptions!$B$34,"Higher value","Lower value")</f>
        <v>Lower dep / Lower value</v>
      </c>
    </row>
    <row r="172" customFormat="false" ht="15" hidden="false" customHeight="false" outlineLevel="0" collapsed="false">
      <c r="A172" s="2" t="s">
        <v>870</v>
      </c>
      <c r="B172" s="2" t="s">
        <v>1571</v>
      </c>
      <c r="C172" s="2" t="s">
        <v>1640</v>
      </c>
      <c r="D172" s="2" t="s">
        <v>1653</v>
      </c>
      <c r="E172" s="2" t="s">
        <v>1653</v>
      </c>
      <c r="F172" s="2" t="s">
        <v>1572</v>
      </c>
      <c r="G172" s="2" t="n">
        <v>6</v>
      </c>
      <c r="H172" s="2" t="n">
        <v>1</v>
      </c>
      <c r="I172" s="9" t="n">
        <v>192</v>
      </c>
      <c r="J172" s="9" t="n">
        <v>0</v>
      </c>
      <c r="K172" s="9" t="n">
        <v>0</v>
      </c>
      <c r="L172" s="9" t="n">
        <v>0</v>
      </c>
      <c r="M172" s="9" t="n">
        <v>0</v>
      </c>
      <c r="N172" s="9" t="n">
        <v>0</v>
      </c>
      <c r="O172" s="9" t="n">
        <v>192</v>
      </c>
      <c r="P172" s="2" t="n">
        <v>-100</v>
      </c>
      <c r="Q172" s="2" t="n">
        <f aca="false">IF(I172&gt;0,ROUND((N172-I172)/I172*100,0),"")</f>
        <v>-100</v>
      </c>
      <c r="R172" s="9" t="n">
        <f aca="false">SUM(I172:K172)</f>
        <v>192</v>
      </c>
      <c r="S172" s="9" t="n">
        <f aca="false">SUM(L172:N172)</f>
        <v>0</v>
      </c>
      <c r="T172" s="17" t="n">
        <f aca="false">IF(R172&gt;0,S172/R172-1,"")</f>
        <v>-1</v>
      </c>
      <c r="U172" s="2" t="str">
        <f aca="false">IF(AND(R172=0,S172&gt;0),"H2 Active / No H1 GMV",IF(S172=0,"Lapsed",IF(T172&gt;=Assumptions!$B$36,"Growing",IF(T172&lt;-Assumptions!$B$36,"Declining","Stable"))))</f>
        <v>Lapsed</v>
      </c>
      <c r="V172" s="2" t="n">
        <f aca="false">COUNTIF(I172:N172,"&gt;0")</f>
        <v>1</v>
      </c>
      <c r="W172" s="2" t="str">
        <f aca="false">IF(N172&gt;0,"Feb",IF(M172&gt;0,"Jan",IF(L172&gt;0,"Dec",IF(K172&gt;0,"Nov",IF(J172&gt;0,"Oct","Sep")))))</f>
        <v>Sep</v>
      </c>
      <c r="X172" s="2" t="str">
        <f aca="false">IF(O172&gt;=Assumptions!$B$35,"Key (&gt;=£10k)",IF(O172&gt;=Assumptions!$B$34,"Core (£2k-10k)","Tail (&lt;£2k)"))</f>
        <v>Tail (&lt;£2k)</v>
      </c>
      <c r="Y172" s="21" t="n">
        <f aca="false">INDEX('Scored Accounts'!$Q$2:$Q$301,MATCH(A172,'Scored Accounts'!$A$2:$A$301,0))</f>
        <v>0</v>
      </c>
      <c r="Z172" s="2" t="str">
        <f aca="false">INDEX('Scored Accounts'!$R$2:$R$301,MATCH(A172,'Scored Accounts'!$A$2:$A$301,0))</f>
        <v>Low</v>
      </c>
      <c r="AA172" s="2" t="str">
        <f aca="false">INDEX('Scored Accounts'!$T$2:$T$301,MATCH(A172,'Scored Accounts'!$A$2:$A$301,0))</f>
        <v/>
      </c>
      <c r="AB172" s="2" t="str">
        <f aca="false">IF(Z172="Low","Lower dep / ","Higher dep / ")&amp;IF(O172&gt;=Assumptions!$B$34,"Higher value","Lower value")</f>
        <v>Lower dep / Lower value</v>
      </c>
    </row>
    <row r="173" customFormat="false" ht="15" hidden="false" customHeight="false" outlineLevel="0" collapsed="false">
      <c r="A173" s="2" t="s">
        <v>874</v>
      </c>
      <c r="B173" s="2" t="s">
        <v>1571</v>
      </c>
      <c r="C173" s="2" t="s">
        <v>1640</v>
      </c>
      <c r="D173" s="2" t="s">
        <v>1657</v>
      </c>
      <c r="E173" s="2" t="s">
        <v>1724</v>
      </c>
      <c r="F173" s="2"/>
      <c r="G173" s="2" t="n">
        <v>6</v>
      </c>
      <c r="H173" s="2" t="n">
        <v>1</v>
      </c>
      <c r="I173" s="9" t="n">
        <v>186</v>
      </c>
      <c r="J173" s="9" t="n">
        <v>0</v>
      </c>
      <c r="K173" s="9" t="n">
        <v>0</v>
      </c>
      <c r="L173" s="9" t="n">
        <v>0</v>
      </c>
      <c r="M173" s="9" t="n">
        <v>0</v>
      </c>
      <c r="N173" s="9" t="n">
        <v>0</v>
      </c>
      <c r="O173" s="9" t="n">
        <v>186</v>
      </c>
      <c r="P173" s="2" t="n">
        <v>-100</v>
      </c>
      <c r="Q173" s="2" t="n">
        <f aca="false">IF(I173&gt;0,ROUND((N173-I173)/I173*100,0),"")</f>
        <v>-100</v>
      </c>
      <c r="R173" s="9" t="n">
        <f aca="false">SUM(I173:K173)</f>
        <v>186</v>
      </c>
      <c r="S173" s="9" t="n">
        <f aca="false">SUM(L173:N173)</f>
        <v>0</v>
      </c>
      <c r="T173" s="17" t="n">
        <f aca="false">IF(R173&gt;0,S173/R173-1,"")</f>
        <v>-1</v>
      </c>
      <c r="U173" s="2" t="str">
        <f aca="false">IF(AND(R173=0,S173&gt;0),"H2 Active / No H1 GMV",IF(S173=0,"Lapsed",IF(T173&gt;=Assumptions!$B$36,"Growing",IF(T173&lt;-Assumptions!$B$36,"Declining","Stable"))))</f>
        <v>Lapsed</v>
      </c>
      <c r="V173" s="2" t="n">
        <f aca="false">COUNTIF(I173:N173,"&gt;0")</f>
        <v>1</v>
      </c>
      <c r="W173" s="2" t="str">
        <f aca="false">IF(N173&gt;0,"Feb",IF(M173&gt;0,"Jan",IF(L173&gt;0,"Dec",IF(K173&gt;0,"Nov",IF(J173&gt;0,"Oct","Sep")))))</f>
        <v>Sep</v>
      </c>
      <c r="X173" s="2" t="str">
        <f aca="false">IF(O173&gt;=Assumptions!$B$35,"Key (&gt;=£10k)",IF(O173&gt;=Assumptions!$B$34,"Core (£2k-10k)","Tail (&lt;£2k)"))</f>
        <v>Tail (&lt;£2k)</v>
      </c>
      <c r="Y173" s="21" t="n">
        <f aca="false">INDEX('Scored Accounts'!$Q$2:$Q$301,MATCH(A173,'Scored Accounts'!$A$2:$A$301,0))</f>
        <v>0</v>
      </c>
      <c r="Z173" s="2" t="str">
        <f aca="false">INDEX('Scored Accounts'!$R$2:$R$301,MATCH(A173,'Scored Accounts'!$A$2:$A$301,0))</f>
        <v>Low</v>
      </c>
      <c r="AA173" s="2" t="str">
        <f aca="false">INDEX('Scored Accounts'!$T$2:$T$301,MATCH(A173,'Scored Accounts'!$A$2:$A$301,0))</f>
        <v/>
      </c>
      <c r="AB173" s="2" t="str">
        <f aca="false">IF(Z173="Low","Lower dep / ","Higher dep / ")&amp;IF(O173&gt;=Assumptions!$B$34,"Higher value","Lower value")</f>
        <v>Lower dep / Lower value</v>
      </c>
    </row>
    <row r="174" customFormat="false" ht="15" hidden="false" customHeight="false" outlineLevel="0" collapsed="false">
      <c r="A174" s="2" t="s">
        <v>878</v>
      </c>
      <c r="B174" s="2" t="s">
        <v>1571</v>
      </c>
      <c r="C174" s="2" t="s">
        <v>1640</v>
      </c>
      <c r="D174" s="2" t="s">
        <v>1657</v>
      </c>
      <c r="E174" s="2" t="s">
        <v>1717</v>
      </c>
      <c r="F174" s="2" t="s">
        <v>1572</v>
      </c>
      <c r="G174" s="2" t="n">
        <v>13</v>
      </c>
      <c r="H174" s="2" t="n">
        <v>1</v>
      </c>
      <c r="I174" s="9" t="n">
        <v>0</v>
      </c>
      <c r="J174" s="9" t="n">
        <v>0</v>
      </c>
      <c r="K174" s="9" t="n">
        <v>0</v>
      </c>
      <c r="L174" s="9" t="n">
        <v>0</v>
      </c>
      <c r="M174" s="9" t="n">
        <v>185</v>
      </c>
      <c r="N174" s="9" t="n">
        <v>0</v>
      </c>
      <c r="O174" s="9" t="n">
        <v>185</v>
      </c>
      <c r="P174" s="2"/>
      <c r="Q174" s="2" t="str">
        <f aca="false">IF(I174&gt;0,ROUND((N174-I174)/I174*100,0),"")</f>
        <v/>
      </c>
      <c r="R174" s="9" t="n">
        <f aca="false">SUM(I174:K174)</f>
        <v>0</v>
      </c>
      <c r="S174" s="9" t="n">
        <f aca="false">SUM(L174:N174)</f>
        <v>185</v>
      </c>
      <c r="T174" s="17" t="str">
        <f aca="false">IF(R174&gt;0,S174/R174-1,"")</f>
        <v/>
      </c>
      <c r="U174" s="2" t="str">
        <f aca="false">IF(AND(R174=0,S174&gt;0),"H2 Active / No H1 GMV",IF(S174=0,"Lapsed",IF(T174&gt;=Assumptions!$B$36,"Growing",IF(T174&lt;-Assumptions!$B$36,"Declining","Stable"))))</f>
        <v>H2 Active / No H1 GMV</v>
      </c>
      <c r="V174" s="2" t="n">
        <f aca="false">COUNTIF(I174:N174,"&gt;0")</f>
        <v>1</v>
      </c>
      <c r="W174" s="2" t="str">
        <f aca="false">IF(N174&gt;0,"Feb",IF(M174&gt;0,"Jan",IF(L174&gt;0,"Dec",IF(K174&gt;0,"Nov",IF(J174&gt;0,"Oct","Sep")))))</f>
        <v>Jan</v>
      </c>
      <c r="X174" s="2" t="str">
        <f aca="false">IF(O174&gt;=Assumptions!$B$35,"Key (&gt;=£10k)",IF(O174&gt;=Assumptions!$B$34,"Core (£2k-10k)","Tail (&lt;£2k)"))</f>
        <v>Tail (&lt;£2k)</v>
      </c>
      <c r="Y174" s="21" t="n">
        <f aca="false">INDEX('Scored Accounts'!$Q$2:$Q$301,MATCH(A174,'Scored Accounts'!$A$2:$A$301,0))</f>
        <v>0</v>
      </c>
      <c r="Z174" s="2" t="str">
        <f aca="false">INDEX('Scored Accounts'!$R$2:$R$301,MATCH(A174,'Scored Accounts'!$A$2:$A$301,0))</f>
        <v>Low</v>
      </c>
      <c r="AA174" s="2" t="str">
        <f aca="false">INDEX('Scored Accounts'!$T$2:$T$301,MATCH(A174,'Scored Accounts'!$A$2:$A$301,0))</f>
        <v/>
      </c>
      <c r="AB174" s="2" t="str">
        <f aca="false">IF(Z174="Low","Lower dep / ","Higher dep / ")&amp;IF(O174&gt;=Assumptions!$B$34,"Higher value","Lower value")</f>
        <v>Lower dep / Lower value</v>
      </c>
    </row>
    <row r="175" customFormat="false" ht="15" hidden="false" customHeight="false" outlineLevel="0" collapsed="false">
      <c r="A175" s="2" t="s">
        <v>886</v>
      </c>
      <c r="B175" s="2" t="s">
        <v>1571</v>
      </c>
      <c r="C175" s="2" t="s">
        <v>1640</v>
      </c>
      <c r="D175" s="2" t="s">
        <v>1653</v>
      </c>
      <c r="E175" s="2" t="s">
        <v>1653</v>
      </c>
      <c r="F175" s="2" t="s">
        <v>1572</v>
      </c>
      <c r="G175" s="2" t="n">
        <v>6</v>
      </c>
      <c r="H175" s="2" t="n">
        <v>1</v>
      </c>
      <c r="I175" s="9" t="n">
        <v>176</v>
      </c>
      <c r="J175" s="9" t="n">
        <v>0</v>
      </c>
      <c r="K175" s="9" t="n">
        <v>0</v>
      </c>
      <c r="L175" s="9" t="n">
        <v>0</v>
      </c>
      <c r="M175" s="9" t="n">
        <v>0</v>
      </c>
      <c r="N175" s="9" t="n">
        <v>0</v>
      </c>
      <c r="O175" s="9" t="n">
        <v>176</v>
      </c>
      <c r="P175" s="2" t="n">
        <v>-100</v>
      </c>
      <c r="Q175" s="2" t="n">
        <f aca="false">IF(I175&gt;0,ROUND((N175-I175)/I175*100,0),"")</f>
        <v>-100</v>
      </c>
      <c r="R175" s="9" t="n">
        <f aca="false">SUM(I175:K175)</f>
        <v>176</v>
      </c>
      <c r="S175" s="9" t="n">
        <f aca="false">SUM(L175:N175)</f>
        <v>0</v>
      </c>
      <c r="T175" s="17" t="n">
        <f aca="false">IF(R175&gt;0,S175/R175-1,"")</f>
        <v>-1</v>
      </c>
      <c r="U175" s="2" t="str">
        <f aca="false">IF(AND(R175=0,S175&gt;0),"H2 Active / No H1 GMV",IF(S175=0,"Lapsed",IF(T175&gt;=Assumptions!$B$36,"Growing",IF(T175&lt;-Assumptions!$B$36,"Declining","Stable"))))</f>
        <v>Lapsed</v>
      </c>
      <c r="V175" s="2" t="n">
        <f aca="false">COUNTIF(I175:N175,"&gt;0")</f>
        <v>1</v>
      </c>
      <c r="W175" s="2" t="str">
        <f aca="false">IF(N175&gt;0,"Feb",IF(M175&gt;0,"Jan",IF(L175&gt;0,"Dec",IF(K175&gt;0,"Nov",IF(J175&gt;0,"Oct","Sep")))))</f>
        <v>Sep</v>
      </c>
      <c r="X175" s="2" t="str">
        <f aca="false">IF(O175&gt;=Assumptions!$B$35,"Key (&gt;=£10k)",IF(O175&gt;=Assumptions!$B$34,"Core (£2k-10k)","Tail (&lt;£2k)"))</f>
        <v>Tail (&lt;£2k)</v>
      </c>
      <c r="Y175" s="21" t="n">
        <f aca="false">INDEX('Scored Accounts'!$Q$2:$Q$301,MATCH(A175,'Scored Accounts'!$A$2:$A$301,0))</f>
        <v>0</v>
      </c>
      <c r="Z175" s="2" t="str">
        <f aca="false">INDEX('Scored Accounts'!$R$2:$R$301,MATCH(A175,'Scored Accounts'!$A$2:$A$301,0))</f>
        <v>Low</v>
      </c>
      <c r="AA175" s="2" t="str">
        <f aca="false">INDEX('Scored Accounts'!$T$2:$T$301,MATCH(A175,'Scored Accounts'!$A$2:$A$301,0))</f>
        <v/>
      </c>
      <c r="AB175" s="2" t="str">
        <f aca="false">IF(Z175="Low","Lower dep / ","Higher dep / ")&amp;IF(O175&gt;=Assumptions!$B$34,"Higher value","Lower value")</f>
        <v>Lower dep / Lower value</v>
      </c>
    </row>
    <row r="176" customFormat="false" ht="15" hidden="false" customHeight="false" outlineLevel="0" collapsed="false">
      <c r="A176" s="2" t="s">
        <v>890</v>
      </c>
      <c r="B176" s="2" t="s">
        <v>1571</v>
      </c>
      <c r="C176" s="2" t="s">
        <v>1640</v>
      </c>
      <c r="D176" s="2" t="s">
        <v>1653</v>
      </c>
      <c r="E176" s="2" t="s">
        <v>1653</v>
      </c>
      <c r="F176" s="2"/>
      <c r="G176" s="2" t="n">
        <v>6</v>
      </c>
      <c r="H176" s="2" t="n">
        <v>1</v>
      </c>
      <c r="I176" s="9" t="n">
        <v>172</v>
      </c>
      <c r="J176" s="9" t="n">
        <v>0</v>
      </c>
      <c r="K176" s="9" t="n">
        <v>0</v>
      </c>
      <c r="L176" s="9" t="n">
        <v>0</v>
      </c>
      <c r="M176" s="9" t="n">
        <v>0</v>
      </c>
      <c r="N176" s="9" t="n">
        <v>0</v>
      </c>
      <c r="O176" s="9" t="n">
        <v>172</v>
      </c>
      <c r="P176" s="2" t="n">
        <v>-100</v>
      </c>
      <c r="Q176" s="2" t="n">
        <f aca="false">IF(I176&gt;0,ROUND((N176-I176)/I176*100,0),"")</f>
        <v>-100</v>
      </c>
      <c r="R176" s="9" t="n">
        <f aca="false">SUM(I176:K176)</f>
        <v>172</v>
      </c>
      <c r="S176" s="9" t="n">
        <f aca="false">SUM(L176:N176)</f>
        <v>0</v>
      </c>
      <c r="T176" s="17" t="n">
        <f aca="false">IF(R176&gt;0,S176/R176-1,"")</f>
        <v>-1</v>
      </c>
      <c r="U176" s="2" t="str">
        <f aca="false">IF(AND(R176=0,S176&gt;0),"H2 Active / No H1 GMV",IF(S176=0,"Lapsed",IF(T176&gt;=Assumptions!$B$36,"Growing",IF(T176&lt;-Assumptions!$B$36,"Declining","Stable"))))</f>
        <v>Lapsed</v>
      </c>
      <c r="V176" s="2" t="n">
        <f aca="false">COUNTIF(I176:N176,"&gt;0")</f>
        <v>1</v>
      </c>
      <c r="W176" s="2" t="str">
        <f aca="false">IF(N176&gt;0,"Feb",IF(M176&gt;0,"Jan",IF(L176&gt;0,"Dec",IF(K176&gt;0,"Nov",IF(J176&gt;0,"Oct","Sep")))))</f>
        <v>Sep</v>
      </c>
      <c r="X176" s="2" t="str">
        <f aca="false">IF(O176&gt;=Assumptions!$B$35,"Key (&gt;=£10k)",IF(O176&gt;=Assumptions!$B$34,"Core (£2k-10k)","Tail (&lt;£2k)"))</f>
        <v>Tail (&lt;£2k)</v>
      </c>
      <c r="Y176" s="21" t="n">
        <f aca="false">INDEX('Scored Accounts'!$Q$2:$Q$301,MATCH(A176,'Scored Accounts'!$A$2:$A$301,0))</f>
        <v>0</v>
      </c>
      <c r="Z176" s="2" t="str">
        <f aca="false">INDEX('Scored Accounts'!$R$2:$R$301,MATCH(A176,'Scored Accounts'!$A$2:$A$301,0))</f>
        <v>Low</v>
      </c>
      <c r="AA176" s="2" t="str">
        <f aca="false">INDEX('Scored Accounts'!$T$2:$T$301,MATCH(A176,'Scored Accounts'!$A$2:$A$301,0))</f>
        <v/>
      </c>
      <c r="AB176" s="2" t="str">
        <f aca="false">IF(Z176="Low","Lower dep / ","Higher dep / ")&amp;IF(O176&gt;=Assumptions!$B$34,"Higher value","Lower value")</f>
        <v>Lower dep / Lower value</v>
      </c>
    </row>
    <row r="177" customFormat="false" ht="15" hidden="false" customHeight="false" outlineLevel="0" collapsed="false">
      <c r="A177" s="2" t="s">
        <v>894</v>
      </c>
      <c r="B177" s="2" t="s">
        <v>1571</v>
      </c>
      <c r="C177" s="2" t="s">
        <v>1640</v>
      </c>
      <c r="D177" s="2" t="s">
        <v>1653</v>
      </c>
      <c r="E177" s="2" t="s">
        <v>1653</v>
      </c>
      <c r="F177" s="2" t="s">
        <v>1572</v>
      </c>
      <c r="G177" s="2" t="n">
        <v>6</v>
      </c>
      <c r="H177" s="2" t="n">
        <v>1</v>
      </c>
      <c r="I177" s="9" t="n">
        <v>164</v>
      </c>
      <c r="J177" s="9" t="n">
        <v>0</v>
      </c>
      <c r="K177" s="9" t="n">
        <v>0</v>
      </c>
      <c r="L177" s="9" t="n">
        <v>0</v>
      </c>
      <c r="M177" s="9" t="n">
        <v>0</v>
      </c>
      <c r="N177" s="9" t="n">
        <v>0</v>
      </c>
      <c r="O177" s="9" t="n">
        <v>164</v>
      </c>
      <c r="P177" s="2" t="n">
        <v>-100</v>
      </c>
      <c r="Q177" s="2" t="n">
        <f aca="false">IF(I177&gt;0,ROUND((N177-I177)/I177*100,0),"")</f>
        <v>-100</v>
      </c>
      <c r="R177" s="9" t="n">
        <f aca="false">SUM(I177:K177)</f>
        <v>164</v>
      </c>
      <c r="S177" s="9" t="n">
        <f aca="false">SUM(L177:N177)</f>
        <v>0</v>
      </c>
      <c r="T177" s="17" t="n">
        <f aca="false">IF(R177&gt;0,S177/R177-1,"")</f>
        <v>-1</v>
      </c>
      <c r="U177" s="2" t="str">
        <f aca="false">IF(AND(R177=0,S177&gt;0),"H2 Active / No H1 GMV",IF(S177=0,"Lapsed",IF(T177&gt;=Assumptions!$B$36,"Growing",IF(T177&lt;-Assumptions!$B$36,"Declining","Stable"))))</f>
        <v>Lapsed</v>
      </c>
      <c r="V177" s="2" t="n">
        <f aca="false">COUNTIF(I177:N177,"&gt;0")</f>
        <v>1</v>
      </c>
      <c r="W177" s="2" t="str">
        <f aca="false">IF(N177&gt;0,"Feb",IF(M177&gt;0,"Jan",IF(L177&gt;0,"Dec",IF(K177&gt;0,"Nov",IF(J177&gt;0,"Oct","Sep")))))</f>
        <v>Sep</v>
      </c>
      <c r="X177" s="2" t="str">
        <f aca="false">IF(O177&gt;=Assumptions!$B$35,"Key (&gt;=£10k)",IF(O177&gt;=Assumptions!$B$34,"Core (£2k-10k)","Tail (&lt;£2k)"))</f>
        <v>Tail (&lt;£2k)</v>
      </c>
      <c r="Y177" s="21" t="n">
        <f aca="false">INDEX('Scored Accounts'!$Q$2:$Q$301,MATCH(A177,'Scored Accounts'!$A$2:$A$301,0))</f>
        <v>0</v>
      </c>
      <c r="Z177" s="2" t="str">
        <f aca="false">INDEX('Scored Accounts'!$R$2:$R$301,MATCH(A177,'Scored Accounts'!$A$2:$A$301,0))</f>
        <v>Low</v>
      </c>
      <c r="AA177" s="2" t="str">
        <f aca="false">INDEX('Scored Accounts'!$T$2:$T$301,MATCH(A177,'Scored Accounts'!$A$2:$A$301,0))</f>
        <v/>
      </c>
      <c r="AB177" s="2" t="str">
        <f aca="false">IF(Z177="Low","Lower dep / ","Higher dep / ")&amp;IF(O177&gt;=Assumptions!$B$34,"Higher value","Lower value")</f>
        <v>Lower dep / Lower value</v>
      </c>
    </row>
    <row r="178" customFormat="false" ht="15" hidden="false" customHeight="false" outlineLevel="0" collapsed="false">
      <c r="A178" s="2" t="s">
        <v>896</v>
      </c>
      <c r="B178" s="2" t="s">
        <v>1571</v>
      </c>
      <c r="C178" s="2" t="s">
        <v>1640</v>
      </c>
      <c r="D178" s="2" t="s">
        <v>1653</v>
      </c>
      <c r="E178" s="2" t="s">
        <v>1653</v>
      </c>
      <c r="F178" s="2" t="s">
        <v>1572</v>
      </c>
      <c r="G178" s="2" t="n">
        <v>7</v>
      </c>
      <c r="H178" s="2" t="n">
        <v>1</v>
      </c>
      <c r="I178" s="9" t="n">
        <v>0</v>
      </c>
      <c r="J178" s="9" t="n">
        <v>0</v>
      </c>
      <c r="K178" s="9" t="n">
        <v>0</v>
      </c>
      <c r="L178" s="9" t="n">
        <v>0</v>
      </c>
      <c r="M178" s="9" t="n">
        <v>0</v>
      </c>
      <c r="N178" s="9" t="n">
        <v>164</v>
      </c>
      <c r="O178" s="9" t="n">
        <v>164</v>
      </c>
      <c r="P178" s="2"/>
      <c r="Q178" s="2" t="str">
        <f aca="false">IF(I178&gt;0,ROUND((N178-I178)/I178*100,0),"")</f>
        <v/>
      </c>
      <c r="R178" s="9" t="n">
        <f aca="false">SUM(I178:K178)</f>
        <v>0</v>
      </c>
      <c r="S178" s="9" t="n">
        <f aca="false">SUM(L178:N178)</f>
        <v>164</v>
      </c>
      <c r="T178" s="17" t="str">
        <f aca="false">IF(R178&gt;0,S178/R178-1,"")</f>
        <v/>
      </c>
      <c r="U178" s="2" t="str">
        <f aca="false">IF(AND(R178=0,S178&gt;0),"H2 Active / No H1 GMV",IF(S178=0,"Lapsed",IF(T178&gt;=Assumptions!$B$36,"Growing",IF(T178&lt;-Assumptions!$B$36,"Declining","Stable"))))</f>
        <v>H2 Active / No H1 GMV</v>
      </c>
      <c r="V178" s="2" t="n">
        <f aca="false">COUNTIF(I178:N178,"&gt;0")</f>
        <v>1</v>
      </c>
      <c r="W178" s="2" t="str">
        <f aca="false">IF(N178&gt;0,"Feb",IF(M178&gt;0,"Jan",IF(L178&gt;0,"Dec",IF(K178&gt;0,"Nov",IF(J178&gt;0,"Oct","Sep")))))</f>
        <v>Feb</v>
      </c>
      <c r="X178" s="2" t="str">
        <f aca="false">IF(O178&gt;=Assumptions!$B$35,"Key (&gt;=£10k)",IF(O178&gt;=Assumptions!$B$34,"Core (£2k-10k)","Tail (&lt;£2k)"))</f>
        <v>Tail (&lt;£2k)</v>
      </c>
      <c r="Y178" s="21" t="n">
        <f aca="false">INDEX('Scored Accounts'!$Q$2:$Q$301,MATCH(A178,'Scored Accounts'!$A$2:$A$301,0))</f>
        <v>0</v>
      </c>
      <c r="Z178" s="2" t="str">
        <f aca="false">INDEX('Scored Accounts'!$R$2:$R$301,MATCH(A178,'Scored Accounts'!$A$2:$A$301,0))</f>
        <v>Low</v>
      </c>
      <c r="AA178" s="2" t="str">
        <f aca="false">INDEX('Scored Accounts'!$T$2:$T$301,MATCH(A178,'Scored Accounts'!$A$2:$A$301,0))</f>
        <v/>
      </c>
      <c r="AB178" s="2" t="str">
        <f aca="false">IF(Z178="Low","Lower dep / ","Higher dep / ")&amp;IF(O178&gt;=Assumptions!$B$34,"Higher value","Lower value")</f>
        <v>Lower dep / Lower value</v>
      </c>
    </row>
    <row r="179" customFormat="false" ht="15" hidden="false" customHeight="false" outlineLevel="0" collapsed="false">
      <c r="A179" s="2" t="s">
        <v>898</v>
      </c>
      <c r="B179" s="2" t="s">
        <v>1571</v>
      </c>
      <c r="C179" s="2" t="s">
        <v>1640</v>
      </c>
      <c r="D179" s="2" t="s">
        <v>1653</v>
      </c>
      <c r="E179" s="2" t="s">
        <v>1653</v>
      </c>
      <c r="F179" s="2" t="s">
        <v>1572</v>
      </c>
      <c r="G179" s="2" t="n">
        <v>7</v>
      </c>
      <c r="H179" s="2" t="n">
        <v>1</v>
      </c>
      <c r="I179" s="9" t="n">
        <v>156</v>
      </c>
      <c r="J179" s="9" t="n">
        <v>0</v>
      </c>
      <c r="K179" s="9" t="n">
        <v>0</v>
      </c>
      <c r="L179" s="9" t="n">
        <v>0</v>
      </c>
      <c r="M179" s="9" t="n">
        <v>0</v>
      </c>
      <c r="N179" s="9" t="n">
        <v>0</v>
      </c>
      <c r="O179" s="9" t="n">
        <v>156</v>
      </c>
      <c r="P179" s="2" t="n">
        <v>-100</v>
      </c>
      <c r="Q179" s="2" t="n">
        <f aca="false">IF(I179&gt;0,ROUND((N179-I179)/I179*100,0),"")</f>
        <v>-100</v>
      </c>
      <c r="R179" s="9" t="n">
        <f aca="false">SUM(I179:K179)</f>
        <v>156</v>
      </c>
      <c r="S179" s="9" t="n">
        <f aca="false">SUM(L179:N179)</f>
        <v>0</v>
      </c>
      <c r="T179" s="17" t="n">
        <f aca="false">IF(R179&gt;0,S179/R179-1,"")</f>
        <v>-1</v>
      </c>
      <c r="U179" s="2" t="str">
        <f aca="false">IF(AND(R179=0,S179&gt;0),"H2 Active / No H1 GMV",IF(S179=0,"Lapsed",IF(T179&gt;=Assumptions!$B$36,"Growing",IF(T179&lt;-Assumptions!$B$36,"Declining","Stable"))))</f>
        <v>Lapsed</v>
      </c>
      <c r="V179" s="2" t="n">
        <f aca="false">COUNTIF(I179:N179,"&gt;0")</f>
        <v>1</v>
      </c>
      <c r="W179" s="2" t="str">
        <f aca="false">IF(N179&gt;0,"Feb",IF(M179&gt;0,"Jan",IF(L179&gt;0,"Dec",IF(K179&gt;0,"Nov",IF(J179&gt;0,"Oct","Sep")))))</f>
        <v>Sep</v>
      </c>
      <c r="X179" s="2" t="str">
        <f aca="false">IF(O179&gt;=Assumptions!$B$35,"Key (&gt;=£10k)",IF(O179&gt;=Assumptions!$B$34,"Core (£2k-10k)","Tail (&lt;£2k)"))</f>
        <v>Tail (&lt;£2k)</v>
      </c>
      <c r="Y179" s="21" t="n">
        <f aca="false">INDEX('Scored Accounts'!$Q$2:$Q$301,MATCH(A179,'Scored Accounts'!$A$2:$A$301,0))</f>
        <v>0</v>
      </c>
      <c r="Z179" s="2" t="str">
        <f aca="false">INDEX('Scored Accounts'!$R$2:$R$301,MATCH(A179,'Scored Accounts'!$A$2:$A$301,0))</f>
        <v>Low</v>
      </c>
      <c r="AA179" s="2" t="str">
        <f aca="false">INDEX('Scored Accounts'!$T$2:$T$301,MATCH(A179,'Scored Accounts'!$A$2:$A$301,0))</f>
        <v/>
      </c>
      <c r="AB179" s="2" t="str">
        <f aca="false">IF(Z179="Low","Lower dep / ","Higher dep / ")&amp;IF(O179&gt;=Assumptions!$B$34,"Higher value","Lower value")</f>
        <v>Lower dep / Lower value</v>
      </c>
    </row>
    <row r="180" customFormat="false" ht="15" hidden="false" customHeight="false" outlineLevel="0" collapsed="false">
      <c r="A180" s="2" t="s">
        <v>902</v>
      </c>
      <c r="B180" s="2" t="s">
        <v>1571</v>
      </c>
      <c r="C180" s="2" t="s">
        <v>1640</v>
      </c>
      <c r="D180" s="2" t="s">
        <v>1653</v>
      </c>
      <c r="E180" s="2" t="s">
        <v>1653</v>
      </c>
      <c r="F180" s="2" t="s">
        <v>1572</v>
      </c>
      <c r="G180" s="2" t="n">
        <v>10</v>
      </c>
      <c r="H180" s="2" t="n">
        <v>1</v>
      </c>
      <c r="I180" s="9" t="n">
        <v>153</v>
      </c>
      <c r="J180" s="9" t="n">
        <v>0</v>
      </c>
      <c r="K180" s="9" t="n">
        <v>0</v>
      </c>
      <c r="L180" s="9" t="n">
        <v>0</v>
      </c>
      <c r="M180" s="9" t="n">
        <v>0</v>
      </c>
      <c r="N180" s="9" t="n">
        <v>0</v>
      </c>
      <c r="O180" s="9" t="n">
        <v>153</v>
      </c>
      <c r="P180" s="2" t="n">
        <v>-100</v>
      </c>
      <c r="Q180" s="2" t="n">
        <f aca="false">IF(I180&gt;0,ROUND((N180-I180)/I180*100,0),"")</f>
        <v>-100</v>
      </c>
      <c r="R180" s="9" t="n">
        <f aca="false">SUM(I180:K180)</f>
        <v>153</v>
      </c>
      <c r="S180" s="9" t="n">
        <f aca="false">SUM(L180:N180)</f>
        <v>0</v>
      </c>
      <c r="T180" s="17" t="n">
        <f aca="false">IF(R180&gt;0,S180/R180-1,"")</f>
        <v>-1</v>
      </c>
      <c r="U180" s="2" t="str">
        <f aca="false">IF(AND(R180=0,S180&gt;0),"H2 Active / No H1 GMV",IF(S180=0,"Lapsed",IF(T180&gt;=Assumptions!$B$36,"Growing",IF(T180&lt;-Assumptions!$B$36,"Declining","Stable"))))</f>
        <v>Lapsed</v>
      </c>
      <c r="V180" s="2" t="n">
        <f aca="false">COUNTIF(I180:N180,"&gt;0")</f>
        <v>1</v>
      </c>
      <c r="W180" s="2" t="str">
        <f aca="false">IF(N180&gt;0,"Feb",IF(M180&gt;0,"Jan",IF(L180&gt;0,"Dec",IF(K180&gt;0,"Nov",IF(J180&gt;0,"Oct","Sep")))))</f>
        <v>Sep</v>
      </c>
      <c r="X180" s="2" t="str">
        <f aca="false">IF(O180&gt;=Assumptions!$B$35,"Key (&gt;=£10k)",IF(O180&gt;=Assumptions!$B$34,"Core (£2k-10k)","Tail (&lt;£2k)"))</f>
        <v>Tail (&lt;£2k)</v>
      </c>
      <c r="Y180" s="21" t="n">
        <f aca="false">INDEX('Scored Accounts'!$Q$2:$Q$301,MATCH(A180,'Scored Accounts'!$A$2:$A$301,0))</f>
        <v>0</v>
      </c>
      <c r="Z180" s="2" t="str">
        <f aca="false">INDEX('Scored Accounts'!$R$2:$R$301,MATCH(A180,'Scored Accounts'!$A$2:$A$301,0))</f>
        <v>Low</v>
      </c>
      <c r="AA180" s="2" t="str">
        <f aca="false">INDEX('Scored Accounts'!$T$2:$T$301,MATCH(A180,'Scored Accounts'!$A$2:$A$301,0))</f>
        <v/>
      </c>
      <c r="AB180" s="2" t="str">
        <f aca="false">IF(Z180="Low","Lower dep / ","Higher dep / ")&amp;IF(O180&gt;=Assumptions!$B$34,"Higher value","Lower value")</f>
        <v>Lower dep / Lower value</v>
      </c>
    </row>
    <row r="181" customFormat="false" ht="15" hidden="false" customHeight="false" outlineLevel="0" collapsed="false">
      <c r="A181" s="2" t="s">
        <v>904</v>
      </c>
      <c r="B181" s="2" t="s">
        <v>1571</v>
      </c>
      <c r="C181" s="2" t="s">
        <v>1640</v>
      </c>
      <c r="D181" s="2" t="s">
        <v>1655</v>
      </c>
      <c r="E181" s="2" t="s">
        <v>1655</v>
      </c>
      <c r="F181" s="2" t="s">
        <v>1572</v>
      </c>
      <c r="G181" s="2" t="n">
        <v>10</v>
      </c>
      <c r="H181" s="2" t="n">
        <v>1</v>
      </c>
      <c r="I181" s="9" t="n">
        <v>0</v>
      </c>
      <c r="J181" s="9" t="n">
        <v>0</v>
      </c>
      <c r="K181" s="9" t="n">
        <v>0</v>
      </c>
      <c r="L181" s="9" t="n">
        <v>0</v>
      </c>
      <c r="M181" s="9" t="n">
        <v>152</v>
      </c>
      <c r="N181" s="9" t="n">
        <v>0</v>
      </c>
      <c r="O181" s="9" t="n">
        <v>152</v>
      </c>
      <c r="P181" s="2"/>
      <c r="Q181" s="2" t="str">
        <f aca="false">IF(I181&gt;0,ROUND((N181-I181)/I181*100,0),"")</f>
        <v/>
      </c>
      <c r="R181" s="9" t="n">
        <f aca="false">SUM(I181:K181)</f>
        <v>0</v>
      </c>
      <c r="S181" s="9" t="n">
        <f aca="false">SUM(L181:N181)</f>
        <v>152</v>
      </c>
      <c r="T181" s="17" t="str">
        <f aca="false">IF(R181&gt;0,S181/R181-1,"")</f>
        <v/>
      </c>
      <c r="U181" s="2" t="str">
        <f aca="false">IF(AND(R181=0,S181&gt;0),"H2 Active / No H1 GMV",IF(S181=0,"Lapsed",IF(T181&gt;=Assumptions!$B$36,"Growing",IF(T181&lt;-Assumptions!$B$36,"Declining","Stable"))))</f>
        <v>H2 Active / No H1 GMV</v>
      </c>
      <c r="V181" s="2" t="n">
        <f aca="false">COUNTIF(I181:N181,"&gt;0")</f>
        <v>1</v>
      </c>
      <c r="W181" s="2" t="str">
        <f aca="false">IF(N181&gt;0,"Feb",IF(M181&gt;0,"Jan",IF(L181&gt;0,"Dec",IF(K181&gt;0,"Nov",IF(J181&gt;0,"Oct","Sep")))))</f>
        <v>Jan</v>
      </c>
      <c r="X181" s="2" t="str">
        <f aca="false">IF(O181&gt;=Assumptions!$B$35,"Key (&gt;=£10k)",IF(O181&gt;=Assumptions!$B$34,"Core (£2k-10k)","Tail (&lt;£2k)"))</f>
        <v>Tail (&lt;£2k)</v>
      </c>
      <c r="Y181" s="21" t="n">
        <f aca="false">INDEX('Scored Accounts'!$Q$2:$Q$301,MATCH(A181,'Scored Accounts'!$A$2:$A$301,0))</f>
        <v>0</v>
      </c>
      <c r="Z181" s="2" t="str">
        <f aca="false">INDEX('Scored Accounts'!$R$2:$R$301,MATCH(A181,'Scored Accounts'!$A$2:$A$301,0))</f>
        <v>Low</v>
      </c>
      <c r="AA181" s="2" t="str">
        <f aca="false">INDEX('Scored Accounts'!$T$2:$T$301,MATCH(A181,'Scored Accounts'!$A$2:$A$301,0))</f>
        <v/>
      </c>
      <c r="AB181" s="2" t="str">
        <f aca="false">IF(Z181="Low","Lower dep / ","Higher dep / ")&amp;IF(O181&gt;=Assumptions!$B$34,"Higher value","Lower value")</f>
        <v>Lower dep / Lower value</v>
      </c>
    </row>
    <row r="182" customFormat="false" ht="15" hidden="false" customHeight="false" outlineLevel="0" collapsed="false">
      <c r="A182" s="2" t="s">
        <v>906</v>
      </c>
      <c r="B182" s="2" t="s">
        <v>1571</v>
      </c>
      <c r="C182" s="2" t="s">
        <v>1640</v>
      </c>
      <c r="D182" s="2" t="s">
        <v>1653</v>
      </c>
      <c r="E182" s="2" t="s">
        <v>1653</v>
      </c>
      <c r="F182" s="2"/>
      <c r="G182" s="2" t="n">
        <v>6</v>
      </c>
      <c r="H182" s="2" t="n">
        <v>1</v>
      </c>
      <c r="I182" s="9" t="n">
        <v>149</v>
      </c>
      <c r="J182" s="9" t="n">
        <v>0</v>
      </c>
      <c r="K182" s="9" t="n">
        <v>0</v>
      </c>
      <c r="L182" s="9" t="n">
        <v>0</v>
      </c>
      <c r="M182" s="9" t="n">
        <v>0</v>
      </c>
      <c r="N182" s="9" t="n">
        <v>0</v>
      </c>
      <c r="O182" s="9" t="n">
        <v>149</v>
      </c>
      <c r="P182" s="2" t="n">
        <v>-100</v>
      </c>
      <c r="Q182" s="2" t="n">
        <f aca="false">IF(I182&gt;0,ROUND((N182-I182)/I182*100,0),"")</f>
        <v>-100</v>
      </c>
      <c r="R182" s="9" t="n">
        <f aca="false">SUM(I182:K182)</f>
        <v>149</v>
      </c>
      <c r="S182" s="9" t="n">
        <f aca="false">SUM(L182:N182)</f>
        <v>0</v>
      </c>
      <c r="T182" s="17" t="n">
        <f aca="false">IF(R182&gt;0,S182/R182-1,"")</f>
        <v>-1</v>
      </c>
      <c r="U182" s="2" t="str">
        <f aca="false">IF(AND(R182=0,S182&gt;0),"H2 Active / No H1 GMV",IF(S182=0,"Lapsed",IF(T182&gt;=Assumptions!$B$36,"Growing",IF(T182&lt;-Assumptions!$B$36,"Declining","Stable"))))</f>
        <v>Lapsed</v>
      </c>
      <c r="V182" s="2" t="n">
        <f aca="false">COUNTIF(I182:N182,"&gt;0")</f>
        <v>1</v>
      </c>
      <c r="W182" s="2" t="str">
        <f aca="false">IF(N182&gt;0,"Feb",IF(M182&gt;0,"Jan",IF(L182&gt;0,"Dec",IF(K182&gt;0,"Nov",IF(J182&gt;0,"Oct","Sep")))))</f>
        <v>Sep</v>
      </c>
      <c r="X182" s="2" t="str">
        <f aca="false">IF(O182&gt;=Assumptions!$B$35,"Key (&gt;=£10k)",IF(O182&gt;=Assumptions!$B$34,"Core (£2k-10k)","Tail (&lt;£2k)"))</f>
        <v>Tail (&lt;£2k)</v>
      </c>
      <c r="Y182" s="21" t="n">
        <f aca="false">INDEX('Scored Accounts'!$Q$2:$Q$301,MATCH(A182,'Scored Accounts'!$A$2:$A$301,0))</f>
        <v>0</v>
      </c>
      <c r="Z182" s="2" t="str">
        <f aca="false">INDEX('Scored Accounts'!$R$2:$R$301,MATCH(A182,'Scored Accounts'!$A$2:$A$301,0))</f>
        <v>Low</v>
      </c>
      <c r="AA182" s="2" t="str">
        <f aca="false">INDEX('Scored Accounts'!$T$2:$T$301,MATCH(A182,'Scored Accounts'!$A$2:$A$301,0))</f>
        <v/>
      </c>
      <c r="AB182" s="2" t="str">
        <f aca="false">IF(Z182="Low","Lower dep / ","Higher dep / ")&amp;IF(O182&gt;=Assumptions!$B$34,"Higher value","Lower value")</f>
        <v>Lower dep / Lower value</v>
      </c>
    </row>
    <row r="183" customFormat="false" ht="15" hidden="false" customHeight="false" outlineLevel="0" collapsed="false">
      <c r="A183" s="2" t="s">
        <v>910</v>
      </c>
      <c r="B183" s="2" t="s">
        <v>1571</v>
      </c>
      <c r="C183" s="2" t="s">
        <v>1641</v>
      </c>
      <c r="D183" s="2" t="s">
        <v>1657</v>
      </c>
      <c r="E183" s="2" t="s">
        <v>1723</v>
      </c>
      <c r="F183" s="2" t="s">
        <v>1572</v>
      </c>
      <c r="G183" s="2" t="n">
        <v>6</v>
      </c>
      <c r="H183" s="2" t="n">
        <v>1</v>
      </c>
      <c r="I183" s="9" t="n">
        <v>146</v>
      </c>
      <c r="J183" s="9" t="n">
        <v>0</v>
      </c>
      <c r="K183" s="9" t="n">
        <v>0</v>
      </c>
      <c r="L183" s="9" t="n">
        <v>0</v>
      </c>
      <c r="M183" s="9" t="n">
        <v>0</v>
      </c>
      <c r="N183" s="9" t="n">
        <v>0</v>
      </c>
      <c r="O183" s="9" t="n">
        <v>146</v>
      </c>
      <c r="P183" s="2" t="n">
        <v>-100</v>
      </c>
      <c r="Q183" s="2" t="n">
        <f aca="false">IF(I183&gt;0,ROUND((N183-I183)/I183*100,0),"")</f>
        <v>-100</v>
      </c>
      <c r="R183" s="9" t="n">
        <f aca="false">SUM(I183:K183)</f>
        <v>146</v>
      </c>
      <c r="S183" s="9" t="n">
        <f aca="false">SUM(L183:N183)</f>
        <v>0</v>
      </c>
      <c r="T183" s="17" t="n">
        <f aca="false">IF(R183&gt;0,S183/R183-1,"")</f>
        <v>-1</v>
      </c>
      <c r="U183" s="2" t="str">
        <f aca="false">IF(AND(R183=0,S183&gt;0),"H2 Active / No H1 GMV",IF(S183=0,"Lapsed",IF(T183&gt;=Assumptions!$B$36,"Growing",IF(T183&lt;-Assumptions!$B$36,"Declining","Stable"))))</f>
        <v>Lapsed</v>
      </c>
      <c r="V183" s="2" t="n">
        <f aca="false">COUNTIF(I183:N183,"&gt;0")</f>
        <v>1</v>
      </c>
      <c r="W183" s="2" t="str">
        <f aca="false">IF(N183&gt;0,"Feb",IF(M183&gt;0,"Jan",IF(L183&gt;0,"Dec",IF(K183&gt;0,"Nov",IF(J183&gt;0,"Oct","Sep")))))</f>
        <v>Sep</v>
      </c>
      <c r="X183" s="2" t="str">
        <f aca="false">IF(O183&gt;=Assumptions!$B$35,"Key (&gt;=£10k)",IF(O183&gt;=Assumptions!$B$34,"Core (£2k-10k)","Tail (&lt;£2k)"))</f>
        <v>Tail (&lt;£2k)</v>
      </c>
      <c r="Y183" s="21" t="n">
        <f aca="false">INDEX('Scored Accounts'!$Q$2:$Q$301,MATCH(A183,'Scored Accounts'!$A$2:$A$301,0))</f>
        <v>0</v>
      </c>
      <c r="Z183" s="2" t="str">
        <f aca="false">INDEX('Scored Accounts'!$R$2:$R$301,MATCH(A183,'Scored Accounts'!$A$2:$A$301,0))</f>
        <v>Low</v>
      </c>
      <c r="AA183" s="2" t="str">
        <f aca="false">INDEX('Scored Accounts'!$T$2:$T$301,MATCH(A183,'Scored Accounts'!$A$2:$A$301,0))</f>
        <v/>
      </c>
      <c r="AB183" s="2" t="str">
        <f aca="false">IF(Z183="Low","Lower dep / ","Higher dep / ")&amp;IF(O183&gt;=Assumptions!$B$34,"Higher value","Lower value")</f>
        <v>Lower dep / Lower value</v>
      </c>
    </row>
    <row r="184" customFormat="false" ht="15" hidden="false" customHeight="false" outlineLevel="0" collapsed="false">
      <c r="A184" s="2" t="s">
        <v>912</v>
      </c>
      <c r="B184" s="2" t="s">
        <v>1571</v>
      </c>
      <c r="C184" s="2" t="s">
        <v>1640</v>
      </c>
      <c r="D184" s="2" t="s">
        <v>1657</v>
      </c>
      <c r="E184" s="2" t="s">
        <v>1723</v>
      </c>
      <c r="F184" s="2"/>
      <c r="G184" s="2" t="n">
        <v>6</v>
      </c>
      <c r="H184" s="2" t="n">
        <v>1</v>
      </c>
      <c r="I184" s="9" t="n">
        <v>145</v>
      </c>
      <c r="J184" s="9" t="n">
        <v>0</v>
      </c>
      <c r="K184" s="9" t="n">
        <v>0</v>
      </c>
      <c r="L184" s="9" t="n">
        <v>0</v>
      </c>
      <c r="M184" s="9" t="n">
        <v>0</v>
      </c>
      <c r="N184" s="9" t="n">
        <v>0</v>
      </c>
      <c r="O184" s="9" t="n">
        <v>145</v>
      </c>
      <c r="P184" s="2" t="n">
        <v>-100</v>
      </c>
      <c r="Q184" s="2" t="n">
        <f aca="false">IF(I184&gt;0,ROUND((N184-I184)/I184*100,0),"")</f>
        <v>-100</v>
      </c>
      <c r="R184" s="9" t="n">
        <f aca="false">SUM(I184:K184)</f>
        <v>145</v>
      </c>
      <c r="S184" s="9" t="n">
        <f aca="false">SUM(L184:N184)</f>
        <v>0</v>
      </c>
      <c r="T184" s="17" t="n">
        <f aca="false">IF(R184&gt;0,S184/R184-1,"")</f>
        <v>-1</v>
      </c>
      <c r="U184" s="2" t="str">
        <f aca="false">IF(AND(R184=0,S184&gt;0),"H2 Active / No H1 GMV",IF(S184=0,"Lapsed",IF(T184&gt;=Assumptions!$B$36,"Growing",IF(T184&lt;-Assumptions!$B$36,"Declining","Stable"))))</f>
        <v>Lapsed</v>
      </c>
      <c r="V184" s="2" t="n">
        <f aca="false">COUNTIF(I184:N184,"&gt;0")</f>
        <v>1</v>
      </c>
      <c r="W184" s="2" t="str">
        <f aca="false">IF(N184&gt;0,"Feb",IF(M184&gt;0,"Jan",IF(L184&gt;0,"Dec",IF(K184&gt;0,"Nov",IF(J184&gt;0,"Oct","Sep")))))</f>
        <v>Sep</v>
      </c>
      <c r="X184" s="2" t="str">
        <f aca="false">IF(O184&gt;=Assumptions!$B$35,"Key (&gt;=£10k)",IF(O184&gt;=Assumptions!$B$34,"Core (£2k-10k)","Tail (&lt;£2k)"))</f>
        <v>Tail (&lt;£2k)</v>
      </c>
      <c r="Y184" s="21" t="n">
        <f aca="false">INDEX('Scored Accounts'!$Q$2:$Q$301,MATCH(A184,'Scored Accounts'!$A$2:$A$301,0))</f>
        <v>0</v>
      </c>
      <c r="Z184" s="2" t="str">
        <f aca="false">INDEX('Scored Accounts'!$R$2:$R$301,MATCH(A184,'Scored Accounts'!$A$2:$A$301,0))</f>
        <v>Low</v>
      </c>
      <c r="AA184" s="2" t="str">
        <f aca="false">INDEX('Scored Accounts'!$T$2:$T$301,MATCH(A184,'Scored Accounts'!$A$2:$A$301,0))</f>
        <v/>
      </c>
      <c r="AB184" s="2" t="str">
        <f aca="false">IF(Z184="Low","Lower dep / ","Higher dep / ")&amp;IF(O184&gt;=Assumptions!$B$34,"Higher value","Lower value")</f>
        <v>Lower dep / Lower value</v>
      </c>
    </row>
    <row r="185" customFormat="false" ht="15" hidden="false" customHeight="false" outlineLevel="0" collapsed="false">
      <c r="A185" s="2" t="s">
        <v>922</v>
      </c>
      <c r="B185" s="2" t="s">
        <v>1571</v>
      </c>
      <c r="C185" s="2" t="s">
        <v>1640</v>
      </c>
      <c r="D185" s="2" t="s">
        <v>1653</v>
      </c>
      <c r="E185" s="2" t="s">
        <v>1653</v>
      </c>
      <c r="F185" s="2" t="s">
        <v>1572</v>
      </c>
      <c r="G185" s="2" t="n">
        <v>6</v>
      </c>
      <c r="H185" s="2" t="n">
        <v>1</v>
      </c>
      <c r="I185" s="9" t="n">
        <v>134</v>
      </c>
      <c r="J185" s="9" t="n">
        <v>0</v>
      </c>
      <c r="K185" s="9" t="n">
        <v>0</v>
      </c>
      <c r="L185" s="9" t="n">
        <v>0</v>
      </c>
      <c r="M185" s="9" t="n">
        <v>0</v>
      </c>
      <c r="N185" s="9" t="n">
        <v>0</v>
      </c>
      <c r="O185" s="9" t="n">
        <v>134</v>
      </c>
      <c r="P185" s="2" t="n">
        <v>-100</v>
      </c>
      <c r="Q185" s="2" t="n">
        <f aca="false">IF(I185&gt;0,ROUND((N185-I185)/I185*100,0),"")</f>
        <v>-100</v>
      </c>
      <c r="R185" s="9" t="n">
        <f aca="false">SUM(I185:K185)</f>
        <v>134</v>
      </c>
      <c r="S185" s="9" t="n">
        <f aca="false">SUM(L185:N185)</f>
        <v>0</v>
      </c>
      <c r="T185" s="17" t="n">
        <f aca="false">IF(R185&gt;0,S185/R185-1,"")</f>
        <v>-1</v>
      </c>
      <c r="U185" s="2" t="str">
        <f aca="false">IF(AND(R185=0,S185&gt;0),"H2 Active / No H1 GMV",IF(S185=0,"Lapsed",IF(T185&gt;=Assumptions!$B$36,"Growing",IF(T185&lt;-Assumptions!$B$36,"Declining","Stable"))))</f>
        <v>Lapsed</v>
      </c>
      <c r="V185" s="2" t="n">
        <f aca="false">COUNTIF(I185:N185,"&gt;0")</f>
        <v>1</v>
      </c>
      <c r="W185" s="2" t="str">
        <f aca="false">IF(N185&gt;0,"Feb",IF(M185&gt;0,"Jan",IF(L185&gt;0,"Dec",IF(K185&gt;0,"Nov",IF(J185&gt;0,"Oct","Sep")))))</f>
        <v>Sep</v>
      </c>
      <c r="X185" s="2" t="str">
        <f aca="false">IF(O185&gt;=Assumptions!$B$35,"Key (&gt;=£10k)",IF(O185&gt;=Assumptions!$B$34,"Core (£2k-10k)","Tail (&lt;£2k)"))</f>
        <v>Tail (&lt;£2k)</v>
      </c>
      <c r="Y185" s="21" t="n">
        <f aca="false">INDEX('Scored Accounts'!$Q$2:$Q$301,MATCH(A185,'Scored Accounts'!$A$2:$A$301,0))</f>
        <v>0</v>
      </c>
      <c r="Z185" s="2" t="str">
        <f aca="false">INDEX('Scored Accounts'!$R$2:$R$301,MATCH(A185,'Scored Accounts'!$A$2:$A$301,0))</f>
        <v>Low</v>
      </c>
      <c r="AA185" s="2" t="str">
        <f aca="false">INDEX('Scored Accounts'!$T$2:$T$301,MATCH(A185,'Scored Accounts'!$A$2:$A$301,0))</f>
        <v/>
      </c>
      <c r="AB185" s="2" t="str">
        <f aca="false">IF(Z185="Low","Lower dep / ","Higher dep / ")&amp;IF(O185&gt;=Assumptions!$B$34,"Higher value","Lower value")</f>
        <v>Lower dep / Lower value</v>
      </c>
    </row>
    <row r="186" customFormat="false" ht="15" hidden="false" customHeight="false" outlineLevel="0" collapsed="false">
      <c r="A186" s="2" t="s">
        <v>926</v>
      </c>
      <c r="B186" s="2" t="s">
        <v>1571</v>
      </c>
      <c r="C186" s="2" t="s">
        <v>1640</v>
      </c>
      <c r="D186" s="2" t="s">
        <v>1653</v>
      </c>
      <c r="E186" s="2" t="s">
        <v>1653</v>
      </c>
      <c r="F186" s="2" t="s">
        <v>1572</v>
      </c>
      <c r="G186" s="2" t="n">
        <v>11</v>
      </c>
      <c r="H186" s="2" t="n">
        <v>1</v>
      </c>
      <c r="I186" s="9" t="n">
        <v>0</v>
      </c>
      <c r="J186" s="9" t="n">
        <v>0</v>
      </c>
      <c r="K186" s="9" t="n">
        <v>0</v>
      </c>
      <c r="L186" s="9" t="n">
        <v>0</v>
      </c>
      <c r="M186" s="9" t="n">
        <v>123</v>
      </c>
      <c r="N186" s="9" t="n">
        <v>0</v>
      </c>
      <c r="O186" s="9" t="n">
        <v>123</v>
      </c>
      <c r="P186" s="2"/>
      <c r="Q186" s="2" t="str">
        <f aca="false">IF(I186&gt;0,ROUND((N186-I186)/I186*100,0),"")</f>
        <v/>
      </c>
      <c r="R186" s="9" t="n">
        <f aca="false">SUM(I186:K186)</f>
        <v>0</v>
      </c>
      <c r="S186" s="9" t="n">
        <f aca="false">SUM(L186:N186)</f>
        <v>123</v>
      </c>
      <c r="T186" s="17" t="str">
        <f aca="false">IF(R186&gt;0,S186/R186-1,"")</f>
        <v/>
      </c>
      <c r="U186" s="2" t="str">
        <f aca="false">IF(AND(R186=0,S186&gt;0),"H2 Active / No H1 GMV",IF(S186=0,"Lapsed",IF(T186&gt;=Assumptions!$B$36,"Growing",IF(T186&lt;-Assumptions!$B$36,"Declining","Stable"))))</f>
        <v>H2 Active / No H1 GMV</v>
      </c>
      <c r="V186" s="2" t="n">
        <f aca="false">COUNTIF(I186:N186,"&gt;0")</f>
        <v>1</v>
      </c>
      <c r="W186" s="2" t="str">
        <f aca="false">IF(N186&gt;0,"Feb",IF(M186&gt;0,"Jan",IF(L186&gt;0,"Dec",IF(K186&gt;0,"Nov",IF(J186&gt;0,"Oct","Sep")))))</f>
        <v>Jan</v>
      </c>
      <c r="X186" s="2" t="str">
        <f aca="false">IF(O186&gt;=Assumptions!$B$35,"Key (&gt;=£10k)",IF(O186&gt;=Assumptions!$B$34,"Core (£2k-10k)","Tail (&lt;£2k)"))</f>
        <v>Tail (&lt;£2k)</v>
      </c>
      <c r="Y186" s="21" t="n">
        <f aca="false">INDEX('Scored Accounts'!$Q$2:$Q$301,MATCH(A186,'Scored Accounts'!$A$2:$A$301,0))</f>
        <v>0</v>
      </c>
      <c r="Z186" s="2" t="str">
        <f aca="false">INDEX('Scored Accounts'!$R$2:$R$301,MATCH(A186,'Scored Accounts'!$A$2:$A$301,0))</f>
        <v>Low</v>
      </c>
      <c r="AA186" s="2" t="str">
        <f aca="false">INDEX('Scored Accounts'!$T$2:$T$301,MATCH(A186,'Scored Accounts'!$A$2:$A$301,0))</f>
        <v/>
      </c>
      <c r="AB186" s="2" t="str">
        <f aca="false">IF(Z186="Low","Lower dep / ","Higher dep / ")&amp;IF(O186&gt;=Assumptions!$B$34,"Higher value","Lower value")</f>
        <v>Lower dep / Lower value</v>
      </c>
    </row>
    <row r="187" customFormat="false" ht="15" hidden="false" customHeight="false" outlineLevel="0" collapsed="false">
      <c r="A187" s="2" t="s">
        <v>930</v>
      </c>
      <c r="B187" s="2" t="s">
        <v>1571</v>
      </c>
      <c r="C187" s="2" t="s">
        <v>1640</v>
      </c>
      <c r="D187" s="2" t="s">
        <v>1653</v>
      </c>
      <c r="E187" s="2" t="s">
        <v>1653</v>
      </c>
      <c r="F187" s="2"/>
      <c r="G187" s="2" t="n">
        <v>6</v>
      </c>
      <c r="H187" s="2" t="n">
        <v>1</v>
      </c>
      <c r="I187" s="9" t="n">
        <v>121</v>
      </c>
      <c r="J187" s="9" t="n">
        <v>0</v>
      </c>
      <c r="K187" s="9" t="n">
        <v>0</v>
      </c>
      <c r="L187" s="9" t="n">
        <v>0</v>
      </c>
      <c r="M187" s="9" t="n">
        <v>0</v>
      </c>
      <c r="N187" s="9" t="n">
        <v>0</v>
      </c>
      <c r="O187" s="9" t="n">
        <v>121</v>
      </c>
      <c r="P187" s="2" t="n">
        <v>-100</v>
      </c>
      <c r="Q187" s="2" t="n">
        <f aca="false">IF(I187&gt;0,ROUND((N187-I187)/I187*100,0),"")</f>
        <v>-100</v>
      </c>
      <c r="R187" s="9" t="n">
        <f aca="false">SUM(I187:K187)</f>
        <v>121</v>
      </c>
      <c r="S187" s="9" t="n">
        <f aca="false">SUM(L187:N187)</f>
        <v>0</v>
      </c>
      <c r="T187" s="17" t="n">
        <f aca="false">IF(R187&gt;0,S187/R187-1,"")</f>
        <v>-1</v>
      </c>
      <c r="U187" s="2" t="str">
        <f aca="false">IF(AND(R187=0,S187&gt;0),"H2 Active / No H1 GMV",IF(S187=0,"Lapsed",IF(T187&gt;=Assumptions!$B$36,"Growing",IF(T187&lt;-Assumptions!$B$36,"Declining","Stable"))))</f>
        <v>Lapsed</v>
      </c>
      <c r="V187" s="2" t="n">
        <f aca="false">COUNTIF(I187:N187,"&gt;0")</f>
        <v>1</v>
      </c>
      <c r="W187" s="2" t="str">
        <f aca="false">IF(N187&gt;0,"Feb",IF(M187&gt;0,"Jan",IF(L187&gt;0,"Dec",IF(K187&gt;0,"Nov",IF(J187&gt;0,"Oct","Sep")))))</f>
        <v>Sep</v>
      </c>
      <c r="X187" s="2" t="str">
        <f aca="false">IF(O187&gt;=Assumptions!$B$35,"Key (&gt;=£10k)",IF(O187&gt;=Assumptions!$B$34,"Core (£2k-10k)","Tail (&lt;£2k)"))</f>
        <v>Tail (&lt;£2k)</v>
      </c>
      <c r="Y187" s="21" t="n">
        <f aca="false">INDEX('Scored Accounts'!$Q$2:$Q$301,MATCH(A187,'Scored Accounts'!$A$2:$A$301,0))</f>
        <v>0</v>
      </c>
      <c r="Z187" s="2" t="str">
        <f aca="false">INDEX('Scored Accounts'!$R$2:$R$301,MATCH(A187,'Scored Accounts'!$A$2:$A$301,0))</f>
        <v>Low</v>
      </c>
      <c r="AA187" s="2" t="str">
        <f aca="false">INDEX('Scored Accounts'!$T$2:$T$301,MATCH(A187,'Scored Accounts'!$A$2:$A$301,0))</f>
        <v/>
      </c>
      <c r="AB187" s="2" t="str">
        <f aca="false">IF(Z187="Low","Lower dep / ","Higher dep / ")&amp;IF(O187&gt;=Assumptions!$B$34,"Higher value","Lower value")</f>
        <v>Lower dep / Lower value</v>
      </c>
    </row>
    <row r="188" customFormat="false" ht="15" hidden="false" customHeight="false" outlineLevel="0" collapsed="false">
      <c r="A188" s="2" t="s">
        <v>936</v>
      </c>
      <c r="B188" s="2" t="s">
        <v>1571</v>
      </c>
      <c r="C188" s="2" t="s">
        <v>1640</v>
      </c>
      <c r="D188" s="2" t="s">
        <v>1653</v>
      </c>
      <c r="E188" s="2" t="s">
        <v>1653</v>
      </c>
      <c r="F188" s="2" t="s">
        <v>1572</v>
      </c>
      <c r="G188" s="2" t="n">
        <v>26</v>
      </c>
      <c r="H188" s="2" t="n">
        <v>1</v>
      </c>
      <c r="I188" s="9" t="n">
        <v>0</v>
      </c>
      <c r="J188" s="9" t="n">
        <v>0</v>
      </c>
      <c r="K188" s="9" t="n">
        <v>0</v>
      </c>
      <c r="L188" s="9" t="n">
        <v>0</v>
      </c>
      <c r="M188" s="9" t="n">
        <v>117</v>
      </c>
      <c r="N188" s="9" t="n">
        <v>0</v>
      </c>
      <c r="O188" s="9" t="n">
        <v>117</v>
      </c>
      <c r="P188" s="2"/>
      <c r="Q188" s="2" t="str">
        <f aca="false">IF(I188&gt;0,ROUND((N188-I188)/I188*100,0),"")</f>
        <v/>
      </c>
      <c r="R188" s="9" t="n">
        <f aca="false">SUM(I188:K188)</f>
        <v>0</v>
      </c>
      <c r="S188" s="9" t="n">
        <f aca="false">SUM(L188:N188)</f>
        <v>117</v>
      </c>
      <c r="T188" s="17" t="str">
        <f aca="false">IF(R188&gt;0,S188/R188-1,"")</f>
        <v/>
      </c>
      <c r="U188" s="2" t="str">
        <f aca="false">IF(AND(R188=0,S188&gt;0),"H2 Active / No H1 GMV",IF(S188=0,"Lapsed",IF(T188&gt;=Assumptions!$B$36,"Growing",IF(T188&lt;-Assumptions!$B$36,"Declining","Stable"))))</f>
        <v>H2 Active / No H1 GMV</v>
      </c>
      <c r="V188" s="2" t="n">
        <f aca="false">COUNTIF(I188:N188,"&gt;0")</f>
        <v>1</v>
      </c>
      <c r="W188" s="2" t="str">
        <f aca="false">IF(N188&gt;0,"Feb",IF(M188&gt;0,"Jan",IF(L188&gt;0,"Dec",IF(K188&gt;0,"Nov",IF(J188&gt;0,"Oct","Sep")))))</f>
        <v>Jan</v>
      </c>
      <c r="X188" s="2" t="str">
        <f aca="false">IF(O188&gt;=Assumptions!$B$35,"Key (&gt;=£10k)",IF(O188&gt;=Assumptions!$B$34,"Core (£2k-10k)","Tail (&lt;£2k)"))</f>
        <v>Tail (&lt;£2k)</v>
      </c>
      <c r="Y188" s="21" t="n">
        <f aca="false">INDEX('Scored Accounts'!$Q$2:$Q$301,MATCH(A188,'Scored Accounts'!$A$2:$A$301,0))</f>
        <v>0</v>
      </c>
      <c r="Z188" s="2" t="str">
        <f aca="false">INDEX('Scored Accounts'!$R$2:$R$301,MATCH(A188,'Scored Accounts'!$A$2:$A$301,0))</f>
        <v>Low</v>
      </c>
      <c r="AA188" s="2" t="str">
        <f aca="false">INDEX('Scored Accounts'!$T$2:$T$301,MATCH(A188,'Scored Accounts'!$A$2:$A$301,0))</f>
        <v/>
      </c>
      <c r="AB188" s="2" t="str">
        <f aca="false">IF(Z188="Low","Lower dep / ","Higher dep / ")&amp;IF(O188&gt;=Assumptions!$B$34,"Higher value","Lower value")</f>
        <v>Lower dep / Lower value</v>
      </c>
    </row>
    <row r="189" customFormat="false" ht="15" hidden="false" customHeight="false" outlineLevel="0" collapsed="false">
      <c r="A189" s="2" t="s">
        <v>938</v>
      </c>
      <c r="B189" s="2" t="s">
        <v>1571</v>
      </c>
      <c r="C189" s="2" t="s">
        <v>1640</v>
      </c>
      <c r="D189" s="2" t="s">
        <v>1657</v>
      </c>
      <c r="E189" s="2" t="s">
        <v>1728</v>
      </c>
      <c r="F189" s="2" t="s">
        <v>1572</v>
      </c>
      <c r="G189" s="2" t="n">
        <v>6</v>
      </c>
      <c r="H189" s="2" t="n">
        <v>1</v>
      </c>
      <c r="I189" s="9" t="n">
        <v>116</v>
      </c>
      <c r="J189" s="9" t="n">
        <v>0</v>
      </c>
      <c r="K189" s="9" t="n">
        <v>0</v>
      </c>
      <c r="L189" s="9" t="n">
        <v>0</v>
      </c>
      <c r="M189" s="9" t="n">
        <v>0</v>
      </c>
      <c r="N189" s="9" t="n">
        <v>0</v>
      </c>
      <c r="O189" s="9" t="n">
        <v>116</v>
      </c>
      <c r="P189" s="2" t="n">
        <v>-100</v>
      </c>
      <c r="Q189" s="2" t="n">
        <f aca="false">IF(I189&gt;0,ROUND((N189-I189)/I189*100,0),"")</f>
        <v>-100</v>
      </c>
      <c r="R189" s="9" t="n">
        <f aca="false">SUM(I189:K189)</f>
        <v>116</v>
      </c>
      <c r="S189" s="9" t="n">
        <f aca="false">SUM(L189:N189)</f>
        <v>0</v>
      </c>
      <c r="T189" s="17" t="n">
        <f aca="false">IF(R189&gt;0,S189/R189-1,"")</f>
        <v>-1</v>
      </c>
      <c r="U189" s="2" t="str">
        <f aca="false">IF(AND(R189=0,S189&gt;0),"H2 Active / No H1 GMV",IF(S189=0,"Lapsed",IF(T189&gt;=Assumptions!$B$36,"Growing",IF(T189&lt;-Assumptions!$B$36,"Declining","Stable"))))</f>
        <v>Lapsed</v>
      </c>
      <c r="V189" s="2" t="n">
        <f aca="false">COUNTIF(I189:N189,"&gt;0")</f>
        <v>1</v>
      </c>
      <c r="W189" s="2" t="str">
        <f aca="false">IF(N189&gt;0,"Feb",IF(M189&gt;0,"Jan",IF(L189&gt;0,"Dec",IF(K189&gt;0,"Nov",IF(J189&gt;0,"Oct","Sep")))))</f>
        <v>Sep</v>
      </c>
      <c r="X189" s="2" t="str">
        <f aca="false">IF(O189&gt;=Assumptions!$B$35,"Key (&gt;=£10k)",IF(O189&gt;=Assumptions!$B$34,"Core (£2k-10k)","Tail (&lt;£2k)"))</f>
        <v>Tail (&lt;£2k)</v>
      </c>
      <c r="Y189" s="21" t="n">
        <f aca="false">INDEX('Scored Accounts'!$Q$2:$Q$301,MATCH(A189,'Scored Accounts'!$A$2:$A$301,0))</f>
        <v>0</v>
      </c>
      <c r="Z189" s="2" t="str">
        <f aca="false">INDEX('Scored Accounts'!$R$2:$R$301,MATCH(A189,'Scored Accounts'!$A$2:$A$301,0))</f>
        <v>Low</v>
      </c>
      <c r="AA189" s="2" t="str">
        <f aca="false">INDEX('Scored Accounts'!$T$2:$T$301,MATCH(A189,'Scored Accounts'!$A$2:$A$301,0))</f>
        <v/>
      </c>
      <c r="AB189" s="2" t="str">
        <f aca="false">IF(Z189="Low","Lower dep / ","Higher dep / ")&amp;IF(O189&gt;=Assumptions!$B$34,"Higher value","Lower value")</f>
        <v>Lower dep / Lower value</v>
      </c>
    </row>
    <row r="190" customFormat="false" ht="15" hidden="false" customHeight="false" outlineLevel="0" collapsed="false">
      <c r="A190" s="2" t="s">
        <v>940</v>
      </c>
      <c r="B190" s="2" t="s">
        <v>1571</v>
      </c>
      <c r="C190" s="2" t="s">
        <v>1640</v>
      </c>
      <c r="D190" s="2" t="s">
        <v>1658</v>
      </c>
      <c r="E190" s="2" t="s">
        <v>1658</v>
      </c>
      <c r="F190" s="2" t="s">
        <v>1572</v>
      </c>
      <c r="G190" s="2" t="n">
        <v>12</v>
      </c>
      <c r="H190" s="2" t="n">
        <v>1</v>
      </c>
      <c r="I190" s="9" t="n">
        <v>0</v>
      </c>
      <c r="J190" s="9" t="n">
        <v>0</v>
      </c>
      <c r="K190" s="9" t="n">
        <v>116</v>
      </c>
      <c r="L190" s="9" t="n">
        <v>0</v>
      </c>
      <c r="M190" s="9" t="n">
        <v>0</v>
      </c>
      <c r="N190" s="9" t="n">
        <v>0</v>
      </c>
      <c r="O190" s="9" t="n">
        <v>116</v>
      </c>
      <c r="P190" s="2"/>
      <c r="Q190" s="2" t="str">
        <f aca="false">IF(I190&gt;0,ROUND((N190-I190)/I190*100,0),"")</f>
        <v/>
      </c>
      <c r="R190" s="9" t="n">
        <f aca="false">SUM(I190:K190)</f>
        <v>116</v>
      </c>
      <c r="S190" s="9" t="n">
        <f aca="false">SUM(L190:N190)</f>
        <v>0</v>
      </c>
      <c r="T190" s="17" t="n">
        <f aca="false">IF(R190&gt;0,S190/R190-1,"")</f>
        <v>-1</v>
      </c>
      <c r="U190" s="2" t="str">
        <f aca="false">IF(AND(R190=0,S190&gt;0),"H2 Active / No H1 GMV",IF(S190=0,"Lapsed",IF(T190&gt;=Assumptions!$B$36,"Growing",IF(T190&lt;-Assumptions!$B$36,"Declining","Stable"))))</f>
        <v>Lapsed</v>
      </c>
      <c r="V190" s="2" t="n">
        <f aca="false">COUNTIF(I190:N190,"&gt;0")</f>
        <v>1</v>
      </c>
      <c r="W190" s="2" t="str">
        <f aca="false">IF(N190&gt;0,"Feb",IF(M190&gt;0,"Jan",IF(L190&gt;0,"Dec",IF(K190&gt;0,"Nov",IF(J190&gt;0,"Oct","Sep")))))</f>
        <v>Nov</v>
      </c>
      <c r="X190" s="2" t="str">
        <f aca="false">IF(O190&gt;=Assumptions!$B$35,"Key (&gt;=£10k)",IF(O190&gt;=Assumptions!$B$34,"Core (£2k-10k)","Tail (&lt;£2k)"))</f>
        <v>Tail (&lt;£2k)</v>
      </c>
      <c r="Y190" s="21" t="n">
        <f aca="false">INDEX('Scored Accounts'!$Q$2:$Q$301,MATCH(A190,'Scored Accounts'!$A$2:$A$301,0))</f>
        <v>0</v>
      </c>
      <c r="Z190" s="2" t="str">
        <f aca="false">INDEX('Scored Accounts'!$R$2:$R$301,MATCH(A190,'Scored Accounts'!$A$2:$A$301,0))</f>
        <v>Low</v>
      </c>
      <c r="AA190" s="2" t="str">
        <f aca="false">INDEX('Scored Accounts'!$T$2:$T$301,MATCH(A190,'Scored Accounts'!$A$2:$A$301,0))</f>
        <v/>
      </c>
      <c r="AB190" s="2" t="str">
        <f aca="false">IF(Z190="Low","Lower dep / ","Higher dep / ")&amp;IF(O190&gt;=Assumptions!$B$34,"Higher value","Lower value")</f>
        <v>Lower dep / Lower value</v>
      </c>
    </row>
    <row r="191" customFormat="false" ht="15" hidden="false" customHeight="false" outlineLevel="0" collapsed="false">
      <c r="A191" s="2" t="s">
        <v>942</v>
      </c>
      <c r="B191" s="2" t="s">
        <v>1571</v>
      </c>
      <c r="C191" s="2" t="s">
        <v>1640</v>
      </c>
      <c r="D191" s="2" t="s">
        <v>1653</v>
      </c>
      <c r="E191" s="2" t="s">
        <v>1653</v>
      </c>
      <c r="F191" s="2" t="s">
        <v>1572</v>
      </c>
      <c r="G191" s="2" t="n">
        <v>6</v>
      </c>
      <c r="H191" s="2" t="n">
        <v>1</v>
      </c>
      <c r="I191" s="9" t="n">
        <v>113</v>
      </c>
      <c r="J191" s="9" t="n">
        <v>0</v>
      </c>
      <c r="K191" s="9" t="n">
        <v>0</v>
      </c>
      <c r="L191" s="9" t="n">
        <v>0</v>
      </c>
      <c r="M191" s="9" t="n">
        <v>0</v>
      </c>
      <c r="N191" s="9" t="n">
        <v>0</v>
      </c>
      <c r="O191" s="9" t="n">
        <v>113</v>
      </c>
      <c r="P191" s="2" t="n">
        <v>-100</v>
      </c>
      <c r="Q191" s="2" t="n">
        <f aca="false">IF(I191&gt;0,ROUND((N191-I191)/I191*100,0),"")</f>
        <v>-100</v>
      </c>
      <c r="R191" s="9" t="n">
        <f aca="false">SUM(I191:K191)</f>
        <v>113</v>
      </c>
      <c r="S191" s="9" t="n">
        <f aca="false">SUM(L191:N191)</f>
        <v>0</v>
      </c>
      <c r="T191" s="17" t="n">
        <f aca="false">IF(R191&gt;0,S191/R191-1,"")</f>
        <v>-1</v>
      </c>
      <c r="U191" s="2" t="str">
        <f aca="false">IF(AND(R191=0,S191&gt;0),"H2 Active / No H1 GMV",IF(S191=0,"Lapsed",IF(T191&gt;=Assumptions!$B$36,"Growing",IF(T191&lt;-Assumptions!$B$36,"Declining","Stable"))))</f>
        <v>Lapsed</v>
      </c>
      <c r="V191" s="2" t="n">
        <f aca="false">COUNTIF(I191:N191,"&gt;0")</f>
        <v>1</v>
      </c>
      <c r="W191" s="2" t="str">
        <f aca="false">IF(N191&gt;0,"Feb",IF(M191&gt;0,"Jan",IF(L191&gt;0,"Dec",IF(K191&gt;0,"Nov",IF(J191&gt;0,"Oct","Sep")))))</f>
        <v>Sep</v>
      </c>
      <c r="X191" s="2" t="str">
        <f aca="false">IF(O191&gt;=Assumptions!$B$35,"Key (&gt;=£10k)",IF(O191&gt;=Assumptions!$B$34,"Core (£2k-10k)","Tail (&lt;£2k)"))</f>
        <v>Tail (&lt;£2k)</v>
      </c>
      <c r="Y191" s="21" t="n">
        <f aca="false">INDEX('Scored Accounts'!$Q$2:$Q$301,MATCH(A191,'Scored Accounts'!$A$2:$A$301,0))</f>
        <v>0</v>
      </c>
      <c r="Z191" s="2" t="str">
        <f aca="false">INDEX('Scored Accounts'!$R$2:$R$301,MATCH(A191,'Scored Accounts'!$A$2:$A$301,0))</f>
        <v>Low</v>
      </c>
      <c r="AA191" s="2" t="str">
        <f aca="false">INDEX('Scored Accounts'!$T$2:$T$301,MATCH(A191,'Scored Accounts'!$A$2:$A$301,0))</f>
        <v/>
      </c>
      <c r="AB191" s="2" t="str">
        <f aca="false">IF(Z191="Low","Lower dep / ","Higher dep / ")&amp;IF(O191&gt;=Assumptions!$B$34,"Higher value","Lower value")</f>
        <v>Lower dep / Lower value</v>
      </c>
    </row>
    <row r="192" customFormat="false" ht="15" hidden="false" customHeight="false" outlineLevel="0" collapsed="false">
      <c r="A192" s="2" t="s">
        <v>946</v>
      </c>
      <c r="B192" s="2" t="s">
        <v>1571</v>
      </c>
      <c r="C192" s="2" t="s">
        <v>1640</v>
      </c>
      <c r="D192" s="2" t="s">
        <v>1653</v>
      </c>
      <c r="E192" s="2" t="s">
        <v>1653</v>
      </c>
      <c r="F192" s="2" t="s">
        <v>1572</v>
      </c>
      <c r="G192" s="2" t="n">
        <v>11</v>
      </c>
      <c r="H192" s="2" t="n">
        <v>1</v>
      </c>
      <c r="I192" s="9" t="n">
        <v>0</v>
      </c>
      <c r="J192" s="9" t="n">
        <v>109</v>
      </c>
      <c r="K192" s="9" t="n">
        <v>0</v>
      </c>
      <c r="L192" s="9" t="n">
        <v>0</v>
      </c>
      <c r="M192" s="9" t="n">
        <v>0</v>
      </c>
      <c r="N192" s="9" t="n">
        <v>0</v>
      </c>
      <c r="O192" s="9" t="n">
        <v>109</v>
      </c>
      <c r="P192" s="2"/>
      <c r="Q192" s="2" t="str">
        <f aca="false">IF(I192&gt;0,ROUND((N192-I192)/I192*100,0),"")</f>
        <v/>
      </c>
      <c r="R192" s="9" t="n">
        <f aca="false">SUM(I192:K192)</f>
        <v>109</v>
      </c>
      <c r="S192" s="9" t="n">
        <f aca="false">SUM(L192:N192)</f>
        <v>0</v>
      </c>
      <c r="T192" s="17" t="n">
        <f aca="false">IF(R192&gt;0,S192/R192-1,"")</f>
        <v>-1</v>
      </c>
      <c r="U192" s="2" t="str">
        <f aca="false">IF(AND(R192=0,S192&gt;0),"H2 Active / No H1 GMV",IF(S192=0,"Lapsed",IF(T192&gt;=Assumptions!$B$36,"Growing",IF(T192&lt;-Assumptions!$B$36,"Declining","Stable"))))</f>
        <v>Lapsed</v>
      </c>
      <c r="V192" s="2" t="n">
        <f aca="false">COUNTIF(I192:N192,"&gt;0")</f>
        <v>1</v>
      </c>
      <c r="W192" s="2" t="str">
        <f aca="false">IF(N192&gt;0,"Feb",IF(M192&gt;0,"Jan",IF(L192&gt;0,"Dec",IF(K192&gt;0,"Nov",IF(J192&gt;0,"Oct","Sep")))))</f>
        <v>Oct</v>
      </c>
      <c r="X192" s="2" t="str">
        <f aca="false">IF(O192&gt;=Assumptions!$B$35,"Key (&gt;=£10k)",IF(O192&gt;=Assumptions!$B$34,"Core (£2k-10k)","Tail (&lt;£2k)"))</f>
        <v>Tail (&lt;£2k)</v>
      </c>
      <c r="Y192" s="21" t="n">
        <f aca="false">INDEX('Scored Accounts'!$Q$2:$Q$301,MATCH(A192,'Scored Accounts'!$A$2:$A$301,0))</f>
        <v>0</v>
      </c>
      <c r="Z192" s="2" t="str">
        <f aca="false">INDEX('Scored Accounts'!$R$2:$R$301,MATCH(A192,'Scored Accounts'!$A$2:$A$301,0))</f>
        <v>Low</v>
      </c>
      <c r="AA192" s="2" t="str">
        <f aca="false">INDEX('Scored Accounts'!$T$2:$T$301,MATCH(A192,'Scored Accounts'!$A$2:$A$301,0))</f>
        <v/>
      </c>
      <c r="AB192" s="2" t="str">
        <f aca="false">IF(Z192="Low","Lower dep / ","Higher dep / ")&amp;IF(O192&gt;=Assumptions!$B$34,"Higher value","Lower value")</f>
        <v>Lower dep / Lower value</v>
      </c>
    </row>
    <row r="193" customFormat="false" ht="15" hidden="false" customHeight="false" outlineLevel="0" collapsed="false">
      <c r="A193" s="2" t="s">
        <v>948</v>
      </c>
      <c r="B193" s="2" t="s">
        <v>1571</v>
      </c>
      <c r="C193" s="2" t="s">
        <v>1640</v>
      </c>
      <c r="D193" s="2" t="s">
        <v>1655</v>
      </c>
      <c r="E193" s="2" t="s">
        <v>1655</v>
      </c>
      <c r="F193" s="2" t="s">
        <v>1572</v>
      </c>
      <c r="G193" s="2" t="n">
        <v>20</v>
      </c>
      <c r="H193" s="2" t="n">
        <v>1</v>
      </c>
      <c r="I193" s="9" t="n">
        <v>0</v>
      </c>
      <c r="J193" s="9" t="n">
        <v>0</v>
      </c>
      <c r="K193" s="9" t="n">
        <v>0</v>
      </c>
      <c r="L193" s="9" t="n">
        <v>0</v>
      </c>
      <c r="M193" s="9" t="n">
        <v>107</v>
      </c>
      <c r="N193" s="9" t="n">
        <v>0</v>
      </c>
      <c r="O193" s="9" t="n">
        <v>107</v>
      </c>
      <c r="P193" s="2"/>
      <c r="Q193" s="2" t="str">
        <f aca="false">IF(I193&gt;0,ROUND((N193-I193)/I193*100,0),"")</f>
        <v/>
      </c>
      <c r="R193" s="9" t="n">
        <f aca="false">SUM(I193:K193)</f>
        <v>0</v>
      </c>
      <c r="S193" s="9" t="n">
        <f aca="false">SUM(L193:N193)</f>
        <v>107</v>
      </c>
      <c r="T193" s="17" t="str">
        <f aca="false">IF(R193&gt;0,S193/R193-1,"")</f>
        <v/>
      </c>
      <c r="U193" s="2" t="str">
        <f aca="false">IF(AND(R193=0,S193&gt;0),"H2 Active / No H1 GMV",IF(S193=0,"Lapsed",IF(T193&gt;=Assumptions!$B$36,"Growing",IF(T193&lt;-Assumptions!$B$36,"Declining","Stable"))))</f>
        <v>H2 Active / No H1 GMV</v>
      </c>
      <c r="V193" s="2" t="n">
        <f aca="false">COUNTIF(I193:N193,"&gt;0")</f>
        <v>1</v>
      </c>
      <c r="W193" s="2" t="str">
        <f aca="false">IF(N193&gt;0,"Feb",IF(M193&gt;0,"Jan",IF(L193&gt;0,"Dec",IF(K193&gt;0,"Nov",IF(J193&gt;0,"Oct","Sep")))))</f>
        <v>Jan</v>
      </c>
      <c r="X193" s="2" t="str">
        <f aca="false">IF(O193&gt;=Assumptions!$B$35,"Key (&gt;=£10k)",IF(O193&gt;=Assumptions!$B$34,"Core (£2k-10k)","Tail (&lt;£2k)"))</f>
        <v>Tail (&lt;£2k)</v>
      </c>
      <c r="Y193" s="21" t="n">
        <f aca="false">INDEX('Scored Accounts'!$Q$2:$Q$301,MATCH(A193,'Scored Accounts'!$A$2:$A$301,0))</f>
        <v>0</v>
      </c>
      <c r="Z193" s="2" t="str">
        <f aca="false">INDEX('Scored Accounts'!$R$2:$R$301,MATCH(A193,'Scored Accounts'!$A$2:$A$301,0))</f>
        <v>Low</v>
      </c>
      <c r="AA193" s="2" t="str">
        <f aca="false">INDEX('Scored Accounts'!$T$2:$T$301,MATCH(A193,'Scored Accounts'!$A$2:$A$301,0))</f>
        <v/>
      </c>
      <c r="AB193" s="2" t="str">
        <f aca="false">IF(Z193="Low","Lower dep / ","Higher dep / ")&amp;IF(O193&gt;=Assumptions!$B$34,"Higher value","Lower value")</f>
        <v>Lower dep / Lower value</v>
      </c>
    </row>
    <row r="194" customFormat="false" ht="15" hidden="false" customHeight="false" outlineLevel="0" collapsed="false">
      <c r="A194" s="2" t="s">
        <v>950</v>
      </c>
      <c r="B194" s="2" t="s">
        <v>1571</v>
      </c>
      <c r="C194" s="2" t="s">
        <v>1640</v>
      </c>
      <c r="D194" s="2" t="s">
        <v>1656</v>
      </c>
      <c r="E194" s="2" t="s">
        <v>1714</v>
      </c>
      <c r="F194" s="2"/>
      <c r="G194" s="2" t="n">
        <v>6</v>
      </c>
      <c r="H194" s="2" t="n">
        <v>1</v>
      </c>
      <c r="I194" s="9" t="n">
        <v>106</v>
      </c>
      <c r="J194" s="9" t="n">
        <v>0</v>
      </c>
      <c r="K194" s="9" t="n">
        <v>0</v>
      </c>
      <c r="L194" s="9" t="n">
        <v>0</v>
      </c>
      <c r="M194" s="9" t="n">
        <v>0</v>
      </c>
      <c r="N194" s="9" t="n">
        <v>0</v>
      </c>
      <c r="O194" s="9" t="n">
        <v>106</v>
      </c>
      <c r="P194" s="2" t="n">
        <v>-100</v>
      </c>
      <c r="Q194" s="2" t="n">
        <f aca="false">IF(I194&gt;0,ROUND((N194-I194)/I194*100,0),"")</f>
        <v>-100</v>
      </c>
      <c r="R194" s="9" t="n">
        <f aca="false">SUM(I194:K194)</f>
        <v>106</v>
      </c>
      <c r="S194" s="9" t="n">
        <f aca="false">SUM(L194:N194)</f>
        <v>0</v>
      </c>
      <c r="T194" s="17" t="n">
        <f aca="false">IF(R194&gt;0,S194/R194-1,"")</f>
        <v>-1</v>
      </c>
      <c r="U194" s="2" t="str">
        <f aca="false">IF(AND(R194=0,S194&gt;0),"H2 Active / No H1 GMV",IF(S194=0,"Lapsed",IF(T194&gt;=Assumptions!$B$36,"Growing",IF(T194&lt;-Assumptions!$B$36,"Declining","Stable"))))</f>
        <v>Lapsed</v>
      </c>
      <c r="V194" s="2" t="n">
        <f aca="false">COUNTIF(I194:N194,"&gt;0")</f>
        <v>1</v>
      </c>
      <c r="W194" s="2" t="str">
        <f aca="false">IF(N194&gt;0,"Feb",IF(M194&gt;0,"Jan",IF(L194&gt;0,"Dec",IF(K194&gt;0,"Nov",IF(J194&gt;0,"Oct","Sep")))))</f>
        <v>Sep</v>
      </c>
      <c r="X194" s="2" t="str">
        <f aca="false">IF(O194&gt;=Assumptions!$B$35,"Key (&gt;=£10k)",IF(O194&gt;=Assumptions!$B$34,"Core (£2k-10k)","Tail (&lt;£2k)"))</f>
        <v>Tail (&lt;£2k)</v>
      </c>
      <c r="Y194" s="21" t="n">
        <f aca="false">INDEX('Scored Accounts'!$Q$2:$Q$301,MATCH(A194,'Scored Accounts'!$A$2:$A$301,0))</f>
        <v>0</v>
      </c>
      <c r="Z194" s="2" t="str">
        <f aca="false">INDEX('Scored Accounts'!$R$2:$R$301,MATCH(A194,'Scored Accounts'!$A$2:$A$301,0))</f>
        <v>Low</v>
      </c>
      <c r="AA194" s="2" t="str">
        <f aca="false">INDEX('Scored Accounts'!$T$2:$T$301,MATCH(A194,'Scored Accounts'!$A$2:$A$301,0))</f>
        <v/>
      </c>
      <c r="AB194" s="2" t="str">
        <f aca="false">IF(Z194="Low","Lower dep / ","Higher dep / ")&amp;IF(O194&gt;=Assumptions!$B$34,"Higher value","Lower value")</f>
        <v>Lower dep / Lower value</v>
      </c>
    </row>
    <row r="195" customFormat="false" ht="15" hidden="false" customHeight="false" outlineLevel="0" collapsed="false">
      <c r="A195" s="2" t="s">
        <v>952</v>
      </c>
      <c r="B195" s="2" t="s">
        <v>1571</v>
      </c>
      <c r="C195" s="2" t="s">
        <v>1640</v>
      </c>
      <c r="D195" s="2" t="s">
        <v>1658</v>
      </c>
      <c r="E195" s="2" t="s">
        <v>1658</v>
      </c>
      <c r="F195" s="2" t="s">
        <v>1572</v>
      </c>
      <c r="G195" s="2" t="n">
        <v>34</v>
      </c>
      <c r="H195" s="2" t="n">
        <v>1</v>
      </c>
      <c r="I195" s="9" t="n">
        <v>0</v>
      </c>
      <c r="J195" s="9" t="n">
        <v>0</v>
      </c>
      <c r="K195" s="9" t="n">
        <v>0</v>
      </c>
      <c r="L195" s="9" t="n">
        <v>106</v>
      </c>
      <c r="M195" s="9" t="n">
        <v>0</v>
      </c>
      <c r="N195" s="9" t="n">
        <v>0</v>
      </c>
      <c r="O195" s="9" t="n">
        <v>106</v>
      </c>
      <c r="P195" s="2"/>
      <c r="Q195" s="2" t="str">
        <f aca="false">IF(I195&gt;0,ROUND((N195-I195)/I195*100,0),"")</f>
        <v/>
      </c>
      <c r="R195" s="9" t="n">
        <f aca="false">SUM(I195:K195)</f>
        <v>0</v>
      </c>
      <c r="S195" s="9" t="n">
        <f aca="false">SUM(L195:N195)</f>
        <v>106</v>
      </c>
      <c r="T195" s="17" t="str">
        <f aca="false">IF(R195&gt;0,S195/R195-1,"")</f>
        <v/>
      </c>
      <c r="U195" s="2" t="str">
        <f aca="false">IF(AND(R195=0,S195&gt;0),"H2 Active / No H1 GMV",IF(S195=0,"Lapsed",IF(T195&gt;=Assumptions!$B$36,"Growing",IF(T195&lt;-Assumptions!$B$36,"Declining","Stable"))))</f>
        <v>H2 Active / No H1 GMV</v>
      </c>
      <c r="V195" s="2" t="n">
        <f aca="false">COUNTIF(I195:N195,"&gt;0")</f>
        <v>1</v>
      </c>
      <c r="W195" s="2" t="str">
        <f aca="false">IF(N195&gt;0,"Feb",IF(M195&gt;0,"Jan",IF(L195&gt;0,"Dec",IF(K195&gt;0,"Nov",IF(J195&gt;0,"Oct","Sep")))))</f>
        <v>Dec</v>
      </c>
      <c r="X195" s="2" t="str">
        <f aca="false">IF(O195&gt;=Assumptions!$B$35,"Key (&gt;=£10k)",IF(O195&gt;=Assumptions!$B$34,"Core (£2k-10k)","Tail (&lt;£2k)"))</f>
        <v>Tail (&lt;£2k)</v>
      </c>
      <c r="Y195" s="21" t="n">
        <f aca="false">INDEX('Scored Accounts'!$Q$2:$Q$301,MATCH(A195,'Scored Accounts'!$A$2:$A$301,0))</f>
        <v>0</v>
      </c>
      <c r="Z195" s="2" t="str">
        <f aca="false">INDEX('Scored Accounts'!$R$2:$R$301,MATCH(A195,'Scored Accounts'!$A$2:$A$301,0))</f>
        <v>Low</v>
      </c>
      <c r="AA195" s="2" t="str">
        <f aca="false">INDEX('Scored Accounts'!$T$2:$T$301,MATCH(A195,'Scored Accounts'!$A$2:$A$301,0))</f>
        <v/>
      </c>
      <c r="AB195" s="2" t="str">
        <f aca="false">IF(Z195="Low","Lower dep / ","Higher dep / ")&amp;IF(O195&gt;=Assumptions!$B$34,"Higher value","Lower value")</f>
        <v>Lower dep / Lower value</v>
      </c>
    </row>
    <row r="196" customFormat="false" ht="15" hidden="false" customHeight="false" outlineLevel="0" collapsed="false">
      <c r="A196" s="2" t="s">
        <v>956</v>
      </c>
      <c r="B196" s="2" t="s">
        <v>1571</v>
      </c>
      <c r="C196" s="2" t="s">
        <v>1640</v>
      </c>
      <c r="D196" s="2" t="s">
        <v>1657</v>
      </c>
      <c r="E196" s="2" t="s">
        <v>1718</v>
      </c>
      <c r="F196" s="2" t="s">
        <v>1572</v>
      </c>
      <c r="G196" s="2" t="n">
        <v>16</v>
      </c>
      <c r="H196" s="2" t="n">
        <v>1</v>
      </c>
      <c r="I196" s="9" t="n">
        <v>0</v>
      </c>
      <c r="J196" s="9" t="n">
        <v>0</v>
      </c>
      <c r="K196" s="9" t="n">
        <v>103</v>
      </c>
      <c r="L196" s="9" t="n">
        <v>0</v>
      </c>
      <c r="M196" s="9" t="n">
        <v>0</v>
      </c>
      <c r="N196" s="9" t="n">
        <v>0</v>
      </c>
      <c r="O196" s="9" t="n">
        <v>103</v>
      </c>
      <c r="P196" s="2"/>
      <c r="Q196" s="2" t="str">
        <f aca="false">IF(I196&gt;0,ROUND((N196-I196)/I196*100,0),"")</f>
        <v/>
      </c>
      <c r="R196" s="9" t="n">
        <f aca="false">SUM(I196:K196)</f>
        <v>103</v>
      </c>
      <c r="S196" s="9" t="n">
        <f aca="false">SUM(L196:N196)</f>
        <v>0</v>
      </c>
      <c r="T196" s="17" t="n">
        <f aca="false">IF(R196&gt;0,S196/R196-1,"")</f>
        <v>-1</v>
      </c>
      <c r="U196" s="2" t="str">
        <f aca="false">IF(AND(R196=0,S196&gt;0),"H2 Active / No H1 GMV",IF(S196=0,"Lapsed",IF(T196&gt;=Assumptions!$B$36,"Growing",IF(T196&lt;-Assumptions!$B$36,"Declining","Stable"))))</f>
        <v>Lapsed</v>
      </c>
      <c r="V196" s="2" t="n">
        <f aca="false">COUNTIF(I196:N196,"&gt;0")</f>
        <v>1</v>
      </c>
      <c r="W196" s="2" t="str">
        <f aca="false">IF(N196&gt;0,"Feb",IF(M196&gt;0,"Jan",IF(L196&gt;0,"Dec",IF(K196&gt;0,"Nov",IF(J196&gt;0,"Oct","Sep")))))</f>
        <v>Nov</v>
      </c>
      <c r="X196" s="2" t="str">
        <f aca="false">IF(O196&gt;=Assumptions!$B$35,"Key (&gt;=£10k)",IF(O196&gt;=Assumptions!$B$34,"Core (£2k-10k)","Tail (&lt;£2k)"))</f>
        <v>Tail (&lt;£2k)</v>
      </c>
      <c r="Y196" s="21" t="n">
        <f aca="false">INDEX('Scored Accounts'!$Q$2:$Q$301,MATCH(A196,'Scored Accounts'!$A$2:$A$301,0))</f>
        <v>0</v>
      </c>
      <c r="Z196" s="2" t="str">
        <f aca="false">INDEX('Scored Accounts'!$R$2:$R$301,MATCH(A196,'Scored Accounts'!$A$2:$A$301,0))</f>
        <v>Low</v>
      </c>
      <c r="AA196" s="2" t="str">
        <f aca="false">INDEX('Scored Accounts'!$T$2:$T$301,MATCH(A196,'Scored Accounts'!$A$2:$A$301,0))</f>
        <v/>
      </c>
      <c r="AB196" s="2" t="str">
        <f aca="false">IF(Z196="Low","Lower dep / ","Higher dep / ")&amp;IF(O196&gt;=Assumptions!$B$34,"Higher value","Lower value")</f>
        <v>Lower dep / Lower value</v>
      </c>
    </row>
    <row r="197" customFormat="false" ht="15" hidden="false" customHeight="false" outlineLevel="0" collapsed="false">
      <c r="A197" s="2" t="s">
        <v>958</v>
      </c>
      <c r="B197" s="2" t="s">
        <v>1571</v>
      </c>
      <c r="C197" s="2" t="s">
        <v>1640</v>
      </c>
      <c r="D197" s="2" t="s">
        <v>1653</v>
      </c>
      <c r="E197" s="2" t="s">
        <v>1653</v>
      </c>
      <c r="F197" s="2"/>
      <c r="G197" s="2" t="n">
        <v>6</v>
      </c>
      <c r="H197" s="2" t="n">
        <v>1</v>
      </c>
      <c r="I197" s="9" t="n">
        <v>101</v>
      </c>
      <c r="J197" s="9" t="n">
        <v>0</v>
      </c>
      <c r="K197" s="9" t="n">
        <v>0</v>
      </c>
      <c r="L197" s="9" t="n">
        <v>0</v>
      </c>
      <c r="M197" s="9" t="n">
        <v>0</v>
      </c>
      <c r="N197" s="9" t="n">
        <v>0</v>
      </c>
      <c r="O197" s="9" t="n">
        <v>101</v>
      </c>
      <c r="P197" s="2" t="n">
        <v>-100</v>
      </c>
      <c r="Q197" s="2" t="n">
        <f aca="false">IF(I197&gt;0,ROUND((N197-I197)/I197*100,0),"")</f>
        <v>-100</v>
      </c>
      <c r="R197" s="9" t="n">
        <f aca="false">SUM(I197:K197)</f>
        <v>101</v>
      </c>
      <c r="S197" s="9" t="n">
        <f aca="false">SUM(L197:N197)</f>
        <v>0</v>
      </c>
      <c r="T197" s="17" t="n">
        <f aca="false">IF(R197&gt;0,S197/R197-1,"")</f>
        <v>-1</v>
      </c>
      <c r="U197" s="2" t="str">
        <f aca="false">IF(AND(R197=0,S197&gt;0),"H2 Active / No H1 GMV",IF(S197=0,"Lapsed",IF(T197&gt;=Assumptions!$B$36,"Growing",IF(T197&lt;-Assumptions!$B$36,"Declining","Stable"))))</f>
        <v>Lapsed</v>
      </c>
      <c r="V197" s="2" t="n">
        <f aca="false">COUNTIF(I197:N197,"&gt;0")</f>
        <v>1</v>
      </c>
      <c r="W197" s="2" t="str">
        <f aca="false">IF(N197&gt;0,"Feb",IF(M197&gt;0,"Jan",IF(L197&gt;0,"Dec",IF(K197&gt;0,"Nov",IF(J197&gt;0,"Oct","Sep")))))</f>
        <v>Sep</v>
      </c>
      <c r="X197" s="2" t="str">
        <f aca="false">IF(O197&gt;=Assumptions!$B$35,"Key (&gt;=£10k)",IF(O197&gt;=Assumptions!$B$34,"Core (£2k-10k)","Tail (&lt;£2k)"))</f>
        <v>Tail (&lt;£2k)</v>
      </c>
      <c r="Y197" s="21" t="n">
        <f aca="false">INDEX('Scored Accounts'!$Q$2:$Q$301,MATCH(A197,'Scored Accounts'!$A$2:$A$301,0))</f>
        <v>0</v>
      </c>
      <c r="Z197" s="2" t="str">
        <f aca="false">INDEX('Scored Accounts'!$R$2:$R$301,MATCH(A197,'Scored Accounts'!$A$2:$A$301,0))</f>
        <v>Low</v>
      </c>
      <c r="AA197" s="2" t="str">
        <f aca="false">INDEX('Scored Accounts'!$T$2:$T$301,MATCH(A197,'Scored Accounts'!$A$2:$A$301,0))</f>
        <v/>
      </c>
      <c r="AB197" s="2" t="str">
        <f aca="false">IF(Z197="Low","Lower dep / ","Higher dep / ")&amp;IF(O197&gt;=Assumptions!$B$34,"Higher value","Lower value")</f>
        <v>Lower dep / Lower value</v>
      </c>
    </row>
    <row r="198" customFormat="false" ht="15" hidden="false" customHeight="false" outlineLevel="0" collapsed="false">
      <c r="A198" s="2" t="s">
        <v>962</v>
      </c>
      <c r="B198" s="2" t="s">
        <v>1571</v>
      </c>
      <c r="C198" s="2" t="s">
        <v>1640</v>
      </c>
      <c r="D198" s="2" t="s">
        <v>1653</v>
      </c>
      <c r="E198" s="2" t="s">
        <v>1653</v>
      </c>
      <c r="F198" s="2"/>
      <c r="G198" s="2" t="n">
        <v>6</v>
      </c>
      <c r="H198" s="2" t="n">
        <v>1</v>
      </c>
      <c r="I198" s="9" t="n">
        <v>97</v>
      </c>
      <c r="J198" s="9" t="n">
        <v>0</v>
      </c>
      <c r="K198" s="9" t="n">
        <v>0</v>
      </c>
      <c r="L198" s="9" t="n">
        <v>0</v>
      </c>
      <c r="M198" s="9" t="n">
        <v>0</v>
      </c>
      <c r="N198" s="9" t="n">
        <v>0</v>
      </c>
      <c r="O198" s="9" t="n">
        <v>97</v>
      </c>
      <c r="P198" s="2" t="n">
        <v>-100</v>
      </c>
      <c r="Q198" s="2" t="n">
        <f aca="false">IF(I198&gt;0,ROUND((N198-I198)/I198*100,0),"")</f>
        <v>-100</v>
      </c>
      <c r="R198" s="9" t="n">
        <f aca="false">SUM(I198:K198)</f>
        <v>97</v>
      </c>
      <c r="S198" s="9" t="n">
        <f aca="false">SUM(L198:N198)</f>
        <v>0</v>
      </c>
      <c r="T198" s="17" t="n">
        <f aca="false">IF(R198&gt;0,S198/R198-1,"")</f>
        <v>-1</v>
      </c>
      <c r="U198" s="2" t="str">
        <f aca="false">IF(AND(R198=0,S198&gt;0),"H2 Active / No H1 GMV",IF(S198=0,"Lapsed",IF(T198&gt;=Assumptions!$B$36,"Growing",IF(T198&lt;-Assumptions!$B$36,"Declining","Stable"))))</f>
        <v>Lapsed</v>
      </c>
      <c r="V198" s="2" t="n">
        <f aca="false">COUNTIF(I198:N198,"&gt;0")</f>
        <v>1</v>
      </c>
      <c r="W198" s="2" t="str">
        <f aca="false">IF(N198&gt;0,"Feb",IF(M198&gt;0,"Jan",IF(L198&gt;0,"Dec",IF(K198&gt;0,"Nov",IF(J198&gt;0,"Oct","Sep")))))</f>
        <v>Sep</v>
      </c>
      <c r="X198" s="2" t="str">
        <f aca="false">IF(O198&gt;=Assumptions!$B$35,"Key (&gt;=£10k)",IF(O198&gt;=Assumptions!$B$34,"Core (£2k-10k)","Tail (&lt;£2k)"))</f>
        <v>Tail (&lt;£2k)</v>
      </c>
      <c r="Y198" s="21" t="n">
        <f aca="false">INDEX('Scored Accounts'!$Q$2:$Q$301,MATCH(A198,'Scored Accounts'!$A$2:$A$301,0))</f>
        <v>0</v>
      </c>
      <c r="Z198" s="2" t="str">
        <f aca="false">INDEX('Scored Accounts'!$R$2:$R$301,MATCH(A198,'Scored Accounts'!$A$2:$A$301,0))</f>
        <v>Low</v>
      </c>
      <c r="AA198" s="2" t="str">
        <f aca="false">INDEX('Scored Accounts'!$T$2:$T$301,MATCH(A198,'Scored Accounts'!$A$2:$A$301,0))</f>
        <v/>
      </c>
      <c r="AB198" s="2" t="str">
        <f aca="false">IF(Z198="Low","Lower dep / ","Higher dep / ")&amp;IF(O198&gt;=Assumptions!$B$34,"Higher value","Lower value")</f>
        <v>Lower dep / Lower value</v>
      </c>
    </row>
    <row r="199" customFormat="false" ht="15" hidden="false" customHeight="false" outlineLevel="0" collapsed="false">
      <c r="A199" s="2" t="s">
        <v>964</v>
      </c>
      <c r="B199" s="2" t="s">
        <v>1571</v>
      </c>
      <c r="C199" s="2" t="s">
        <v>1640</v>
      </c>
      <c r="D199" s="2" t="s">
        <v>1655</v>
      </c>
      <c r="E199" s="2" t="s">
        <v>1655</v>
      </c>
      <c r="F199" s="2"/>
      <c r="G199" s="2" t="n">
        <v>6</v>
      </c>
      <c r="H199" s="2" t="n">
        <v>1</v>
      </c>
      <c r="I199" s="9" t="n">
        <v>96</v>
      </c>
      <c r="J199" s="9" t="n">
        <v>0</v>
      </c>
      <c r="K199" s="9" t="n">
        <v>0</v>
      </c>
      <c r="L199" s="9" t="n">
        <v>0</v>
      </c>
      <c r="M199" s="9" t="n">
        <v>0</v>
      </c>
      <c r="N199" s="9" t="n">
        <v>0</v>
      </c>
      <c r="O199" s="9" t="n">
        <v>96</v>
      </c>
      <c r="P199" s="2" t="n">
        <v>-100</v>
      </c>
      <c r="Q199" s="2" t="n">
        <f aca="false">IF(I199&gt;0,ROUND((N199-I199)/I199*100,0),"")</f>
        <v>-100</v>
      </c>
      <c r="R199" s="9" t="n">
        <f aca="false">SUM(I199:K199)</f>
        <v>96</v>
      </c>
      <c r="S199" s="9" t="n">
        <f aca="false">SUM(L199:N199)</f>
        <v>0</v>
      </c>
      <c r="T199" s="17" t="n">
        <f aca="false">IF(R199&gt;0,S199/R199-1,"")</f>
        <v>-1</v>
      </c>
      <c r="U199" s="2" t="str">
        <f aca="false">IF(AND(R199=0,S199&gt;0),"H2 Active / No H1 GMV",IF(S199=0,"Lapsed",IF(T199&gt;=Assumptions!$B$36,"Growing",IF(T199&lt;-Assumptions!$B$36,"Declining","Stable"))))</f>
        <v>Lapsed</v>
      </c>
      <c r="V199" s="2" t="n">
        <f aca="false">COUNTIF(I199:N199,"&gt;0")</f>
        <v>1</v>
      </c>
      <c r="W199" s="2" t="str">
        <f aca="false">IF(N199&gt;0,"Feb",IF(M199&gt;0,"Jan",IF(L199&gt;0,"Dec",IF(K199&gt;0,"Nov",IF(J199&gt;0,"Oct","Sep")))))</f>
        <v>Sep</v>
      </c>
      <c r="X199" s="2" t="str">
        <f aca="false">IF(O199&gt;=Assumptions!$B$35,"Key (&gt;=£10k)",IF(O199&gt;=Assumptions!$B$34,"Core (£2k-10k)","Tail (&lt;£2k)"))</f>
        <v>Tail (&lt;£2k)</v>
      </c>
      <c r="Y199" s="21" t="n">
        <f aca="false">INDEX('Scored Accounts'!$Q$2:$Q$301,MATCH(A199,'Scored Accounts'!$A$2:$A$301,0))</f>
        <v>0</v>
      </c>
      <c r="Z199" s="2" t="str">
        <f aca="false">INDEX('Scored Accounts'!$R$2:$R$301,MATCH(A199,'Scored Accounts'!$A$2:$A$301,0))</f>
        <v>Low</v>
      </c>
      <c r="AA199" s="2" t="str">
        <f aca="false">INDEX('Scored Accounts'!$T$2:$T$301,MATCH(A199,'Scored Accounts'!$A$2:$A$301,0))</f>
        <v/>
      </c>
      <c r="AB199" s="2" t="str">
        <f aca="false">IF(Z199="Low","Lower dep / ","Higher dep / ")&amp;IF(O199&gt;=Assumptions!$B$34,"Higher value","Lower value")</f>
        <v>Lower dep / Lower value</v>
      </c>
    </row>
    <row r="200" customFormat="false" ht="15" hidden="false" customHeight="false" outlineLevel="0" collapsed="false">
      <c r="A200" s="2" t="s">
        <v>966</v>
      </c>
      <c r="B200" s="2" t="s">
        <v>1571</v>
      </c>
      <c r="C200" s="2" t="s">
        <v>1640</v>
      </c>
      <c r="D200" s="2" t="s">
        <v>1658</v>
      </c>
      <c r="E200" s="2" t="s">
        <v>1658</v>
      </c>
      <c r="F200" s="2"/>
      <c r="G200" s="2" t="n">
        <v>6</v>
      </c>
      <c r="H200" s="2" t="n">
        <v>1</v>
      </c>
      <c r="I200" s="9" t="n">
        <v>96</v>
      </c>
      <c r="J200" s="9" t="n">
        <v>0</v>
      </c>
      <c r="K200" s="9" t="n">
        <v>0</v>
      </c>
      <c r="L200" s="9" t="n">
        <v>0</v>
      </c>
      <c r="M200" s="9" t="n">
        <v>0</v>
      </c>
      <c r="N200" s="9" t="n">
        <v>0</v>
      </c>
      <c r="O200" s="9" t="n">
        <v>96</v>
      </c>
      <c r="P200" s="2" t="n">
        <v>-100</v>
      </c>
      <c r="Q200" s="2" t="n">
        <f aca="false">IF(I200&gt;0,ROUND((N200-I200)/I200*100,0),"")</f>
        <v>-100</v>
      </c>
      <c r="R200" s="9" t="n">
        <f aca="false">SUM(I200:K200)</f>
        <v>96</v>
      </c>
      <c r="S200" s="9" t="n">
        <f aca="false">SUM(L200:N200)</f>
        <v>0</v>
      </c>
      <c r="T200" s="17" t="n">
        <f aca="false">IF(R200&gt;0,S200/R200-1,"")</f>
        <v>-1</v>
      </c>
      <c r="U200" s="2" t="str">
        <f aca="false">IF(AND(R200=0,S200&gt;0),"H2 Active / No H1 GMV",IF(S200=0,"Lapsed",IF(T200&gt;=Assumptions!$B$36,"Growing",IF(T200&lt;-Assumptions!$B$36,"Declining","Stable"))))</f>
        <v>Lapsed</v>
      </c>
      <c r="V200" s="2" t="n">
        <f aca="false">COUNTIF(I200:N200,"&gt;0")</f>
        <v>1</v>
      </c>
      <c r="W200" s="2" t="str">
        <f aca="false">IF(N200&gt;0,"Feb",IF(M200&gt;0,"Jan",IF(L200&gt;0,"Dec",IF(K200&gt;0,"Nov",IF(J200&gt;0,"Oct","Sep")))))</f>
        <v>Sep</v>
      </c>
      <c r="X200" s="2" t="str">
        <f aca="false">IF(O200&gt;=Assumptions!$B$35,"Key (&gt;=£10k)",IF(O200&gt;=Assumptions!$B$34,"Core (£2k-10k)","Tail (&lt;£2k)"))</f>
        <v>Tail (&lt;£2k)</v>
      </c>
      <c r="Y200" s="21" t="n">
        <f aca="false">INDEX('Scored Accounts'!$Q$2:$Q$301,MATCH(A200,'Scored Accounts'!$A$2:$A$301,0))</f>
        <v>0</v>
      </c>
      <c r="Z200" s="2" t="str">
        <f aca="false">INDEX('Scored Accounts'!$R$2:$R$301,MATCH(A200,'Scored Accounts'!$A$2:$A$301,0))</f>
        <v>Low</v>
      </c>
      <c r="AA200" s="2" t="str">
        <f aca="false">INDEX('Scored Accounts'!$T$2:$T$301,MATCH(A200,'Scored Accounts'!$A$2:$A$301,0))</f>
        <v/>
      </c>
      <c r="AB200" s="2" t="str">
        <f aca="false">IF(Z200="Low","Lower dep / ","Higher dep / ")&amp;IF(O200&gt;=Assumptions!$B$34,"Higher value","Lower value")</f>
        <v>Lower dep / Lower value</v>
      </c>
    </row>
    <row r="201" customFormat="false" ht="15" hidden="false" customHeight="false" outlineLevel="0" collapsed="false">
      <c r="A201" s="2" t="s">
        <v>970</v>
      </c>
      <c r="B201" s="2" t="s">
        <v>1571</v>
      </c>
      <c r="C201" s="2" t="s">
        <v>1640</v>
      </c>
      <c r="D201" s="2" t="s">
        <v>1657</v>
      </c>
      <c r="E201" s="2" t="s">
        <v>1717</v>
      </c>
      <c r="F201" s="2"/>
      <c r="G201" s="2" t="n">
        <v>6</v>
      </c>
      <c r="H201" s="2" t="n">
        <v>1</v>
      </c>
      <c r="I201" s="9" t="n">
        <v>94</v>
      </c>
      <c r="J201" s="9" t="n">
        <v>0</v>
      </c>
      <c r="K201" s="9" t="n">
        <v>0</v>
      </c>
      <c r="L201" s="9" t="n">
        <v>0</v>
      </c>
      <c r="M201" s="9" t="n">
        <v>0</v>
      </c>
      <c r="N201" s="9" t="n">
        <v>0</v>
      </c>
      <c r="O201" s="9" t="n">
        <v>94</v>
      </c>
      <c r="P201" s="2" t="n">
        <v>-100</v>
      </c>
      <c r="Q201" s="2" t="n">
        <f aca="false">IF(I201&gt;0,ROUND((N201-I201)/I201*100,0),"")</f>
        <v>-100</v>
      </c>
      <c r="R201" s="9" t="n">
        <f aca="false">SUM(I201:K201)</f>
        <v>94</v>
      </c>
      <c r="S201" s="9" t="n">
        <f aca="false">SUM(L201:N201)</f>
        <v>0</v>
      </c>
      <c r="T201" s="17" t="n">
        <f aca="false">IF(R201&gt;0,S201/R201-1,"")</f>
        <v>-1</v>
      </c>
      <c r="U201" s="2" t="str">
        <f aca="false">IF(AND(R201=0,S201&gt;0),"H2 Active / No H1 GMV",IF(S201=0,"Lapsed",IF(T201&gt;=Assumptions!$B$36,"Growing",IF(T201&lt;-Assumptions!$B$36,"Declining","Stable"))))</f>
        <v>Lapsed</v>
      </c>
      <c r="V201" s="2" t="n">
        <f aca="false">COUNTIF(I201:N201,"&gt;0")</f>
        <v>1</v>
      </c>
      <c r="W201" s="2" t="str">
        <f aca="false">IF(N201&gt;0,"Feb",IF(M201&gt;0,"Jan",IF(L201&gt;0,"Dec",IF(K201&gt;0,"Nov",IF(J201&gt;0,"Oct","Sep")))))</f>
        <v>Sep</v>
      </c>
      <c r="X201" s="2" t="str">
        <f aca="false">IF(O201&gt;=Assumptions!$B$35,"Key (&gt;=£10k)",IF(O201&gt;=Assumptions!$B$34,"Core (£2k-10k)","Tail (&lt;£2k)"))</f>
        <v>Tail (&lt;£2k)</v>
      </c>
      <c r="Y201" s="21" t="n">
        <f aca="false">INDEX('Scored Accounts'!$Q$2:$Q$301,MATCH(A201,'Scored Accounts'!$A$2:$A$301,0))</f>
        <v>0</v>
      </c>
      <c r="Z201" s="2" t="str">
        <f aca="false">INDEX('Scored Accounts'!$R$2:$R$301,MATCH(A201,'Scored Accounts'!$A$2:$A$301,0))</f>
        <v>Low</v>
      </c>
      <c r="AA201" s="2" t="str">
        <f aca="false">INDEX('Scored Accounts'!$T$2:$T$301,MATCH(A201,'Scored Accounts'!$A$2:$A$301,0))</f>
        <v/>
      </c>
      <c r="AB201" s="2" t="str">
        <f aca="false">IF(Z201="Low","Lower dep / ","Higher dep / ")&amp;IF(O201&gt;=Assumptions!$B$34,"Higher value","Lower value")</f>
        <v>Lower dep / Lower value</v>
      </c>
    </row>
    <row r="202" customFormat="false" ht="15" hidden="false" customHeight="false" outlineLevel="0" collapsed="false">
      <c r="A202" s="2" t="s">
        <v>974</v>
      </c>
      <c r="B202" s="2" t="s">
        <v>1571</v>
      </c>
      <c r="C202" s="2" t="s">
        <v>1640</v>
      </c>
      <c r="D202" s="2" t="s">
        <v>1657</v>
      </c>
      <c r="E202" s="2" t="s">
        <v>1717</v>
      </c>
      <c r="F202" s="2"/>
      <c r="G202" s="2" t="n">
        <v>6</v>
      </c>
      <c r="H202" s="2" t="n">
        <v>1</v>
      </c>
      <c r="I202" s="9" t="n">
        <v>88</v>
      </c>
      <c r="J202" s="9" t="n">
        <v>0</v>
      </c>
      <c r="K202" s="9" t="n">
        <v>0</v>
      </c>
      <c r="L202" s="9" t="n">
        <v>0</v>
      </c>
      <c r="M202" s="9" t="n">
        <v>0</v>
      </c>
      <c r="N202" s="9" t="n">
        <v>0</v>
      </c>
      <c r="O202" s="9" t="n">
        <v>88</v>
      </c>
      <c r="P202" s="2" t="n">
        <v>-100</v>
      </c>
      <c r="Q202" s="2" t="n">
        <f aca="false">IF(I202&gt;0,ROUND((N202-I202)/I202*100,0),"")</f>
        <v>-100</v>
      </c>
      <c r="R202" s="9" t="n">
        <f aca="false">SUM(I202:K202)</f>
        <v>88</v>
      </c>
      <c r="S202" s="9" t="n">
        <f aca="false">SUM(L202:N202)</f>
        <v>0</v>
      </c>
      <c r="T202" s="17" t="n">
        <f aca="false">IF(R202&gt;0,S202/R202-1,"")</f>
        <v>-1</v>
      </c>
      <c r="U202" s="2" t="str">
        <f aca="false">IF(AND(R202=0,S202&gt;0),"H2 Active / No H1 GMV",IF(S202=0,"Lapsed",IF(T202&gt;=Assumptions!$B$36,"Growing",IF(T202&lt;-Assumptions!$B$36,"Declining","Stable"))))</f>
        <v>Lapsed</v>
      </c>
      <c r="V202" s="2" t="n">
        <f aca="false">COUNTIF(I202:N202,"&gt;0")</f>
        <v>1</v>
      </c>
      <c r="W202" s="2" t="str">
        <f aca="false">IF(N202&gt;0,"Feb",IF(M202&gt;0,"Jan",IF(L202&gt;0,"Dec",IF(K202&gt;0,"Nov",IF(J202&gt;0,"Oct","Sep")))))</f>
        <v>Sep</v>
      </c>
      <c r="X202" s="2" t="str">
        <f aca="false">IF(O202&gt;=Assumptions!$B$35,"Key (&gt;=£10k)",IF(O202&gt;=Assumptions!$B$34,"Core (£2k-10k)","Tail (&lt;£2k)"))</f>
        <v>Tail (&lt;£2k)</v>
      </c>
      <c r="Y202" s="21" t="n">
        <f aca="false">INDEX('Scored Accounts'!$Q$2:$Q$301,MATCH(A202,'Scored Accounts'!$A$2:$A$301,0))</f>
        <v>0</v>
      </c>
      <c r="Z202" s="2" t="str">
        <f aca="false">INDEX('Scored Accounts'!$R$2:$R$301,MATCH(A202,'Scored Accounts'!$A$2:$A$301,0))</f>
        <v>Low</v>
      </c>
      <c r="AA202" s="2" t="str">
        <f aca="false">INDEX('Scored Accounts'!$T$2:$T$301,MATCH(A202,'Scored Accounts'!$A$2:$A$301,0))</f>
        <v/>
      </c>
      <c r="AB202" s="2" t="str">
        <f aca="false">IF(Z202="Low","Lower dep / ","Higher dep / ")&amp;IF(O202&gt;=Assumptions!$B$34,"Higher value","Lower value")</f>
        <v>Lower dep / Lower value</v>
      </c>
    </row>
    <row r="203" customFormat="false" ht="15" hidden="false" customHeight="false" outlineLevel="0" collapsed="false">
      <c r="A203" s="2" t="s">
        <v>982</v>
      </c>
      <c r="B203" s="2" t="s">
        <v>1571</v>
      </c>
      <c r="C203" s="2" t="s">
        <v>1641</v>
      </c>
      <c r="D203" s="2" t="s">
        <v>1653</v>
      </c>
      <c r="E203" s="2" t="s">
        <v>1653</v>
      </c>
      <c r="F203" s="2" t="s">
        <v>1572</v>
      </c>
      <c r="G203" s="2" t="n">
        <v>6</v>
      </c>
      <c r="H203" s="2" t="n">
        <v>1</v>
      </c>
      <c r="I203" s="9" t="n">
        <v>85</v>
      </c>
      <c r="J203" s="9" t="n">
        <v>0</v>
      </c>
      <c r="K203" s="9" t="n">
        <v>0</v>
      </c>
      <c r="L203" s="9" t="n">
        <v>0</v>
      </c>
      <c r="M203" s="9" t="n">
        <v>0</v>
      </c>
      <c r="N203" s="9" t="n">
        <v>0</v>
      </c>
      <c r="O203" s="9" t="n">
        <v>85</v>
      </c>
      <c r="P203" s="2" t="n">
        <v>-100</v>
      </c>
      <c r="Q203" s="2" t="n">
        <f aca="false">IF(I203&gt;0,ROUND((N203-I203)/I203*100,0),"")</f>
        <v>-100</v>
      </c>
      <c r="R203" s="9" t="n">
        <f aca="false">SUM(I203:K203)</f>
        <v>85</v>
      </c>
      <c r="S203" s="9" t="n">
        <f aca="false">SUM(L203:N203)</f>
        <v>0</v>
      </c>
      <c r="T203" s="17" t="n">
        <f aca="false">IF(R203&gt;0,S203/R203-1,"")</f>
        <v>-1</v>
      </c>
      <c r="U203" s="2" t="str">
        <f aca="false">IF(AND(R203=0,S203&gt;0),"H2 Active / No H1 GMV",IF(S203=0,"Lapsed",IF(T203&gt;=Assumptions!$B$36,"Growing",IF(T203&lt;-Assumptions!$B$36,"Declining","Stable"))))</f>
        <v>Lapsed</v>
      </c>
      <c r="V203" s="2" t="n">
        <f aca="false">COUNTIF(I203:N203,"&gt;0")</f>
        <v>1</v>
      </c>
      <c r="W203" s="2" t="str">
        <f aca="false">IF(N203&gt;0,"Feb",IF(M203&gt;0,"Jan",IF(L203&gt;0,"Dec",IF(K203&gt;0,"Nov",IF(J203&gt;0,"Oct","Sep")))))</f>
        <v>Sep</v>
      </c>
      <c r="X203" s="2" t="str">
        <f aca="false">IF(O203&gt;=Assumptions!$B$35,"Key (&gt;=£10k)",IF(O203&gt;=Assumptions!$B$34,"Core (£2k-10k)","Tail (&lt;£2k)"))</f>
        <v>Tail (&lt;£2k)</v>
      </c>
      <c r="Y203" s="21" t="n">
        <f aca="false">INDEX('Scored Accounts'!$Q$2:$Q$301,MATCH(A203,'Scored Accounts'!$A$2:$A$301,0))</f>
        <v>0</v>
      </c>
      <c r="Z203" s="2" t="str">
        <f aca="false">INDEX('Scored Accounts'!$R$2:$R$301,MATCH(A203,'Scored Accounts'!$A$2:$A$301,0))</f>
        <v>Low</v>
      </c>
      <c r="AA203" s="2" t="str">
        <f aca="false">INDEX('Scored Accounts'!$T$2:$T$301,MATCH(A203,'Scored Accounts'!$A$2:$A$301,0))</f>
        <v/>
      </c>
      <c r="AB203" s="2" t="str">
        <f aca="false">IF(Z203="Low","Lower dep / ","Higher dep / ")&amp;IF(O203&gt;=Assumptions!$B$34,"Higher value","Lower value")</f>
        <v>Lower dep / Lower value</v>
      </c>
    </row>
    <row r="204" customFormat="false" ht="15" hidden="false" customHeight="false" outlineLevel="0" collapsed="false">
      <c r="A204" s="2" t="s">
        <v>984</v>
      </c>
      <c r="B204" s="2" t="s">
        <v>1571</v>
      </c>
      <c r="C204" s="2" t="s">
        <v>1640</v>
      </c>
      <c r="D204" s="2" t="s">
        <v>1653</v>
      </c>
      <c r="E204" s="2" t="s">
        <v>1653</v>
      </c>
      <c r="F204" s="2" t="s">
        <v>1572</v>
      </c>
      <c r="G204" s="2" t="n">
        <v>7</v>
      </c>
      <c r="H204" s="2" t="n">
        <v>1</v>
      </c>
      <c r="I204" s="9" t="n">
        <v>0</v>
      </c>
      <c r="J204" s="9" t="n">
        <v>84</v>
      </c>
      <c r="K204" s="9" t="n">
        <v>0</v>
      </c>
      <c r="L204" s="9" t="n">
        <v>0</v>
      </c>
      <c r="M204" s="9" t="n">
        <v>0</v>
      </c>
      <c r="N204" s="9" t="n">
        <v>0</v>
      </c>
      <c r="O204" s="9" t="n">
        <v>84</v>
      </c>
      <c r="P204" s="2"/>
      <c r="Q204" s="2" t="str">
        <f aca="false">IF(I204&gt;0,ROUND((N204-I204)/I204*100,0),"")</f>
        <v/>
      </c>
      <c r="R204" s="9" t="n">
        <f aca="false">SUM(I204:K204)</f>
        <v>84</v>
      </c>
      <c r="S204" s="9" t="n">
        <f aca="false">SUM(L204:N204)</f>
        <v>0</v>
      </c>
      <c r="T204" s="17" t="n">
        <f aca="false">IF(R204&gt;0,S204/R204-1,"")</f>
        <v>-1</v>
      </c>
      <c r="U204" s="2" t="str">
        <f aca="false">IF(AND(R204=0,S204&gt;0),"H2 Active / No H1 GMV",IF(S204=0,"Lapsed",IF(T204&gt;=Assumptions!$B$36,"Growing",IF(T204&lt;-Assumptions!$B$36,"Declining","Stable"))))</f>
        <v>Lapsed</v>
      </c>
      <c r="V204" s="2" t="n">
        <f aca="false">COUNTIF(I204:N204,"&gt;0")</f>
        <v>1</v>
      </c>
      <c r="W204" s="2" t="str">
        <f aca="false">IF(N204&gt;0,"Feb",IF(M204&gt;0,"Jan",IF(L204&gt;0,"Dec",IF(K204&gt;0,"Nov",IF(J204&gt;0,"Oct","Sep")))))</f>
        <v>Oct</v>
      </c>
      <c r="X204" s="2" t="str">
        <f aca="false">IF(O204&gt;=Assumptions!$B$35,"Key (&gt;=£10k)",IF(O204&gt;=Assumptions!$B$34,"Core (£2k-10k)","Tail (&lt;£2k)"))</f>
        <v>Tail (&lt;£2k)</v>
      </c>
      <c r="Y204" s="21" t="n">
        <f aca="false">INDEX('Scored Accounts'!$Q$2:$Q$301,MATCH(A204,'Scored Accounts'!$A$2:$A$301,0))</f>
        <v>0</v>
      </c>
      <c r="Z204" s="2" t="str">
        <f aca="false">INDEX('Scored Accounts'!$R$2:$R$301,MATCH(A204,'Scored Accounts'!$A$2:$A$301,0))</f>
        <v>Low</v>
      </c>
      <c r="AA204" s="2" t="str">
        <f aca="false">INDEX('Scored Accounts'!$T$2:$T$301,MATCH(A204,'Scored Accounts'!$A$2:$A$301,0))</f>
        <v/>
      </c>
      <c r="AB204" s="2" t="str">
        <f aca="false">IF(Z204="Low","Lower dep / ","Higher dep / ")&amp;IF(O204&gt;=Assumptions!$B$34,"Higher value","Lower value")</f>
        <v>Lower dep / Lower value</v>
      </c>
    </row>
    <row r="205" customFormat="false" ht="15" hidden="false" customHeight="false" outlineLevel="0" collapsed="false">
      <c r="A205" s="2" t="s">
        <v>986</v>
      </c>
      <c r="B205" s="2" t="s">
        <v>1571</v>
      </c>
      <c r="C205" s="2" t="s">
        <v>1640</v>
      </c>
      <c r="D205" s="2" t="s">
        <v>1653</v>
      </c>
      <c r="E205" s="2" t="s">
        <v>1653</v>
      </c>
      <c r="F205" s="2"/>
      <c r="G205" s="2" t="n">
        <v>6</v>
      </c>
      <c r="H205" s="2" t="n">
        <v>1</v>
      </c>
      <c r="I205" s="9" t="n">
        <v>84</v>
      </c>
      <c r="J205" s="9" t="n">
        <v>0</v>
      </c>
      <c r="K205" s="9" t="n">
        <v>0</v>
      </c>
      <c r="L205" s="9" t="n">
        <v>0</v>
      </c>
      <c r="M205" s="9" t="n">
        <v>0</v>
      </c>
      <c r="N205" s="9" t="n">
        <v>0</v>
      </c>
      <c r="O205" s="9" t="n">
        <v>84</v>
      </c>
      <c r="P205" s="2" t="n">
        <v>-100</v>
      </c>
      <c r="Q205" s="2" t="n">
        <f aca="false">IF(I205&gt;0,ROUND((N205-I205)/I205*100,0),"")</f>
        <v>-100</v>
      </c>
      <c r="R205" s="9" t="n">
        <f aca="false">SUM(I205:K205)</f>
        <v>84</v>
      </c>
      <c r="S205" s="9" t="n">
        <f aca="false">SUM(L205:N205)</f>
        <v>0</v>
      </c>
      <c r="T205" s="17" t="n">
        <f aca="false">IF(R205&gt;0,S205/R205-1,"")</f>
        <v>-1</v>
      </c>
      <c r="U205" s="2" t="str">
        <f aca="false">IF(AND(R205=0,S205&gt;0),"H2 Active / No H1 GMV",IF(S205=0,"Lapsed",IF(T205&gt;=Assumptions!$B$36,"Growing",IF(T205&lt;-Assumptions!$B$36,"Declining","Stable"))))</f>
        <v>Lapsed</v>
      </c>
      <c r="V205" s="2" t="n">
        <f aca="false">COUNTIF(I205:N205,"&gt;0")</f>
        <v>1</v>
      </c>
      <c r="W205" s="2" t="str">
        <f aca="false">IF(N205&gt;0,"Feb",IF(M205&gt;0,"Jan",IF(L205&gt;0,"Dec",IF(K205&gt;0,"Nov",IF(J205&gt;0,"Oct","Sep")))))</f>
        <v>Sep</v>
      </c>
      <c r="X205" s="2" t="str">
        <f aca="false">IF(O205&gt;=Assumptions!$B$35,"Key (&gt;=£10k)",IF(O205&gt;=Assumptions!$B$34,"Core (£2k-10k)","Tail (&lt;£2k)"))</f>
        <v>Tail (&lt;£2k)</v>
      </c>
      <c r="Y205" s="21" t="n">
        <f aca="false">INDEX('Scored Accounts'!$Q$2:$Q$301,MATCH(A205,'Scored Accounts'!$A$2:$A$301,0))</f>
        <v>0</v>
      </c>
      <c r="Z205" s="2" t="str">
        <f aca="false">INDEX('Scored Accounts'!$R$2:$R$301,MATCH(A205,'Scored Accounts'!$A$2:$A$301,0))</f>
        <v>Low</v>
      </c>
      <c r="AA205" s="2" t="str">
        <f aca="false">INDEX('Scored Accounts'!$T$2:$T$301,MATCH(A205,'Scored Accounts'!$A$2:$A$301,0))</f>
        <v/>
      </c>
      <c r="AB205" s="2" t="str">
        <f aca="false">IF(Z205="Low","Lower dep / ","Higher dep / ")&amp;IF(O205&gt;=Assumptions!$B$34,"Higher value","Lower value")</f>
        <v>Lower dep / Lower value</v>
      </c>
    </row>
    <row r="206" customFormat="false" ht="15" hidden="false" customHeight="false" outlineLevel="0" collapsed="false">
      <c r="A206" s="2" t="s">
        <v>988</v>
      </c>
      <c r="B206" s="2" t="s">
        <v>1571</v>
      </c>
      <c r="C206" s="2" t="s">
        <v>1640</v>
      </c>
      <c r="D206" s="2" t="s">
        <v>1658</v>
      </c>
      <c r="E206" s="2" t="s">
        <v>1658</v>
      </c>
      <c r="F206" s="2" t="s">
        <v>1572</v>
      </c>
      <c r="G206" s="2" t="n">
        <v>6</v>
      </c>
      <c r="H206" s="2" t="n">
        <v>1</v>
      </c>
      <c r="I206" s="9" t="n">
        <v>84</v>
      </c>
      <c r="J206" s="9" t="n">
        <v>0</v>
      </c>
      <c r="K206" s="9" t="n">
        <v>0</v>
      </c>
      <c r="L206" s="9" t="n">
        <v>0</v>
      </c>
      <c r="M206" s="9" t="n">
        <v>0</v>
      </c>
      <c r="N206" s="9" t="n">
        <v>0</v>
      </c>
      <c r="O206" s="9" t="n">
        <v>84</v>
      </c>
      <c r="P206" s="2" t="n">
        <v>-100</v>
      </c>
      <c r="Q206" s="2" t="n">
        <f aca="false">IF(I206&gt;0,ROUND((N206-I206)/I206*100,0),"")</f>
        <v>-100</v>
      </c>
      <c r="R206" s="9" t="n">
        <f aca="false">SUM(I206:K206)</f>
        <v>84</v>
      </c>
      <c r="S206" s="9" t="n">
        <f aca="false">SUM(L206:N206)</f>
        <v>0</v>
      </c>
      <c r="T206" s="17" t="n">
        <f aca="false">IF(R206&gt;0,S206/R206-1,"")</f>
        <v>-1</v>
      </c>
      <c r="U206" s="2" t="str">
        <f aca="false">IF(AND(R206=0,S206&gt;0),"H2 Active / No H1 GMV",IF(S206=0,"Lapsed",IF(T206&gt;=Assumptions!$B$36,"Growing",IF(T206&lt;-Assumptions!$B$36,"Declining","Stable"))))</f>
        <v>Lapsed</v>
      </c>
      <c r="V206" s="2" t="n">
        <f aca="false">COUNTIF(I206:N206,"&gt;0")</f>
        <v>1</v>
      </c>
      <c r="W206" s="2" t="str">
        <f aca="false">IF(N206&gt;0,"Feb",IF(M206&gt;0,"Jan",IF(L206&gt;0,"Dec",IF(K206&gt;0,"Nov",IF(J206&gt;0,"Oct","Sep")))))</f>
        <v>Sep</v>
      </c>
      <c r="X206" s="2" t="str">
        <f aca="false">IF(O206&gt;=Assumptions!$B$35,"Key (&gt;=£10k)",IF(O206&gt;=Assumptions!$B$34,"Core (£2k-10k)","Tail (&lt;£2k)"))</f>
        <v>Tail (&lt;£2k)</v>
      </c>
      <c r="Y206" s="21" t="n">
        <f aca="false">INDEX('Scored Accounts'!$Q$2:$Q$301,MATCH(A206,'Scored Accounts'!$A$2:$A$301,0))</f>
        <v>0</v>
      </c>
      <c r="Z206" s="2" t="str">
        <f aca="false">INDEX('Scored Accounts'!$R$2:$R$301,MATCH(A206,'Scored Accounts'!$A$2:$A$301,0))</f>
        <v>Low</v>
      </c>
      <c r="AA206" s="2" t="str">
        <f aca="false">INDEX('Scored Accounts'!$T$2:$T$301,MATCH(A206,'Scored Accounts'!$A$2:$A$301,0))</f>
        <v/>
      </c>
      <c r="AB206" s="2" t="str">
        <f aca="false">IF(Z206="Low","Lower dep / ","Higher dep / ")&amp;IF(O206&gt;=Assumptions!$B$34,"Higher value","Lower value")</f>
        <v>Lower dep / Lower value</v>
      </c>
    </row>
    <row r="207" customFormat="false" ht="15" hidden="false" customHeight="false" outlineLevel="0" collapsed="false">
      <c r="A207" s="2" t="s">
        <v>996</v>
      </c>
      <c r="B207" s="2" t="s">
        <v>1571</v>
      </c>
      <c r="C207" s="2" t="s">
        <v>1640</v>
      </c>
      <c r="D207" s="2" t="s">
        <v>1653</v>
      </c>
      <c r="E207" s="2" t="s">
        <v>1653</v>
      </c>
      <c r="F207" s="2" t="s">
        <v>1572</v>
      </c>
      <c r="G207" s="2" t="n">
        <v>9</v>
      </c>
      <c r="H207" s="2" t="n">
        <v>1</v>
      </c>
      <c r="I207" s="9" t="n">
        <v>0</v>
      </c>
      <c r="J207" s="9" t="n">
        <v>0</v>
      </c>
      <c r="K207" s="9" t="n">
        <v>80</v>
      </c>
      <c r="L207" s="9" t="n">
        <v>0</v>
      </c>
      <c r="M207" s="9" t="n">
        <v>0</v>
      </c>
      <c r="N207" s="9" t="n">
        <v>0</v>
      </c>
      <c r="O207" s="9" t="n">
        <v>80</v>
      </c>
      <c r="P207" s="2"/>
      <c r="Q207" s="2" t="str">
        <f aca="false">IF(I207&gt;0,ROUND((N207-I207)/I207*100,0),"")</f>
        <v/>
      </c>
      <c r="R207" s="9" t="n">
        <f aca="false">SUM(I207:K207)</f>
        <v>80</v>
      </c>
      <c r="S207" s="9" t="n">
        <f aca="false">SUM(L207:N207)</f>
        <v>0</v>
      </c>
      <c r="T207" s="17" t="n">
        <f aca="false">IF(R207&gt;0,S207/R207-1,"")</f>
        <v>-1</v>
      </c>
      <c r="U207" s="2" t="str">
        <f aca="false">IF(AND(R207=0,S207&gt;0),"H2 Active / No H1 GMV",IF(S207=0,"Lapsed",IF(T207&gt;=Assumptions!$B$36,"Growing",IF(T207&lt;-Assumptions!$B$36,"Declining","Stable"))))</f>
        <v>Lapsed</v>
      </c>
      <c r="V207" s="2" t="n">
        <f aca="false">COUNTIF(I207:N207,"&gt;0")</f>
        <v>1</v>
      </c>
      <c r="W207" s="2" t="str">
        <f aca="false">IF(N207&gt;0,"Feb",IF(M207&gt;0,"Jan",IF(L207&gt;0,"Dec",IF(K207&gt;0,"Nov",IF(J207&gt;0,"Oct","Sep")))))</f>
        <v>Nov</v>
      </c>
      <c r="X207" s="2" t="str">
        <f aca="false">IF(O207&gt;=Assumptions!$B$35,"Key (&gt;=£10k)",IF(O207&gt;=Assumptions!$B$34,"Core (£2k-10k)","Tail (&lt;£2k)"))</f>
        <v>Tail (&lt;£2k)</v>
      </c>
      <c r="Y207" s="21" t="n">
        <f aca="false">INDEX('Scored Accounts'!$Q$2:$Q$301,MATCH(A207,'Scored Accounts'!$A$2:$A$301,0))</f>
        <v>0</v>
      </c>
      <c r="Z207" s="2" t="str">
        <f aca="false">INDEX('Scored Accounts'!$R$2:$R$301,MATCH(A207,'Scored Accounts'!$A$2:$A$301,0))</f>
        <v>Low</v>
      </c>
      <c r="AA207" s="2" t="str">
        <f aca="false">INDEX('Scored Accounts'!$T$2:$T$301,MATCH(A207,'Scored Accounts'!$A$2:$A$301,0))</f>
        <v/>
      </c>
      <c r="AB207" s="2" t="str">
        <f aca="false">IF(Z207="Low","Lower dep / ","Higher dep / ")&amp;IF(O207&gt;=Assumptions!$B$34,"Higher value","Lower value")</f>
        <v>Lower dep / Lower value</v>
      </c>
    </row>
    <row r="208" customFormat="false" ht="15" hidden="false" customHeight="false" outlineLevel="0" collapsed="false">
      <c r="A208" s="2" t="s">
        <v>1000</v>
      </c>
      <c r="B208" s="2" t="s">
        <v>1571</v>
      </c>
      <c r="C208" s="2" t="s">
        <v>1640</v>
      </c>
      <c r="D208" s="2" t="s">
        <v>1653</v>
      </c>
      <c r="E208" s="2" t="s">
        <v>1653</v>
      </c>
      <c r="F208" s="2"/>
      <c r="G208" s="2" t="n">
        <v>6</v>
      </c>
      <c r="H208" s="2" t="n">
        <v>1</v>
      </c>
      <c r="I208" s="9" t="n">
        <v>77</v>
      </c>
      <c r="J208" s="9" t="n">
        <v>0</v>
      </c>
      <c r="K208" s="9" t="n">
        <v>0</v>
      </c>
      <c r="L208" s="9" t="n">
        <v>0</v>
      </c>
      <c r="M208" s="9" t="n">
        <v>0</v>
      </c>
      <c r="N208" s="9" t="n">
        <v>0</v>
      </c>
      <c r="O208" s="9" t="n">
        <v>77</v>
      </c>
      <c r="P208" s="2" t="n">
        <v>-100</v>
      </c>
      <c r="Q208" s="2" t="n">
        <f aca="false">IF(I208&gt;0,ROUND((N208-I208)/I208*100,0),"")</f>
        <v>-100</v>
      </c>
      <c r="R208" s="9" t="n">
        <f aca="false">SUM(I208:K208)</f>
        <v>77</v>
      </c>
      <c r="S208" s="9" t="n">
        <f aca="false">SUM(L208:N208)</f>
        <v>0</v>
      </c>
      <c r="T208" s="17" t="n">
        <f aca="false">IF(R208&gt;0,S208/R208-1,"")</f>
        <v>-1</v>
      </c>
      <c r="U208" s="2" t="str">
        <f aca="false">IF(AND(R208=0,S208&gt;0),"H2 Active / No H1 GMV",IF(S208=0,"Lapsed",IF(T208&gt;=Assumptions!$B$36,"Growing",IF(T208&lt;-Assumptions!$B$36,"Declining","Stable"))))</f>
        <v>Lapsed</v>
      </c>
      <c r="V208" s="2" t="n">
        <f aca="false">COUNTIF(I208:N208,"&gt;0")</f>
        <v>1</v>
      </c>
      <c r="W208" s="2" t="str">
        <f aca="false">IF(N208&gt;0,"Feb",IF(M208&gt;0,"Jan",IF(L208&gt;0,"Dec",IF(K208&gt;0,"Nov",IF(J208&gt;0,"Oct","Sep")))))</f>
        <v>Sep</v>
      </c>
      <c r="X208" s="2" t="str">
        <f aca="false">IF(O208&gt;=Assumptions!$B$35,"Key (&gt;=£10k)",IF(O208&gt;=Assumptions!$B$34,"Core (£2k-10k)","Tail (&lt;£2k)"))</f>
        <v>Tail (&lt;£2k)</v>
      </c>
      <c r="Y208" s="21" t="n">
        <f aca="false">INDEX('Scored Accounts'!$Q$2:$Q$301,MATCH(A208,'Scored Accounts'!$A$2:$A$301,0))</f>
        <v>0</v>
      </c>
      <c r="Z208" s="2" t="str">
        <f aca="false">INDEX('Scored Accounts'!$R$2:$R$301,MATCH(A208,'Scored Accounts'!$A$2:$A$301,0))</f>
        <v>Low</v>
      </c>
      <c r="AA208" s="2" t="str">
        <f aca="false">INDEX('Scored Accounts'!$T$2:$T$301,MATCH(A208,'Scored Accounts'!$A$2:$A$301,0))</f>
        <v/>
      </c>
      <c r="AB208" s="2" t="str">
        <f aca="false">IF(Z208="Low","Lower dep / ","Higher dep / ")&amp;IF(O208&gt;=Assumptions!$B$34,"Higher value","Lower value")</f>
        <v>Lower dep / Lower value</v>
      </c>
    </row>
    <row r="209" customFormat="false" ht="15" hidden="false" customHeight="false" outlineLevel="0" collapsed="false">
      <c r="A209" s="2" t="s">
        <v>1012</v>
      </c>
      <c r="B209" s="2" t="s">
        <v>1571</v>
      </c>
      <c r="C209" s="2" t="s">
        <v>1640</v>
      </c>
      <c r="D209" s="2" t="s">
        <v>1653</v>
      </c>
      <c r="E209" s="2" t="s">
        <v>1653</v>
      </c>
      <c r="F209" s="2" t="s">
        <v>1572</v>
      </c>
      <c r="G209" s="2" t="n">
        <v>6</v>
      </c>
      <c r="H209" s="2" t="n">
        <v>1</v>
      </c>
      <c r="I209" s="9" t="n">
        <v>53</v>
      </c>
      <c r="J209" s="9" t="n">
        <v>0</v>
      </c>
      <c r="K209" s="9" t="n">
        <v>0</v>
      </c>
      <c r="L209" s="9" t="n">
        <v>0</v>
      </c>
      <c r="M209" s="9" t="n">
        <v>0</v>
      </c>
      <c r="N209" s="9" t="n">
        <v>0</v>
      </c>
      <c r="O209" s="9" t="n">
        <v>53</v>
      </c>
      <c r="P209" s="2" t="n">
        <v>-100</v>
      </c>
      <c r="Q209" s="2" t="n">
        <f aca="false">IF(I209&gt;0,ROUND((N209-I209)/I209*100,0),"")</f>
        <v>-100</v>
      </c>
      <c r="R209" s="9" t="n">
        <f aca="false">SUM(I209:K209)</f>
        <v>53</v>
      </c>
      <c r="S209" s="9" t="n">
        <f aca="false">SUM(L209:N209)</f>
        <v>0</v>
      </c>
      <c r="T209" s="17" t="n">
        <f aca="false">IF(R209&gt;0,S209/R209-1,"")</f>
        <v>-1</v>
      </c>
      <c r="U209" s="2" t="str">
        <f aca="false">IF(AND(R209=0,S209&gt;0),"H2 Active / No H1 GMV",IF(S209=0,"Lapsed",IF(T209&gt;=Assumptions!$B$36,"Growing",IF(T209&lt;-Assumptions!$B$36,"Declining","Stable"))))</f>
        <v>Lapsed</v>
      </c>
      <c r="V209" s="2" t="n">
        <f aca="false">COUNTIF(I209:N209,"&gt;0")</f>
        <v>1</v>
      </c>
      <c r="W209" s="2" t="str">
        <f aca="false">IF(N209&gt;0,"Feb",IF(M209&gt;0,"Jan",IF(L209&gt;0,"Dec",IF(K209&gt;0,"Nov",IF(J209&gt;0,"Oct","Sep")))))</f>
        <v>Sep</v>
      </c>
      <c r="X209" s="2" t="str">
        <f aca="false">IF(O209&gt;=Assumptions!$B$35,"Key (&gt;=£10k)",IF(O209&gt;=Assumptions!$B$34,"Core (£2k-10k)","Tail (&lt;£2k)"))</f>
        <v>Tail (&lt;£2k)</v>
      </c>
      <c r="Y209" s="21" t="n">
        <f aca="false">INDEX('Scored Accounts'!$Q$2:$Q$301,MATCH(A209,'Scored Accounts'!$A$2:$A$301,0))</f>
        <v>0</v>
      </c>
      <c r="Z209" s="2" t="str">
        <f aca="false">INDEX('Scored Accounts'!$R$2:$R$301,MATCH(A209,'Scored Accounts'!$A$2:$A$301,0))</f>
        <v>Low</v>
      </c>
      <c r="AA209" s="2" t="str">
        <f aca="false">INDEX('Scored Accounts'!$T$2:$T$301,MATCH(A209,'Scored Accounts'!$A$2:$A$301,0))</f>
        <v/>
      </c>
      <c r="AB209" s="2" t="str">
        <f aca="false">IF(Z209="Low","Lower dep / ","Higher dep / ")&amp;IF(O209&gt;=Assumptions!$B$34,"Higher value","Lower value")</f>
        <v>Lower dep / Lower value</v>
      </c>
    </row>
    <row r="210" customFormat="false" ht="15" hidden="false" customHeight="false" outlineLevel="0" collapsed="false">
      <c r="A210" s="2" t="s">
        <v>1014</v>
      </c>
      <c r="B210" s="2" t="s">
        <v>1571</v>
      </c>
      <c r="C210" s="2" t="s">
        <v>1640</v>
      </c>
      <c r="D210" s="2" t="s">
        <v>1653</v>
      </c>
      <c r="E210" s="2" t="s">
        <v>1653</v>
      </c>
      <c r="F210" s="2" t="s">
        <v>1572</v>
      </c>
      <c r="G210" s="2" t="n">
        <v>8</v>
      </c>
      <c r="H210" s="2" t="n">
        <v>1</v>
      </c>
      <c r="I210" s="9" t="n">
        <v>0</v>
      </c>
      <c r="J210" s="9" t="n">
        <v>0</v>
      </c>
      <c r="K210" s="9" t="n">
        <v>0</v>
      </c>
      <c r="L210" s="9" t="n">
        <v>49</v>
      </c>
      <c r="M210" s="9" t="n">
        <v>0</v>
      </c>
      <c r="N210" s="9" t="n">
        <v>0</v>
      </c>
      <c r="O210" s="9" t="n">
        <v>49</v>
      </c>
      <c r="P210" s="2"/>
      <c r="Q210" s="2" t="str">
        <f aca="false">IF(I210&gt;0,ROUND((N210-I210)/I210*100,0),"")</f>
        <v/>
      </c>
      <c r="R210" s="9" t="n">
        <f aca="false">SUM(I210:K210)</f>
        <v>0</v>
      </c>
      <c r="S210" s="9" t="n">
        <f aca="false">SUM(L210:N210)</f>
        <v>49</v>
      </c>
      <c r="T210" s="17" t="str">
        <f aca="false">IF(R210&gt;0,S210/R210-1,"")</f>
        <v/>
      </c>
      <c r="U210" s="2" t="str">
        <f aca="false">IF(AND(R210=0,S210&gt;0),"H2 Active / No H1 GMV",IF(S210=0,"Lapsed",IF(T210&gt;=Assumptions!$B$36,"Growing",IF(T210&lt;-Assumptions!$B$36,"Declining","Stable"))))</f>
        <v>H2 Active / No H1 GMV</v>
      </c>
      <c r="V210" s="2" t="n">
        <f aca="false">COUNTIF(I210:N210,"&gt;0")</f>
        <v>1</v>
      </c>
      <c r="W210" s="2" t="str">
        <f aca="false">IF(N210&gt;0,"Feb",IF(M210&gt;0,"Jan",IF(L210&gt;0,"Dec",IF(K210&gt;0,"Nov",IF(J210&gt;0,"Oct","Sep")))))</f>
        <v>Dec</v>
      </c>
      <c r="X210" s="2" t="str">
        <f aca="false">IF(O210&gt;=Assumptions!$B$35,"Key (&gt;=£10k)",IF(O210&gt;=Assumptions!$B$34,"Core (£2k-10k)","Tail (&lt;£2k)"))</f>
        <v>Tail (&lt;£2k)</v>
      </c>
      <c r="Y210" s="21" t="n">
        <f aca="false">INDEX('Scored Accounts'!$Q$2:$Q$301,MATCH(A210,'Scored Accounts'!$A$2:$A$301,0))</f>
        <v>0</v>
      </c>
      <c r="Z210" s="2" t="str">
        <f aca="false">INDEX('Scored Accounts'!$R$2:$R$301,MATCH(A210,'Scored Accounts'!$A$2:$A$301,0))</f>
        <v>Low</v>
      </c>
      <c r="AA210" s="2" t="str">
        <f aca="false">INDEX('Scored Accounts'!$T$2:$T$301,MATCH(A210,'Scored Accounts'!$A$2:$A$301,0))</f>
        <v/>
      </c>
      <c r="AB210" s="2" t="str">
        <f aca="false">IF(Z210="Low","Lower dep / ","Higher dep / ")&amp;IF(O210&gt;=Assumptions!$B$34,"Higher value","Lower value")</f>
        <v>Lower dep / Lower value</v>
      </c>
    </row>
    <row r="211" customFormat="false" ht="15" hidden="false" customHeight="false" outlineLevel="0" collapsed="false">
      <c r="A211" s="2" t="s">
        <v>1018</v>
      </c>
      <c r="B211" s="2" t="s">
        <v>1571</v>
      </c>
      <c r="C211" s="2" t="s">
        <v>1640</v>
      </c>
      <c r="D211" s="2" t="s">
        <v>1653</v>
      </c>
      <c r="E211" s="2" t="s">
        <v>1653</v>
      </c>
      <c r="F211" s="2" t="s">
        <v>1572</v>
      </c>
      <c r="G211" s="2" t="n">
        <v>7</v>
      </c>
      <c r="H211" s="2" t="n">
        <v>1</v>
      </c>
      <c r="I211" s="9" t="n">
        <v>0</v>
      </c>
      <c r="J211" s="9" t="n">
        <v>7</v>
      </c>
      <c r="K211" s="9" t="n">
        <v>0</v>
      </c>
      <c r="L211" s="9" t="n">
        <v>0</v>
      </c>
      <c r="M211" s="9" t="n">
        <v>0</v>
      </c>
      <c r="N211" s="9" t="n">
        <v>0</v>
      </c>
      <c r="O211" s="9" t="n">
        <v>7</v>
      </c>
      <c r="P211" s="2"/>
      <c r="Q211" s="2" t="str">
        <f aca="false">IF(I211&gt;0,ROUND((N211-I211)/I211*100,0),"")</f>
        <v/>
      </c>
      <c r="R211" s="9" t="n">
        <f aca="false">SUM(I211:K211)</f>
        <v>7</v>
      </c>
      <c r="S211" s="9" t="n">
        <f aca="false">SUM(L211:N211)</f>
        <v>0</v>
      </c>
      <c r="T211" s="17" t="n">
        <f aca="false">IF(R211&gt;0,S211/R211-1,"")</f>
        <v>-1</v>
      </c>
      <c r="U211" s="2" t="str">
        <f aca="false">IF(AND(R211=0,S211&gt;0),"H2 Active / No H1 GMV",IF(S211=0,"Lapsed",IF(T211&gt;=Assumptions!$B$36,"Growing",IF(T211&lt;-Assumptions!$B$36,"Declining","Stable"))))</f>
        <v>Lapsed</v>
      </c>
      <c r="V211" s="2" t="n">
        <f aca="false">COUNTIF(I211:N211,"&gt;0")</f>
        <v>1</v>
      </c>
      <c r="W211" s="2" t="str">
        <f aca="false">IF(N211&gt;0,"Feb",IF(M211&gt;0,"Jan",IF(L211&gt;0,"Dec",IF(K211&gt;0,"Nov",IF(J211&gt;0,"Oct","Sep")))))</f>
        <v>Oct</v>
      </c>
      <c r="X211" s="2" t="str">
        <f aca="false">IF(O211&gt;=Assumptions!$B$35,"Key (&gt;=£10k)",IF(O211&gt;=Assumptions!$B$34,"Core (£2k-10k)","Tail (&lt;£2k)"))</f>
        <v>Tail (&lt;£2k)</v>
      </c>
      <c r="Y211" s="21" t="n">
        <f aca="false">INDEX('Scored Accounts'!$Q$2:$Q$301,MATCH(A211,'Scored Accounts'!$A$2:$A$301,0))</f>
        <v>0</v>
      </c>
      <c r="Z211" s="2" t="str">
        <f aca="false">INDEX('Scored Accounts'!$R$2:$R$301,MATCH(A211,'Scored Accounts'!$A$2:$A$301,0))</f>
        <v>Low</v>
      </c>
      <c r="AA211" s="2" t="str">
        <f aca="false">INDEX('Scored Accounts'!$T$2:$T$301,MATCH(A211,'Scored Accounts'!$A$2:$A$301,0))</f>
        <v/>
      </c>
      <c r="AB211" s="2" t="str">
        <f aca="false">IF(Z211="Low","Lower dep / ","Higher dep / ")&amp;IF(O211&gt;=Assumptions!$B$34,"Higher value","Lower value")</f>
        <v>Lower dep / Lower value</v>
      </c>
    </row>
    <row r="212" customFormat="false" ht="15" hidden="false" customHeight="false" outlineLevel="0" collapsed="false">
      <c r="A212" s="2" t="s">
        <v>178</v>
      </c>
      <c r="B212" s="2" t="s">
        <v>1574</v>
      </c>
      <c r="C212" s="2" t="s">
        <v>1640</v>
      </c>
      <c r="D212" s="2" t="s">
        <v>1658</v>
      </c>
      <c r="E212" s="2" t="s">
        <v>1658</v>
      </c>
      <c r="F212" s="2"/>
      <c r="G212" s="2" t="n">
        <v>5</v>
      </c>
      <c r="H212" s="2" t="n">
        <v>15</v>
      </c>
      <c r="I212" s="9" t="n">
        <v>0</v>
      </c>
      <c r="J212" s="9" t="n">
        <v>4120</v>
      </c>
      <c r="K212" s="9" t="n">
        <v>4914</v>
      </c>
      <c r="L212" s="9" t="n">
        <v>4378</v>
      </c>
      <c r="M212" s="9" t="n">
        <v>0</v>
      </c>
      <c r="N212" s="9" t="n">
        <v>0</v>
      </c>
      <c r="O212" s="9" t="n">
        <v>13412</v>
      </c>
      <c r="P212" s="2"/>
      <c r="Q212" s="2" t="str">
        <f aca="false">IF(I212&gt;0,ROUND((N212-I212)/I212*100,0),"")</f>
        <v/>
      </c>
      <c r="R212" s="9" t="n">
        <f aca="false">SUM(I212:K212)</f>
        <v>9034</v>
      </c>
      <c r="S212" s="9" t="n">
        <f aca="false">SUM(L212:N212)</f>
        <v>4378</v>
      </c>
      <c r="T212" s="17" t="n">
        <f aca="false">IF(R212&gt;0,S212/R212-1,"")</f>
        <v>-0.515386318352889</v>
      </c>
      <c r="U212" s="2" t="str">
        <f aca="false">IF(AND(R212=0,S212&gt;0),"H2 Active / No H1 GMV",IF(S212=0,"Lapsed",IF(T212&gt;=Assumptions!$B$36,"Growing",IF(T212&lt;-Assumptions!$B$36,"Declining","Stable"))))</f>
        <v>Declining</v>
      </c>
      <c r="V212" s="2" t="n">
        <f aca="false">COUNTIF(I212:N212,"&gt;0")</f>
        <v>3</v>
      </c>
      <c r="W212" s="2" t="str">
        <f aca="false">IF(N212&gt;0,"Feb",IF(M212&gt;0,"Jan",IF(L212&gt;0,"Dec",IF(K212&gt;0,"Nov",IF(J212&gt;0,"Oct","Sep")))))</f>
        <v>Dec</v>
      </c>
      <c r="X212" s="2" t="str">
        <f aca="false">IF(O212&gt;=Assumptions!$B$35,"Key (&gt;=£10k)",IF(O212&gt;=Assumptions!$B$34,"Core (£2k-10k)","Tail (&lt;£2k)"))</f>
        <v>Key (&gt;=£10k)</v>
      </c>
      <c r="Y212" s="21" t="n">
        <f aca="false">INDEX('Scored Accounts'!$Q$2:$Q$301,MATCH(A212,'Scored Accounts'!$A$2:$A$301,0))</f>
        <v>0</v>
      </c>
      <c r="Z212" s="2" t="str">
        <f aca="false">INDEX('Scored Accounts'!$R$2:$R$301,MATCH(A212,'Scored Accounts'!$A$2:$A$301,0))</f>
        <v>Low</v>
      </c>
      <c r="AA212" s="2" t="str">
        <f aca="false">INDEX('Scored Accounts'!$T$2:$T$301,MATCH(A212,'Scored Accounts'!$A$2:$A$301,0))</f>
        <v/>
      </c>
      <c r="AB212" s="2" t="str">
        <f aca="false">IF(Z212="Low","Lower dep / ","Higher dep / ")&amp;IF(O212&gt;=Assumptions!$B$34,"Higher value","Lower value")</f>
        <v>Lower dep / Higher value</v>
      </c>
    </row>
    <row r="213" customFormat="false" ht="15" hidden="false" customHeight="false" outlineLevel="0" collapsed="false">
      <c r="A213" s="2" t="s">
        <v>365</v>
      </c>
      <c r="B213" s="2" t="s">
        <v>1574</v>
      </c>
      <c r="C213" s="2" t="s">
        <v>1640</v>
      </c>
      <c r="D213" s="2" t="s">
        <v>1655</v>
      </c>
      <c r="E213" s="2" t="s">
        <v>1655</v>
      </c>
      <c r="F213" s="2"/>
      <c r="G213" s="2" t="n">
        <v>5</v>
      </c>
      <c r="H213" s="2" t="n">
        <v>8</v>
      </c>
      <c r="I213" s="9" t="n">
        <v>0</v>
      </c>
      <c r="J213" s="9" t="n">
        <v>2075</v>
      </c>
      <c r="K213" s="9" t="n">
        <v>604</v>
      </c>
      <c r="L213" s="9" t="n">
        <v>0</v>
      </c>
      <c r="M213" s="9" t="n">
        <v>4310</v>
      </c>
      <c r="N213" s="9" t="n">
        <v>1593</v>
      </c>
      <c r="O213" s="9" t="n">
        <v>8581</v>
      </c>
      <c r="P213" s="2"/>
      <c r="Q213" s="2" t="str">
        <f aca="false">IF(I213&gt;0,ROUND((N213-I213)/I213*100,0),"")</f>
        <v/>
      </c>
      <c r="R213" s="9" t="n">
        <f aca="false">SUM(I213:K213)</f>
        <v>2679</v>
      </c>
      <c r="S213" s="9" t="n">
        <f aca="false">SUM(L213:N213)</f>
        <v>5903</v>
      </c>
      <c r="T213" s="17" t="n">
        <f aca="false">IF(R213&gt;0,S213/R213-1,"")</f>
        <v>1.20343411720791</v>
      </c>
      <c r="U213" s="2" t="str">
        <f aca="false">IF(AND(R213=0,S213&gt;0),"H2 Active / No H1 GMV",IF(S213=0,"Lapsed",IF(T213&gt;=Assumptions!$B$36,"Growing",IF(T213&lt;-Assumptions!$B$36,"Declining","Stable"))))</f>
        <v>Growing</v>
      </c>
      <c r="V213" s="2" t="n">
        <f aca="false">COUNTIF(I213:N213,"&gt;0")</f>
        <v>4</v>
      </c>
      <c r="W213" s="2" t="str">
        <f aca="false">IF(N213&gt;0,"Feb",IF(M213&gt;0,"Jan",IF(L213&gt;0,"Dec",IF(K213&gt;0,"Nov",IF(J213&gt;0,"Oct","Sep")))))</f>
        <v>Feb</v>
      </c>
      <c r="X213" s="2" t="str">
        <f aca="false">IF(O213&gt;=Assumptions!$B$35,"Key (&gt;=£10k)",IF(O213&gt;=Assumptions!$B$34,"Core (£2k-10k)","Tail (&lt;£2k)"))</f>
        <v>Core (£2k-10k)</v>
      </c>
      <c r="Y213" s="21" t="n">
        <f aca="false">INDEX('Scored Accounts'!$Q$2:$Q$301,MATCH(A213,'Scored Accounts'!$A$2:$A$301,0))</f>
        <v>0</v>
      </c>
      <c r="Z213" s="2" t="str">
        <f aca="false">INDEX('Scored Accounts'!$R$2:$R$301,MATCH(A213,'Scored Accounts'!$A$2:$A$301,0))</f>
        <v>Low</v>
      </c>
      <c r="AA213" s="2" t="str">
        <f aca="false">INDEX('Scored Accounts'!$T$2:$T$301,MATCH(A213,'Scored Accounts'!$A$2:$A$301,0))</f>
        <v/>
      </c>
      <c r="AB213" s="2" t="str">
        <f aca="false">IF(Z213="Low","Lower dep / ","Higher dep / ")&amp;IF(O213&gt;=Assumptions!$B$34,"Higher value","Lower value")</f>
        <v>Lower dep / Higher value</v>
      </c>
    </row>
    <row r="214" customFormat="false" ht="15" hidden="false" customHeight="false" outlineLevel="0" collapsed="false">
      <c r="A214" s="2" t="s">
        <v>405</v>
      </c>
      <c r="B214" s="2" t="s">
        <v>1574</v>
      </c>
      <c r="C214" s="2" t="s">
        <v>1640</v>
      </c>
      <c r="D214" s="2" t="s">
        <v>1658</v>
      </c>
      <c r="E214" s="2" t="s">
        <v>1658</v>
      </c>
      <c r="F214" s="2"/>
      <c r="G214" s="2" t="n">
        <v>5</v>
      </c>
      <c r="H214" s="2" t="n">
        <v>8</v>
      </c>
      <c r="I214" s="9" t="n">
        <v>0</v>
      </c>
      <c r="J214" s="9" t="n">
        <v>396</v>
      </c>
      <c r="K214" s="9" t="n">
        <v>472</v>
      </c>
      <c r="L214" s="9" t="n">
        <v>3053</v>
      </c>
      <c r="M214" s="9" t="n">
        <v>978</v>
      </c>
      <c r="N214" s="9" t="n">
        <v>0</v>
      </c>
      <c r="O214" s="9" t="n">
        <v>4899</v>
      </c>
      <c r="P214" s="2"/>
      <c r="Q214" s="2" t="str">
        <f aca="false">IF(I214&gt;0,ROUND((N214-I214)/I214*100,0),"")</f>
        <v/>
      </c>
      <c r="R214" s="9" t="n">
        <f aca="false">SUM(I214:K214)</f>
        <v>868</v>
      </c>
      <c r="S214" s="9" t="n">
        <f aca="false">SUM(L214:N214)</f>
        <v>4031</v>
      </c>
      <c r="T214" s="17" t="n">
        <f aca="false">IF(R214&gt;0,S214/R214-1,"")</f>
        <v>3.64400921658986</v>
      </c>
      <c r="U214" s="2" t="str">
        <f aca="false">IF(AND(R214=0,S214&gt;0),"H2 Active / No H1 GMV",IF(S214=0,"Lapsed",IF(T214&gt;=Assumptions!$B$36,"Growing",IF(T214&lt;-Assumptions!$B$36,"Declining","Stable"))))</f>
        <v>Growing</v>
      </c>
      <c r="V214" s="2" t="n">
        <f aca="false">COUNTIF(I214:N214,"&gt;0")</f>
        <v>4</v>
      </c>
      <c r="W214" s="2" t="str">
        <f aca="false">IF(N214&gt;0,"Feb",IF(M214&gt;0,"Jan",IF(L214&gt;0,"Dec",IF(K214&gt;0,"Nov",IF(J214&gt;0,"Oct","Sep")))))</f>
        <v>Jan</v>
      </c>
      <c r="X214" s="2" t="str">
        <f aca="false">IF(O214&gt;=Assumptions!$B$35,"Key (&gt;=£10k)",IF(O214&gt;=Assumptions!$B$34,"Core (£2k-10k)","Tail (&lt;£2k)"))</f>
        <v>Core (£2k-10k)</v>
      </c>
      <c r="Y214" s="21" t="n">
        <f aca="false">INDEX('Scored Accounts'!$Q$2:$Q$301,MATCH(A214,'Scored Accounts'!$A$2:$A$301,0))</f>
        <v>0</v>
      </c>
      <c r="Z214" s="2" t="str">
        <f aca="false">INDEX('Scored Accounts'!$R$2:$R$301,MATCH(A214,'Scored Accounts'!$A$2:$A$301,0))</f>
        <v>Low</v>
      </c>
      <c r="AA214" s="2" t="str">
        <f aca="false">INDEX('Scored Accounts'!$T$2:$T$301,MATCH(A214,'Scored Accounts'!$A$2:$A$301,0))</f>
        <v/>
      </c>
      <c r="AB214" s="2" t="str">
        <f aca="false">IF(Z214="Low","Lower dep / ","Higher dep / ")&amp;IF(O214&gt;=Assumptions!$B$34,"Higher value","Lower value")</f>
        <v>Lower dep / Higher value</v>
      </c>
    </row>
    <row r="215" customFormat="false" ht="15" hidden="false" customHeight="false" outlineLevel="0" collapsed="false">
      <c r="A215" s="2" t="s">
        <v>226</v>
      </c>
      <c r="B215" s="2" t="s">
        <v>1574</v>
      </c>
      <c r="C215" s="2" t="s">
        <v>1640</v>
      </c>
      <c r="D215" s="2" t="s">
        <v>1653</v>
      </c>
      <c r="E215" s="2" t="s">
        <v>1653</v>
      </c>
      <c r="F215" s="2"/>
      <c r="G215" s="2" t="n">
        <v>5</v>
      </c>
      <c r="H215" s="2" t="n">
        <v>12</v>
      </c>
      <c r="I215" s="9" t="n">
        <v>0</v>
      </c>
      <c r="J215" s="9" t="n">
        <v>4409</v>
      </c>
      <c r="K215" s="9" t="n">
        <v>107</v>
      </c>
      <c r="L215" s="9" t="n">
        <v>0</v>
      </c>
      <c r="M215" s="9" t="n">
        <v>116</v>
      </c>
      <c r="N215" s="9" t="n">
        <v>0</v>
      </c>
      <c r="O215" s="9" t="n">
        <v>4632</v>
      </c>
      <c r="P215" s="2"/>
      <c r="Q215" s="2" t="str">
        <f aca="false">IF(I215&gt;0,ROUND((N215-I215)/I215*100,0),"")</f>
        <v/>
      </c>
      <c r="R215" s="9" t="n">
        <f aca="false">SUM(I215:K215)</f>
        <v>4516</v>
      </c>
      <c r="S215" s="9" t="n">
        <f aca="false">SUM(L215:N215)</f>
        <v>116</v>
      </c>
      <c r="T215" s="17" t="n">
        <f aca="false">IF(R215&gt;0,S215/R215-1,"")</f>
        <v>-0.974313551815766</v>
      </c>
      <c r="U215" s="2" t="str">
        <f aca="false">IF(AND(R215=0,S215&gt;0),"H2 Active / No H1 GMV",IF(S215=0,"Lapsed",IF(T215&gt;=Assumptions!$B$36,"Growing",IF(T215&lt;-Assumptions!$B$36,"Declining","Stable"))))</f>
        <v>Declining</v>
      </c>
      <c r="V215" s="2" t="n">
        <f aca="false">COUNTIF(I215:N215,"&gt;0")</f>
        <v>3</v>
      </c>
      <c r="W215" s="2" t="str">
        <f aca="false">IF(N215&gt;0,"Feb",IF(M215&gt;0,"Jan",IF(L215&gt;0,"Dec",IF(K215&gt;0,"Nov",IF(J215&gt;0,"Oct","Sep")))))</f>
        <v>Jan</v>
      </c>
      <c r="X215" s="2" t="str">
        <f aca="false">IF(O215&gt;=Assumptions!$B$35,"Key (&gt;=£10k)",IF(O215&gt;=Assumptions!$B$34,"Core (£2k-10k)","Tail (&lt;£2k)"))</f>
        <v>Core (£2k-10k)</v>
      </c>
      <c r="Y215" s="21" t="n">
        <f aca="false">INDEX('Scored Accounts'!$Q$2:$Q$301,MATCH(A215,'Scored Accounts'!$A$2:$A$301,0))</f>
        <v>0</v>
      </c>
      <c r="Z215" s="2" t="str">
        <f aca="false">INDEX('Scored Accounts'!$R$2:$R$301,MATCH(A215,'Scored Accounts'!$A$2:$A$301,0))</f>
        <v>Low</v>
      </c>
      <c r="AA215" s="2" t="str">
        <f aca="false">INDEX('Scored Accounts'!$T$2:$T$301,MATCH(A215,'Scored Accounts'!$A$2:$A$301,0))</f>
        <v/>
      </c>
      <c r="AB215" s="2" t="str">
        <f aca="false">IF(Z215="Low","Lower dep / ","Higher dep / ")&amp;IF(O215&gt;=Assumptions!$B$34,"Higher value","Lower value")</f>
        <v>Lower dep / Higher value</v>
      </c>
    </row>
    <row r="216" customFormat="false" ht="15" hidden="false" customHeight="false" outlineLevel="0" collapsed="false">
      <c r="A216" s="2" t="s">
        <v>232</v>
      </c>
      <c r="B216" s="2" t="s">
        <v>1574</v>
      </c>
      <c r="C216" s="2" t="s">
        <v>1640</v>
      </c>
      <c r="D216" s="2" t="s">
        <v>1654</v>
      </c>
      <c r="E216" s="2" t="s">
        <v>1654</v>
      </c>
      <c r="F216" s="2"/>
      <c r="G216" s="2" t="n">
        <v>5</v>
      </c>
      <c r="H216" s="2" t="n">
        <v>1</v>
      </c>
      <c r="I216" s="9" t="n">
        <v>0</v>
      </c>
      <c r="J216" s="9" t="n">
        <v>3907</v>
      </c>
      <c r="K216" s="9" t="n">
        <v>0</v>
      </c>
      <c r="L216" s="9" t="n">
        <v>0</v>
      </c>
      <c r="M216" s="9" t="n">
        <v>0</v>
      </c>
      <c r="N216" s="9" t="n">
        <v>0</v>
      </c>
      <c r="O216" s="9" t="n">
        <v>3907</v>
      </c>
      <c r="P216" s="2"/>
      <c r="Q216" s="2" t="str">
        <f aca="false">IF(I216&gt;0,ROUND((N216-I216)/I216*100,0),"")</f>
        <v/>
      </c>
      <c r="R216" s="9" t="n">
        <f aca="false">SUM(I216:K216)</f>
        <v>3907</v>
      </c>
      <c r="S216" s="9" t="n">
        <f aca="false">SUM(L216:N216)</f>
        <v>0</v>
      </c>
      <c r="T216" s="17" t="n">
        <f aca="false">IF(R216&gt;0,S216/R216-1,"")</f>
        <v>-1</v>
      </c>
      <c r="U216" s="2" t="str">
        <f aca="false">IF(AND(R216=0,S216&gt;0),"H2 Active / No H1 GMV",IF(S216=0,"Lapsed",IF(T216&gt;=Assumptions!$B$36,"Growing",IF(T216&lt;-Assumptions!$B$36,"Declining","Stable"))))</f>
        <v>Lapsed</v>
      </c>
      <c r="V216" s="2" t="n">
        <f aca="false">COUNTIF(I216:N216,"&gt;0")</f>
        <v>1</v>
      </c>
      <c r="W216" s="2" t="str">
        <f aca="false">IF(N216&gt;0,"Feb",IF(M216&gt;0,"Jan",IF(L216&gt;0,"Dec",IF(K216&gt;0,"Nov",IF(J216&gt;0,"Oct","Sep")))))</f>
        <v>Oct</v>
      </c>
      <c r="X216" s="2" t="str">
        <f aca="false">IF(O216&gt;=Assumptions!$B$35,"Key (&gt;=£10k)",IF(O216&gt;=Assumptions!$B$34,"Core (£2k-10k)","Tail (&lt;£2k)"))</f>
        <v>Core (£2k-10k)</v>
      </c>
      <c r="Y216" s="21" t="n">
        <f aca="false">INDEX('Scored Accounts'!$Q$2:$Q$301,MATCH(A216,'Scored Accounts'!$A$2:$A$301,0))</f>
        <v>0</v>
      </c>
      <c r="Z216" s="2" t="str">
        <f aca="false">INDEX('Scored Accounts'!$R$2:$R$301,MATCH(A216,'Scored Accounts'!$A$2:$A$301,0))</f>
        <v>Low</v>
      </c>
      <c r="AA216" s="2" t="str">
        <f aca="false">INDEX('Scored Accounts'!$T$2:$T$301,MATCH(A216,'Scored Accounts'!$A$2:$A$301,0))</f>
        <v/>
      </c>
      <c r="AB216" s="2" t="str">
        <f aca="false">IF(Z216="Low","Lower dep / ","Higher dep / ")&amp;IF(O216&gt;=Assumptions!$B$34,"Higher value","Lower value")</f>
        <v>Lower dep / Higher value</v>
      </c>
    </row>
    <row r="217" customFormat="false" ht="15" hidden="false" customHeight="false" outlineLevel="0" collapsed="false">
      <c r="A217" s="2" t="s">
        <v>252</v>
      </c>
      <c r="B217" s="2" t="s">
        <v>1574</v>
      </c>
      <c r="C217" s="2" t="s">
        <v>1640</v>
      </c>
      <c r="D217" s="2" t="s">
        <v>1658</v>
      </c>
      <c r="E217" s="2" t="s">
        <v>1658</v>
      </c>
      <c r="F217" s="2"/>
      <c r="G217" s="2" t="n">
        <v>5</v>
      </c>
      <c r="H217" s="2" t="n">
        <v>11</v>
      </c>
      <c r="I217" s="9" t="n">
        <v>0</v>
      </c>
      <c r="J217" s="9" t="n">
        <v>961</v>
      </c>
      <c r="K217" s="9" t="n">
        <v>433</v>
      </c>
      <c r="L217" s="9" t="n">
        <v>2103</v>
      </c>
      <c r="M217" s="9" t="n">
        <v>0</v>
      </c>
      <c r="N217" s="9" t="n">
        <v>0</v>
      </c>
      <c r="O217" s="9" t="n">
        <v>3497</v>
      </c>
      <c r="P217" s="2"/>
      <c r="Q217" s="2" t="str">
        <f aca="false">IF(I217&gt;0,ROUND((N217-I217)/I217*100,0),"")</f>
        <v/>
      </c>
      <c r="R217" s="9" t="n">
        <f aca="false">SUM(I217:K217)</f>
        <v>1394</v>
      </c>
      <c r="S217" s="9" t="n">
        <f aca="false">SUM(L217:N217)</f>
        <v>2103</v>
      </c>
      <c r="T217" s="17" t="n">
        <f aca="false">IF(R217&gt;0,S217/R217-1,"")</f>
        <v>0.508608321377331</v>
      </c>
      <c r="U217" s="2" t="str">
        <f aca="false">IF(AND(R217=0,S217&gt;0),"H2 Active / No H1 GMV",IF(S217=0,"Lapsed",IF(T217&gt;=Assumptions!$B$36,"Growing",IF(T217&lt;-Assumptions!$B$36,"Declining","Stable"))))</f>
        <v>Growing</v>
      </c>
      <c r="V217" s="2" t="n">
        <f aca="false">COUNTIF(I217:N217,"&gt;0")</f>
        <v>3</v>
      </c>
      <c r="W217" s="2" t="str">
        <f aca="false">IF(N217&gt;0,"Feb",IF(M217&gt;0,"Jan",IF(L217&gt;0,"Dec",IF(K217&gt;0,"Nov",IF(J217&gt;0,"Oct","Sep")))))</f>
        <v>Dec</v>
      </c>
      <c r="X217" s="2" t="str">
        <f aca="false">IF(O217&gt;=Assumptions!$B$35,"Key (&gt;=£10k)",IF(O217&gt;=Assumptions!$B$34,"Core (£2k-10k)","Tail (&lt;£2k)"))</f>
        <v>Core (£2k-10k)</v>
      </c>
      <c r="Y217" s="21" t="n">
        <f aca="false">INDEX('Scored Accounts'!$Q$2:$Q$301,MATCH(A217,'Scored Accounts'!$A$2:$A$301,0))</f>
        <v>0</v>
      </c>
      <c r="Z217" s="2" t="str">
        <f aca="false">INDEX('Scored Accounts'!$R$2:$R$301,MATCH(A217,'Scored Accounts'!$A$2:$A$301,0))</f>
        <v>Low</v>
      </c>
      <c r="AA217" s="2" t="str">
        <f aca="false">INDEX('Scored Accounts'!$T$2:$T$301,MATCH(A217,'Scored Accounts'!$A$2:$A$301,0))</f>
        <v/>
      </c>
      <c r="AB217" s="2" t="str">
        <f aca="false">IF(Z217="Low","Lower dep / ","Higher dep / ")&amp;IF(O217&gt;=Assumptions!$B$34,"Higher value","Lower value")</f>
        <v>Lower dep / Higher value</v>
      </c>
    </row>
    <row r="218" customFormat="false" ht="15" hidden="false" customHeight="false" outlineLevel="0" collapsed="false">
      <c r="A218" s="2" t="s">
        <v>435</v>
      </c>
      <c r="B218" s="2" t="s">
        <v>1574</v>
      </c>
      <c r="C218" s="2" t="s">
        <v>1640</v>
      </c>
      <c r="D218" s="2" t="s">
        <v>1654</v>
      </c>
      <c r="E218" s="2" t="s">
        <v>1654</v>
      </c>
      <c r="F218" s="2"/>
      <c r="G218" s="2" t="n">
        <v>3</v>
      </c>
      <c r="H218" s="2" t="n">
        <v>9</v>
      </c>
      <c r="I218" s="9" t="n">
        <v>0</v>
      </c>
      <c r="J218" s="9" t="n">
        <v>0</v>
      </c>
      <c r="K218" s="9" t="n">
        <v>0</v>
      </c>
      <c r="L218" s="9" t="n">
        <v>283</v>
      </c>
      <c r="M218" s="9" t="n">
        <v>617</v>
      </c>
      <c r="N218" s="9" t="n">
        <v>1502</v>
      </c>
      <c r="O218" s="9" t="n">
        <v>2402</v>
      </c>
      <c r="P218" s="2"/>
      <c r="Q218" s="2" t="str">
        <f aca="false">IF(I218&gt;0,ROUND((N218-I218)/I218*100,0),"")</f>
        <v/>
      </c>
      <c r="R218" s="9" t="n">
        <f aca="false">SUM(I218:K218)</f>
        <v>0</v>
      </c>
      <c r="S218" s="9" t="n">
        <f aca="false">SUM(L218:N218)</f>
        <v>2402</v>
      </c>
      <c r="T218" s="17" t="str">
        <f aca="false">IF(R218&gt;0,S218/R218-1,"")</f>
        <v/>
      </c>
      <c r="U218" s="2" t="str">
        <f aca="false">IF(AND(R218=0,S218&gt;0),"H2 Active / No H1 GMV",IF(S218=0,"Lapsed",IF(T218&gt;=Assumptions!$B$36,"Growing",IF(T218&lt;-Assumptions!$B$36,"Declining","Stable"))))</f>
        <v>H2 Active / No H1 GMV</v>
      </c>
      <c r="V218" s="2" t="n">
        <f aca="false">COUNTIF(I218:N218,"&gt;0")</f>
        <v>3</v>
      </c>
      <c r="W218" s="2" t="str">
        <f aca="false">IF(N218&gt;0,"Feb",IF(M218&gt;0,"Jan",IF(L218&gt;0,"Dec",IF(K218&gt;0,"Nov",IF(J218&gt;0,"Oct","Sep")))))</f>
        <v>Feb</v>
      </c>
      <c r="X218" s="2" t="str">
        <f aca="false">IF(O218&gt;=Assumptions!$B$35,"Key (&gt;=£10k)",IF(O218&gt;=Assumptions!$B$34,"Core (£2k-10k)","Tail (&lt;£2k)"))</f>
        <v>Core (£2k-10k)</v>
      </c>
      <c r="Y218" s="21" t="n">
        <f aca="false">INDEX('Scored Accounts'!$Q$2:$Q$301,MATCH(A218,'Scored Accounts'!$A$2:$A$301,0))</f>
        <v>0</v>
      </c>
      <c r="Z218" s="2" t="str">
        <f aca="false">INDEX('Scored Accounts'!$R$2:$R$301,MATCH(A218,'Scored Accounts'!$A$2:$A$301,0))</f>
        <v>Low</v>
      </c>
      <c r="AA218" s="2" t="str">
        <f aca="false">INDEX('Scored Accounts'!$T$2:$T$301,MATCH(A218,'Scored Accounts'!$A$2:$A$301,0))</f>
        <v/>
      </c>
      <c r="AB218" s="2" t="str">
        <f aca="false">IF(Z218="Low","Lower dep / ","Higher dep / ")&amp;IF(O218&gt;=Assumptions!$B$34,"Higher value","Lower value")</f>
        <v>Lower dep / Higher value</v>
      </c>
    </row>
    <row r="219" customFormat="false" ht="15" hidden="false" customHeight="false" outlineLevel="0" collapsed="false">
      <c r="A219" s="2" t="s">
        <v>601</v>
      </c>
      <c r="B219" s="2" t="s">
        <v>1574</v>
      </c>
      <c r="C219" s="2" t="s">
        <v>1640</v>
      </c>
      <c r="D219" s="2" t="s">
        <v>1653</v>
      </c>
      <c r="E219" s="2" t="s">
        <v>1653</v>
      </c>
      <c r="F219" s="2"/>
      <c r="G219" s="2" t="n">
        <v>5</v>
      </c>
      <c r="H219" s="2" t="n">
        <v>4</v>
      </c>
      <c r="I219" s="9" t="n">
        <v>0</v>
      </c>
      <c r="J219" s="9" t="n">
        <v>1219</v>
      </c>
      <c r="K219" s="9" t="n">
        <v>0</v>
      </c>
      <c r="L219" s="9" t="n">
        <v>0</v>
      </c>
      <c r="M219" s="9" t="n">
        <v>0</v>
      </c>
      <c r="N219" s="9" t="n">
        <v>0</v>
      </c>
      <c r="O219" s="9" t="n">
        <v>1219</v>
      </c>
      <c r="P219" s="2"/>
      <c r="Q219" s="2" t="str">
        <f aca="false">IF(I219&gt;0,ROUND((N219-I219)/I219*100,0),"")</f>
        <v/>
      </c>
      <c r="R219" s="9" t="n">
        <f aca="false">SUM(I219:K219)</f>
        <v>1219</v>
      </c>
      <c r="S219" s="9" t="n">
        <f aca="false">SUM(L219:N219)</f>
        <v>0</v>
      </c>
      <c r="T219" s="17" t="n">
        <f aca="false">IF(R219&gt;0,S219/R219-1,"")</f>
        <v>-1</v>
      </c>
      <c r="U219" s="2" t="str">
        <f aca="false">IF(AND(R219=0,S219&gt;0),"H2 Active / No H1 GMV",IF(S219=0,"Lapsed",IF(T219&gt;=Assumptions!$B$36,"Growing",IF(T219&lt;-Assumptions!$B$36,"Declining","Stable"))))</f>
        <v>Lapsed</v>
      </c>
      <c r="V219" s="2" t="n">
        <f aca="false">COUNTIF(I219:N219,"&gt;0")</f>
        <v>1</v>
      </c>
      <c r="W219" s="2" t="str">
        <f aca="false">IF(N219&gt;0,"Feb",IF(M219&gt;0,"Jan",IF(L219&gt;0,"Dec",IF(K219&gt;0,"Nov",IF(J219&gt;0,"Oct","Sep")))))</f>
        <v>Oct</v>
      </c>
      <c r="X219" s="2" t="str">
        <f aca="false">IF(O219&gt;=Assumptions!$B$35,"Key (&gt;=£10k)",IF(O219&gt;=Assumptions!$B$34,"Core (£2k-10k)","Tail (&lt;£2k)"))</f>
        <v>Tail (&lt;£2k)</v>
      </c>
      <c r="Y219" s="21" t="n">
        <f aca="false">INDEX('Scored Accounts'!$Q$2:$Q$301,MATCH(A219,'Scored Accounts'!$A$2:$A$301,0))</f>
        <v>0</v>
      </c>
      <c r="Z219" s="2" t="str">
        <f aca="false">INDEX('Scored Accounts'!$R$2:$R$301,MATCH(A219,'Scored Accounts'!$A$2:$A$301,0))</f>
        <v>Low</v>
      </c>
      <c r="AA219" s="2" t="str">
        <f aca="false">INDEX('Scored Accounts'!$T$2:$T$301,MATCH(A219,'Scored Accounts'!$A$2:$A$301,0))</f>
        <v/>
      </c>
      <c r="AB219" s="2" t="str">
        <f aca="false">IF(Z219="Low","Lower dep / ","Higher dep / ")&amp;IF(O219&gt;=Assumptions!$B$34,"Higher value","Lower value")</f>
        <v>Lower dep / Lower value</v>
      </c>
    </row>
    <row r="220" customFormat="false" ht="15" hidden="false" customHeight="false" outlineLevel="0" collapsed="false">
      <c r="A220" s="2" t="s">
        <v>541</v>
      </c>
      <c r="B220" s="2" t="s">
        <v>1574</v>
      </c>
      <c r="C220" s="2" t="s">
        <v>1640</v>
      </c>
      <c r="D220" s="2" t="s">
        <v>1653</v>
      </c>
      <c r="E220" s="2" t="s">
        <v>1653</v>
      </c>
      <c r="F220" s="2"/>
      <c r="G220" s="2" t="n">
        <v>3</v>
      </c>
      <c r="H220" s="2" t="n">
        <v>5</v>
      </c>
      <c r="I220" s="9" t="n">
        <v>0</v>
      </c>
      <c r="J220" s="9" t="n">
        <v>0</v>
      </c>
      <c r="K220" s="9" t="n">
        <v>0</v>
      </c>
      <c r="L220" s="9" t="n">
        <v>153</v>
      </c>
      <c r="M220" s="9" t="n">
        <v>798</v>
      </c>
      <c r="N220" s="9" t="n">
        <v>215</v>
      </c>
      <c r="O220" s="9" t="n">
        <v>1166</v>
      </c>
      <c r="P220" s="2"/>
      <c r="Q220" s="2" t="str">
        <f aca="false">IF(I220&gt;0,ROUND((N220-I220)/I220*100,0),"")</f>
        <v/>
      </c>
      <c r="R220" s="9" t="n">
        <f aca="false">SUM(I220:K220)</f>
        <v>0</v>
      </c>
      <c r="S220" s="9" t="n">
        <f aca="false">SUM(L220:N220)</f>
        <v>1166</v>
      </c>
      <c r="T220" s="17" t="str">
        <f aca="false">IF(R220&gt;0,S220/R220-1,"")</f>
        <v/>
      </c>
      <c r="U220" s="2" t="str">
        <f aca="false">IF(AND(R220=0,S220&gt;0),"H2 Active / No H1 GMV",IF(S220=0,"Lapsed",IF(T220&gt;=Assumptions!$B$36,"Growing",IF(T220&lt;-Assumptions!$B$36,"Declining","Stable"))))</f>
        <v>H2 Active / No H1 GMV</v>
      </c>
      <c r="V220" s="2" t="n">
        <f aca="false">COUNTIF(I220:N220,"&gt;0")</f>
        <v>3</v>
      </c>
      <c r="W220" s="2" t="str">
        <f aca="false">IF(N220&gt;0,"Feb",IF(M220&gt;0,"Jan",IF(L220&gt;0,"Dec",IF(K220&gt;0,"Nov",IF(J220&gt;0,"Oct","Sep")))))</f>
        <v>Feb</v>
      </c>
      <c r="X220" s="2" t="str">
        <f aca="false">IF(O220&gt;=Assumptions!$B$35,"Key (&gt;=£10k)",IF(O220&gt;=Assumptions!$B$34,"Core (£2k-10k)","Tail (&lt;£2k)"))</f>
        <v>Tail (&lt;£2k)</v>
      </c>
      <c r="Y220" s="21" t="n">
        <f aca="false">INDEX('Scored Accounts'!$Q$2:$Q$301,MATCH(A220,'Scored Accounts'!$A$2:$A$301,0))</f>
        <v>0</v>
      </c>
      <c r="Z220" s="2" t="str">
        <f aca="false">INDEX('Scored Accounts'!$R$2:$R$301,MATCH(A220,'Scored Accounts'!$A$2:$A$301,0))</f>
        <v>Low</v>
      </c>
      <c r="AA220" s="2" t="str">
        <f aca="false">INDEX('Scored Accounts'!$T$2:$T$301,MATCH(A220,'Scored Accounts'!$A$2:$A$301,0))</f>
        <v/>
      </c>
      <c r="AB220" s="2" t="str">
        <f aca="false">IF(Z220="Low","Lower dep / ","Higher dep / ")&amp;IF(O220&gt;=Assumptions!$B$34,"Higher value","Lower value")</f>
        <v>Lower dep / Lower value</v>
      </c>
    </row>
    <row r="221" customFormat="false" ht="15" hidden="false" customHeight="false" outlineLevel="0" collapsed="false">
      <c r="A221" s="2" t="s">
        <v>605</v>
      </c>
      <c r="B221" s="2" t="s">
        <v>1574</v>
      </c>
      <c r="C221" s="2" t="s">
        <v>1640</v>
      </c>
      <c r="D221" s="2" t="s">
        <v>1653</v>
      </c>
      <c r="E221" s="2" t="s">
        <v>1653</v>
      </c>
      <c r="F221" s="2"/>
      <c r="G221" s="2" t="n">
        <v>3</v>
      </c>
      <c r="H221" s="2" t="n">
        <v>1</v>
      </c>
      <c r="I221" s="9" t="n">
        <v>0</v>
      </c>
      <c r="J221" s="9" t="n">
        <v>0</v>
      </c>
      <c r="K221" s="9" t="n">
        <v>0</v>
      </c>
      <c r="L221" s="9" t="n">
        <v>1119</v>
      </c>
      <c r="M221" s="9" t="n">
        <v>0</v>
      </c>
      <c r="N221" s="9" t="n">
        <v>0</v>
      </c>
      <c r="O221" s="9" t="n">
        <v>1119</v>
      </c>
      <c r="P221" s="2"/>
      <c r="Q221" s="2" t="str">
        <f aca="false">IF(I221&gt;0,ROUND((N221-I221)/I221*100,0),"")</f>
        <v/>
      </c>
      <c r="R221" s="9" t="n">
        <f aca="false">SUM(I221:K221)</f>
        <v>0</v>
      </c>
      <c r="S221" s="9" t="n">
        <f aca="false">SUM(L221:N221)</f>
        <v>1119</v>
      </c>
      <c r="T221" s="17" t="str">
        <f aca="false">IF(R221&gt;0,S221/R221-1,"")</f>
        <v/>
      </c>
      <c r="U221" s="2" t="str">
        <f aca="false">IF(AND(R221=0,S221&gt;0),"H2 Active / No H1 GMV",IF(S221=0,"Lapsed",IF(T221&gt;=Assumptions!$B$36,"Growing",IF(T221&lt;-Assumptions!$B$36,"Declining","Stable"))))</f>
        <v>H2 Active / No H1 GMV</v>
      </c>
      <c r="V221" s="2" t="n">
        <f aca="false">COUNTIF(I221:N221,"&gt;0")</f>
        <v>1</v>
      </c>
      <c r="W221" s="2" t="str">
        <f aca="false">IF(N221&gt;0,"Feb",IF(M221&gt;0,"Jan",IF(L221&gt;0,"Dec",IF(K221&gt;0,"Nov",IF(J221&gt;0,"Oct","Sep")))))</f>
        <v>Dec</v>
      </c>
      <c r="X221" s="2" t="str">
        <f aca="false">IF(O221&gt;=Assumptions!$B$35,"Key (&gt;=£10k)",IF(O221&gt;=Assumptions!$B$34,"Core (£2k-10k)","Tail (&lt;£2k)"))</f>
        <v>Tail (&lt;£2k)</v>
      </c>
      <c r="Y221" s="21" t="n">
        <f aca="false">INDEX('Scored Accounts'!$Q$2:$Q$301,MATCH(A221,'Scored Accounts'!$A$2:$A$301,0))</f>
        <v>0</v>
      </c>
      <c r="Z221" s="2" t="str">
        <f aca="false">INDEX('Scored Accounts'!$R$2:$R$301,MATCH(A221,'Scored Accounts'!$A$2:$A$301,0))</f>
        <v>Low</v>
      </c>
      <c r="AA221" s="2" t="str">
        <f aca="false">INDEX('Scored Accounts'!$T$2:$T$301,MATCH(A221,'Scored Accounts'!$A$2:$A$301,0))</f>
        <v/>
      </c>
      <c r="AB221" s="2" t="str">
        <f aca="false">IF(Z221="Low","Lower dep / ","Higher dep / ")&amp;IF(O221&gt;=Assumptions!$B$34,"Higher value","Lower value")</f>
        <v>Lower dep / Lower value</v>
      </c>
    </row>
    <row r="222" customFormat="false" ht="15" hidden="false" customHeight="false" outlineLevel="0" collapsed="false">
      <c r="A222" s="2" t="s">
        <v>622</v>
      </c>
      <c r="B222" s="2" t="s">
        <v>1574</v>
      </c>
      <c r="C222" s="2" t="s">
        <v>1640</v>
      </c>
      <c r="D222" s="2" t="s">
        <v>1654</v>
      </c>
      <c r="E222" s="2" t="s">
        <v>1654</v>
      </c>
      <c r="F222" s="2"/>
      <c r="G222" s="2" t="n">
        <v>3</v>
      </c>
      <c r="H222" s="2" t="n">
        <v>4</v>
      </c>
      <c r="I222" s="9" t="n">
        <v>0</v>
      </c>
      <c r="J222" s="9" t="n">
        <v>0</v>
      </c>
      <c r="K222" s="9" t="n">
        <v>0</v>
      </c>
      <c r="L222" s="9" t="n">
        <v>129</v>
      </c>
      <c r="M222" s="9" t="n">
        <v>335</v>
      </c>
      <c r="N222" s="9" t="n">
        <v>460</v>
      </c>
      <c r="O222" s="9" t="n">
        <v>925</v>
      </c>
      <c r="P222" s="2"/>
      <c r="Q222" s="2" t="str">
        <f aca="false">IF(I222&gt;0,ROUND((N222-I222)/I222*100,0),"")</f>
        <v/>
      </c>
      <c r="R222" s="9" t="n">
        <f aca="false">SUM(I222:K222)</f>
        <v>0</v>
      </c>
      <c r="S222" s="9" t="n">
        <f aca="false">SUM(L222:N222)</f>
        <v>924</v>
      </c>
      <c r="T222" s="17" t="str">
        <f aca="false">IF(R222&gt;0,S222/R222-1,"")</f>
        <v/>
      </c>
      <c r="U222" s="2" t="str">
        <f aca="false">IF(AND(R222=0,S222&gt;0),"H2 Active / No H1 GMV",IF(S222=0,"Lapsed",IF(T222&gt;=Assumptions!$B$36,"Growing",IF(T222&lt;-Assumptions!$B$36,"Declining","Stable"))))</f>
        <v>H2 Active / No H1 GMV</v>
      </c>
      <c r="V222" s="2" t="n">
        <f aca="false">COUNTIF(I222:N222,"&gt;0")</f>
        <v>3</v>
      </c>
      <c r="W222" s="2" t="str">
        <f aca="false">IF(N222&gt;0,"Feb",IF(M222&gt;0,"Jan",IF(L222&gt;0,"Dec",IF(K222&gt;0,"Nov",IF(J222&gt;0,"Oct","Sep")))))</f>
        <v>Feb</v>
      </c>
      <c r="X222" s="2" t="str">
        <f aca="false">IF(O222&gt;=Assumptions!$B$35,"Key (&gt;=£10k)",IF(O222&gt;=Assumptions!$B$34,"Core (£2k-10k)","Tail (&lt;£2k)"))</f>
        <v>Tail (&lt;£2k)</v>
      </c>
      <c r="Y222" s="21" t="n">
        <f aca="false">INDEX('Scored Accounts'!$Q$2:$Q$301,MATCH(A222,'Scored Accounts'!$A$2:$A$301,0))</f>
        <v>0</v>
      </c>
      <c r="Z222" s="2" t="str">
        <f aca="false">INDEX('Scored Accounts'!$R$2:$R$301,MATCH(A222,'Scored Accounts'!$A$2:$A$301,0))</f>
        <v>Low</v>
      </c>
      <c r="AA222" s="2" t="str">
        <f aca="false">INDEX('Scored Accounts'!$T$2:$T$301,MATCH(A222,'Scored Accounts'!$A$2:$A$301,0))</f>
        <v/>
      </c>
      <c r="AB222" s="2" t="str">
        <f aca="false">IF(Z222="Low","Lower dep / ","Higher dep / ")&amp;IF(O222&gt;=Assumptions!$B$34,"Higher value","Lower value")</f>
        <v>Lower dep / Lower value</v>
      </c>
    </row>
    <row r="223" customFormat="false" ht="15" hidden="false" customHeight="false" outlineLevel="0" collapsed="false">
      <c r="A223" s="2" t="s">
        <v>631</v>
      </c>
      <c r="B223" s="2" t="s">
        <v>1574</v>
      </c>
      <c r="C223" s="2" t="s">
        <v>1640</v>
      </c>
      <c r="D223" s="2" t="s">
        <v>1654</v>
      </c>
      <c r="E223" s="2" t="s">
        <v>1654</v>
      </c>
      <c r="F223" s="2"/>
      <c r="G223" s="2" t="n">
        <v>1</v>
      </c>
      <c r="H223" s="2" t="n">
        <v>1</v>
      </c>
      <c r="I223" s="9" t="n">
        <v>0</v>
      </c>
      <c r="J223" s="9" t="n">
        <v>0</v>
      </c>
      <c r="K223" s="9" t="n">
        <v>0</v>
      </c>
      <c r="L223" s="9" t="n">
        <v>0</v>
      </c>
      <c r="M223" s="9" t="n">
        <v>0</v>
      </c>
      <c r="N223" s="9" t="n">
        <v>880</v>
      </c>
      <c r="O223" s="9" t="n">
        <v>880</v>
      </c>
      <c r="P223" s="2"/>
      <c r="Q223" s="2" t="str">
        <f aca="false">IF(I223&gt;0,ROUND((N223-I223)/I223*100,0),"")</f>
        <v/>
      </c>
      <c r="R223" s="9" t="n">
        <f aca="false">SUM(I223:K223)</f>
        <v>0</v>
      </c>
      <c r="S223" s="9" t="n">
        <f aca="false">SUM(L223:N223)</f>
        <v>880</v>
      </c>
      <c r="T223" s="17" t="str">
        <f aca="false">IF(R223&gt;0,S223/R223-1,"")</f>
        <v/>
      </c>
      <c r="U223" s="2" t="str">
        <f aca="false">IF(AND(R223=0,S223&gt;0),"H2 Active / No H1 GMV",IF(S223=0,"Lapsed",IF(T223&gt;=Assumptions!$B$36,"Growing",IF(T223&lt;-Assumptions!$B$36,"Declining","Stable"))))</f>
        <v>H2 Active / No H1 GMV</v>
      </c>
      <c r="V223" s="2" t="n">
        <f aca="false">COUNTIF(I223:N223,"&gt;0")</f>
        <v>1</v>
      </c>
      <c r="W223" s="2" t="str">
        <f aca="false">IF(N223&gt;0,"Feb",IF(M223&gt;0,"Jan",IF(L223&gt;0,"Dec",IF(K223&gt;0,"Nov",IF(J223&gt;0,"Oct","Sep")))))</f>
        <v>Feb</v>
      </c>
      <c r="X223" s="2" t="str">
        <f aca="false">IF(O223&gt;=Assumptions!$B$35,"Key (&gt;=£10k)",IF(O223&gt;=Assumptions!$B$34,"Core (£2k-10k)","Tail (&lt;£2k)"))</f>
        <v>Tail (&lt;£2k)</v>
      </c>
      <c r="Y223" s="21" t="n">
        <f aca="false">INDEX('Scored Accounts'!$Q$2:$Q$301,MATCH(A223,'Scored Accounts'!$A$2:$A$301,0))</f>
        <v>0</v>
      </c>
      <c r="Z223" s="2" t="str">
        <f aca="false">INDEX('Scored Accounts'!$R$2:$R$301,MATCH(A223,'Scored Accounts'!$A$2:$A$301,0))</f>
        <v>Low</v>
      </c>
      <c r="AA223" s="2" t="str">
        <f aca="false">INDEX('Scored Accounts'!$T$2:$T$301,MATCH(A223,'Scored Accounts'!$A$2:$A$301,0))</f>
        <v/>
      </c>
      <c r="AB223" s="2" t="str">
        <f aca="false">IF(Z223="Low","Lower dep / ","Higher dep / ")&amp;IF(O223&gt;=Assumptions!$B$34,"Higher value","Lower value")</f>
        <v>Lower dep / Lower value</v>
      </c>
    </row>
    <row r="224" customFormat="false" ht="15" hidden="false" customHeight="false" outlineLevel="0" collapsed="false">
      <c r="A224" s="2" t="s">
        <v>676</v>
      </c>
      <c r="B224" s="2" t="s">
        <v>1574</v>
      </c>
      <c r="C224" s="2" t="s">
        <v>1640</v>
      </c>
      <c r="D224" s="2" t="s">
        <v>1657</v>
      </c>
      <c r="E224" s="2" t="s">
        <v>1718</v>
      </c>
      <c r="F224" s="2"/>
      <c r="G224" s="2" t="n">
        <v>5</v>
      </c>
      <c r="H224" s="2" t="n">
        <v>2</v>
      </c>
      <c r="I224" s="9" t="n">
        <v>0</v>
      </c>
      <c r="J224" s="9" t="n">
        <v>324</v>
      </c>
      <c r="K224" s="9" t="n">
        <v>226</v>
      </c>
      <c r="L224" s="9" t="n">
        <v>0</v>
      </c>
      <c r="M224" s="9" t="n">
        <v>0</v>
      </c>
      <c r="N224" s="9" t="n">
        <v>0</v>
      </c>
      <c r="O224" s="9" t="n">
        <v>550</v>
      </c>
      <c r="P224" s="2"/>
      <c r="Q224" s="2" t="str">
        <f aca="false">IF(I224&gt;0,ROUND((N224-I224)/I224*100,0),"")</f>
        <v/>
      </c>
      <c r="R224" s="9" t="n">
        <f aca="false">SUM(I224:K224)</f>
        <v>550</v>
      </c>
      <c r="S224" s="9" t="n">
        <f aca="false">SUM(L224:N224)</f>
        <v>0</v>
      </c>
      <c r="T224" s="17" t="n">
        <f aca="false">IF(R224&gt;0,S224/R224-1,"")</f>
        <v>-1</v>
      </c>
      <c r="U224" s="2" t="str">
        <f aca="false">IF(AND(R224=0,S224&gt;0),"H2 Active / No H1 GMV",IF(S224=0,"Lapsed",IF(T224&gt;=Assumptions!$B$36,"Growing",IF(T224&lt;-Assumptions!$B$36,"Declining","Stable"))))</f>
        <v>Lapsed</v>
      </c>
      <c r="V224" s="2" t="n">
        <f aca="false">COUNTIF(I224:N224,"&gt;0")</f>
        <v>2</v>
      </c>
      <c r="W224" s="2" t="str">
        <f aca="false">IF(N224&gt;0,"Feb",IF(M224&gt;0,"Jan",IF(L224&gt;0,"Dec",IF(K224&gt;0,"Nov",IF(J224&gt;0,"Oct","Sep")))))</f>
        <v>Nov</v>
      </c>
      <c r="X224" s="2" t="str">
        <f aca="false">IF(O224&gt;=Assumptions!$B$35,"Key (&gt;=£10k)",IF(O224&gt;=Assumptions!$B$34,"Core (£2k-10k)","Tail (&lt;£2k)"))</f>
        <v>Tail (&lt;£2k)</v>
      </c>
      <c r="Y224" s="21" t="n">
        <f aca="false">INDEX('Scored Accounts'!$Q$2:$Q$301,MATCH(A224,'Scored Accounts'!$A$2:$A$301,0))</f>
        <v>0</v>
      </c>
      <c r="Z224" s="2" t="str">
        <f aca="false">INDEX('Scored Accounts'!$R$2:$R$301,MATCH(A224,'Scored Accounts'!$A$2:$A$301,0))</f>
        <v>Low</v>
      </c>
      <c r="AA224" s="2" t="str">
        <f aca="false">INDEX('Scored Accounts'!$T$2:$T$301,MATCH(A224,'Scored Accounts'!$A$2:$A$301,0))</f>
        <v/>
      </c>
      <c r="AB224" s="2" t="str">
        <f aca="false">IF(Z224="Low","Lower dep / ","Higher dep / ")&amp;IF(O224&gt;=Assumptions!$B$34,"Higher value","Lower value")</f>
        <v>Lower dep / Lower value</v>
      </c>
    </row>
    <row r="225" customFormat="false" ht="15" hidden="false" customHeight="false" outlineLevel="0" collapsed="false">
      <c r="A225" s="2" t="s">
        <v>682</v>
      </c>
      <c r="B225" s="2" t="s">
        <v>1574</v>
      </c>
      <c r="C225" s="2" t="s">
        <v>1640</v>
      </c>
      <c r="D225" s="2" t="s">
        <v>1653</v>
      </c>
      <c r="E225" s="2" t="s">
        <v>1653</v>
      </c>
      <c r="F225" s="2"/>
      <c r="G225" s="2" t="n">
        <v>2</v>
      </c>
      <c r="H225" s="2" t="n">
        <v>1</v>
      </c>
      <c r="I225" s="9" t="n">
        <v>0</v>
      </c>
      <c r="J225" s="9" t="n">
        <v>0</v>
      </c>
      <c r="K225" s="9" t="n">
        <v>0</v>
      </c>
      <c r="L225" s="9" t="n">
        <v>0</v>
      </c>
      <c r="M225" s="9" t="n">
        <v>501</v>
      </c>
      <c r="N225" s="9" t="n">
        <v>0</v>
      </c>
      <c r="O225" s="9" t="n">
        <v>501</v>
      </c>
      <c r="P225" s="2"/>
      <c r="Q225" s="2" t="str">
        <f aca="false">IF(I225&gt;0,ROUND((N225-I225)/I225*100,0),"")</f>
        <v/>
      </c>
      <c r="R225" s="9" t="n">
        <f aca="false">SUM(I225:K225)</f>
        <v>0</v>
      </c>
      <c r="S225" s="9" t="n">
        <f aca="false">SUM(L225:N225)</f>
        <v>501</v>
      </c>
      <c r="T225" s="17" t="str">
        <f aca="false">IF(R225&gt;0,S225/R225-1,"")</f>
        <v/>
      </c>
      <c r="U225" s="2" t="str">
        <f aca="false">IF(AND(R225=0,S225&gt;0),"H2 Active / No H1 GMV",IF(S225=0,"Lapsed",IF(T225&gt;=Assumptions!$B$36,"Growing",IF(T225&lt;-Assumptions!$B$36,"Declining","Stable"))))</f>
        <v>H2 Active / No H1 GMV</v>
      </c>
      <c r="V225" s="2" t="n">
        <f aca="false">COUNTIF(I225:N225,"&gt;0")</f>
        <v>1</v>
      </c>
      <c r="W225" s="2" t="str">
        <f aca="false">IF(N225&gt;0,"Feb",IF(M225&gt;0,"Jan",IF(L225&gt;0,"Dec",IF(K225&gt;0,"Nov",IF(J225&gt;0,"Oct","Sep")))))</f>
        <v>Jan</v>
      </c>
      <c r="X225" s="2" t="str">
        <f aca="false">IF(O225&gt;=Assumptions!$B$35,"Key (&gt;=£10k)",IF(O225&gt;=Assumptions!$B$34,"Core (£2k-10k)","Tail (&lt;£2k)"))</f>
        <v>Tail (&lt;£2k)</v>
      </c>
      <c r="Y225" s="21" t="n">
        <f aca="false">INDEX('Scored Accounts'!$Q$2:$Q$301,MATCH(A225,'Scored Accounts'!$A$2:$A$301,0))</f>
        <v>0</v>
      </c>
      <c r="Z225" s="2" t="str">
        <f aca="false">INDEX('Scored Accounts'!$R$2:$R$301,MATCH(A225,'Scored Accounts'!$A$2:$A$301,0))</f>
        <v>Low</v>
      </c>
      <c r="AA225" s="2" t="str">
        <f aca="false">INDEX('Scored Accounts'!$T$2:$T$301,MATCH(A225,'Scored Accounts'!$A$2:$A$301,0))</f>
        <v/>
      </c>
      <c r="AB225" s="2" t="str">
        <f aca="false">IF(Z225="Low","Lower dep / ","Higher dep / ")&amp;IF(O225&gt;=Assumptions!$B$34,"Higher value","Lower value")</f>
        <v>Lower dep / Lower value</v>
      </c>
    </row>
    <row r="226" customFormat="false" ht="15" hidden="false" customHeight="false" outlineLevel="0" collapsed="false">
      <c r="A226" s="2" t="s">
        <v>684</v>
      </c>
      <c r="B226" s="2" t="s">
        <v>1574</v>
      </c>
      <c r="C226" s="2" t="s">
        <v>1640</v>
      </c>
      <c r="D226" s="2" t="s">
        <v>1653</v>
      </c>
      <c r="E226" s="2" t="s">
        <v>1653</v>
      </c>
      <c r="F226" s="2"/>
      <c r="G226" s="2" t="n">
        <v>6</v>
      </c>
      <c r="H226" s="2" t="n">
        <v>3</v>
      </c>
      <c r="I226" s="9" t="n">
        <v>394</v>
      </c>
      <c r="J226" s="9" t="n">
        <v>26</v>
      </c>
      <c r="K226" s="9" t="n">
        <v>74</v>
      </c>
      <c r="L226" s="9" t="n">
        <v>0</v>
      </c>
      <c r="M226" s="9" t="n">
        <v>0</v>
      </c>
      <c r="N226" s="9" t="n">
        <v>0</v>
      </c>
      <c r="O226" s="9" t="n">
        <v>493</v>
      </c>
      <c r="P226" s="2" t="n">
        <v>-100</v>
      </c>
      <c r="Q226" s="2" t="n">
        <f aca="false">IF(I226&gt;0,ROUND((N226-I226)/I226*100,0),"")</f>
        <v>-100</v>
      </c>
      <c r="R226" s="9" t="n">
        <f aca="false">SUM(I226:K226)</f>
        <v>494</v>
      </c>
      <c r="S226" s="9" t="n">
        <f aca="false">SUM(L226:N226)</f>
        <v>0</v>
      </c>
      <c r="T226" s="17" t="n">
        <f aca="false">IF(R226&gt;0,S226/R226-1,"")</f>
        <v>-1</v>
      </c>
      <c r="U226" s="2" t="str">
        <f aca="false">IF(AND(R226=0,S226&gt;0),"H2 Active / No H1 GMV",IF(S226=0,"Lapsed",IF(T226&gt;=Assumptions!$B$36,"Growing",IF(T226&lt;-Assumptions!$B$36,"Declining","Stable"))))</f>
        <v>Lapsed</v>
      </c>
      <c r="V226" s="2" t="n">
        <f aca="false">COUNTIF(I226:N226,"&gt;0")</f>
        <v>3</v>
      </c>
      <c r="W226" s="2" t="str">
        <f aca="false">IF(N226&gt;0,"Feb",IF(M226&gt;0,"Jan",IF(L226&gt;0,"Dec",IF(K226&gt;0,"Nov",IF(J226&gt;0,"Oct","Sep")))))</f>
        <v>Nov</v>
      </c>
      <c r="X226" s="2" t="str">
        <f aca="false">IF(O226&gt;=Assumptions!$B$35,"Key (&gt;=£10k)",IF(O226&gt;=Assumptions!$B$34,"Core (£2k-10k)","Tail (&lt;£2k)"))</f>
        <v>Tail (&lt;£2k)</v>
      </c>
      <c r="Y226" s="21" t="n">
        <f aca="false">INDEX('Scored Accounts'!$Q$2:$Q$301,MATCH(A226,'Scored Accounts'!$A$2:$A$301,0))</f>
        <v>0</v>
      </c>
      <c r="Z226" s="2" t="str">
        <f aca="false">INDEX('Scored Accounts'!$R$2:$R$301,MATCH(A226,'Scored Accounts'!$A$2:$A$301,0))</f>
        <v>Low</v>
      </c>
      <c r="AA226" s="2" t="str">
        <f aca="false">INDEX('Scored Accounts'!$T$2:$T$301,MATCH(A226,'Scored Accounts'!$A$2:$A$301,0))</f>
        <v/>
      </c>
      <c r="AB226" s="2" t="str">
        <f aca="false">IF(Z226="Low","Lower dep / ","Higher dep / ")&amp;IF(O226&gt;=Assumptions!$B$34,"Higher value","Lower value")</f>
        <v>Lower dep / Lower value</v>
      </c>
    </row>
    <row r="227" customFormat="false" ht="15" hidden="false" customHeight="false" outlineLevel="0" collapsed="false">
      <c r="A227" s="2" t="s">
        <v>691</v>
      </c>
      <c r="B227" s="2" t="s">
        <v>1574</v>
      </c>
      <c r="C227" s="2" t="s">
        <v>1640</v>
      </c>
      <c r="D227" s="2" t="s">
        <v>1657</v>
      </c>
      <c r="E227" s="2" t="s">
        <v>1717</v>
      </c>
      <c r="F227" s="2"/>
      <c r="G227" s="2" t="n">
        <v>5</v>
      </c>
      <c r="H227" s="2" t="n">
        <v>2</v>
      </c>
      <c r="I227" s="9" t="n">
        <v>0</v>
      </c>
      <c r="J227" s="9" t="n">
        <v>486</v>
      </c>
      <c r="K227" s="9" t="n">
        <v>0</v>
      </c>
      <c r="L227" s="9" t="n">
        <v>0</v>
      </c>
      <c r="M227" s="9" t="n">
        <v>0</v>
      </c>
      <c r="N227" s="9" t="n">
        <v>0</v>
      </c>
      <c r="O227" s="9" t="n">
        <v>486</v>
      </c>
      <c r="P227" s="2"/>
      <c r="Q227" s="2" t="str">
        <f aca="false">IF(I227&gt;0,ROUND((N227-I227)/I227*100,0),"")</f>
        <v/>
      </c>
      <c r="R227" s="9" t="n">
        <f aca="false">SUM(I227:K227)</f>
        <v>486</v>
      </c>
      <c r="S227" s="9" t="n">
        <f aca="false">SUM(L227:N227)</f>
        <v>0</v>
      </c>
      <c r="T227" s="17" t="n">
        <f aca="false">IF(R227&gt;0,S227/R227-1,"")</f>
        <v>-1</v>
      </c>
      <c r="U227" s="2" t="str">
        <f aca="false">IF(AND(R227=0,S227&gt;0),"H2 Active / No H1 GMV",IF(S227=0,"Lapsed",IF(T227&gt;=Assumptions!$B$36,"Growing",IF(T227&lt;-Assumptions!$B$36,"Declining","Stable"))))</f>
        <v>Lapsed</v>
      </c>
      <c r="V227" s="2" t="n">
        <f aca="false">COUNTIF(I227:N227,"&gt;0")</f>
        <v>1</v>
      </c>
      <c r="W227" s="2" t="str">
        <f aca="false">IF(N227&gt;0,"Feb",IF(M227&gt;0,"Jan",IF(L227&gt;0,"Dec",IF(K227&gt;0,"Nov",IF(J227&gt;0,"Oct","Sep")))))</f>
        <v>Oct</v>
      </c>
      <c r="X227" s="2" t="str">
        <f aca="false">IF(O227&gt;=Assumptions!$B$35,"Key (&gt;=£10k)",IF(O227&gt;=Assumptions!$B$34,"Core (£2k-10k)","Tail (&lt;£2k)"))</f>
        <v>Tail (&lt;£2k)</v>
      </c>
      <c r="Y227" s="21" t="n">
        <f aca="false">INDEX('Scored Accounts'!$Q$2:$Q$301,MATCH(A227,'Scored Accounts'!$A$2:$A$301,0))</f>
        <v>0</v>
      </c>
      <c r="Z227" s="2" t="str">
        <f aca="false">INDEX('Scored Accounts'!$R$2:$R$301,MATCH(A227,'Scored Accounts'!$A$2:$A$301,0))</f>
        <v>Low</v>
      </c>
      <c r="AA227" s="2" t="str">
        <f aca="false">INDEX('Scored Accounts'!$T$2:$T$301,MATCH(A227,'Scored Accounts'!$A$2:$A$301,0))</f>
        <v/>
      </c>
      <c r="AB227" s="2" t="str">
        <f aca="false">IF(Z227="Low","Lower dep / ","Higher dep / ")&amp;IF(O227&gt;=Assumptions!$B$34,"Higher value","Lower value")</f>
        <v>Lower dep / Lower value</v>
      </c>
    </row>
    <row r="228" customFormat="false" ht="15" hidden="false" customHeight="false" outlineLevel="0" collapsed="false">
      <c r="A228" s="2" t="s">
        <v>697</v>
      </c>
      <c r="B228" s="2" t="s">
        <v>1574</v>
      </c>
      <c r="C228" s="2" t="s">
        <v>1640</v>
      </c>
      <c r="D228" s="2" t="s">
        <v>1655</v>
      </c>
      <c r="E228" s="2" t="s">
        <v>1655</v>
      </c>
      <c r="F228" s="2"/>
      <c r="G228" s="2" t="n">
        <v>1</v>
      </c>
      <c r="H228" s="2" t="n">
        <v>1</v>
      </c>
      <c r="I228" s="9" t="n">
        <v>0</v>
      </c>
      <c r="J228" s="9" t="n">
        <v>0</v>
      </c>
      <c r="K228" s="9" t="n">
        <v>0</v>
      </c>
      <c r="L228" s="9" t="n">
        <v>0</v>
      </c>
      <c r="M228" s="9" t="n">
        <v>0</v>
      </c>
      <c r="N228" s="9" t="n">
        <v>461</v>
      </c>
      <c r="O228" s="9" t="n">
        <v>461</v>
      </c>
      <c r="P228" s="2"/>
      <c r="Q228" s="2" t="str">
        <f aca="false">IF(I228&gt;0,ROUND((N228-I228)/I228*100,0),"")</f>
        <v/>
      </c>
      <c r="R228" s="9" t="n">
        <f aca="false">SUM(I228:K228)</f>
        <v>0</v>
      </c>
      <c r="S228" s="9" t="n">
        <f aca="false">SUM(L228:N228)</f>
        <v>461</v>
      </c>
      <c r="T228" s="17" t="str">
        <f aca="false">IF(R228&gt;0,S228/R228-1,"")</f>
        <v/>
      </c>
      <c r="U228" s="2" t="str">
        <f aca="false">IF(AND(R228=0,S228&gt;0),"H2 Active / No H1 GMV",IF(S228=0,"Lapsed",IF(T228&gt;=Assumptions!$B$36,"Growing",IF(T228&lt;-Assumptions!$B$36,"Declining","Stable"))))</f>
        <v>H2 Active / No H1 GMV</v>
      </c>
      <c r="V228" s="2" t="n">
        <f aca="false">COUNTIF(I228:N228,"&gt;0")</f>
        <v>1</v>
      </c>
      <c r="W228" s="2" t="str">
        <f aca="false">IF(N228&gt;0,"Feb",IF(M228&gt;0,"Jan",IF(L228&gt;0,"Dec",IF(K228&gt;0,"Nov",IF(J228&gt;0,"Oct","Sep")))))</f>
        <v>Feb</v>
      </c>
      <c r="X228" s="2" t="str">
        <f aca="false">IF(O228&gt;=Assumptions!$B$35,"Key (&gt;=£10k)",IF(O228&gt;=Assumptions!$B$34,"Core (£2k-10k)","Tail (&lt;£2k)"))</f>
        <v>Tail (&lt;£2k)</v>
      </c>
      <c r="Y228" s="21" t="n">
        <f aca="false">INDEX('Scored Accounts'!$Q$2:$Q$301,MATCH(A228,'Scored Accounts'!$A$2:$A$301,0))</f>
        <v>0</v>
      </c>
      <c r="Z228" s="2" t="str">
        <f aca="false">INDEX('Scored Accounts'!$R$2:$R$301,MATCH(A228,'Scored Accounts'!$A$2:$A$301,0))</f>
        <v>Low</v>
      </c>
      <c r="AA228" s="2" t="str">
        <f aca="false">INDEX('Scored Accounts'!$T$2:$T$301,MATCH(A228,'Scored Accounts'!$A$2:$A$301,0))</f>
        <v/>
      </c>
      <c r="AB228" s="2" t="str">
        <f aca="false">IF(Z228="Low","Lower dep / ","Higher dep / ")&amp;IF(O228&gt;=Assumptions!$B$34,"Higher value","Lower value")</f>
        <v>Lower dep / Lower value</v>
      </c>
    </row>
    <row r="229" customFormat="false" ht="15" hidden="false" customHeight="false" outlineLevel="0" collapsed="false">
      <c r="A229" s="2" t="s">
        <v>701</v>
      </c>
      <c r="B229" s="2" t="s">
        <v>1574</v>
      </c>
      <c r="C229" s="2" t="s">
        <v>1640</v>
      </c>
      <c r="D229" s="2" t="s">
        <v>1653</v>
      </c>
      <c r="E229" s="2" t="s">
        <v>1653</v>
      </c>
      <c r="F229" s="2"/>
      <c r="G229" s="2" t="n">
        <v>1</v>
      </c>
      <c r="H229" s="2" t="n">
        <v>1</v>
      </c>
      <c r="I229" s="9" t="n">
        <v>0</v>
      </c>
      <c r="J229" s="9" t="n">
        <v>0</v>
      </c>
      <c r="K229" s="9" t="n">
        <v>0</v>
      </c>
      <c r="L229" s="9" t="n">
        <v>0</v>
      </c>
      <c r="M229" s="9" t="n">
        <v>0</v>
      </c>
      <c r="N229" s="9" t="n">
        <v>457</v>
      </c>
      <c r="O229" s="9" t="n">
        <v>457</v>
      </c>
      <c r="P229" s="2"/>
      <c r="Q229" s="2" t="str">
        <f aca="false">IF(I229&gt;0,ROUND((N229-I229)/I229*100,0),"")</f>
        <v/>
      </c>
      <c r="R229" s="9" t="n">
        <f aca="false">SUM(I229:K229)</f>
        <v>0</v>
      </c>
      <c r="S229" s="9" t="n">
        <f aca="false">SUM(L229:N229)</f>
        <v>457</v>
      </c>
      <c r="T229" s="17" t="str">
        <f aca="false">IF(R229&gt;0,S229/R229-1,"")</f>
        <v/>
      </c>
      <c r="U229" s="2" t="str">
        <f aca="false">IF(AND(R229=0,S229&gt;0),"H2 Active / No H1 GMV",IF(S229=0,"Lapsed",IF(T229&gt;=Assumptions!$B$36,"Growing",IF(T229&lt;-Assumptions!$B$36,"Declining","Stable"))))</f>
        <v>H2 Active / No H1 GMV</v>
      </c>
      <c r="V229" s="2" t="n">
        <f aca="false">COUNTIF(I229:N229,"&gt;0")</f>
        <v>1</v>
      </c>
      <c r="W229" s="2" t="str">
        <f aca="false">IF(N229&gt;0,"Feb",IF(M229&gt;0,"Jan",IF(L229&gt;0,"Dec",IF(K229&gt;0,"Nov",IF(J229&gt;0,"Oct","Sep")))))</f>
        <v>Feb</v>
      </c>
      <c r="X229" s="2" t="str">
        <f aca="false">IF(O229&gt;=Assumptions!$B$35,"Key (&gt;=£10k)",IF(O229&gt;=Assumptions!$B$34,"Core (£2k-10k)","Tail (&lt;£2k)"))</f>
        <v>Tail (&lt;£2k)</v>
      </c>
      <c r="Y229" s="21" t="n">
        <f aca="false">INDEX('Scored Accounts'!$Q$2:$Q$301,MATCH(A229,'Scored Accounts'!$A$2:$A$301,0))</f>
        <v>0</v>
      </c>
      <c r="Z229" s="2" t="str">
        <f aca="false">INDEX('Scored Accounts'!$R$2:$R$301,MATCH(A229,'Scored Accounts'!$A$2:$A$301,0))</f>
        <v>Low</v>
      </c>
      <c r="AA229" s="2" t="str">
        <f aca="false">INDEX('Scored Accounts'!$T$2:$T$301,MATCH(A229,'Scored Accounts'!$A$2:$A$301,0))</f>
        <v/>
      </c>
      <c r="AB229" s="2" t="str">
        <f aca="false">IF(Z229="Low","Lower dep / ","Higher dep / ")&amp;IF(O229&gt;=Assumptions!$B$34,"Higher value","Lower value")</f>
        <v>Lower dep / Lower value</v>
      </c>
    </row>
    <row r="230" customFormat="false" ht="15" hidden="false" customHeight="false" outlineLevel="0" collapsed="false">
      <c r="A230" s="2" t="s">
        <v>711</v>
      </c>
      <c r="B230" s="2" t="s">
        <v>1574</v>
      </c>
      <c r="C230" s="2" t="s">
        <v>1640</v>
      </c>
      <c r="D230" s="2" t="s">
        <v>1657</v>
      </c>
      <c r="E230" s="2" t="s">
        <v>1729</v>
      </c>
      <c r="F230" s="2"/>
      <c r="G230" s="2" t="n">
        <v>2</v>
      </c>
      <c r="H230" s="2" t="n">
        <v>1</v>
      </c>
      <c r="I230" s="9" t="n">
        <v>0</v>
      </c>
      <c r="J230" s="9" t="n">
        <v>0</v>
      </c>
      <c r="K230" s="9" t="n">
        <v>0</v>
      </c>
      <c r="L230" s="9" t="n">
        <v>0</v>
      </c>
      <c r="M230" s="9" t="n">
        <v>442</v>
      </c>
      <c r="N230" s="9" t="n">
        <v>0</v>
      </c>
      <c r="O230" s="9" t="n">
        <v>442</v>
      </c>
      <c r="P230" s="2"/>
      <c r="Q230" s="2" t="str">
        <f aca="false">IF(I230&gt;0,ROUND((N230-I230)/I230*100,0),"")</f>
        <v/>
      </c>
      <c r="R230" s="9" t="n">
        <f aca="false">SUM(I230:K230)</f>
        <v>0</v>
      </c>
      <c r="S230" s="9" t="n">
        <f aca="false">SUM(L230:N230)</f>
        <v>442</v>
      </c>
      <c r="T230" s="17" t="str">
        <f aca="false">IF(R230&gt;0,S230/R230-1,"")</f>
        <v/>
      </c>
      <c r="U230" s="2" t="str">
        <f aca="false">IF(AND(R230=0,S230&gt;0),"H2 Active / No H1 GMV",IF(S230=0,"Lapsed",IF(T230&gt;=Assumptions!$B$36,"Growing",IF(T230&lt;-Assumptions!$B$36,"Declining","Stable"))))</f>
        <v>H2 Active / No H1 GMV</v>
      </c>
      <c r="V230" s="2" t="n">
        <f aca="false">COUNTIF(I230:N230,"&gt;0")</f>
        <v>1</v>
      </c>
      <c r="W230" s="2" t="str">
        <f aca="false">IF(N230&gt;0,"Feb",IF(M230&gt;0,"Jan",IF(L230&gt;0,"Dec",IF(K230&gt;0,"Nov",IF(J230&gt;0,"Oct","Sep")))))</f>
        <v>Jan</v>
      </c>
      <c r="X230" s="2" t="str">
        <f aca="false">IF(O230&gt;=Assumptions!$B$35,"Key (&gt;=£10k)",IF(O230&gt;=Assumptions!$B$34,"Core (£2k-10k)","Tail (&lt;£2k)"))</f>
        <v>Tail (&lt;£2k)</v>
      </c>
      <c r="Y230" s="21" t="n">
        <f aca="false">INDEX('Scored Accounts'!$Q$2:$Q$301,MATCH(A230,'Scored Accounts'!$A$2:$A$301,0))</f>
        <v>0</v>
      </c>
      <c r="Z230" s="2" t="str">
        <f aca="false">INDEX('Scored Accounts'!$R$2:$R$301,MATCH(A230,'Scored Accounts'!$A$2:$A$301,0))</f>
        <v>Low</v>
      </c>
      <c r="AA230" s="2" t="str">
        <f aca="false">INDEX('Scored Accounts'!$T$2:$T$301,MATCH(A230,'Scored Accounts'!$A$2:$A$301,0))</f>
        <v/>
      </c>
      <c r="AB230" s="2" t="str">
        <f aca="false">IF(Z230="Low","Lower dep / ","Higher dep / ")&amp;IF(O230&gt;=Assumptions!$B$34,"Higher value","Lower value")</f>
        <v>Lower dep / Lower value</v>
      </c>
    </row>
    <row r="231" customFormat="false" ht="15" hidden="false" customHeight="false" outlineLevel="0" collapsed="false">
      <c r="A231" s="2" t="s">
        <v>713</v>
      </c>
      <c r="B231" s="2" t="s">
        <v>1574</v>
      </c>
      <c r="C231" s="2" t="s">
        <v>1640</v>
      </c>
      <c r="D231" s="2" t="s">
        <v>1657</v>
      </c>
      <c r="E231" s="2" t="s">
        <v>1730</v>
      </c>
      <c r="F231" s="2"/>
      <c r="G231" s="2" t="n">
        <v>6</v>
      </c>
      <c r="H231" s="2" t="n">
        <v>3</v>
      </c>
      <c r="I231" s="9" t="n">
        <v>95</v>
      </c>
      <c r="J231" s="9" t="n">
        <v>0</v>
      </c>
      <c r="K231" s="9" t="n">
        <v>94</v>
      </c>
      <c r="L231" s="9" t="n">
        <v>0</v>
      </c>
      <c r="M231" s="9" t="n">
        <v>233</v>
      </c>
      <c r="N231" s="9" t="n">
        <v>0</v>
      </c>
      <c r="O231" s="9" t="n">
        <v>422</v>
      </c>
      <c r="P231" s="2" t="n">
        <v>-100</v>
      </c>
      <c r="Q231" s="2" t="n">
        <f aca="false">IF(I231&gt;0,ROUND((N231-I231)/I231*100,0),"")</f>
        <v>-100</v>
      </c>
      <c r="R231" s="9" t="n">
        <f aca="false">SUM(I231:K231)</f>
        <v>189</v>
      </c>
      <c r="S231" s="9" t="n">
        <f aca="false">SUM(L231:N231)</f>
        <v>233</v>
      </c>
      <c r="T231" s="17" t="n">
        <f aca="false">IF(R231&gt;0,S231/R231-1,"")</f>
        <v>0.232804232804233</v>
      </c>
      <c r="U231" s="2" t="str">
        <f aca="false">IF(AND(R231=0,S231&gt;0),"H2 Active / No H1 GMV",IF(S231=0,"Lapsed",IF(T231&gt;=Assumptions!$B$36,"Growing",IF(T231&lt;-Assumptions!$B$36,"Declining","Stable"))))</f>
        <v>Growing</v>
      </c>
      <c r="V231" s="2" t="n">
        <f aca="false">COUNTIF(I231:N231,"&gt;0")</f>
        <v>3</v>
      </c>
      <c r="W231" s="2" t="str">
        <f aca="false">IF(N231&gt;0,"Feb",IF(M231&gt;0,"Jan",IF(L231&gt;0,"Dec",IF(K231&gt;0,"Nov",IF(J231&gt;0,"Oct","Sep")))))</f>
        <v>Jan</v>
      </c>
      <c r="X231" s="2" t="str">
        <f aca="false">IF(O231&gt;=Assumptions!$B$35,"Key (&gt;=£10k)",IF(O231&gt;=Assumptions!$B$34,"Core (£2k-10k)","Tail (&lt;£2k)"))</f>
        <v>Tail (&lt;£2k)</v>
      </c>
      <c r="Y231" s="21" t="n">
        <f aca="false">INDEX('Scored Accounts'!$Q$2:$Q$301,MATCH(A231,'Scored Accounts'!$A$2:$A$301,0))</f>
        <v>0</v>
      </c>
      <c r="Z231" s="2" t="str">
        <f aca="false">INDEX('Scored Accounts'!$R$2:$R$301,MATCH(A231,'Scored Accounts'!$A$2:$A$301,0))</f>
        <v>Low</v>
      </c>
      <c r="AA231" s="2" t="str">
        <f aca="false">INDEX('Scored Accounts'!$T$2:$T$301,MATCH(A231,'Scored Accounts'!$A$2:$A$301,0))</f>
        <v/>
      </c>
      <c r="AB231" s="2" t="str">
        <f aca="false">IF(Z231="Low","Lower dep / ","Higher dep / ")&amp;IF(O231&gt;=Assumptions!$B$34,"Higher value","Lower value")</f>
        <v>Lower dep / Lower value</v>
      </c>
    </row>
    <row r="232" customFormat="false" ht="15" hidden="false" customHeight="false" outlineLevel="0" collapsed="false">
      <c r="A232" s="2" t="s">
        <v>716</v>
      </c>
      <c r="B232" s="2" t="s">
        <v>1574</v>
      </c>
      <c r="C232" s="2" t="s">
        <v>1640</v>
      </c>
      <c r="D232" s="2" t="s">
        <v>1657</v>
      </c>
      <c r="E232" s="2" t="s">
        <v>1718</v>
      </c>
      <c r="F232" s="2"/>
      <c r="G232" s="2" t="n">
        <v>4</v>
      </c>
      <c r="H232" s="2" t="n">
        <v>2</v>
      </c>
      <c r="I232" s="9" t="n">
        <v>0</v>
      </c>
      <c r="J232" s="9" t="n">
        <v>0</v>
      </c>
      <c r="K232" s="9" t="n">
        <v>127</v>
      </c>
      <c r="L232" s="9" t="n">
        <v>289</v>
      </c>
      <c r="M232" s="9" t="n">
        <v>0</v>
      </c>
      <c r="N232" s="9" t="n">
        <v>0</v>
      </c>
      <c r="O232" s="9" t="n">
        <v>416</v>
      </c>
      <c r="P232" s="2"/>
      <c r="Q232" s="2" t="str">
        <f aca="false">IF(I232&gt;0,ROUND((N232-I232)/I232*100,0),"")</f>
        <v/>
      </c>
      <c r="R232" s="9" t="n">
        <f aca="false">SUM(I232:K232)</f>
        <v>127</v>
      </c>
      <c r="S232" s="9" t="n">
        <f aca="false">SUM(L232:N232)</f>
        <v>289</v>
      </c>
      <c r="T232" s="17" t="n">
        <f aca="false">IF(R232&gt;0,S232/R232-1,"")</f>
        <v>1.2755905511811</v>
      </c>
      <c r="U232" s="2" t="str">
        <f aca="false">IF(AND(R232=0,S232&gt;0),"H2 Active / No H1 GMV",IF(S232=0,"Lapsed",IF(T232&gt;=Assumptions!$B$36,"Growing",IF(T232&lt;-Assumptions!$B$36,"Declining","Stable"))))</f>
        <v>Growing</v>
      </c>
      <c r="V232" s="2" t="n">
        <f aca="false">COUNTIF(I232:N232,"&gt;0")</f>
        <v>2</v>
      </c>
      <c r="W232" s="2" t="str">
        <f aca="false">IF(N232&gt;0,"Feb",IF(M232&gt;0,"Jan",IF(L232&gt;0,"Dec",IF(K232&gt;0,"Nov",IF(J232&gt;0,"Oct","Sep")))))</f>
        <v>Dec</v>
      </c>
      <c r="X232" s="2" t="str">
        <f aca="false">IF(O232&gt;=Assumptions!$B$35,"Key (&gt;=£10k)",IF(O232&gt;=Assumptions!$B$34,"Core (£2k-10k)","Tail (&lt;£2k)"))</f>
        <v>Tail (&lt;£2k)</v>
      </c>
      <c r="Y232" s="21" t="n">
        <f aca="false">INDEX('Scored Accounts'!$Q$2:$Q$301,MATCH(A232,'Scored Accounts'!$A$2:$A$301,0))</f>
        <v>0</v>
      </c>
      <c r="Z232" s="2" t="str">
        <f aca="false">INDEX('Scored Accounts'!$R$2:$R$301,MATCH(A232,'Scored Accounts'!$A$2:$A$301,0))</f>
        <v>Low</v>
      </c>
      <c r="AA232" s="2" t="str">
        <f aca="false">INDEX('Scored Accounts'!$T$2:$T$301,MATCH(A232,'Scored Accounts'!$A$2:$A$301,0))</f>
        <v/>
      </c>
      <c r="AB232" s="2" t="str">
        <f aca="false">IF(Z232="Low","Lower dep / ","Higher dep / ")&amp;IF(O232&gt;=Assumptions!$B$34,"Higher value","Lower value")</f>
        <v>Lower dep / Lower value</v>
      </c>
    </row>
    <row r="233" customFormat="false" ht="15" hidden="false" customHeight="false" outlineLevel="0" collapsed="false">
      <c r="A233" s="2" t="s">
        <v>718</v>
      </c>
      <c r="B233" s="2" t="s">
        <v>1574</v>
      </c>
      <c r="C233" s="2" t="s">
        <v>1640</v>
      </c>
      <c r="D233" s="2" t="s">
        <v>1653</v>
      </c>
      <c r="E233" s="2" t="s">
        <v>1653</v>
      </c>
      <c r="F233" s="2"/>
      <c r="G233" s="2" t="n">
        <v>4</v>
      </c>
      <c r="H233" s="2" t="n">
        <v>1</v>
      </c>
      <c r="I233" s="9" t="n">
        <v>0</v>
      </c>
      <c r="J233" s="9" t="n">
        <v>0</v>
      </c>
      <c r="K233" s="9" t="n">
        <v>399</v>
      </c>
      <c r="L233" s="9" t="n">
        <v>0</v>
      </c>
      <c r="M233" s="9" t="n">
        <v>0</v>
      </c>
      <c r="N233" s="9" t="n">
        <v>0</v>
      </c>
      <c r="O233" s="9" t="n">
        <v>399</v>
      </c>
      <c r="P233" s="2"/>
      <c r="Q233" s="2" t="str">
        <f aca="false">IF(I233&gt;0,ROUND((N233-I233)/I233*100,0),"")</f>
        <v/>
      </c>
      <c r="R233" s="9" t="n">
        <f aca="false">SUM(I233:K233)</f>
        <v>399</v>
      </c>
      <c r="S233" s="9" t="n">
        <f aca="false">SUM(L233:N233)</f>
        <v>0</v>
      </c>
      <c r="T233" s="17" t="n">
        <f aca="false">IF(R233&gt;0,S233/R233-1,"")</f>
        <v>-1</v>
      </c>
      <c r="U233" s="2" t="str">
        <f aca="false">IF(AND(R233=0,S233&gt;0),"H2 Active / No H1 GMV",IF(S233=0,"Lapsed",IF(T233&gt;=Assumptions!$B$36,"Growing",IF(T233&lt;-Assumptions!$B$36,"Declining","Stable"))))</f>
        <v>Lapsed</v>
      </c>
      <c r="V233" s="2" t="n">
        <f aca="false">COUNTIF(I233:N233,"&gt;0")</f>
        <v>1</v>
      </c>
      <c r="W233" s="2" t="str">
        <f aca="false">IF(N233&gt;0,"Feb",IF(M233&gt;0,"Jan",IF(L233&gt;0,"Dec",IF(K233&gt;0,"Nov",IF(J233&gt;0,"Oct","Sep")))))</f>
        <v>Nov</v>
      </c>
      <c r="X233" s="2" t="str">
        <f aca="false">IF(O233&gt;=Assumptions!$B$35,"Key (&gt;=£10k)",IF(O233&gt;=Assumptions!$B$34,"Core (£2k-10k)","Tail (&lt;£2k)"))</f>
        <v>Tail (&lt;£2k)</v>
      </c>
      <c r="Y233" s="21" t="n">
        <f aca="false">INDEX('Scored Accounts'!$Q$2:$Q$301,MATCH(A233,'Scored Accounts'!$A$2:$A$301,0))</f>
        <v>0</v>
      </c>
      <c r="Z233" s="2" t="str">
        <f aca="false">INDEX('Scored Accounts'!$R$2:$R$301,MATCH(A233,'Scored Accounts'!$A$2:$A$301,0))</f>
        <v>Low</v>
      </c>
      <c r="AA233" s="2" t="str">
        <f aca="false">INDEX('Scored Accounts'!$T$2:$T$301,MATCH(A233,'Scored Accounts'!$A$2:$A$301,0))</f>
        <v/>
      </c>
      <c r="AB233" s="2" t="str">
        <f aca="false">IF(Z233="Low","Lower dep / ","Higher dep / ")&amp;IF(O233&gt;=Assumptions!$B$34,"Higher value","Lower value")</f>
        <v>Lower dep / Lower value</v>
      </c>
    </row>
    <row r="234" customFormat="false" ht="15" hidden="false" customHeight="false" outlineLevel="0" collapsed="false">
      <c r="A234" s="2" t="s">
        <v>720</v>
      </c>
      <c r="B234" s="2" t="s">
        <v>1574</v>
      </c>
      <c r="C234" s="2" t="s">
        <v>1640</v>
      </c>
      <c r="D234" s="2" t="s">
        <v>1658</v>
      </c>
      <c r="E234" s="2" t="s">
        <v>1658</v>
      </c>
      <c r="F234" s="2"/>
      <c r="G234" s="2" t="n">
        <v>4</v>
      </c>
      <c r="H234" s="2" t="n">
        <v>2</v>
      </c>
      <c r="I234" s="9" t="n">
        <v>0</v>
      </c>
      <c r="J234" s="9" t="n">
        <v>0</v>
      </c>
      <c r="K234" s="9" t="n">
        <v>392</v>
      </c>
      <c r="L234" s="9" t="n">
        <v>3</v>
      </c>
      <c r="M234" s="9" t="n">
        <v>0</v>
      </c>
      <c r="N234" s="9" t="n">
        <v>0</v>
      </c>
      <c r="O234" s="9" t="n">
        <v>395</v>
      </c>
      <c r="P234" s="2"/>
      <c r="Q234" s="2" t="str">
        <f aca="false">IF(I234&gt;0,ROUND((N234-I234)/I234*100,0),"")</f>
        <v/>
      </c>
      <c r="R234" s="9" t="n">
        <f aca="false">SUM(I234:K234)</f>
        <v>392</v>
      </c>
      <c r="S234" s="9" t="n">
        <f aca="false">SUM(L234:N234)</f>
        <v>3</v>
      </c>
      <c r="T234" s="17" t="n">
        <f aca="false">IF(R234&gt;0,S234/R234-1,"")</f>
        <v>-0.99234693877551</v>
      </c>
      <c r="U234" s="2" t="str">
        <f aca="false">IF(AND(R234=0,S234&gt;0),"H2 Active / No H1 GMV",IF(S234=0,"Lapsed",IF(T234&gt;=Assumptions!$B$36,"Growing",IF(T234&lt;-Assumptions!$B$36,"Declining","Stable"))))</f>
        <v>Declining</v>
      </c>
      <c r="V234" s="2" t="n">
        <f aca="false">COUNTIF(I234:N234,"&gt;0")</f>
        <v>2</v>
      </c>
      <c r="W234" s="2" t="str">
        <f aca="false">IF(N234&gt;0,"Feb",IF(M234&gt;0,"Jan",IF(L234&gt;0,"Dec",IF(K234&gt;0,"Nov",IF(J234&gt;0,"Oct","Sep")))))</f>
        <v>Dec</v>
      </c>
      <c r="X234" s="2" t="str">
        <f aca="false">IF(O234&gt;=Assumptions!$B$35,"Key (&gt;=£10k)",IF(O234&gt;=Assumptions!$B$34,"Core (£2k-10k)","Tail (&lt;£2k)"))</f>
        <v>Tail (&lt;£2k)</v>
      </c>
      <c r="Y234" s="21" t="n">
        <f aca="false">INDEX('Scored Accounts'!$Q$2:$Q$301,MATCH(A234,'Scored Accounts'!$A$2:$A$301,0))</f>
        <v>0</v>
      </c>
      <c r="Z234" s="2" t="str">
        <f aca="false">INDEX('Scored Accounts'!$R$2:$R$301,MATCH(A234,'Scored Accounts'!$A$2:$A$301,0))</f>
        <v>Low</v>
      </c>
      <c r="AA234" s="2" t="str">
        <f aca="false">INDEX('Scored Accounts'!$T$2:$T$301,MATCH(A234,'Scored Accounts'!$A$2:$A$301,0))</f>
        <v/>
      </c>
      <c r="AB234" s="2" t="str">
        <f aca="false">IF(Z234="Low","Lower dep / ","Higher dep / ")&amp;IF(O234&gt;=Assumptions!$B$34,"Higher value","Lower value")</f>
        <v>Lower dep / Lower value</v>
      </c>
    </row>
    <row r="235" customFormat="false" ht="15" hidden="false" customHeight="false" outlineLevel="0" collapsed="false">
      <c r="A235" s="2" t="s">
        <v>722</v>
      </c>
      <c r="B235" s="2" t="s">
        <v>1574</v>
      </c>
      <c r="C235" s="2" t="s">
        <v>1640</v>
      </c>
      <c r="D235" s="2" t="s">
        <v>1653</v>
      </c>
      <c r="E235" s="2" t="s">
        <v>1653</v>
      </c>
      <c r="F235" s="2"/>
      <c r="G235" s="2" t="n">
        <v>1</v>
      </c>
      <c r="H235" s="2" t="n">
        <v>1</v>
      </c>
      <c r="I235" s="9" t="n">
        <v>0</v>
      </c>
      <c r="J235" s="9" t="n">
        <v>0</v>
      </c>
      <c r="K235" s="9" t="n">
        <v>0</v>
      </c>
      <c r="L235" s="9" t="n">
        <v>0</v>
      </c>
      <c r="M235" s="9" t="n">
        <v>0</v>
      </c>
      <c r="N235" s="9" t="n">
        <v>393</v>
      </c>
      <c r="O235" s="9" t="n">
        <v>393</v>
      </c>
      <c r="P235" s="2"/>
      <c r="Q235" s="2" t="str">
        <f aca="false">IF(I235&gt;0,ROUND((N235-I235)/I235*100,0),"")</f>
        <v/>
      </c>
      <c r="R235" s="9" t="n">
        <f aca="false">SUM(I235:K235)</f>
        <v>0</v>
      </c>
      <c r="S235" s="9" t="n">
        <f aca="false">SUM(L235:N235)</f>
        <v>393</v>
      </c>
      <c r="T235" s="17" t="str">
        <f aca="false">IF(R235&gt;0,S235/R235-1,"")</f>
        <v/>
      </c>
      <c r="U235" s="2" t="str">
        <f aca="false">IF(AND(R235=0,S235&gt;0),"H2 Active / No H1 GMV",IF(S235=0,"Lapsed",IF(T235&gt;=Assumptions!$B$36,"Growing",IF(T235&lt;-Assumptions!$B$36,"Declining","Stable"))))</f>
        <v>H2 Active / No H1 GMV</v>
      </c>
      <c r="V235" s="2" t="n">
        <f aca="false">COUNTIF(I235:N235,"&gt;0")</f>
        <v>1</v>
      </c>
      <c r="W235" s="2" t="str">
        <f aca="false">IF(N235&gt;0,"Feb",IF(M235&gt;0,"Jan",IF(L235&gt;0,"Dec",IF(K235&gt;0,"Nov",IF(J235&gt;0,"Oct","Sep")))))</f>
        <v>Feb</v>
      </c>
      <c r="X235" s="2" t="str">
        <f aca="false">IF(O235&gt;=Assumptions!$B$35,"Key (&gt;=£10k)",IF(O235&gt;=Assumptions!$B$34,"Core (£2k-10k)","Tail (&lt;£2k)"))</f>
        <v>Tail (&lt;£2k)</v>
      </c>
      <c r="Y235" s="21" t="n">
        <f aca="false">INDEX('Scored Accounts'!$Q$2:$Q$301,MATCH(A235,'Scored Accounts'!$A$2:$A$301,0))</f>
        <v>0</v>
      </c>
      <c r="Z235" s="2" t="str">
        <f aca="false">INDEX('Scored Accounts'!$R$2:$R$301,MATCH(A235,'Scored Accounts'!$A$2:$A$301,0))</f>
        <v>Low</v>
      </c>
      <c r="AA235" s="2" t="str">
        <f aca="false">INDEX('Scored Accounts'!$T$2:$T$301,MATCH(A235,'Scored Accounts'!$A$2:$A$301,0))</f>
        <v/>
      </c>
      <c r="AB235" s="2" t="str">
        <f aca="false">IF(Z235="Low","Lower dep / ","Higher dep / ")&amp;IF(O235&gt;=Assumptions!$B$34,"Higher value","Lower value")</f>
        <v>Lower dep / Lower value</v>
      </c>
    </row>
    <row r="236" customFormat="false" ht="15" hidden="false" customHeight="false" outlineLevel="0" collapsed="false">
      <c r="A236" s="2" t="s">
        <v>728</v>
      </c>
      <c r="B236" s="2" t="s">
        <v>1574</v>
      </c>
      <c r="C236" s="2" t="s">
        <v>1640</v>
      </c>
      <c r="D236" s="2" t="s">
        <v>1655</v>
      </c>
      <c r="E236" s="2" t="s">
        <v>1655</v>
      </c>
      <c r="F236" s="2"/>
      <c r="G236" s="2" t="n">
        <v>2</v>
      </c>
      <c r="H236" s="2" t="n">
        <v>1</v>
      </c>
      <c r="I236" s="9" t="n">
        <v>0</v>
      </c>
      <c r="J236" s="9" t="n">
        <v>0</v>
      </c>
      <c r="K236" s="9" t="n">
        <v>0</v>
      </c>
      <c r="L236" s="9" t="n">
        <v>0</v>
      </c>
      <c r="M236" s="9" t="n">
        <v>384</v>
      </c>
      <c r="N236" s="9" t="n">
        <v>0</v>
      </c>
      <c r="O236" s="9" t="n">
        <v>384</v>
      </c>
      <c r="P236" s="2"/>
      <c r="Q236" s="2" t="str">
        <f aca="false">IF(I236&gt;0,ROUND((N236-I236)/I236*100,0),"")</f>
        <v/>
      </c>
      <c r="R236" s="9" t="n">
        <f aca="false">SUM(I236:K236)</f>
        <v>0</v>
      </c>
      <c r="S236" s="9" t="n">
        <f aca="false">SUM(L236:N236)</f>
        <v>384</v>
      </c>
      <c r="T236" s="17" t="str">
        <f aca="false">IF(R236&gt;0,S236/R236-1,"")</f>
        <v/>
      </c>
      <c r="U236" s="2" t="str">
        <f aca="false">IF(AND(R236=0,S236&gt;0),"H2 Active / No H1 GMV",IF(S236=0,"Lapsed",IF(T236&gt;=Assumptions!$B$36,"Growing",IF(T236&lt;-Assumptions!$B$36,"Declining","Stable"))))</f>
        <v>H2 Active / No H1 GMV</v>
      </c>
      <c r="V236" s="2" t="n">
        <f aca="false">COUNTIF(I236:N236,"&gt;0")</f>
        <v>1</v>
      </c>
      <c r="W236" s="2" t="str">
        <f aca="false">IF(N236&gt;0,"Feb",IF(M236&gt;0,"Jan",IF(L236&gt;0,"Dec",IF(K236&gt;0,"Nov",IF(J236&gt;0,"Oct","Sep")))))</f>
        <v>Jan</v>
      </c>
      <c r="X236" s="2" t="str">
        <f aca="false">IF(O236&gt;=Assumptions!$B$35,"Key (&gt;=£10k)",IF(O236&gt;=Assumptions!$B$34,"Core (£2k-10k)","Tail (&lt;£2k)"))</f>
        <v>Tail (&lt;£2k)</v>
      </c>
      <c r="Y236" s="21" t="n">
        <f aca="false">INDEX('Scored Accounts'!$Q$2:$Q$301,MATCH(A236,'Scored Accounts'!$A$2:$A$301,0))</f>
        <v>0</v>
      </c>
      <c r="Z236" s="2" t="str">
        <f aca="false">INDEX('Scored Accounts'!$R$2:$R$301,MATCH(A236,'Scored Accounts'!$A$2:$A$301,0))</f>
        <v>Low</v>
      </c>
      <c r="AA236" s="2" t="str">
        <f aca="false">INDEX('Scored Accounts'!$T$2:$T$301,MATCH(A236,'Scored Accounts'!$A$2:$A$301,0))</f>
        <v/>
      </c>
      <c r="AB236" s="2" t="str">
        <f aca="false">IF(Z236="Low","Lower dep / ","Higher dep / ")&amp;IF(O236&gt;=Assumptions!$B$34,"Higher value","Lower value")</f>
        <v>Lower dep / Lower value</v>
      </c>
    </row>
    <row r="237" customFormat="false" ht="15" hidden="false" customHeight="false" outlineLevel="0" collapsed="false">
      <c r="A237" s="2" t="s">
        <v>734</v>
      </c>
      <c r="B237" s="2" t="s">
        <v>1574</v>
      </c>
      <c r="C237" s="2" t="s">
        <v>1640</v>
      </c>
      <c r="D237" s="2" t="s">
        <v>1658</v>
      </c>
      <c r="E237" s="2" t="s">
        <v>1658</v>
      </c>
      <c r="F237" s="2"/>
      <c r="G237" s="2" t="n">
        <v>2</v>
      </c>
      <c r="H237" s="2" t="n">
        <v>1</v>
      </c>
      <c r="I237" s="9" t="n">
        <v>0</v>
      </c>
      <c r="J237" s="9" t="n">
        <v>0</v>
      </c>
      <c r="K237" s="9" t="n">
        <v>0</v>
      </c>
      <c r="L237" s="9" t="n">
        <v>0</v>
      </c>
      <c r="M237" s="9" t="n">
        <v>371</v>
      </c>
      <c r="N237" s="9" t="n">
        <v>0</v>
      </c>
      <c r="O237" s="9" t="n">
        <v>371</v>
      </c>
      <c r="P237" s="2"/>
      <c r="Q237" s="2" t="str">
        <f aca="false">IF(I237&gt;0,ROUND((N237-I237)/I237*100,0),"")</f>
        <v/>
      </c>
      <c r="R237" s="9" t="n">
        <f aca="false">SUM(I237:K237)</f>
        <v>0</v>
      </c>
      <c r="S237" s="9" t="n">
        <f aca="false">SUM(L237:N237)</f>
        <v>371</v>
      </c>
      <c r="T237" s="17" t="str">
        <f aca="false">IF(R237&gt;0,S237/R237-1,"")</f>
        <v/>
      </c>
      <c r="U237" s="2" t="str">
        <f aca="false">IF(AND(R237=0,S237&gt;0),"H2 Active / No H1 GMV",IF(S237=0,"Lapsed",IF(T237&gt;=Assumptions!$B$36,"Growing",IF(T237&lt;-Assumptions!$B$36,"Declining","Stable"))))</f>
        <v>H2 Active / No H1 GMV</v>
      </c>
      <c r="V237" s="2" t="n">
        <f aca="false">COUNTIF(I237:N237,"&gt;0")</f>
        <v>1</v>
      </c>
      <c r="W237" s="2" t="str">
        <f aca="false">IF(N237&gt;0,"Feb",IF(M237&gt;0,"Jan",IF(L237&gt;0,"Dec",IF(K237&gt;0,"Nov",IF(J237&gt;0,"Oct","Sep")))))</f>
        <v>Jan</v>
      </c>
      <c r="X237" s="2" t="str">
        <f aca="false">IF(O237&gt;=Assumptions!$B$35,"Key (&gt;=£10k)",IF(O237&gt;=Assumptions!$B$34,"Core (£2k-10k)","Tail (&lt;£2k)"))</f>
        <v>Tail (&lt;£2k)</v>
      </c>
      <c r="Y237" s="21" t="n">
        <f aca="false">INDEX('Scored Accounts'!$Q$2:$Q$301,MATCH(A237,'Scored Accounts'!$A$2:$A$301,0))</f>
        <v>0</v>
      </c>
      <c r="Z237" s="2" t="str">
        <f aca="false">INDEX('Scored Accounts'!$R$2:$R$301,MATCH(A237,'Scored Accounts'!$A$2:$A$301,0))</f>
        <v>Low</v>
      </c>
      <c r="AA237" s="2" t="str">
        <f aca="false">INDEX('Scored Accounts'!$T$2:$T$301,MATCH(A237,'Scored Accounts'!$A$2:$A$301,0))</f>
        <v/>
      </c>
      <c r="AB237" s="2" t="str">
        <f aca="false">IF(Z237="Low","Lower dep / ","Higher dep / ")&amp;IF(O237&gt;=Assumptions!$B$34,"Higher value","Lower value")</f>
        <v>Lower dep / Lower value</v>
      </c>
    </row>
    <row r="238" customFormat="false" ht="15" hidden="false" customHeight="false" outlineLevel="0" collapsed="false">
      <c r="A238" s="2" t="s">
        <v>736</v>
      </c>
      <c r="B238" s="2" t="s">
        <v>1574</v>
      </c>
      <c r="C238" s="2" t="s">
        <v>1640</v>
      </c>
      <c r="D238" s="2" t="s">
        <v>1657</v>
      </c>
      <c r="E238" s="2" t="s">
        <v>1723</v>
      </c>
      <c r="F238" s="2"/>
      <c r="G238" s="2" t="n">
        <v>2</v>
      </c>
      <c r="H238" s="2" t="n">
        <v>1</v>
      </c>
      <c r="I238" s="9" t="n">
        <v>0</v>
      </c>
      <c r="J238" s="9" t="n">
        <v>0</v>
      </c>
      <c r="K238" s="9" t="n">
        <v>0</v>
      </c>
      <c r="L238" s="9" t="n">
        <v>0</v>
      </c>
      <c r="M238" s="9" t="n">
        <v>371</v>
      </c>
      <c r="N238" s="9" t="n">
        <v>0</v>
      </c>
      <c r="O238" s="9" t="n">
        <v>371</v>
      </c>
      <c r="P238" s="2"/>
      <c r="Q238" s="2" t="str">
        <f aca="false">IF(I238&gt;0,ROUND((N238-I238)/I238*100,0),"")</f>
        <v/>
      </c>
      <c r="R238" s="9" t="n">
        <f aca="false">SUM(I238:K238)</f>
        <v>0</v>
      </c>
      <c r="S238" s="9" t="n">
        <f aca="false">SUM(L238:N238)</f>
        <v>371</v>
      </c>
      <c r="T238" s="17" t="str">
        <f aca="false">IF(R238&gt;0,S238/R238-1,"")</f>
        <v/>
      </c>
      <c r="U238" s="2" t="str">
        <f aca="false">IF(AND(R238=0,S238&gt;0),"H2 Active / No H1 GMV",IF(S238=0,"Lapsed",IF(T238&gt;=Assumptions!$B$36,"Growing",IF(T238&lt;-Assumptions!$B$36,"Declining","Stable"))))</f>
        <v>H2 Active / No H1 GMV</v>
      </c>
      <c r="V238" s="2" t="n">
        <f aca="false">COUNTIF(I238:N238,"&gt;0")</f>
        <v>1</v>
      </c>
      <c r="W238" s="2" t="str">
        <f aca="false">IF(N238&gt;0,"Feb",IF(M238&gt;0,"Jan",IF(L238&gt;0,"Dec",IF(K238&gt;0,"Nov",IF(J238&gt;0,"Oct","Sep")))))</f>
        <v>Jan</v>
      </c>
      <c r="X238" s="2" t="str">
        <f aca="false">IF(O238&gt;=Assumptions!$B$35,"Key (&gt;=£10k)",IF(O238&gt;=Assumptions!$B$34,"Core (£2k-10k)","Tail (&lt;£2k)"))</f>
        <v>Tail (&lt;£2k)</v>
      </c>
      <c r="Y238" s="21" t="n">
        <f aca="false">INDEX('Scored Accounts'!$Q$2:$Q$301,MATCH(A238,'Scored Accounts'!$A$2:$A$301,0))</f>
        <v>0</v>
      </c>
      <c r="Z238" s="2" t="str">
        <f aca="false">INDEX('Scored Accounts'!$R$2:$R$301,MATCH(A238,'Scored Accounts'!$A$2:$A$301,0))</f>
        <v>Low</v>
      </c>
      <c r="AA238" s="2" t="str">
        <f aca="false">INDEX('Scored Accounts'!$T$2:$T$301,MATCH(A238,'Scored Accounts'!$A$2:$A$301,0))</f>
        <v/>
      </c>
      <c r="AB238" s="2" t="str">
        <f aca="false">IF(Z238="Low","Lower dep / ","Higher dep / ")&amp;IF(O238&gt;=Assumptions!$B$34,"Higher value","Lower value")</f>
        <v>Lower dep / Lower value</v>
      </c>
    </row>
    <row r="239" customFormat="false" ht="15" hidden="false" customHeight="false" outlineLevel="0" collapsed="false">
      <c r="A239" s="2" t="s">
        <v>748</v>
      </c>
      <c r="B239" s="2" t="s">
        <v>1574</v>
      </c>
      <c r="C239" s="2" t="s">
        <v>1640</v>
      </c>
      <c r="D239" s="2" t="s">
        <v>1657</v>
      </c>
      <c r="E239" s="2" t="s">
        <v>1731</v>
      </c>
      <c r="F239" s="2"/>
      <c r="G239" s="2" t="n">
        <v>2</v>
      </c>
      <c r="H239" s="2" t="n">
        <v>1</v>
      </c>
      <c r="I239" s="9" t="n">
        <v>0</v>
      </c>
      <c r="J239" s="9" t="n">
        <v>0</v>
      </c>
      <c r="K239" s="9" t="n">
        <v>0</v>
      </c>
      <c r="L239" s="9" t="n">
        <v>0</v>
      </c>
      <c r="M239" s="9" t="n">
        <v>353</v>
      </c>
      <c r="N239" s="9" t="n">
        <v>0</v>
      </c>
      <c r="O239" s="9" t="n">
        <v>353</v>
      </c>
      <c r="P239" s="2"/>
      <c r="Q239" s="2" t="str">
        <f aca="false">IF(I239&gt;0,ROUND((N239-I239)/I239*100,0),"")</f>
        <v/>
      </c>
      <c r="R239" s="9" t="n">
        <f aca="false">SUM(I239:K239)</f>
        <v>0</v>
      </c>
      <c r="S239" s="9" t="n">
        <f aca="false">SUM(L239:N239)</f>
        <v>353</v>
      </c>
      <c r="T239" s="17" t="str">
        <f aca="false">IF(R239&gt;0,S239/R239-1,"")</f>
        <v/>
      </c>
      <c r="U239" s="2" t="str">
        <f aca="false">IF(AND(R239=0,S239&gt;0),"H2 Active / No H1 GMV",IF(S239=0,"Lapsed",IF(T239&gt;=Assumptions!$B$36,"Growing",IF(T239&lt;-Assumptions!$B$36,"Declining","Stable"))))</f>
        <v>H2 Active / No H1 GMV</v>
      </c>
      <c r="V239" s="2" t="n">
        <f aca="false">COUNTIF(I239:N239,"&gt;0")</f>
        <v>1</v>
      </c>
      <c r="W239" s="2" t="str">
        <f aca="false">IF(N239&gt;0,"Feb",IF(M239&gt;0,"Jan",IF(L239&gt;0,"Dec",IF(K239&gt;0,"Nov",IF(J239&gt;0,"Oct","Sep")))))</f>
        <v>Jan</v>
      </c>
      <c r="X239" s="2" t="str">
        <f aca="false">IF(O239&gt;=Assumptions!$B$35,"Key (&gt;=£10k)",IF(O239&gt;=Assumptions!$B$34,"Core (£2k-10k)","Tail (&lt;£2k)"))</f>
        <v>Tail (&lt;£2k)</v>
      </c>
      <c r="Y239" s="21" t="n">
        <f aca="false">INDEX('Scored Accounts'!$Q$2:$Q$301,MATCH(A239,'Scored Accounts'!$A$2:$A$301,0))</f>
        <v>0</v>
      </c>
      <c r="Z239" s="2" t="str">
        <f aca="false">INDEX('Scored Accounts'!$R$2:$R$301,MATCH(A239,'Scored Accounts'!$A$2:$A$301,0))</f>
        <v>Low</v>
      </c>
      <c r="AA239" s="2" t="str">
        <f aca="false">INDEX('Scored Accounts'!$T$2:$T$301,MATCH(A239,'Scored Accounts'!$A$2:$A$301,0))</f>
        <v/>
      </c>
      <c r="AB239" s="2" t="str">
        <f aca="false">IF(Z239="Low","Lower dep / ","Higher dep / ")&amp;IF(O239&gt;=Assumptions!$B$34,"Higher value","Lower value")</f>
        <v>Lower dep / Lower value</v>
      </c>
    </row>
    <row r="240" customFormat="false" ht="15" hidden="false" customHeight="false" outlineLevel="0" collapsed="false">
      <c r="A240" s="2" t="s">
        <v>752</v>
      </c>
      <c r="B240" s="2" t="s">
        <v>1574</v>
      </c>
      <c r="C240" s="2" t="s">
        <v>1640</v>
      </c>
      <c r="D240" s="2" t="s">
        <v>1654</v>
      </c>
      <c r="E240" s="2" t="s">
        <v>1654</v>
      </c>
      <c r="F240" s="2"/>
      <c r="G240" s="2" t="n">
        <v>4</v>
      </c>
      <c r="H240" s="2" t="n">
        <v>1</v>
      </c>
      <c r="I240" s="9" t="n">
        <v>0</v>
      </c>
      <c r="J240" s="9" t="n">
        <v>0</v>
      </c>
      <c r="K240" s="9" t="n">
        <v>345</v>
      </c>
      <c r="L240" s="9" t="n">
        <v>0</v>
      </c>
      <c r="M240" s="9" t="n">
        <v>0</v>
      </c>
      <c r="N240" s="9" t="n">
        <v>0</v>
      </c>
      <c r="O240" s="9" t="n">
        <v>345</v>
      </c>
      <c r="P240" s="2"/>
      <c r="Q240" s="2" t="str">
        <f aca="false">IF(I240&gt;0,ROUND((N240-I240)/I240*100,0),"")</f>
        <v/>
      </c>
      <c r="R240" s="9" t="n">
        <f aca="false">SUM(I240:K240)</f>
        <v>345</v>
      </c>
      <c r="S240" s="9" t="n">
        <f aca="false">SUM(L240:N240)</f>
        <v>0</v>
      </c>
      <c r="T240" s="17" t="n">
        <f aca="false">IF(R240&gt;0,S240/R240-1,"")</f>
        <v>-1</v>
      </c>
      <c r="U240" s="2" t="str">
        <f aca="false">IF(AND(R240=0,S240&gt;0),"H2 Active / No H1 GMV",IF(S240=0,"Lapsed",IF(T240&gt;=Assumptions!$B$36,"Growing",IF(T240&lt;-Assumptions!$B$36,"Declining","Stable"))))</f>
        <v>Lapsed</v>
      </c>
      <c r="V240" s="2" t="n">
        <f aca="false">COUNTIF(I240:N240,"&gt;0")</f>
        <v>1</v>
      </c>
      <c r="W240" s="2" t="str">
        <f aca="false">IF(N240&gt;0,"Feb",IF(M240&gt;0,"Jan",IF(L240&gt;0,"Dec",IF(K240&gt;0,"Nov",IF(J240&gt;0,"Oct","Sep")))))</f>
        <v>Nov</v>
      </c>
      <c r="X240" s="2" t="str">
        <f aca="false">IF(O240&gt;=Assumptions!$B$35,"Key (&gt;=£10k)",IF(O240&gt;=Assumptions!$B$34,"Core (£2k-10k)","Tail (&lt;£2k)"))</f>
        <v>Tail (&lt;£2k)</v>
      </c>
      <c r="Y240" s="21" t="n">
        <f aca="false">INDEX('Scored Accounts'!$Q$2:$Q$301,MATCH(A240,'Scored Accounts'!$A$2:$A$301,0))</f>
        <v>0</v>
      </c>
      <c r="Z240" s="2" t="str">
        <f aca="false">INDEX('Scored Accounts'!$R$2:$R$301,MATCH(A240,'Scored Accounts'!$A$2:$A$301,0))</f>
        <v>Low</v>
      </c>
      <c r="AA240" s="2" t="str">
        <f aca="false">INDEX('Scored Accounts'!$T$2:$T$301,MATCH(A240,'Scored Accounts'!$A$2:$A$301,0))</f>
        <v/>
      </c>
      <c r="AB240" s="2" t="str">
        <f aca="false">IF(Z240="Low","Lower dep / ","Higher dep / ")&amp;IF(O240&gt;=Assumptions!$B$34,"Higher value","Lower value")</f>
        <v>Lower dep / Lower value</v>
      </c>
    </row>
    <row r="241" customFormat="false" ht="15" hidden="false" customHeight="false" outlineLevel="0" collapsed="false">
      <c r="A241" s="2" t="s">
        <v>756</v>
      </c>
      <c r="B241" s="2" t="s">
        <v>1574</v>
      </c>
      <c r="C241" s="2" t="s">
        <v>1640</v>
      </c>
      <c r="D241" s="2" t="s">
        <v>1653</v>
      </c>
      <c r="E241" s="2" t="s">
        <v>1653</v>
      </c>
      <c r="F241" s="2"/>
      <c r="G241" s="2" t="n">
        <v>2</v>
      </c>
      <c r="H241" s="2" t="n">
        <v>1</v>
      </c>
      <c r="I241" s="9" t="n">
        <v>0</v>
      </c>
      <c r="J241" s="9" t="n">
        <v>0</v>
      </c>
      <c r="K241" s="9" t="n">
        <v>0</v>
      </c>
      <c r="L241" s="9" t="n">
        <v>0</v>
      </c>
      <c r="M241" s="9" t="n">
        <v>337</v>
      </c>
      <c r="N241" s="9" t="n">
        <v>0</v>
      </c>
      <c r="O241" s="9" t="n">
        <v>337</v>
      </c>
      <c r="P241" s="2"/>
      <c r="Q241" s="2" t="str">
        <f aca="false">IF(I241&gt;0,ROUND((N241-I241)/I241*100,0),"")</f>
        <v/>
      </c>
      <c r="R241" s="9" t="n">
        <f aca="false">SUM(I241:K241)</f>
        <v>0</v>
      </c>
      <c r="S241" s="9" t="n">
        <f aca="false">SUM(L241:N241)</f>
        <v>337</v>
      </c>
      <c r="T241" s="17" t="str">
        <f aca="false">IF(R241&gt;0,S241/R241-1,"")</f>
        <v/>
      </c>
      <c r="U241" s="2" t="str">
        <f aca="false">IF(AND(R241=0,S241&gt;0),"H2 Active / No H1 GMV",IF(S241=0,"Lapsed",IF(T241&gt;=Assumptions!$B$36,"Growing",IF(T241&lt;-Assumptions!$B$36,"Declining","Stable"))))</f>
        <v>H2 Active / No H1 GMV</v>
      </c>
      <c r="V241" s="2" t="n">
        <f aca="false">COUNTIF(I241:N241,"&gt;0")</f>
        <v>1</v>
      </c>
      <c r="W241" s="2" t="str">
        <f aca="false">IF(N241&gt;0,"Feb",IF(M241&gt;0,"Jan",IF(L241&gt;0,"Dec",IF(K241&gt;0,"Nov",IF(J241&gt;0,"Oct","Sep")))))</f>
        <v>Jan</v>
      </c>
      <c r="X241" s="2" t="str">
        <f aca="false">IF(O241&gt;=Assumptions!$B$35,"Key (&gt;=£10k)",IF(O241&gt;=Assumptions!$B$34,"Core (£2k-10k)","Tail (&lt;£2k)"))</f>
        <v>Tail (&lt;£2k)</v>
      </c>
      <c r="Y241" s="21" t="n">
        <f aca="false">INDEX('Scored Accounts'!$Q$2:$Q$301,MATCH(A241,'Scored Accounts'!$A$2:$A$301,0))</f>
        <v>0</v>
      </c>
      <c r="Z241" s="2" t="str">
        <f aca="false">INDEX('Scored Accounts'!$R$2:$R$301,MATCH(A241,'Scored Accounts'!$A$2:$A$301,0))</f>
        <v>Low</v>
      </c>
      <c r="AA241" s="2" t="str">
        <f aca="false">INDEX('Scored Accounts'!$T$2:$T$301,MATCH(A241,'Scored Accounts'!$A$2:$A$301,0))</f>
        <v/>
      </c>
      <c r="AB241" s="2" t="str">
        <f aca="false">IF(Z241="Low","Lower dep / ","Higher dep / ")&amp;IF(O241&gt;=Assumptions!$B$34,"Higher value","Lower value")</f>
        <v>Lower dep / Lower value</v>
      </c>
    </row>
    <row r="242" customFormat="false" ht="15" hidden="false" customHeight="false" outlineLevel="0" collapsed="false">
      <c r="A242" s="2" t="s">
        <v>758</v>
      </c>
      <c r="B242" s="2" t="s">
        <v>1574</v>
      </c>
      <c r="C242" s="2" t="s">
        <v>1640</v>
      </c>
      <c r="D242" s="2" t="s">
        <v>1657</v>
      </c>
      <c r="E242" s="2" t="s">
        <v>1717</v>
      </c>
      <c r="F242" s="2"/>
      <c r="G242" s="2" t="n">
        <v>4</v>
      </c>
      <c r="H242" s="2" t="n">
        <v>1</v>
      </c>
      <c r="I242" s="9" t="n">
        <v>0</v>
      </c>
      <c r="J242" s="9" t="n">
        <v>0</v>
      </c>
      <c r="K242" s="9" t="n">
        <v>336</v>
      </c>
      <c r="L242" s="9" t="n">
        <v>0</v>
      </c>
      <c r="M242" s="9" t="n">
        <v>0</v>
      </c>
      <c r="N242" s="9" t="n">
        <v>0</v>
      </c>
      <c r="O242" s="9" t="n">
        <v>336</v>
      </c>
      <c r="P242" s="2"/>
      <c r="Q242" s="2" t="str">
        <f aca="false">IF(I242&gt;0,ROUND((N242-I242)/I242*100,0),"")</f>
        <v/>
      </c>
      <c r="R242" s="9" t="n">
        <f aca="false">SUM(I242:K242)</f>
        <v>336</v>
      </c>
      <c r="S242" s="9" t="n">
        <f aca="false">SUM(L242:N242)</f>
        <v>0</v>
      </c>
      <c r="T242" s="17" t="n">
        <f aca="false">IF(R242&gt;0,S242/R242-1,"")</f>
        <v>-1</v>
      </c>
      <c r="U242" s="2" t="str">
        <f aca="false">IF(AND(R242=0,S242&gt;0),"H2 Active / No H1 GMV",IF(S242=0,"Lapsed",IF(T242&gt;=Assumptions!$B$36,"Growing",IF(T242&lt;-Assumptions!$B$36,"Declining","Stable"))))</f>
        <v>Lapsed</v>
      </c>
      <c r="V242" s="2" t="n">
        <f aca="false">COUNTIF(I242:N242,"&gt;0")</f>
        <v>1</v>
      </c>
      <c r="W242" s="2" t="str">
        <f aca="false">IF(N242&gt;0,"Feb",IF(M242&gt;0,"Jan",IF(L242&gt;0,"Dec",IF(K242&gt;0,"Nov",IF(J242&gt;0,"Oct","Sep")))))</f>
        <v>Nov</v>
      </c>
      <c r="X242" s="2" t="str">
        <f aca="false">IF(O242&gt;=Assumptions!$B$35,"Key (&gt;=£10k)",IF(O242&gt;=Assumptions!$B$34,"Core (£2k-10k)","Tail (&lt;£2k)"))</f>
        <v>Tail (&lt;£2k)</v>
      </c>
      <c r="Y242" s="21" t="n">
        <f aca="false">INDEX('Scored Accounts'!$Q$2:$Q$301,MATCH(A242,'Scored Accounts'!$A$2:$A$301,0))</f>
        <v>0</v>
      </c>
      <c r="Z242" s="2" t="str">
        <f aca="false">INDEX('Scored Accounts'!$R$2:$R$301,MATCH(A242,'Scored Accounts'!$A$2:$A$301,0))</f>
        <v>Low</v>
      </c>
      <c r="AA242" s="2" t="str">
        <f aca="false">INDEX('Scored Accounts'!$T$2:$T$301,MATCH(A242,'Scored Accounts'!$A$2:$A$301,0))</f>
        <v/>
      </c>
      <c r="AB242" s="2" t="str">
        <f aca="false">IF(Z242="Low","Lower dep / ","Higher dep / ")&amp;IF(O242&gt;=Assumptions!$B$34,"Higher value","Lower value")</f>
        <v>Lower dep / Lower value</v>
      </c>
    </row>
    <row r="243" customFormat="false" ht="15" hidden="false" customHeight="false" outlineLevel="0" collapsed="false">
      <c r="A243" s="2" t="s">
        <v>760</v>
      </c>
      <c r="B243" s="2" t="s">
        <v>1574</v>
      </c>
      <c r="C243" s="2" t="s">
        <v>1640</v>
      </c>
      <c r="D243" s="2" t="s">
        <v>1657</v>
      </c>
      <c r="E243" s="2" t="s">
        <v>1717</v>
      </c>
      <c r="F243" s="2"/>
      <c r="G243" s="2" t="n">
        <v>2</v>
      </c>
      <c r="H243" s="2" t="n">
        <v>1</v>
      </c>
      <c r="I243" s="9" t="n">
        <v>0</v>
      </c>
      <c r="J243" s="9" t="n">
        <v>0</v>
      </c>
      <c r="K243" s="9" t="n">
        <v>0</v>
      </c>
      <c r="L243" s="9" t="n">
        <v>0</v>
      </c>
      <c r="M243" s="9" t="n">
        <v>332</v>
      </c>
      <c r="N243" s="9" t="n">
        <v>0</v>
      </c>
      <c r="O243" s="9" t="n">
        <v>332</v>
      </c>
      <c r="P243" s="2"/>
      <c r="Q243" s="2" t="str">
        <f aca="false">IF(I243&gt;0,ROUND((N243-I243)/I243*100,0),"")</f>
        <v/>
      </c>
      <c r="R243" s="9" t="n">
        <f aca="false">SUM(I243:K243)</f>
        <v>0</v>
      </c>
      <c r="S243" s="9" t="n">
        <f aca="false">SUM(L243:N243)</f>
        <v>332</v>
      </c>
      <c r="T243" s="17" t="str">
        <f aca="false">IF(R243&gt;0,S243/R243-1,"")</f>
        <v/>
      </c>
      <c r="U243" s="2" t="str">
        <f aca="false">IF(AND(R243=0,S243&gt;0),"H2 Active / No H1 GMV",IF(S243=0,"Lapsed",IF(T243&gt;=Assumptions!$B$36,"Growing",IF(T243&lt;-Assumptions!$B$36,"Declining","Stable"))))</f>
        <v>H2 Active / No H1 GMV</v>
      </c>
      <c r="V243" s="2" t="n">
        <f aca="false">COUNTIF(I243:N243,"&gt;0")</f>
        <v>1</v>
      </c>
      <c r="W243" s="2" t="str">
        <f aca="false">IF(N243&gt;0,"Feb",IF(M243&gt;0,"Jan",IF(L243&gt;0,"Dec",IF(K243&gt;0,"Nov",IF(J243&gt;0,"Oct","Sep")))))</f>
        <v>Jan</v>
      </c>
      <c r="X243" s="2" t="str">
        <f aca="false">IF(O243&gt;=Assumptions!$B$35,"Key (&gt;=£10k)",IF(O243&gt;=Assumptions!$B$34,"Core (£2k-10k)","Tail (&lt;£2k)"))</f>
        <v>Tail (&lt;£2k)</v>
      </c>
      <c r="Y243" s="21" t="n">
        <f aca="false">INDEX('Scored Accounts'!$Q$2:$Q$301,MATCH(A243,'Scored Accounts'!$A$2:$A$301,0))</f>
        <v>0</v>
      </c>
      <c r="Z243" s="2" t="str">
        <f aca="false">INDEX('Scored Accounts'!$R$2:$R$301,MATCH(A243,'Scored Accounts'!$A$2:$A$301,0))</f>
        <v>Low</v>
      </c>
      <c r="AA243" s="2" t="str">
        <f aca="false">INDEX('Scored Accounts'!$T$2:$T$301,MATCH(A243,'Scored Accounts'!$A$2:$A$301,0))</f>
        <v/>
      </c>
      <c r="AB243" s="2" t="str">
        <f aca="false">IF(Z243="Low","Lower dep / ","Higher dep / ")&amp;IF(O243&gt;=Assumptions!$B$34,"Higher value","Lower value")</f>
        <v>Lower dep / Lower value</v>
      </c>
    </row>
    <row r="244" customFormat="false" ht="15" hidden="false" customHeight="false" outlineLevel="0" collapsed="false">
      <c r="A244" s="2" t="s">
        <v>766</v>
      </c>
      <c r="B244" s="2" t="s">
        <v>1574</v>
      </c>
      <c r="C244" s="2" t="s">
        <v>1640</v>
      </c>
      <c r="D244" s="2" t="s">
        <v>1658</v>
      </c>
      <c r="E244" s="2" t="s">
        <v>1658</v>
      </c>
      <c r="F244" s="2"/>
      <c r="G244" s="2" t="n">
        <v>2</v>
      </c>
      <c r="H244" s="2" t="n">
        <v>1</v>
      </c>
      <c r="I244" s="9" t="n">
        <v>0</v>
      </c>
      <c r="J244" s="9" t="n">
        <v>0</v>
      </c>
      <c r="K244" s="9" t="n">
        <v>0</v>
      </c>
      <c r="L244" s="9" t="n">
        <v>0</v>
      </c>
      <c r="M244" s="9" t="n">
        <v>322</v>
      </c>
      <c r="N244" s="9" t="n">
        <v>0</v>
      </c>
      <c r="O244" s="9" t="n">
        <v>322</v>
      </c>
      <c r="P244" s="2"/>
      <c r="Q244" s="2" t="str">
        <f aca="false">IF(I244&gt;0,ROUND((N244-I244)/I244*100,0),"")</f>
        <v/>
      </c>
      <c r="R244" s="9" t="n">
        <f aca="false">SUM(I244:K244)</f>
        <v>0</v>
      </c>
      <c r="S244" s="9" t="n">
        <f aca="false">SUM(L244:N244)</f>
        <v>322</v>
      </c>
      <c r="T244" s="17" t="str">
        <f aca="false">IF(R244&gt;0,S244/R244-1,"")</f>
        <v/>
      </c>
      <c r="U244" s="2" t="str">
        <f aca="false">IF(AND(R244=0,S244&gt;0),"H2 Active / No H1 GMV",IF(S244=0,"Lapsed",IF(T244&gt;=Assumptions!$B$36,"Growing",IF(T244&lt;-Assumptions!$B$36,"Declining","Stable"))))</f>
        <v>H2 Active / No H1 GMV</v>
      </c>
      <c r="V244" s="2" t="n">
        <f aca="false">COUNTIF(I244:N244,"&gt;0")</f>
        <v>1</v>
      </c>
      <c r="W244" s="2" t="str">
        <f aca="false">IF(N244&gt;0,"Feb",IF(M244&gt;0,"Jan",IF(L244&gt;0,"Dec",IF(K244&gt;0,"Nov",IF(J244&gt;0,"Oct","Sep")))))</f>
        <v>Jan</v>
      </c>
      <c r="X244" s="2" t="str">
        <f aca="false">IF(O244&gt;=Assumptions!$B$35,"Key (&gt;=£10k)",IF(O244&gt;=Assumptions!$B$34,"Core (£2k-10k)","Tail (&lt;£2k)"))</f>
        <v>Tail (&lt;£2k)</v>
      </c>
      <c r="Y244" s="21" t="n">
        <f aca="false">INDEX('Scored Accounts'!$Q$2:$Q$301,MATCH(A244,'Scored Accounts'!$A$2:$A$301,0))</f>
        <v>0</v>
      </c>
      <c r="Z244" s="2" t="str">
        <f aca="false">INDEX('Scored Accounts'!$R$2:$R$301,MATCH(A244,'Scored Accounts'!$A$2:$A$301,0))</f>
        <v>Low</v>
      </c>
      <c r="AA244" s="2" t="str">
        <f aca="false">INDEX('Scored Accounts'!$T$2:$T$301,MATCH(A244,'Scored Accounts'!$A$2:$A$301,0))</f>
        <v/>
      </c>
      <c r="AB244" s="2" t="str">
        <f aca="false">IF(Z244="Low","Lower dep / ","Higher dep / ")&amp;IF(O244&gt;=Assumptions!$B$34,"Higher value","Lower value")</f>
        <v>Lower dep / Lower value</v>
      </c>
    </row>
    <row r="245" customFormat="false" ht="15" hidden="false" customHeight="false" outlineLevel="0" collapsed="false">
      <c r="A245" s="2" t="s">
        <v>770</v>
      </c>
      <c r="B245" s="2" t="s">
        <v>1574</v>
      </c>
      <c r="C245" s="2" t="s">
        <v>1640</v>
      </c>
      <c r="D245" s="2" t="s">
        <v>1653</v>
      </c>
      <c r="E245" s="2" t="s">
        <v>1653</v>
      </c>
      <c r="F245" s="2"/>
      <c r="G245" s="2" t="n">
        <v>5</v>
      </c>
      <c r="H245" s="2" t="n">
        <v>1</v>
      </c>
      <c r="I245" s="9" t="n">
        <v>0</v>
      </c>
      <c r="J245" s="9" t="n">
        <v>316</v>
      </c>
      <c r="K245" s="9" t="n">
        <v>0</v>
      </c>
      <c r="L245" s="9" t="n">
        <v>0</v>
      </c>
      <c r="M245" s="9" t="n">
        <v>0</v>
      </c>
      <c r="N245" s="9" t="n">
        <v>0</v>
      </c>
      <c r="O245" s="9" t="n">
        <v>316</v>
      </c>
      <c r="P245" s="2"/>
      <c r="Q245" s="2" t="str">
        <f aca="false">IF(I245&gt;0,ROUND((N245-I245)/I245*100,0),"")</f>
        <v/>
      </c>
      <c r="R245" s="9" t="n">
        <f aca="false">SUM(I245:K245)</f>
        <v>316</v>
      </c>
      <c r="S245" s="9" t="n">
        <f aca="false">SUM(L245:N245)</f>
        <v>0</v>
      </c>
      <c r="T245" s="17" t="n">
        <f aca="false">IF(R245&gt;0,S245/R245-1,"")</f>
        <v>-1</v>
      </c>
      <c r="U245" s="2" t="str">
        <f aca="false">IF(AND(R245=0,S245&gt;0),"H2 Active / No H1 GMV",IF(S245=0,"Lapsed",IF(T245&gt;=Assumptions!$B$36,"Growing",IF(T245&lt;-Assumptions!$B$36,"Declining","Stable"))))</f>
        <v>Lapsed</v>
      </c>
      <c r="V245" s="2" t="n">
        <f aca="false">COUNTIF(I245:N245,"&gt;0")</f>
        <v>1</v>
      </c>
      <c r="W245" s="2" t="str">
        <f aca="false">IF(N245&gt;0,"Feb",IF(M245&gt;0,"Jan",IF(L245&gt;0,"Dec",IF(K245&gt;0,"Nov",IF(J245&gt;0,"Oct","Sep")))))</f>
        <v>Oct</v>
      </c>
      <c r="X245" s="2" t="str">
        <f aca="false">IF(O245&gt;=Assumptions!$B$35,"Key (&gt;=£10k)",IF(O245&gt;=Assumptions!$B$34,"Core (£2k-10k)","Tail (&lt;£2k)"))</f>
        <v>Tail (&lt;£2k)</v>
      </c>
      <c r="Y245" s="21" t="n">
        <f aca="false">INDEX('Scored Accounts'!$Q$2:$Q$301,MATCH(A245,'Scored Accounts'!$A$2:$A$301,0))</f>
        <v>0</v>
      </c>
      <c r="Z245" s="2" t="str">
        <f aca="false">INDEX('Scored Accounts'!$R$2:$R$301,MATCH(A245,'Scored Accounts'!$A$2:$A$301,0))</f>
        <v>Low</v>
      </c>
      <c r="AA245" s="2" t="str">
        <f aca="false">INDEX('Scored Accounts'!$T$2:$T$301,MATCH(A245,'Scored Accounts'!$A$2:$A$301,0))</f>
        <v/>
      </c>
      <c r="AB245" s="2" t="str">
        <f aca="false">IF(Z245="Low","Lower dep / ","Higher dep / ")&amp;IF(O245&gt;=Assumptions!$B$34,"Higher value","Lower value")</f>
        <v>Lower dep / Lower value</v>
      </c>
    </row>
    <row r="246" customFormat="false" ht="15" hidden="false" customHeight="false" outlineLevel="0" collapsed="false">
      <c r="A246" s="2" t="s">
        <v>776</v>
      </c>
      <c r="B246" s="2" t="s">
        <v>1574</v>
      </c>
      <c r="C246" s="2" t="s">
        <v>1640</v>
      </c>
      <c r="D246" s="2" t="s">
        <v>1653</v>
      </c>
      <c r="E246" s="2" t="s">
        <v>1653</v>
      </c>
      <c r="F246" s="2"/>
      <c r="G246" s="2" t="n">
        <v>5</v>
      </c>
      <c r="H246" s="2" t="n">
        <v>2</v>
      </c>
      <c r="I246" s="9" t="n">
        <v>0</v>
      </c>
      <c r="J246" s="9" t="n">
        <v>312</v>
      </c>
      <c r="K246" s="9" t="n">
        <v>0</v>
      </c>
      <c r="L246" s="9" t="n">
        <v>0</v>
      </c>
      <c r="M246" s="9" t="n">
        <v>0</v>
      </c>
      <c r="N246" s="9" t="n">
        <v>0</v>
      </c>
      <c r="O246" s="9" t="n">
        <v>312</v>
      </c>
      <c r="P246" s="2"/>
      <c r="Q246" s="2" t="str">
        <f aca="false">IF(I246&gt;0,ROUND((N246-I246)/I246*100,0),"")</f>
        <v/>
      </c>
      <c r="R246" s="9" t="n">
        <f aca="false">SUM(I246:K246)</f>
        <v>312</v>
      </c>
      <c r="S246" s="9" t="n">
        <f aca="false">SUM(L246:N246)</f>
        <v>0</v>
      </c>
      <c r="T246" s="17" t="n">
        <f aca="false">IF(R246&gt;0,S246/R246-1,"")</f>
        <v>-1</v>
      </c>
      <c r="U246" s="2" t="str">
        <f aca="false">IF(AND(R246=0,S246&gt;0),"H2 Active / No H1 GMV",IF(S246=0,"Lapsed",IF(T246&gt;=Assumptions!$B$36,"Growing",IF(T246&lt;-Assumptions!$B$36,"Declining","Stable"))))</f>
        <v>Lapsed</v>
      </c>
      <c r="V246" s="2" t="n">
        <f aca="false">COUNTIF(I246:N246,"&gt;0")</f>
        <v>1</v>
      </c>
      <c r="W246" s="2" t="str">
        <f aca="false">IF(N246&gt;0,"Feb",IF(M246&gt;0,"Jan",IF(L246&gt;0,"Dec",IF(K246&gt;0,"Nov",IF(J246&gt;0,"Oct","Sep")))))</f>
        <v>Oct</v>
      </c>
      <c r="X246" s="2" t="str">
        <f aca="false">IF(O246&gt;=Assumptions!$B$35,"Key (&gt;=£10k)",IF(O246&gt;=Assumptions!$B$34,"Core (£2k-10k)","Tail (&lt;£2k)"))</f>
        <v>Tail (&lt;£2k)</v>
      </c>
      <c r="Y246" s="21" t="n">
        <f aca="false">INDEX('Scored Accounts'!$Q$2:$Q$301,MATCH(A246,'Scored Accounts'!$A$2:$A$301,0))</f>
        <v>0</v>
      </c>
      <c r="Z246" s="2" t="str">
        <f aca="false">INDEX('Scored Accounts'!$R$2:$R$301,MATCH(A246,'Scored Accounts'!$A$2:$A$301,0))</f>
        <v>Low</v>
      </c>
      <c r="AA246" s="2" t="str">
        <f aca="false">INDEX('Scored Accounts'!$T$2:$T$301,MATCH(A246,'Scored Accounts'!$A$2:$A$301,0))</f>
        <v/>
      </c>
      <c r="AB246" s="2" t="str">
        <f aca="false">IF(Z246="Low","Lower dep / ","Higher dep / ")&amp;IF(O246&gt;=Assumptions!$B$34,"Higher value","Lower value")</f>
        <v>Lower dep / Lower value</v>
      </c>
    </row>
    <row r="247" customFormat="false" ht="15" hidden="false" customHeight="false" outlineLevel="0" collapsed="false">
      <c r="A247" s="2" t="s">
        <v>780</v>
      </c>
      <c r="B247" s="2" t="s">
        <v>1574</v>
      </c>
      <c r="C247" s="2" t="s">
        <v>1640</v>
      </c>
      <c r="D247" s="2" t="s">
        <v>1658</v>
      </c>
      <c r="E247" s="2" t="s">
        <v>1658</v>
      </c>
      <c r="F247" s="2"/>
      <c r="G247" s="2" t="n">
        <v>1</v>
      </c>
      <c r="H247" s="2" t="n">
        <v>1</v>
      </c>
      <c r="I247" s="9" t="n">
        <v>0</v>
      </c>
      <c r="J247" s="9" t="n">
        <v>0</v>
      </c>
      <c r="K247" s="9" t="n">
        <v>0</v>
      </c>
      <c r="L247" s="9" t="n">
        <v>0</v>
      </c>
      <c r="M247" s="9" t="n">
        <v>0</v>
      </c>
      <c r="N247" s="9" t="n">
        <v>308</v>
      </c>
      <c r="O247" s="9" t="n">
        <v>308</v>
      </c>
      <c r="P247" s="2"/>
      <c r="Q247" s="2" t="str">
        <f aca="false">IF(I247&gt;0,ROUND((N247-I247)/I247*100,0),"")</f>
        <v/>
      </c>
      <c r="R247" s="9" t="n">
        <f aca="false">SUM(I247:K247)</f>
        <v>0</v>
      </c>
      <c r="S247" s="9" t="n">
        <f aca="false">SUM(L247:N247)</f>
        <v>308</v>
      </c>
      <c r="T247" s="17" t="str">
        <f aca="false">IF(R247&gt;0,S247/R247-1,"")</f>
        <v/>
      </c>
      <c r="U247" s="2" t="str">
        <f aca="false">IF(AND(R247=0,S247&gt;0),"H2 Active / No H1 GMV",IF(S247=0,"Lapsed",IF(T247&gt;=Assumptions!$B$36,"Growing",IF(T247&lt;-Assumptions!$B$36,"Declining","Stable"))))</f>
        <v>H2 Active / No H1 GMV</v>
      </c>
      <c r="V247" s="2" t="n">
        <f aca="false">COUNTIF(I247:N247,"&gt;0")</f>
        <v>1</v>
      </c>
      <c r="W247" s="2" t="str">
        <f aca="false">IF(N247&gt;0,"Feb",IF(M247&gt;0,"Jan",IF(L247&gt;0,"Dec",IF(K247&gt;0,"Nov",IF(J247&gt;0,"Oct","Sep")))))</f>
        <v>Feb</v>
      </c>
      <c r="X247" s="2" t="str">
        <f aca="false">IF(O247&gt;=Assumptions!$B$35,"Key (&gt;=£10k)",IF(O247&gt;=Assumptions!$B$34,"Core (£2k-10k)","Tail (&lt;£2k)"))</f>
        <v>Tail (&lt;£2k)</v>
      </c>
      <c r="Y247" s="21" t="n">
        <f aca="false">INDEX('Scored Accounts'!$Q$2:$Q$301,MATCH(A247,'Scored Accounts'!$A$2:$A$301,0))</f>
        <v>0</v>
      </c>
      <c r="Z247" s="2" t="str">
        <f aca="false">INDEX('Scored Accounts'!$R$2:$R$301,MATCH(A247,'Scored Accounts'!$A$2:$A$301,0))</f>
        <v>Low</v>
      </c>
      <c r="AA247" s="2" t="str">
        <f aca="false">INDEX('Scored Accounts'!$T$2:$T$301,MATCH(A247,'Scored Accounts'!$A$2:$A$301,0))</f>
        <v/>
      </c>
      <c r="AB247" s="2" t="str">
        <f aca="false">IF(Z247="Low","Lower dep / ","Higher dep / ")&amp;IF(O247&gt;=Assumptions!$B$34,"Higher value","Lower value")</f>
        <v>Lower dep / Lower value</v>
      </c>
    </row>
    <row r="248" customFormat="false" ht="15" hidden="false" customHeight="false" outlineLevel="0" collapsed="false">
      <c r="A248" s="2" t="s">
        <v>786</v>
      </c>
      <c r="B248" s="2" t="s">
        <v>1574</v>
      </c>
      <c r="C248" s="2" t="s">
        <v>1640</v>
      </c>
      <c r="D248" s="2" t="s">
        <v>1657</v>
      </c>
      <c r="E248" s="2" t="s">
        <v>1720</v>
      </c>
      <c r="F248" s="2"/>
      <c r="G248" s="2" t="n">
        <v>2</v>
      </c>
      <c r="H248" s="2" t="n">
        <v>1</v>
      </c>
      <c r="I248" s="9" t="n">
        <v>0</v>
      </c>
      <c r="J248" s="9" t="n">
        <v>0</v>
      </c>
      <c r="K248" s="9" t="n">
        <v>0</v>
      </c>
      <c r="L248" s="9" t="n">
        <v>0</v>
      </c>
      <c r="M248" s="9" t="n">
        <v>304</v>
      </c>
      <c r="N248" s="9" t="n">
        <v>0</v>
      </c>
      <c r="O248" s="9" t="n">
        <v>304</v>
      </c>
      <c r="P248" s="2"/>
      <c r="Q248" s="2" t="str">
        <f aca="false">IF(I248&gt;0,ROUND((N248-I248)/I248*100,0),"")</f>
        <v/>
      </c>
      <c r="R248" s="9" t="n">
        <f aca="false">SUM(I248:K248)</f>
        <v>0</v>
      </c>
      <c r="S248" s="9" t="n">
        <f aca="false">SUM(L248:N248)</f>
        <v>304</v>
      </c>
      <c r="T248" s="17" t="str">
        <f aca="false">IF(R248&gt;0,S248/R248-1,"")</f>
        <v/>
      </c>
      <c r="U248" s="2" t="str">
        <f aca="false">IF(AND(R248=0,S248&gt;0),"H2 Active / No H1 GMV",IF(S248=0,"Lapsed",IF(T248&gt;=Assumptions!$B$36,"Growing",IF(T248&lt;-Assumptions!$B$36,"Declining","Stable"))))</f>
        <v>H2 Active / No H1 GMV</v>
      </c>
      <c r="V248" s="2" t="n">
        <f aca="false">COUNTIF(I248:N248,"&gt;0")</f>
        <v>1</v>
      </c>
      <c r="W248" s="2" t="str">
        <f aca="false">IF(N248&gt;0,"Feb",IF(M248&gt;0,"Jan",IF(L248&gt;0,"Dec",IF(K248&gt;0,"Nov",IF(J248&gt;0,"Oct","Sep")))))</f>
        <v>Jan</v>
      </c>
      <c r="X248" s="2" t="str">
        <f aca="false">IF(O248&gt;=Assumptions!$B$35,"Key (&gt;=£10k)",IF(O248&gt;=Assumptions!$B$34,"Core (£2k-10k)","Tail (&lt;£2k)"))</f>
        <v>Tail (&lt;£2k)</v>
      </c>
      <c r="Y248" s="21" t="n">
        <f aca="false">INDEX('Scored Accounts'!$Q$2:$Q$301,MATCH(A248,'Scored Accounts'!$A$2:$A$301,0))</f>
        <v>0</v>
      </c>
      <c r="Z248" s="2" t="str">
        <f aca="false">INDEX('Scored Accounts'!$R$2:$R$301,MATCH(A248,'Scored Accounts'!$A$2:$A$301,0))</f>
        <v>Low</v>
      </c>
      <c r="AA248" s="2" t="str">
        <f aca="false">INDEX('Scored Accounts'!$T$2:$T$301,MATCH(A248,'Scored Accounts'!$A$2:$A$301,0))</f>
        <v/>
      </c>
      <c r="AB248" s="2" t="str">
        <f aca="false">IF(Z248="Low","Lower dep / ","Higher dep / ")&amp;IF(O248&gt;=Assumptions!$B$34,"Higher value","Lower value")</f>
        <v>Lower dep / Lower value</v>
      </c>
    </row>
    <row r="249" customFormat="false" ht="15" hidden="false" customHeight="false" outlineLevel="0" collapsed="false">
      <c r="A249" s="2" t="s">
        <v>788</v>
      </c>
      <c r="B249" s="2" t="s">
        <v>1574</v>
      </c>
      <c r="C249" s="2" t="s">
        <v>1640</v>
      </c>
      <c r="D249" s="2" t="s">
        <v>1653</v>
      </c>
      <c r="E249" s="2" t="s">
        <v>1653</v>
      </c>
      <c r="F249" s="2"/>
      <c r="G249" s="2" t="n">
        <v>5</v>
      </c>
      <c r="H249" s="2" t="n">
        <v>1</v>
      </c>
      <c r="I249" s="9" t="n">
        <v>0</v>
      </c>
      <c r="J249" s="9" t="n">
        <v>303</v>
      </c>
      <c r="K249" s="9" t="n">
        <v>0</v>
      </c>
      <c r="L249" s="9" t="n">
        <v>0</v>
      </c>
      <c r="M249" s="9" t="n">
        <v>0</v>
      </c>
      <c r="N249" s="9" t="n">
        <v>0</v>
      </c>
      <c r="O249" s="9" t="n">
        <v>303</v>
      </c>
      <c r="P249" s="2"/>
      <c r="Q249" s="2" t="str">
        <f aca="false">IF(I249&gt;0,ROUND((N249-I249)/I249*100,0),"")</f>
        <v/>
      </c>
      <c r="R249" s="9" t="n">
        <f aca="false">SUM(I249:K249)</f>
        <v>303</v>
      </c>
      <c r="S249" s="9" t="n">
        <f aca="false">SUM(L249:N249)</f>
        <v>0</v>
      </c>
      <c r="T249" s="17" t="n">
        <f aca="false">IF(R249&gt;0,S249/R249-1,"")</f>
        <v>-1</v>
      </c>
      <c r="U249" s="2" t="str">
        <f aca="false">IF(AND(R249=0,S249&gt;0),"H2 Active / No H1 GMV",IF(S249=0,"Lapsed",IF(T249&gt;=Assumptions!$B$36,"Growing",IF(T249&lt;-Assumptions!$B$36,"Declining","Stable"))))</f>
        <v>Lapsed</v>
      </c>
      <c r="V249" s="2" t="n">
        <f aca="false">COUNTIF(I249:N249,"&gt;0")</f>
        <v>1</v>
      </c>
      <c r="W249" s="2" t="str">
        <f aca="false">IF(N249&gt;0,"Feb",IF(M249&gt;0,"Jan",IF(L249&gt;0,"Dec",IF(K249&gt;0,"Nov",IF(J249&gt;0,"Oct","Sep")))))</f>
        <v>Oct</v>
      </c>
      <c r="X249" s="2" t="str">
        <f aca="false">IF(O249&gt;=Assumptions!$B$35,"Key (&gt;=£10k)",IF(O249&gt;=Assumptions!$B$34,"Core (£2k-10k)","Tail (&lt;£2k)"))</f>
        <v>Tail (&lt;£2k)</v>
      </c>
      <c r="Y249" s="21" t="n">
        <f aca="false">INDEX('Scored Accounts'!$Q$2:$Q$301,MATCH(A249,'Scored Accounts'!$A$2:$A$301,0))</f>
        <v>0</v>
      </c>
      <c r="Z249" s="2" t="str">
        <f aca="false">INDEX('Scored Accounts'!$R$2:$R$301,MATCH(A249,'Scored Accounts'!$A$2:$A$301,0))</f>
        <v>Low</v>
      </c>
      <c r="AA249" s="2" t="str">
        <f aca="false">INDEX('Scored Accounts'!$T$2:$T$301,MATCH(A249,'Scored Accounts'!$A$2:$A$301,0))</f>
        <v/>
      </c>
      <c r="AB249" s="2" t="str">
        <f aca="false">IF(Z249="Low","Lower dep / ","Higher dep / ")&amp;IF(O249&gt;=Assumptions!$B$34,"Higher value","Lower value")</f>
        <v>Lower dep / Lower value</v>
      </c>
    </row>
    <row r="250" customFormat="false" ht="15" hidden="false" customHeight="false" outlineLevel="0" collapsed="false">
      <c r="A250" s="2" t="s">
        <v>792</v>
      </c>
      <c r="B250" s="2" t="s">
        <v>1574</v>
      </c>
      <c r="C250" s="2" t="s">
        <v>1640</v>
      </c>
      <c r="D250" s="2" t="s">
        <v>1653</v>
      </c>
      <c r="E250" s="2" t="s">
        <v>1653</v>
      </c>
      <c r="F250" s="2"/>
      <c r="G250" s="2" t="n">
        <v>6</v>
      </c>
      <c r="H250" s="2" t="n">
        <v>1</v>
      </c>
      <c r="I250" s="9" t="n">
        <v>298</v>
      </c>
      <c r="J250" s="9" t="n">
        <v>0</v>
      </c>
      <c r="K250" s="9" t="n">
        <v>0</v>
      </c>
      <c r="L250" s="9" t="n">
        <v>0</v>
      </c>
      <c r="M250" s="9" t="n">
        <v>0</v>
      </c>
      <c r="N250" s="9" t="n">
        <v>0</v>
      </c>
      <c r="O250" s="9" t="n">
        <v>298</v>
      </c>
      <c r="P250" s="2" t="n">
        <v>-100</v>
      </c>
      <c r="Q250" s="2" t="n">
        <f aca="false">IF(I250&gt;0,ROUND((N250-I250)/I250*100,0),"")</f>
        <v>-100</v>
      </c>
      <c r="R250" s="9" t="n">
        <f aca="false">SUM(I250:K250)</f>
        <v>298</v>
      </c>
      <c r="S250" s="9" t="n">
        <f aca="false">SUM(L250:N250)</f>
        <v>0</v>
      </c>
      <c r="T250" s="17" t="n">
        <f aca="false">IF(R250&gt;0,S250/R250-1,"")</f>
        <v>-1</v>
      </c>
      <c r="U250" s="2" t="str">
        <f aca="false">IF(AND(R250=0,S250&gt;0),"H2 Active / No H1 GMV",IF(S250=0,"Lapsed",IF(T250&gt;=Assumptions!$B$36,"Growing",IF(T250&lt;-Assumptions!$B$36,"Declining","Stable"))))</f>
        <v>Lapsed</v>
      </c>
      <c r="V250" s="2" t="n">
        <f aca="false">COUNTIF(I250:N250,"&gt;0")</f>
        <v>1</v>
      </c>
      <c r="W250" s="2" t="str">
        <f aca="false">IF(N250&gt;0,"Feb",IF(M250&gt;0,"Jan",IF(L250&gt;0,"Dec",IF(K250&gt;0,"Nov",IF(J250&gt;0,"Oct","Sep")))))</f>
        <v>Sep</v>
      </c>
      <c r="X250" s="2" t="str">
        <f aca="false">IF(O250&gt;=Assumptions!$B$35,"Key (&gt;=£10k)",IF(O250&gt;=Assumptions!$B$34,"Core (£2k-10k)","Tail (&lt;£2k)"))</f>
        <v>Tail (&lt;£2k)</v>
      </c>
      <c r="Y250" s="21" t="n">
        <f aca="false">INDEX('Scored Accounts'!$Q$2:$Q$301,MATCH(A250,'Scored Accounts'!$A$2:$A$301,0))</f>
        <v>0</v>
      </c>
      <c r="Z250" s="2" t="str">
        <f aca="false">INDEX('Scored Accounts'!$R$2:$R$301,MATCH(A250,'Scored Accounts'!$A$2:$A$301,0))</f>
        <v>Low</v>
      </c>
      <c r="AA250" s="2" t="str">
        <f aca="false">INDEX('Scored Accounts'!$T$2:$T$301,MATCH(A250,'Scored Accounts'!$A$2:$A$301,0))</f>
        <v/>
      </c>
      <c r="AB250" s="2" t="str">
        <f aca="false">IF(Z250="Low","Lower dep / ","Higher dep / ")&amp;IF(O250&gt;=Assumptions!$B$34,"Higher value","Lower value")</f>
        <v>Lower dep / Lower value</v>
      </c>
    </row>
    <row r="251" customFormat="false" ht="15" hidden="false" customHeight="false" outlineLevel="0" collapsed="false">
      <c r="A251" s="2" t="s">
        <v>796</v>
      </c>
      <c r="B251" s="2" t="s">
        <v>1574</v>
      </c>
      <c r="C251" s="2" t="s">
        <v>1640</v>
      </c>
      <c r="D251" s="2" t="s">
        <v>1657</v>
      </c>
      <c r="E251" s="2" t="s">
        <v>1728</v>
      </c>
      <c r="F251" s="2"/>
      <c r="G251" s="2" t="n">
        <v>4</v>
      </c>
      <c r="H251" s="2" t="n">
        <v>1</v>
      </c>
      <c r="I251" s="9" t="n">
        <v>0</v>
      </c>
      <c r="J251" s="9" t="n">
        <v>0</v>
      </c>
      <c r="K251" s="9" t="n">
        <v>294</v>
      </c>
      <c r="L251" s="9" t="n">
        <v>0</v>
      </c>
      <c r="M251" s="9" t="n">
        <v>0</v>
      </c>
      <c r="N251" s="9" t="n">
        <v>0</v>
      </c>
      <c r="O251" s="9" t="n">
        <v>294</v>
      </c>
      <c r="P251" s="2"/>
      <c r="Q251" s="2" t="str">
        <f aca="false">IF(I251&gt;0,ROUND((N251-I251)/I251*100,0),"")</f>
        <v/>
      </c>
      <c r="R251" s="9" t="n">
        <f aca="false">SUM(I251:K251)</f>
        <v>294</v>
      </c>
      <c r="S251" s="9" t="n">
        <f aca="false">SUM(L251:N251)</f>
        <v>0</v>
      </c>
      <c r="T251" s="17" t="n">
        <f aca="false">IF(R251&gt;0,S251/R251-1,"")</f>
        <v>-1</v>
      </c>
      <c r="U251" s="2" t="str">
        <f aca="false">IF(AND(R251=0,S251&gt;0),"H2 Active / No H1 GMV",IF(S251=0,"Lapsed",IF(T251&gt;=Assumptions!$B$36,"Growing",IF(T251&lt;-Assumptions!$B$36,"Declining","Stable"))))</f>
        <v>Lapsed</v>
      </c>
      <c r="V251" s="2" t="n">
        <f aca="false">COUNTIF(I251:N251,"&gt;0")</f>
        <v>1</v>
      </c>
      <c r="W251" s="2" t="str">
        <f aca="false">IF(N251&gt;0,"Feb",IF(M251&gt;0,"Jan",IF(L251&gt;0,"Dec",IF(K251&gt;0,"Nov",IF(J251&gt;0,"Oct","Sep")))))</f>
        <v>Nov</v>
      </c>
      <c r="X251" s="2" t="str">
        <f aca="false">IF(O251&gt;=Assumptions!$B$35,"Key (&gt;=£10k)",IF(O251&gt;=Assumptions!$B$34,"Core (£2k-10k)","Tail (&lt;£2k)"))</f>
        <v>Tail (&lt;£2k)</v>
      </c>
      <c r="Y251" s="21" t="n">
        <f aca="false">INDEX('Scored Accounts'!$Q$2:$Q$301,MATCH(A251,'Scored Accounts'!$A$2:$A$301,0))</f>
        <v>0</v>
      </c>
      <c r="Z251" s="2" t="str">
        <f aca="false">INDEX('Scored Accounts'!$R$2:$R$301,MATCH(A251,'Scored Accounts'!$A$2:$A$301,0))</f>
        <v>Low</v>
      </c>
      <c r="AA251" s="2" t="str">
        <f aca="false">INDEX('Scored Accounts'!$T$2:$T$301,MATCH(A251,'Scored Accounts'!$A$2:$A$301,0))</f>
        <v/>
      </c>
      <c r="AB251" s="2" t="str">
        <f aca="false">IF(Z251="Low","Lower dep / ","Higher dep / ")&amp;IF(O251&gt;=Assumptions!$B$34,"Higher value","Lower value")</f>
        <v>Lower dep / Lower value</v>
      </c>
    </row>
    <row r="252" customFormat="false" ht="15" hidden="false" customHeight="false" outlineLevel="0" collapsed="false">
      <c r="A252" s="2" t="s">
        <v>806</v>
      </c>
      <c r="B252" s="2" t="s">
        <v>1574</v>
      </c>
      <c r="C252" s="2" t="s">
        <v>1640</v>
      </c>
      <c r="D252" s="2" t="s">
        <v>1654</v>
      </c>
      <c r="E252" s="2" t="s">
        <v>1654</v>
      </c>
      <c r="F252" s="2"/>
      <c r="G252" s="2" t="n">
        <v>4</v>
      </c>
      <c r="H252" s="2" t="n">
        <v>1</v>
      </c>
      <c r="I252" s="9" t="n">
        <v>0</v>
      </c>
      <c r="J252" s="9" t="n">
        <v>0</v>
      </c>
      <c r="K252" s="9" t="n">
        <v>281</v>
      </c>
      <c r="L252" s="9" t="n">
        <v>0</v>
      </c>
      <c r="M252" s="9" t="n">
        <v>0</v>
      </c>
      <c r="N252" s="9" t="n">
        <v>0</v>
      </c>
      <c r="O252" s="9" t="n">
        <v>281</v>
      </c>
      <c r="P252" s="2"/>
      <c r="Q252" s="2" t="str">
        <f aca="false">IF(I252&gt;0,ROUND((N252-I252)/I252*100,0),"")</f>
        <v/>
      </c>
      <c r="R252" s="9" t="n">
        <f aca="false">SUM(I252:K252)</f>
        <v>281</v>
      </c>
      <c r="S252" s="9" t="n">
        <f aca="false">SUM(L252:N252)</f>
        <v>0</v>
      </c>
      <c r="T252" s="17" t="n">
        <f aca="false">IF(R252&gt;0,S252/R252-1,"")</f>
        <v>-1</v>
      </c>
      <c r="U252" s="2" t="str">
        <f aca="false">IF(AND(R252=0,S252&gt;0),"H2 Active / No H1 GMV",IF(S252=0,"Lapsed",IF(T252&gt;=Assumptions!$B$36,"Growing",IF(T252&lt;-Assumptions!$B$36,"Declining","Stable"))))</f>
        <v>Lapsed</v>
      </c>
      <c r="V252" s="2" t="n">
        <f aca="false">COUNTIF(I252:N252,"&gt;0")</f>
        <v>1</v>
      </c>
      <c r="W252" s="2" t="str">
        <f aca="false">IF(N252&gt;0,"Feb",IF(M252&gt;0,"Jan",IF(L252&gt;0,"Dec",IF(K252&gt;0,"Nov",IF(J252&gt;0,"Oct","Sep")))))</f>
        <v>Nov</v>
      </c>
      <c r="X252" s="2" t="str">
        <f aca="false">IF(O252&gt;=Assumptions!$B$35,"Key (&gt;=£10k)",IF(O252&gt;=Assumptions!$B$34,"Core (£2k-10k)","Tail (&lt;£2k)"))</f>
        <v>Tail (&lt;£2k)</v>
      </c>
      <c r="Y252" s="21" t="n">
        <f aca="false">INDEX('Scored Accounts'!$Q$2:$Q$301,MATCH(A252,'Scored Accounts'!$A$2:$A$301,0))</f>
        <v>0</v>
      </c>
      <c r="Z252" s="2" t="str">
        <f aca="false">INDEX('Scored Accounts'!$R$2:$R$301,MATCH(A252,'Scored Accounts'!$A$2:$A$301,0))</f>
        <v>Low</v>
      </c>
      <c r="AA252" s="2" t="str">
        <f aca="false">INDEX('Scored Accounts'!$T$2:$T$301,MATCH(A252,'Scored Accounts'!$A$2:$A$301,0))</f>
        <v/>
      </c>
      <c r="AB252" s="2" t="str">
        <f aca="false">IF(Z252="Low","Lower dep / ","Higher dep / ")&amp;IF(O252&gt;=Assumptions!$B$34,"Higher value","Lower value")</f>
        <v>Lower dep / Lower value</v>
      </c>
    </row>
    <row r="253" customFormat="false" ht="15" hidden="false" customHeight="false" outlineLevel="0" collapsed="false">
      <c r="A253" s="2" t="s">
        <v>808</v>
      </c>
      <c r="B253" s="2" t="s">
        <v>1574</v>
      </c>
      <c r="C253" s="2" t="s">
        <v>1640</v>
      </c>
      <c r="D253" s="2" t="s">
        <v>1653</v>
      </c>
      <c r="E253" s="2" t="s">
        <v>1653</v>
      </c>
      <c r="F253" s="2"/>
      <c r="G253" s="2" t="n">
        <v>1</v>
      </c>
      <c r="H253" s="2" t="n">
        <v>1</v>
      </c>
      <c r="I253" s="9" t="n">
        <v>0</v>
      </c>
      <c r="J253" s="9" t="n">
        <v>0</v>
      </c>
      <c r="K253" s="9" t="n">
        <v>0</v>
      </c>
      <c r="L253" s="9" t="n">
        <v>0</v>
      </c>
      <c r="M253" s="9" t="n">
        <v>0</v>
      </c>
      <c r="N253" s="9" t="n">
        <v>279</v>
      </c>
      <c r="O253" s="9" t="n">
        <v>279</v>
      </c>
      <c r="P253" s="2"/>
      <c r="Q253" s="2" t="str">
        <f aca="false">IF(I253&gt;0,ROUND((N253-I253)/I253*100,0),"")</f>
        <v/>
      </c>
      <c r="R253" s="9" t="n">
        <f aca="false">SUM(I253:K253)</f>
        <v>0</v>
      </c>
      <c r="S253" s="9" t="n">
        <f aca="false">SUM(L253:N253)</f>
        <v>279</v>
      </c>
      <c r="T253" s="17" t="str">
        <f aca="false">IF(R253&gt;0,S253/R253-1,"")</f>
        <v/>
      </c>
      <c r="U253" s="2" t="str">
        <f aca="false">IF(AND(R253=0,S253&gt;0),"H2 Active / No H1 GMV",IF(S253=0,"Lapsed",IF(T253&gt;=Assumptions!$B$36,"Growing",IF(T253&lt;-Assumptions!$B$36,"Declining","Stable"))))</f>
        <v>H2 Active / No H1 GMV</v>
      </c>
      <c r="V253" s="2" t="n">
        <f aca="false">COUNTIF(I253:N253,"&gt;0")</f>
        <v>1</v>
      </c>
      <c r="W253" s="2" t="str">
        <f aca="false">IF(N253&gt;0,"Feb",IF(M253&gt;0,"Jan",IF(L253&gt;0,"Dec",IF(K253&gt;0,"Nov",IF(J253&gt;0,"Oct","Sep")))))</f>
        <v>Feb</v>
      </c>
      <c r="X253" s="2" t="str">
        <f aca="false">IF(O253&gt;=Assumptions!$B$35,"Key (&gt;=£10k)",IF(O253&gt;=Assumptions!$B$34,"Core (£2k-10k)","Tail (&lt;£2k)"))</f>
        <v>Tail (&lt;£2k)</v>
      </c>
      <c r="Y253" s="21" t="n">
        <f aca="false">INDEX('Scored Accounts'!$Q$2:$Q$301,MATCH(A253,'Scored Accounts'!$A$2:$A$301,0))</f>
        <v>0</v>
      </c>
      <c r="Z253" s="2" t="str">
        <f aca="false">INDEX('Scored Accounts'!$R$2:$R$301,MATCH(A253,'Scored Accounts'!$A$2:$A$301,0))</f>
        <v>Low</v>
      </c>
      <c r="AA253" s="2" t="str">
        <f aca="false">INDEX('Scored Accounts'!$T$2:$T$301,MATCH(A253,'Scored Accounts'!$A$2:$A$301,0))</f>
        <v/>
      </c>
      <c r="AB253" s="2" t="str">
        <f aca="false">IF(Z253="Low","Lower dep / ","Higher dep / ")&amp;IF(O253&gt;=Assumptions!$B$34,"Higher value","Lower value")</f>
        <v>Lower dep / Lower value</v>
      </c>
    </row>
    <row r="254" customFormat="false" ht="15" hidden="false" customHeight="false" outlineLevel="0" collapsed="false">
      <c r="A254" s="2" t="s">
        <v>810</v>
      </c>
      <c r="B254" s="2" t="s">
        <v>1574</v>
      </c>
      <c r="C254" s="2" t="s">
        <v>1640</v>
      </c>
      <c r="D254" s="2" t="s">
        <v>1653</v>
      </c>
      <c r="E254" s="2" t="s">
        <v>1653</v>
      </c>
      <c r="F254" s="2"/>
      <c r="G254" s="2" t="n">
        <v>2</v>
      </c>
      <c r="H254" s="2" t="n">
        <v>1</v>
      </c>
      <c r="I254" s="9" t="n">
        <v>0</v>
      </c>
      <c r="J254" s="9" t="n">
        <v>0</v>
      </c>
      <c r="K254" s="9" t="n">
        <v>0</v>
      </c>
      <c r="L254" s="9" t="n">
        <v>0</v>
      </c>
      <c r="M254" s="9" t="n">
        <v>274</v>
      </c>
      <c r="N254" s="9" t="n">
        <v>0</v>
      </c>
      <c r="O254" s="9" t="n">
        <v>274</v>
      </c>
      <c r="P254" s="2"/>
      <c r="Q254" s="2" t="str">
        <f aca="false">IF(I254&gt;0,ROUND((N254-I254)/I254*100,0),"")</f>
        <v/>
      </c>
      <c r="R254" s="9" t="n">
        <f aca="false">SUM(I254:K254)</f>
        <v>0</v>
      </c>
      <c r="S254" s="9" t="n">
        <f aca="false">SUM(L254:N254)</f>
        <v>274</v>
      </c>
      <c r="T254" s="17" t="str">
        <f aca="false">IF(R254&gt;0,S254/R254-1,"")</f>
        <v/>
      </c>
      <c r="U254" s="2" t="str">
        <f aca="false">IF(AND(R254=0,S254&gt;0),"H2 Active / No H1 GMV",IF(S254=0,"Lapsed",IF(T254&gt;=Assumptions!$B$36,"Growing",IF(T254&lt;-Assumptions!$B$36,"Declining","Stable"))))</f>
        <v>H2 Active / No H1 GMV</v>
      </c>
      <c r="V254" s="2" t="n">
        <f aca="false">COUNTIF(I254:N254,"&gt;0")</f>
        <v>1</v>
      </c>
      <c r="W254" s="2" t="str">
        <f aca="false">IF(N254&gt;0,"Feb",IF(M254&gt;0,"Jan",IF(L254&gt;0,"Dec",IF(K254&gt;0,"Nov",IF(J254&gt;0,"Oct","Sep")))))</f>
        <v>Jan</v>
      </c>
      <c r="X254" s="2" t="str">
        <f aca="false">IF(O254&gt;=Assumptions!$B$35,"Key (&gt;=£10k)",IF(O254&gt;=Assumptions!$B$34,"Core (£2k-10k)","Tail (&lt;£2k)"))</f>
        <v>Tail (&lt;£2k)</v>
      </c>
      <c r="Y254" s="21" t="n">
        <f aca="false">INDEX('Scored Accounts'!$Q$2:$Q$301,MATCH(A254,'Scored Accounts'!$A$2:$A$301,0))</f>
        <v>0</v>
      </c>
      <c r="Z254" s="2" t="str">
        <f aca="false">INDEX('Scored Accounts'!$R$2:$R$301,MATCH(A254,'Scored Accounts'!$A$2:$A$301,0))</f>
        <v>Low</v>
      </c>
      <c r="AA254" s="2" t="str">
        <f aca="false">INDEX('Scored Accounts'!$T$2:$T$301,MATCH(A254,'Scored Accounts'!$A$2:$A$301,0))</f>
        <v/>
      </c>
      <c r="AB254" s="2" t="str">
        <f aca="false">IF(Z254="Low","Lower dep / ","Higher dep / ")&amp;IF(O254&gt;=Assumptions!$B$34,"Higher value","Lower value")</f>
        <v>Lower dep / Lower value</v>
      </c>
    </row>
    <row r="255" customFormat="false" ht="15" hidden="false" customHeight="false" outlineLevel="0" collapsed="false">
      <c r="A255" s="2" t="s">
        <v>816</v>
      </c>
      <c r="B255" s="2" t="s">
        <v>1574</v>
      </c>
      <c r="C255" s="2" t="s">
        <v>1640</v>
      </c>
      <c r="D255" s="2" t="s">
        <v>1653</v>
      </c>
      <c r="E255" s="2" t="s">
        <v>1653</v>
      </c>
      <c r="F255" s="2"/>
      <c r="G255" s="2" t="n">
        <v>5</v>
      </c>
      <c r="H255" s="2" t="n">
        <v>1</v>
      </c>
      <c r="I255" s="9" t="n">
        <v>0</v>
      </c>
      <c r="J255" s="9" t="n">
        <v>270</v>
      </c>
      <c r="K255" s="9" t="n">
        <v>0</v>
      </c>
      <c r="L255" s="9" t="n">
        <v>0</v>
      </c>
      <c r="M255" s="9" t="n">
        <v>0</v>
      </c>
      <c r="N255" s="9" t="n">
        <v>0</v>
      </c>
      <c r="O255" s="9" t="n">
        <v>270</v>
      </c>
      <c r="P255" s="2"/>
      <c r="Q255" s="2" t="str">
        <f aca="false">IF(I255&gt;0,ROUND((N255-I255)/I255*100,0),"")</f>
        <v/>
      </c>
      <c r="R255" s="9" t="n">
        <f aca="false">SUM(I255:K255)</f>
        <v>270</v>
      </c>
      <c r="S255" s="9" t="n">
        <f aca="false">SUM(L255:N255)</f>
        <v>0</v>
      </c>
      <c r="T255" s="17" t="n">
        <f aca="false">IF(R255&gt;0,S255/R255-1,"")</f>
        <v>-1</v>
      </c>
      <c r="U255" s="2" t="str">
        <f aca="false">IF(AND(R255=0,S255&gt;0),"H2 Active / No H1 GMV",IF(S255=0,"Lapsed",IF(T255&gt;=Assumptions!$B$36,"Growing",IF(T255&lt;-Assumptions!$B$36,"Declining","Stable"))))</f>
        <v>Lapsed</v>
      </c>
      <c r="V255" s="2" t="n">
        <f aca="false">COUNTIF(I255:N255,"&gt;0")</f>
        <v>1</v>
      </c>
      <c r="W255" s="2" t="str">
        <f aca="false">IF(N255&gt;0,"Feb",IF(M255&gt;0,"Jan",IF(L255&gt;0,"Dec",IF(K255&gt;0,"Nov",IF(J255&gt;0,"Oct","Sep")))))</f>
        <v>Oct</v>
      </c>
      <c r="X255" s="2" t="str">
        <f aca="false">IF(O255&gt;=Assumptions!$B$35,"Key (&gt;=£10k)",IF(O255&gt;=Assumptions!$B$34,"Core (£2k-10k)","Tail (&lt;£2k)"))</f>
        <v>Tail (&lt;£2k)</v>
      </c>
      <c r="Y255" s="21" t="n">
        <f aca="false">INDEX('Scored Accounts'!$Q$2:$Q$301,MATCH(A255,'Scored Accounts'!$A$2:$A$301,0))</f>
        <v>0</v>
      </c>
      <c r="Z255" s="2" t="str">
        <f aca="false">INDEX('Scored Accounts'!$R$2:$R$301,MATCH(A255,'Scored Accounts'!$A$2:$A$301,0))</f>
        <v>Low</v>
      </c>
      <c r="AA255" s="2" t="str">
        <f aca="false">INDEX('Scored Accounts'!$T$2:$T$301,MATCH(A255,'Scored Accounts'!$A$2:$A$301,0))</f>
        <v/>
      </c>
      <c r="AB255" s="2" t="str">
        <f aca="false">IF(Z255="Low","Lower dep / ","Higher dep / ")&amp;IF(O255&gt;=Assumptions!$B$34,"Higher value","Lower value")</f>
        <v>Lower dep / Lower value</v>
      </c>
    </row>
    <row r="256" customFormat="false" ht="15" hidden="false" customHeight="false" outlineLevel="0" collapsed="false">
      <c r="A256" s="2" t="s">
        <v>820</v>
      </c>
      <c r="B256" s="2" t="s">
        <v>1574</v>
      </c>
      <c r="C256" s="2" t="s">
        <v>1640</v>
      </c>
      <c r="D256" s="2" t="s">
        <v>1657</v>
      </c>
      <c r="E256" s="2" t="s">
        <v>1730</v>
      </c>
      <c r="F256" s="2"/>
      <c r="G256" s="2" t="n">
        <v>3</v>
      </c>
      <c r="H256" s="2" t="n">
        <v>1</v>
      </c>
      <c r="I256" s="9" t="n">
        <v>0</v>
      </c>
      <c r="J256" s="9" t="n">
        <v>0</v>
      </c>
      <c r="K256" s="9" t="n">
        <v>0</v>
      </c>
      <c r="L256" s="9" t="n">
        <v>269</v>
      </c>
      <c r="M256" s="9" t="n">
        <v>0</v>
      </c>
      <c r="N256" s="9" t="n">
        <v>0</v>
      </c>
      <c r="O256" s="9" t="n">
        <v>269</v>
      </c>
      <c r="P256" s="2"/>
      <c r="Q256" s="2" t="str">
        <f aca="false">IF(I256&gt;0,ROUND((N256-I256)/I256*100,0),"")</f>
        <v/>
      </c>
      <c r="R256" s="9" t="n">
        <f aca="false">SUM(I256:K256)</f>
        <v>0</v>
      </c>
      <c r="S256" s="9" t="n">
        <f aca="false">SUM(L256:N256)</f>
        <v>269</v>
      </c>
      <c r="T256" s="17" t="str">
        <f aca="false">IF(R256&gt;0,S256/R256-1,"")</f>
        <v/>
      </c>
      <c r="U256" s="2" t="str">
        <f aca="false">IF(AND(R256=0,S256&gt;0),"H2 Active / No H1 GMV",IF(S256=0,"Lapsed",IF(T256&gt;=Assumptions!$B$36,"Growing",IF(T256&lt;-Assumptions!$B$36,"Declining","Stable"))))</f>
        <v>H2 Active / No H1 GMV</v>
      </c>
      <c r="V256" s="2" t="n">
        <f aca="false">COUNTIF(I256:N256,"&gt;0")</f>
        <v>1</v>
      </c>
      <c r="W256" s="2" t="str">
        <f aca="false">IF(N256&gt;0,"Feb",IF(M256&gt;0,"Jan",IF(L256&gt;0,"Dec",IF(K256&gt;0,"Nov",IF(J256&gt;0,"Oct","Sep")))))</f>
        <v>Dec</v>
      </c>
      <c r="X256" s="2" t="str">
        <f aca="false">IF(O256&gt;=Assumptions!$B$35,"Key (&gt;=£10k)",IF(O256&gt;=Assumptions!$B$34,"Core (£2k-10k)","Tail (&lt;£2k)"))</f>
        <v>Tail (&lt;£2k)</v>
      </c>
      <c r="Y256" s="21" t="n">
        <f aca="false">INDEX('Scored Accounts'!$Q$2:$Q$301,MATCH(A256,'Scored Accounts'!$A$2:$A$301,0))</f>
        <v>0</v>
      </c>
      <c r="Z256" s="2" t="str">
        <f aca="false">INDEX('Scored Accounts'!$R$2:$R$301,MATCH(A256,'Scored Accounts'!$A$2:$A$301,0))</f>
        <v>Low</v>
      </c>
      <c r="AA256" s="2" t="str">
        <f aca="false">INDEX('Scored Accounts'!$T$2:$T$301,MATCH(A256,'Scored Accounts'!$A$2:$A$301,0))</f>
        <v/>
      </c>
      <c r="AB256" s="2" t="str">
        <f aca="false">IF(Z256="Low","Lower dep / ","Higher dep / ")&amp;IF(O256&gt;=Assumptions!$B$34,"Higher value","Lower value")</f>
        <v>Lower dep / Lower value</v>
      </c>
    </row>
    <row r="257" customFormat="false" ht="15" hidden="false" customHeight="false" outlineLevel="0" collapsed="false">
      <c r="A257" s="2" t="s">
        <v>564</v>
      </c>
      <c r="B257" s="2" t="s">
        <v>1574</v>
      </c>
      <c r="C257" s="2" t="s">
        <v>1640</v>
      </c>
      <c r="D257" s="2" t="s">
        <v>1657</v>
      </c>
      <c r="E257" s="2" t="s">
        <v>1715</v>
      </c>
      <c r="F257" s="2"/>
      <c r="G257" s="2" t="n">
        <v>3</v>
      </c>
      <c r="H257" s="2" t="n">
        <v>2</v>
      </c>
      <c r="I257" s="9" t="n">
        <v>0</v>
      </c>
      <c r="J257" s="9" t="n">
        <v>0</v>
      </c>
      <c r="K257" s="9" t="n">
        <v>0</v>
      </c>
      <c r="L257" s="9" t="n">
        <v>107</v>
      </c>
      <c r="M257" s="9" t="n">
        <v>0</v>
      </c>
      <c r="N257" s="9" t="n">
        <v>156</v>
      </c>
      <c r="O257" s="9" t="n">
        <v>263</v>
      </c>
      <c r="P257" s="2"/>
      <c r="Q257" s="2" t="str">
        <f aca="false">IF(I257&gt;0,ROUND((N257-I257)/I257*100,0),"")</f>
        <v/>
      </c>
      <c r="R257" s="9" t="n">
        <f aca="false">SUM(I257:K257)</f>
        <v>0</v>
      </c>
      <c r="S257" s="9" t="n">
        <f aca="false">SUM(L257:N257)</f>
        <v>263</v>
      </c>
      <c r="T257" s="17" t="str">
        <f aca="false">IF(R257&gt;0,S257/R257-1,"")</f>
        <v/>
      </c>
      <c r="U257" s="2" t="str">
        <f aca="false">IF(AND(R257=0,S257&gt;0),"H2 Active / No H1 GMV",IF(S257=0,"Lapsed",IF(T257&gt;=Assumptions!$B$36,"Growing",IF(T257&lt;-Assumptions!$B$36,"Declining","Stable"))))</f>
        <v>H2 Active / No H1 GMV</v>
      </c>
      <c r="V257" s="2" t="n">
        <f aca="false">COUNTIF(I257:N257,"&gt;0")</f>
        <v>2</v>
      </c>
      <c r="W257" s="2" t="str">
        <f aca="false">IF(N257&gt;0,"Feb",IF(M257&gt;0,"Jan",IF(L257&gt;0,"Dec",IF(K257&gt;0,"Nov",IF(J257&gt;0,"Oct","Sep")))))</f>
        <v>Feb</v>
      </c>
      <c r="X257" s="2" t="str">
        <f aca="false">IF(O257&gt;=Assumptions!$B$35,"Key (&gt;=£10k)",IF(O257&gt;=Assumptions!$B$34,"Core (£2k-10k)","Tail (&lt;£2k)"))</f>
        <v>Tail (&lt;£2k)</v>
      </c>
      <c r="Y257" s="21" t="n">
        <f aca="false">INDEX('Scored Accounts'!$Q$2:$Q$301,MATCH(A257,'Scored Accounts'!$A$2:$A$301,0))</f>
        <v>0</v>
      </c>
      <c r="Z257" s="2" t="str">
        <f aca="false">INDEX('Scored Accounts'!$R$2:$R$301,MATCH(A257,'Scored Accounts'!$A$2:$A$301,0))</f>
        <v>Low</v>
      </c>
      <c r="AA257" s="2" t="str">
        <f aca="false">INDEX('Scored Accounts'!$T$2:$T$301,MATCH(A257,'Scored Accounts'!$A$2:$A$301,0))</f>
        <v/>
      </c>
      <c r="AB257" s="2" t="str">
        <f aca="false">IF(Z257="Low","Lower dep / ","Higher dep / ")&amp;IF(O257&gt;=Assumptions!$B$34,"Higher value","Lower value")</f>
        <v>Lower dep / Lower value</v>
      </c>
    </row>
    <row r="258" customFormat="false" ht="15" hidden="false" customHeight="false" outlineLevel="0" collapsed="false">
      <c r="A258" s="2" t="s">
        <v>824</v>
      </c>
      <c r="B258" s="2" t="s">
        <v>1574</v>
      </c>
      <c r="C258" s="2" t="s">
        <v>1640</v>
      </c>
      <c r="D258" s="2" t="s">
        <v>1657</v>
      </c>
      <c r="E258" s="2" t="s">
        <v>1732</v>
      </c>
      <c r="F258" s="2"/>
      <c r="G258" s="2" t="n">
        <v>5</v>
      </c>
      <c r="H258" s="2" t="n">
        <v>1</v>
      </c>
      <c r="I258" s="9" t="n">
        <v>0</v>
      </c>
      <c r="J258" s="9" t="n">
        <v>260</v>
      </c>
      <c r="K258" s="9" t="n">
        <v>0</v>
      </c>
      <c r="L258" s="9" t="n">
        <v>0</v>
      </c>
      <c r="M258" s="9" t="n">
        <v>0</v>
      </c>
      <c r="N258" s="9" t="n">
        <v>0</v>
      </c>
      <c r="O258" s="9" t="n">
        <v>260</v>
      </c>
      <c r="P258" s="2"/>
      <c r="Q258" s="2" t="str">
        <f aca="false">IF(I258&gt;0,ROUND((N258-I258)/I258*100,0),"")</f>
        <v/>
      </c>
      <c r="R258" s="9" t="n">
        <f aca="false">SUM(I258:K258)</f>
        <v>260</v>
      </c>
      <c r="S258" s="9" t="n">
        <f aca="false">SUM(L258:N258)</f>
        <v>0</v>
      </c>
      <c r="T258" s="17" t="n">
        <f aca="false">IF(R258&gt;0,S258/R258-1,"")</f>
        <v>-1</v>
      </c>
      <c r="U258" s="2" t="str">
        <f aca="false">IF(AND(R258=0,S258&gt;0),"H2 Active / No H1 GMV",IF(S258=0,"Lapsed",IF(T258&gt;=Assumptions!$B$36,"Growing",IF(T258&lt;-Assumptions!$B$36,"Declining","Stable"))))</f>
        <v>Lapsed</v>
      </c>
      <c r="V258" s="2" t="n">
        <f aca="false">COUNTIF(I258:N258,"&gt;0")</f>
        <v>1</v>
      </c>
      <c r="W258" s="2" t="str">
        <f aca="false">IF(N258&gt;0,"Feb",IF(M258&gt;0,"Jan",IF(L258&gt;0,"Dec",IF(K258&gt;0,"Nov",IF(J258&gt;0,"Oct","Sep")))))</f>
        <v>Oct</v>
      </c>
      <c r="X258" s="2" t="str">
        <f aca="false">IF(O258&gt;=Assumptions!$B$35,"Key (&gt;=£10k)",IF(O258&gt;=Assumptions!$B$34,"Core (£2k-10k)","Tail (&lt;£2k)"))</f>
        <v>Tail (&lt;£2k)</v>
      </c>
      <c r="Y258" s="21" t="n">
        <f aca="false">INDEX('Scored Accounts'!$Q$2:$Q$301,MATCH(A258,'Scored Accounts'!$A$2:$A$301,0))</f>
        <v>0</v>
      </c>
      <c r="Z258" s="2" t="str">
        <f aca="false">INDEX('Scored Accounts'!$R$2:$R$301,MATCH(A258,'Scored Accounts'!$A$2:$A$301,0))</f>
        <v>Low</v>
      </c>
      <c r="AA258" s="2" t="str">
        <f aca="false">INDEX('Scored Accounts'!$T$2:$T$301,MATCH(A258,'Scored Accounts'!$A$2:$A$301,0))</f>
        <v/>
      </c>
      <c r="AB258" s="2" t="str">
        <f aca="false">IF(Z258="Low","Lower dep / ","Higher dep / ")&amp;IF(O258&gt;=Assumptions!$B$34,"Higher value","Lower value")</f>
        <v>Lower dep / Lower value</v>
      </c>
    </row>
    <row r="259" customFormat="false" ht="15" hidden="false" customHeight="false" outlineLevel="0" collapsed="false">
      <c r="A259" s="2" t="s">
        <v>836</v>
      </c>
      <c r="B259" s="2" t="s">
        <v>1574</v>
      </c>
      <c r="C259" s="2" t="s">
        <v>1640</v>
      </c>
      <c r="D259" s="2" t="s">
        <v>1658</v>
      </c>
      <c r="E259" s="2" t="s">
        <v>1658</v>
      </c>
      <c r="F259" s="2"/>
      <c r="G259" s="2" t="n">
        <v>4</v>
      </c>
      <c r="H259" s="2" t="n">
        <v>1</v>
      </c>
      <c r="I259" s="9" t="n">
        <v>0</v>
      </c>
      <c r="J259" s="9" t="n">
        <v>0</v>
      </c>
      <c r="K259" s="9" t="n">
        <v>246</v>
      </c>
      <c r="L259" s="9" t="n">
        <v>0</v>
      </c>
      <c r="M259" s="9" t="n">
        <v>0</v>
      </c>
      <c r="N259" s="9" t="n">
        <v>0</v>
      </c>
      <c r="O259" s="9" t="n">
        <v>246</v>
      </c>
      <c r="P259" s="2"/>
      <c r="Q259" s="2" t="str">
        <f aca="false">IF(I259&gt;0,ROUND((N259-I259)/I259*100,0),"")</f>
        <v/>
      </c>
      <c r="R259" s="9" t="n">
        <f aca="false">SUM(I259:K259)</f>
        <v>246</v>
      </c>
      <c r="S259" s="9" t="n">
        <f aca="false">SUM(L259:N259)</f>
        <v>0</v>
      </c>
      <c r="T259" s="17" t="n">
        <f aca="false">IF(R259&gt;0,S259/R259-1,"")</f>
        <v>-1</v>
      </c>
      <c r="U259" s="2" t="str">
        <f aca="false">IF(AND(R259=0,S259&gt;0),"H2 Active / No H1 GMV",IF(S259=0,"Lapsed",IF(T259&gt;=Assumptions!$B$36,"Growing",IF(T259&lt;-Assumptions!$B$36,"Declining","Stable"))))</f>
        <v>Lapsed</v>
      </c>
      <c r="V259" s="2" t="n">
        <f aca="false">COUNTIF(I259:N259,"&gt;0")</f>
        <v>1</v>
      </c>
      <c r="W259" s="2" t="str">
        <f aca="false">IF(N259&gt;0,"Feb",IF(M259&gt;0,"Jan",IF(L259&gt;0,"Dec",IF(K259&gt;0,"Nov",IF(J259&gt;0,"Oct","Sep")))))</f>
        <v>Nov</v>
      </c>
      <c r="X259" s="2" t="str">
        <f aca="false">IF(O259&gt;=Assumptions!$B$35,"Key (&gt;=£10k)",IF(O259&gt;=Assumptions!$B$34,"Core (£2k-10k)","Tail (&lt;£2k)"))</f>
        <v>Tail (&lt;£2k)</v>
      </c>
      <c r="Y259" s="21" t="n">
        <f aca="false">INDEX('Scored Accounts'!$Q$2:$Q$301,MATCH(A259,'Scored Accounts'!$A$2:$A$301,0))</f>
        <v>0</v>
      </c>
      <c r="Z259" s="2" t="str">
        <f aca="false">INDEX('Scored Accounts'!$R$2:$R$301,MATCH(A259,'Scored Accounts'!$A$2:$A$301,0))</f>
        <v>Low</v>
      </c>
      <c r="AA259" s="2" t="str">
        <f aca="false">INDEX('Scored Accounts'!$T$2:$T$301,MATCH(A259,'Scored Accounts'!$A$2:$A$301,0))</f>
        <v/>
      </c>
      <c r="AB259" s="2" t="str">
        <f aca="false">IF(Z259="Low","Lower dep / ","Higher dep / ")&amp;IF(O259&gt;=Assumptions!$B$34,"Higher value","Lower value")</f>
        <v>Lower dep / Lower value</v>
      </c>
    </row>
    <row r="260" customFormat="false" ht="15" hidden="false" customHeight="false" outlineLevel="0" collapsed="false">
      <c r="A260" s="2" t="s">
        <v>840</v>
      </c>
      <c r="B260" s="2" t="s">
        <v>1574</v>
      </c>
      <c r="C260" s="2" t="s">
        <v>1640</v>
      </c>
      <c r="D260" s="2" t="s">
        <v>1653</v>
      </c>
      <c r="E260" s="2" t="s">
        <v>1653</v>
      </c>
      <c r="F260" s="2"/>
      <c r="G260" s="2" t="n">
        <v>1</v>
      </c>
      <c r="H260" s="2" t="n">
        <v>1</v>
      </c>
      <c r="I260" s="9" t="n">
        <v>0</v>
      </c>
      <c r="J260" s="9" t="n">
        <v>0</v>
      </c>
      <c r="K260" s="9" t="n">
        <v>0</v>
      </c>
      <c r="L260" s="9" t="n">
        <v>0</v>
      </c>
      <c r="M260" s="9" t="n">
        <v>0</v>
      </c>
      <c r="N260" s="9" t="n">
        <v>242</v>
      </c>
      <c r="O260" s="9" t="n">
        <v>242</v>
      </c>
      <c r="P260" s="2"/>
      <c r="Q260" s="2" t="str">
        <f aca="false">IF(I260&gt;0,ROUND((N260-I260)/I260*100,0),"")</f>
        <v/>
      </c>
      <c r="R260" s="9" t="n">
        <f aca="false">SUM(I260:K260)</f>
        <v>0</v>
      </c>
      <c r="S260" s="9" t="n">
        <f aca="false">SUM(L260:N260)</f>
        <v>242</v>
      </c>
      <c r="T260" s="17" t="str">
        <f aca="false">IF(R260&gt;0,S260/R260-1,"")</f>
        <v/>
      </c>
      <c r="U260" s="2" t="str">
        <f aca="false">IF(AND(R260=0,S260&gt;0),"H2 Active / No H1 GMV",IF(S260=0,"Lapsed",IF(T260&gt;=Assumptions!$B$36,"Growing",IF(T260&lt;-Assumptions!$B$36,"Declining","Stable"))))</f>
        <v>H2 Active / No H1 GMV</v>
      </c>
      <c r="V260" s="2" t="n">
        <f aca="false">COUNTIF(I260:N260,"&gt;0")</f>
        <v>1</v>
      </c>
      <c r="W260" s="2" t="str">
        <f aca="false">IF(N260&gt;0,"Feb",IF(M260&gt;0,"Jan",IF(L260&gt;0,"Dec",IF(K260&gt;0,"Nov",IF(J260&gt;0,"Oct","Sep")))))</f>
        <v>Feb</v>
      </c>
      <c r="X260" s="2" t="str">
        <f aca="false">IF(O260&gt;=Assumptions!$B$35,"Key (&gt;=£10k)",IF(O260&gt;=Assumptions!$B$34,"Core (£2k-10k)","Tail (&lt;£2k)"))</f>
        <v>Tail (&lt;£2k)</v>
      </c>
      <c r="Y260" s="21" t="n">
        <f aca="false">INDEX('Scored Accounts'!$Q$2:$Q$301,MATCH(A260,'Scored Accounts'!$A$2:$A$301,0))</f>
        <v>0</v>
      </c>
      <c r="Z260" s="2" t="str">
        <f aca="false">INDEX('Scored Accounts'!$R$2:$R$301,MATCH(A260,'Scored Accounts'!$A$2:$A$301,0))</f>
        <v>Low</v>
      </c>
      <c r="AA260" s="2" t="str">
        <f aca="false">INDEX('Scored Accounts'!$T$2:$T$301,MATCH(A260,'Scored Accounts'!$A$2:$A$301,0))</f>
        <v/>
      </c>
      <c r="AB260" s="2" t="str">
        <f aca="false">IF(Z260="Low","Lower dep / ","Higher dep / ")&amp;IF(O260&gt;=Assumptions!$B$34,"Higher value","Lower value")</f>
        <v>Lower dep / Lower value</v>
      </c>
    </row>
    <row r="261" customFormat="false" ht="15" hidden="false" customHeight="false" outlineLevel="0" collapsed="false">
      <c r="A261" s="2" t="s">
        <v>850</v>
      </c>
      <c r="B261" s="2" t="s">
        <v>1574</v>
      </c>
      <c r="C261" s="2" t="s">
        <v>1640</v>
      </c>
      <c r="D261" s="2" t="s">
        <v>1653</v>
      </c>
      <c r="E261" s="2" t="s">
        <v>1653</v>
      </c>
      <c r="F261" s="2"/>
      <c r="G261" s="2" t="n">
        <v>5</v>
      </c>
      <c r="H261" s="2" t="n">
        <v>1</v>
      </c>
      <c r="I261" s="9" t="n">
        <v>0</v>
      </c>
      <c r="J261" s="9" t="n">
        <v>216</v>
      </c>
      <c r="K261" s="9" t="n">
        <v>0</v>
      </c>
      <c r="L261" s="9" t="n">
        <v>0</v>
      </c>
      <c r="M261" s="9" t="n">
        <v>0</v>
      </c>
      <c r="N261" s="9" t="n">
        <v>0</v>
      </c>
      <c r="O261" s="9" t="n">
        <v>216</v>
      </c>
      <c r="P261" s="2"/>
      <c r="Q261" s="2" t="str">
        <f aca="false">IF(I261&gt;0,ROUND((N261-I261)/I261*100,0),"")</f>
        <v/>
      </c>
      <c r="R261" s="9" t="n">
        <f aca="false">SUM(I261:K261)</f>
        <v>216</v>
      </c>
      <c r="S261" s="9" t="n">
        <f aca="false">SUM(L261:N261)</f>
        <v>0</v>
      </c>
      <c r="T261" s="17" t="n">
        <f aca="false">IF(R261&gt;0,S261/R261-1,"")</f>
        <v>-1</v>
      </c>
      <c r="U261" s="2" t="str">
        <f aca="false">IF(AND(R261=0,S261&gt;0),"H2 Active / No H1 GMV",IF(S261=0,"Lapsed",IF(T261&gt;=Assumptions!$B$36,"Growing",IF(T261&lt;-Assumptions!$B$36,"Declining","Stable"))))</f>
        <v>Lapsed</v>
      </c>
      <c r="V261" s="2" t="n">
        <f aca="false">COUNTIF(I261:N261,"&gt;0")</f>
        <v>1</v>
      </c>
      <c r="W261" s="2" t="str">
        <f aca="false">IF(N261&gt;0,"Feb",IF(M261&gt;0,"Jan",IF(L261&gt;0,"Dec",IF(K261&gt;0,"Nov",IF(J261&gt;0,"Oct","Sep")))))</f>
        <v>Oct</v>
      </c>
      <c r="X261" s="2" t="str">
        <f aca="false">IF(O261&gt;=Assumptions!$B$35,"Key (&gt;=£10k)",IF(O261&gt;=Assumptions!$B$34,"Core (£2k-10k)","Tail (&lt;£2k)"))</f>
        <v>Tail (&lt;£2k)</v>
      </c>
      <c r="Y261" s="21" t="n">
        <f aca="false">INDEX('Scored Accounts'!$Q$2:$Q$301,MATCH(A261,'Scored Accounts'!$A$2:$A$301,0))</f>
        <v>0</v>
      </c>
      <c r="Z261" s="2" t="str">
        <f aca="false">INDEX('Scored Accounts'!$R$2:$R$301,MATCH(A261,'Scored Accounts'!$A$2:$A$301,0))</f>
        <v>Low</v>
      </c>
      <c r="AA261" s="2" t="str">
        <f aca="false">INDEX('Scored Accounts'!$T$2:$T$301,MATCH(A261,'Scored Accounts'!$A$2:$A$301,0))</f>
        <v/>
      </c>
      <c r="AB261" s="2" t="str">
        <f aca="false">IF(Z261="Low","Lower dep / ","Higher dep / ")&amp;IF(O261&gt;=Assumptions!$B$34,"Higher value","Lower value")</f>
        <v>Lower dep / Lower value</v>
      </c>
    </row>
    <row r="262" customFormat="false" ht="15" hidden="false" customHeight="false" outlineLevel="0" collapsed="false">
      <c r="A262" s="2" t="s">
        <v>852</v>
      </c>
      <c r="B262" s="2" t="s">
        <v>1574</v>
      </c>
      <c r="C262" s="2" t="s">
        <v>1640</v>
      </c>
      <c r="D262" s="2" t="s">
        <v>1653</v>
      </c>
      <c r="E262" s="2" t="s">
        <v>1653</v>
      </c>
      <c r="F262" s="2"/>
      <c r="G262" s="2" t="n">
        <v>5</v>
      </c>
      <c r="H262" s="2" t="n">
        <v>1</v>
      </c>
      <c r="I262" s="9" t="n">
        <v>0</v>
      </c>
      <c r="J262" s="9" t="n">
        <v>216</v>
      </c>
      <c r="K262" s="9" t="n">
        <v>0</v>
      </c>
      <c r="L262" s="9" t="n">
        <v>0</v>
      </c>
      <c r="M262" s="9" t="n">
        <v>0</v>
      </c>
      <c r="N262" s="9" t="n">
        <v>0</v>
      </c>
      <c r="O262" s="9" t="n">
        <v>216</v>
      </c>
      <c r="P262" s="2"/>
      <c r="Q262" s="2" t="str">
        <f aca="false">IF(I262&gt;0,ROUND((N262-I262)/I262*100,0),"")</f>
        <v/>
      </c>
      <c r="R262" s="9" t="n">
        <f aca="false">SUM(I262:K262)</f>
        <v>216</v>
      </c>
      <c r="S262" s="9" t="n">
        <f aca="false">SUM(L262:N262)</f>
        <v>0</v>
      </c>
      <c r="T262" s="17" t="n">
        <f aca="false">IF(R262&gt;0,S262/R262-1,"")</f>
        <v>-1</v>
      </c>
      <c r="U262" s="2" t="str">
        <f aca="false">IF(AND(R262=0,S262&gt;0),"H2 Active / No H1 GMV",IF(S262=0,"Lapsed",IF(T262&gt;=Assumptions!$B$36,"Growing",IF(T262&lt;-Assumptions!$B$36,"Declining","Stable"))))</f>
        <v>Lapsed</v>
      </c>
      <c r="V262" s="2" t="n">
        <f aca="false">COUNTIF(I262:N262,"&gt;0")</f>
        <v>1</v>
      </c>
      <c r="W262" s="2" t="str">
        <f aca="false">IF(N262&gt;0,"Feb",IF(M262&gt;0,"Jan",IF(L262&gt;0,"Dec",IF(K262&gt;0,"Nov",IF(J262&gt;0,"Oct","Sep")))))</f>
        <v>Oct</v>
      </c>
      <c r="X262" s="2" t="str">
        <f aca="false">IF(O262&gt;=Assumptions!$B$35,"Key (&gt;=£10k)",IF(O262&gt;=Assumptions!$B$34,"Core (£2k-10k)","Tail (&lt;£2k)"))</f>
        <v>Tail (&lt;£2k)</v>
      </c>
      <c r="Y262" s="21" t="n">
        <f aca="false">INDEX('Scored Accounts'!$Q$2:$Q$301,MATCH(A262,'Scored Accounts'!$A$2:$A$301,0))</f>
        <v>0</v>
      </c>
      <c r="Z262" s="2" t="str">
        <f aca="false">INDEX('Scored Accounts'!$R$2:$R$301,MATCH(A262,'Scored Accounts'!$A$2:$A$301,0))</f>
        <v>Low</v>
      </c>
      <c r="AA262" s="2" t="str">
        <f aca="false">INDEX('Scored Accounts'!$T$2:$T$301,MATCH(A262,'Scored Accounts'!$A$2:$A$301,0))</f>
        <v/>
      </c>
      <c r="AB262" s="2" t="str">
        <f aca="false">IF(Z262="Low","Lower dep / ","Higher dep / ")&amp;IF(O262&gt;=Assumptions!$B$34,"Higher value","Lower value")</f>
        <v>Lower dep / Lower value</v>
      </c>
    </row>
    <row r="263" customFormat="false" ht="15" hidden="false" customHeight="false" outlineLevel="0" collapsed="false">
      <c r="A263" s="2" t="s">
        <v>854</v>
      </c>
      <c r="B263" s="2" t="s">
        <v>1574</v>
      </c>
      <c r="C263" s="2" t="s">
        <v>1640</v>
      </c>
      <c r="D263" s="2" t="s">
        <v>1653</v>
      </c>
      <c r="E263" s="2" t="s">
        <v>1653</v>
      </c>
      <c r="F263" s="2"/>
      <c r="G263" s="2" t="n">
        <v>2</v>
      </c>
      <c r="H263" s="2" t="n">
        <v>1</v>
      </c>
      <c r="I263" s="9" t="n">
        <v>0</v>
      </c>
      <c r="J263" s="9" t="n">
        <v>0</v>
      </c>
      <c r="K263" s="9" t="n">
        <v>0</v>
      </c>
      <c r="L263" s="9" t="n">
        <v>0</v>
      </c>
      <c r="M263" s="9" t="n">
        <v>212</v>
      </c>
      <c r="N263" s="9" t="n">
        <v>0</v>
      </c>
      <c r="O263" s="9" t="n">
        <v>212</v>
      </c>
      <c r="P263" s="2"/>
      <c r="Q263" s="2" t="str">
        <f aca="false">IF(I263&gt;0,ROUND((N263-I263)/I263*100,0),"")</f>
        <v/>
      </c>
      <c r="R263" s="9" t="n">
        <f aca="false">SUM(I263:K263)</f>
        <v>0</v>
      </c>
      <c r="S263" s="9" t="n">
        <f aca="false">SUM(L263:N263)</f>
        <v>212</v>
      </c>
      <c r="T263" s="17" t="str">
        <f aca="false">IF(R263&gt;0,S263/R263-1,"")</f>
        <v/>
      </c>
      <c r="U263" s="2" t="str">
        <f aca="false">IF(AND(R263=0,S263&gt;0),"H2 Active / No H1 GMV",IF(S263=0,"Lapsed",IF(T263&gt;=Assumptions!$B$36,"Growing",IF(T263&lt;-Assumptions!$B$36,"Declining","Stable"))))</f>
        <v>H2 Active / No H1 GMV</v>
      </c>
      <c r="V263" s="2" t="n">
        <f aca="false">COUNTIF(I263:N263,"&gt;0")</f>
        <v>1</v>
      </c>
      <c r="W263" s="2" t="str">
        <f aca="false">IF(N263&gt;0,"Feb",IF(M263&gt;0,"Jan",IF(L263&gt;0,"Dec",IF(K263&gt;0,"Nov",IF(J263&gt;0,"Oct","Sep")))))</f>
        <v>Jan</v>
      </c>
      <c r="X263" s="2" t="str">
        <f aca="false">IF(O263&gt;=Assumptions!$B$35,"Key (&gt;=£10k)",IF(O263&gt;=Assumptions!$B$34,"Core (£2k-10k)","Tail (&lt;£2k)"))</f>
        <v>Tail (&lt;£2k)</v>
      </c>
      <c r="Y263" s="21" t="n">
        <f aca="false">INDEX('Scored Accounts'!$Q$2:$Q$301,MATCH(A263,'Scored Accounts'!$A$2:$A$301,0))</f>
        <v>0</v>
      </c>
      <c r="Z263" s="2" t="str">
        <f aca="false">INDEX('Scored Accounts'!$R$2:$R$301,MATCH(A263,'Scored Accounts'!$A$2:$A$301,0))</f>
        <v>Low</v>
      </c>
      <c r="AA263" s="2" t="str">
        <f aca="false">INDEX('Scored Accounts'!$T$2:$T$301,MATCH(A263,'Scored Accounts'!$A$2:$A$301,0))</f>
        <v/>
      </c>
      <c r="AB263" s="2" t="str">
        <f aca="false">IF(Z263="Low","Lower dep / ","Higher dep / ")&amp;IF(O263&gt;=Assumptions!$B$34,"Higher value","Lower value")</f>
        <v>Lower dep / Lower value</v>
      </c>
    </row>
    <row r="264" customFormat="false" ht="15" hidden="false" customHeight="false" outlineLevel="0" collapsed="false">
      <c r="A264" s="2" t="s">
        <v>856</v>
      </c>
      <c r="B264" s="2" t="s">
        <v>1574</v>
      </c>
      <c r="C264" s="2" t="s">
        <v>1640</v>
      </c>
      <c r="D264" s="2" t="s">
        <v>1658</v>
      </c>
      <c r="E264" s="2" t="s">
        <v>1658</v>
      </c>
      <c r="F264" s="2"/>
      <c r="G264" s="2" t="n">
        <v>1</v>
      </c>
      <c r="H264" s="2" t="n">
        <v>1</v>
      </c>
      <c r="I264" s="9" t="n">
        <v>0</v>
      </c>
      <c r="J264" s="9" t="n">
        <v>0</v>
      </c>
      <c r="K264" s="9" t="n">
        <v>0</v>
      </c>
      <c r="L264" s="9" t="n">
        <v>0</v>
      </c>
      <c r="M264" s="9" t="n">
        <v>0</v>
      </c>
      <c r="N264" s="9" t="n">
        <v>211</v>
      </c>
      <c r="O264" s="9" t="n">
        <v>211</v>
      </c>
      <c r="P264" s="2"/>
      <c r="Q264" s="2" t="str">
        <f aca="false">IF(I264&gt;0,ROUND((N264-I264)/I264*100,0),"")</f>
        <v/>
      </c>
      <c r="R264" s="9" t="n">
        <f aca="false">SUM(I264:K264)</f>
        <v>0</v>
      </c>
      <c r="S264" s="9" t="n">
        <f aca="false">SUM(L264:N264)</f>
        <v>211</v>
      </c>
      <c r="T264" s="17" t="str">
        <f aca="false">IF(R264&gt;0,S264/R264-1,"")</f>
        <v/>
      </c>
      <c r="U264" s="2" t="str">
        <f aca="false">IF(AND(R264=0,S264&gt;0),"H2 Active / No H1 GMV",IF(S264=0,"Lapsed",IF(T264&gt;=Assumptions!$B$36,"Growing",IF(T264&lt;-Assumptions!$B$36,"Declining","Stable"))))</f>
        <v>H2 Active / No H1 GMV</v>
      </c>
      <c r="V264" s="2" t="n">
        <f aca="false">COUNTIF(I264:N264,"&gt;0")</f>
        <v>1</v>
      </c>
      <c r="W264" s="2" t="str">
        <f aca="false">IF(N264&gt;0,"Feb",IF(M264&gt;0,"Jan",IF(L264&gt;0,"Dec",IF(K264&gt;0,"Nov",IF(J264&gt;0,"Oct","Sep")))))</f>
        <v>Feb</v>
      </c>
      <c r="X264" s="2" t="str">
        <f aca="false">IF(O264&gt;=Assumptions!$B$35,"Key (&gt;=£10k)",IF(O264&gt;=Assumptions!$B$34,"Core (£2k-10k)","Tail (&lt;£2k)"))</f>
        <v>Tail (&lt;£2k)</v>
      </c>
      <c r="Y264" s="21" t="n">
        <f aca="false">INDEX('Scored Accounts'!$Q$2:$Q$301,MATCH(A264,'Scored Accounts'!$A$2:$A$301,0))</f>
        <v>0</v>
      </c>
      <c r="Z264" s="2" t="str">
        <f aca="false">INDEX('Scored Accounts'!$R$2:$R$301,MATCH(A264,'Scored Accounts'!$A$2:$A$301,0))</f>
        <v>Low</v>
      </c>
      <c r="AA264" s="2" t="str">
        <f aca="false">INDEX('Scored Accounts'!$T$2:$T$301,MATCH(A264,'Scored Accounts'!$A$2:$A$301,0))</f>
        <v/>
      </c>
      <c r="AB264" s="2" t="str">
        <f aca="false">IF(Z264="Low","Lower dep / ","Higher dep / ")&amp;IF(O264&gt;=Assumptions!$B$34,"Higher value","Lower value")</f>
        <v>Lower dep / Lower value</v>
      </c>
    </row>
    <row r="265" customFormat="false" ht="15" hidden="false" customHeight="false" outlineLevel="0" collapsed="false">
      <c r="A265" s="2" t="s">
        <v>860</v>
      </c>
      <c r="B265" s="2" t="s">
        <v>1574</v>
      </c>
      <c r="C265" s="2" t="s">
        <v>1640</v>
      </c>
      <c r="D265" s="2" t="s">
        <v>1655</v>
      </c>
      <c r="E265" s="2" t="s">
        <v>1655</v>
      </c>
      <c r="F265" s="2"/>
      <c r="G265" s="2" t="n">
        <v>2</v>
      </c>
      <c r="H265" s="2" t="n">
        <v>1</v>
      </c>
      <c r="I265" s="9" t="n">
        <v>0</v>
      </c>
      <c r="J265" s="9" t="n">
        <v>0</v>
      </c>
      <c r="K265" s="9" t="n">
        <v>0</v>
      </c>
      <c r="L265" s="9" t="n">
        <v>0</v>
      </c>
      <c r="M265" s="9" t="n">
        <v>209</v>
      </c>
      <c r="N265" s="9" t="n">
        <v>0</v>
      </c>
      <c r="O265" s="9" t="n">
        <v>209</v>
      </c>
      <c r="P265" s="2"/>
      <c r="Q265" s="2" t="str">
        <f aca="false">IF(I265&gt;0,ROUND((N265-I265)/I265*100,0),"")</f>
        <v/>
      </c>
      <c r="R265" s="9" t="n">
        <f aca="false">SUM(I265:K265)</f>
        <v>0</v>
      </c>
      <c r="S265" s="9" t="n">
        <f aca="false">SUM(L265:N265)</f>
        <v>209</v>
      </c>
      <c r="T265" s="17" t="str">
        <f aca="false">IF(R265&gt;0,S265/R265-1,"")</f>
        <v/>
      </c>
      <c r="U265" s="2" t="str">
        <f aca="false">IF(AND(R265=0,S265&gt;0),"H2 Active / No H1 GMV",IF(S265=0,"Lapsed",IF(T265&gt;=Assumptions!$B$36,"Growing",IF(T265&lt;-Assumptions!$B$36,"Declining","Stable"))))</f>
        <v>H2 Active / No H1 GMV</v>
      </c>
      <c r="V265" s="2" t="n">
        <f aca="false">COUNTIF(I265:N265,"&gt;0")</f>
        <v>1</v>
      </c>
      <c r="W265" s="2" t="str">
        <f aca="false">IF(N265&gt;0,"Feb",IF(M265&gt;0,"Jan",IF(L265&gt;0,"Dec",IF(K265&gt;0,"Nov",IF(J265&gt;0,"Oct","Sep")))))</f>
        <v>Jan</v>
      </c>
      <c r="X265" s="2" t="str">
        <f aca="false">IF(O265&gt;=Assumptions!$B$35,"Key (&gt;=£10k)",IF(O265&gt;=Assumptions!$B$34,"Core (£2k-10k)","Tail (&lt;£2k)"))</f>
        <v>Tail (&lt;£2k)</v>
      </c>
      <c r="Y265" s="21" t="n">
        <f aca="false">INDEX('Scored Accounts'!$Q$2:$Q$301,MATCH(A265,'Scored Accounts'!$A$2:$A$301,0))</f>
        <v>0</v>
      </c>
      <c r="Z265" s="2" t="str">
        <f aca="false">INDEX('Scored Accounts'!$R$2:$R$301,MATCH(A265,'Scored Accounts'!$A$2:$A$301,0))</f>
        <v>Low</v>
      </c>
      <c r="AA265" s="2" t="str">
        <f aca="false">INDEX('Scored Accounts'!$T$2:$T$301,MATCH(A265,'Scored Accounts'!$A$2:$A$301,0))</f>
        <v/>
      </c>
      <c r="AB265" s="2" t="str">
        <f aca="false">IF(Z265="Low","Lower dep / ","Higher dep / ")&amp;IF(O265&gt;=Assumptions!$B$34,"Higher value","Lower value")</f>
        <v>Lower dep / Lower value</v>
      </c>
    </row>
    <row r="266" customFormat="false" ht="15" hidden="false" customHeight="false" outlineLevel="0" collapsed="false">
      <c r="A266" s="2" t="s">
        <v>868</v>
      </c>
      <c r="B266" s="2" t="s">
        <v>1574</v>
      </c>
      <c r="C266" s="2" t="s">
        <v>1640</v>
      </c>
      <c r="D266" s="2" t="s">
        <v>1657</v>
      </c>
      <c r="E266" s="2" t="s">
        <v>1724</v>
      </c>
      <c r="F266" s="2"/>
      <c r="G266" s="2" t="n">
        <v>2</v>
      </c>
      <c r="H266" s="2" t="n">
        <v>1</v>
      </c>
      <c r="I266" s="9" t="n">
        <v>0</v>
      </c>
      <c r="J266" s="9" t="n">
        <v>0</v>
      </c>
      <c r="K266" s="9" t="n">
        <v>0</v>
      </c>
      <c r="L266" s="9" t="n">
        <v>0</v>
      </c>
      <c r="M266" s="9" t="n">
        <v>196</v>
      </c>
      <c r="N266" s="9" t="n">
        <v>0</v>
      </c>
      <c r="O266" s="9" t="n">
        <v>196</v>
      </c>
      <c r="P266" s="2"/>
      <c r="Q266" s="2" t="str">
        <f aca="false">IF(I266&gt;0,ROUND((N266-I266)/I266*100,0),"")</f>
        <v/>
      </c>
      <c r="R266" s="9" t="n">
        <f aca="false">SUM(I266:K266)</f>
        <v>0</v>
      </c>
      <c r="S266" s="9" t="n">
        <f aca="false">SUM(L266:N266)</f>
        <v>196</v>
      </c>
      <c r="T266" s="17" t="str">
        <f aca="false">IF(R266&gt;0,S266/R266-1,"")</f>
        <v/>
      </c>
      <c r="U266" s="2" t="str">
        <f aca="false">IF(AND(R266=0,S266&gt;0),"H2 Active / No H1 GMV",IF(S266=0,"Lapsed",IF(T266&gt;=Assumptions!$B$36,"Growing",IF(T266&lt;-Assumptions!$B$36,"Declining","Stable"))))</f>
        <v>H2 Active / No H1 GMV</v>
      </c>
      <c r="V266" s="2" t="n">
        <f aca="false">COUNTIF(I266:N266,"&gt;0")</f>
        <v>1</v>
      </c>
      <c r="W266" s="2" t="str">
        <f aca="false">IF(N266&gt;0,"Feb",IF(M266&gt;0,"Jan",IF(L266&gt;0,"Dec",IF(K266&gt;0,"Nov",IF(J266&gt;0,"Oct","Sep")))))</f>
        <v>Jan</v>
      </c>
      <c r="X266" s="2" t="str">
        <f aca="false">IF(O266&gt;=Assumptions!$B$35,"Key (&gt;=£10k)",IF(O266&gt;=Assumptions!$B$34,"Core (£2k-10k)","Tail (&lt;£2k)"))</f>
        <v>Tail (&lt;£2k)</v>
      </c>
      <c r="Y266" s="21" t="n">
        <f aca="false">INDEX('Scored Accounts'!$Q$2:$Q$301,MATCH(A266,'Scored Accounts'!$A$2:$A$301,0))</f>
        <v>0</v>
      </c>
      <c r="Z266" s="2" t="str">
        <f aca="false">INDEX('Scored Accounts'!$R$2:$R$301,MATCH(A266,'Scored Accounts'!$A$2:$A$301,0))</f>
        <v>Low</v>
      </c>
      <c r="AA266" s="2" t="str">
        <f aca="false">INDEX('Scored Accounts'!$T$2:$T$301,MATCH(A266,'Scored Accounts'!$A$2:$A$301,0))</f>
        <v/>
      </c>
      <c r="AB266" s="2" t="str">
        <f aca="false">IF(Z266="Low","Lower dep / ","Higher dep / ")&amp;IF(O266&gt;=Assumptions!$B$34,"Higher value","Lower value")</f>
        <v>Lower dep / Lower value</v>
      </c>
    </row>
    <row r="267" customFormat="false" ht="15" hidden="false" customHeight="false" outlineLevel="0" collapsed="false">
      <c r="A267" s="2" t="s">
        <v>872</v>
      </c>
      <c r="B267" s="2" t="s">
        <v>1574</v>
      </c>
      <c r="C267" s="2" t="s">
        <v>1640</v>
      </c>
      <c r="D267" s="2" t="s">
        <v>1657</v>
      </c>
      <c r="E267" s="2" t="s">
        <v>1726</v>
      </c>
      <c r="F267" s="2"/>
      <c r="G267" s="2" t="n">
        <v>6</v>
      </c>
      <c r="H267" s="2" t="n">
        <v>1</v>
      </c>
      <c r="I267" s="9" t="n">
        <v>188</v>
      </c>
      <c r="J267" s="9" t="n">
        <v>0</v>
      </c>
      <c r="K267" s="9" t="n">
        <v>0</v>
      </c>
      <c r="L267" s="9" t="n">
        <v>0</v>
      </c>
      <c r="M267" s="9" t="n">
        <v>0</v>
      </c>
      <c r="N267" s="9" t="n">
        <v>0</v>
      </c>
      <c r="O267" s="9" t="n">
        <v>188</v>
      </c>
      <c r="P267" s="2" t="n">
        <v>-100</v>
      </c>
      <c r="Q267" s="2" t="n">
        <f aca="false">IF(I267&gt;0,ROUND((N267-I267)/I267*100,0),"")</f>
        <v>-100</v>
      </c>
      <c r="R267" s="9" t="n">
        <f aca="false">SUM(I267:K267)</f>
        <v>188</v>
      </c>
      <c r="S267" s="9" t="n">
        <f aca="false">SUM(L267:N267)</f>
        <v>0</v>
      </c>
      <c r="T267" s="17" t="n">
        <f aca="false">IF(R267&gt;0,S267/R267-1,"")</f>
        <v>-1</v>
      </c>
      <c r="U267" s="2" t="str">
        <f aca="false">IF(AND(R267=0,S267&gt;0),"H2 Active / No H1 GMV",IF(S267=0,"Lapsed",IF(T267&gt;=Assumptions!$B$36,"Growing",IF(T267&lt;-Assumptions!$B$36,"Declining","Stable"))))</f>
        <v>Lapsed</v>
      </c>
      <c r="V267" s="2" t="n">
        <f aca="false">COUNTIF(I267:N267,"&gt;0")</f>
        <v>1</v>
      </c>
      <c r="W267" s="2" t="str">
        <f aca="false">IF(N267&gt;0,"Feb",IF(M267&gt;0,"Jan",IF(L267&gt;0,"Dec",IF(K267&gt;0,"Nov",IF(J267&gt;0,"Oct","Sep")))))</f>
        <v>Sep</v>
      </c>
      <c r="X267" s="2" t="str">
        <f aca="false">IF(O267&gt;=Assumptions!$B$35,"Key (&gt;=£10k)",IF(O267&gt;=Assumptions!$B$34,"Core (£2k-10k)","Tail (&lt;£2k)"))</f>
        <v>Tail (&lt;£2k)</v>
      </c>
      <c r="Y267" s="21" t="n">
        <f aca="false">INDEX('Scored Accounts'!$Q$2:$Q$301,MATCH(A267,'Scored Accounts'!$A$2:$A$301,0))</f>
        <v>0</v>
      </c>
      <c r="Z267" s="2" t="str">
        <f aca="false">INDEX('Scored Accounts'!$R$2:$R$301,MATCH(A267,'Scored Accounts'!$A$2:$A$301,0))</f>
        <v>Low</v>
      </c>
      <c r="AA267" s="2" t="str">
        <f aca="false">INDEX('Scored Accounts'!$T$2:$T$301,MATCH(A267,'Scored Accounts'!$A$2:$A$301,0))</f>
        <v/>
      </c>
      <c r="AB267" s="2" t="str">
        <f aca="false">IF(Z267="Low","Lower dep / ","Higher dep / ")&amp;IF(O267&gt;=Assumptions!$B$34,"Higher value","Lower value")</f>
        <v>Lower dep / Lower value</v>
      </c>
    </row>
    <row r="268" customFormat="false" ht="15" hidden="false" customHeight="false" outlineLevel="0" collapsed="false">
      <c r="A268" s="2" t="s">
        <v>876</v>
      </c>
      <c r="B268" s="2" t="s">
        <v>1574</v>
      </c>
      <c r="C268" s="2" t="s">
        <v>1640</v>
      </c>
      <c r="D268" s="2" t="s">
        <v>1653</v>
      </c>
      <c r="E268" s="2" t="s">
        <v>1653</v>
      </c>
      <c r="F268" s="2"/>
      <c r="G268" s="2" t="n">
        <v>4</v>
      </c>
      <c r="H268" s="2" t="n">
        <v>2</v>
      </c>
      <c r="I268" s="9" t="n">
        <v>0</v>
      </c>
      <c r="J268" s="9" t="n">
        <v>0</v>
      </c>
      <c r="K268" s="9" t="n">
        <v>186</v>
      </c>
      <c r="L268" s="9" t="n">
        <v>0</v>
      </c>
      <c r="M268" s="9" t="n">
        <v>0</v>
      </c>
      <c r="N268" s="9" t="n">
        <v>0</v>
      </c>
      <c r="O268" s="9" t="n">
        <v>186</v>
      </c>
      <c r="P268" s="2"/>
      <c r="Q268" s="2" t="str">
        <f aca="false">IF(I268&gt;0,ROUND((N268-I268)/I268*100,0),"")</f>
        <v/>
      </c>
      <c r="R268" s="9" t="n">
        <f aca="false">SUM(I268:K268)</f>
        <v>186</v>
      </c>
      <c r="S268" s="9" t="n">
        <f aca="false">SUM(L268:N268)</f>
        <v>0</v>
      </c>
      <c r="T268" s="17" t="n">
        <f aca="false">IF(R268&gt;0,S268/R268-1,"")</f>
        <v>-1</v>
      </c>
      <c r="U268" s="2" t="str">
        <f aca="false">IF(AND(R268=0,S268&gt;0),"H2 Active / No H1 GMV",IF(S268=0,"Lapsed",IF(T268&gt;=Assumptions!$B$36,"Growing",IF(T268&lt;-Assumptions!$B$36,"Declining","Stable"))))</f>
        <v>Lapsed</v>
      </c>
      <c r="V268" s="2" t="n">
        <f aca="false">COUNTIF(I268:N268,"&gt;0")</f>
        <v>1</v>
      </c>
      <c r="W268" s="2" t="str">
        <f aca="false">IF(N268&gt;0,"Feb",IF(M268&gt;0,"Jan",IF(L268&gt;0,"Dec",IF(K268&gt;0,"Nov",IF(J268&gt;0,"Oct","Sep")))))</f>
        <v>Nov</v>
      </c>
      <c r="X268" s="2" t="str">
        <f aca="false">IF(O268&gt;=Assumptions!$B$35,"Key (&gt;=£10k)",IF(O268&gt;=Assumptions!$B$34,"Core (£2k-10k)","Tail (&lt;£2k)"))</f>
        <v>Tail (&lt;£2k)</v>
      </c>
      <c r="Y268" s="21" t="n">
        <f aca="false">INDEX('Scored Accounts'!$Q$2:$Q$301,MATCH(A268,'Scored Accounts'!$A$2:$A$301,0))</f>
        <v>0</v>
      </c>
      <c r="Z268" s="2" t="str">
        <f aca="false">INDEX('Scored Accounts'!$R$2:$R$301,MATCH(A268,'Scored Accounts'!$A$2:$A$301,0))</f>
        <v>Low</v>
      </c>
      <c r="AA268" s="2" t="str">
        <f aca="false">INDEX('Scored Accounts'!$T$2:$T$301,MATCH(A268,'Scored Accounts'!$A$2:$A$301,0))</f>
        <v/>
      </c>
      <c r="AB268" s="2" t="str">
        <f aca="false">IF(Z268="Low","Lower dep / ","Higher dep / ")&amp;IF(O268&gt;=Assumptions!$B$34,"Higher value","Lower value")</f>
        <v>Lower dep / Lower value</v>
      </c>
    </row>
    <row r="269" customFormat="false" ht="15" hidden="false" customHeight="false" outlineLevel="0" collapsed="false">
      <c r="A269" s="2" t="s">
        <v>880</v>
      </c>
      <c r="B269" s="2" t="s">
        <v>1574</v>
      </c>
      <c r="C269" s="2" t="s">
        <v>1640</v>
      </c>
      <c r="D269" s="2" t="s">
        <v>1653</v>
      </c>
      <c r="E269" s="2" t="s">
        <v>1653</v>
      </c>
      <c r="F269" s="2"/>
      <c r="G269" s="2" t="n">
        <v>2</v>
      </c>
      <c r="H269" s="2" t="n">
        <v>2</v>
      </c>
      <c r="I269" s="9" t="n">
        <v>0</v>
      </c>
      <c r="J269" s="9" t="n">
        <v>0</v>
      </c>
      <c r="K269" s="9" t="n">
        <v>0</v>
      </c>
      <c r="L269" s="9" t="n">
        <v>0</v>
      </c>
      <c r="M269" s="9" t="n">
        <v>182</v>
      </c>
      <c r="N269" s="9" t="n">
        <v>0</v>
      </c>
      <c r="O269" s="9" t="n">
        <v>182</v>
      </c>
      <c r="P269" s="2"/>
      <c r="Q269" s="2" t="str">
        <f aca="false">IF(I269&gt;0,ROUND((N269-I269)/I269*100,0),"")</f>
        <v/>
      </c>
      <c r="R269" s="9" t="n">
        <f aca="false">SUM(I269:K269)</f>
        <v>0</v>
      </c>
      <c r="S269" s="9" t="n">
        <f aca="false">SUM(L269:N269)</f>
        <v>182</v>
      </c>
      <c r="T269" s="17" t="str">
        <f aca="false">IF(R269&gt;0,S269/R269-1,"")</f>
        <v/>
      </c>
      <c r="U269" s="2" t="str">
        <f aca="false">IF(AND(R269=0,S269&gt;0),"H2 Active / No H1 GMV",IF(S269=0,"Lapsed",IF(T269&gt;=Assumptions!$B$36,"Growing",IF(T269&lt;-Assumptions!$B$36,"Declining","Stable"))))</f>
        <v>H2 Active / No H1 GMV</v>
      </c>
      <c r="V269" s="2" t="n">
        <f aca="false">COUNTIF(I269:N269,"&gt;0")</f>
        <v>1</v>
      </c>
      <c r="W269" s="2" t="str">
        <f aca="false">IF(N269&gt;0,"Feb",IF(M269&gt;0,"Jan",IF(L269&gt;0,"Dec",IF(K269&gt;0,"Nov",IF(J269&gt;0,"Oct","Sep")))))</f>
        <v>Jan</v>
      </c>
      <c r="X269" s="2" t="str">
        <f aca="false">IF(O269&gt;=Assumptions!$B$35,"Key (&gt;=£10k)",IF(O269&gt;=Assumptions!$B$34,"Core (£2k-10k)","Tail (&lt;£2k)"))</f>
        <v>Tail (&lt;£2k)</v>
      </c>
      <c r="Y269" s="21" t="n">
        <f aca="false">INDEX('Scored Accounts'!$Q$2:$Q$301,MATCH(A269,'Scored Accounts'!$A$2:$A$301,0))</f>
        <v>0</v>
      </c>
      <c r="Z269" s="2" t="str">
        <f aca="false">INDEX('Scored Accounts'!$R$2:$R$301,MATCH(A269,'Scored Accounts'!$A$2:$A$301,0))</f>
        <v>Low</v>
      </c>
      <c r="AA269" s="2" t="str">
        <f aca="false">INDEX('Scored Accounts'!$T$2:$T$301,MATCH(A269,'Scored Accounts'!$A$2:$A$301,0))</f>
        <v/>
      </c>
      <c r="AB269" s="2" t="str">
        <f aca="false">IF(Z269="Low","Lower dep / ","Higher dep / ")&amp;IF(O269&gt;=Assumptions!$B$34,"Higher value","Lower value")</f>
        <v>Lower dep / Lower value</v>
      </c>
    </row>
    <row r="270" customFormat="false" ht="15" hidden="false" customHeight="false" outlineLevel="0" collapsed="false">
      <c r="A270" s="2" t="s">
        <v>882</v>
      </c>
      <c r="B270" s="2" t="s">
        <v>1574</v>
      </c>
      <c r="C270" s="2" t="s">
        <v>1640</v>
      </c>
      <c r="D270" s="2" t="s">
        <v>1658</v>
      </c>
      <c r="E270" s="2" t="s">
        <v>1658</v>
      </c>
      <c r="F270" s="2"/>
      <c r="G270" s="2" t="n">
        <v>2</v>
      </c>
      <c r="H270" s="2" t="n">
        <v>1</v>
      </c>
      <c r="I270" s="9" t="n">
        <v>0</v>
      </c>
      <c r="J270" s="9" t="n">
        <v>0</v>
      </c>
      <c r="K270" s="9" t="n">
        <v>0</v>
      </c>
      <c r="L270" s="9" t="n">
        <v>0</v>
      </c>
      <c r="M270" s="9" t="n">
        <v>181</v>
      </c>
      <c r="N270" s="9" t="n">
        <v>0</v>
      </c>
      <c r="O270" s="9" t="n">
        <v>181</v>
      </c>
      <c r="P270" s="2"/>
      <c r="Q270" s="2" t="str">
        <f aca="false">IF(I270&gt;0,ROUND((N270-I270)/I270*100,0),"")</f>
        <v/>
      </c>
      <c r="R270" s="9" t="n">
        <f aca="false">SUM(I270:K270)</f>
        <v>0</v>
      </c>
      <c r="S270" s="9" t="n">
        <f aca="false">SUM(L270:N270)</f>
        <v>181</v>
      </c>
      <c r="T270" s="17" t="str">
        <f aca="false">IF(R270&gt;0,S270/R270-1,"")</f>
        <v/>
      </c>
      <c r="U270" s="2" t="str">
        <f aca="false">IF(AND(R270=0,S270&gt;0),"H2 Active / No H1 GMV",IF(S270=0,"Lapsed",IF(T270&gt;=Assumptions!$B$36,"Growing",IF(T270&lt;-Assumptions!$B$36,"Declining","Stable"))))</f>
        <v>H2 Active / No H1 GMV</v>
      </c>
      <c r="V270" s="2" t="n">
        <f aca="false">COUNTIF(I270:N270,"&gt;0")</f>
        <v>1</v>
      </c>
      <c r="W270" s="2" t="str">
        <f aca="false">IF(N270&gt;0,"Feb",IF(M270&gt;0,"Jan",IF(L270&gt;0,"Dec",IF(K270&gt;0,"Nov",IF(J270&gt;0,"Oct","Sep")))))</f>
        <v>Jan</v>
      </c>
      <c r="X270" s="2" t="str">
        <f aca="false">IF(O270&gt;=Assumptions!$B$35,"Key (&gt;=£10k)",IF(O270&gt;=Assumptions!$B$34,"Core (£2k-10k)","Tail (&lt;£2k)"))</f>
        <v>Tail (&lt;£2k)</v>
      </c>
      <c r="Y270" s="21" t="n">
        <f aca="false">INDEX('Scored Accounts'!$Q$2:$Q$301,MATCH(A270,'Scored Accounts'!$A$2:$A$301,0))</f>
        <v>0</v>
      </c>
      <c r="Z270" s="2" t="str">
        <f aca="false">INDEX('Scored Accounts'!$R$2:$R$301,MATCH(A270,'Scored Accounts'!$A$2:$A$301,0))</f>
        <v>Low</v>
      </c>
      <c r="AA270" s="2" t="str">
        <f aca="false">INDEX('Scored Accounts'!$T$2:$T$301,MATCH(A270,'Scored Accounts'!$A$2:$A$301,0))</f>
        <v/>
      </c>
      <c r="AB270" s="2" t="str">
        <f aca="false">IF(Z270="Low","Lower dep / ","Higher dep / ")&amp;IF(O270&gt;=Assumptions!$B$34,"Higher value","Lower value")</f>
        <v>Lower dep / Lower value</v>
      </c>
    </row>
    <row r="271" customFormat="false" ht="15" hidden="false" customHeight="false" outlineLevel="0" collapsed="false">
      <c r="A271" s="2" t="s">
        <v>884</v>
      </c>
      <c r="B271" s="2" t="s">
        <v>1574</v>
      </c>
      <c r="C271" s="2" t="s">
        <v>1640</v>
      </c>
      <c r="D271" s="2" t="s">
        <v>1655</v>
      </c>
      <c r="E271" s="2" t="s">
        <v>1655</v>
      </c>
      <c r="F271" s="2"/>
      <c r="G271" s="2" t="n">
        <v>4</v>
      </c>
      <c r="H271" s="2" t="n">
        <v>1</v>
      </c>
      <c r="I271" s="9" t="n">
        <v>0</v>
      </c>
      <c r="J271" s="9" t="n">
        <v>0</v>
      </c>
      <c r="K271" s="9" t="n">
        <v>180</v>
      </c>
      <c r="L271" s="9" t="n">
        <v>0</v>
      </c>
      <c r="M271" s="9" t="n">
        <v>0</v>
      </c>
      <c r="N271" s="9" t="n">
        <v>0</v>
      </c>
      <c r="O271" s="9" t="n">
        <v>180</v>
      </c>
      <c r="P271" s="2"/>
      <c r="Q271" s="2" t="str">
        <f aca="false">IF(I271&gt;0,ROUND((N271-I271)/I271*100,0),"")</f>
        <v/>
      </c>
      <c r="R271" s="9" t="n">
        <f aca="false">SUM(I271:K271)</f>
        <v>180</v>
      </c>
      <c r="S271" s="9" t="n">
        <f aca="false">SUM(L271:N271)</f>
        <v>0</v>
      </c>
      <c r="T271" s="17" t="n">
        <f aca="false">IF(R271&gt;0,S271/R271-1,"")</f>
        <v>-1</v>
      </c>
      <c r="U271" s="2" t="str">
        <f aca="false">IF(AND(R271=0,S271&gt;0),"H2 Active / No H1 GMV",IF(S271=0,"Lapsed",IF(T271&gt;=Assumptions!$B$36,"Growing",IF(T271&lt;-Assumptions!$B$36,"Declining","Stable"))))</f>
        <v>Lapsed</v>
      </c>
      <c r="V271" s="2" t="n">
        <f aca="false">COUNTIF(I271:N271,"&gt;0")</f>
        <v>1</v>
      </c>
      <c r="W271" s="2" t="str">
        <f aca="false">IF(N271&gt;0,"Feb",IF(M271&gt;0,"Jan",IF(L271&gt;0,"Dec",IF(K271&gt;0,"Nov",IF(J271&gt;0,"Oct","Sep")))))</f>
        <v>Nov</v>
      </c>
      <c r="X271" s="2" t="str">
        <f aca="false">IF(O271&gt;=Assumptions!$B$35,"Key (&gt;=£10k)",IF(O271&gt;=Assumptions!$B$34,"Core (£2k-10k)","Tail (&lt;£2k)"))</f>
        <v>Tail (&lt;£2k)</v>
      </c>
      <c r="Y271" s="21" t="n">
        <f aca="false">INDEX('Scored Accounts'!$Q$2:$Q$301,MATCH(A271,'Scored Accounts'!$A$2:$A$301,0))</f>
        <v>0</v>
      </c>
      <c r="Z271" s="2" t="str">
        <f aca="false">INDEX('Scored Accounts'!$R$2:$R$301,MATCH(A271,'Scored Accounts'!$A$2:$A$301,0))</f>
        <v>Low</v>
      </c>
      <c r="AA271" s="2" t="str">
        <f aca="false">INDEX('Scored Accounts'!$T$2:$T$301,MATCH(A271,'Scored Accounts'!$A$2:$A$301,0))</f>
        <v/>
      </c>
      <c r="AB271" s="2" t="str">
        <f aca="false">IF(Z271="Low","Lower dep / ","Higher dep / ")&amp;IF(O271&gt;=Assumptions!$B$34,"Higher value","Lower value")</f>
        <v>Lower dep / Lower value</v>
      </c>
    </row>
    <row r="272" customFormat="false" ht="15" hidden="false" customHeight="false" outlineLevel="0" collapsed="false">
      <c r="A272" s="2" t="s">
        <v>888</v>
      </c>
      <c r="B272" s="2" t="s">
        <v>1574</v>
      </c>
      <c r="C272" s="2" t="s">
        <v>1640</v>
      </c>
      <c r="D272" s="2" t="s">
        <v>1655</v>
      </c>
      <c r="E272" s="2" t="s">
        <v>1655</v>
      </c>
      <c r="F272" s="2"/>
      <c r="G272" s="2" t="n">
        <v>6</v>
      </c>
      <c r="H272" s="2" t="n">
        <v>1</v>
      </c>
      <c r="I272" s="9" t="n">
        <v>173</v>
      </c>
      <c r="J272" s="9" t="n">
        <v>0</v>
      </c>
      <c r="K272" s="9" t="n">
        <v>0</v>
      </c>
      <c r="L272" s="9" t="n">
        <v>0</v>
      </c>
      <c r="M272" s="9" t="n">
        <v>0</v>
      </c>
      <c r="N272" s="9" t="n">
        <v>0</v>
      </c>
      <c r="O272" s="9" t="n">
        <v>173</v>
      </c>
      <c r="P272" s="2" t="n">
        <v>-100</v>
      </c>
      <c r="Q272" s="2" t="n">
        <f aca="false">IF(I272&gt;0,ROUND((N272-I272)/I272*100,0),"")</f>
        <v>-100</v>
      </c>
      <c r="R272" s="9" t="n">
        <f aca="false">SUM(I272:K272)</f>
        <v>173</v>
      </c>
      <c r="S272" s="9" t="n">
        <f aca="false">SUM(L272:N272)</f>
        <v>0</v>
      </c>
      <c r="T272" s="17" t="n">
        <f aca="false">IF(R272&gt;0,S272/R272-1,"")</f>
        <v>-1</v>
      </c>
      <c r="U272" s="2" t="str">
        <f aca="false">IF(AND(R272=0,S272&gt;0),"H2 Active / No H1 GMV",IF(S272=0,"Lapsed",IF(T272&gt;=Assumptions!$B$36,"Growing",IF(T272&lt;-Assumptions!$B$36,"Declining","Stable"))))</f>
        <v>Lapsed</v>
      </c>
      <c r="V272" s="2" t="n">
        <f aca="false">COUNTIF(I272:N272,"&gt;0")</f>
        <v>1</v>
      </c>
      <c r="W272" s="2" t="str">
        <f aca="false">IF(N272&gt;0,"Feb",IF(M272&gt;0,"Jan",IF(L272&gt;0,"Dec",IF(K272&gt;0,"Nov",IF(J272&gt;0,"Oct","Sep")))))</f>
        <v>Sep</v>
      </c>
      <c r="X272" s="2" t="str">
        <f aca="false">IF(O272&gt;=Assumptions!$B$35,"Key (&gt;=£10k)",IF(O272&gt;=Assumptions!$B$34,"Core (£2k-10k)","Tail (&lt;£2k)"))</f>
        <v>Tail (&lt;£2k)</v>
      </c>
      <c r="Y272" s="21" t="n">
        <f aca="false">INDEX('Scored Accounts'!$Q$2:$Q$301,MATCH(A272,'Scored Accounts'!$A$2:$A$301,0))</f>
        <v>0</v>
      </c>
      <c r="Z272" s="2" t="str">
        <f aca="false">INDEX('Scored Accounts'!$R$2:$R$301,MATCH(A272,'Scored Accounts'!$A$2:$A$301,0))</f>
        <v>Low</v>
      </c>
      <c r="AA272" s="2" t="str">
        <f aca="false">INDEX('Scored Accounts'!$T$2:$T$301,MATCH(A272,'Scored Accounts'!$A$2:$A$301,0))</f>
        <v/>
      </c>
      <c r="AB272" s="2" t="str">
        <f aca="false">IF(Z272="Low","Lower dep / ","Higher dep / ")&amp;IF(O272&gt;=Assumptions!$B$34,"Higher value","Lower value")</f>
        <v>Lower dep / Lower value</v>
      </c>
    </row>
    <row r="273" customFormat="false" ht="15" hidden="false" customHeight="false" outlineLevel="0" collapsed="false">
      <c r="A273" s="2" t="s">
        <v>892</v>
      </c>
      <c r="B273" s="2" t="s">
        <v>1574</v>
      </c>
      <c r="C273" s="2" t="s">
        <v>1640</v>
      </c>
      <c r="D273" s="2" t="s">
        <v>1654</v>
      </c>
      <c r="E273" s="2" t="s">
        <v>1654</v>
      </c>
      <c r="F273" s="2"/>
      <c r="G273" s="2" t="n">
        <v>3</v>
      </c>
      <c r="H273" s="2" t="n">
        <v>1</v>
      </c>
      <c r="I273" s="9" t="n">
        <v>0</v>
      </c>
      <c r="J273" s="9" t="n">
        <v>0</v>
      </c>
      <c r="K273" s="9" t="n">
        <v>0</v>
      </c>
      <c r="L273" s="9" t="n">
        <v>170</v>
      </c>
      <c r="M273" s="9" t="n">
        <v>0</v>
      </c>
      <c r="N273" s="9" t="n">
        <v>0</v>
      </c>
      <c r="O273" s="9" t="n">
        <v>170</v>
      </c>
      <c r="P273" s="2"/>
      <c r="Q273" s="2" t="str">
        <f aca="false">IF(I273&gt;0,ROUND((N273-I273)/I273*100,0),"")</f>
        <v/>
      </c>
      <c r="R273" s="9" t="n">
        <f aca="false">SUM(I273:K273)</f>
        <v>0</v>
      </c>
      <c r="S273" s="9" t="n">
        <f aca="false">SUM(L273:N273)</f>
        <v>170</v>
      </c>
      <c r="T273" s="17" t="str">
        <f aca="false">IF(R273&gt;0,S273/R273-1,"")</f>
        <v/>
      </c>
      <c r="U273" s="2" t="str">
        <f aca="false">IF(AND(R273=0,S273&gt;0),"H2 Active / No H1 GMV",IF(S273=0,"Lapsed",IF(T273&gt;=Assumptions!$B$36,"Growing",IF(T273&lt;-Assumptions!$B$36,"Declining","Stable"))))</f>
        <v>H2 Active / No H1 GMV</v>
      </c>
      <c r="V273" s="2" t="n">
        <f aca="false">COUNTIF(I273:N273,"&gt;0")</f>
        <v>1</v>
      </c>
      <c r="W273" s="2" t="str">
        <f aca="false">IF(N273&gt;0,"Feb",IF(M273&gt;0,"Jan",IF(L273&gt;0,"Dec",IF(K273&gt;0,"Nov",IF(J273&gt;0,"Oct","Sep")))))</f>
        <v>Dec</v>
      </c>
      <c r="X273" s="2" t="str">
        <f aca="false">IF(O273&gt;=Assumptions!$B$35,"Key (&gt;=£10k)",IF(O273&gt;=Assumptions!$B$34,"Core (£2k-10k)","Tail (&lt;£2k)"))</f>
        <v>Tail (&lt;£2k)</v>
      </c>
      <c r="Y273" s="21" t="n">
        <f aca="false">INDEX('Scored Accounts'!$Q$2:$Q$301,MATCH(A273,'Scored Accounts'!$A$2:$A$301,0))</f>
        <v>0</v>
      </c>
      <c r="Z273" s="2" t="str">
        <f aca="false">INDEX('Scored Accounts'!$R$2:$R$301,MATCH(A273,'Scored Accounts'!$A$2:$A$301,0))</f>
        <v>Low</v>
      </c>
      <c r="AA273" s="2" t="str">
        <f aca="false">INDEX('Scored Accounts'!$T$2:$T$301,MATCH(A273,'Scored Accounts'!$A$2:$A$301,0))</f>
        <v/>
      </c>
      <c r="AB273" s="2" t="str">
        <f aca="false">IF(Z273="Low","Lower dep / ","Higher dep / ")&amp;IF(O273&gt;=Assumptions!$B$34,"Higher value","Lower value")</f>
        <v>Lower dep / Lower value</v>
      </c>
    </row>
    <row r="274" customFormat="false" ht="15" hidden="false" customHeight="false" outlineLevel="0" collapsed="false">
      <c r="A274" s="2" t="s">
        <v>900</v>
      </c>
      <c r="B274" s="2" t="s">
        <v>1574</v>
      </c>
      <c r="C274" s="2" t="s">
        <v>1640</v>
      </c>
      <c r="D274" s="2" t="s">
        <v>1655</v>
      </c>
      <c r="E274" s="2" t="s">
        <v>1655</v>
      </c>
      <c r="F274" s="2"/>
      <c r="G274" s="2" t="n">
        <v>2</v>
      </c>
      <c r="H274" s="2" t="n">
        <v>1</v>
      </c>
      <c r="I274" s="9" t="n">
        <v>0</v>
      </c>
      <c r="J274" s="9" t="n">
        <v>0</v>
      </c>
      <c r="K274" s="9" t="n">
        <v>0</v>
      </c>
      <c r="L274" s="9" t="n">
        <v>0</v>
      </c>
      <c r="M274" s="9" t="n">
        <v>154</v>
      </c>
      <c r="N274" s="9" t="n">
        <v>0</v>
      </c>
      <c r="O274" s="9" t="n">
        <v>154</v>
      </c>
      <c r="P274" s="2"/>
      <c r="Q274" s="2" t="str">
        <f aca="false">IF(I274&gt;0,ROUND((N274-I274)/I274*100,0),"")</f>
        <v/>
      </c>
      <c r="R274" s="9" t="n">
        <f aca="false">SUM(I274:K274)</f>
        <v>0</v>
      </c>
      <c r="S274" s="9" t="n">
        <f aca="false">SUM(L274:N274)</f>
        <v>154</v>
      </c>
      <c r="T274" s="17" t="str">
        <f aca="false">IF(R274&gt;0,S274/R274-1,"")</f>
        <v/>
      </c>
      <c r="U274" s="2" t="str">
        <f aca="false">IF(AND(R274=0,S274&gt;0),"H2 Active / No H1 GMV",IF(S274=0,"Lapsed",IF(T274&gt;=Assumptions!$B$36,"Growing",IF(T274&lt;-Assumptions!$B$36,"Declining","Stable"))))</f>
        <v>H2 Active / No H1 GMV</v>
      </c>
      <c r="V274" s="2" t="n">
        <f aca="false">COUNTIF(I274:N274,"&gt;0")</f>
        <v>1</v>
      </c>
      <c r="W274" s="2" t="str">
        <f aca="false">IF(N274&gt;0,"Feb",IF(M274&gt;0,"Jan",IF(L274&gt;0,"Dec",IF(K274&gt;0,"Nov",IF(J274&gt;0,"Oct","Sep")))))</f>
        <v>Jan</v>
      </c>
      <c r="X274" s="2" t="str">
        <f aca="false">IF(O274&gt;=Assumptions!$B$35,"Key (&gt;=£10k)",IF(O274&gt;=Assumptions!$B$34,"Core (£2k-10k)","Tail (&lt;£2k)"))</f>
        <v>Tail (&lt;£2k)</v>
      </c>
      <c r="Y274" s="21" t="n">
        <f aca="false">INDEX('Scored Accounts'!$Q$2:$Q$301,MATCH(A274,'Scored Accounts'!$A$2:$A$301,0))</f>
        <v>0</v>
      </c>
      <c r="Z274" s="2" t="str">
        <f aca="false">INDEX('Scored Accounts'!$R$2:$R$301,MATCH(A274,'Scored Accounts'!$A$2:$A$301,0))</f>
        <v>Low</v>
      </c>
      <c r="AA274" s="2" t="str">
        <f aca="false">INDEX('Scored Accounts'!$T$2:$T$301,MATCH(A274,'Scored Accounts'!$A$2:$A$301,0))</f>
        <v/>
      </c>
      <c r="AB274" s="2" t="str">
        <f aca="false">IF(Z274="Low","Lower dep / ","Higher dep / ")&amp;IF(O274&gt;=Assumptions!$B$34,"Higher value","Lower value")</f>
        <v>Lower dep / Lower value</v>
      </c>
    </row>
    <row r="275" customFormat="false" ht="15" hidden="false" customHeight="false" outlineLevel="0" collapsed="false">
      <c r="A275" s="2" t="s">
        <v>908</v>
      </c>
      <c r="B275" s="2" t="s">
        <v>1574</v>
      </c>
      <c r="C275" s="2" t="s">
        <v>1640</v>
      </c>
      <c r="D275" s="2" t="s">
        <v>1653</v>
      </c>
      <c r="E275" s="2" t="s">
        <v>1653</v>
      </c>
      <c r="F275" s="2"/>
      <c r="G275" s="2" t="n">
        <v>2</v>
      </c>
      <c r="H275" s="2" t="n">
        <v>1</v>
      </c>
      <c r="I275" s="9" t="n">
        <v>0</v>
      </c>
      <c r="J275" s="9" t="n">
        <v>0</v>
      </c>
      <c r="K275" s="9" t="n">
        <v>0</v>
      </c>
      <c r="L275" s="9" t="n">
        <v>0</v>
      </c>
      <c r="M275" s="9" t="n">
        <v>147</v>
      </c>
      <c r="N275" s="9" t="n">
        <v>0</v>
      </c>
      <c r="O275" s="9" t="n">
        <v>147</v>
      </c>
      <c r="P275" s="2"/>
      <c r="Q275" s="2" t="str">
        <f aca="false">IF(I275&gt;0,ROUND((N275-I275)/I275*100,0),"")</f>
        <v/>
      </c>
      <c r="R275" s="9" t="n">
        <f aca="false">SUM(I275:K275)</f>
        <v>0</v>
      </c>
      <c r="S275" s="9" t="n">
        <f aca="false">SUM(L275:N275)</f>
        <v>147</v>
      </c>
      <c r="T275" s="17" t="str">
        <f aca="false">IF(R275&gt;0,S275/R275-1,"")</f>
        <v/>
      </c>
      <c r="U275" s="2" t="str">
        <f aca="false">IF(AND(R275=0,S275&gt;0),"H2 Active / No H1 GMV",IF(S275=0,"Lapsed",IF(T275&gt;=Assumptions!$B$36,"Growing",IF(T275&lt;-Assumptions!$B$36,"Declining","Stable"))))</f>
        <v>H2 Active / No H1 GMV</v>
      </c>
      <c r="V275" s="2" t="n">
        <f aca="false">COUNTIF(I275:N275,"&gt;0")</f>
        <v>1</v>
      </c>
      <c r="W275" s="2" t="str">
        <f aca="false">IF(N275&gt;0,"Feb",IF(M275&gt;0,"Jan",IF(L275&gt;0,"Dec",IF(K275&gt;0,"Nov",IF(J275&gt;0,"Oct","Sep")))))</f>
        <v>Jan</v>
      </c>
      <c r="X275" s="2" t="str">
        <f aca="false">IF(O275&gt;=Assumptions!$B$35,"Key (&gt;=£10k)",IF(O275&gt;=Assumptions!$B$34,"Core (£2k-10k)","Tail (&lt;£2k)"))</f>
        <v>Tail (&lt;£2k)</v>
      </c>
      <c r="Y275" s="21" t="n">
        <f aca="false">INDEX('Scored Accounts'!$Q$2:$Q$301,MATCH(A275,'Scored Accounts'!$A$2:$A$301,0))</f>
        <v>0</v>
      </c>
      <c r="Z275" s="2" t="str">
        <f aca="false">INDEX('Scored Accounts'!$R$2:$R$301,MATCH(A275,'Scored Accounts'!$A$2:$A$301,0))</f>
        <v>Low</v>
      </c>
      <c r="AA275" s="2" t="str">
        <f aca="false">INDEX('Scored Accounts'!$T$2:$T$301,MATCH(A275,'Scored Accounts'!$A$2:$A$301,0))</f>
        <v/>
      </c>
      <c r="AB275" s="2" t="str">
        <f aca="false">IF(Z275="Low","Lower dep / ","Higher dep / ")&amp;IF(O275&gt;=Assumptions!$B$34,"Higher value","Lower value")</f>
        <v>Lower dep / Lower value</v>
      </c>
    </row>
    <row r="276" customFormat="false" ht="15" hidden="false" customHeight="false" outlineLevel="0" collapsed="false">
      <c r="A276" s="2" t="s">
        <v>914</v>
      </c>
      <c r="B276" s="2" t="s">
        <v>1574</v>
      </c>
      <c r="C276" s="2" t="s">
        <v>1640</v>
      </c>
      <c r="D276" s="2" t="s">
        <v>1653</v>
      </c>
      <c r="E276" s="2" t="s">
        <v>1653</v>
      </c>
      <c r="F276" s="2"/>
      <c r="G276" s="2" t="n">
        <v>1</v>
      </c>
      <c r="H276" s="2" t="n">
        <v>1</v>
      </c>
      <c r="I276" s="9" t="n">
        <v>0</v>
      </c>
      <c r="J276" s="9" t="n">
        <v>0</v>
      </c>
      <c r="K276" s="9" t="n">
        <v>0</v>
      </c>
      <c r="L276" s="9" t="n">
        <v>0</v>
      </c>
      <c r="M276" s="9" t="n">
        <v>0</v>
      </c>
      <c r="N276" s="9" t="n">
        <v>143</v>
      </c>
      <c r="O276" s="9" t="n">
        <v>143</v>
      </c>
      <c r="P276" s="2"/>
      <c r="Q276" s="2" t="str">
        <f aca="false">IF(I276&gt;0,ROUND((N276-I276)/I276*100,0),"")</f>
        <v/>
      </c>
      <c r="R276" s="9" t="n">
        <f aca="false">SUM(I276:K276)</f>
        <v>0</v>
      </c>
      <c r="S276" s="9" t="n">
        <f aca="false">SUM(L276:N276)</f>
        <v>143</v>
      </c>
      <c r="T276" s="17" t="str">
        <f aca="false">IF(R276&gt;0,S276/R276-1,"")</f>
        <v/>
      </c>
      <c r="U276" s="2" t="str">
        <f aca="false">IF(AND(R276=0,S276&gt;0),"H2 Active / No H1 GMV",IF(S276=0,"Lapsed",IF(T276&gt;=Assumptions!$B$36,"Growing",IF(T276&lt;-Assumptions!$B$36,"Declining","Stable"))))</f>
        <v>H2 Active / No H1 GMV</v>
      </c>
      <c r="V276" s="2" t="n">
        <f aca="false">COUNTIF(I276:N276,"&gt;0")</f>
        <v>1</v>
      </c>
      <c r="W276" s="2" t="str">
        <f aca="false">IF(N276&gt;0,"Feb",IF(M276&gt;0,"Jan",IF(L276&gt;0,"Dec",IF(K276&gt;0,"Nov",IF(J276&gt;0,"Oct","Sep")))))</f>
        <v>Feb</v>
      </c>
      <c r="X276" s="2" t="str">
        <f aca="false">IF(O276&gt;=Assumptions!$B$35,"Key (&gt;=£10k)",IF(O276&gt;=Assumptions!$B$34,"Core (£2k-10k)","Tail (&lt;£2k)"))</f>
        <v>Tail (&lt;£2k)</v>
      </c>
      <c r="Y276" s="21" t="n">
        <f aca="false">INDEX('Scored Accounts'!$Q$2:$Q$301,MATCH(A276,'Scored Accounts'!$A$2:$A$301,0))</f>
        <v>0</v>
      </c>
      <c r="Z276" s="2" t="str">
        <f aca="false">INDEX('Scored Accounts'!$R$2:$R$301,MATCH(A276,'Scored Accounts'!$A$2:$A$301,0))</f>
        <v>Low</v>
      </c>
      <c r="AA276" s="2" t="str">
        <f aca="false">INDEX('Scored Accounts'!$T$2:$T$301,MATCH(A276,'Scored Accounts'!$A$2:$A$301,0))</f>
        <v/>
      </c>
      <c r="AB276" s="2" t="str">
        <f aca="false">IF(Z276="Low","Lower dep / ","Higher dep / ")&amp;IF(O276&gt;=Assumptions!$B$34,"Higher value","Lower value")</f>
        <v>Lower dep / Lower value</v>
      </c>
    </row>
    <row r="277" customFormat="false" ht="15" hidden="false" customHeight="false" outlineLevel="0" collapsed="false">
      <c r="A277" s="2" t="s">
        <v>916</v>
      </c>
      <c r="B277" s="2" t="s">
        <v>1574</v>
      </c>
      <c r="C277" s="2" t="s">
        <v>1640</v>
      </c>
      <c r="D277" s="2" t="s">
        <v>1658</v>
      </c>
      <c r="E277" s="2" t="s">
        <v>1658</v>
      </c>
      <c r="F277" s="2"/>
      <c r="G277" s="2" t="n">
        <v>2</v>
      </c>
      <c r="H277" s="2" t="n">
        <v>1</v>
      </c>
      <c r="I277" s="9" t="n">
        <v>0</v>
      </c>
      <c r="J277" s="9" t="n">
        <v>0</v>
      </c>
      <c r="K277" s="9" t="n">
        <v>0</v>
      </c>
      <c r="L277" s="9" t="n">
        <v>0</v>
      </c>
      <c r="M277" s="9" t="n">
        <v>142</v>
      </c>
      <c r="N277" s="9" t="n">
        <v>0</v>
      </c>
      <c r="O277" s="9" t="n">
        <v>142</v>
      </c>
      <c r="P277" s="2"/>
      <c r="Q277" s="2" t="str">
        <f aca="false">IF(I277&gt;0,ROUND((N277-I277)/I277*100,0),"")</f>
        <v/>
      </c>
      <c r="R277" s="9" t="n">
        <f aca="false">SUM(I277:K277)</f>
        <v>0</v>
      </c>
      <c r="S277" s="9" t="n">
        <f aca="false">SUM(L277:N277)</f>
        <v>142</v>
      </c>
      <c r="T277" s="17" t="str">
        <f aca="false">IF(R277&gt;0,S277/R277-1,"")</f>
        <v/>
      </c>
      <c r="U277" s="2" t="str">
        <f aca="false">IF(AND(R277=0,S277&gt;0),"H2 Active / No H1 GMV",IF(S277=0,"Lapsed",IF(T277&gt;=Assumptions!$B$36,"Growing",IF(T277&lt;-Assumptions!$B$36,"Declining","Stable"))))</f>
        <v>H2 Active / No H1 GMV</v>
      </c>
      <c r="V277" s="2" t="n">
        <f aca="false">COUNTIF(I277:N277,"&gt;0")</f>
        <v>1</v>
      </c>
      <c r="W277" s="2" t="str">
        <f aca="false">IF(N277&gt;0,"Feb",IF(M277&gt;0,"Jan",IF(L277&gt;0,"Dec",IF(K277&gt;0,"Nov",IF(J277&gt;0,"Oct","Sep")))))</f>
        <v>Jan</v>
      </c>
      <c r="X277" s="2" t="str">
        <f aca="false">IF(O277&gt;=Assumptions!$B$35,"Key (&gt;=£10k)",IF(O277&gt;=Assumptions!$B$34,"Core (£2k-10k)","Tail (&lt;£2k)"))</f>
        <v>Tail (&lt;£2k)</v>
      </c>
      <c r="Y277" s="21" t="n">
        <f aca="false">INDEX('Scored Accounts'!$Q$2:$Q$301,MATCH(A277,'Scored Accounts'!$A$2:$A$301,0))</f>
        <v>0</v>
      </c>
      <c r="Z277" s="2" t="str">
        <f aca="false">INDEX('Scored Accounts'!$R$2:$R$301,MATCH(A277,'Scored Accounts'!$A$2:$A$301,0))</f>
        <v>Low</v>
      </c>
      <c r="AA277" s="2" t="str">
        <f aca="false">INDEX('Scored Accounts'!$T$2:$T$301,MATCH(A277,'Scored Accounts'!$A$2:$A$301,0))</f>
        <v/>
      </c>
      <c r="AB277" s="2" t="str">
        <f aca="false">IF(Z277="Low","Lower dep / ","Higher dep / ")&amp;IF(O277&gt;=Assumptions!$B$34,"Higher value","Lower value")</f>
        <v>Lower dep / Lower value</v>
      </c>
    </row>
    <row r="278" customFormat="false" ht="15" hidden="false" customHeight="false" outlineLevel="0" collapsed="false">
      <c r="A278" s="2" t="s">
        <v>918</v>
      </c>
      <c r="B278" s="2" t="s">
        <v>1574</v>
      </c>
      <c r="C278" s="2" t="s">
        <v>1640</v>
      </c>
      <c r="D278" s="2" t="s">
        <v>1657</v>
      </c>
      <c r="E278" s="2" t="s">
        <v>1719</v>
      </c>
      <c r="F278" s="2"/>
      <c r="G278" s="2" t="n">
        <v>1</v>
      </c>
      <c r="H278" s="2" t="n">
        <v>1</v>
      </c>
      <c r="I278" s="9" t="n">
        <v>0</v>
      </c>
      <c r="J278" s="9" t="n">
        <v>0</v>
      </c>
      <c r="K278" s="9" t="n">
        <v>0</v>
      </c>
      <c r="L278" s="9" t="n">
        <v>0</v>
      </c>
      <c r="M278" s="9" t="n">
        <v>0</v>
      </c>
      <c r="N278" s="9" t="n">
        <v>140</v>
      </c>
      <c r="O278" s="9" t="n">
        <v>140</v>
      </c>
      <c r="P278" s="2"/>
      <c r="Q278" s="2" t="str">
        <f aca="false">IF(I278&gt;0,ROUND((N278-I278)/I278*100,0),"")</f>
        <v/>
      </c>
      <c r="R278" s="9" t="n">
        <f aca="false">SUM(I278:K278)</f>
        <v>0</v>
      </c>
      <c r="S278" s="9" t="n">
        <f aca="false">SUM(L278:N278)</f>
        <v>140</v>
      </c>
      <c r="T278" s="17" t="str">
        <f aca="false">IF(R278&gt;0,S278/R278-1,"")</f>
        <v/>
      </c>
      <c r="U278" s="2" t="str">
        <f aca="false">IF(AND(R278=0,S278&gt;0),"H2 Active / No H1 GMV",IF(S278=0,"Lapsed",IF(T278&gt;=Assumptions!$B$36,"Growing",IF(T278&lt;-Assumptions!$B$36,"Declining","Stable"))))</f>
        <v>H2 Active / No H1 GMV</v>
      </c>
      <c r="V278" s="2" t="n">
        <f aca="false">COUNTIF(I278:N278,"&gt;0")</f>
        <v>1</v>
      </c>
      <c r="W278" s="2" t="str">
        <f aca="false">IF(N278&gt;0,"Feb",IF(M278&gt;0,"Jan",IF(L278&gt;0,"Dec",IF(K278&gt;0,"Nov",IF(J278&gt;0,"Oct","Sep")))))</f>
        <v>Feb</v>
      </c>
      <c r="X278" s="2" t="str">
        <f aca="false">IF(O278&gt;=Assumptions!$B$35,"Key (&gt;=£10k)",IF(O278&gt;=Assumptions!$B$34,"Core (£2k-10k)","Tail (&lt;£2k)"))</f>
        <v>Tail (&lt;£2k)</v>
      </c>
      <c r="Y278" s="21" t="n">
        <f aca="false">INDEX('Scored Accounts'!$Q$2:$Q$301,MATCH(A278,'Scored Accounts'!$A$2:$A$301,0))</f>
        <v>0</v>
      </c>
      <c r="Z278" s="2" t="str">
        <f aca="false">INDEX('Scored Accounts'!$R$2:$R$301,MATCH(A278,'Scored Accounts'!$A$2:$A$301,0))</f>
        <v>Low</v>
      </c>
      <c r="AA278" s="2" t="str">
        <f aca="false">INDEX('Scored Accounts'!$T$2:$T$301,MATCH(A278,'Scored Accounts'!$A$2:$A$301,0))</f>
        <v/>
      </c>
      <c r="AB278" s="2" t="str">
        <f aca="false">IF(Z278="Low","Lower dep / ","Higher dep / ")&amp;IF(O278&gt;=Assumptions!$B$34,"Higher value","Lower value")</f>
        <v>Lower dep / Lower value</v>
      </c>
    </row>
    <row r="279" customFormat="false" ht="15" hidden="false" customHeight="false" outlineLevel="0" collapsed="false">
      <c r="A279" s="2" t="s">
        <v>920</v>
      </c>
      <c r="B279" s="2" t="s">
        <v>1574</v>
      </c>
      <c r="C279" s="2" t="s">
        <v>1640</v>
      </c>
      <c r="D279" s="2" t="s">
        <v>1653</v>
      </c>
      <c r="E279" s="2" t="s">
        <v>1653</v>
      </c>
      <c r="F279" s="2"/>
      <c r="G279" s="2" t="n">
        <v>4</v>
      </c>
      <c r="H279" s="2" t="n">
        <v>2</v>
      </c>
      <c r="I279" s="9" t="n">
        <v>0</v>
      </c>
      <c r="J279" s="9" t="n">
        <v>0</v>
      </c>
      <c r="K279" s="9" t="n">
        <v>138</v>
      </c>
      <c r="L279" s="9" t="n">
        <v>0</v>
      </c>
      <c r="M279" s="9" t="n">
        <v>0</v>
      </c>
      <c r="N279" s="9" t="n">
        <v>0</v>
      </c>
      <c r="O279" s="9" t="n">
        <v>138</v>
      </c>
      <c r="P279" s="2"/>
      <c r="Q279" s="2" t="str">
        <f aca="false">IF(I279&gt;0,ROUND((N279-I279)/I279*100,0),"")</f>
        <v/>
      </c>
      <c r="R279" s="9" t="n">
        <f aca="false">SUM(I279:K279)</f>
        <v>138</v>
      </c>
      <c r="S279" s="9" t="n">
        <f aca="false">SUM(L279:N279)</f>
        <v>0</v>
      </c>
      <c r="T279" s="17" t="n">
        <f aca="false">IF(R279&gt;0,S279/R279-1,"")</f>
        <v>-1</v>
      </c>
      <c r="U279" s="2" t="str">
        <f aca="false">IF(AND(R279=0,S279&gt;0),"H2 Active / No H1 GMV",IF(S279=0,"Lapsed",IF(T279&gt;=Assumptions!$B$36,"Growing",IF(T279&lt;-Assumptions!$B$36,"Declining","Stable"))))</f>
        <v>Lapsed</v>
      </c>
      <c r="V279" s="2" t="n">
        <f aca="false">COUNTIF(I279:N279,"&gt;0")</f>
        <v>1</v>
      </c>
      <c r="W279" s="2" t="str">
        <f aca="false">IF(N279&gt;0,"Feb",IF(M279&gt;0,"Jan",IF(L279&gt;0,"Dec",IF(K279&gt;0,"Nov",IF(J279&gt;0,"Oct","Sep")))))</f>
        <v>Nov</v>
      </c>
      <c r="X279" s="2" t="str">
        <f aca="false">IF(O279&gt;=Assumptions!$B$35,"Key (&gt;=£10k)",IF(O279&gt;=Assumptions!$B$34,"Core (£2k-10k)","Tail (&lt;£2k)"))</f>
        <v>Tail (&lt;£2k)</v>
      </c>
      <c r="Y279" s="21" t="n">
        <f aca="false">INDEX('Scored Accounts'!$Q$2:$Q$301,MATCH(A279,'Scored Accounts'!$A$2:$A$301,0))</f>
        <v>0</v>
      </c>
      <c r="Z279" s="2" t="str">
        <f aca="false">INDEX('Scored Accounts'!$R$2:$R$301,MATCH(A279,'Scored Accounts'!$A$2:$A$301,0))</f>
        <v>Low</v>
      </c>
      <c r="AA279" s="2" t="str">
        <f aca="false">INDEX('Scored Accounts'!$T$2:$T$301,MATCH(A279,'Scored Accounts'!$A$2:$A$301,0))</f>
        <v/>
      </c>
      <c r="AB279" s="2" t="str">
        <f aca="false">IF(Z279="Low","Lower dep / ","Higher dep / ")&amp;IF(O279&gt;=Assumptions!$B$34,"Higher value","Lower value")</f>
        <v>Lower dep / Lower value</v>
      </c>
    </row>
    <row r="280" customFormat="false" ht="15" hidden="false" customHeight="false" outlineLevel="0" collapsed="false">
      <c r="A280" s="2" t="s">
        <v>924</v>
      </c>
      <c r="B280" s="2" t="s">
        <v>1574</v>
      </c>
      <c r="C280" s="2" t="s">
        <v>1640</v>
      </c>
      <c r="D280" s="2" t="s">
        <v>1658</v>
      </c>
      <c r="E280" s="2" t="s">
        <v>1658</v>
      </c>
      <c r="F280" s="2"/>
      <c r="G280" s="2" t="n">
        <v>3</v>
      </c>
      <c r="H280" s="2" t="n">
        <v>1</v>
      </c>
      <c r="I280" s="9" t="n">
        <v>0</v>
      </c>
      <c r="J280" s="9" t="n">
        <v>0</v>
      </c>
      <c r="K280" s="9" t="n">
        <v>0</v>
      </c>
      <c r="L280" s="9" t="n">
        <v>131</v>
      </c>
      <c r="M280" s="9" t="n">
        <v>0</v>
      </c>
      <c r="N280" s="9" t="n">
        <v>0</v>
      </c>
      <c r="O280" s="9" t="n">
        <v>131</v>
      </c>
      <c r="P280" s="2"/>
      <c r="Q280" s="2" t="str">
        <f aca="false">IF(I280&gt;0,ROUND((N280-I280)/I280*100,0),"")</f>
        <v/>
      </c>
      <c r="R280" s="9" t="n">
        <f aca="false">SUM(I280:K280)</f>
        <v>0</v>
      </c>
      <c r="S280" s="9" t="n">
        <f aca="false">SUM(L280:N280)</f>
        <v>131</v>
      </c>
      <c r="T280" s="17" t="str">
        <f aca="false">IF(R280&gt;0,S280/R280-1,"")</f>
        <v/>
      </c>
      <c r="U280" s="2" t="str">
        <f aca="false">IF(AND(R280=0,S280&gt;0),"H2 Active / No H1 GMV",IF(S280=0,"Lapsed",IF(T280&gt;=Assumptions!$B$36,"Growing",IF(T280&lt;-Assumptions!$B$36,"Declining","Stable"))))</f>
        <v>H2 Active / No H1 GMV</v>
      </c>
      <c r="V280" s="2" t="n">
        <f aca="false">COUNTIF(I280:N280,"&gt;0")</f>
        <v>1</v>
      </c>
      <c r="W280" s="2" t="str">
        <f aca="false">IF(N280&gt;0,"Feb",IF(M280&gt;0,"Jan",IF(L280&gt;0,"Dec",IF(K280&gt;0,"Nov",IF(J280&gt;0,"Oct","Sep")))))</f>
        <v>Dec</v>
      </c>
      <c r="X280" s="2" t="str">
        <f aca="false">IF(O280&gt;=Assumptions!$B$35,"Key (&gt;=£10k)",IF(O280&gt;=Assumptions!$B$34,"Core (£2k-10k)","Tail (&lt;£2k)"))</f>
        <v>Tail (&lt;£2k)</v>
      </c>
      <c r="Y280" s="21" t="n">
        <f aca="false">INDEX('Scored Accounts'!$Q$2:$Q$301,MATCH(A280,'Scored Accounts'!$A$2:$A$301,0))</f>
        <v>0</v>
      </c>
      <c r="Z280" s="2" t="str">
        <f aca="false">INDEX('Scored Accounts'!$R$2:$R$301,MATCH(A280,'Scored Accounts'!$A$2:$A$301,0))</f>
        <v>Low</v>
      </c>
      <c r="AA280" s="2" t="str">
        <f aca="false">INDEX('Scored Accounts'!$T$2:$T$301,MATCH(A280,'Scored Accounts'!$A$2:$A$301,0))</f>
        <v/>
      </c>
      <c r="AB280" s="2" t="str">
        <f aca="false">IF(Z280="Low","Lower dep / ","Higher dep / ")&amp;IF(O280&gt;=Assumptions!$B$34,"Higher value","Lower value")</f>
        <v>Lower dep / Lower value</v>
      </c>
    </row>
    <row r="281" customFormat="false" ht="15" hidden="false" customHeight="false" outlineLevel="0" collapsed="false">
      <c r="A281" s="2" t="s">
        <v>928</v>
      </c>
      <c r="B281" s="2" t="s">
        <v>1574</v>
      </c>
      <c r="C281" s="2" t="s">
        <v>1640</v>
      </c>
      <c r="D281" s="2" t="s">
        <v>1658</v>
      </c>
      <c r="E281" s="2" t="s">
        <v>1658</v>
      </c>
      <c r="F281" s="2"/>
      <c r="G281" s="2" t="n">
        <v>2</v>
      </c>
      <c r="H281" s="2" t="n">
        <v>1</v>
      </c>
      <c r="I281" s="9" t="n">
        <v>0</v>
      </c>
      <c r="J281" s="9" t="n">
        <v>0</v>
      </c>
      <c r="K281" s="9" t="n">
        <v>0</v>
      </c>
      <c r="L281" s="9" t="n">
        <v>0</v>
      </c>
      <c r="M281" s="9" t="n">
        <v>123</v>
      </c>
      <c r="N281" s="9" t="n">
        <v>0</v>
      </c>
      <c r="O281" s="9" t="n">
        <v>123</v>
      </c>
      <c r="P281" s="2"/>
      <c r="Q281" s="2" t="str">
        <f aca="false">IF(I281&gt;0,ROUND((N281-I281)/I281*100,0),"")</f>
        <v/>
      </c>
      <c r="R281" s="9" t="n">
        <f aca="false">SUM(I281:K281)</f>
        <v>0</v>
      </c>
      <c r="S281" s="9" t="n">
        <f aca="false">SUM(L281:N281)</f>
        <v>123</v>
      </c>
      <c r="T281" s="17" t="str">
        <f aca="false">IF(R281&gt;0,S281/R281-1,"")</f>
        <v/>
      </c>
      <c r="U281" s="2" t="str">
        <f aca="false">IF(AND(R281=0,S281&gt;0),"H2 Active / No H1 GMV",IF(S281=0,"Lapsed",IF(T281&gt;=Assumptions!$B$36,"Growing",IF(T281&lt;-Assumptions!$B$36,"Declining","Stable"))))</f>
        <v>H2 Active / No H1 GMV</v>
      </c>
      <c r="V281" s="2" t="n">
        <f aca="false">COUNTIF(I281:N281,"&gt;0")</f>
        <v>1</v>
      </c>
      <c r="W281" s="2" t="str">
        <f aca="false">IF(N281&gt;0,"Feb",IF(M281&gt;0,"Jan",IF(L281&gt;0,"Dec",IF(K281&gt;0,"Nov",IF(J281&gt;0,"Oct","Sep")))))</f>
        <v>Jan</v>
      </c>
      <c r="X281" s="2" t="str">
        <f aca="false">IF(O281&gt;=Assumptions!$B$35,"Key (&gt;=£10k)",IF(O281&gt;=Assumptions!$B$34,"Core (£2k-10k)","Tail (&lt;£2k)"))</f>
        <v>Tail (&lt;£2k)</v>
      </c>
      <c r="Y281" s="21" t="n">
        <f aca="false">INDEX('Scored Accounts'!$Q$2:$Q$301,MATCH(A281,'Scored Accounts'!$A$2:$A$301,0))</f>
        <v>0</v>
      </c>
      <c r="Z281" s="2" t="str">
        <f aca="false">INDEX('Scored Accounts'!$R$2:$R$301,MATCH(A281,'Scored Accounts'!$A$2:$A$301,0))</f>
        <v>Low</v>
      </c>
      <c r="AA281" s="2" t="str">
        <f aca="false">INDEX('Scored Accounts'!$T$2:$T$301,MATCH(A281,'Scored Accounts'!$A$2:$A$301,0))</f>
        <v/>
      </c>
      <c r="AB281" s="2" t="str">
        <f aca="false">IF(Z281="Low","Lower dep / ","Higher dep / ")&amp;IF(O281&gt;=Assumptions!$B$34,"Higher value","Lower value")</f>
        <v>Lower dep / Lower value</v>
      </c>
    </row>
    <row r="282" customFormat="false" ht="15" hidden="false" customHeight="false" outlineLevel="0" collapsed="false">
      <c r="A282" s="2" t="s">
        <v>932</v>
      </c>
      <c r="B282" s="2" t="s">
        <v>1574</v>
      </c>
      <c r="C282" s="2" t="s">
        <v>1640</v>
      </c>
      <c r="D282" s="2" t="s">
        <v>1657</v>
      </c>
      <c r="E282" s="2" t="s">
        <v>1733</v>
      </c>
      <c r="F282" s="2"/>
      <c r="G282" s="2" t="n">
        <v>4</v>
      </c>
      <c r="H282" s="2" t="n">
        <v>1</v>
      </c>
      <c r="I282" s="9" t="n">
        <v>0</v>
      </c>
      <c r="J282" s="9" t="n">
        <v>0</v>
      </c>
      <c r="K282" s="9" t="n">
        <v>119</v>
      </c>
      <c r="L282" s="9" t="n">
        <v>0</v>
      </c>
      <c r="M282" s="9" t="n">
        <v>0</v>
      </c>
      <c r="N282" s="9" t="n">
        <v>0</v>
      </c>
      <c r="O282" s="9" t="n">
        <v>119</v>
      </c>
      <c r="P282" s="2"/>
      <c r="Q282" s="2" t="str">
        <f aca="false">IF(I282&gt;0,ROUND((N282-I282)/I282*100,0),"")</f>
        <v/>
      </c>
      <c r="R282" s="9" t="n">
        <f aca="false">SUM(I282:K282)</f>
        <v>119</v>
      </c>
      <c r="S282" s="9" t="n">
        <f aca="false">SUM(L282:N282)</f>
        <v>0</v>
      </c>
      <c r="T282" s="17" t="n">
        <f aca="false">IF(R282&gt;0,S282/R282-1,"")</f>
        <v>-1</v>
      </c>
      <c r="U282" s="2" t="str">
        <f aca="false">IF(AND(R282=0,S282&gt;0),"H2 Active / No H1 GMV",IF(S282=0,"Lapsed",IF(T282&gt;=Assumptions!$B$36,"Growing",IF(T282&lt;-Assumptions!$B$36,"Declining","Stable"))))</f>
        <v>Lapsed</v>
      </c>
      <c r="V282" s="2" t="n">
        <f aca="false">COUNTIF(I282:N282,"&gt;0")</f>
        <v>1</v>
      </c>
      <c r="W282" s="2" t="str">
        <f aca="false">IF(N282&gt;0,"Feb",IF(M282&gt;0,"Jan",IF(L282&gt;0,"Dec",IF(K282&gt;0,"Nov",IF(J282&gt;0,"Oct","Sep")))))</f>
        <v>Nov</v>
      </c>
      <c r="X282" s="2" t="str">
        <f aca="false">IF(O282&gt;=Assumptions!$B$35,"Key (&gt;=£10k)",IF(O282&gt;=Assumptions!$B$34,"Core (£2k-10k)","Tail (&lt;£2k)"))</f>
        <v>Tail (&lt;£2k)</v>
      </c>
      <c r="Y282" s="21" t="n">
        <f aca="false">INDEX('Scored Accounts'!$Q$2:$Q$301,MATCH(A282,'Scored Accounts'!$A$2:$A$301,0))</f>
        <v>0</v>
      </c>
      <c r="Z282" s="2" t="str">
        <f aca="false">INDEX('Scored Accounts'!$R$2:$R$301,MATCH(A282,'Scored Accounts'!$A$2:$A$301,0))</f>
        <v>Low</v>
      </c>
      <c r="AA282" s="2" t="str">
        <f aca="false">INDEX('Scored Accounts'!$T$2:$T$301,MATCH(A282,'Scored Accounts'!$A$2:$A$301,0))</f>
        <v/>
      </c>
      <c r="AB282" s="2" t="str">
        <f aca="false">IF(Z282="Low","Lower dep / ","Higher dep / ")&amp;IF(O282&gt;=Assumptions!$B$34,"Higher value","Lower value")</f>
        <v>Lower dep / Lower value</v>
      </c>
    </row>
    <row r="283" customFormat="false" ht="15" hidden="false" customHeight="false" outlineLevel="0" collapsed="false">
      <c r="A283" s="2" t="s">
        <v>934</v>
      </c>
      <c r="B283" s="2" t="s">
        <v>1574</v>
      </c>
      <c r="C283" s="2" t="s">
        <v>1640</v>
      </c>
      <c r="D283" s="2" t="s">
        <v>1653</v>
      </c>
      <c r="E283" s="2" t="s">
        <v>1653</v>
      </c>
      <c r="F283" s="2"/>
      <c r="G283" s="2" t="n">
        <v>2</v>
      </c>
      <c r="H283" s="2" t="n">
        <v>1</v>
      </c>
      <c r="I283" s="9" t="n">
        <v>0</v>
      </c>
      <c r="J283" s="9" t="n">
        <v>0</v>
      </c>
      <c r="K283" s="9" t="n">
        <v>0</v>
      </c>
      <c r="L283" s="9" t="n">
        <v>0</v>
      </c>
      <c r="M283" s="9" t="n">
        <v>118</v>
      </c>
      <c r="N283" s="9" t="n">
        <v>0</v>
      </c>
      <c r="O283" s="9" t="n">
        <v>118</v>
      </c>
      <c r="P283" s="2"/>
      <c r="Q283" s="2" t="str">
        <f aca="false">IF(I283&gt;0,ROUND((N283-I283)/I283*100,0),"")</f>
        <v/>
      </c>
      <c r="R283" s="9" t="n">
        <f aca="false">SUM(I283:K283)</f>
        <v>0</v>
      </c>
      <c r="S283" s="9" t="n">
        <f aca="false">SUM(L283:N283)</f>
        <v>118</v>
      </c>
      <c r="T283" s="17" t="str">
        <f aca="false">IF(R283&gt;0,S283/R283-1,"")</f>
        <v/>
      </c>
      <c r="U283" s="2" t="str">
        <f aca="false">IF(AND(R283=0,S283&gt;0),"H2 Active / No H1 GMV",IF(S283=0,"Lapsed",IF(T283&gt;=Assumptions!$B$36,"Growing",IF(T283&lt;-Assumptions!$B$36,"Declining","Stable"))))</f>
        <v>H2 Active / No H1 GMV</v>
      </c>
      <c r="V283" s="2" t="n">
        <f aca="false">COUNTIF(I283:N283,"&gt;0")</f>
        <v>1</v>
      </c>
      <c r="W283" s="2" t="str">
        <f aca="false">IF(N283&gt;0,"Feb",IF(M283&gt;0,"Jan",IF(L283&gt;0,"Dec",IF(K283&gt;0,"Nov",IF(J283&gt;0,"Oct","Sep")))))</f>
        <v>Jan</v>
      </c>
      <c r="X283" s="2" t="str">
        <f aca="false">IF(O283&gt;=Assumptions!$B$35,"Key (&gt;=£10k)",IF(O283&gt;=Assumptions!$B$34,"Core (£2k-10k)","Tail (&lt;£2k)"))</f>
        <v>Tail (&lt;£2k)</v>
      </c>
      <c r="Y283" s="21" t="n">
        <f aca="false">INDEX('Scored Accounts'!$Q$2:$Q$301,MATCH(A283,'Scored Accounts'!$A$2:$A$301,0))</f>
        <v>0</v>
      </c>
      <c r="Z283" s="2" t="str">
        <f aca="false">INDEX('Scored Accounts'!$R$2:$R$301,MATCH(A283,'Scored Accounts'!$A$2:$A$301,0))</f>
        <v>Low</v>
      </c>
      <c r="AA283" s="2" t="str">
        <f aca="false">INDEX('Scored Accounts'!$T$2:$T$301,MATCH(A283,'Scored Accounts'!$A$2:$A$301,0))</f>
        <v/>
      </c>
      <c r="AB283" s="2" t="str">
        <f aca="false">IF(Z283="Low","Lower dep / ","Higher dep / ")&amp;IF(O283&gt;=Assumptions!$B$34,"Higher value","Lower value")</f>
        <v>Lower dep / Lower value</v>
      </c>
    </row>
    <row r="284" customFormat="false" ht="15" hidden="false" customHeight="false" outlineLevel="0" collapsed="false">
      <c r="A284" s="2" t="s">
        <v>944</v>
      </c>
      <c r="B284" s="2" t="s">
        <v>1574</v>
      </c>
      <c r="C284" s="2" t="s">
        <v>1640</v>
      </c>
      <c r="D284" s="2" t="s">
        <v>1657</v>
      </c>
      <c r="E284" s="2" t="s">
        <v>1731</v>
      </c>
      <c r="F284" s="2"/>
      <c r="G284" s="2" t="n">
        <v>5</v>
      </c>
      <c r="H284" s="2" t="n">
        <v>2</v>
      </c>
      <c r="I284" s="9" t="n">
        <v>0</v>
      </c>
      <c r="J284" s="9" t="n">
        <v>50</v>
      </c>
      <c r="K284" s="9" t="n">
        <v>62</v>
      </c>
      <c r="L284" s="9" t="n">
        <v>0</v>
      </c>
      <c r="M284" s="9" t="n">
        <v>0</v>
      </c>
      <c r="N284" s="9" t="n">
        <v>0</v>
      </c>
      <c r="O284" s="9" t="n">
        <v>112</v>
      </c>
      <c r="P284" s="2"/>
      <c r="Q284" s="2" t="str">
        <f aca="false">IF(I284&gt;0,ROUND((N284-I284)/I284*100,0),"")</f>
        <v/>
      </c>
      <c r="R284" s="9" t="n">
        <f aca="false">SUM(I284:K284)</f>
        <v>112</v>
      </c>
      <c r="S284" s="9" t="n">
        <f aca="false">SUM(L284:N284)</f>
        <v>0</v>
      </c>
      <c r="T284" s="17" t="n">
        <f aca="false">IF(R284&gt;0,S284/R284-1,"")</f>
        <v>-1</v>
      </c>
      <c r="U284" s="2" t="str">
        <f aca="false">IF(AND(R284=0,S284&gt;0),"H2 Active / No H1 GMV",IF(S284=0,"Lapsed",IF(T284&gt;=Assumptions!$B$36,"Growing",IF(T284&lt;-Assumptions!$B$36,"Declining","Stable"))))</f>
        <v>Lapsed</v>
      </c>
      <c r="V284" s="2" t="n">
        <f aca="false">COUNTIF(I284:N284,"&gt;0")</f>
        <v>2</v>
      </c>
      <c r="W284" s="2" t="str">
        <f aca="false">IF(N284&gt;0,"Feb",IF(M284&gt;0,"Jan",IF(L284&gt;0,"Dec",IF(K284&gt;0,"Nov",IF(J284&gt;0,"Oct","Sep")))))</f>
        <v>Nov</v>
      </c>
      <c r="X284" s="2" t="str">
        <f aca="false">IF(O284&gt;=Assumptions!$B$35,"Key (&gt;=£10k)",IF(O284&gt;=Assumptions!$B$34,"Core (£2k-10k)","Tail (&lt;£2k)"))</f>
        <v>Tail (&lt;£2k)</v>
      </c>
      <c r="Y284" s="21" t="n">
        <f aca="false">INDEX('Scored Accounts'!$Q$2:$Q$301,MATCH(A284,'Scored Accounts'!$A$2:$A$301,0))</f>
        <v>0</v>
      </c>
      <c r="Z284" s="2" t="str">
        <f aca="false">INDEX('Scored Accounts'!$R$2:$R$301,MATCH(A284,'Scored Accounts'!$A$2:$A$301,0))</f>
        <v>Low</v>
      </c>
      <c r="AA284" s="2" t="str">
        <f aca="false">INDEX('Scored Accounts'!$T$2:$T$301,MATCH(A284,'Scored Accounts'!$A$2:$A$301,0))</f>
        <v/>
      </c>
      <c r="AB284" s="2" t="str">
        <f aca="false">IF(Z284="Low","Lower dep / ","Higher dep / ")&amp;IF(O284&gt;=Assumptions!$B$34,"Higher value","Lower value")</f>
        <v>Lower dep / Lower value</v>
      </c>
    </row>
    <row r="285" customFormat="false" ht="15" hidden="false" customHeight="false" outlineLevel="0" collapsed="false">
      <c r="A285" s="2" t="s">
        <v>954</v>
      </c>
      <c r="B285" s="2" t="s">
        <v>1574</v>
      </c>
      <c r="C285" s="2" t="s">
        <v>1640</v>
      </c>
      <c r="D285" s="2" t="s">
        <v>1655</v>
      </c>
      <c r="E285" s="2" t="s">
        <v>1655</v>
      </c>
      <c r="F285" s="2"/>
      <c r="G285" s="2" t="n">
        <v>1</v>
      </c>
      <c r="H285" s="2" t="n">
        <v>1</v>
      </c>
      <c r="I285" s="9" t="n">
        <v>0</v>
      </c>
      <c r="J285" s="9" t="n">
        <v>0</v>
      </c>
      <c r="K285" s="9" t="n">
        <v>0</v>
      </c>
      <c r="L285" s="9" t="n">
        <v>0</v>
      </c>
      <c r="M285" s="9" t="n">
        <v>0</v>
      </c>
      <c r="N285" s="9" t="n">
        <v>104</v>
      </c>
      <c r="O285" s="9" t="n">
        <v>104</v>
      </c>
      <c r="P285" s="2"/>
      <c r="Q285" s="2" t="str">
        <f aca="false">IF(I285&gt;0,ROUND((N285-I285)/I285*100,0),"")</f>
        <v/>
      </c>
      <c r="R285" s="9" t="n">
        <f aca="false">SUM(I285:K285)</f>
        <v>0</v>
      </c>
      <c r="S285" s="9" t="n">
        <f aca="false">SUM(L285:N285)</f>
        <v>104</v>
      </c>
      <c r="T285" s="17" t="str">
        <f aca="false">IF(R285&gt;0,S285/R285-1,"")</f>
        <v/>
      </c>
      <c r="U285" s="2" t="str">
        <f aca="false">IF(AND(R285=0,S285&gt;0),"H2 Active / No H1 GMV",IF(S285=0,"Lapsed",IF(T285&gt;=Assumptions!$B$36,"Growing",IF(T285&lt;-Assumptions!$B$36,"Declining","Stable"))))</f>
        <v>H2 Active / No H1 GMV</v>
      </c>
      <c r="V285" s="2" t="n">
        <f aca="false">COUNTIF(I285:N285,"&gt;0")</f>
        <v>1</v>
      </c>
      <c r="W285" s="2" t="str">
        <f aca="false">IF(N285&gt;0,"Feb",IF(M285&gt;0,"Jan",IF(L285&gt;0,"Dec",IF(K285&gt;0,"Nov",IF(J285&gt;0,"Oct","Sep")))))</f>
        <v>Feb</v>
      </c>
      <c r="X285" s="2" t="str">
        <f aca="false">IF(O285&gt;=Assumptions!$B$35,"Key (&gt;=£10k)",IF(O285&gt;=Assumptions!$B$34,"Core (£2k-10k)","Tail (&lt;£2k)"))</f>
        <v>Tail (&lt;£2k)</v>
      </c>
      <c r="Y285" s="21" t="n">
        <f aca="false">INDEX('Scored Accounts'!$Q$2:$Q$301,MATCH(A285,'Scored Accounts'!$A$2:$A$301,0))</f>
        <v>0</v>
      </c>
      <c r="Z285" s="2" t="str">
        <f aca="false">INDEX('Scored Accounts'!$R$2:$R$301,MATCH(A285,'Scored Accounts'!$A$2:$A$301,0))</f>
        <v>Low</v>
      </c>
      <c r="AA285" s="2" t="str">
        <f aca="false">INDEX('Scored Accounts'!$T$2:$T$301,MATCH(A285,'Scored Accounts'!$A$2:$A$301,0))</f>
        <v/>
      </c>
      <c r="AB285" s="2" t="str">
        <f aca="false">IF(Z285="Low","Lower dep / ","Higher dep / ")&amp;IF(O285&gt;=Assumptions!$B$34,"Higher value","Lower value")</f>
        <v>Lower dep / Lower value</v>
      </c>
    </row>
    <row r="286" customFormat="false" ht="15" hidden="false" customHeight="false" outlineLevel="0" collapsed="false">
      <c r="A286" s="2" t="s">
        <v>960</v>
      </c>
      <c r="B286" s="2" t="s">
        <v>1574</v>
      </c>
      <c r="C286" s="2" t="s">
        <v>1640</v>
      </c>
      <c r="D286" s="2" t="s">
        <v>1658</v>
      </c>
      <c r="E286" s="2" t="s">
        <v>1658</v>
      </c>
      <c r="F286" s="2"/>
      <c r="G286" s="2" t="n">
        <v>1</v>
      </c>
      <c r="H286" s="2" t="n">
        <v>1</v>
      </c>
      <c r="I286" s="9" t="n">
        <v>0</v>
      </c>
      <c r="J286" s="9" t="n">
        <v>0</v>
      </c>
      <c r="K286" s="9" t="n">
        <v>0</v>
      </c>
      <c r="L286" s="9" t="n">
        <v>0</v>
      </c>
      <c r="M286" s="9" t="n">
        <v>0</v>
      </c>
      <c r="N286" s="9" t="n">
        <v>98</v>
      </c>
      <c r="O286" s="9" t="n">
        <v>98</v>
      </c>
      <c r="P286" s="2"/>
      <c r="Q286" s="2" t="str">
        <f aca="false">IF(I286&gt;0,ROUND((N286-I286)/I286*100,0),"")</f>
        <v/>
      </c>
      <c r="R286" s="9" t="n">
        <f aca="false">SUM(I286:K286)</f>
        <v>0</v>
      </c>
      <c r="S286" s="9" t="n">
        <f aca="false">SUM(L286:N286)</f>
        <v>98</v>
      </c>
      <c r="T286" s="17" t="str">
        <f aca="false">IF(R286&gt;0,S286/R286-1,"")</f>
        <v/>
      </c>
      <c r="U286" s="2" t="str">
        <f aca="false">IF(AND(R286=0,S286&gt;0),"H2 Active / No H1 GMV",IF(S286=0,"Lapsed",IF(T286&gt;=Assumptions!$B$36,"Growing",IF(T286&lt;-Assumptions!$B$36,"Declining","Stable"))))</f>
        <v>H2 Active / No H1 GMV</v>
      </c>
      <c r="V286" s="2" t="n">
        <f aca="false">COUNTIF(I286:N286,"&gt;0")</f>
        <v>1</v>
      </c>
      <c r="W286" s="2" t="str">
        <f aca="false">IF(N286&gt;0,"Feb",IF(M286&gt;0,"Jan",IF(L286&gt;0,"Dec",IF(K286&gt;0,"Nov",IF(J286&gt;0,"Oct","Sep")))))</f>
        <v>Feb</v>
      </c>
      <c r="X286" s="2" t="str">
        <f aca="false">IF(O286&gt;=Assumptions!$B$35,"Key (&gt;=£10k)",IF(O286&gt;=Assumptions!$B$34,"Core (£2k-10k)","Tail (&lt;£2k)"))</f>
        <v>Tail (&lt;£2k)</v>
      </c>
      <c r="Y286" s="21" t="n">
        <f aca="false">INDEX('Scored Accounts'!$Q$2:$Q$301,MATCH(A286,'Scored Accounts'!$A$2:$A$301,0))</f>
        <v>0</v>
      </c>
      <c r="Z286" s="2" t="str">
        <f aca="false">INDEX('Scored Accounts'!$R$2:$R$301,MATCH(A286,'Scored Accounts'!$A$2:$A$301,0))</f>
        <v>Low</v>
      </c>
      <c r="AA286" s="2" t="str">
        <f aca="false">INDEX('Scored Accounts'!$T$2:$T$301,MATCH(A286,'Scored Accounts'!$A$2:$A$301,0))</f>
        <v/>
      </c>
      <c r="AB286" s="2" t="str">
        <f aca="false">IF(Z286="Low","Lower dep / ","Higher dep / ")&amp;IF(O286&gt;=Assumptions!$B$34,"Higher value","Lower value")</f>
        <v>Lower dep / Lower value</v>
      </c>
    </row>
    <row r="287" customFormat="false" ht="15" hidden="false" customHeight="false" outlineLevel="0" collapsed="false">
      <c r="A287" s="2" t="s">
        <v>968</v>
      </c>
      <c r="B287" s="2" t="s">
        <v>1574</v>
      </c>
      <c r="C287" s="2" t="s">
        <v>1640</v>
      </c>
      <c r="D287" s="2" t="s">
        <v>1653</v>
      </c>
      <c r="E287" s="2" t="s">
        <v>1653</v>
      </c>
      <c r="F287" s="2"/>
      <c r="G287" s="2" t="n">
        <v>5</v>
      </c>
      <c r="H287" s="2" t="n">
        <v>1</v>
      </c>
      <c r="I287" s="9" t="n">
        <v>0</v>
      </c>
      <c r="J287" s="9" t="n">
        <v>96</v>
      </c>
      <c r="K287" s="9" t="n">
        <v>0</v>
      </c>
      <c r="L287" s="9" t="n">
        <v>0</v>
      </c>
      <c r="M287" s="9" t="n">
        <v>0</v>
      </c>
      <c r="N287" s="9" t="n">
        <v>0</v>
      </c>
      <c r="O287" s="9" t="n">
        <v>96</v>
      </c>
      <c r="P287" s="2"/>
      <c r="Q287" s="2" t="str">
        <f aca="false">IF(I287&gt;0,ROUND((N287-I287)/I287*100,0),"")</f>
        <v/>
      </c>
      <c r="R287" s="9" t="n">
        <f aca="false">SUM(I287:K287)</f>
        <v>96</v>
      </c>
      <c r="S287" s="9" t="n">
        <f aca="false">SUM(L287:N287)</f>
        <v>0</v>
      </c>
      <c r="T287" s="17" t="n">
        <f aca="false">IF(R287&gt;0,S287/R287-1,"")</f>
        <v>-1</v>
      </c>
      <c r="U287" s="2" t="str">
        <f aca="false">IF(AND(R287=0,S287&gt;0),"H2 Active / No H1 GMV",IF(S287=0,"Lapsed",IF(T287&gt;=Assumptions!$B$36,"Growing",IF(T287&lt;-Assumptions!$B$36,"Declining","Stable"))))</f>
        <v>Lapsed</v>
      </c>
      <c r="V287" s="2" t="n">
        <f aca="false">COUNTIF(I287:N287,"&gt;0")</f>
        <v>1</v>
      </c>
      <c r="W287" s="2" t="str">
        <f aca="false">IF(N287&gt;0,"Feb",IF(M287&gt;0,"Jan",IF(L287&gt;0,"Dec",IF(K287&gt;0,"Nov",IF(J287&gt;0,"Oct","Sep")))))</f>
        <v>Oct</v>
      </c>
      <c r="X287" s="2" t="str">
        <f aca="false">IF(O287&gt;=Assumptions!$B$35,"Key (&gt;=£10k)",IF(O287&gt;=Assumptions!$B$34,"Core (£2k-10k)","Tail (&lt;£2k)"))</f>
        <v>Tail (&lt;£2k)</v>
      </c>
      <c r="Y287" s="21" t="n">
        <f aca="false">INDEX('Scored Accounts'!$Q$2:$Q$301,MATCH(A287,'Scored Accounts'!$A$2:$A$301,0))</f>
        <v>0</v>
      </c>
      <c r="Z287" s="2" t="str">
        <f aca="false">INDEX('Scored Accounts'!$R$2:$R$301,MATCH(A287,'Scored Accounts'!$A$2:$A$301,0))</f>
        <v>Low</v>
      </c>
      <c r="AA287" s="2" t="str">
        <f aca="false">INDEX('Scored Accounts'!$T$2:$T$301,MATCH(A287,'Scored Accounts'!$A$2:$A$301,0))</f>
        <v/>
      </c>
      <c r="AB287" s="2" t="str">
        <f aca="false">IF(Z287="Low","Lower dep / ","Higher dep / ")&amp;IF(O287&gt;=Assumptions!$B$34,"Higher value","Lower value")</f>
        <v>Lower dep / Lower value</v>
      </c>
    </row>
    <row r="288" customFormat="false" ht="15" hidden="false" customHeight="false" outlineLevel="0" collapsed="false">
      <c r="A288" s="2" t="s">
        <v>972</v>
      </c>
      <c r="B288" s="2" t="s">
        <v>1574</v>
      </c>
      <c r="C288" s="2" t="s">
        <v>1640</v>
      </c>
      <c r="D288" s="2" t="s">
        <v>1657</v>
      </c>
      <c r="E288" s="2" t="s">
        <v>1723</v>
      </c>
      <c r="F288" s="2"/>
      <c r="G288" s="2" t="n">
        <v>3</v>
      </c>
      <c r="H288" s="2" t="n">
        <v>1</v>
      </c>
      <c r="I288" s="9" t="n">
        <v>0</v>
      </c>
      <c r="J288" s="9" t="n">
        <v>0</v>
      </c>
      <c r="K288" s="9" t="n">
        <v>0</v>
      </c>
      <c r="L288" s="9" t="n">
        <v>94</v>
      </c>
      <c r="M288" s="9" t="n">
        <v>0</v>
      </c>
      <c r="N288" s="9" t="n">
        <v>0</v>
      </c>
      <c r="O288" s="9" t="n">
        <v>94</v>
      </c>
      <c r="P288" s="2"/>
      <c r="Q288" s="2" t="str">
        <f aca="false">IF(I288&gt;0,ROUND((N288-I288)/I288*100,0),"")</f>
        <v/>
      </c>
      <c r="R288" s="9" t="n">
        <f aca="false">SUM(I288:K288)</f>
        <v>0</v>
      </c>
      <c r="S288" s="9" t="n">
        <f aca="false">SUM(L288:N288)</f>
        <v>94</v>
      </c>
      <c r="T288" s="17" t="str">
        <f aca="false">IF(R288&gt;0,S288/R288-1,"")</f>
        <v/>
      </c>
      <c r="U288" s="2" t="str">
        <f aca="false">IF(AND(R288=0,S288&gt;0),"H2 Active / No H1 GMV",IF(S288=0,"Lapsed",IF(T288&gt;=Assumptions!$B$36,"Growing",IF(T288&lt;-Assumptions!$B$36,"Declining","Stable"))))</f>
        <v>H2 Active / No H1 GMV</v>
      </c>
      <c r="V288" s="2" t="n">
        <f aca="false">COUNTIF(I288:N288,"&gt;0")</f>
        <v>1</v>
      </c>
      <c r="W288" s="2" t="str">
        <f aca="false">IF(N288&gt;0,"Feb",IF(M288&gt;0,"Jan",IF(L288&gt;0,"Dec",IF(K288&gt;0,"Nov",IF(J288&gt;0,"Oct","Sep")))))</f>
        <v>Dec</v>
      </c>
      <c r="X288" s="2" t="str">
        <f aca="false">IF(O288&gt;=Assumptions!$B$35,"Key (&gt;=£10k)",IF(O288&gt;=Assumptions!$B$34,"Core (£2k-10k)","Tail (&lt;£2k)"))</f>
        <v>Tail (&lt;£2k)</v>
      </c>
      <c r="Y288" s="21" t="n">
        <f aca="false">INDEX('Scored Accounts'!$Q$2:$Q$301,MATCH(A288,'Scored Accounts'!$A$2:$A$301,0))</f>
        <v>0</v>
      </c>
      <c r="Z288" s="2" t="str">
        <f aca="false">INDEX('Scored Accounts'!$R$2:$R$301,MATCH(A288,'Scored Accounts'!$A$2:$A$301,0))</f>
        <v>Low</v>
      </c>
      <c r="AA288" s="2" t="str">
        <f aca="false">INDEX('Scored Accounts'!$T$2:$T$301,MATCH(A288,'Scored Accounts'!$A$2:$A$301,0))</f>
        <v/>
      </c>
      <c r="AB288" s="2" t="str">
        <f aca="false">IF(Z288="Low","Lower dep / ","Higher dep / ")&amp;IF(O288&gt;=Assumptions!$B$34,"Higher value","Lower value")</f>
        <v>Lower dep / Lower value</v>
      </c>
    </row>
    <row r="289" customFormat="false" ht="15" hidden="false" customHeight="false" outlineLevel="0" collapsed="false">
      <c r="A289" s="2" t="s">
        <v>976</v>
      </c>
      <c r="B289" s="2" t="s">
        <v>1574</v>
      </c>
      <c r="C289" s="2" t="s">
        <v>1640</v>
      </c>
      <c r="D289" s="2" t="s">
        <v>1653</v>
      </c>
      <c r="E289" s="2" t="s">
        <v>1653</v>
      </c>
      <c r="F289" s="2"/>
      <c r="G289" s="2" t="n">
        <v>5</v>
      </c>
      <c r="H289" s="2" t="n">
        <v>1</v>
      </c>
      <c r="I289" s="9" t="n">
        <v>0</v>
      </c>
      <c r="J289" s="9" t="n">
        <v>88</v>
      </c>
      <c r="K289" s="9" t="n">
        <v>0</v>
      </c>
      <c r="L289" s="9" t="n">
        <v>0</v>
      </c>
      <c r="M289" s="9" t="n">
        <v>0</v>
      </c>
      <c r="N289" s="9" t="n">
        <v>0</v>
      </c>
      <c r="O289" s="9" t="n">
        <v>88</v>
      </c>
      <c r="P289" s="2"/>
      <c r="Q289" s="2" t="str">
        <f aca="false">IF(I289&gt;0,ROUND((N289-I289)/I289*100,0),"")</f>
        <v/>
      </c>
      <c r="R289" s="9" t="n">
        <f aca="false">SUM(I289:K289)</f>
        <v>88</v>
      </c>
      <c r="S289" s="9" t="n">
        <f aca="false">SUM(L289:N289)</f>
        <v>0</v>
      </c>
      <c r="T289" s="17" t="n">
        <f aca="false">IF(R289&gt;0,S289/R289-1,"")</f>
        <v>-1</v>
      </c>
      <c r="U289" s="2" t="str">
        <f aca="false">IF(AND(R289=0,S289&gt;0),"H2 Active / No H1 GMV",IF(S289=0,"Lapsed",IF(T289&gt;=Assumptions!$B$36,"Growing",IF(T289&lt;-Assumptions!$B$36,"Declining","Stable"))))</f>
        <v>Lapsed</v>
      </c>
      <c r="V289" s="2" t="n">
        <f aca="false">COUNTIF(I289:N289,"&gt;0")</f>
        <v>1</v>
      </c>
      <c r="W289" s="2" t="str">
        <f aca="false">IF(N289&gt;0,"Feb",IF(M289&gt;0,"Jan",IF(L289&gt;0,"Dec",IF(K289&gt;0,"Nov",IF(J289&gt;0,"Oct","Sep")))))</f>
        <v>Oct</v>
      </c>
      <c r="X289" s="2" t="str">
        <f aca="false">IF(O289&gt;=Assumptions!$B$35,"Key (&gt;=£10k)",IF(O289&gt;=Assumptions!$B$34,"Core (£2k-10k)","Tail (&lt;£2k)"))</f>
        <v>Tail (&lt;£2k)</v>
      </c>
      <c r="Y289" s="21" t="n">
        <f aca="false">INDEX('Scored Accounts'!$Q$2:$Q$301,MATCH(A289,'Scored Accounts'!$A$2:$A$301,0))</f>
        <v>0</v>
      </c>
      <c r="Z289" s="2" t="str">
        <f aca="false">INDEX('Scored Accounts'!$R$2:$R$301,MATCH(A289,'Scored Accounts'!$A$2:$A$301,0))</f>
        <v>Low</v>
      </c>
      <c r="AA289" s="2" t="str">
        <f aca="false">INDEX('Scored Accounts'!$T$2:$T$301,MATCH(A289,'Scored Accounts'!$A$2:$A$301,0))</f>
        <v/>
      </c>
      <c r="AB289" s="2" t="str">
        <f aca="false">IF(Z289="Low","Lower dep / ","Higher dep / ")&amp;IF(O289&gt;=Assumptions!$B$34,"Higher value","Lower value")</f>
        <v>Lower dep / Lower value</v>
      </c>
    </row>
    <row r="290" customFormat="false" ht="15" hidden="false" customHeight="false" outlineLevel="0" collapsed="false">
      <c r="A290" s="2" t="s">
        <v>978</v>
      </c>
      <c r="B290" s="2" t="s">
        <v>1574</v>
      </c>
      <c r="C290" s="2" t="s">
        <v>1640</v>
      </c>
      <c r="D290" s="2" t="s">
        <v>1653</v>
      </c>
      <c r="E290" s="2" t="s">
        <v>1653</v>
      </c>
      <c r="F290" s="2"/>
      <c r="G290" s="2" t="n">
        <v>1</v>
      </c>
      <c r="H290" s="2" t="n">
        <v>1</v>
      </c>
      <c r="I290" s="9" t="n">
        <v>0</v>
      </c>
      <c r="J290" s="9" t="n">
        <v>0</v>
      </c>
      <c r="K290" s="9" t="n">
        <v>0</v>
      </c>
      <c r="L290" s="9" t="n">
        <v>0</v>
      </c>
      <c r="M290" s="9" t="n">
        <v>0</v>
      </c>
      <c r="N290" s="9" t="n">
        <v>87</v>
      </c>
      <c r="O290" s="9" t="n">
        <v>87</v>
      </c>
      <c r="P290" s="2"/>
      <c r="Q290" s="2" t="str">
        <f aca="false">IF(I290&gt;0,ROUND((N290-I290)/I290*100,0),"")</f>
        <v/>
      </c>
      <c r="R290" s="9" t="n">
        <f aca="false">SUM(I290:K290)</f>
        <v>0</v>
      </c>
      <c r="S290" s="9" t="n">
        <f aca="false">SUM(L290:N290)</f>
        <v>87</v>
      </c>
      <c r="T290" s="17" t="str">
        <f aca="false">IF(R290&gt;0,S290/R290-1,"")</f>
        <v/>
      </c>
      <c r="U290" s="2" t="str">
        <f aca="false">IF(AND(R290=0,S290&gt;0),"H2 Active / No H1 GMV",IF(S290=0,"Lapsed",IF(T290&gt;=Assumptions!$B$36,"Growing",IF(T290&lt;-Assumptions!$B$36,"Declining","Stable"))))</f>
        <v>H2 Active / No H1 GMV</v>
      </c>
      <c r="V290" s="2" t="n">
        <f aca="false">COUNTIF(I290:N290,"&gt;0")</f>
        <v>1</v>
      </c>
      <c r="W290" s="2" t="str">
        <f aca="false">IF(N290&gt;0,"Feb",IF(M290&gt;0,"Jan",IF(L290&gt;0,"Dec",IF(K290&gt;0,"Nov",IF(J290&gt;0,"Oct","Sep")))))</f>
        <v>Feb</v>
      </c>
      <c r="X290" s="2" t="str">
        <f aca="false">IF(O290&gt;=Assumptions!$B$35,"Key (&gt;=£10k)",IF(O290&gt;=Assumptions!$B$34,"Core (£2k-10k)","Tail (&lt;£2k)"))</f>
        <v>Tail (&lt;£2k)</v>
      </c>
      <c r="Y290" s="21" t="n">
        <f aca="false">INDEX('Scored Accounts'!$Q$2:$Q$301,MATCH(A290,'Scored Accounts'!$A$2:$A$301,0))</f>
        <v>0</v>
      </c>
      <c r="Z290" s="2" t="str">
        <f aca="false">INDEX('Scored Accounts'!$R$2:$R$301,MATCH(A290,'Scored Accounts'!$A$2:$A$301,0))</f>
        <v>Low</v>
      </c>
      <c r="AA290" s="2" t="str">
        <f aca="false">INDEX('Scored Accounts'!$T$2:$T$301,MATCH(A290,'Scored Accounts'!$A$2:$A$301,0))</f>
        <v/>
      </c>
      <c r="AB290" s="2" t="str">
        <f aca="false">IF(Z290="Low","Lower dep / ","Higher dep / ")&amp;IF(O290&gt;=Assumptions!$B$34,"Higher value","Lower value")</f>
        <v>Lower dep / Lower value</v>
      </c>
    </row>
    <row r="291" customFormat="false" ht="15" hidden="false" customHeight="false" outlineLevel="0" collapsed="false">
      <c r="A291" s="2" t="s">
        <v>980</v>
      </c>
      <c r="B291" s="2" t="s">
        <v>1574</v>
      </c>
      <c r="C291" s="2" t="s">
        <v>1640</v>
      </c>
      <c r="D291" s="2" t="s">
        <v>1653</v>
      </c>
      <c r="E291" s="2" t="s">
        <v>1653</v>
      </c>
      <c r="F291" s="2"/>
      <c r="G291" s="2" t="n">
        <v>2</v>
      </c>
      <c r="H291" s="2" t="n">
        <v>1</v>
      </c>
      <c r="I291" s="9" t="n">
        <v>0</v>
      </c>
      <c r="J291" s="9" t="n">
        <v>0</v>
      </c>
      <c r="K291" s="9" t="n">
        <v>0</v>
      </c>
      <c r="L291" s="9" t="n">
        <v>0</v>
      </c>
      <c r="M291" s="9" t="n">
        <v>86</v>
      </c>
      <c r="N291" s="9" t="n">
        <v>0</v>
      </c>
      <c r="O291" s="9" t="n">
        <v>86</v>
      </c>
      <c r="P291" s="2"/>
      <c r="Q291" s="2" t="str">
        <f aca="false">IF(I291&gt;0,ROUND((N291-I291)/I291*100,0),"")</f>
        <v/>
      </c>
      <c r="R291" s="9" t="n">
        <f aca="false">SUM(I291:K291)</f>
        <v>0</v>
      </c>
      <c r="S291" s="9" t="n">
        <f aca="false">SUM(L291:N291)</f>
        <v>86</v>
      </c>
      <c r="T291" s="17" t="str">
        <f aca="false">IF(R291&gt;0,S291/R291-1,"")</f>
        <v/>
      </c>
      <c r="U291" s="2" t="str">
        <f aca="false">IF(AND(R291=0,S291&gt;0),"H2 Active / No H1 GMV",IF(S291=0,"Lapsed",IF(T291&gt;=Assumptions!$B$36,"Growing",IF(T291&lt;-Assumptions!$B$36,"Declining","Stable"))))</f>
        <v>H2 Active / No H1 GMV</v>
      </c>
      <c r="V291" s="2" t="n">
        <f aca="false">COUNTIF(I291:N291,"&gt;0")</f>
        <v>1</v>
      </c>
      <c r="W291" s="2" t="str">
        <f aca="false">IF(N291&gt;0,"Feb",IF(M291&gt;0,"Jan",IF(L291&gt;0,"Dec",IF(K291&gt;0,"Nov",IF(J291&gt;0,"Oct","Sep")))))</f>
        <v>Jan</v>
      </c>
      <c r="X291" s="2" t="str">
        <f aca="false">IF(O291&gt;=Assumptions!$B$35,"Key (&gt;=£10k)",IF(O291&gt;=Assumptions!$B$34,"Core (£2k-10k)","Tail (&lt;£2k)"))</f>
        <v>Tail (&lt;£2k)</v>
      </c>
      <c r="Y291" s="21" t="n">
        <f aca="false">INDEX('Scored Accounts'!$Q$2:$Q$301,MATCH(A291,'Scored Accounts'!$A$2:$A$301,0))</f>
        <v>0</v>
      </c>
      <c r="Z291" s="2" t="str">
        <f aca="false">INDEX('Scored Accounts'!$R$2:$R$301,MATCH(A291,'Scored Accounts'!$A$2:$A$301,0))</f>
        <v>Low</v>
      </c>
      <c r="AA291" s="2" t="str">
        <f aca="false">INDEX('Scored Accounts'!$T$2:$T$301,MATCH(A291,'Scored Accounts'!$A$2:$A$301,0))</f>
        <v/>
      </c>
      <c r="AB291" s="2" t="str">
        <f aca="false">IF(Z291="Low","Lower dep / ","Higher dep / ")&amp;IF(O291&gt;=Assumptions!$B$34,"Higher value","Lower value")</f>
        <v>Lower dep / Lower value</v>
      </c>
    </row>
    <row r="292" customFormat="false" ht="15" hidden="false" customHeight="false" outlineLevel="0" collapsed="false">
      <c r="A292" s="2" t="s">
        <v>990</v>
      </c>
      <c r="B292" s="2" t="s">
        <v>1574</v>
      </c>
      <c r="C292" s="2" t="s">
        <v>1640</v>
      </c>
      <c r="D292" s="2" t="s">
        <v>1658</v>
      </c>
      <c r="E292" s="2" t="s">
        <v>1658</v>
      </c>
      <c r="F292" s="2"/>
      <c r="G292" s="2" t="n">
        <v>2</v>
      </c>
      <c r="H292" s="2" t="n">
        <v>1</v>
      </c>
      <c r="I292" s="9" t="n">
        <v>0</v>
      </c>
      <c r="J292" s="9" t="n">
        <v>0</v>
      </c>
      <c r="K292" s="9" t="n">
        <v>0</v>
      </c>
      <c r="L292" s="9" t="n">
        <v>0</v>
      </c>
      <c r="M292" s="9" t="n">
        <v>84</v>
      </c>
      <c r="N292" s="9" t="n">
        <v>0</v>
      </c>
      <c r="O292" s="9" t="n">
        <v>84</v>
      </c>
      <c r="P292" s="2"/>
      <c r="Q292" s="2" t="str">
        <f aca="false">IF(I292&gt;0,ROUND((N292-I292)/I292*100,0),"")</f>
        <v/>
      </c>
      <c r="R292" s="9" t="n">
        <f aca="false">SUM(I292:K292)</f>
        <v>0</v>
      </c>
      <c r="S292" s="9" t="n">
        <f aca="false">SUM(L292:N292)</f>
        <v>84</v>
      </c>
      <c r="T292" s="17" t="str">
        <f aca="false">IF(R292&gt;0,S292/R292-1,"")</f>
        <v/>
      </c>
      <c r="U292" s="2" t="str">
        <f aca="false">IF(AND(R292=0,S292&gt;0),"H2 Active / No H1 GMV",IF(S292=0,"Lapsed",IF(T292&gt;=Assumptions!$B$36,"Growing",IF(T292&lt;-Assumptions!$B$36,"Declining","Stable"))))</f>
        <v>H2 Active / No H1 GMV</v>
      </c>
      <c r="V292" s="2" t="n">
        <f aca="false">COUNTIF(I292:N292,"&gt;0")</f>
        <v>1</v>
      </c>
      <c r="W292" s="2" t="str">
        <f aca="false">IF(N292&gt;0,"Feb",IF(M292&gt;0,"Jan",IF(L292&gt;0,"Dec",IF(K292&gt;0,"Nov",IF(J292&gt;0,"Oct","Sep")))))</f>
        <v>Jan</v>
      </c>
      <c r="X292" s="2" t="str">
        <f aca="false">IF(O292&gt;=Assumptions!$B$35,"Key (&gt;=£10k)",IF(O292&gt;=Assumptions!$B$34,"Core (£2k-10k)","Tail (&lt;£2k)"))</f>
        <v>Tail (&lt;£2k)</v>
      </c>
      <c r="Y292" s="21" t="n">
        <f aca="false">INDEX('Scored Accounts'!$Q$2:$Q$301,MATCH(A292,'Scored Accounts'!$A$2:$A$301,0))</f>
        <v>0</v>
      </c>
      <c r="Z292" s="2" t="str">
        <f aca="false">INDEX('Scored Accounts'!$R$2:$R$301,MATCH(A292,'Scored Accounts'!$A$2:$A$301,0))</f>
        <v>Low</v>
      </c>
      <c r="AA292" s="2" t="str">
        <f aca="false">INDEX('Scored Accounts'!$T$2:$T$301,MATCH(A292,'Scored Accounts'!$A$2:$A$301,0))</f>
        <v/>
      </c>
      <c r="AB292" s="2" t="str">
        <f aca="false">IF(Z292="Low","Lower dep / ","Higher dep / ")&amp;IF(O292&gt;=Assumptions!$B$34,"Higher value","Lower value")</f>
        <v>Lower dep / Lower value</v>
      </c>
    </row>
    <row r="293" customFormat="false" ht="15" hidden="false" customHeight="false" outlineLevel="0" collapsed="false">
      <c r="A293" s="2" t="s">
        <v>992</v>
      </c>
      <c r="B293" s="2" t="s">
        <v>1574</v>
      </c>
      <c r="C293" s="2" t="s">
        <v>1640</v>
      </c>
      <c r="D293" s="2" t="s">
        <v>1653</v>
      </c>
      <c r="E293" s="2" t="s">
        <v>1653</v>
      </c>
      <c r="F293" s="2"/>
      <c r="G293" s="2" t="n">
        <v>6</v>
      </c>
      <c r="H293" s="2" t="n">
        <v>1</v>
      </c>
      <c r="I293" s="9" t="n">
        <v>84</v>
      </c>
      <c r="J293" s="9" t="n">
        <v>0</v>
      </c>
      <c r="K293" s="9" t="n">
        <v>0</v>
      </c>
      <c r="L293" s="9" t="n">
        <v>0</v>
      </c>
      <c r="M293" s="9" t="n">
        <v>0</v>
      </c>
      <c r="N293" s="9" t="n">
        <v>0</v>
      </c>
      <c r="O293" s="9" t="n">
        <v>84</v>
      </c>
      <c r="P293" s="2" t="n">
        <v>-100</v>
      </c>
      <c r="Q293" s="2" t="n">
        <f aca="false">IF(I293&gt;0,ROUND((N293-I293)/I293*100,0),"")</f>
        <v>-100</v>
      </c>
      <c r="R293" s="9" t="n">
        <f aca="false">SUM(I293:K293)</f>
        <v>84</v>
      </c>
      <c r="S293" s="9" t="n">
        <f aca="false">SUM(L293:N293)</f>
        <v>0</v>
      </c>
      <c r="T293" s="17" t="n">
        <f aca="false">IF(R293&gt;0,S293/R293-1,"")</f>
        <v>-1</v>
      </c>
      <c r="U293" s="2" t="str">
        <f aca="false">IF(AND(R293=0,S293&gt;0),"H2 Active / No H1 GMV",IF(S293=0,"Lapsed",IF(T293&gt;=Assumptions!$B$36,"Growing",IF(T293&lt;-Assumptions!$B$36,"Declining","Stable"))))</f>
        <v>Lapsed</v>
      </c>
      <c r="V293" s="2" t="n">
        <f aca="false">COUNTIF(I293:N293,"&gt;0")</f>
        <v>1</v>
      </c>
      <c r="W293" s="2" t="str">
        <f aca="false">IF(N293&gt;0,"Feb",IF(M293&gt;0,"Jan",IF(L293&gt;0,"Dec",IF(K293&gt;0,"Nov",IF(J293&gt;0,"Oct","Sep")))))</f>
        <v>Sep</v>
      </c>
      <c r="X293" s="2" t="str">
        <f aca="false">IF(O293&gt;=Assumptions!$B$35,"Key (&gt;=£10k)",IF(O293&gt;=Assumptions!$B$34,"Core (£2k-10k)","Tail (&lt;£2k)"))</f>
        <v>Tail (&lt;£2k)</v>
      </c>
      <c r="Y293" s="21" t="n">
        <f aca="false">INDEX('Scored Accounts'!$Q$2:$Q$301,MATCH(A293,'Scored Accounts'!$A$2:$A$301,0))</f>
        <v>0</v>
      </c>
      <c r="Z293" s="2" t="str">
        <f aca="false">INDEX('Scored Accounts'!$R$2:$R$301,MATCH(A293,'Scored Accounts'!$A$2:$A$301,0))</f>
        <v>Low</v>
      </c>
      <c r="AA293" s="2" t="str">
        <f aca="false">INDEX('Scored Accounts'!$T$2:$T$301,MATCH(A293,'Scored Accounts'!$A$2:$A$301,0))</f>
        <v/>
      </c>
      <c r="AB293" s="2" t="str">
        <f aca="false">IF(Z293="Low","Lower dep / ","Higher dep / ")&amp;IF(O293&gt;=Assumptions!$B$34,"Higher value","Lower value")</f>
        <v>Lower dep / Lower value</v>
      </c>
    </row>
    <row r="294" customFormat="false" ht="15" hidden="false" customHeight="false" outlineLevel="0" collapsed="false">
      <c r="A294" s="2" t="s">
        <v>994</v>
      </c>
      <c r="B294" s="2" t="s">
        <v>1574</v>
      </c>
      <c r="C294" s="2" t="s">
        <v>1640</v>
      </c>
      <c r="D294" s="2" t="s">
        <v>1653</v>
      </c>
      <c r="E294" s="2" t="s">
        <v>1653</v>
      </c>
      <c r="F294" s="2"/>
      <c r="G294" s="2" t="n">
        <v>1</v>
      </c>
      <c r="H294" s="2" t="n">
        <v>1</v>
      </c>
      <c r="I294" s="9" t="n">
        <v>0</v>
      </c>
      <c r="J294" s="9" t="n">
        <v>0</v>
      </c>
      <c r="K294" s="9" t="n">
        <v>0</v>
      </c>
      <c r="L294" s="9" t="n">
        <v>0</v>
      </c>
      <c r="M294" s="9" t="n">
        <v>0</v>
      </c>
      <c r="N294" s="9" t="n">
        <v>82</v>
      </c>
      <c r="O294" s="9" t="n">
        <v>82</v>
      </c>
      <c r="P294" s="2"/>
      <c r="Q294" s="2" t="str">
        <f aca="false">IF(I294&gt;0,ROUND((N294-I294)/I294*100,0),"")</f>
        <v/>
      </c>
      <c r="R294" s="9" t="n">
        <f aca="false">SUM(I294:K294)</f>
        <v>0</v>
      </c>
      <c r="S294" s="9" t="n">
        <f aca="false">SUM(L294:N294)</f>
        <v>82</v>
      </c>
      <c r="T294" s="17" t="str">
        <f aca="false">IF(R294&gt;0,S294/R294-1,"")</f>
        <v/>
      </c>
      <c r="U294" s="2" t="str">
        <f aca="false">IF(AND(R294=0,S294&gt;0),"H2 Active / No H1 GMV",IF(S294=0,"Lapsed",IF(T294&gt;=Assumptions!$B$36,"Growing",IF(T294&lt;-Assumptions!$B$36,"Declining","Stable"))))</f>
        <v>H2 Active / No H1 GMV</v>
      </c>
      <c r="V294" s="2" t="n">
        <f aca="false">COUNTIF(I294:N294,"&gt;0")</f>
        <v>1</v>
      </c>
      <c r="W294" s="2" t="str">
        <f aca="false">IF(N294&gt;0,"Feb",IF(M294&gt;0,"Jan",IF(L294&gt;0,"Dec",IF(K294&gt;0,"Nov",IF(J294&gt;0,"Oct","Sep")))))</f>
        <v>Feb</v>
      </c>
      <c r="X294" s="2" t="str">
        <f aca="false">IF(O294&gt;=Assumptions!$B$35,"Key (&gt;=£10k)",IF(O294&gt;=Assumptions!$B$34,"Core (£2k-10k)","Tail (&lt;£2k)"))</f>
        <v>Tail (&lt;£2k)</v>
      </c>
      <c r="Y294" s="21" t="n">
        <f aca="false">INDEX('Scored Accounts'!$Q$2:$Q$301,MATCH(A294,'Scored Accounts'!$A$2:$A$301,0))</f>
        <v>0</v>
      </c>
      <c r="Z294" s="2" t="str">
        <f aca="false">INDEX('Scored Accounts'!$R$2:$R$301,MATCH(A294,'Scored Accounts'!$A$2:$A$301,0))</f>
        <v>Low</v>
      </c>
      <c r="AA294" s="2" t="str">
        <f aca="false">INDEX('Scored Accounts'!$T$2:$T$301,MATCH(A294,'Scored Accounts'!$A$2:$A$301,0))</f>
        <v/>
      </c>
      <c r="AB294" s="2" t="str">
        <f aca="false">IF(Z294="Low","Lower dep / ","Higher dep / ")&amp;IF(O294&gt;=Assumptions!$B$34,"Higher value","Lower value")</f>
        <v>Lower dep / Lower value</v>
      </c>
    </row>
    <row r="295" customFormat="false" ht="15" hidden="false" customHeight="false" outlineLevel="0" collapsed="false">
      <c r="A295" s="2" t="s">
        <v>998</v>
      </c>
      <c r="B295" s="2" t="s">
        <v>1574</v>
      </c>
      <c r="C295" s="2" t="s">
        <v>1640</v>
      </c>
      <c r="D295" s="2" t="s">
        <v>1653</v>
      </c>
      <c r="E295" s="2" t="s">
        <v>1653</v>
      </c>
      <c r="F295" s="2"/>
      <c r="G295" s="2" t="n">
        <v>4</v>
      </c>
      <c r="H295" s="2" t="n">
        <v>1</v>
      </c>
      <c r="I295" s="9" t="n">
        <v>0</v>
      </c>
      <c r="J295" s="9" t="n">
        <v>0</v>
      </c>
      <c r="K295" s="9" t="n">
        <v>78</v>
      </c>
      <c r="L295" s="9" t="n">
        <v>0</v>
      </c>
      <c r="M295" s="9" t="n">
        <v>0</v>
      </c>
      <c r="N295" s="9" t="n">
        <v>0</v>
      </c>
      <c r="O295" s="9" t="n">
        <v>78</v>
      </c>
      <c r="P295" s="2"/>
      <c r="Q295" s="2" t="str">
        <f aca="false">IF(I295&gt;0,ROUND((N295-I295)/I295*100,0),"")</f>
        <v/>
      </c>
      <c r="R295" s="9" t="n">
        <f aca="false">SUM(I295:K295)</f>
        <v>78</v>
      </c>
      <c r="S295" s="9" t="n">
        <f aca="false">SUM(L295:N295)</f>
        <v>0</v>
      </c>
      <c r="T295" s="17" t="n">
        <f aca="false">IF(R295&gt;0,S295/R295-1,"")</f>
        <v>-1</v>
      </c>
      <c r="U295" s="2" t="str">
        <f aca="false">IF(AND(R295=0,S295&gt;0),"H2 Active / No H1 GMV",IF(S295=0,"Lapsed",IF(T295&gt;=Assumptions!$B$36,"Growing",IF(T295&lt;-Assumptions!$B$36,"Declining","Stable"))))</f>
        <v>Lapsed</v>
      </c>
      <c r="V295" s="2" t="n">
        <f aca="false">COUNTIF(I295:N295,"&gt;0")</f>
        <v>1</v>
      </c>
      <c r="W295" s="2" t="str">
        <f aca="false">IF(N295&gt;0,"Feb",IF(M295&gt;0,"Jan",IF(L295&gt;0,"Dec",IF(K295&gt;0,"Nov",IF(J295&gt;0,"Oct","Sep")))))</f>
        <v>Nov</v>
      </c>
      <c r="X295" s="2" t="str">
        <f aca="false">IF(O295&gt;=Assumptions!$B$35,"Key (&gt;=£10k)",IF(O295&gt;=Assumptions!$B$34,"Core (£2k-10k)","Tail (&lt;£2k)"))</f>
        <v>Tail (&lt;£2k)</v>
      </c>
      <c r="Y295" s="21" t="n">
        <f aca="false">INDEX('Scored Accounts'!$Q$2:$Q$301,MATCH(A295,'Scored Accounts'!$A$2:$A$301,0))</f>
        <v>0</v>
      </c>
      <c r="Z295" s="2" t="str">
        <f aca="false">INDEX('Scored Accounts'!$R$2:$R$301,MATCH(A295,'Scored Accounts'!$A$2:$A$301,0))</f>
        <v>Low</v>
      </c>
      <c r="AA295" s="2" t="str">
        <f aca="false">INDEX('Scored Accounts'!$T$2:$T$301,MATCH(A295,'Scored Accounts'!$A$2:$A$301,0))</f>
        <v/>
      </c>
      <c r="AB295" s="2" t="str">
        <f aca="false">IF(Z295="Low","Lower dep / ","Higher dep / ")&amp;IF(O295&gt;=Assumptions!$B$34,"Higher value","Lower value")</f>
        <v>Lower dep / Lower value</v>
      </c>
    </row>
    <row r="296" customFormat="false" ht="15" hidden="false" customHeight="false" outlineLevel="0" collapsed="false">
      <c r="A296" s="2" t="s">
        <v>1002</v>
      </c>
      <c r="B296" s="2" t="s">
        <v>1574</v>
      </c>
      <c r="C296" s="2" t="s">
        <v>1640</v>
      </c>
      <c r="D296" s="2" t="s">
        <v>1657</v>
      </c>
      <c r="E296" s="2" t="s">
        <v>1717</v>
      </c>
      <c r="F296" s="2"/>
      <c r="G296" s="2" t="n">
        <v>6</v>
      </c>
      <c r="H296" s="2" t="n">
        <v>1</v>
      </c>
      <c r="I296" s="9" t="n">
        <v>75</v>
      </c>
      <c r="J296" s="9" t="n">
        <v>0</v>
      </c>
      <c r="K296" s="9" t="n">
        <v>0</v>
      </c>
      <c r="L296" s="9" t="n">
        <v>0</v>
      </c>
      <c r="M296" s="9" t="n">
        <v>0</v>
      </c>
      <c r="N296" s="9" t="n">
        <v>0</v>
      </c>
      <c r="O296" s="9" t="n">
        <v>75</v>
      </c>
      <c r="P296" s="2" t="n">
        <v>-100</v>
      </c>
      <c r="Q296" s="2" t="n">
        <f aca="false">IF(I296&gt;0,ROUND((N296-I296)/I296*100,0),"")</f>
        <v>-100</v>
      </c>
      <c r="R296" s="9" t="n">
        <f aca="false">SUM(I296:K296)</f>
        <v>75</v>
      </c>
      <c r="S296" s="9" t="n">
        <f aca="false">SUM(L296:N296)</f>
        <v>0</v>
      </c>
      <c r="T296" s="17" t="n">
        <f aca="false">IF(R296&gt;0,S296/R296-1,"")</f>
        <v>-1</v>
      </c>
      <c r="U296" s="2" t="str">
        <f aca="false">IF(AND(R296=0,S296&gt;0),"H2 Active / No H1 GMV",IF(S296=0,"Lapsed",IF(T296&gt;=Assumptions!$B$36,"Growing",IF(T296&lt;-Assumptions!$B$36,"Declining","Stable"))))</f>
        <v>Lapsed</v>
      </c>
      <c r="V296" s="2" t="n">
        <f aca="false">COUNTIF(I296:N296,"&gt;0")</f>
        <v>1</v>
      </c>
      <c r="W296" s="2" t="str">
        <f aca="false">IF(N296&gt;0,"Feb",IF(M296&gt;0,"Jan",IF(L296&gt;0,"Dec",IF(K296&gt;0,"Nov",IF(J296&gt;0,"Oct","Sep")))))</f>
        <v>Sep</v>
      </c>
      <c r="X296" s="2" t="str">
        <f aca="false">IF(O296&gt;=Assumptions!$B$35,"Key (&gt;=£10k)",IF(O296&gt;=Assumptions!$B$34,"Core (£2k-10k)","Tail (&lt;£2k)"))</f>
        <v>Tail (&lt;£2k)</v>
      </c>
      <c r="Y296" s="21" t="n">
        <f aca="false">INDEX('Scored Accounts'!$Q$2:$Q$301,MATCH(A296,'Scored Accounts'!$A$2:$A$301,0))</f>
        <v>0</v>
      </c>
      <c r="Z296" s="2" t="str">
        <f aca="false">INDEX('Scored Accounts'!$R$2:$R$301,MATCH(A296,'Scored Accounts'!$A$2:$A$301,0))</f>
        <v>Low</v>
      </c>
      <c r="AA296" s="2" t="str">
        <f aca="false">INDEX('Scored Accounts'!$T$2:$T$301,MATCH(A296,'Scored Accounts'!$A$2:$A$301,0))</f>
        <v/>
      </c>
      <c r="AB296" s="2" t="str">
        <f aca="false">IF(Z296="Low","Lower dep / ","Higher dep / ")&amp;IF(O296&gt;=Assumptions!$B$34,"Higher value","Lower value")</f>
        <v>Lower dep / Lower value</v>
      </c>
    </row>
    <row r="297" customFormat="false" ht="15" hidden="false" customHeight="false" outlineLevel="0" collapsed="false">
      <c r="A297" s="2" t="s">
        <v>1004</v>
      </c>
      <c r="B297" s="2" t="s">
        <v>1574</v>
      </c>
      <c r="C297" s="2" t="s">
        <v>1640</v>
      </c>
      <c r="D297" s="2" t="s">
        <v>1657</v>
      </c>
      <c r="E297" s="2" t="s">
        <v>1723</v>
      </c>
      <c r="F297" s="2"/>
      <c r="G297" s="2" t="n">
        <v>1</v>
      </c>
      <c r="H297" s="2" t="n">
        <v>1</v>
      </c>
      <c r="I297" s="9" t="n">
        <v>0</v>
      </c>
      <c r="J297" s="9" t="n">
        <v>0</v>
      </c>
      <c r="K297" s="9" t="n">
        <v>0</v>
      </c>
      <c r="L297" s="9" t="n">
        <v>0</v>
      </c>
      <c r="M297" s="9" t="n">
        <v>0</v>
      </c>
      <c r="N297" s="9" t="n">
        <v>67</v>
      </c>
      <c r="O297" s="9" t="n">
        <v>67</v>
      </c>
      <c r="P297" s="2"/>
      <c r="Q297" s="2" t="str">
        <f aca="false">IF(I297&gt;0,ROUND((N297-I297)/I297*100,0),"")</f>
        <v/>
      </c>
      <c r="R297" s="9" t="n">
        <f aca="false">SUM(I297:K297)</f>
        <v>0</v>
      </c>
      <c r="S297" s="9" t="n">
        <f aca="false">SUM(L297:N297)</f>
        <v>67</v>
      </c>
      <c r="T297" s="17" t="str">
        <f aca="false">IF(R297&gt;0,S297/R297-1,"")</f>
        <v/>
      </c>
      <c r="U297" s="2" t="str">
        <f aca="false">IF(AND(R297=0,S297&gt;0),"H2 Active / No H1 GMV",IF(S297=0,"Lapsed",IF(T297&gt;=Assumptions!$B$36,"Growing",IF(T297&lt;-Assumptions!$B$36,"Declining","Stable"))))</f>
        <v>H2 Active / No H1 GMV</v>
      </c>
      <c r="V297" s="2" t="n">
        <f aca="false">COUNTIF(I297:N297,"&gt;0")</f>
        <v>1</v>
      </c>
      <c r="W297" s="2" t="str">
        <f aca="false">IF(N297&gt;0,"Feb",IF(M297&gt;0,"Jan",IF(L297&gt;0,"Dec",IF(K297&gt;0,"Nov",IF(J297&gt;0,"Oct","Sep")))))</f>
        <v>Feb</v>
      </c>
      <c r="X297" s="2" t="str">
        <f aca="false">IF(O297&gt;=Assumptions!$B$35,"Key (&gt;=£10k)",IF(O297&gt;=Assumptions!$B$34,"Core (£2k-10k)","Tail (&lt;£2k)"))</f>
        <v>Tail (&lt;£2k)</v>
      </c>
      <c r="Y297" s="21" t="n">
        <f aca="false">INDEX('Scored Accounts'!$Q$2:$Q$301,MATCH(A297,'Scored Accounts'!$A$2:$A$301,0))</f>
        <v>0</v>
      </c>
      <c r="Z297" s="2" t="str">
        <f aca="false">INDEX('Scored Accounts'!$R$2:$R$301,MATCH(A297,'Scored Accounts'!$A$2:$A$301,0))</f>
        <v>Low</v>
      </c>
      <c r="AA297" s="2" t="str">
        <f aca="false">INDEX('Scored Accounts'!$T$2:$T$301,MATCH(A297,'Scored Accounts'!$A$2:$A$301,0))</f>
        <v/>
      </c>
      <c r="AB297" s="2" t="str">
        <f aca="false">IF(Z297="Low","Lower dep / ","Higher dep / ")&amp;IF(O297&gt;=Assumptions!$B$34,"Higher value","Lower value")</f>
        <v>Lower dep / Lower value</v>
      </c>
    </row>
    <row r="298" customFormat="false" ht="15" hidden="false" customHeight="false" outlineLevel="0" collapsed="false">
      <c r="A298" s="2" t="s">
        <v>1006</v>
      </c>
      <c r="B298" s="2" t="s">
        <v>1574</v>
      </c>
      <c r="C298" s="2" t="s">
        <v>1640</v>
      </c>
      <c r="D298" s="2" t="s">
        <v>1655</v>
      </c>
      <c r="E298" s="2" t="s">
        <v>1655</v>
      </c>
      <c r="F298" s="2"/>
      <c r="G298" s="2" t="n">
        <v>6</v>
      </c>
      <c r="H298" s="2" t="n">
        <v>1</v>
      </c>
      <c r="I298" s="9" t="n">
        <v>61</v>
      </c>
      <c r="J298" s="9" t="n">
        <v>0</v>
      </c>
      <c r="K298" s="9" t="n">
        <v>0</v>
      </c>
      <c r="L298" s="9" t="n">
        <v>0</v>
      </c>
      <c r="M298" s="9" t="n">
        <v>0</v>
      </c>
      <c r="N298" s="9" t="n">
        <v>0</v>
      </c>
      <c r="O298" s="9" t="n">
        <v>61</v>
      </c>
      <c r="P298" s="2" t="n">
        <v>-100</v>
      </c>
      <c r="Q298" s="2" t="n">
        <f aca="false">IF(I298&gt;0,ROUND((N298-I298)/I298*100,0),"")</f>
        <v>-100</v>
      </c>
      <c r="R298" s="9" t="n">
        <f aca="false">SUM(I298:K298)</f>
        <v>61</v>
      </c>
      <c r="S298" s="9" t="n">
        <f aca="false">SUM(L298:N298)</f>
        <v>0</v>
      </c>
      <c r="T298" s="17" t="n">
        <f aca="false">IF(R298&gt;0,S298/R298-1,"")</f>
        <v>-1</v>
      </c>
      <c r="U298" s="2" t="str">
        <f aca="false">IF(AND(R298=0,S298&gt;0),"H2 Active / No H1 GMV",IF(S298=0,"Lapsed",IF(T298&gt;=Assumptions!$B$36,"Growing",IF(T298&lt;-Assumptions!$B$36,"Declining","Stable"))))</f>
        <v>Lapsed</v>
      </c>
      <c r="V298" s="2" t="n">
        <f aca="false">COUNTIF(I298:N298,"&gt;0")</f>
        <v>1</v>
      </c>
      <c r="W298" s="2" t="str">
        <f aca="false">IF(N298&gt;0,"Feb",IF(M298&gt;0,"Jan",IF(L298&gt;0,"Dec",IF(K298&gt;0,"Nov",IF(J298&gt;0,"Oct","Sep")))))</f>
        <v>Sep</v>
      </c>
      <c r="X298" s="2" t="str">
        <f aca="false">IF(O298&gt;=Assumptions!$B$35,"Key (&gt;=£10k)",IF(O298&gt;=Assumptions!$B$34,"Core (£2k-10k)","Tail (&lt;£2k)"))</f>
        <v>Tail (&lt;£2k)</v>
      </c>
      <c r="Y298" s="21" t="n">
        <f aca="false">INDEX('Scored Accounts'!$Q$2:$Q$301,MATCH(A298,'Scored Accounts'!$A$2:$A$301,0))</f>
        <v>0</v>
      </c>
      <c r="Z298" s="2" t="str">
        <f aca="false">INDEX('Scored Accounts'!$R$2:$R$301,MATCH(A298,'Scored Accounts'!$A$2:$A$301,0))</f>
        <v>Low</v>
      </c>
      <c r="AA298" s="2" t="str">
        <f aca="false">INDEX('Scored Accounts'!$T$2:$T$301,MATCH(A298,'Scored Accounts'!$A$2:$A$301,0))</f>
        <v/>
      </c>
      <c r="AB298" s="2" t="str">
        <f aca="false">IF(Z298="Low","Lower dep / ","Higher dep / ")&amp;IF(O298&gt;=Assumptions!$B$34,"Higher value","Lower value")</f>
        <v>Lower dep / Lower value</v>
      </c>
    </row>
    <row r="299" customFormat="false" ht="15" hidden="false" customHeight="false" outlineLevel="0" collapsed="false">
      <c r="A299" s="2" t="s">
        <v>1008</v>
      </c>
      <c r="B299" s="2" t="s">
        <v>1574</v>
      </c>
      <c r="C299" s="2" t="s">
        <v>1640</v>
      </c>
      <c r="D299" s="2" t="s">
        <v>1655</v>
      </c>
      <c r="E299" s="2" t="s">
        <v>1655</v>
      </c>
      <c r="F299" s="2"/>
      <c r="G299" s="2" t="n">
        <v>1</v>
      </c>
      <c r="H299" s="2" t="n">
        <v>1</v>
      </c>
      <c r="I299" s="9" t="n">
        <v>0</v>
      </c>
      <c r="J299" s="9" t="n">
        <v>0</v>
      </c>
      <c r="K299" s="9" t="n">
        <v>0</v>
      </c>
      <c r="L299" s="9" t="n">
        <v>0</v>
      </c>
      <c r="M299" s="9" t="n">
        <v>0</v>
      </c>
      <c r="N299" s="9" t="n">
        <v>61</v>
      </c>
      <c r="O299" s="9" t="n">
        <v>61</v>
      </c>
      <c r="P299" s="2"/>
      <c r="Q299" s="2" t="str">
        <f aca="false">IF(I299&gt;0,ROUND((N299-I299)/I299*100,0),"")</f>
        <v/>
      </c>
      <c r="R299" s="9" t="n">
        <f aca="false">SUM(I299:K299)</f>
        <v>0</v>
      </c>
      <c r="S299" s="9" t="n">
        <f aca="false">SUM(L299:N299)</f>
        <v>61</v>
      </c>
      <c r="T299" s="17" t="str">
        <f aca="false">IF(R299&gt;0,S299/R299-1,"")</f>
        <v/>
      </c>
      <c r="U299" s="2" t="str">
        <f aca="false">IF(AND(R299=0,S299&gt;0),"H2 Active / No H1 GMV",IF(S299=0,"Lapsed",IF(T299&gt;=Assumptions!$B$36,"Growing",IF(T299&lt;-Assumptions!$B$36,"Declining","Stable"))))</f>
        <v>H2 Active / No H1 GMV</v>
      </c>
      <c r="V299" s="2" t="n">
        <f aca="false">COUNTIF(I299:N299,"&gt;0")</f>
        <v>1</v>
      </c>
      <c r="W299" s="2" t="str">
        <f aca="false">IF(N299&gt;0,"Feb",IF(M299&gt;0,"Jan",IF(L299&gt;0,"Dec",IF(K299&gt;0,"Nov",IF(J299&gt;0,"Oct","Sep")))))</f>
        <v>Feb</v>
      </c>
      <c r="X299" s="2" t="str">
        <f aca="false">IF(O299&gt;=Assumptions!$B$35,"Key (&gt;=£10k)",IF(O299&gt;=Assumptions!$B$34,"Core (£2k-10k)","Tail (&lt;£2k)"))</f>
        <v>Tail (&lt;£2k)</v>
      </c>
      <c r="Y299" s="21" t="n">
        <f aca="false">INDEX('Scored Accounts'!$Q$2:$Q$301,MATCH(A299,'Scored Accounts'!$A$2:$A$301,0))</f>
        <v>0</v>
      </c>
      <c r="Z299" s="2" t="str">
        <f aca="false">INDEX('Scored Accounts'!$R$2:$R$301,MATCH(A299,'Scored Accounts'!$A$2:$A$301,0))</f>
        <v>Low</v>
      </c>
      <c r="AA299" s="2" t="str">
        <f aca="false">INDEX('Scored Accounts'!$T$2:$T$301,MATCH(A299,'Scored Accounts'!$A$2:$A$301,0))</f>
        <v/>
      </c>
      <c r="AB299" s="2" t="str">
        <f aca="false">IF(Z299="Low","Lower dep / ","Higher dep / ")&amp;IF(O299&gt;=Assumptions!$B$34,"Higher value","Lower value")</f>
        <v>Lower dep / Lower value</v>
      </c>
    </row>
    <row r="300" customFormat="false" ht="15" hidden="false" customHeight="false" outlineLevel="0" collapsed="false">
      <c r="A300" s="2" t="s">
        <v>1010</v>
      </c>
      <c r="B300" s="2" t="s">
        <v>1574</v>
      </c>
      <c r="C300" s="2" t="s">
        <v>1640</v>
      </c>
      <c r="D300" s="2" t="s">
        <v>1653</v>
      </c>
      <c r="E300" s="2" t="s">
        <v>1653</v>
      </c>
      <c r="F300" s="2"/>
      <c r="G300" s="2" t="n">
        <v>4</v>
      </c>
      <c r="H300" s="2" t="n">
        <v>1</v>
      </c>
      <c r="I300" s="9" t="n">
        <v>0</v>
      </c>
      <c r="J300" s="9" t="n">
        <v>0</v>
      </c>
      <c r="K300" s="9" t="n">
        <v>58</v>
      </c>
      <c r="L300" s="9" t="n">
        <v>0</v>
      </c>
      <c r="M300" s="9" t="n">
        <v>0</v>
      </c>
      <c r="N300" s="9" t="n">
        <v>0</v>
      </c>
      <c r="O300" s="9" t="n">
        <v>58</v>
      </c>
      <c r="P300" s="2"/>
      <c r="Q300" s="2" t="str">
        <f aca="false">IF(I300&gt;0,ROUND((N300-I300)/I300*100,0),"")</f>
        <v/>
      </c>
      <c r="R300" s="9" t="n">
        <f aca="false">SUM(I300:K300)</f>
        <v>58</v>
      </c>
      <c r="S300" s="9" t="n">
        <f aca="false">SUM(L300:N300)</f>
        <v>0</v>
      </c>
      <c r="T300" s="17" t="n">
        <f aca="false">IF(R300&gt;0,S300/R300-1,"")</f>
        <v>-1</v>
      </c>
      <c r="U300" s="2" t="str">
        <f aca="false">IF(AND(R300=0,S300&gt;0),"H2 Active / No H1 GMV",IF(S300=0,"Lapsed",IF(T300&gt;=Assumptions!$B$36,"Growing",IF(T300&lt;-Assumptions!$B$36,"Declining","Stable"))))</f>
        <v>Lapsed</v>
      </c>
      <c r="V300" s="2" t="n">
        <f aca="false">COUNTIF(I300:N300,"&gt;0")</f>
        <v>1</v>
      </c>
      <c r="W300" s="2" t="str">
        <f aca="false">IF(N300&gt;0,"Feb",IF(M300&gt;0,"Jan",IF(L300&gt;0,"Dec",IF(K300&gt;0,"Nov",IF(J300&gt;0,"Oct","Sep")))))</f>
        <v>Nov</v>
      </c>
      <c r="X300" s="2" t="str">
        <f aca="false">IF(O300&gt;=Assumptions!$B$35,"Key (&gt;=£10k)",IF(O300&gt;=Assumptions!$B$34,"Core (£2k-10k)","Tail (&lt;£2k)"))</f>
        <v>Tail (&lt;£2k)</v>
      </c>
      <c r="Y300" s="21" t="n">
        <f aca="false">INDEX('Scored Accounts'!$Q$2:$Q$301,MATCH(A300,'Scored Accounts'!$A$2:$A$301,0))</f>
        <v>0</v>
      </c>
      <c r="Z300" s="2" t="str">
        <f aca="false">INDEX('Scored Accounts'!$R$2:$R$301,MATCH(A300,'Scored Accounts'!$A$2:$A$301,0))</f>
        <v>Low</v>
      </c>
      <c r="AA300" s="2" t="str">
        <f aca="false">INDEX('Scored Accounts'!$T$2:$T$301,MATCH(A300,'Scored Accounts'!$A$2:$A$301,0))</f>
        <v/>
      </c>
      <c r="AB300" s="2" t="str">
        <f aca="false">IF(Z300="Low","Lower dep / ","Higher dep / ")&amp;IF(O300&gt;=Assumptions!$B$34,"Higher value","Lower value")</f>
        <v>Lower dep / Lower value</v>
      </c>
    </row>
    <row r="301" customFormat="false" ht="15" hidden="false" customHeight="false" outlineLevel="0" collapsed="false">
      <c r="A301" s="2" t="s">
        <v>1016</v>
      </c>
      <c r="B301" s="2" t="s">
        <v>1574</v>
      </c>
      <c r="C301" s="2" t="s">
        <v>1640</v>
      </c>
      <c r="D301" s="2" t="s">
        <v>1653</v>
      </c>
      <c r="E301" s="2" t="s">
        <v>1653</v>
      </c>
      <c r="F301" s="2"/>
      <c r="G301" s="2" t="n">
        <v>1</v>
      </c>
      <c r="H301" s="2" t="n">
        <v>1</v>
      </c>
      <c r="I301" s="9" t="n">
        <v>0</v>
      </c>
      <c r="J301" s="9" t="n">
        <v>0</v>
      </c>
      <c r="K301" s="9" t="n">
        <v>0</v>
      </c>
      <c r="L301" s="9" t="n">
        <v>0</v>
      </c>
      <c r="M301" s="9" t="n">
        <v>0</v>
      </c>
      <c r="N301" s="9" t="n">
        <v>34</v>
      </c>
      <c r="O301" s="9" t="n">
        <v>34</v>
      </c>
      <c r="P301" s="2"/>
      <c r="Q301" s="2" t="str">
        <f aca="false">IF(I301&gt;0,ROUND((N301-I301)/I301*100,0),"")</f>
        <v/>
      </c>
      <c r="R301" s="9" t="n">
        <f aca="false">SUM(I301:K301)</f>
        <v>0</v>
      </c>
      <c r="S301" s="9" t="n">
        <f aca="false">SUM(L301:N301)</f>
        <v>34</v>
      </c>
      <c r="T301" s="17" t="str">
        <f aca="false">IF(R301&gt;0,S301/R301-1,"")</f>
        <v/>
      </c>
      <c r="U301" s="2" t="str">
        <f aca="false">IF(AND(R301=0,S301&gt;0),"H2 Active / No H1 GMV",IF(S301=0,"Lapsed",IF(T301&gt;=Assumptions!$B$36,"Growing",IF(T301&lt;-Assumptions!$B$36,"Declining","Stable"))))</f>
        <v>H2 Active / No H1 GMV</v>
      </c>
      <c r="V301" s="2" t="n">
        <f aca="false">COUNTIF(I301:N301,"&gt;0")</f>
        <v>1</v>
      </c>
      <c r="W301" s="2" t="str">
        <f aca="false">IF(N301&gt;0,"Feb",IF(M301&gt;0,"Jan",IF(L301&gt;0,"Dec",IF(K301&gt;0,"Nov",IF(J301&gt;0,"Oct","Sep")))))</f>
        <v>Feb</v>
      </c>
      <c r="X301" s="2" t="str">
        <f aca="false">IF(O301&gt;=Assumptions!$B$35,"Key (&gt;=£10k)",IF(O301&gt;=Assumptions!$B$34,"Core (£2k-10k)","Tail (&lt;£2k)"))</f>
        <v>Tail (&lt;£2k)</v>
      </c>
      <c r="Y301" s="21" t="n">
        <f aca="false">INDEX('Scored Accounts'!$Q$2:$Q$301,MATCH(A301,'Scored Accounts'!$A$2:$A$301,0))</f>
        <v>0</v>
      </c>
      <c r="Z301" s="2" t="str">
        <f aca="false">INDEX('Scored Accounts'!$R$2:$R$301,MATCH(A301,'Scored Accounts'!$A$2:$A$301,0))</f>
        <v>Low</v>
      </c>
      <c r="AA301" s="2" t="str">
        <f aca="false">INDEX('Scored Accounts'!$T$2:$T$301,MATCH(A301,'Scored Accounts'!$A$2:$A$301,0))</f>
        <v/>
      </c>
      <c r="AB301" s="2" t="str">
        <f aca="false">IF(Z301="Low","Lower dep / ","Higher dep / ")&amp;IF(O301&gt;=Assumptions!$B$34,"Higher value","Lower value")</f>
        <v>Lower dep / Lower value</v>
      </c>
    </row>
  </sheetData>
  <autoFilter ref="A1:AB3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3" min="1" style="0" width="14"/>
  </cols>
  <sheetData>
    <row r="1" customFormat="false" ht="45" hidden="false" customHeight="true" outlineLevel="0" collapsed="false">
      <c r="A1" s="8" t="s">
        <v>75</v>
      </c>
      <c r="B1" s="8" t="s">
        <v>1353</v>
      </c>
      <c r="C1" s="8" t="s">
        <v>1644</v>
      </c>
      <c r="D1" s="8" t="s">
        <v>1543</v>
      </c>
      <c r="E1" s="8" t="s">
        <v>1544</v>
      </c>
      <c r="F1" s="8" t="s">
        <v>78</v>
      </c>
      <c r="G1" s="8" t="s">
        <v>1357</v>
      </c>
      <c r="H1" s="8" t="s">
        <v>1550</v>
      </c>
      <c r="I1" s="8" t="s">
        <v>1358</v>
      </c>
      <c r="J1" s="8" t="s">
        <v>1545</v>
      </c>
      <c r="K1" s="8" t="s">
        <v>1368</v>
      </c>
      <c r="L1" s="8" t="s">
        <v>1369</v>
      </c>
      <c r="M1" s="8" t="s">
        <v>1734</v>
      </c>
      <c r="N1" s="8" t="s">
        <v>1735</v>
      </c>
      <c r="O1" s="8" t="s">
        <v>1736</v>
      </c>
      <c r="P1" s="8" t="s">
        <v>1737</v>
      </c>
      <c r="Q1" s="8" t="s">
        <v>1546</v>
      </c>
      <c r="R1" s="8" t="s">
        <v>1355</v>
      </c>
      <c r="S1" s="8" t="s">
        <v>1738</v>
      </c>
      <c r="T1" s="8" t="s">
        <v>1713</v>
      </c>
      <c r="U1" s="8" t="s">
        <v>1739</v>
      </c>
      <c r="V1" s="8" t="s">
        <v>1740</v>
      </c>
      <c r="W1" s="8" t="s">
        <v>1741</v>
      </c>
    </row>
    <row r="2" customFormat="false" ht="15" hidden="false" customHeight="false" outlineLevel="0" collapsed="false">
      <c r="A2" s="2" t="s">
        <v>308</v>
      </c>
      <c r="B2" s="2" t="s">
        <v>1571</v>
      </c>
      <c r="C2" s="2" t="s">
        <v>1641</v>
      </c>
      <c r="D2" s="2" t="s">
        <v>1572</v>
      </c>
      <c r="E2" s="2" t="n">
        <v>26</v>
      </c>
      <c r="F2" s="9" t="n">
        <v>170132</v>
      </c>
      <c r="G2" s="2" t="n">
        <v>46</v>
      </c>
      <c r="H2" s="2" t="n">
        <v>32</v>
      </c>
      <c r="I2" s="2" t="n">
        <v>14</v>
      </c>
      <c r="J2" s="2" t="n">
        <v>69</v>
      </c>
      <c r="K2" s="2" t="n">
        <v>3</v>
      </c>
      <c r="L2" s="2" t="n">
        <v>0</v>
      </c>
      <c r="M2" s="2" t="n">
        <f aca="false">IF(J2&lt;=Assumptions!$B$13,0,IF(J2&lt;Assumptions!$B$14,25,IF(J2&lt;Assumptions!$B$15,50,IF(J2&lt;Assumptions!$B$16,75,100))))</f>
        <v>75</v>
      </c>
      <c r="N2" s="2" t="n">
        <f aca="false">IF(K2&gt;Assumptions!$B$19,0,IF(K2&gt;=Assumptions!$B$20,25,IF(K2&gt;=Assumptions!$B$21,50,IF(K2&gt;=Assumptions!$B$22,75,100))))</f>
        <v>100</v>
      </c>
      <c r="O2" s="2" t="n">
        <f aca="false">IF(L2&gt;=Assumptions!$B$25,0,IF(L2&gt;=Assumptions!$B$26,25,IF(L2=Assumptions!$B$27,50,IF(L2=Assumptions!$B$28,75,100))))</f>
        <v>100</v>
      </c>
      <c r="P2" s="21" t="n">
        <f aca="false">M2*Assumptions!$B$4+N2*Assumptions!$B$5+O2*Assumptions!$B$6</f>
        <v>87.5</v>
      </c>
      <c r="Q2" s="21" t="n">
        <f aca="false">IF(J2&lt;=Assumptions!$B$8,0,P2)</f>
        <v>87.5</v>
      </c>
      <c r="R2" s="2" t="str">
        <f aca="false">IF(Q2&gt;=Assumptions!$B$9,"High",IF(Q2&gt;=Assumptions!$B$10,"Medium","Low"))</f>
        <v>High</v>
      </c>
      <c r="S2" s="21" t="n">
        <f aca="false">(N2*Assumptions!$B$5+O2*Assumptions!$B$6)/(Assumptions!$B$5+Assumptions!$B$6)</f>
        <v>100</v>
      </c>
      <c r="T2" s="2" t="str">
        <f aca="false">IF(AND(J2&gt;Assumptions!$B$8,G2&lt;=Assumptions!$B$30),"Low confidence","")</f>
        <v/>
      </c>
      <c r="U2" s="2" t="n">
        <f aca="false">(J2&gt;40)+(F2&gt;2000)+(K2&lt;10)+(L2=0)</f>
        <v>4</v>
      </c>
      <c r="V2" s="21" t="n">
        <f aca="false">IF(J2&lt;20,0,IF(J2&lt;40,25,M2))*Assumptions!$B$4+N2*Assumptions!$B$5+O2*Assumptions!$B$6</f>
        <v>87.5</v>
      </c>
      <c r="W2" s="2" t="str">
        <f aca="false">IF(V2&gt;=70,"High",IF(V2&gt;=40,"Medium","Low"))</f>
        <v>High</v>
      </c>
    </row>
    <row r="3" customFormat="false" ht="15" hidden="false" customHeight="false" outlineLevel="0" collapsed="false">
      <c r="A3" s="2" t="s">
        <v>139</v>
      </c>
      <c r="B3" s="2" t="s">
        <v>1571</v>
      </c>
      <c r="C3" s="2" t="s">
        <v>1640</v>
      </c>
      <c r="D3" s="2" t="s">
        <v>1572</v>
      </c>
      <c r="E3" s="2" t="n">
        <v>10</v>
      </c>
      <c r="F3" s="9" t="n">
        <v>70650</v>
      </c>
      <c r="G3" s="2" t="n">
        <v>2</v>
      </c>
      <c r="H3" s="2" t="n">
        <v>1</v>
      </c>
      <c r="I3" s="2" t="n">
        <v>1</v>
      </c>
      <c r="J3" s="2" t="n">
        <v>70</v>
      </c>
      <c r="K3" s="2" t="n">
        <v>2</v>
      </c>
      <c r="L3" s="2" t="n">
        <v>2</v>
      </c>
      <c r="M3" s="2" t="n">
        <f aca="false">IF(J3&lt;=Assumptions!$B$13,0,IF(J3&lt;Assumptions!$B$14,25,IF(J3&lt;Assumptions!$B$15,50,IF(J3&lt;Assumptions!$B$16,75,100))))</f>
        <v>75</v>
      </c>
      <c r="N3" s="2" t="n">
        <f aca="false">IF(K3&gt;Assumptions!$B$19,0,IF(K3&gt;=Assumptions!$B$20,25,IF(K3&gt;=Assumptions!$B$21,50,IF(K3&gt;=Assumptions!$B$22,75,100))))</f>
        <v>100</v>
      </c>
      <c r="O3" s="2" t="n">
        <f aca="false">IF(L3&gt;=Assumptions!$B$25,0,IF(L3&gt;=Assumptions!$B$26,25,IF(L3=Assumptions!$B$27,50,IF(L3=Assumptions!$B$28,75,100))))</f>
        <v>50</v>
      </c>
      <c r="P3" s="21" t="n">
        <f aca="false">M3*Assumptions!$B$4+N3*Assumptions!$B$5+O3*Assumptions!$B$6</f>
        <v>77.5</v>
      </c>
      <c r="Q3" s="21" t="n">
        <f aca="false">IF(J3&lt;=Assumptions!$B$8,0,P3)</f>
        <v>77.5</v>
      </c>
      <c r="R3" s="2" t="str">
        <f aca="false">IF(Q3&gt;=Assumptions!$B$9,"High",IF(Q3&gt;=Assumptions!$B$10,"Medium","Low"))</f>
        <v>High</v>
      </c>
      <c r="S3" s="21" t="n">
        <f aca="false">(N3*Assumptions!$B$5+O3*Assumptions!$B$6)/(Assumptions!$B$5+Assumptions!$B$6)</f>
        <v>80</v>
      </c>
      <c r="T3" s="2" t="str">
        <f aca="false">IF(AND(J3&gt;Assumptions!$B$8,G3&lt;=Assumptions!$B$30),"Low confidence","")</f>
        <v>Low confidence</v>
      </c>
      <c r="U3" s="2" t="n">
        <f aca="false">(J3&gt;40)+(F3&gt;2000)+(K3&lt;10)+(L3=0)</f>
        <v>3</v>
      </c>
      <c r="V3" s="21" t="n">
        <f aca="false">IF(J3&lt;20,0,IF(J3&lt;40,25,M3))*Assumptions!$B$4+N3*Assumptions!$B$5+O3*Assumptions!$B$6</f>
        <v>77.5</v>
      </c>
      <c r="W3" s="2" t="str">
        <f aca="false">IF(V3&gt;=70,"High",IF(V3&gt;=40,"Medium","Low"))</f>
        <v>High</v>
      </c>
    </row>
    <row r="4" customFormat="false" ht="15" hidden="false" customHeight="false" outlineLevel="0" collapsed="false">
      <c r="A4" s="2" t="s">
        <v>328</v>
      </c>
      <c r="B4" s="2" t="s">
        <v>1571</v>
      </c>
      <c r="C4" s="2" t="s">
        <v>1640</v>
      </c>
      <c r="D4" s="2" t="s">
        <v>1572</v>
      </c>
      <c r="E4" s="2" t="n">
        <v>16</v>
      </c>
      <c r="F4" s="9" t="n">
        <v>41039</v>
      </c>
      <c r="G4" s="2" t="n">
        <v>36</v>
      </c>
      <c r="H4" s="2" t="n">
        <v>27</v>
      </c>
      <c r="I4" s="2" t="n">
        <v>9</v>
      </c>
      <c r="J4" s="2" t="n">
        <v>74</v>
      </c>
      <c r="K4" s="2" t="n">
        <v>1</v>
      </c>
      <c r="L4" s="2" t="n">
        <v>2</v>
      </c>
      <c r="M4" s="2" t="n">
        <f aca="false">IF(J4&lt;=Assumptions!$B$13,0,IF(J4&lt;Assumptions!$B$14,25,IF(J4&lt;Assumptions!$B$15,50,IF(J4&lt;Assumptions!$B$16,75,100))))</f>
        <v>75</v>
      </c>
      <c r="N4" s="2" t="n">
        <f aca="false">IF(K4&gt;Assumptions!$B$19,0,IF(K4&gt;=Assumptions!$B$20,25,IF(K4&gt;=Assumptions!$B$21,50,IF(K4&gt;=Assumptions!$B$22,75,100))))</f>
        <v>100</v>
      </c>
      <c r="O4" s="2" t="n">
        <f aca="false">IF(L4&gt;=Assumptions!$B$25,0,IF(L4&gt;=Assumptions!$B$26,25,IF(L4=Assumptions!$B$27,50,IF(L4=Assumptions!$B$28,75,100))))</f>
        <v>50</v>
      </c>
      <c r="P4" s="21" t="n">
        <f aca="false">M4*Assumptions!$B$4+N4*Assumptions!$B$5+O4*Assumptions!$B$6</f>
        <v>77.5</v>
      </c>
      <c r="Q4" s="21" t="n">
        <f aca="false">IF(J4&lt;=Assumptions!$B$8,0,P4)</f>
        <v>77.5</v>
      </c>
      <c r="R4" s="2" t="str">
        <f aca="false">IF(Q4&gt;=Assumptions!$B$9,"High",IF(Q4&gt;=Assumptions!$B$10,"Medium","Low"))</f>
        <v>High</v>
      </c>
      <c r="S4" s="21" t="n">
        <f aca="false">(N4*Assumptions!$B$5+O4*Assumptions!$B$6)/(Assumptions!$B$5+Assumptions!$B$6)</f>
        <v>80</v>
      </c>
      <c r="T4" s="2" t="str">
        <f aca="false">IF(AND(J4&gt;Assumptions!$B$8,G4&lt;=Assumptions!$B$30),"Low confidence","")</f>
        <v/>
      </c>
      <c r="U4" s="2" t="n">
        <f aca="false">(J4&gt;40)+(F4&gt;2000)+(K4&lt;10)+(L4=0)</f>
        <v>3</v>
      </c>
      <c r="V4" s="21" t="n">
        <f aca="false">IF(J4&lt;20,0,IF(J4&lt;40,25,M4))*Assumptions!$B$4+N4*Assumptions!$B$5+O4*Assumptions!$B$6</f>
        <v>77.5</v>
      </c>
      <c r="W4" s="2" t="str">
        <f aca="false">IF(V4&gt;=70,"High",IF(V4&gt;=40,"Medium","Low"))</f>
        <v>High</v>
      </c>
    </row>
    <row r="5" customFormat="false" ht="15" hidden="false" customHeight="false" outlineLevel="0" collapsed="false">
      <c r="A5" s="2" t="s">
        <v>331</v>
      </c>
      <c r="B5" s="2" t="s">
        <v>1571</v>
      </c>
      <c r="C5" s="2" t="s">
        <v>1640</v>
      </c>
      <c r="D5" s="2" t="s">
        <v>1572</v>
      </c>
      <c r="E5" s="2" t="n">
        <v>22</v>
      </c>
      <c r="F5" s="9" t="n">
        <v>27099</v>
      </c>
      <c r="G5" s="2" t="n">
        <v>19</v>
      </c>
      <c r="H5" s="2" t="n">
        <v>12</v>
      </c>
      <c r="I5" s="2" t="n">
        <v>7</v>
      </c>
      <c r="J5" s="2" t="n">
        <v>62</v>
      </c>
      <c r="K5" s="2" t="n">
        <v>8</v>
      </c>
      <c r="L5" s="2" t="n">
        <v>2</v>
      </c>
      <c r="M5" s="2" t="n">
        <f aca="false">IF(J5&lt;=Assumptions!$B$13,0,IF(J5&lt;Assumptions!$B$14,25,IF(J5&lt;Assumptions!$B$15,50,IF(J5&lt;Assumptions!$B$16,75,100))))</f>
        <v>75</v>
      </c>
      <c r="N5" s="2" t="n">
        <f aca="false">IF(K5&gt;Assumptions!$B$19,0,IF(K5&gt;=Assumptions!$B$20,25,IF(K5&gt;=Assumptions!$B$21,50,IF(K5&gt;=Assumptions!$B$22,75,100))))</f>
        <v>75</v>
      </c>
      <c r="O5" s="2" t="n">
        <f aca="false">IF(L5&gt;=Assumptions!$B$25,0,IF(L5&gt;=Assumptions!$B$26,25,IF(L5=Assumptions!$B$27,50,IF(L5=Assumptions!$B$28,75,100))))</f>
        <v>50</v>
      </c>
      <c r="P5" s="21" t="n">
        <f aca="false">M5*Assumptions!$B$4+N5*Assumptions!$B$5+O5*Assumptions!$B$6</f>
        <v>70</v>
      </c>
      <c r="Q5" s="21" t="n">
        <f aca="false">IF(J5&lt;=Assumptions!$B$8,0,P5)</f>
        <v>70</v>
      </c>
      <c r="R5" s="2" t="str">
        <f aca="false">IF(Q5&gt;=Assumptions!$B$9,"High",IF(Q5&gt;=Assumptions!$B$10,"Medium","Low"))</f>
        <v>High</v>
      </c>
      <c r="S5" s="21" t="n">
        <f aca="false">(N5*Assumptions!$B$5+O5*Assumptions!$B$6)/(Assumptions!$B$5+Assumptions!$B$6)</f>
        <v>65</v>
      </c>
      <c r="T5" s="2" t="str">
        <f aca="false">IF(AND(J5&gt;Assumptions!$B$8,G5&lt;=Assumptions!$B$30),"Low confidence","")</f>
        <v/>
      </c>
      <c r="U5" s="2" t="n">
        <f aca="false">(J5&gt;40)+(F5&gt;2000)+(K5&lt;10)+(L5=0)</f>
        <v>3</v>
      </c>
      <c r="V5" s="21" t="n">
        <f aca="false">IF(J5&lt;20,0,IF(J5&lt;40,25,M5))*Assumptions!$B$4+N5*Assumptions!$B$5+O5*Assumptions!$B$6</f>
        <v>70</v>
      </c>
      <c r="W5" s="2" t="str">
        <f aca="false">IF(V5&gt;=70,"High",IF(V5&gt;=40,"Medium","Low"))</f>
        <v>High</v>
      </c>
    </row>
    <row r="6" customFormat="false" ht="15" hidden="false" customHeight="false" outlineLevel="0" collapsed="false">
      <c r="A6" s="2" t="s">
        <v>113</v>
      </c>
      <c r="B6" s="2" t="s">
        <v>1571</v>
      </c>
      <c r="C6" s="2" t="s">
        <v>1641</v>
      </c>
      <c r="D6" s="2" t="s">
        <v>1573</v>
      </c>
      <c r="E6" s="2" t="n">
        <v>41</v>
      </c>
      <c r="F6" s="9" t="n">
        <v>24555</v>
      </c>
      <c r="G6" s="2" t="n">
        <v>14</v>
      </c>
      <c r="H6" s="2" t="n">
        <v>7</v>
      </c>
      <c r="I6" s="2" t="n">
        <v>7</v>
      </c>
      <c r="J6" s="2" t="n">
        <v>50</v>
      </c>
      <c r="K6" s="2" t="n">
        <v>8</v>
      </c>
      <c r="L6" s="2" t="n">
        <v>1</v>
      </c>
      <c r="M6" s="2" t="n">
        <f aca="false">IF(J6&lt;=Assumptions!$B$13,0,IF(J6&lt;Assumptions!$B$14,25,IF(J6&lt;Assumptions!$B$15,50,IF(J6&lt;Assumptions!$B$16,75,100))))</f>
        <v>50</v>
      </c>
      <c r="N6" s="2" t="n">
        <f aca="false">IF(K6&gt;Assumptions!$B$19,0,IF(K6&gt;=Assumptions!$B$20,25,IF(K6&gt;=Assumptions!$B$21,50,IF(K6&gt;=Assumptions!$B$22,75,100))))</f>
        <v>75</v>
      </c>
      <c r="O6" s="2" t="n">
        <f aca="false">IF(L6&gt;=Assumptions!$B$25,0,IF(L6&gt;=Assumptions!$B$26,25,IF(L6=Assumptions!$B$27,50,IF(L6=Assumptions!$B$28,75,100))))</f>
        <v>75</v>
      </c>
      <c r="P6" s="21" t="n">
        <f aca="false">M6*Assumptions!$B$4+N6*Assumptions!$B$5+O6*Assumptions!$B$6</f>
        <v>62.5</v>
      </c>
      <c r="Q6" s="21" t="n">
        <f aca="false">IF(J6&lt;=Assumptions!$B$8,0,P6)</f>
        <v>62.5</v>
      </c>
      <c r="R6" s="2" t="str">
        <f aca="false">IF(Q6&gt;=Assumptions!$B$9,"High",IF(Q6&gt;=Assumptions!$B$10,"Medium","Low"))</f>
        <v>Medium</v>
      </c>
      <c r="S6" s="21" t="n">
        <f aca="false">(N6*Assumptions!$B$5+O6*Assumptions!$B$6)/(Assumptions!$B$5+Assumptions!$B$6)</f>
        <v>75</v>
      </c>
      <c r="T6" s="2" t="str">
        <f aca="false">IF(AND(J6&gt;Assumptions!$B$8,G6&lt;=Assumptions!$B$30),"Low confidence","")</f>
        <v/>
      </c>
      <c r="U6" s="2" t="n">
        <f aca="false">(J6&gt;40)+(F6&gt;2000)+(K6&lt;10)+(L6=0)</f>
        <v>3</v>
      </c>
      <c r="V6" s="21" t="n">
        <f aca="false">IF(J6&lt;20,0,IF(J6&lt;40,25,M6))*Assumptions!$B$4+N6*Assumptions!$B$5+O6*Assumptions!$B$6</f>
        <v>62.5</v>
      </c>
      <c r="W6" s="2" t="str">
        <f aca="false">IF(V6&gt;=70,"High",IF(V6&gt;=40,"Medium","Low"))</f>
        <v>Medium</v>
      </c>
    </row>
    <row r="7" customFormat="false" ht="15" hidden="false" customHeight="false" outlineLevel="0" collapsed="false">
      <c r="A7" s="2" t="s">
        <v>335</v>
      </c>
      <c r="B7" s="2" t="s">
        <v>1571</v>
      </c>
      <c r="C7" s="2" t="s">
        <v>1640</v>
      </c>
      <c r="D7" s="2" t="s">
        <v>1572</v>
      </c>
      <c r="E7" s="2" t="n">
        <v>7</v>
      </c>
      <c r="F7" s="9" t="n">
        <v>23205</v>
      </c>
      <c r="G7" s="2" t="n">
        <v>14</v>
      </c>
      <c r="H7" s="2" t="n">
        <v>12</v>
      </c>
      <c r="I7" s="2" t="n">
        <v>2</v>
      </c>
      <c r="J7" s="2" t="n">
        <v>84</v>
      </c>
      <c r="K7" s="2" t="n">
        <v>3</v>
      </c>
      <c r="L7" s="2" t="n">
        <v>1</v>
      </c>
      <c r="M7" s="2" t="n">
        <f aca="false">IF(J7&lt;=Assumptions!$B$13,0,IF(J7&lt;Assumptions!$B$14,25,IF(J7&lt;Assumptions!$B$15,50,IF(J7&lt;Assumptions!$B$16,75,100))))</f>
        <v>100</v>
      </c>
      <c r="N7" s="2" t="n">
        <f aca="false">IF(K7&gt;Assumptions!$B$19,0,IF(K7&gt;=Assumptions!$B$20,25,IF(K7&gt;=Assumptions!$B$21,50,IF(K7&gt;=Assumptions!$B$22,75,100))))</f>
        <v>100</v>
      </c>
      <c r="O7" s="2" t="n">
        <f aca="false">IF(L7&gt;=Assumptions!$B$25,0,IF(L7&gt;=Assumptions!$B$26,25,IF(L7=Assumptions!$B$27,50,IF(L7=Assumptions!$B$28,75,100))))</f>
        <v>75</v>
      </c>
      <c r="P7" s="21" t="n">
        <f aca="false">M7*Assumptions!$B$4+N7*Assumptions!$B$5+O7*Assumptions!$B$6</f>
        <v>95</v>
      </c>
      <c r="Q7" s="21" t="n">
        <f aca="false">IF(J7&lt;=Assumptions!$B$8,0,P7)</f>
        <v>95</v>
      </c>
      <c r="R7" s="2" t="str">
        <f aca="false">IF(Q7&gt;=Assumptions!$B$9,"High",IF(Q7&gt;=Assumptions!$B$10,"Medium","Low"))</f>
        <v>High</v>
      </c>
      <c r="S7" s="21" t="n">
        <f aca="false">(N7*Assumptions!$B$5+O7*Assumptions!$B$6)/(Assumptions!$B$5+Assumptions!$B$6)</f>
        <v>90</v>
      </c>
      <c r="T7" s="2" t="str">
        <f aca="false">IF(AND(J7&gt;Assumptions!$B$8,G7&lt;=Assumptions!$B$30),"Low confidence","")</f>
        <v/>
      </c>
      <c r="U7" s="2" t="n">
        <f aca="false">(J7&gt;40)+(F7&gt;2000)+(K7&lt;10)+(L7=0)</f>
        <v>3</v>
      </c>
      <c r="V7" s="21" t="n">
        <f aca="false">IF(J7&lt;20,0,IF(J7&lt;40,25,M7))*Assumptions!$B$4+N7*Assumptions!$B$5+O7*Assumptions!$B$6</f>
        <v>95</v>
      </c>
      <c r="W7" s="2" t="str">
        <f aca="false">IF(V7&gt;=70,"High",IF(V7&gt;=40,"Medium","Low"))</f>
        <v>High</v>
      </c>
    </row>
    <row r="8" customFormat="false" ht="15" hidden="false" customHeight="false" outlineLevel="0" collapsed="false">
      <c r="A8" s="2" t="s">
        <v>339</v>
      </c>
      <c r="B8" s="2" t="s">
        <v>1571</v>
      </c>
      <c r="C8" s="2" t="s">
        <v>1640</v>
      </c>
      <c r="D8" s="2" t="s">
        <v>1572</v>
      </c>
      <c r="E8" s="2" t="n">
        <v>10</v>
      </c>
      <c r="F8" s="9" t="n">
        <v>22089</v>
      </c>
      <c r="G8" s="2" t="n">
        <v>23</v>
      </c>
      <c r="H8" s="2" t="n">
        <v>17</v>
      </c>
      <c r="I8" s="2" t="n">
        <v>6</v>
      </c>
      <c r="J8" s="2" t="n">
        <v>72</v>
      </c>
      <c r="K8" s="2" t="n">
        <v>1</v>
      </c>
      <c r="L8" s="2" t="n">
        <v>0</v>
      </c>
      <c r="M8" s="2" t="n">
        <f aca="false">IF(J8&lt;=Assumptions!$B$13,0,IF(J8&lt;Assumptions!$B$14,25,IF(J8&lt;Assumptions!$B$15,50,IF(J8&lt;Assumptions!$B$16,75,100))))</f>
        <v>75</v>
      </c>
      <c r="N8" s="2" t="n">
        <f aca="false">IF(K8&gt;Assumptions!$B$19,0,IF(K8&gt;=Assumptions!$B$20,25,IF(K8&gt;=Assumptions!$B$21,50,IF(K8&gt;=Assumptions!$B$22,75,100))))</f>
        <v>100</v>
      </c>
      <c r="O8" s="2" t="n">
        <f aca="false">IF(L8&gt;=Assumptions!$B$25,0,IF(L8&gt;=Assumptions!$B$26,25,IF(L8=Assumptions!$B$27,50,IF(L8=Assumptions!$B$28,75,100))))</f>
        <v>100</v>
      </c>
      <c r="P8" s="21" t="n">
        <f aca="false">M8*Assumptions!$B$4+N8*Assumptions!$B$5+O8*Assumptions!$B$6</f>
        <v>87.5</v>
      </c>
      <c r="Q8" s="21" t="n">
        <f aca="false">IF(J8&lt;=Assumptions!$B$8,0,P8)</f>
        <v>87.5</v>
      </c>
      <c r="R8" s="2" t="str">
        <f aca="false">IF(Q8&gt;=Assumptions!$B$9,"High",IF(Q8&gt;=Assumptions!$B$10,"Medium","Low"))</f>
        <v>High</v>
      </c>
      <c r="S8" s="21" t="n">
        <f aca="false">(N8*Assumptions!$B$5+O8*Assumptions!$B$6)/(Assumptions!$B$5+Assumptions!$B$6)</f>
        <v>100</v>
      </c>
      <c r="T8" s="2" t="str">
        <f aca="false">IF(AND(J8&gt;Assumptions!$B$8,G8&lt;=Assumptions!$B$30),"Low confidence","")</f>
        <v/>
      </c>
      <c r="U8" s="2" t="n">
        <f aca="false">(J8&gt;40)+(F8&gt;2000)+(K8&lt;10)+(L8=0)</f>
        <v>4</v>
      </c>
      <c r="V8" s="21" t="n">
        <f aca="false">IF(J8&lt;20,0,IF(J8&lt;40,25,M8))*Assumptions!$B$4+N8*Assumptions!$B$5+O8*Assumptions!$B$6</f>
        <v>87.5</v>
      </c>
      <c r="W8" s="2" t="str">
        <f aca="false">IF(V8&gt;=70,"High",IF(V8&gt;=40,"Medium","Low"))</f>
        <v>High</v>
      </c>
    </row>
    <row r="9" customFormat="false" ht="15" hidden="false" customHeight="false" outlineLevel="0" collapsed="false">
      <c r="A9" s="2" t="s">
        <v>161</v>
      </c>
      <c r="B9" s="2" t="s">
        <v>1571</v>
      </c>
      <c r="C9" s="2" t="s">
        <v>1641</v>
      </c>
      <c r="D9" s="2" t="s">
        <v>1572</v>
      </c>
      <c r="E9" s="2" t="n">
        <v>15</v>
      </c>
      <c r="F9" s="9" t="n">
        <v>19265</v>
      </c>
      <c r="G9" s="2" t="n">
        <v>16</v>
      </c>
      <c r="H9" s="2" t="n">
        <v>13</v>
      </c>
      <c r="I9" s="2" t="n">
        <v>3</v>
      </c>
      <c r="J9" s="2" t="n">
        <v>84</v>
      </c>
      <c r="K9" s="2" t="n">
        <v>4</v>
      </c>
      <c r="L9" s="2" t="n">
        <v>0</v>
      </c>
      <c r="M9" s="2" t="n">
        <f aca="false">IF(J9&lt;=Assumptions!$B$13,0,IF(J9&lt;Assumptions!$B$14,25,IF(J9&lt;Assumptions!$B$15,50,IF(J9&lt;Assumptions!$B$16,75,100))))</f>
        <v>100</v>
      </c>
      <c r="N9" s="2" t="n">
        <f aca="false">IF(K9&gt;Assumptions!$B$19,0,IF(K9&gt;=Assumptions!$B$20,25,IF(K9&gt;=Assumptions!$B$21,50,IF(K9&gt;=Assumptions!$B$22,75,100))))</f>
        <v>100</v>
      </c>
      <c r="O9" s="2" t="n">
        <f aca="false">IF(L9&gt;=Assumptions!$B$25,0,IF(L9&gt;=Assumptions!$B$26,25,IF(L9=Assumptions!$B$27,50,IF(L9=Assumptions!$B$28,75,100))))</f>
        <v>100</v>
      </c>
      <c r="P9" s="21" t="n">
        <f aca="false">M9*Assumptions!$B$4+N9*Assumptions!$B$5+O9*Assumptions!$B$6</f>
        <v>100</v>
      </c>
      <c r="Q9" s="21" t="n">
        <f aca="false">IF(J9&lt;=Assumptions!$B$8,0,P9)</f>
        <v>100</v>
      </c>
      <c r="R9" s="2" t="str">
        <f aca="false">IF(Q9&gt;=Assumptions!$B$9,"High",IF(Q9&gt;=Assumptions!$B$10,"Medium","Low"))</f>
        <v>High</v>
      </c>
      <c r="S9" s="21" t="n">
        <f aca="false">(N9*Assumptions!$B$5+O9*Assumptions!$B$6)/(Assumptions!$B$5+Assumptions!$B$6)</f>
        <v>100</v>
      </c>
      <c r="T9" s="2" t="str">
        <f aca="false">IF(AND(J9&gt;Assumptions!$B$8,G9&lt;=Assumptions!$B$30),"Low confidence","")</f>
        <v/>
      </c>
      <c r="U9" s="2" t="n">
        <f aca="false">(J9&gt;40)+(F9&gt;2000)+(K9&lt;10)+(L9=0)</f>
        <v>4</v>
      </c>
      <c r="V9" s="21" t="n">
        <f aca="false">IF(J9&lt;20,0,IF(J9&lt;40,25,M9))*Assumptions!$B$4+N9*Assumptions!$B$5+O9*Assumptions!$B$6</f>
        <v>100</v>
      </c>
      <c r="W9" s="2" t="str">
        <f aca="false">IF(V9&gt;=70,"High",IF(V9&gt;=40,"Medium","Low"))</f>
        <v>High</v>
      </c>
    </row>
    <row r="10" customFormat="false" ht="15" hidden="false" customHeight="false" outlineLevel="0" collapsed="false">
      <c r="A10" s="2" t="s">
        <v>168</v>
      </c>
      <c r="B10" s="2" t="s">
        <v>1571</v>
      </c>
      <c r="C10" s="2" t="s">
        <v>1640</v>
      </c>
      <c r="D10" s="2" t="s">
        <v>1572</v>
      </c>
      <c r="E10" s="2" t="n">
        <v>8</v>
      </c>
      <c r="F10" s="9" t="n">
        <v>18652</v>
      </c>
      <c r="G10" s="2" t="n">
        <v>35</v>
      </c>
      <c r="H10" s="2" t="n">
        <v>24</v>
      </c>
      <c r="I10" s="2" t="n">
        <v>11</v>
      </c>
      <c r="J10" s="2" t="n">
        <v>68</v>
      </c>
      <c r="K10" s="2" t="n">
        <v>1</v>
      </c>
      <c r="L10" s="2" t="n">
        <v>1</v>
      </c>
      <c r="M10" s="2" t="n">
        <f aca="false">IF(J10&lt;=Assumptions!$B$13,0,IF(J10&lt;Assumptions!$B$14,25,IF(J10&lt;Assumptions!$B$15,50,IF(J10&lt;Assumptions!$B$16,75,100))))</f>
        <v>75</v>
      </c>
      <c r="N10" s="2" t="n">
        <f aca="false">IF(K10&gt;Assumptions!$B$19,0,IF(K10&gt;=Assumptions!$B$20,25,IF(K10&gt;=Assumptions!$B$21,50,IF(K10&gt;=Assumptions!$B$22,75,100))))</f>
        <v>100</v>
      </c>
      <c r="O10" s="2" t="n">
        <f aca="false">IF(L10&gt;=Assumptions!$B$25,0,IF(L10&gt;=Assumptions!$B$26,25,IF(L10=Assumptions!$B$27,50,IF(L10=Assumptions!$B$28,75,100))))</f>
        <v>75</v>
      </c>
      <c r="P10" s="21" t="n">
        <f aca="false">M10*Assumptions!$B$4+N10*Assumptions!$B$5+O10*Assumptions!$B$6</f>
        <v>82.5</v>
      </c>
      <c r="Q10" s="21" t="n">
        <f aca="false">IF(J10&lt;=Assumptions!$B$8,0,P10)</f>
        <v>82.5</v>
      </c>
      <c r="R10" s="2" t="str">
        <f aca="false">IF(Q10&gt;=Assumptions!$B$9,"High",IF(Q10&gt;=Assumptions!$B$10,"Medium","Low"))</f>
        <v>High</v>
      </c>
      <c r="S10" s="21" t="n">
        <f aca="false">(N10*Assumptions!$B$5+O10*Assumptions!$B$6)/(Assumptions!$B$5+Assumptions!$B$6)</f>
        <v>90</v>
      </c>
      <c r="T10" s="2" t="str">
        <f aca="false">IF(AND(J10&gt;Assumptions!$B$8,G10&lt;=Assumptions!$B$30),"Low confidence","")</f>
        <v/>
      </c>
      <c r="U10" s="2" t="n">
        <f aca="false">(J10&gt;40)+(F10&gt;2000)+(K10&lt;10)+(L10=0)</f>
        <v>3</v>
      </c>
      <c r="V10" s="21" t="n">
        <f aca="false">IF(J10&lt;20,0,IF(J10&lt;40,25,M10))*Assumptions!$B$4+N10*Assumptions!$B$5+O10*Assumptions!$B$6</f>
        <v>82.5</v>
      </c>
      <c r="W10" s="2" t="str">
        <f aca="false">IF(V10&gt;=70,"High",IF(V10&gt;=40,"Medium","Low"))</f>
        <v>High</v>
      </c>
    </row>
    <row r="11" customFormat="false" ht="15" hidden="false" customHeight="false" outlineLevel="0" collapsed="false">
      <c r="A11" s="2" t="s">
        <v>171</v>
      </c>
      <c r="B11" s="2" t="s">
        <v>1571</v>
      </c>
      <c r="C11" s="2" t="s">
        <v>1640</v>
      </c>
      <c r="D11" s="2" t="s">
        <v>1572</v>
      </c>
      <c r="E11" s="2" t="n">
        <v>10</v>
      </c>
      <c r="F11" s="9" t="n">
        <v>17026</v>
      </c>
      <c r="G11" s="2" t="n">
        <v>13</v>
      </c>
      <c r="H11" s="2" t="n">
        <v>9</v>
      </c>
      <c r="I11" s="2" t="n">
        <v>4</v>
      </c>
      <c r="J11" s="2" t="n">
        <v>69</v>
      </c>
      <c r="K11" s="2" t="n">
        <v>1</v>
      </c>
      <c r="L11" s="2" t="n">
        <v>0</v>
      </c>
      <c r="M11" s="2" t="n">
        <f aca="false">IF(J11&lt;=Assumptions!$B$13,0,IF(J11&lt;Assumptions!$B$14,25,IF(J11&lt;Assumptions!$B$15,50,IF(J11&lt;Assumptions!$B$16,75,100))))</f>
        <v>75</v>
      </c>
      <c r="N11" s="2" t="n">
        <f aca="false">IF(K11&gt;Assumptions!$B$19,0,IF(K11&gt;=Assumptions!$B$20,25,IF(K11&gt;=Assumptions!$B$21,50,IF(K11&gt;=Assumptions!$B$22,75,100))))</f>
        <v>100</v>
      </c>
      <c r="O11" s="2" t="n">
        <f aca="false">IF(L11&gt;=Assumptions!$B$25,0,IF(L11&gt;=Assumptions!$B$26,25,IF(L11=Assumptions!$B$27,50,IF(L11=Assumptions!$B$28,75,100))))</f>
        <v>100</v>
      </c>
      <c r="P11" s="21" t="n">
        <f aca="false">M11*Assumptions!$B$4+N11*Assumptions!$B$5+O11*Assumptions!$B$6</f>
        <v>87.5</v>
      </c>
      <c r="Q11" s="21" t="n">
        <f aca="false">IF(J11&lt;=Assumptions!$B$8,0,P11)</f>
        <v>87.5</v>
      </c>
      <c r="R11" s="2" t="str">
        <f aca="false">IF(Q11&gt;=Assumptions!$B$9,"High",IF(Q11&gt;=Assumptions!$B$10,"Medium","Low"))</f>
        <v>High</v>
      </c>
      <c r="S11" s="21" t="n">
        <f aca="false">(N11*Assumptions!$B$5+O11*Assumptions!$B$6)/(Assumptions!$B$5+Assumptions!$B$6)</f>
        <v>100</v>
      </c>
      <c r="T11" s="2" t="str">
        <f aca="false">IF(AND(J11&gt;Assumptions!$B$8,G11&lt;=Assumptions!$B$30),"Low confidence","")</f>
        <v/>
      </c>
      <c r="U11" s="2" t="n">
        <f aca="false">(J11&gt;40)+(F11&gt;2000)+(K11&lt;10)+(L11=0)</f>
        <v>4</v>
      </c>
      <c r="V11" s="21" t="n">
        <f aca="false">IF(J11&lt;20,0,IF(J11&lt;40,25,M11))*Assumptions!$B$4+N11*Assumptions!$B$5+O11*Assumptions!$B$6</f>
        <v>87.5</v>
      </c>
      <c r="W11" s="2" t="str">
        <f aca="false">IF(V11&gt;=70,"High",IF(V11&gt;=40,"Medium","Low"))</f>
        <v>High</v>
      </c>
    </row>
    <row r="12" customFormat="false" ht="15" hidden="false" customHeight="false" outlineLevel="0" collapsed="false">
      <c r="A12" s="2" t="s">
        <v>342</v>
      </c>
      <c r="B12" s="2" t="s">
        <v>1571</v>
      </c>
      <c r="C12" s="2" t="s">
        <v>1640</v>
      </c>
      <c r="D12" s="2" t="s">
        <v>1572</v>
      </c>
      <c r="E12" s="2" t="n">
        <v>34</v>
      </c>
      <c r="F12" s="9" t="n">
        <v>15600</v>
      </c>
      <c r="G12" s="2" t="n">
        <v>1</v>
      </c>
      <c r="H12" s="2" t="n">
        <v>1</v>
      </c>
      <c r="I12" s="2" t="n">
        <v>0</v>
      </c>
      <c r="J12" s="2" t="n">
        <v>50</v>
      </c>
      <c r="K12" s="2" t="n">
        <v>6</v>
      </c>
      <c r="L12" s="2" t="n">
        <v>1</v>
      </c>
      <c r="M12" s="2" t="n">
        <f aca="false">IF(J12&lt;=Assumptions!$B$13,0,IF(J12&lt;Assumptions!$B$14,25,IF(J12&lt;Assumptions!$B$15,50,IF(J12&lt;Assumptions!$B$16,75,100))))</f>
        <v>50</v>
      </c>
      <c r="N12" s="2" t="n">
        <f aca="false">IF(K12&gt;Assumptions!$B$19,0,IF(K12&gt;=Assumptions!$B$20,25,IF(K12&gt;=Assumptions!$B$21,50,IF(K12&gt;=Assumptions!$B$22,75,100))))</f>
        <v>75</v>
      </c>
      <c r="O12" s="2" t="n">
        <f aca="false">IF(L12&gt;=Assumptions!$B$25,0,IF(L12&gt;=Assumptions!$B$26,25,IF(L12=Assumptions!$B$27,50,IF(L12=Assumptions!$B$28,75,100))))</f>
        <v>75</v>
      </c>
      <c r="P12" s="21" t="n">
        <f aca="false">M12*Assumptions!$B$4+N12*Assumptions!$B$5+O12*Assumptions!$B$6</f>
        <v>62.5</v>
      </c>
      <c r="Q12" s="21" t="n">
        <f aca="false">IF(J12&lt;=Assumptions!$B$8,0,P12)</f>
        <v>62.5</v>
      </c>
      <c r="R12" s="2" t="str">
        <f aca="false">IF(Q12&gt;=Assumptions!$B$9,"High",IF(Q12&gt;=Assumptions!$B$10,"Medium","Low"))</f>
        <v>Medium</v>
      </c>
      <c r="S12" s="21" t="n">
        <f aca="false">(N12*Assumptions!$B$5+O12*Assumptions!$B$6)/(Assumptions!$B$5+Assumptions!$B$6)</f>
        <v>75</v>
      </c>
      <c r="T12" s="2" t="str">
        <f aca="false">IF(AND(J12&gt;Assumptions!$B$8,G12&lt;=Assumptions!$B$30),"Low confidence","")</f>
        <v>Low confidence</v>
      </c>
      <c r="U12" s="2" t="n">
        <f aca="false">(J12&gt;40)+(F12&gt;2000)+(K12&lt;10)+(L12=0)</f>
        <v>3</v>
      </c>
      <c r="V12" s="21" t="n">
        <f aca="false">IF(J12&lt;20,0,IF(J12&lt;40,25,M12))*Assumptions!$B$4+N12*Assumptions!$B$5+O12*Assumptions!$B$6</f>
        <v>62.5</v>
      </c>
      <c r="W12" s="2" t="str">
        <f aca="false">IF(V12&gt;=70,"High",IF(V12&gt;=40,"Medium","Low"))</f>
        <v>Medium</v>
      </c>
    </row>
    <row r="13" customFormat="false" ht="15" hidden="false" customHeight="false" outlineLevel="0" collapsed="false">
      <c r="A13" s="2" t="s">
        <v>357</v>
      </c>
      <c r="B13" s="2" t="s">
        <v>1571</v>
      </c>
      <c r="C13" s="2" t="s">
        <v>1640</v>
      </c>
      <c r="D13" s="2" t="s">
        <v>1572</v>
      </c>
      <c r="E13" s="2" t="n">
        <v>17</v>
      </c>
      <c r="F13" s="9" t="n">
        <v>14611</v>
      </c>
      <c r="G13" s="2" t="n">
        <v>28</v>
      </c>
      <c r="H13" s="2" t="n">
        <v>17</v>
      </c>
      <c r="I13" s="2" t="n">
        <v>11</v>
      </c>
      <c r="J13" s="2" t="n">
        <v>59</v>
      </c>
      <c r="K13" s="2" t="n">
        <v>2</v>
      </c>
      <c r="L13" s="2" t="n">
        <v>0</v>
      </c>
      <c r="M13" s="2" t="n">
        <f aca="false">IF(J13&lt;=Assumptions!$B$13,0,IF(J13&lt;Assumptions!$B$14,25,IF(J13&lt;Assumptions!$B$15,50,IF(J13&lt;Assumptions!$B$16,75,100))))</f>
        <v>50</v>
      </c>
      <c r="N13" s="2" t="n">
        <f aca="false">IF(K13&gt;Assumptions!$B$19,0,IF(K13&gt;=Assumptions!$B$20,25,IF(K13&gt;=Assumptions!$B$21,50,IF(K13&gt;=Assumptions!$B$22,75,100))))</f>
        <v>100</v>
      </c>
      <c r="O13" s="2" t="n">
        <f aca="false">IF(L13&gt;=Assumptions!$B$25,0,IF(L13&gt;=Assumptions!$B$26,25,IF(L13=Assumptions!$B$27,50,IF(L13=Assumptions!$B$28,75,100))))</f>
        <v>100</v>
      </c>
      <c r="P13" s="21" t="n">
        <f aca="false">M13*Assumptions!$B$4+N13*Assumptions!$B$5+O13*Assumptions!$B$6</f>
        <v>75</v>
      </c>
      <c r="Q13" s="21" t="n">
        <f aca="false">IF(J13&lt;=Assumptions!$B$8,0,P13)</f>
        <v>75</v>
      </c>
      <c r="R13" s="2" t="str">
        <f aca="false">IF(Q13&gt;=Assumptions!$B$9,"High",IF(Q13&gt;=Assumptions!$B$10,"Medium","Low"))</f>
        <v>High</v>
      </c>
      <c r="S13" s="21" t="n">
        <f aca="false">(N13*Assumptions!$B$5+O13*Assumptions!$B$6)/(Assumptions!$B$5+Assumptions!$B$6)</f>
        <v>100</v>
      </c>
      <c r="T13" s="2" t="str">
        <f aca="false">IF(AND(J13&gt;Assumptions!$B$8,G13&lt;=Assumptions!$B$30),"Low confidence","")</f>
        <v/>
      </c>
      <c r="U13" s="2" t="n">
        <f aca="false">(J13&gt;40)+(F13&gt;2000)+(K13&lt;10)+(L13=0)</f>
        <v>4</v>
      </c>
      <c r="V13" s="21" t="n">
        <f aca="false">IF(J13&lt;20,0,IF(J13&lt;40,25,M13))*Assumptions!$B$4+N13*Assumptions!$B$5+O13*Assumptions!$B$6</f>
        <v>75</v>
      </c>
      <c r="W13" s="2" t="str">
        <f aca="false">IF(V13&gt;=70,"High",IF(V13&gt;=40,"Medium","Low"))</f>
        <v>High</v>
      </c>
    </row>
    <row r="14" customFormat="false" ht="15" hidden="false" customHeight="false" outlineLevel="0" collapsed="false">
      <c r="A14" s="2" t="s">
        <v>175</v>
      </c>
      <c r="B14" s="2" t="s">
        <v>1571</v>
      </c>
      <c r="C14" s="2" t="s">
        <v>1640</v>
      </c>
      <c r="D14" s="2" t="s">
        <v>1572</v>
      </c>
      <c r="E14" s="2" t="n">
        <v>17</v>
      </c>
      <c r="F14" s="9" t="n">
        <v>14315</v>
      </c>
      <c r="G14" s="2" t="n">
        <v>21</v>
      </c>
      <c r="H14" s="2" t="n">
        <v>12</v>
      </c>
      <c r="I14" s="2" t="n">
        <v>9</v>
      </c>
      <c r="J14" s="2" t="n">
        <v>59</v>
      </c>
      <c r="K14" s="2" t="n">
        <v>8</v>
      </c>
      <c r="L14" s="2" t="n">
        <v>1</v>
      </c>
      <c r="M14" s="2" t="n">
        <f aca="false">IF(J14&lt;=Assumptions!$B$13,0,IF(J14&lt;Assumptions!$B$14,25,IF(J14&lt;Assumptions!$B$15,50,IF(J14&lt;Assumptions!$B$16,75,100))))</f>
        <v>50</v>
      </c>
      <c r="N14" s="2" t="n">
        <f aca="false">IF(K14&gt;Assumptions!$B$19,0,IF(K14&gt;=Assumptions!$B$20,25,IF(K14&gt;=Assumptions!$B$21,50,IF(K14&gt;=Assumptions!$B$22,75,100))))</f>
        <v>75</v>
      </c>
      <c r="O14" s="2" t="n">
        <f aca="false">IF(L14&gt;=Assumptions!$B$25,0,IF(L14&gt;=Assumptions!$B$26,25,IF(L14=Assumptions!$B$27,50,IF(L14=Assumptions!$B$28,75,100))))</f>
        <v>75</v>
      </c>
      <c r="P14" s="21" t="n">
        <f aca="false">M14*Assumptions!$B$4+N14*Assumptions!$B$5+O14*Assumptions!$B$6</f>
        <v>62.5</v>
      </c>
      <c r="Q14" s="21" t="n">
        <f aca="false">IF(J14&lt;=Assumptions!$B$8,0,P14)</f>
        <v>62.5</v>
      </c>
      <c r="R14" s="2" t="str">
        <f aca="false">IF(Q14&gt;=Assumptions!$B$9,"High",IF(Q14&gt;=Assumptions!$B$10,"Medium","Low"))</f>
        <v>Medium</v>
      </c>
      <c r="S14" s="21" t="n">
        <f aca="false">(N14*Assumptions!$B$5+O14*Assumptions!$B$6)/(Assumptions!$B$5+Assumptions!$B$6)</f>
        <v>75</v>
      </c>
      <c r="T14" s="2" t="str">
        <f aca="false">IF(AND(J14&gt;Assumptions!$B$8,G14&lt;=Assumptions!$B$30),"Low confidence","")</f>
        <v/>
      </c>
      <c r="U14" s="2" t="n">
        <f aca="false">(J14&gt;40)+(F14&gt;2000)+(K14&lt;10)+(L14=0)</f>
        <v>3</v>
      </c>
      <c r="V14" s="21" t="n">
        <f aca="false">IF(J14&lt;20,0,IF(J14&lt;40,25,M14))*Assumptions!$B$4+N14*Assumptions!$B$5+O14*Assumptions!$B$6</f>
        <v>62.5</v>
      </c>
      <c r="W14" s="2" t="str">
        <f aca="false">IF(V14&gt;=70,"High",IF(V14&gt;=40,"Medium","Low"))</f>
        <v>Medium</v>
      </c>
    </row>
    <row r="15" customFormat="false" ht="15" hidden="false" customHeight="false" outlineLevel="0" collapsed="false">
      <c r="A15" s="2" t="s">
        <v>189</v>
      </c>
      <c r="B15" s="2" t="s">
        <v>1571</v>
      </c>
      <c r="C15" s="2" t="s">
        <v>1640</v>
      </c>
      <c r="D15" s="2" t="s">
        <v>1572</v>
      </c>
      <c r="E15" s="2" t="n">
        <v>8</v>
      </c>
      <c r="F15" s="9" t="n">
        <v>11721</v>
      </c>
      <c r="G15" s="2" t="n">
        <v>27</v>
      </c>
      <c r="H15" s="2" t="n">
        <v>22</v>
      </c>
      <c r="I15" s="2" t="n">
        <v>5</v>
      </c>
      <c r="J15" s="2" t="n">
        <v>81</v>
      </c>
      <c r="K15" s="2" t="n">
        <v>5</v>
      </c>
      <c r="L15" s="2" t="n">
        <v>0</v>
      </c>
      <c r="M15" s="2" t="n">
        <f aca="false">IF(J15&lt;=Assumptions!$B$13,0,IF(J15&lt;Assumptions!$B$14,25,IF(J15&lt;Assumptions!$B$15,50,IF(J15&lt;Assumptions!$B$16,75,100))))</f>
        <v>100</v>
      </c>
      <c r="N15" s="2" t="n">
        <f aca="false">IF(K15&gt;Assumptions!$B$19,0,IF(K15&gt;=Assumptions!$B$20,25,IF(K15&gt;=Assumptions!$B$21,50,IF(K15&gt;=Assumptions!$B$22,75,100))))</f>
        <v>75</v>
      </c>
      <c r="O15" s="2" t="n">
        <f aca="false">IF(L15&gt;=Assumptions!$B$25,0,IF(L15&gt;=Assumptions!$B$26,25,IF(L15=Assumptions!$B$27,50,IF(L15=Assumptions!$B$28,75,100))))</f>
        <v>100</v>
      </c>
      <c r="P15" s="21" t="n">
        <f aca="false">M15*Assumptions!$B$4+N15*Assumptions!$B$5+O15*Assumptions!$B$6</f>
        <v>92.5</v>
      </c>
      <c r="Q15" s="21" t="n">
        <f aca="false">IF(J15&lt;=Assumptions!$B$8,0,P15)</f>
        <v>92.5</v>
      </c>
      <c r="R15" s="2" t="str">
        <f aca="false">IF(Q15&gt;=Assumptions!$B$9,"High",IF(Q15&gt;=Assumptions!$B$10,"Medium","Low"))</f>
        <v>High</v>
      </c>
      <c r="S15" s="21" t="n">
        <f aca="false">(N15*Assumptions!$B$5+O15*Assumptions!$B$6)/(Assumptions!$B$5+Assumptions!$B$6)</f>
        <v>85</v>
      </c>
      <c r="T15" s="2" t="str">
        <f aca="false">IF(AND(J15&gt;Assumptions!$B$8,G15&lt;=Assumptions!$B$30),"Low confidence","")</f>
        <v/>
      </c>
      <c r="U15" s="2" t="n">
        <f aca="false">(J15&gt;40)+(F15&gt;2000)+(K15&lt;10)+(L15=0)</f>
        <v>4</v>
      </c>
      <c r="V15" s="21" t="n">
        <f aca="false">IF(J15&lt;20,0,IF(J15&lt;40,25,M15))*Assumptions!$B$4+N15*Assumptions!$B$5+O15*Assumptions!$B$6</f>
        <v>92.5</v>
      </c>
      <c r="W15" s="2" t="str">
        <f aca="false">IF(V15&gt;=70,"High",IF(V15&gt;=40,"Medium","Low"))</f>
        <v>High</v>
      </c>
    </row>
    <row r="16" customFormat="false" ht="15" hidden="false" customHeight="false" outlineLevel="0" collapsed="false">
      <c r="A16" s="2" t="s">
        <v>192</v>
      </c>
      <c r="B16" s="2" t="s">
        <v>1571</v>
      </c>
      <c r="C16" s="2" t="s">
        <v>1640</v>
      </c>
      <c r="D16" s="2" t="s">
        <v>1572</v>
      </c>
      <c r="E16" s="2" t="n">
        <v>13</v>
      </c>
      <c r="F16" s="9" t="n">
        <v>11481</v>
      </c>
      <c r="G16" s="2" t="n">
        <v>8</v>
      </c>
      <c r="H16" s="2" t="n">
        <v>5</v>
      </c>
      <c r="I16" s="2" t="n">
        <v>3</v>
      </c>
      <c r="J16" s="2" t="n">
        <v>64</v>
      </c>
      <c r="K16" s="2" t="n">
        <v>6</v>
      </c>
      <c r="L16" s="2" t="n">
        <v>1</v>
      </c>
      <c r="M16" s="2" t="n">
        <f aca="false">IF(J16&lt;=Assumptions!$B$13,0,IF(J16&lt;Assumptions!$B$14,25,IF(J16&lt;Assumptions!$B$15,50,IF(J16&lt;Assumptions!$B$16,75,100))))</f>
        <v>75</v>
      </c>
      <c r="N16" s="2" t="n">
        <f aca="false">IF(K16&gt;Assumptions!$B$19,0,IF(K16&gt;=Assumptions!$B$20,25,IF(K16&gt;=Assumptions!$B$21,50,IF(K16&gt;=Assumptions!$B$22,75,100))))</f>
        <v>75</v>
      </c>
      <c r="O16" s="2" t="n">
        <f aca="false">IF(L16&gt;=Assumptions!$B$25,0,IF(L16&gt;=Assumptions!$B$26,25,IF(L16=Assumptions!$B$27,50,IF(L16=Assumptions!$B$28,75,100))))</f>
        <v>75</v>
      </c>
      <c r="P16" s="21" t="n">
        <f aca="false">M16*Assumptions!$B$4+N16*Assumptions!$B$5+O16*Assumptions!$B$6</f>
        <v>75</v>
      </c>
      <c r="Q16" s="21" t="n">
        <f aca="false">IF(J16&lt;=Assumptions!$B$8,0,P16)</f>
        <v>75</v>
      </c>
      <c r="R16" s="2" t="str">
        <f aca="false">IF(Q16&gt;=Assumptions!$B$9,"High",IF(Q16&gt;=Assumptions!$B$10,"Medium","Low"))</f>
        <v>High</v>
      </c>
      <c r="S16" s="21" t="n">
        <f aca="false">(N16*Assumptions!$B$5+O16*Assumptions!$B$6)/(Assumptions!$B$5+Assumptions!$B$6)</f>
        <v>75</v>
      </c>
      <c r="T16" s="2" t="str">
        <f aca="false">IF(AND(J16&gt;Assumptions!$B$8,G16&lt;=Assumptions!$B$30),"Low confidence","")</f>
        <v/>
      </c>
      <c r="U16" s="2" t="n">
        <f aca="false">(J16&gt;40)+(F16&gt;2000)+(K16&lt;10)+(L16=0)</f>
        <v>3</v>
      </c>
      <c r="V16" s="21" t="n">
        <f aca="false">IF(J16&lt;20,0,IF(J16&lt;40,25,M16))*Assumptions!$B$4+N16*Assumptions!$B$5+O16*Assumptions!$B$6</f>
        <v>75</v>
      </c>
      <c r="W16" s="2" t="str">
        <f aca="false">IF(V16&gt;=70,"High",IF(V16&gt;=40,"Medium","Low"))</f>
        <v>High</v>
      </c>
    </row>
    <row r="17" customFormat="false" ht="15" hidden="false" customHeight="false" outlineLevel="0" collapsed="false">
      <c r="A17" s="2" t="s">
        <v>361</v>
      </c>
      <c r="B17" s="2" t="s">
        <v>1571</v>
      </c>
      <c r="C17" s="2" t="s">
        <v>1640</v>
      </c>
      <c r="D17" s="2" t="s">
        <v>1572</v>
      </c>
      <c r="E17" s="2" t="n">
        <v>10</v>
      </c>
      <c r="F17" s="9" t="n">
        <v>11252</v>
      </c>
      <c r="G17" s="2" t="n">
        <v>26</v>
      </c>
      <c r="H17" s="2" t="n">
        <v>18</v>
      </c>
      <c r="I17" s="2" t="n">
        <v>8</v>
      </c>
      <c r="J17" s="2" t="n">
        <v>68</v>
      </c>
      <c r="K17" s="2" t="n">
        <v>1</v>
      </c>
      <c r="L17" s="2" t="n">
        <v>1</v>
      </c>
      <c r="M17" s="2" t="n">
        <f aca="false">IF(J17&lt;=Assumptions!$B$13,0,IF(J17&lt;Assumptions!$B$14,25,IF(J17&lt;Assumptions!$B$15,50,IF(J17&lt;Assumptions!$B$16,75,100))))</f>
        <v>75</v>
      </c>
      <c r="N17" s="2" t="n">
        <f aca="false">IF(K17&gt;Assumptions!$B$19,0,IF(K17&gt;=Assumptions!$B$20,25,IF(K17&gt;=Assumptions!$B$21,50,IF(K17&gt;=Assumptions!$B$22,75,100))))</f>
        <v>100</v>
      </c>
      <c r="O17" s="2" t="n">
        <f aca="false">IF(L17&gt;=Assumptions!$B$25,0,IF(L17&gt;=Assumptions!$B$26,25,IF(L17=Assumptions!$B$27,50,IF(L17=Assumptions!$B$28,75,100))))</f>
        <v>75</v>
      </c>
      <c r="P17" s="21" t="n">
        <f aca="false">M17*Assumptions!$B$4+N17*Assumptions!$B$5+O17*Assumptions!$B$6</f>
        <v>82.5</v>
      </c>
      <c r="Q17" s="21" t="n">
        <f aca="false">IF(J17&lt;=Assumptions!$B$8,0,P17)</f>
        <v>82.5</v>
      </c>
      <c r="R17" s="2" t="str">
        <f aca="false">IF(Q17&gt;=Assumptions!$B$9,"High",IF(Q17&gt;=Assumptions!$B$10,"Medium","Low"))</f>
        <v>High</v>
      </c>
      <c r="S17" s="21" t="n">
        <f aca="false">(N17*Assumptions!$B$5+O17*Assumptions!$B$6)/(Assumptions!$B$5+Assumptions!$B$6)</f>
        <v>90</v>
      </c>
      <c r="T17" s="2" t="str">
        <f aca="false">IF(AND(J17&gt;Assumptions!$B$8,G17&lt;=Assumptions!$B$30),"Low confidence","")</f>
        <v/>
      </c>
      <c r="U17" s="2" t="n">
        <f aca="false">(J17&gt;40)+(F17&gt;2000)+(K17&lt;10)+(L17=0)</f>
        <v>3</v>
      </c>
      <c r="V17" s="21" t="n">
        <f aca="false">IF(J17&lt;20,0,IF(J17&lt;40,25,M17))*Assumptions!$B$4+N17*Assumptions!$B$5+O17*Assumptions!$B$6</f>
        <v>82.5</v>
      </c>
      <c r="W17" s="2" t="str">
        <f aca="false">IF(V17&gt;=70,"High",IF(V17&gt;=40,"Medium","Low"))</f>
        <v>High</v>
      </c>
    </row>
    <row r="18" customFormat="false" ht="15" hidden="false" customHeight="false" outlineLevel="0" collapsed="false">
      <c r="A18" s="2" t="s">
        <v>199</v>
      </c>
      <c r="B18" s="2" t="s">
        <v>1571</v>
      </c>
      <c r="C18" s="2" t="s">
        <v>1640</v>
      </c>
      <c r="D18" s="2" t="s">
        <v>1572</v>
      </c>
      <c r="E18" s="2" t="n">
        <v>18</v>
      </c>
      <c r="F18" s="9" t="n">
        <v>10950</v>
      </c>
      <c r="G18" s="2" t="n">
        <v>37</v>
      </c>
      <c r="H18" s="2" t="n">
        <v>29</v>
      </c>
      <c r="I18" s="2" t="n">
        <v>8</v>
      </c>
      <c r="J18" s="2" t="n">
        <v>78</v>
      </c>
      <c r="K18" s="2" t="n">
        <v>4</v>
      </c>
      <c r="L18" s="2" t="n">
        <v>1</v>
      </c>
      <c r="M18" s="2" t="n">
        <f aca="false">IF(J18&lt;=Assumptions!$B$13,0,IF(J18&lt;Assumptions!$B$14,25,IF(J18&lt;Assumptions!$B$15,50,IF(J18&lt;Assumptions!$B$16,75,100))))</f>
        <v>75</v>
      </c>
      <c r="N18" s="2" t="n">
        <f aca="false">IF(K18&gt;Assumptions!$B$19,0,IF(K18&gt;=Assumptions!$B$20,25,IF(K18&gt;=Assumptions!$B$21,50,IF(K18&gt;=Assumptions!$B$22,75,100))))</f>
        <v>100</v>
      </c>
      <c r="O18" s="2" t="n">
        <f aca="false">IF(L18&gt;=Assumptions!$B$25,0,IF(L18&gt;=Assumptions!$B$26,25,IF(L18=Assumptions!$B$27,50,IF(L18=Assumptions!$B$28,75,100))))</f>
        <v>75</v>
      </c>
      <c r="P18" s="21" t="n">
        <f aca="false">M18*Assumptions!$B$4+N18*Assumptions!$B$5+O18*Assumptions!$B$6</f>
        <v>82.5</v>
      </c>
      <c r="Q18" s="21" t="n">
        <f aca="false">IF(J18&lt;=Assumptions!$B$8,0,P18)</f>
        <v>82.5</v>
      </c>
      <c r="R18" s="2" t="str">
        <f aca="false">IF(Q18&gt;=Assumptions!$B$9,"High",IF(Q18&gt;=Assumptions!$B$10,"Medium","Low"))</f>
        <v>High</v>
      </c>
      <c r="S18" s="21" t="n">
        <f aca="false">(N18*Assumptions!$B$5+O18*Assumptions!$B$6)/(Assumptions!$B$5+Assumptions!$B$6)</f>
        <v>90</v>
      </c>
      <c r="T18" s="2" t="str">
        <f aca="false">IF(AND(J18&gt;Assumptions!$B$8,G18&lt;=Assumptions!$B$30),"Low confidence","")</f>
        <v/>
      </c>
      <c r="U18" s="2" t="n">
        <f aca="false">(J18&gt;40)+(F18&gt;2000)+(K18&lt;10)+(L18=0)</f>
        <v>3</v>
      </c>
      <c r="V18" s="21" t="n">
        <f aca="false">IF(J18&lt;20,0,IF(J18&lt;40,25,M18))*Assumptions!$B$4+N18*Assumptions!$B$5+O18*Assumptions!$B$6</f>
        <v>82.5</v>
      </c>
      <c r="W18" s="2" t="str">
        <f aca="false">IF(V18&gt;=70,"High",IF(V18&gt;=40,"Medium","Low"))</f>
        <v>High</v>
      </c>
    </row>
    <row r="19" customFormat="false" ht="15" hidden="false" customHeight="false" outlineLevel="0" collapsed="false">
      <c r="A19" s="2" t="s">
        <v>202</v>
      </c>
      <c r="B19" s="2" t="s">
        <v>1571</v>
      </c>
      <c r="C19" s="2" t="s">
        <v>1640</v>
      </c>
      <c r="D19" s="2" t="s">
        <v>1572</v>
      </c>
      <c r="E19" s="2" t="n">
        <v>10</v>
      </c>
      <c r="F19" s="9" t="n">
        <v>8613</v>
      </c>
      <c r="G19" s="2" t="n">
        <v>11</v>
      </c>
      <c r="H19" s="2" t="n">
        <v>8</v>
      </c>
      <c r="I19" s="2" t="n">
        <v>3</v>
      </c>
      <c r="J19" s="2" t="n">
        <v>74</v>
      </c>
      <c r="K19" s="2" t="n">
        <v>3</v>
      </c>
      <c r="L19" s="2" t="n">
        <v>0</v>
      </c>
      <c r="M19" s="2" t="n">
        <f aca="false">IF(J19&lt;=Assumptions!$B$13,0,IF(J19&lt;Assumptions!$B$14,25,IF(J19&lt;Assumptions!$B$15,50,IF(J19&lt;Assumptions!$B$16,75,100))))</f>
        <v>75</v>
      </c>
      <c r="N19" s="2" t="n">
        <f aca="false">IF(K19&gt;Assumptions!$B$19,0,IF(K19&gt;=Assumptions!$B$20,25,IF(K19&gt;=Assumptions!$B$21,50,IF(K19&gt;=Assumptions!$B$22,75,100))))</f>
        <v>100</v>
      </c>
      <c r="O19" s="2" t="n">
        <f aca="false">IF(L19&gt;=Assumptions!$B$25,0,IF(L19&gt;=Assumptions!$B$26,25,IF(L19=Assumptions!$B$27,50,IF(L19=Assumptions!$B$28,75,100))))</f>
        <v>100</v>
      </c>
      <c r="P19" s="21" t="n">
        <f aca="false">M19*Assumptions!$B$4+N19*Assumptions!$B$5+O19*Assumptions!$B$6</f>
        <v>87.5</v>
      </c>
      <c r="Q19" s="21" t="n">
        <f aca="false">IF(J19&lt;=Assumptions!$B$8,0,P19)</f>
        <v>87.5</v>
      </c>
      <c r="R19" s="2" t="str">
        <f aca="false">IF(Q19&gt;=Assumptions!$B$9,"High",IF(Q19&gt;=Assumptions!$B$10,"Medium","Low"))</f>
        <v>High</v>
      </c>
      <c r="S19" s="21" t="n">
        <f aca="false">(N19*Assumptions!$B$5+O19*Assumptions!$B$6)/(Assumptions!$B$5+Assumptions!$B$6)</f>
        <v>100</v>
      </c>
      <c r="T19" s="2" t="str">
        <f aca="false">IF(AND(J19&gt;Assumptions!$B$8,G19&lt;=Assumptions!$B$30),"Low confidence","")</f>
        <v/>
      </c>
      <c r="U19" s="2" t="n">
        <f aca="false">(J19&gt;40)+(F19&gt;2000)+(K19&lt;10)+(L19=0)</f>
        <v>4</v>
      </c>
      <c r="V19" s="21" t="n">
        <f aca="false">IF(J19&lt;20,0,IF(J19&lt;40,25,M19))*Assumptions!$B$4+N19*Assumptions!$B$5+O19*Assumptions!$B$6</f>
        <v>87.5</v>
      </c>
      <c r="W19" s="2" t="str">
        <f aca="false">IF(V19&gt;=70,"High",IF(V19&gt;=40,"Medium","Low"))</f>
        <v>High</v>
      </c>
    </row>
    <row r="20" customFormat="false" ht="15" hidden="false" customHeight="false" outlineLevel="0" collapsed="false">
      <c r="A20" s="2" t="s">
        <v>380</v>
      </c>
      <c r="B20" s="2" t="s">
        <v>1571</v>
      </c>
      <c r="C20" s="2" t="s">
        <v>1640</v>
      </c>
      <c r="D20" s="2" t="s">
        <v>1572</v>
      </c>
      <c r="E20" s="2" t="n">
        <v>10</v>
      </c>
      <c r="F20" s="9" t="n">
        <v>7716</v>
      </c>
      <c r="G20" s="2" t="n">
        <v>7</v>
      </c>
      <c r="H20" s="2" t="n">
        <v>4</v>
      </c>
      <c r="I20" s="2" t="n">
        <v>3</v>
      </c>
      <c r="J20" s="2" t="n">
        <v>59</v>
      </c>
      <c r="K20" s="2" t="n">
        <v>2</v>
      </c>
      <c r="L20" s="2" t="n">
        <v>1</v>
      </c>
      <c r="M20" s="2" t="n">
        <f aca="false">IF(J20&lt;=Assumptions!$B$13,0,IF(J20&lt;Assumptions!$B$14,25,IF(J20&lt;Assumptions!$B$15,50,IF(J20&lt;Assumptions!$B$16,75,100))))</f>
        <v>50</v>
      </c>
      <c r="N20" s="2" t="n">
        <f aca="false">IF(K20&gt;Assumptions!$B$19,0,IF(K20&gt;=Assumptions!$B$20,25,IF(K20&gt;=Assumptions!$B$21,50,IF(K20&gt;=Assumptions!$B$22,75,100))))</f>
        <v>100</v>
      </c>
      <c r="O20" s="2" t="n">
        <f aca="false">IF(L20&gt;=Assumptions!$B$25,0,IF(L20&gt;=Assumptions!$B$26,25,IF(L20=Assumptions!$B$27,50,IF(L20=Assumptions!$B$28,75,100))))</f>
        <v>75</v>
      </c>
      <c r="P20" s="21" t="n">
        <f aca="false">M20*Assumptions!$B$4+N20*Assumptions!$B$5+O20*Assumptions!$B$6</f>
        <v>70</v>
      </c>
      <c r="Q20" s="21" t="n">
        <f aca="false">IF(J20&lt;=Assumptions!$B$8,0,P20)</f>
        <v>70</v>
      </c>
      <c r="R20" s="2" t="str">
        <f aca="false">IF(Q20&gt;=Assumptions!$B$9,"High",IF(Q20&gt;=Assumptions!$B$10,"Medium","Low"))</f>
        <v>High</v>
      </c>
      <c r="S20" s="21" t="n">
        <f aca="false">(N20*Assumptions!$B$5+O20*Assumptions!$B$6)/(Assumptions!$B$5+Assumptions!$B$6)</f>
        <v>90</v>
      </c>
      <c r="T20" s="2" t="str">
        <f aca="false">IF(AND(J20&gt;Assumptions!$B$8,G20&lt;=Assumptions!$B$30),"Low confidence","")</f>
        <v/>
      </c>
      <c r="U20" s="2" t="n">
        <f aca="false">(J20&gt;40)+(F20&gt;2000)+(K20&lt;10)+(L20=0)</f>
        <v>3</v>
      </c>
      <c r="V20" s="21" t="n">
        <f aca="false">IF(J20&lt;20,0,IF(J20&lt;40,25,M20))*Assumptions!$B$4+N20*Assumptions!$B$5+O20*Assumptions!$B$6</f>
        <v>70</v>
      </c>
      <c r="W20" s="2" t="str">
        <f aca="false">IF(V20&gt;=70,"High",IF(V20&gt;=40,"Medium","Low"))</f>
        <v>High</v>
      </c>
    </row>
    <row r="21" customFormat="false" ht="15" hidden="false" customHeight="false" outlineLevel="0" collapsed="false">
      <c r="A21" s="2" t="s">
        <v>389</v>
      </c>
      <c r="B21" s="2" t="s">
        <v>1571</v>
      </c>
      <c r="C21" s="2" t="s">
        <v>1640</v>
      </c>
      <c r="D21" s="2" t="s">
        <v>1572</v>
      </c>
      <c r="E21" s="2" t="n">
        <v>31</v>
      </c>
      <c r="F21" s="9" t="n">
        <v>6452</v>
      </c>
      <c r="G21" s="2" t="n">
        <v>3</v>
      </c>
      <c r="H21" s="2" t="n">
        <v>1</v>
      </c>
      <c r="I21" s="2" t="n">
        <v>2</v>
      </c>
      <c r="J21" s="2" t="n">
        <v>48</v>
      </c>
      <c r="K21" s="2" t="n">
        <v>7</v>
      </c>
      <c r="L21" s="2" t="n">
        <v>0</v>
      </c>
      <c r="M21" s="2" t="n">
        <f aca="false">IF(J21&lt;=Assumptions!$B$13,0,IF(J21&lt;Assumptions!$B$14,25,IF(J21&lt;Assumptions!$B$15,50,IF(J21&lt;Assumptions!$B$16,75,100))))</f>
        <v>50</v>
      </c>
      <c r="N21" s="2" t="n">
        <f aca="false">IF(K21&gt;Assumptions!$B$19,0,IF(K21&gt;=Assumptions!$B$20,25,IF(K21&gt;=Assumptions!$B$21,50,IF(K21&gt;=Assumptions!$B$22,75,100))))</f>
        <v>75</v>
      </c>
      <c r="O21" s="2" t="n">
        <f aca="false">IF(L21&gt;=Assumptions!$B$25,0,IF(L21&gt;=Assumptions!$B$26,25,IF(L21=Assumptions!$B$27,50,IF(L21=Assumptions!$B$28,75,100))))</f>
        <v>100</v>
      </c>
      <c r="P21" s="21" t="n">
        <f aca="false">M21*Assumptions!$B$4+N21*Assumptions!$B$5+O21*Assumptions!$B$6</f>
        <v>67.5</v>
      </c>
      <c r="Q21" s="21" t="n">
        <f aca="false">IF(J21&lt;=Assumptions!$B$8,0,P21)</f>
        <v>67.5</v>
      </c>
      <c r="R21" s="2" t="str">
        <f aca="false">IF(Q21&gt;=Assumptions!$B$9,"High",IF(Q21&gt;=Assumptions!$B$10,"Medium","Low"))</f>
        <v>Medium</v>
      </c>
      <c r="S21" s="21" t="n">
        <f aca="false">(N21*Assumptions!$B$5+O21*Assumptions!$B$6)/(Assumptions!$B$5+Assumptions!$B$6)</f>
        <v>85</v>
      </c>
      <c r="T21" s="2" t="str">
        <f aca="false">IF(AND(J21&gt;Assumptions!$B$8,G21&lt;=Assumptions!$B$30),"Low confidence","")</f>
        <v/>
      </c>
      <c r="U21" s="2" t="n">
        <f aca="false">(J21&gt;40)+(F21&gt;2000)+(K21&lt;10)+(L21=0)</f>
        <v>4</v>
      </c>
      <c r="V21" s="21" t="n">
        <f aca="false">IF(J21&lt;20,0,IF(J21&lt;40,25,M21))*Assumptions!$B$4+N21*Assumptions!$B$5+O21*Assumptions!$B$6</f>
        <v>67.5</v>
      </c>
      <c r="W21" s="2" t="str">
        <f aca="false">IF(V21&gt;=70,"High",IF(V21&gt;=40,"Medium","Low"))</f>
        <v>Medium</v>
      </c>
    </row>
    <row r="22" customFormat="false" ht="15" hidden="false" customHeight="false" outlineLevel="0" collapsed="false">
      <c r="A22" s="2" t="s">
        <v>208</v>
      </c>
      <c r="B22" s="2" t="s">
        <v>1571</v>
      </c>
      <c r="C22" s="2" t="s">
        <v>1640</v>
      </c>
      <c r="D22" s="2" t="s">
        <v>1572</v>
      </c>
      <c r="E22" s="2" t="n">
        <v>7</v>
      </c>
      <c r="F22" s="9" t="n">
        <v>6199</v>
      </c>
      <c r="G22" s="2" t="n">
        <v>19</v>
      </c>
      <c r="H22" s="2" t="n">
        <v>12</v>
      </c>
      <c r="I22" s="2" t="n">
        <v>7</v>
      </c>
      <c r="J22" s="2" t="n">
        <v>64</v>
      </c>
      <c r="K22" s="2" t="n">
        <v>6</v>
      </c>
      <c r="L22" s="2" t="n">
        <v>1</v>
      </c>
      <c r="M22" s="2" t="n">
        <f aca="false">IF(J22&lt;=Assumptions!$B$13,0,IF(J22&lt;Assumptions!$B$14,25,IF(J22&lt;Assumptions!$B$15,50,IF(J22&lt;Assumptions!$B$16,75,100))))</f>
        <v>75</v>
      </c>
      <c r="N22" s="2" t="n">
        <f aca="false">IF(K22&gt;Assumptions!$B$19,0,IF(K22&gt;=Assumptions!$B$20,25,IF(K22&gt;=Assumptions!$B$21,50,IF(K22&gt;=Assumptions!$B$22,75,100))))</f>
        <v>75</v>
      </c>
      <c r="O22" s="2" t="n">
        <f aca="false">IF(L22&gt;=Assumptions!$B$25,0,IF(L22&gt;=Assumptions!$B$26,25,IF(L22=Assumptions!$B$27,50,IF(L22=Assumptions!$B$28,75,100))))</f>
        <v>75</v>
      </c>
      <c r="P22" s="21" t="n">
        <f aca="false">M22*Assumptions!$B$4+N22*Assumptions!$B$5+O22*Assumptions!$B$6</f>
        <v>75</v>
      </c>
      <c r="Q22" s="21" t="n">
        <f aca="false">IF(J22&lt;=Assumptions!$B$8,0,P22)</f>
        <v>75</v>
      </c>
      <c r="R22" s="2" t="str">
        <f aca="false">IF(Q22&gt;=Assumptions!$B$9,"High",IF(Q22&gt;=Assumptions!$B$10,"Medium","Low"))</f>
        <v>High</v>
      </c>
      <c r="S22" s="21" t="n">
        <f aca="false">(N22*Assumptions!$B$5+O22*Assumptions!$B$6)/(Assumptions!$B$5+Assumptions!$B$6)</f>
        <v>75</v>
      </c>
      <c r="T22" s="2" t="str">
        <f aca="false">IF(AND(J22&gt;Assumptions!$B$8,G22&lt;=Assumptions!$B$30),"Low confidence","")</f>
        <v/>
      </c>
      <c r="U22" s="2" t="n">
        <f aca="false">(J22&gt;40)+(F22&gt;2000)+(K22&lt;10)+(L22=0)</f>
        <v>3</v>
      </c>
      <c r="V22" s="21" t="n">
        <f aca="false">IF(J22&lt;20,0,IF(J22&lt;40,25,M22))*Assumptions!$B$4+N22*Assumptions!$B$5+O22*Assumptions!$B$6</f>
        <v>75</v>
      </c>
      <c r="W22" s="2" t="str">
        <f aca="false">IF(V22&gt;=70,"High",IF(V22&gt;=40,"Medium","Low"))</f>
        <v>High</v>
      </c>
    </row>
    <row r="23" customFormat="false" ht="15" hidden="false" customHeight="false" outlineLevel="0" collapsed="false">
      <c r="A23" s="2" t="s">
        <v>211</v>
      </c>
      <c r="B23" s="2" t="s">
        <v>1571</v>
      </c>
      <c r="C23" s="2" t="s">
        <v>1640</v>
      </c>
      <c r="D23" s="2" t="s">
        <v>1572</v>
      </c>
      <c r="E23" s="2" t="n">
        <v>21</v>
      </c>
      <c r="F23" s="9" t="n">
        <v>6140</v>
      </c>
      <c r="G23" s="2" t="n">
        <v>7</v>
      </c>
      <c r="H23" s="2" t="n">
        <v>3</v>
      </c>
      <c r="I23" s="2" t="n">
        <v>4</v>
      </c>
      <c r="J23" s="2" t="n">
        <v>49</v>
      </c>
      <c r="K23" s="2" t="n">
        <v>4</v>
      </c>
      <c r="L23" s="2" t="n">
        <v>2</v>
      </c>
      <c r="M23" s="2" t="n">
        <f aca="false">IF(J23&lt;=Assumptions!$B$13,0,IF(J23&lt;Assumptions!$B$14,25,IF(J23&lt;Assumptions!$B$15,50,IF(J23&lt;Assumptions!$B$16,75,100))))</f>
        <v>50</v>
      </c>
      <c r="N23" s="2" t="n">
        <f aca="false">IF(K23&gt;Assumptions!$B$19,0,IF(K23&gt;=Assumptions!$B$20,25,IF(K23&gt;=Assumptions!$B$21,50,IF(K23&gt;=Assumptions!$B$22,75,100))))</f>
        <v>100</v>
      </c>
      <c r="O23" s="2" t="n">
        <f aca="false">IF(L23&gt;=Assumptions!$B$25,0,IF(L23&gt;=Assumptions!$B$26,25,IF(L23=Assumptions!$B$27,50,IF(L23=Assumptions!$B$28,75,100))))</f>
        <v>50</v>
      </c>
      <c r="P23" s="21" t="n">
        <f aca="false">M23*Assumptions!$B$4+N23*Assumptions!$B$5+O23*Assumptions!$B$6</f>
        <v>65</v>
      </c>
      <c r="Q23" s="21" t="n">
        <f aca="false">IF(J23&lt;=Assumptions!$B$8,0,P23)</f>
        <v>65</v>
      </c>
      <c r="R23" s="2" t="str">
        <f aca="false">IF(Q23&gt;=Assumptions!$B$9,"High",IF(Q23&gt;=Assumptions!$B$10,"Medium","Low"))</f>
        <v>Medium</v>
      </c>
      <c r="S23" s="21" t="n">
        <f aca="false">(N23*Assumptions!$B$5+O23*Assumptions!$B$6)/(Assumptions!$B$5+Assumptions!$B$6)</f>
        <v>80</v>
      </c>
      <c r="T23" s="2" t="str">
        <f aca="false">IF(AND(J23&gt;Assumptions!$B$8,G23&lt;=Assumptions!$B$30),"Low confidence","")</f>
        <v/>
      </c>
      <c r="U23" s="2" t="n">
        <f aca="false">(J23&gt;40)+(F23&gt;2000)+(K23&lt;10)+(L23=0)</f>
        <v>3</v>
      </c>
      <c r="V23" s="21" t="n">
        <f aca="false">IF(J23&lt;20,0,IF(J23&lt;40,25,M23))*Assumptions!$B$4+N23*Assumptions!$B$5+O23*Assumptions!$B$6</f>
        <v>65</v>
      </c>
      <c r="W23" s="2" t="str">
        <f aca="false">IF(V23&gt;=70,"High",IF(V23&gt;=40,"Medium","Low"))</f>
        <v>Medium</v>
      </c>
    </row>
    <row r="24" customFormat="false" ht="15" hidden="false" customHeight="false" outlineLevel="0" collapsed="false">
      <c r="A24" s="2" t="s">
        <v>214</v>
      </c>
      <c r="B24" s="2" t="s">
        <v>1571</v>
      </c>
      <c r="C24" s="2" t="s">
        <v>1640</v>
      </c>
      <c r="D24" s="2" t="s">
        <v>1572</v>
      </c>
      <c r="E24" s="2" t="n">
        <v>43</v>
      </c>
      <c r="F24" s="9" t="n">
        <v>5727</v>
      </c>
      <c r="G24" s="2" t="n">
        <v>4</v>
      </c>
      <c r="H24" s="2" t="n">
        <v>3</v>
      </c>
      <c r="I24" s="2" t="n">
        <v>1</v>
      </c>
      <c r="J24" s="2" t="n">
        <v>64</v>
      </c>
      <c r="K24" s="2" t="n">
        <v>0</v>
      </c>
      <c r="L24" s="2" t="n">
        <v>1</v>
      </c>
      <c r="M24" s="2" t="n">
        <f aca="false">IF(J24&lt;=Assumptions!$B$13,0,IF(J24&lt;Assumptions!$B$14,25,IF(J24&lt;Assumptions!$B$15,50,IF(J24&lt;Assumptions!$B$16,75,100))))</f>
        <v>75</v>
      </c>
      <c r="N24" s="2" t="n">
        <f aca="false">IF(K24&gt;Assumptions!$B$19,0,IF(K24&gt;=Assumptions!$B$20,25,IF(K24&gt;=Assumptions!$B$21,50,IF(K24&gt;=Assumptions!$B$22,75,100))))</f>
        <v>100</v>
      </c>
      <c r="O24" s="2" t="n">
        <f aca="false">IF(L24&gt;=Assumptions!$B$25,0,IF(L24&gt;=Assumptions!$B$26,25,IF(L24=Assumptions!$B$27,50,IF(L24=Assumptions!$B$28,75,100))))</f>
        <v>75</v>
      </c>
      <c r="P24" s="21" t="n">
        <f aca="false">M24*Assumptions!$B$4+N24*Assumptions!$B$5+O24*Assumptions!$B$6</f>
        <v>82.5</v>
      </c>
      <c r="Q24" s="21" t="n">
        <f aca="false">IF(J24&lt;=Assumptions!$B$8,0,P24)</f>
        <v>82.5</v>
      </c>
      <c r="R24" s="2" t="str">
        <f aca="false">IF(Q24&gt;=Assumptions!$B$9,"High",IF(Q24&gt;=Assumptions!$B$10,"Medium","Low"))</f>
        <v>High</v>
      </c>
      <c r="S24" s="21" t="n">
        <f aca="false">(N24*Assumptions!$B$5+O24*Assumptions!$B$6)/(Assumptions!$B$5+Assumptions!$B$6)</f>
        <v>90</v>
      </c>
      <c r="T24" s="2" t="str">
        <f aca="false">IF(AND(J24&gt;Assumptions!$B$8,G24&lt;=Assumptions!$B$30),"Low confidence","")</f>
        <v/>
      </c>
      <c r="U24" s="2" t="n">
        <f aca="false">(J24&gt;40)+(F24&gt;2000)+(K24&lt;10)+(L24=0)</f>
        <v>3</v>
      </c>
      <c r="V24" s="21" t="n">
        <f aca="false">IF(J24&lt;20,0,IF(J24&lt;40,25,M24))*Assumptions!$B$4+N24*Assumptions!$B$5+O24*Assumptions!$B$6</f>
        <v>82.5</v>
      </c>
      <c r="W24" s="2" t="str">
        <f aca="false">IF(V24&gt;=70,"High",IF(V24&gt;=40,"Medium","Low"))</f>
        <v>High</v>
      </c>
    </row>
    <row r="25" customFormat="false" ht="15" hidden="false" customHeight="false" outlineLevel="0" collapsed="false">
      <c r="A25" s="2" t="s">
        <v>399</v>
      </c>
      <c r="B25" s="2" t="s">
        <v>1571</v>
      </c>
      <c r="C25" s="2" t="s">
        <v>1640</v>
      </c>
      <c r="D25" s="2" t="s">
        <v>1572</v>
      </c>
      <c r="E25" s="2" t="n">
        <v>11</v>
      </c>
      <c r="F25" s="9" t="n">
        <v>5214</v>
      </c>
      <c r="G25" s="2" t="n">
        <v>14</v>
      </c>
      <c r="H25" s="2" t="n">
        <v>9</v>
      </c>
      <c r="I25" s="2" t="n">
        <v>5</v>
      </c>
      <c r="J25" s="2" t="n">
        <v>64</v>
      </c>
      <c r="K25" s="2" t="n">
        <v>6</v>
      </c>
      <c r="L25" s="2" t="n">
        <v>2</v>
      </c>
      <c r="M25" s="2" t="n">
        <f aca="false">IF(J25&lt;=Assumptions!$B$13,0,IF(J25&lt;Assumptions!$B$14,25,IF(J25&lt;Assumptions!$B$15,50,IF(J25&lt;Assumptions!$B$16,75,100))))</f>
        <v>75</v>
      </c>
      <c r="N25" s="2" t="n">
        <f aca="false">IF(K25&gt;Assumptions!$B$19,0,IF(K25&gt;=Assumptions!$B$20,25,IF(K25&gt;=Assumptions!$B$21,50,IF(K25&gt;=Assumptions!$B$22,75,100))))</f>
        <v>75</v>
      </c>
      <c r="O25" s="2" t="n">
        <f aca="false">IF(L25&gt;=Assumptions!$B$25,0,IF(L25&gt;=Assumptions!$B$26,25,IF(L25=Assumptions!$B$27,50,IF(L25=Assumptions!$B$28,75,100))))</f>
        <v>50</v>
      </c>
      <c r="P25" s="21" t="n">
        <f aca="false">M25*Assumptions!$B$4+N25*Assumptions!$B$5+O25*Assumptions!$B$6</f>
        <v>70</v>
      </c>
      <c r="Q25" s="21" t="n">
        <f aca="false">IF(J25&lt;=Assumptions!$B$8,0,P25)</f>
        <v>70</v>
      </c>
      <c r="R25" s="2" t="str">
        <f aca="false">IF(Q25&gt;=Assumptions!$B$9,"High",IF(Q25&gt;=Assumptions!$B$10,"Medium","Low"))</f>
        <v>High</v>
      </c>
      <c r="S25" s="21" t="n">
        <f aca="false">(N25*Assumptions!$B$5+O25*Assumptions!$B$6)/(Assumptions!$B$5+Assumptions!$B$6)</f>
        <v>65</v>
      </c>
      <c r="T25" s="2" t="str">
        <f aca="false">IF(AND(J25&gt;Assumptions!$B$8,G25&lt;=Assumptions!$B$30),"Low confidence","")</f>
        <v/>
      </c>
      <c r="U25" s="2" t="n">
        <f aca="false">(J25&gt;40)+(F25&gt;2000)+(K25&lt;10)+(L25=0)</f>
        <v>3</v>
      </c>
      <c r="V25" s="21" t="n">
        <f aca="false">IF(J25&lt;20,0,IF(J25&lt;40,25,M25))*Assumptions!$B$4+N25*Assumptions!$B$5+O25*Assumptions!$B$6</f>
        <v>70</v>
      </c>
      <c r="W25" s="2" t="str">
        <f aca="false">IF(V25&gt;=70,"High",IF(V25&gt;=40,"Medium","Low"))</f>
        <v>High</v>
      </c>
    </row>
    <row r="26" customFormat="false" ht="15" hidden="false" customHeight="false" outlineLevel="0" collapsed="false">
      <c r="A26" s="2" t="s">
        <v>403</v>
      </c>
      <c r="B26" s="2" t="s">
        <v>1571</v>
      </c>
      <c r="C26" s="2" t="s">
        <v>1640</v>
      </c>
      <c r="D26" s="2"/>
      <c r="E26" s="2" t="n">
        <v>6</v>
      </c>
      <c r="F26" s="9" t="n">
        <v>5014</v>
      </c>
      <c r="G26" s="2" t="n">
        <v>8</v>
      </c>
      <c r="H26" s="2" t="n">
        <v>1</v>
      </c>
      <c r="I26" s="2" t="n">
        <v>7</v>
      </c>
      <c r="J26" s="2" t="n">
        <v>8</v>
      </c>
      <c r="K26" s="2" t="n">
        <v>59</v>
      </c>
      <c r="L26" s="2" t="n">
        <v>5</v>
      </c>
      <c r="M26" s="2" t="n">
        <f aca="false">IF(J26&lt;=Assumptions!$B$13,0,IF(J26&lt;Assumptions!$B$14,25,IF(J26&lt;Assumptions!$B$15,50,IF(J26&lt;Assumptions!$B$16,75,100))))</f>
        <v>0</v>
      </c>
      <c r="N26" s="2" t="n">
        <f aca="false">IF(K26&gt;Assumptions!$B$19,0,IF(K26&gt;=Assumptions!$B$20,25,IF(K26&gt;=Assumptions!$B$21,50,IF(K26&gt;=Assumptions!$B$22,75,100))))</f>
        <v>0</v>
      </c>
      <c r="O26" s="2" t="n">
        <f aca="false">IF(L26&gt;=Assumptions!$B$25,0,IF(L26&gt;=Assumptions!$B$26,25,IF(L26=Assumptions!$B$27,50,IF(L26=Assumptions!$B$28,75,100))))</f>
        <v>0</v>
      </c>
      <c r="P26" s="21" t="n">
        <f aca="false">M26*Assumptions!$B$4+N26*Assumptions!$B$5+O26*Assumptions!$B$6</f>
        <v>0</v>
      </c>
      <c r="Q26" s="21" t="n">
        <f aca="false">IF(J26&lt;=Assumptions!$B$8,0,P26)</f>
        <v>0</v>
      </c>
      <c r="R26" s="2" t="str">
        <f aca="false">IF(Q26&gt;=Assumptions!$B$9,"High",IF(Q26&gt;=Assumptions!$B$10,"Medium","Low"))</f>
        <v>Low</v>
      </c>
      <c r="S26" s="21" t="n">
        <f aca="false">(N26*Assumptions!$B$5+O26*Assumptions!$B$6)/(Assumptions!$B$5+Assumptions!$B$6)</f>
        <v>0</v>
      </c>
      <c r="T26" s="2" t="str">
        <f aca="false">IF(AND(J26&gt;Assumptions!$B$8,G26&lt;=Assumptions!$B$30),"Low confidence","")</f>
        <v/>
      </c>
      <c r="U26" s="2" t="n">
        <f aca="false">(J26&gt;40)+(F26&gt;2000)+(K26&lt;10)+(L26=0)</f>
        <v>1</v>
      </c>
      <c r="V26" s="21" t="n">
        <f aca="false">IF(J26&lt;20,0,IF(J26&lt;40,25,M26))*Assumptions!$B$4+N26*Assumptions!$B$5+O26*Assumptions!$B$6</f>
        <v>0</v>
      </c>
      <c r="W26" s="2" t="str">
        <f aca="false">IF(V26&gt;=70,"High",IF(V26&gt;=40,"Medium","Low"))</f>
        <v>Low</v>
      </c>
    </row>
    <row r="27" customFormat="false" ht="15" hidden="false" customHeight="false" outlineLevel="0" collapsed="false">
      <c r="A27" s="2" t="s">
        <v>218</v>
      </c>
      <c r="B27" s="2" t="s">
        <v>1571</v>
      </c>
      <c r="C27" s="2" t="s">
        <v>1640</v>
      </c>
      <c r="D27" s="2" t="s">
        <v>1572</v>
      </c>
      <c r="E27" s="2" t="n">
        <v>9</v>
      </c>
      <c r="F27" s="9" t="n">
        <v>4772</v>
      </c>
      <c r="G27" s="2" t="n">
        <v>2</v>
      </c>
      <c r="H27" s="2" t="n">
        <v>2</v>
      </c>
      <c r="I27" s="2" t="n">
        <v>0</v>
      </c>
      <c r="J27" s="2" t="n">
        <v>82</v>
      </c>
      <c r="K27" s="2" t="n">
        <v>1</v>
      </c>
      <c r="L27" s="2" t="n">
        <v>2</v>
      </c>
      <c r="M27" s="2" t="n">
        <f aca="false">IF(J27&lt;=Assumptions!$B$13,0,IF(J27&lt;Assumptions!$B$14,25,IF(J27&lt;Assumptions!$B$15,50,IF(J27&lt;Assumptions!$B$16,75,100))))</f>
        <v>100</v>
      </c>
      <c r="N27" s="2" t="n">
        <f aca="false">IF(K27&gt;Assumptions!$B$19,0,IF(K27&gt;=Assumptions!$B$20,25,IF(K27&gt;=Assumptions!$B$21,50,IF(K27&gt;=Assumptions!$B$22,75,100))))</f>
        <v>100</v>
      </c>
      <c r="O27" s="2" t="n">
        <f aca="false">IF(L27&gt;=Assumptions!$B$25,0,IF(L27&gt;=Assumptions!$B$26,25,IF(L27=Assumptions!$B$27,50,IF(L27=Assumptions!$B$28,75,100))))</f>
        <v>50</v>
      </c>
      <c r="P27" s="21" t="n">
        <f aca="false">M27*Assumptions!$B$4+N27*Assumptions!$B$5+O27*Assumptions!$B$6</f>
        <v>90</v>
      </c>
      <c r="Q27" s="21" t="n">
        <f aca="false">IF(J27&lt;=Assumptions!$B$8,0,P27)</f>
        <v>90</v>
      </c>
      <c r="R27" s="2" t="str">
        <f aca="false">IF(Q27&gt;=Assumptions!$B$9,"High",IF(Q27&gt;=Assumptions!$B$10,"Medium","Low"))</f>
        <v>High</v>
      </c>
      <c r="S27" s="21" t="n">
        <f aca="false">(N27*Assumptions!$B$5+O27*Assumptions!$B$6)/(Assumptions!$B$5+Assumptions!$B$6)</f>
        <v>80</v>
      </c>
      <c r="T27" s="2" t="str">
        <f aca="false">IF(AND(J27&gt;Assumptions!$B$8,G27&lt;=Assumptions!$B$30),"Low confidence","")</f>
        <v>Low confidence</v>
      </c>
      <c r="U27" s="2" t="n">
        <f aca="false">(J27&gt;40)+(F27&gt;2000)+(K27&lt;10)+(L27=0)</f>
        <v>3</v>
      </c>
      <c r="V27" s="21" t="n">
        <f aca="false">IF(J27&lt;20,0,IF(J27&lt;40,25,M27))*Assumptions!$B$4+N27*Assumptions!$B$5+O27*Assumptions!$B$6</f>
        <v>90</v>
      </c>
      <c r="W27" s="2" t="str">
        <f aca="false">IF(V27&gt;=70,"High",IF(V27&gt;=40,"Medium","Low"))</f>
        <v>High</v>
      </c>
    </row>
    <row r="28" customFormat="false" ht="15" hidden="false" customHeight="false" outlineLevel="0" collapsed="false">
      <c r="A28" s="2" t="s">
        <v>408</v>
      </c>
      <c r="B28" s="2" t="s">
        <v>1571</v>
      </c>
      <c r="C28" s="2" t="s">
        <v>1641</v>
      </c>
      <c r="D28" s="2" t="s">
        <v>1572</v>
      </c>
      <c r="E28" s="2" t="n">
        <v>30</v>
      </c>
      <c r="F28" s="9" t="n">
        <v>4678</v>
      </c>
      <c r="G28" s="2" t="n">
        <v>25</v>
      </c>
      <c r="H28" s="2" t="n">
        <v>18</v>
      </c>
      <c r="I28" s="2" t="n">
        <v>7</v>
      </c>
      <c r="J28" s="2" t="n">
        <v>73</v>
      </c>
      <c r="K28" s="2" t="n">
        <v>3</v>
      </c>
      <c r="L28" s="2" t="n">
        <v>1</v>
      </c>
      <c r="M28" s="2" t="n">
        <f aca="false">IF(J28&lt;=Assumptions!$B$13,0,IF(J28&lt;Assumptions!$B$14,25,IF(J28&lt;Assumptions!$B$15,50,IF(J28&lt;Assumptions!$B$16,75,100))))</f>
        <v>75</v>
      </c>
      <c r="N28" s="2" t="n">
        <f aca="false">IF(K28&gt;Assumptions!$B$19,0,IF(K28&gt;=Assumptions!$B$20,25,IF(K28&gt;=Assumptions!$B$21,50,IF(K28&gt;=Assumptions!$B$22,75,100))))</f>
        <v>100</v>
      </c>
      <c r="O28" s="2" t="n">
        <f aca="false">IF(L28&gt;=Assumptions!$B$25,0,IF(L28&gt;=Assumptions!$B$26,25,IF(L28=Assumptions!$B$27,50,IF(L28=Assumptions!$B$28,75,100))))</f>
        <v>75</v>
      </c>
      <c r="P28" s="21" t="n">
        <f aca="false">M28*Assumptions!$B$4+N28*Assumptions!$B$5+O28*Assumptions!$B$6</f>
        <v>82.5</v>
      </c>
      <c r="Q28" s="21" t="n">
        <f aca="false">IF(J28&lt;=Assumptions!$B$8,0,P28)</f>
        <v>82.5</v>
      </c>
      <c r="R28" s="2" t="str">
        <f aca="false">IF(Q28&gt;=Assumptions!$B$9,"High",IF(Q28&gt;=Assumptions!$B$10,"Medium","Low"))</f>
        <v>High</v>
      </c>
      <c r="S28" s="21" t="n">
        <f aca="false">(N28*Assumptions!$B$5+O28*Assumptions!$B$6)/(Assumptions!$B$5+Assumptions!$B$6)</f>
        <v>90</v>
      </c>
      <c r="T28" s="2" t="str">
        <f aca="false">IF(AND(J28&gt;Assumptions!$B$8,G28&lt;=Assumptions!$B$30),"Low confidence","")</f>
        <v/>
      </c>
      <c r="U28" s="2" t="n">
        <f aca="false">(J28&gt;40)+(F28&gt;2000)+(K28&lt;10)+(L28=0)</f>
        <v>3</v>
      </c>
      <c r="V28" s="21" t="n">
        <f aca="false">IF(J28&lt;20,0,IF(J28&lt;40,25,M28))*Assumptions!$B$4+N28*Assumptions!$B$5+O28*Assumptions!$B$6</f>
        <v>82.5</v>
      </c>
      <c r="W28" s="2" t="str">
        <f aca="false">IF(V28&gt;=70,"High",IF(V28&gt;=40,"Medium","Low"))</f>
        <v>High</v>
      </c>
    </row>
    <row r="29" customFormat="false" ht="15" hidden="false" customHeight="false" outlineLevel="0" collapsed="false">
      <c r="A29" s="2" t="s">
        <v>222</v>
      </c>
      <c r="B29" s="2" t="s">
        <v>1571</v>
      </c>
      <c r="C29" s="2" t="s">
        <v>1640</v>
      </c>
      <c r="D29" s="2" t="s">
        <v>1572</v>
      </c>
      <c r="E29" s="2" t="n">
        <v>11</v>
      </c>
      <c r="F29" s="9" t="n">
        <v>4639</v>
      </c>
      <c r="G29" s="2" t="n">
        <v>7</v>
      </c>
      <c r="H29" s="2" t="n">
        <v>3</v>
      </c>
      <c r="I29" s="2" t="n">
        <v>4</v>
      </c>
      <c r="J29" s="2" t="n">
        <v>48</v>
      </c>
      <c r="K29" s="2" t="n">
        <v>4</v>
      </c>
      <c r="L29" s="2" t="n">
        <v>1</v>
      </c>
      <c r="M29" s="2" t="n">
        <f aca="false">IF(J29&lt;=Assumptions!$B$13,0,IF(J29&lt;Assumptions!$B$14,25,IF(J29&lt;Assumptions!$B$15,50,IF(J29&lt;Assumptions!$B$16,75,100))))</f>
        <v>50</v>
      </c>
      <c r="N29" s="2" t="n">
        <f aca="false">IF(K29&gt;Assumptions!$B$19,0,IF(K29&gt;=Assumptions!$B$20,25,IF(K29&gt;=Assumptions!$B$21,50,IF(K29&gt;=Assumptions!$B$22,75,100))))</f>
        <v>100</v>
      </c>
      <c r="O29" s="2" t="n">
        <f aca="false">IF(L29&gt;=Assumptions!$B$25,0,IF(L29&gt;=Assumptions!$B$26,25,IF(L29=Assumptions!$B$27,50,IF(L29=Assumptions!$B$28,75,100))))</f>
        <v>75</v>
      </c>
      <c r="P29" s="21" t="n">
        <f aca="false">M29*Assumptions!$B$4+N29*Assumptions!$B$5+O29*Assumptions!$B$6</f>
        <v>70</v>
      </c>
      <c r="Q29" s="21" t="n">
        <f aca="false">IF(J29&lt;=Assumptions!$B$8,0,P29)</f>
        <v>70</v>
      </c>
      <c r="R29" s="2" t="str">
        <f aca="false">IF(Q29&gt;=Assumptions!$B$9,"High",IF(Q29&gt;=Assumptions!$B$10,"Medium","Low"))</f>
        <v>High</v>
      </c>
      <c r="S29" s="21" t="n">
        <f aca="false">(N29*Assumptions!$B$5+O29*Assumptions!$B$6)/(Assumptions!$B$5+Assumptions!$B$6)</f>
        <v>90</v>
      </c>
      <c r="T29" s="2" t="str">
        <f aca="false">IF(AND(J29&gt;Assumptions!$B$8,G29&lt;=Assumptions!$B$30),"Low confidence","")</f>
        <v/>
      </c>
      <c r="U29" s="2" t="n">
        <f aca="false">(J29&gt;40)+(F29&gt;2000)+(K29&lt;10)+(L29=0)</f>
        <v>3</v>
      </c>
      <c r="V29" s="21" t="n">
        <f aca="false">IF(J29&lt;20,0,IF(J29&lt;40,25,M29))*Assumptions!$B$4+N29*Assumptions!$B$5+O29*Assumptions!$B$6</f>
        <v>70</v>
      </c>
      <c r="W29" s="2" t="str">
        <f aca="false">IF(V29&gt;=70,"High",IF(V29&gt;=40,"Medium","Low"))</f>
        <v>High</v>
      </c>
    </row>
    <row r="30" customFormat="false" ht="15" hidden="false" customHeight="false" outlineLevel="0" collapsed="false">
      <c r="A30" s="2" t="s">
        <v>450</v>
      </c>
      <c r="B30" s="2" t="s">
        <v>1571</v>
      </c>
      <c r="C30" s="2" t="s">
        <v>1640</v>
      </c>
      <c r="D30" s="2"/>
      <c r="E30" s="2" t="n">
        <v>6</v>
      </c>
      <c r="F30" s="9" t="n">
        <v>4513</v>
      </c>
      <c r="G30" s="2" t="n">
        <v>5</v>
      </c>
      <c r="H30" s="2" t="n">
        <v>4</v>
      </c>
      <c r="I30" s="2" t="n">
        <v>1</v>
      </c>
      <c r="J30" s="2" t="n">
        <v>78</v>
      </c>
      <c r="K30" s="2" t="n">
        <v>6</v>
      </c>
      <c r="L30" s="2" t="n">
        <v>0</v>
      </c>
      <c r="M30" s="2" t="n">
        <f aca="false">IF(J30&lt;=Assumptions!$B$13,0,IF(J30&lt;Assumptions!$B$14,25,IF(J30&lt;Assumptions!$B$15,50,IF(J30&lt;Assumptions!$B$16,75,100))))</f>
        <v>75</v>
      </c>
      <c r="N30" s="2" t="n">
        <f aca="false">IF(K30&gt;Assumptions!$B$19,0,IF(K30&gt;=Assumptions!$B$20,25,IF(K30&gt;=Assumptions!$B$21,50,IF(K30&gt;=Assumptions!$B$22,75,100))))</f>
        <v>75</v>
      </c>
      <c r="O30" s="2" t="n">
        <f aca="false">IF(L30&gt;=Assumptions!$B$25,0,IF(L30&gt;=Assumptions!$B$26,25,IF(L30=Assumptions!$B$27,50,IF(L30=Assumptions!$B$28,75,100))))</f>
        <v>100</v>
      </c>
      <c r="P30" s="21" t="n">
        <f aca="false">M30*Assumptions!$B$4+N30*Assumptions!$B$5+O30*Assumptions!$B$6</f>
        <v>80</v>
      </c>
      <c r="Q30" s="21" t="n">
        <f aca="false">IF(J30&lt;=Assumptions!$B$8,0,P30)</f>
        <v>80</v>
      </c>
      <c r="R30" s="2" t="str">
        <f aca="false">IF(Q30&gt;=Assumptions!$B$9,"High",IF(Q30&gt;=Assumptions!$B$10,"Medium","Low"))</f>
        <v>High</v>
      </c>
      <c r="S30" s="21" t="n">
        <f aca="false">(N30*Assumptions!$B$5+O30*Assumptions!$B$6)/(Assumptions!$B$5+Assumptions!$B$6)</f>
        <v>85</v>
      </c>
      <c r="T30" s="2" t="str">
        <f aca="false">IF(AND(J30&gt;Assumptions!$B$8,G30&lt;=Assumptions!$B$30),"Low confidence","")</f>
        <v/>
      </c>
      <c r="U30" s="2" t="n">
        <f aca="false">(J30&gt;40)+(F30&gt;2000)+(K30&lt;10)+(L30=0)</f>
        <v>4</v>
      </c>
      <c r="V30" s="21" t="n">
        <f aca="false">IF(J30&lt;20,0,IF(J30&lt;40,25,M30))*Assumptions!$B$4+N30*Assumptions!$B$5+O30*Assumptions!$B$6</f>
        <v>80</v>
      </c>
      <c r="W30" s="2" t="str">
        <f aca="false">IF(V30&gt;=70,"High",IF(V30&gt;=40,"Medium","Low"))</f>
        <v>High</v>
      </c>
    </row>
    <row r="31" customFormat="false" ht="15" hidden="false" customHeight="false" outlineLevel="0" collapsed="false">
      <c r="A31" s="2" t="s">
        <v>412</v>
      </c>
      <c r="B31" s="2" t="s">
        <v>1571</v>
      </c>
      <c r="C31" s="2" t="s">
        <v>1640</v>
      </c>
      <c r="D31" s="2" t="s">
        <v>1572</v>
      </c>
      <c r="E31" s="2" t="n">
        <v>48</v>
      </c>
      <c r="F31" s="9" t="n">
        <v>4415</v>
      </c>
      <c r="G31" s="2" t="n">
        <v>5</v>
      </c>
      <c r="H31" s="2" t="n">
        <v>3</v>
      </c>
      <c r="I31" s="2" t="n">
        <v>2</v>
      </c>
      <c r="J31" s="2" t="n">
        <v>68</v>
      </c>
      <c r="K31" s="2" t="n">
        <v>2</v>
      </c>
      <c r="L31" s="2" t="n">
        <v>0</v>
      </c>
      <c r="M31" s="2" t="n">
        <f aca="false">IF(J31&lt;=Assumptions!$B$13,0,IF(J31&lt;Assumptions!$B$14,25,IF(J31&lt;Assumptions!$B$15,50,IF(J31&lt;Assumptions!$B$16,75,100))))</f>
        <v>75</v>
      </c>
      <c r="N31" s="2" t="n">
        <f aca="false">IF(K31&gt;Assumptions!$B$19,0,IF(K31&gt;=Assumptions!$B$20,25,IF(K31&gt;=Assumptions!$B$21,50,IF(K31&gt;=Assumptions!$B$22,75,100))))</f>
        <v>100</v>
      </c>
      <c r="O31" s="2" t="n">
        <f aca="false">IF(L31&gt;=Assumptions!$B$25,0,IF(L31&gt;=Assumptions!$B$26,25,IF(L31=Assumptions!$B$27,50,IF(L31=Assumptions!$B$28,75,100))))</f>
        <v>100</v>
      </c>
      <c r="P31" s="21" t="n">
        <f aca="false">M31*Assumptions!$B$4+N31*Assumptions!$B$5+O31*Assumptions!$B$6</f>
        <v>87.5</v>
      </c>
      <c r="Q31" s="21" t="n">
        <f aca="false">IF(J31&lt;=Assumptions!$B$8,0,P31)</f>
        <v>87.5</v>
      </c>
      <c r="R31" s="2" t="str">
        <f aca="false">IF(Q31&gt;=Assumptions!$B$9,"High",IF(Q31&gt;=Assumptions!$B$10,"Medium","Low"))</f>
        <v>High</v>
      </c>
      <c r="S31" s="21" t="n">
        <f aca="false">(N31*Assumptions!$B$5+O31*Assumptions!$B$6)/(Assumptions!$B$5+Assumptions!$B$6)</f>
        <v>100</v>
      </c>
      <c r="T31" s="2" t="str">
        <f aca="false">IF(AND(J31&gt;Assumptions!$B$8,G31&lt;=Assumptions!$B$30),"Low confidence","")</f>
        <v/>
      </c>
      <c r="U31" s="2" t="n">
        <f aca="false">(J31&gt;40)+(F31&gt;2000)+(K31&lt;10)+(L31=0)</f>
        <v>4</v>
      </c>
      <c r="V31" s="21" t="n">
        <f aca="false">IF(J31&lt;20,0,IF(J31&lt;40,25,M31))*Assumptions!$B$4+N31*Assumptions!$B$5+O31*Assumptions!$B$6</f>
        <v>87.5</v>
      </c>
      <c r="W31" s="2" t="str">
        <f aca="false">IF(V31&gt;=70,"High",IF(V31&gt;=40,"Medium","Low"))</f>
        <v>High</v>
      </c>
    </row>
    <row r="32" customFormat="false" ht="15" hidden="false" customHeight="false" outlineLevel="0" collapsed="false">
      <c r="A32" s="2" t="s">
        <v>416</v>
      </c>
      <c r="B32" s="2" t="s">
        <v>1571</v>
      </c>
      <c r="C32" s="2" t="s">
        <v>1640</v>
      </c>
      <c r="D32" s="2" t="s">
        <v>1572</v>
      </c>
      <c r="E32" s="2" t="n">
        <v>9</v>
      </c>
      <c r="F32" s="9" t="n">
        <v>4372</v>
      </c>
      <c r="G32" s="2" t="n">
        <v>8</v>
      </c>
      <c r="H32" s="2" t="n">
        <v>6</v>
      </c>
      <c r="I32" s="2" t="n">
        <v>2</v>
      </c>
      <c r="J32" s="2" t="n">
        <v>79</v>
      </c>
      <c r="K32" s="2" t="n">
        <v>5</v>
      </c>
      <c r="L32" s="2" t="n">
        <v>1</v>
      </c>
      <c r="M32" s="2" t="n">
        <f aca="false">IF(J32&lt;=Assumptions!$B$13,0,IF(J32&lt;Assumptions!$B$14,25,IF(J32&lt;Assumptions!$B$15,50,IF(J32&lt;Assumptions!$B$16,75,100))))</f>
        <v>75</v>
      </c>
      <c r="N32" s="2" t="n">
        <f aca="false">IF(K32&gt;Assumptions!$B$19,0,IF(K32&gt;=Assumptions!$B$20,25,IF(K32&gt;=Assumptions!$B$21,50,IF(K32&gt;=Assumptions!$B$22,75,100))))</f>
        <v>75</v>
      </c>
      <c r="O32" s="2" t="n">
        <f aca="false">IF(L32&gt;=Assumptions!$B$25,0,IF(L32&gt;=Assumptions!$B$26,25,IF(L32=Assumptions!$B$27,50,IF(L32=Assumptions!$B$28,75,100))))</f>
        <v>75</v>
      </c>
      <c r="P32" s="21" t="n">
        <f aca="false">M32*Assumptions!$B$4+N32*Assumptions!$B$5+O32*Assumptions!$B$6</f>
        <v>75</v>
      </c>
      <c r="Q32" s="21" t="n">
        <f aca="false">IF(J32&lt;=Assumptions!$B$8,0,P32)</f>
        <v>75</v>
      </c>
      <c r="R32" s="2" t="str">
        <f aca="false">IF(Q32&gt;=Assumptions!$B$9,"High",IF(Q32&gt;=Assumptions!$B$10,"Medium","Low"))</f>
        <v>High</v>
      </c>
      <c r="S32" s="21" t="n">
        <f aca="false">(N32*Assumptions!$B$5+O32*Assumptions!$B$6)/(Assumptions!$B$5+Assumptions!$B$6)</f>
        <v>75</v>
      </c>
      <c r="T32" s="2" t="str">
        <f aca="false">IF(AND(J32&gt;Assumptions!$B$8,G32&lt;=Assumptions!$B$30),"Low confidence","")</f>
        <v/>
      </c>
      <c r="U32" s="2" t="n">
        <f aca="false">(J32&gt;40)+(F32&gt;2000)+(K32&lt;10)+(L32=0)</f>
        <v>3</v>
      </c>
      <c r="V32" s="21" t="n">
        <f aca="false">IF(J32&lt;20,0,IF(J32&lt;40,25,M32))*Assumptions!$B$4+N32*Assumptions!$B$5+O32*Assumptions!$B$6</f>
        <v>75</v>
      </c>
      <c r="W32" s="2" t="str">
        <f aca="false">IF(V32&gt;=70,"High",IF(V32&gt;=40,"Medium","Low"))</f>
        <v>High</v>
      </c>
    </row>
    <row r="33" customFormat="false" ht="15" hidden="false" customHeight="false" outlineLevel="0" collapsed="false">
      <c r="A33" s="2" t="s">
        <v>229</v>
      </c>
      <c r="B33" s="2" t="s">
        <v>1571</v>
      </c>
      <c r="C33" s="2" t="s">
        <v>1640</v>
      </c>
      <c r="D33" s="2" t="s">
        <v>1572</v>
      </c>
      <c r="E33" s="2" t="n">
        <v>12</v>
      </c>
      <c r="F33" s="9" t="n">
        <v>4179</v>
      </c>
      <c r="G33" s="2" t="n">
        <v>2</v>
      </c>
      <c r="H33" s="2" t="n">
        <v>2</v>
      </c>
      <c r="I33" s="2" t="n">
        <v>0</v>
      </c>
      <c r="J33" s="2" t="n">
        <v>80</v>
      </c>
      <c r="K33" s="2" t="n">
        <v>1</v>
      </c>
      <c r="L33" s="2" t="n">
        <v>1</v>
      </c>
      <c r="M33" s="2" t="n">
        <f aca="false">IF(J33&lt;=Assumptions!$B$13,0,IF(J33&lt;Assumptions!$B$14,25,IF(J33&lt;Assumptions!$B$15,50,IF(J33&lt;Assumptions!$B$16,75,100))))</f>
        <v>100</v>
      </c>
      <c r="N33" s="2" t="n">
        <f aca="false">IF(K33&gt;Assumptions!$B$19,0,IF(K33&gt;=Assumptions!$B$20,25,IF(K33&gt;=Assumptions!$B$21,50,IF(K33&gt;=Assumptions!$B$22,75,100))))</f>
        <v>100</v>
      </c>
      <c r="O33" s="2" t="n">
        <f aca="false">IF(L33&gt;=Assumptions!$B$25,0,IF(L33&gt;=Assumptions!$B$26,25,IF(L33=Assumptions!$B$27,50,IF(L33=Assumptions!$B$28,75,100))))</f>
        <v>75</v>
      </c>
      <c r="P33" s="21" t="n">
        <f aca="false">M33*Assumptions!$B$4+N33*Assumptions!$B$5+O33*Assumptions!$B$6</f>
        <v>95</v>
      </c>
      <c r="Q33" s="21" t="n">
        <f aca="false">IF(J33&lt;=Assumptions!$B$8,0,P33)</f>
        <v>95</v>
      </c>
      <c r="R33" s="2" t="str">
        <f aca="false">IF(Q33&gt;=Assumptions!$B$9,"High",IF(Q33&gt;=Assumptions!$B$10,"Medium","Low"))</f>
        <v>High</v>
      </c>
      <c r="S33" s="21" t="n">
        <f aca="false">(N33*Assumptions!$B$5+O33*Assumptions!$B$6)/(Assumptions!$B$5+Assumptions!$B$6)</f>
        <v>90</v>
      </c>
      <c r="T33" s="2" t="str">
        <f aca="false">IF(AND(J33&gt;Assumptions!$B$8,G33&lt;=Assumptions!$B$30),"Low confidence","")</f>
        <v>Low confidence</v>
      </c>
      <c r="U33" s="2" t="n">
        <f aca="false">(J33&gt;40)+(F33&gt;2000)+(K33&lt;10)+(L33=0)</f>
        <v>3</v>
      </c>
      <c r="V33" s="21" t="n">
        <f aca="false">IF(J33&lt;20,0,IF(J33&lt;40,25,M33))*Assumptions!$B$4+N33*Assumptions!$B$5+O33*Assumptions!$B$6</f>
        <v>95</v>
      </c>
      <c r="W33" s="2" t="str">
        <f aca="false">IF(V33&gt;=70,"High",IF(V33&gt;=40,"Medium","Low"))</f>
        <v>High</v>
      </c>
    </row>
    <row r="34" customFormat="false" ht="15" hidden="false" customHeight="false" outlineLevel="0" collapsed="false">
      <c r="A34" s="2" t="s">
        <v>419</v>
      </c>
      <c r="B34" s="2" t="s">
        <v>1571</v>
      </c>
      <c r="C34" s="2" t="s">
        <v>1640</v>
      </c>
      <c r="D34" s="2" t="s">
        <v>1572</v>
      </c>
      <c r="E34" s="2" t="n">
        <v>7</v>
      </c>
      <c r="F34" s="9" t="n">
        <v>3925</v>
      </c>
      <c r="G34" s="2" t="n">
        <v>8</v>
      </c>
      <c r="H34" s="2" t="n">
        <v>4</v>
      </c>
      <c r="I34" s="2" t="n">
        <v>4</v>
      </c>
      <c r="J34" s="2" t="n">
        <v>54</v>
      </c>
      <c r="K34" s="2" t="n">
        <v>2</v>
      </c>
      <c r="L34" s="2" t="n">
        <v>2</v>
      </c>
      <c r="M34" s="2" t="n">
        <f aca="false">IF(J34&lt;=Assumptions!$B$13,0,IF(J34&lt;Assumptions!$B$14,25,IF(J34&lt;Assumptions!$B$15,50,IF(J34&lt;Assumptions!$B$16,75,100))))</f>
        <v>50</v>
      </c>
      <c r="N34" s="2" t="n">
        <f aca="false">IF(K34&gt;Assumptions!$B$19,0,IF(K34&gt;=Assumptions!$B$20,25,IF(K34&gt;=Assumptions!$B$21,50,IF(K34&gt;=Assumptions!$B$22,75,100))))</f>
        <v>100</v>
      </c>
      <c r="O34" s="2" t="n">
        <f aca="false">IF(L34&gt;=Assumptions!$B$25,0,IF(L34&gt;=Assumptions!$B$26,25,IF(L34=Assumptions!$B$27,50,IF(L34=Assumptions!$B$28,75,100))))</f>
        <v>50</v>
      </c>
      <c r="P34" s="21" t="n">
        <f aca="false">M34*Assumptions!$B$4+N34*Assumptions!$B$5+O34*Assumptions!$B$6</f>
        <v>65</v>
      </c>
      <c r="Q34" s="21" t="n">
        <f aca="false">IF(J34&lt;=Assumptions!$B$8,0,P34)</f>
        <v>65</v>
      </c>
      <c r="R34" s="2" t="str">
        <f aca="false">IF(Q34&gt;=Assumptions!$B$9,"High",IF(Q34&gt;=Assumptions!$B$10,"Medium","Low"))</f>
        <v>Medium</v>
      </c>
      <c r="S34" s="21" t="n">
        <f aca="false">(N34*Assumptions!$B$5+O34*Assumptions!$B$6)/(Assumptions!$B$5+Assumptions!$B$6)</f>
        <v>80</v>
      </c>
      <c r="T34" s="2" t="str">
        <f aca="false">IF(AND(J34&gt;Assumptions!$B$8,G34&lt;=Assumptions!$B$30),"Low confidence","")</f>
        <v/>
      </c>
      <c r="U34" s="2" t="n">
        <f aca="false">(J34&gt;40)+(F34&gt;2000)+(K34&lt;10)+(L34=0)</f>
        <v>3</v>
      </c>
      <c r="V34" s="21" t="n">
        <f aca="false">IF(J34&lt;20,0,IF(J34&lt;40,25,M34))*Assumptions!$B$4+N34*Assumptions!$B$5+O34*Assumptions!$B$6</f>
        <v>65</v>
      </c>
      <c r="W34" s="2" t="str">
        <f aca="false">IF(V34&gt;=70,"High",IF(V34&gt;=40,"Medium","Low"))</f>
        <v>Medium</v>
      </c>
    </row>
    <row r="35" customFormat="false" ht="15" hidden="false" customHeight="false" outlineLevel="0" collapsed="false">
      <c r="A35" s="2" t="s">
        <v>458</v>
      </c>
      <c r="B35" s="2" t="s">
        <v>1571</v>
      </c>
      <c r="C35" s="2" t="s">
        <v>1640</v>
      </c>
      <c r="D35" s="2" t="s">
        <v>1572</v>
      </c>
      <c r="E35" s="2" t="n">
        <v>7</v>
      </c>
      <c r="F35" s="9" t="n">
        <v>3913</v>
      </c>
      <c r="G35" s="2" t="n">
        <v>4</v>
      </c>
      <c r="H35" s="2" t="n">
        <v>3</v>
      </c>
      <c r="I35" s="2" t="n">
        <v>1</v>
      </c>
      <c r="J35" s="2" t="n">
        <v>82</v>
      </c>
      <c r="K35" s="2" t="n">
        <v>5</v>
      </c>
      <c r="L35" s="2" t="n">
        <v>1</v>
      </c>
      <c r="M35" s="2" t="n">
        <f aca="false">IF(J35&lt;=Assumptions!$B$13,0,IF(J35&lt;Assumptions!$B$14,25,IF(J35&lt;Assumptions!$B$15,50,IF(J35&lt;Assumptions!$B$16,75,100))))</f>
        <v>100</v>
      </c>
      <c r="N35" s="2" t="n">
        <f aca="false">IF(K35&gt;Assumptions!$B$19,0,IF(K35&gt;=Assumptions!$B$20,25,IF(K35&gt;=Assumptions!$B$21,50,IF(K35&gt;=Assumptions!$B$22,75,100))))</f>
        <v>75</v>
      </c>
      <c r="O35" s="2" t="n">
        <f aca="false">IF(L35&gt;=Assumptions!$B$25,0,IF(L35&gt;=Assumptions!$B$26,25,IF(L35=Assumptions!$B$27,50,IF(L35=Assumptions!$B$28,75,100))))</f>
        <v>75</v>
      </c>
      <c r="P35" s="21" t="n">
        <f aca="false">M35*Assumptions!$B$4+N35*Assumptions!$B$5+O35*Assumptions!$B$6</f>
        <v>87.5</v>
      </c>
      <c r="Q35" s="21" t="n">
        <f aca="false">IF(J35&lt;=Assumptions!$B$8,0,P35)</f>
        <v>87.5</v>
      </c>
      <c r="R35" s="2" t="str">
        <f aca="false">IF(Q35&gt;=Assumptions!$B$9,"High",IF(Q35&gt;=Assumptions!$B$10,"Medium","Low"))</f>
        <v>High</v>
      </c>
      <c r="S35" s="21" t="n">
        <f aca="false">(N35*Assumptions!$B$5+O35*Assumptions!$B$6)/(Assumptions!$B$5+Assumptions!$B$6)</f>
        <v>75</v>
      </c>
      <c r="T35" s="2" t="str">
        <f aca="false">IF(AND(J35&gt;Assumptions!$B$8,G35&lt;=Assumptions!$B$30),"Low confidence","")</f>
        <v/>
      </c>
      <c r="U35" s="2" t="n">
        <f aca="false">(J35&gt;40)+(F35&gt;2000)+(K35&lt;10)+(L35=0)</f>
        <v>3</v>
      </c>
      <c r="V35" s="21" t="n">
        <f aca="false">IF(J35&lt;20,0,IF(J35&lt;40,25,M35))*Assumptions!$B$4+N35*Assumptions!$B$5+O35*Assumptions!$B$6</f>
        <v>87.5</v>
      </c>
      <c r="W35" s="2" t="str">
        <f aca="false">IF(V35&gt;=70,"High",IF(V35&gt;=40,"Medium","Low"))</f>
        <v>High</v>
      </c>
    </row>
    <row r="36" customFormat="false" ht="15" hidden="false" customHeight="false" outlineLevel="0" collapsed="false">
      <c r="A36" s="2" t="s">
        <v>235</v>
      </c>
      <c r="B36" s="2" t="s">
        <v>1571</v>
      </c>
      <c r="C36" s="2" t="s">
        <v>1640</v>
      </c>
      <c r="D36" s="2" t="s">
        <v>1572</v>
      </c>
      <c r="E36" s="2" t="n">
        <v>19</v>
      </c>
      <c r="F36" s="9" t="n">
        <v>3906</v>
      </c>
      <c r="G36" s="2" t="n">
        <v>5</v>
      </c>
      <c r="H36" s="2" t="n">
        <v>3</v>
      </c>
      <c r="I36" s="2" t="n">
        <v>2</v>
      </c>
      <c r="J36" s="2" t="n">
        <v>55</v>
      </c>
      <c r="K36" s="2" t="n">
        <v>6</v>
      </c>
      <c r="L36" s="2" t="n">
        <v>0</v>
      </c>
      <c r="M36" s="2" t="n">
        <f aca="false">IF(J36&lt;=Assumptions!$B$13,0,IF(J36&lt;Assumptions!$B$14,25,IF(J36&lt;Assumptions!$B$15,50,IF(J36&lt;Assumptions!$B$16,75,100))))</f>
        <v>50</v>
      </c>
      <c r="N36" s="2" t="n">
        <f aca="false">IF(K36&gt;Assumptions!$B$19,0,IF(K36&gt;=Assumptions!$B$20,25,IF(K36&gt;=Assumptions!$B$21,50,IF(K36&gt;=Assumptions!$B$22,75,100))))</f>
        <v>75</v>
      </c>
      <c r="O36" s="2" t="n">
        <f aca="false">IF(L36&gt;=Assumptions!$B$25,0,IF(L36&gt;=Assumptions!$B$26,25,IF(L36=Assumptions!$B$27,50,IF(L36=Assumptions!$B$28,75,100))))</f>
        <v>100</v>
      </c>
      <c r="P36" s="21" t="n">
        <f aca="false">M36*Assumptions!$B$4+N36*Assumptions!$B$5+O36*Assumptions!$B$6</f>
        <v>67.5</v>
      </c>
      <c r="Q36" s="21" t="n">
        <f aca="false">IF(J36&lt;=Assumptions!$B$8,0,P36)</f>
        <v>67.5</v>
      </c>
      <c r="R36" s="2" t="str">
        <f aca="false">IF(Q36&gt;=Assumptions!$B$9,"High",IF(Q36&gt;=Assumptions!$B$10,"Medium","Low"))</f>
        <v>Medium</v>
      </c>
      <c r="S36" s="21" t="n">
        <f aca="false">(N36*Assumptions!$B$5+O36*Assumptions!$B$6)/(Assumptions!$B$5+Assumptions!$B$6)</f>
        <v>85</v>
      </c>
      <c r="T36" s="2" t="str">
        <f aca="false">IF(AND(J36&gt;Assumptions!$B$8,G36&lt;=Assumptions!$B$30),"Low confidence","")</f>
        <v/>
      </c>
      <c r="U36" s="2" t="n">
        <f aca="false">(J36&gt;40)+(F36&gt;2000)+(K36&lt;10)+(L36=0)</f>
        <v>4</v>
      </c>
      <c r="V36" s="21" t="n">
        <f aca="false">IF(J36&lt;20,0,IF(J36&lt;40,25,M36))*Assumptions!$B$4+N36*Assumptions!$B$5+O36*Assumptions!$B$6</f>
        <v>67.5</v>
      </c>
      <c r="W36" s="2" t="str">
        <f aca="false">IF(V36&gt;=70,"High",IF(V36&gt;=40,"Medium","Low"))</f>
        <v>Medium</v>
      </c>
    </row>
    <row r="37" customFormat="false" ht="15" hidden="false" customHeight="false" outlineLevel="0" collapsed="false">
      <c r="A37" s="2" t="s">
        <v>422</v>
      </c>
      <c r="B37" s="2" t="s">
        <v>1571</v>
      </c>
      <c r="C37" s="2" t="s">
        <v>1641</v>
      </c>
      <c r="D37" s="2" t="s">
        <v>1572</v>
      </c>
      <c r="E37" s="2" t="n">
        <v>13</v>
      </c>
      <c r="F37" s="9" t="n">
        <v>3879</v>
      </c>
      <c r="G37" s="2" t="n">
        <v>37</v>
      </c>
      <c r="H37" s="2" t="n">
        <v>28</v>
      </c>
      <c r="I37" s="2" t="n">
        <v>9</v>
      </c>
      <c r="J37" s="2" t="n">
        <v>76</v>
      </c>
      <c r="K37" s="2" t="n">
        <v>6</v>
      </c>
      <c r="L37" s="2" t="n">
        <v>1</v>
      </c>
      <c r="M37" s="2" t="n">
        <f aca="false">IF(J37&lt;=Assumptions!$B$13,0,IF(J37&lt;Assumptions!$B$14,25,IF(J37&lt;Assumptions!$B$15,50,IF(J37&lt;Assumptions!$B$16,75,100))))</f>
        <v>75</v>
      </c>
      <c r="N37" s="2" t="n">
        <f aca="false">IF(K37&gt;Assumptions!$B$19,0,IF(K37&gt;=Assumptions!$B$20,25,IF(K37&gt;=Assumptions!$B$21,50,IF(K37&gt;=Assumptions!$B$22,75,100))))</f>
        <v>75</v>
      </c>
      <c r="O37" s="2" t="n">
        <f aca="false">IF(L37&gt;=Assumptions!$B$25,0,IF(L37&gt;=Assumptions!$B$26,25,IF(L37=Assumptions!$B$27,50,IF(L37=Assumptions!$B$28,75,100))))</f>
        <v>75</v>
      </c>
      <c r="P37" s="21" t="n">
        <f aca="false">M37*Assumptions!$B$4+N37*Assumptions!$B$5+O37*Assumptions!$B$6</f>
        <v>75</v>
      </c>
      <c r="Q37" s="21" t="n">
        <f aca="false">IF(J37&lt;=Assumptions!$B$8,0,P37)</f>
        <v>75</v>
      </c>
      <c r="R37" s="2" t="str">
        <f aca="false">IF(Q37&gt;=Assumptions!$B$9,"High",IF(Q37&gt;=Assumptions!$B$10,"Medium","Low"))</f>
        <v>High</v>
      </c>
      <c r="S37" s="21" t="n">
        <f aca="false">(N37*Assumptions!$B$5+O37*Assumptions!$B$6)/(Assumptions!$B$5+Assumptions!$B$6)</f>
        <v>75</v>
      </c>
      <c r="T37" s="2" t="str">
        <f aca="false">IF(AND(J37&gt;Assumptions!$B$8,G37&lt;=Assumptions!$B$30),"Low confidence","")</f>
        <v/>
      </c>
      <c r="U37" s="2" t="n">
        <f aca="false">(J37&gt;40)+(F37&gt;2000)+(K37&lt;10)+(L37=0)</f>
        <v>3</v>
      </c>
      <c r="V37" s="21" t="n">
        <f aca="false">IF(J37&lt;20,0,IF(J37&lt;40,25,M37))*Assumptions!$B$4+N37*Assumptions!$B$5+O37*Assumptions!$B$6</f>
        <v>75</v>
      </c>
      <c r="W37" s="2" t="str">
        <f aca="false">IF(V37&gt;=70,"High",IF(V37&gt;=40,"Medium","Low"))</f>
        <v>High</v>
      </c>
    </row>
    <row r="38" customFormat="false" ht="15" hidden="false" customHeight="false" outlineLevel="0" collapsed="false">
      <c r="A38" s="2" t="s">
        <v>239</v>
      </c>
      <c r="B38" s="2" t="s">
        <v>1571</v>
      </c>
      <c r="C38" s="2" t="s">
        <v>1640</v>
      </c>
      <c r="D38" s="2" t="s">
        <v>1572</v>
      </c>
      <c r="E38" s="2" t="n">
        <v>11</v>
      </c>
      <c r="F38" s="9" t="n">
        <v>3863</v>
      </c>
      <c r="G38" s="2" t="n">
        <v>7</v>
      </c>
      <c r="H38" s="2" t="n">
        <v>6</v>
      </c>
      <c r="I38" s="2" t="n">
        <v>1</v>
      </c>
      <c r="J38" s="2" t="n">
        <v>84</v>
      </c>
      <c r="K38" s="2" t="n">
        <v>2</v>
      </c>
      <c r="L38" s="2" t="n">
        <v>1</v>
      </c>
      <c r="M38" s="2" t="n">
        <f aca="false">IF(J38&lt;=Assumptions!$B$13,0,IF(J38&lt;Assumptions!$B$14,25,IF(J38&lt;Assumptions!$B$15,50,IF(J38&lt;Assumptions!$B$16,75,100))))</f>
        <v>100</v>
      </c>
      <c r="N38" s="2" t="n">
        <f aca="false">IF(K38&gt;Assumptions!$B$19,0,IF(K38&gt;=Assumptions!$B$20,25,IF(K38&gt;=Assumptions!$B$21,50,IF(K38&gt;=Assumptions!$B$22,75,100))))</f>
        <v>100</v>
      </c>
      <c r="O38" s="2" t="n">
        <f aca="false">IF(L38&gt;=Assumptions!$B$25,0,IF(L38&gt;=Assumptions!$B$26,25,IF(L38=Assumptions!$B$27,50,IF(L38=Assumptions!$B$28,75,100))))</f>
        <v>75</v>
      </c>
      <c r="P38" s="21" t="n">
        <f aca="false">M38*Assumptions!$B$4+N38*Assumptions!$B$5+O38*Assumptions!$B$6</f>
        <v>95</v>
      </c>
      <c r="Q38" s="21" t="n">
        <f aca="false">IF(J38&lt;=Assumptions!$B$8,0,P38)</f>
        <v>95</v>
      </c>
      <c r="R38" s="2" t="str">
        <f aca="false">IF(Q38&gt;=Assumptions!$B$9,"High",IF(Q38&gt;=Assumptions!$B$10,"Medium","Low"))</f>
        <v>High</v>
      </c>
      <c r="S38" s="21" t="n">
        <f aca="false">(N38*Assumptions!$B$5+O38*Assumptions!$B$6)/(Assumptions!$B$5+Assumptions!$B$6)</f>
        <v>90</v>
      </c>
      <c r="T38" s="2" t="str">
        <f aca="false">IF(AND(J38&gt;Assumptions!$B$8,G38&lt;=Assumptions!$B$30),"Low confidence","")</f>
        <v/>
      </c>
      <c r="U38" s="2" t="n">
        <f aca="false">(J38&gt;40)+(F38&gt;2000)+(K38&lt;10)+(L38=0)</f>
        <v>3</v>
      </c>
      <c r="V38" s="21" t="n">
        <f aca="false">IF(J38&lt;20,0,IF(J38&lt;40,25,M38))*Assumptions!$B$4+N38*Assumptions!$B$5+O38*Assumptions!$B$6</f>
        <v>95</v>
      </c>
      <c r="W38" s="2" t="str">
        <f aca="false">IF(V38&gt;=70,"High",IF(V38&gt;=40,"Medium","Low"))</f>
        <v>High</v>
      </c>
    </row>
    <row r="39" customFormat="false" ht="15" hidden="false" customHeight="false" outlineLevel="0" collapsed="false">
      <c r="A39" s="2" t="s">
        <v>242</v>
      </c>
      <c r="B39" s="2" t="s">
        <v>1571</v>
      </c>
      <c r="C39" s="2" t="s">
        <v>1641</v>
      </c>
      <c r="D39" s="2" t="s">
        <v>1572</v>
      </c>
      <c r="E39" s="2" t="n">
        <v>32</v>
      </c>
      <c r="F39" s="9" t="n">
        <v>3702</v>
      </c>
      <c r="G39" s="2" t="n">
        <v>2</v>
      </c>
      <c r="H39" s="2" t="n">
        <v>0</v>
      </c>
      <c r="I39" s="2" t="n">
        <v>2</v>
      </c>
      <c r="J39" s="2" t="n">
        <v>4</v>
      </c>
      <c r="K39" s="2" t="n">
        <v>16</v>
      </c>
      <c r="L39" s="2" t="n">
        <v>2</v>
      </c>
      <c r="M39" s="2" t="n">
        <f aca="false">IF(J39&lt;=Assumptions!$B$13,0,IF(J39&lt;Assumptions!$B$14,25,IF(J39&lt;Assumptions!$B$15,50,IF(J39&lt;Assumptions!$B$16,75,100))))</f>
        <v>0</v>
      </c>
      <c r="N39" s="2" t="n">
        <f aca="false">IF(K39&gt;Assumptions!$B$19,0,IF(K39&gt;=Assumptions!$B$20,25,IF(K39&gt;=Assumptions!$B$21,50,IF(K39&gt;=Assumptions!$B$22,75,100))))</f>
        <v>50</v>
      </c>
      <c r="O39" s="2" t="n">
        <f aca="false">IF(L39&gt;=Assumptions!$B$25,0,IF(L39&gt;=Assumptions!$B$26,25,IF(L39=Assumptions!$B$27,50,IF(L39=Assumptions!$B$28,75,100))))</f>
        <v>50</v>
      </c>
      <c r="P39" s="21" t="n">
        <f aca="false">M39*Assumptions!$B$4+N39*Assumptions!$B$5+O39*Assumptions!$B$6</f>
        <v>25</v>
      </c>
      <c r="Q39" s="21" t="n">
        <f aca="false">IF(J39&lt;=Assumptions!$B$8,0,P39)</f>
        <v>0</v>
      </c>
      <c r="R39" s="2" t="str">
        <f aca="false">IF(Q39&gt;=Assumptions!$B$9,"High",IF(Q39&gt;=Assumptions!$B$10,"Medium","Low"))</f>
        <v>Low</v>
      </c>
      <c r="S39" s="21" t="n">
        <f aca="false">(N39*Assumptions!$B$5+O39*Assumptions!$B$6)/(Assumptions!$B$5+Assumptions!$B$6)</f>
        <v>50</v>
      </c>
      <c r="T39" s="2" t="str">
        <f aca="false">IF(AND(J39&gt;Assumptions!$B$8,G39&lt;=Assumptions!$B$30),"Low confidence","")</f>
        <v/>
      </c>
      <c r="U39" s="2" t="n">
        <f aca="false">(J39&gt;40)+(F39&gt;2000)+(K39&lt;10)+(L39=0)</f>
        <v>1</v>
      </c>
      <c r="V39" s="21" t="n">
        <f aca="false">IF(J39&lt;20,0,IF(J39&lt;40,25,M39))*Assumptions!$B$4+N39*Assumptions!$B$5+O39*Assumptions!$B$6</f>
        <v>25</v>
      </c>
      <c r="W39" s="2" t="str">
        <f aca="false">IF(V39&gt;=70,"High",IF(V39&gt;=40,"Medium","Low"))</f>
        <v>Low</v>
      </c>
    </row>
    <row r="40" customFormat="false" ht="15" hidden="false" customHeight="false" outlineLevel="0" collapsed="false">
      <c r="A40" s="2" t="s">
        <v>462</v>
      </c>
      <c r="B40" s="2" t="s">
        <v>1571</v>
      </c>
      <c r="C40" s="2" t="s">
        <v>1640</v>
      </c>
      <c r="D40" s="2" t="s">
        <v>1572</v>
      </c>
      <c r="E40" s="2" t="n">
        <v>22</v>
      </c>
      <c r="F40" s="9" t="n">
        <v>3626</v>
      </c>
      <c r="G40" s="2" t="n">
        <v>4</v>
      </c>
      <c r="H40" s="2" t="n">
        <v>3</v>
      </c>
      <c r="I40" s="2" t="n">
        <v>1</v>
      </c>
      <c r="J40" s="2" t="n">
        <v>70</v>
      </c>
      <c r="K40" s="2" t="n">
        <v>5</v>
      </c>
      <c r="L40" s="2" t="n">
        <v>1</v>
      </c>
      <c r="M40" s="2" t="n">
        <f aca="false">IF(J40&lt;=Assumptions!$B$13,0,IF(J40&lt;Assumptions!$B$14,25,IF(J40&lt;Assumptions!$B$15,50,IF(J40&lt;Assumptions!$B$16,75,100))))</f>
        <v>75</v>
      </c>
      <c r="N40" s="2" t="n">
        <f aca="false">IF(K40&gt;Assumptions!$B$19,0,IF(K40&gt;=Assumptions!$B$20,25,IF(K40&gt;=Assumptions!$B$21,50,IF(K40&gt;=Assumptions!$B$22,75,100))))</f>
        <v>75</v>
      </c>
      <c r="O40" s="2" t="n">
        <f aca="false">IF(L40&gt;=Assumptions!$B$25,0,IF(L40&gt;=Assumptions!$B$26,25,IF(L40=Assumptions!$B$27,50,IF(L40=Assumptions!$B$28,75,100))))</f>
        <v>75</v>
      </c>
      <c r="P40" s="21" t="n">
        <f aca="false">M40*Assumptions!$B$4+N40*Assumptions!$B$5+O40*Assumptions!$B$6</f>
        <v>75</v>
      </c>
      <c r="Q40" s="21" t="n">
        <f aca="false">IF(J40&lt;=Assumptions!$B$8,0,P40)</f>
        <v>75</v>
      </c>
      <c r="R40" s="2" t="str">
        <f aca="false">IF(Q40&gt;=Assumptions!$B$9,"High",IF(Q40&gt;=Assumptions!$B$10,"Medium","Low"))</f>
        <v>High</v>
      </c>
      <c r="S40" s="21" t="n">
        <f aca="false">(N40*Assumptions!$B$5+O40*Assumptions!$B$6)/(Assumptions!$B$5+Assumptions!$B$6)</f>
        <v>75</v>
      </c>
      <c r="T40" s="2" t="str">
        <f aca="false">IF(AND(J40&gt;Assumptions!$B$8,G40&lt;=Assumptions!$B$30),"Low confidence","")</f>
        <v/>
      </c>
      <c r="U40" s="2" t="n">
        <f aca="false">(J40&gt;40)+(F40&gt;2000)+(K40&lt;10)+(L40=0)</f>
        <v>3</v>
      </c>
      <c r="V40" s="21" t="n">
        <f aca="false">IF(J40&lt;20,0,IF(J40&lt;40,25,M40))*Assumptions!$B$4+N40*Assumptions!$B$5+O40*Assumptions!$B$6</f>
        <v>75</v>
      </c>
      <c r="W40" s="2" t="str">
        <f aca="false">IF(V40&gt;=70,"High",IF(V40&gt;=40,"Medium","Low"))</f>
        <v>High</v>
      </c>
    </row>
    <row r="41" customFormat="false" ht="15" hidden="false" customHeight="false" outlineLevel="0" collapsed="false">
      <c r="A41" s="2" t="s">
        <v>245</v>
      </c>
      <c r="B41" s="2" t="s">
        <v>1571</v>
      </c>
      <c r="C41" s="2" t="s">
        <v>1640</v>
      </c>
      <c r="D41" s="2" t="s">
        <v>1572</v>
      </c>
      <c r="E41" s="2" t="n">
        <v>12</v>
      </c>
      <c r="F41" s="9" t="n">
        <v>3579</v>
      </c>
      <c r="G41" s="2" t="n">
        <v>6</v>
      </c>
      <c r="H41" s="2" t="n">
        <v>4</v>
      </c>
      <c r="I41" s="2" t="n">
        <v>2</v>
      </c>
      <c r="J41" s="2" t="n">
        <v>72</v>
      </c>
      <c r="K41" s="2" t="n">
        <v>6</v>
      </c>
      <c r="L41" s="2" t="n">
        <v>1</v>
      </c>
      <c r="M41" s="2" t="n">
        <f aca="false">IF(J41&lt;=Assumptions!$B$13,0,IF(J41&lt;Assumptions!$B$14,25,IF(J41&lt;Assumptions!$B$15,50,IF(J41&lt;Assumptions!$B$16,75,100))))</f>
        <v>75</v>
      </c>
      <c r="N41" s="2" t="n">
        <f aca="false">IF(K41&gt;Assumptions!$B$19,0,IF(K41&gt;=Assumptions!$B$20,25,IF(K41&gt;=Assumptions!$B$21,50,IF(K41&gt;=Assumptions!$B$22,75,100))))</f>
        <v>75</v>
      </c>
      <c r="O41" s="2" t="n">
        <f aca="false">IF(L41&gt;=Assumptions!$B$25,0,IF(L41&gt;=Assumptions!$B$26,25,IF(L41=Assumptions!$B$27,50,IF(L41=Assumptions!$B$28,75,100))))</f>
        <v>75</v>
      </c>
      <c r="P41" s="21" t="n">
        <f aca="false">M41*Assumptions!$B$4+N41*Assumptions!$B$5+O41*Assumptions!$B$6</f>
        <v>75</v>
      </c>
      <c r="Q41" s="21" t="n">
        <f aca="false">IF(J41&lt;=Assumptions!$B$8,0,P41)</f>
        <v>75</v>
      </c>
      <c r="R41" s="2" t="str">
        <f aca="false">IF(Q41&gt;=Assumptions!$B$9,"High",IF(Q41&gt;=Assumptions!$B$10,"Medium","Low"))</f>
        <v>High</v>
      </c>
      <c r="S41" s="21" t="n">
        <f aca="false">(N41*Assumptions!$B$5+O41*Assumptions!$B$6)/(Assumptions!$B$5+Assumptions!$B$6)</f>
        <v>75</v>
      </c>
      <c r="T41" s="2" t="str">
        <f aca="false">IF(AND(J41&gt;Assumptions!$B$8,G41&lt;=Assumptions!$B$30),"Low confidence","")</f>
        <v/>
      </c>
      <c r="U41" s="2" t="n">
        <f aca="false">(J41&gt;40)+(F41&gt;2000)+(K41&lt;10)+(L41=0)</f>
        <v>3</v>
      </c>
      <c r="V41" s="21" t="n">
        <f aca="false">IF(J41&lt;20,0,IF(J41&lt;40,25,M41))*Assumptions!$B$4+N41*Assumptions!$B$5+O41*Assumptions!$B$6</f>
        <v>75</v>
      </c>
      <c r="W41" s="2" t="str">
        <f aca="false">IF(V41&gt;=70,"High",IF(V41&gt;=40,"Medium","Low"))</f>
        <v>High</v>
      </c>
    </row>
    <row r="42" customFormat="false" ht="15" hidden="false" customHeight="false" outlineLevel="0" collapsed="false">
      <c r="A42" s="2" t="s">
        <v>248</v>
      </c>
      <c r="B42" s="2" t="s">
        <v>1571</v>
      </c>
      <c r="C42" s="2" t="s">
        <v>1640</v>
      </c>
      <c r="D42" s="2" t="s">
        <v>1572</v>
      </c>
      <c r="E42" s="2" t="n">
        <v>28</v>
      </c>
      <c r="F42" s="9" t="n">
        <v>3549</v>
      </c>
      <c r="G42" s="2" t="n">
        <v>7</v>
      </c>
      <c r="H42" s="2" t="n">
        <v>4</v>
      </c>
      <c r="I42" s="2" t="n">
        <v>3</v>
      </c>
      <c r="J42" s="2" t="n">
        <v>61</v>
      </c>
      <c r="K42" s="2" t="n">
        <v>6</v>
      </c>
      <c r="L42" s="2" t="n">
        <v>0</v>
      </c>
      <c r="M42" s="2" t="n">
        <f aca="false">IF(J42&lt;=Assumptions!$B$13,0,IF(J42&lt;Assumptions!$B$14,25,IF(J42&lt;Assumptions!$B$15,50,IF(J42&lt;Assumptions!$B$16,75,100))))</f>
        <v>75</v>
      </c>
      <c r="N42" s="2" t="n">
        <f aca="false">IF(K42&gt;Assumptions!$B$19,0,IF(K42&gt;=Assumptions!$B$20,25,IF(K42&gt;=Assumptions!$B$21,50,IF(K42&gt;=Assumptions!$B$22,75,100))))</f>
        <v>75</v>
      </c>
      <c r="O42" s="2" t="n">
        <f aca="false">IF(L42&gt;=Assumptions!$B$25,0,IF(L42&gt;=Assumptions!$B$26,25,IF(L42=Assumptions!$B$27,50,IF(L42=Assumptions!$B$28,75,100))))</f>
        <v>100</v>
      </c>
      <c r="P42" s="21" t="n">
        <f aca="false">M42*Assumptions!$B$4+N42*Assumptions!$B$5+O42*Assumptions!$B$6</f>
        <v>80</v>
      </c>
      <c r="Q42" s="21" t="n">
        <f aca="false">IF(J42&lt;=Assumptions!$B$8,0,P42)</f>
        <v>80</v>
      </c>
      <c r="R42" s="2" t="str">
        <f aca="false">IF(Q42&gt;=Assumptions!$B$9,"High",IF(Q42&gt;=Assumptions!$B$10,"Medium","Low"))</f>
        <v>High</v>
      </c>
      <c r="S42" s="21" t="n">
        <f aca="false">(N42*Assumptions!$B$5+O42*Assumptions!$B$6)/(Assumptions!$B$5+Assumptions!$B$6)</f>
        <v>85</v>
      </c>
      <c r="T42" s="2" t="str">
        <f aca="false">IF(AND(J42&gt;Assumptions!$B$8,G42&lt;=Assumptions!$B$30),"Low confidence","")</f>
        <v/>
      </c>
      <c r="U42" s="2" t="n">
        <f aca="false">(J42&gt;40)+(F42&gt;2000)+(K42&lt;10)+(L42=0)</f>
        <v>4</v>
      </c>
      <c r="V42" s="21" t="n">
        <f aca="false">IF(J42&lt;20,0,IF(J42&lt;40,25,M42))*Assumptions!$B$4+N42*Assumptions!$B$5+O42*Assumptions!$B$6</f>
        <v>80</v>
      </c>
      <c r="W42" s="2" t="str">
        <f aca="false">IF(V42&gt;=70,"High",IF(V42&gt;=40,"Medium","Low"))</f>
        <v>High</v>
      </c>
    </row>
    <row r="43" customFormat="false" ht="15" hidden="false" customHeight="false" outlineLevel="0" collapsed="false">
      <c r="A43" s="2" t="s">
        <v>260</v>
      </c>
      <c r="B43" s="2" t="s">
        <v>1571</v>
      </c>
      <c r="C43" s="2" t="s">
        <v>1640</v>
      </c>
      <c r="D43" s="2" t="s">
        <v>1572</v>
      </c>
      <c r="E43" s="2" t="n">
        <v>34</v>
      </c>
      <c r="F43" s="9" t="n">
        <v>3478</v>
      </c>
      <c r="G43" s="2" t="n">
        <v>1</v>
      </c>
      <c r="H43" s="2" t="n">
        <v>0</v>
      </c>
      <c r="I43" s="2" t="n">
        <v>1</v>
      </c>
      <c r="J43" s="2" t="n">
        <v>6</v>
      </c>
      <c r="K43" s="2" t="n">
        <v>1</v>
      </c>
      <c r="L43" s="2" t="n">
        <v>0</v>
      </c>
      <c r="M43" s="2" t="n">
        <f aca="false">IF(J43&lt;=Assumptions!$B$13,0,IF(J43&lt;Assumptions!$B$14,25,IF(J43&lt;Assumptions!$B$15,50,IF(J43&lt;Assumptions!$B$16,75,100))))</f>
        <v>0</v>
      </c>
      <c r="N43" s="2" t="n">
        <f aca="false">IF(K43&gt;Assumptions!$B$19,0,IF(K43&gt;=Assumptions!$B$20,25,IF(K43&gt;=Assumptions!$B$21,50,IF(K43&gt;=Assumptions!$B$22,75,100))))</f>
        <v>100</v>
      </c>
      <c r="O43" s="2" t="n">
        <f aca="false">IF(L43&gt;=Assumptions!$B$25,0,IF(L43&gt;=Assumptions!$B$26,25,IF(L43=Assumptions!$B$27,50,IF(L43=Assumptions!$B$28,75,100))))</f>
        <v>100</v>
      </c>
      <c r="P43" s="21" t="n">
        <f aca="false">M43*Assumptions!$B$4+N43*Assumptions!$B$5+O43*Assumptions!$B$6</f>
        <v>50</v>
      </c>
      <c r="Q43" s="21" t="n">
        <f aca="false">IF(J43&lt;=Assumptions!$B$8,0,P43)</f>
        <v>0</v>
      </c>
      <c r="R43" s="2" t="str">
        <f aca="false">IF(Q43&gt;=Assumptions!$B$9,"High",IF(Q43&gt;=Assumptions!$B$10,"Medium","Low"))</f>
        <v>Low</v>
      </c>
      <c r="S43" s="21" t="n">
        <f aca="false">(N43*Assumptions!$B$5+O43*Assumptions!$B$6)/(Assumptions!$B$5+Assumptions!$B$6)</f>
        <v>100</v>
      </c>
      <c r="T43" s="2" t="str">
        <f aca="false">IF(AND(J43&gt;Assumptions!$B$8,G43&lt;=Assumptions!$B$30),"Low confidence","")</f>
        <v/>
      </c>
      <c r="U43" s="2" t="n">
        <f aca="false">(J43&gt;40)+(F43&gt;2000)+(K43&lt;10)+(L43=0)</f>
        <v>3</v>
      </c>
      <c r="V43" s="21" t="n">
        <f aca="false">IF(J43&lt;20,0,IF(J43&lt;40,25,M43))*Assumptions!$B$4+N43*Assumptions!$B$5+O43*Assumptions!$B$6</f>
        <v>50</v>
      </c>
      <c r="W43" s="2" t="str">
        <f aca="false">IF(V43&gt;=70,"High",IF(V43&gt;=40,"Medium","Low"))</f>
        <v>Medium</v>
      </c>
    </row>
    <row r="44" customFormat="false" ht="15" hidden="false" customHeight="false" outlineLevel="0" collapsed="false">
      <c r="A44" s="2" t="s">
        <v>263</v>
      </c>
      <c r="B44" s="2" t="s">
        <v>1571</v>
      </c>
      <c r="C44" s="2" t="s">
        <v>1640</v>
      </c>
      <c r="D44" s="2" t="s">
        <v>1572</v>
      </c>
      <c r="E44" s="2" t="n">
        <v>20</v>
      </c>
      <c r="F44" s="9" t="n">
        <v>3434</v>
      </c>
      <c r="G44" s="2" t="n">
        <v>5</v>
      </c>
      <c r="H44" s="2" t="n">
        <v>3</v>
      </c>
      <c r="I44" s="2" t="n">
        <v>2</v>
      </c>
      <c r="J44" s="2" t="n">
        <v>64</v>
      </c>
      <c r="K44" s="2" t="n">
        <v>5</v>
      </c>
      <c r="L44" s="2" t="n">
        <v>1</v>
      </c>
      <c r="M44" s="2" t="n">
        <f aca="false">IF(J44&lt;=Assumptions!$B$13,0,IF(J44&lt;Assumptions!$B$14,25,IF(J44&lt;Assumptions!$B$15,50,IF(J44&lt;Assumptions!$B$16,75,100))))</f>
        <v>75</v>
      </c>
      <c r="N44" s="2" t="n">
        <f aca="false">IF(K44&gt;Assumptions!$B$19,0,IF(K44&gt;=Assumptions!$B$20,25,IF(K44&gt;=Assumptions!$B$21,50,IF(K44&gt;=Assumptions!$B$22,75,100))))</f>
        <v>75</v>
      </c>
      <c r="O44" s="2" t="n">
        <f aca="false">IF(L44&gt;=Assumptions!$B$25,0,IF(L44&gt;=Assumptions!$B$26,25,IF(L44=Assumptions!$B$27,50,IF(L44=Assumptions!$B$28,75,100))))</f>
        <v>75</v>
      </c>
      <c r="P44" s="21" t="n">
        <f aca="false">M44*Assumptions!$B$4+N44*Assumptions!$B$5+O44*Assumptions!$B$6</f>
        <v>75</v>
      </c>
      <c r="Q44" s="21" t="n">
        <f aca="false">IF(J44&lt;=Assumptions!$B$8,0,P44)</f>
        <v>75</v>
      </c>
      <c r="R44" s="2" t="str">
        <f aca="false">IF(Q44&gt;=Assumptions!$B$9,"High",IF(Q44&gt;=Assumptions!$B$10,"Medium","Low"))</f>
        <v>High</v>
      </c>
      <c r="S44" s="21" t="n">
        <f aca="false">(N44*Assumptions!$B$5+O44*Assumptions!$B$6)/(Assumptions!$B$5+Assumptions!$B$6)</f>
        <v>75</v>
      </c>
      <c r="T44" s="2" t="str">
        <f aca="false">IF(AND(J44&gt;Assumptions!$B$8,G44&lt;=Assumptions!$B$30),"Low confidence","")</f>
        <v/>
      </c>
      <c r="U44" s="2" t="n">
        <f aca="false">(J44&gt;40)+(F44&gt;2000)+(K44&lt;10)+(L44=0)</f>
        <v>3</v>
      </c>
      <c r="V44" s="21" t="n">
        <f aca="false">IF(J44&lt;20,0,IF(J44&lt;40,25,M44))*Assumptions!$B$4+N44*Assumptions!$B$5+O44*Assumptions!$B$6</f>
        <v>75</v>
      </c>
      <c r="W44" s="2" t="str">
        <f aca="false">IF(V44&gt;=70,"High",IF(V44&gt;=40,"Medium","Low"))</f>
        <v>High</v>
      </c>
    </row>
    <row r="45" customFormat="false" ht="15" hidden="false" customHeight="false" outlineLevel="0" collapsed="false">
      <c r="A45" s="2" t="s">
        <v>266</v>
      </c>
      <c r="B45" s="2" t="s">
        <v>1571</v>
      </c>
      <c r="C45" s="2" t="s">
        <v>1641</v>
      </c>
      <c r="D45" s="2" t="s">
        <v>1572</v>
      </c>
      <c r="E45" s="2" t="n">
        <v>8</v>
      </c>
      <c r="F45" s="9" t="n">
        <v>3383</v>
      </c>
      <c r="G45" s="2" t="n">
        <v>3</v>
      </c>
      <c r="H45" s="2" t="n">
        <v>2</v>
      </c>
      <c r="I45" s="2" t="n">
        <v>1</v>
      </c>
      <c r="J45" s="2" t="n">
        <v>66</v>
      </c>
      <c r="K45" s="2" t="n">
        <v>0</v>
      </c>
      <c r="L45" s="2" t="n">
        <v>1</v>
      </c>
      <c r="M45" s="2" t="n">
        <f aca="false">IF(J45&lt;=Assumptions!$B$13,0,IF(J45&lt;Assumptions!$B$14,25,IF(J45&lt;Assumptions!$B$15,50,IF(J45&lt;Assumptions!$B$16,75,100))))</f>
        <v>75</v>
      </c>
      <c r="N45" s="2" t="n">
        <f aca="false">IF(K45&gt;Assumptions!$B$19,0,IF(K45&gt;=Assumptions!$B$20,25,IF(K45&gt;=Assumptions!$B$21,50,IF(K45&gt;=Assumptions!$B$22,75,100))))</f>
        <v>100</v>
      </c>
      <c r="O45" s="2" t="n">
        <f aca="false">IF(L45&gt;=Assumptions!$B$25,0,IF(L45&gt;=Assumptions!$B$26,25,IF(L45=Assumptions!$B$27,50,IF(L45=Assumptions!$B$28,75,100))))</f>
        <v>75</v>
      </c>
      <c r="P45" s="21" t="n">
        <f aca="false">M45*Assumptions!$B$4+N45*Assumptions!$B$5+O45*Assumptions!$B$6</f>
        <v>82.5</v>
      </c>
      <c r="Q45" s="21" t="n">
        <f aca="false">IF(J45&lt;=Assumptions!$B$8,0,P45)</f>
        <v>82.5</v>
      </c>
      <c r="R45" s="2" t="str">
        <f aca="false">IF(Q45&gt;=Assumptions!$B$9,"High",IF(Q45&gt;=Assumptions!$B$10,"Medium","Low"))</f>
        <v>High</v>
      </c>
      <c r="S45" s="21" t="n">
        <f aca="false">(N45*Assumptions!$B$5+O45*Assumptions!$B$6)/(Assumptions!$B$5+Assumptions!$B$6)</f>
        <v>90</v>
      </c>
      <c r="T45" s="2" t="str">
        <f aca="false">IF(AND(J45&gt;Assumptions!$B$8,G45&lt;=Assumptions!$B$30),"Low confidence","")</f>
        <v/>
      </c>
      <c r="U45" s="2" t="n">
        <f aca="false">(J45&gt;40)+(F45&gt;2000)+(K45&lt;10)+(L45=0)</f>
        <v>3</v>
      </c>
      <c r="V45" s="21" t="n">
        <f aca="false">IF(J45&lt;20,0,IF(J45&lt;40,25,M45))*Assumptions!$B$4+N45*Assumptions!$B$5+O45*Assumptions!$B$6</f>
        <v>82.5</v>
      </c>
      <c r="W45" s="2" t="str">
        <f aca="false">IF(V45&gt;=70,"High",IF(V45&gt;=40,"Medium","Low"))</f>
        <v>High</v>
      </c>
    </row>
    <row r="46" customFormat="false" ht="15" hidden="false" customHeight="false" outlineLevel="0" collapsed="false">
      <c r="A46" s="2" t="s">
        <v>269</v>
      </c>
      <c r="B46" s="2" t="s">
        <v>1571</v>
      </c>
      <c r="C46" s="2" t="s">
        <v>1640</v>
      </c>
      <c r="D46" s="2" t="s">
        <v>1572</v>
      </c>
      <c r="E46" s="2" t="n">
        <v>7</v>
      </c>
      <c r="F46" s="9" t="n">
        <v>3331</v>
      </c>
      <c r="G46" s="2" t="n">
        <v>18</v>
      </c>
      <c r="H46" s="2" t="n">
        <v>9</v>
      </c>
      <c r="I46" s="2" t="n">
        <v>9</v>
      </c>
      <c r="J46" s="2" t="n">
        <v>52</v>
      </c>
      <c r="K46" s="2" t="n">
        <v>2</v>
      </c>
      <c r="L46" s="2" t="n">
        <v>2</v>
      </c>
      <c r="M46" s="2" t="n">
        <f aca="false">IF(J46&lt;=Assumptions!$B$13,0,IF(J46&lt;Assumptions!$B$14,25,IF(J46&lt;Assumptions!$B$15,50,IF(J46&lt;Assumptions!$B$16,75,100))))</f>
        <v>50</v>
      </c>
      <c r="N46" s="2" t="n">
        <f aca="false">IF(K46&gt;Assumptions!$B$19,0,IF(K46&gt;=Assumptions!$B$20,25,IF(K46&gt;=Assumptions!$B$21,50,IF(K46&gt;=Assumptions!$B$22,75,100))))</f>
        <v>100</v>
      </c>
      <c r="O46" s="2" t="n">
        <f aca="false">IF(L46&gt;=Assumptions!$B$25,0,IF(L46&gt;=Assumptions!$B$26,25,IF(L46=Assumptions!$B$27,50,IF(L46=Assumptions!$B$28,75,100))))</f>
        <v>50</v>
      </c>
      <c r="P46" s="21" t="n">
        <f aca="false">M46*Assumptions!$B$4+N46*Assumptions!$B$5+O46*Assumptions!$B$6</f>
        <v>65</v>
      </c>
      <c r="Q46" s="21" t="n">
        <f aca="false">IF(J46&lt;=Assumptions!$B$8,0,P46)</f>
        <v>65</v>
      </c>
      <c r="R46" s="2" t="str">
        <f aca="false">IF(Q46&gt;=Assumptions!$B$9,"High",IF(Q46&gt;=Assumptions!$B$10,"Medium","Low"))</f>
        <v>Medium</v>
      </c>
      <c r="S46" s="21" t="n">
        <f aca="false">(N46*Assumptions!$B$5+O46*Assumptions!$B$6)/(Assumptions!$B$5+Assumptions!$B$6)</f>
        <v>80</v>
      </c>
      <c r="T46" s="2" t="str">
        <f aca="false">IF(AND(J46&gt;Assumptions!$B$8,G46&lt;=Assumptions!$B$30),"Low confidence","")</f>
        <v/>
      </c>
      <c r="U46" s="2" t="n">
        <f aca="false">(J46&gt;40)+(F46&gt;2000)+(K46&lt;10)+(L46=0)</f>
        <v>3</v>
      </c>
      <c r="V46" s="21" t="n">
        <f aca="false">IF(J46&lt;20,0,IF(J46&lt;40,25,M46))*Assumptions!$B$4+N46*Assumptions!$B$5+O46*Assumptions!$B$6</f>
        <v>65</v>
      </c>
      <c r="W46" s="2" t="str">
        <f aca="false">IF(V46&gt;=70,"High",IF(V46&gt;=40,"Medium","Low"))</f>
        <v>Medium</v>
      </c>
    </row>
    <row r="47" customFormat="false" ht="15" hidden="false" customHeight="false" outlineLevel="0" collapsed="false">
      <c r="A47" s="2" t="s">
        <v>272</v>
      </c>
      <c r="B47" s="2" t="s">
        <v>1571</v>
      </c>
      <c r="C47" s="2" t="s">
        <v>1640</v>
      </c>
      <c r="D47" s="2" t="s">
        <v>1572</v>
      </c>
      <c r="E47" s="2" t="n">
        <v>11</v>
      </c>
      <c r="F47" s="9" t="n">
        <v>3283</v>
      </c>
      <c r="G47" s="2" t="n">
        <v>3</v>
      </c>
      <c r="H47" s="2" t="n">
        <v>2</v>
      </c>
      <c r="I47" s="2" t="n">
        <v>1</v>
      </c>
      <c r="J47" s="2" t="n">
        <v>60</v>
      </c>
      <c r="K47" s="2" t="n">
        <v>1</v>
      </c>
      <c r="L47" s="2" t="n">
        <v>1</v>
      </c>
      <c r="M47" s="2" t="n">
        <f aca="false">IF(J47&lt;=Assumptions!$B$13,0,IF(J47&lt;Assumptions!$B$14,25,IF(J47&lt;Assumptions!$B$15,50,IF(J47&lt;Assumptions!$B$16,75,100))))</f>
        <v>75</v>
      </c>
      <c r="N47" s="2" t="n">
        <f aca="false">IF(K47&gt;Assumptions!$B$19,0,IF(K47&gt;=Assumptions!$B$20,25,IF(K47&gt;=Assumptions!$B$21,50,IF(K47&gt;=Assumptions!$B$22,75,100))))</f>
        <v>100</v>
      </c>
      <c r="O47" s="2" t="n">
        <f aca="false">IF(L47&gt;=Assumptions!$B$25,0,IF(L47&gt;=Assumptions!$B$26,25,IF(L47=Assumptions!$B$27,50,IF(L47=Assumptions!$B$28,75,100))))</f>
        <v>75</v>
      </c>
      <c r="P47" s="21" t="n">
        <f aca="false">M47*Assumptions!$B$4+N47*Assumptions!$B$5+O47*Assumptions!$B$6</f>
        <v>82.5</v>
      </c>
      <c r="Q47" s="21" t="n">
        <f aca="false">IF(J47&lt;=Assumptions!$B$8,0,P47)</f>
        <v>82.5</v>
      </c>
      <c r="R47" s="2" t="str">
        <f aca="false">IF(Q47&gt;=Assumptions!$B$9,"High",IF(Q47&gt;=Assumptions!$B$10,"Medium","Low"))</f>
        <v>High</v>
      </c>
      <c r="S47" s="21" t="n">
        <f aca="false">(N47*Assumptions!$B$5+O47*Assumptions!$B$6)/(Assumptions!$B$5+Assumptions!$B$6)</f>
        <v>90</v>
      </c>
      <c r="T47" s="2" t="str">
        <f aca="false">IF(AND(J47&gt;Assumptions!$B$8,G47&lt;=Assumptions!$B$30),"Low confidence","")</f>
        <v/>
      </c>
      <c r="U47" s="2" t="n">
        <f aca="false">(J47&gt;40)+(F47&gt;2000)+(K47&lt;10)+(L47=0)</f>
        <v>3</v>
      </c>
      <c r="V47" s="21" t="n">
        <f aca="false">IF(J47&lt;20,0,IF(J47&lt;40,25,M47))*Assumptions!$B$4+N47*Assumptions!$B$5+O47*Assumptions!$B$6</f>
        <v>82.5</v>
      </c>
      <c r="W47" s="2" t="str">
        <f aca="false">IF(V47&gt;=70,"High",IF(V47&gt;=40,"Medium","Low"))</f>
        <v>High</v>
      </c>
    </row>
    <row r="48" customFormat="false" ht="15" hidden="false" customHeight="false" outlineLevel="0" collapsed="false">
      <c r="A48" s="2" t="s">
        <v>426</v>
      </c>
      <c r="B48" s="2" t="s">
        <v>1571</v>
      </c>
      <c r="C48" s="2" t="s">
        <v>1640</v>
      </c>
      <c r="D48" s="2" t="s">
        <v>1572</v>
      </c>
      <c r="E48" s="2" t="n">
        <v>10</v>
      </c>
      <c r="F48" s="9" t="n">
        <v>3200</v>
      </c>
      <c r="G48" s="2" t="n">
        <v>6</v>
      </c>
      <c r="H48" s="2" t="n">
        <v>3</v>
      </c>
      <c r="I48" s="2" t="n">
        <v>3</v>
      </c>
      <c r="J48" s="2" t="n">
        <v>53</v>
      </c>
      <c r="K48" s="2" t="n">
        <v>8</v>
      </c>
      <c r="L48" s="2" t="n">
        <v>1</v>
      </c>
      <c r="M48" s="2" t="n">
        <f aca="false">IF(J48&lt;=Assumptions!$B$13,0,IF(J48&lt;Assumptions!$B$14,25,IF(J48&lt;Assumptions!$B$15,50,IF(J48&lt;Assumptions!$B$16,75,100))))</f>
        <v>50</v>
      </c>
      <c r="N48" s="2" t="n">
        <f aca="false">IF(K48&gt;Assumptions!$B$19,0,IF(K48&gt;=Assumptions!$B$20,25,IF(K48&gt;=Assumptions!$B$21,50,IF(K48&gt;=Assumptions!$B$22,75,100))))</f>
        <v>75</v>
      </c>
      <c r="O48" s="2" t="n">
        <f aca="false">IF(L48&gt;=Assumptions!$B$25,0,IF(L48&gt;=Assumptions!$B$26,25,IF(L48=Assumptions!$B$27,50,IF(L48=Assumptions!$B$28,75,100))))</f>
        <v>75</v>
      </c>
      <c r="P48" s="21" t="n">
        <f aca="false">M48*Assumptions!$B$4+N48*Assumptions!$B$5+O48*Assumptions!$B$6</f>
        <v>62.5</v>
      </c>
      <c r="Q48" s="21" t="n">
        <f aca="false">IF(J48&lt;=Assumptions!$B$8,0,P48)</f>
        <v>62.5</v>
      </c>
      <c r="R48" s="2" t="str">
        <f aca="false">IF(Q48&gt;=Assumptions!$B$9,"High",IF(Q48&gt;=Assumptions!$B$10,"Medium","Low"))</f>
        <v>Medium</v>
      </c>
      <c r="S48" s="21" t="n">
        <f aca="false">(N48*Assumptions!$B$5+O48*Assumptions!$B$6)/(Assumptions!$B$5+Assumptions!$B$6)</f>
        <v>75</v>
      </c>
      <c r="T48" s="2" t="str">
        <f aca="false">IF(AND(J48&gt;Assumptions!$B$8,G48&lt;=Assumptions!$B$30),"Low confidence","")</f>
        <v/>
      </c>
      <c r="U48" s="2" t="n">
        <f aca="false">(J48&gt;40)+(F48&gt;2000)+(K48&lt;10)+(L48=0)</f>
        <v>3</v>
      </c>
      <c r="V48" s="21" t="n">
        <f aca="false">IF(J48&lt;20,0,IF(J48&lt;40,25,M48))*Assumptions!$B$4+N48*Assumptions!$B$5+O48*Assumptions!$B$6</f>
        <v>62.5</v>
      </c>
      <c r="W48" s="2" t="str">
        <f aca="false">IF(V48&gt;=70,"High",IF(V48&gt;=40,"Medium","Low"))</f>
        <v>Medium</v>
      </c>
    </row>
    <row r="49" customFormat="false" ht="15" hidden="false" customHeight="false" outlineLevel="0" collapsed="false">
      <c r="A49" s="2" t="s">
        <v>430</v>
      </c>
      <c r="B49" s="2" t="s">
        <v>1571</v>
      </c>
      <c r="C49" s="2" t="s">
        <v>1640</v>
      </c>
      <c r="D49" s="2" t="s">
        <v>1572</v>
      </c>
      <c r="E49" s="2" t="n">
        <v>14</v>
      </c>
      <c r="F49" s="9" t="n">
        <v>3113</v>
      </c>
      <c r="G49" s="2" t="n">
        <v>4</v>
      </c>
      <c r="H49" s="2" t="n">
        <v>1</v>
      </c>
      <c r="I49" s="2" t="n">
        <v>3</v>
      </c>
      <c r="J49" s="2" t="n">
        <v>15</v>
      </c>
      <c r="K49" s="2" t="n">
        <v>30</v>
      </c>
      <c r="L49" s="2" t="n">
        <v>1</v>
      </c>
      <c r="M49" s="2" t="n">
        <f aca="false">IF(J49&lt;=Assumptions!$B$13,0,IF(J49&lt;Assumptions!$B$14,25,IF(J49&lt;Assumptions!$B$15,50,IF(J49&lt;Assumptions!$B$16,75,100))))</f>
        <v>0</v>
      </c>
      <c r="N49" s="2" t="n">
        <f aca="false">IF(K49&gt;Assumptions!$B$19,0,IF(K49&gt;=Assumptions!$B$20,25,IF(K49&gt;=Assumptions!$B$21,50,IF(K49&gt;=Assumptions!$B$22,75,100))))</f>
        <v>25</v>
      </c>
      <c r="O49" s="2" t="n">
        <f aca="false">IF(L49&gt;=Assumptions!$B$25,0,IF(L49&gt;=Assumptions!$B$26,25,IF(L49=Assumptions!$B$27,50,IF(L49=Assumptions!$B$28,75,100))))</f>
        <v>75</v>
      </c>
      <c r="P49" s="21" t="n">
        <f aca="false">M49*Assumptions!$B$4+N49*Assumptions!$B$5+O49*Assumptions!$B$6</f>
        <v>22.5</v>
      </c>
      <c r="Q49" s="21" t="n">
        <f aca="false">IF(J49&lt;=Assumptions!$B$8,0,P49)</f>
        <v>0</v>
      </c>
      <c r="R49" s="2" t="str">
        <f aca="false">IF(Q49&gt;=Assumptions!$B$9,"High",IF(Q49&gt;=Assumptions!$B$10,"Medium","Low"))</f>
        <v>Low</v>
      </c>
      <c r="S49" s="21" t="n">
        <f aca="false">(N49*Assumptions!$B$5+O49*Assumptions!$B$6)/(Assumptions!$B$5+Assumptions!$B$6)</f>
        <v>45</v>
      </c>
      <c r="T49" s="2" t="str">
        <f aca="false">IF(AND(J49&gt;Assumptions!$B$8,G49&lt;=Assumptions!$B$30),"Low confidence","")</f>
        <v/>
      </c>
      <c r="U49" s="2" t="n">
        <f aca="false">(J49&gt;40)+(F49&gt;2000)+(K49&lt;10)+(L49=0)</f>
        <v>1</v>
      </c>
      <c r="V49" s="21" t="n">
        <f aca="false">IF(J49&lt;20,0,IF(J49&lt;40,25,M49))*Assumptions!$B$4+N49*Assumptions!$B$5+O49*Assumptions!$B$6</f>
        <v>22.5</v>
      </c>
      <c r="W49" s="2" t="str">
        <f aca="false">IF(V49&gt;=70,"High",IF(V49&gt;=40,"Medium","Low"))</f>
        <v>Low</v>
      </c>
    </row>
    <row r="50" customFormat="false" ht="15" hidden="false" customHeight="false" outlineLevel="0" collapsed="false">
      <c r="A50" s="2" t="s">
        <v>466</v>
      </c>
      <c r="B50" s="2" t="s">
        <v>1571</v>
      </c>
      <c r="C50" s="2" t="s">
        <v>1640</v>
      </c>
      <c r="D50" s="2" t="s">
        <v>1572</v>
      </c>
      <c r="E50" s="2" t="n">
        <v>10</v>
      </c>
      <c r="F50" s="9" t="n">
        <v>3111</v>
      </c>
      <c r="G50" s="2" t="n">
        <v>7</v>
      </c>
      <c r="H50" s="2" t="n">
        <v>6</v>
      </c>
      <c r="I50" s="2" t="n">
        <v>1</v>
      </c>
      <c r="J50" s="2" t="n">
        <v>81</v>
      </c>
      <c r="K50" s="2" t="n">
        <v>8</v>
      </c>
      <c r="L50" s="2" t="n">
        <v>1</v>
      </c>
      <c r="M50" s="2" t="n">
        <f aca="false">IF(J50&lt;=Assumptions!$B$13,0,IF(J50&lt;Assumptions!$B$14,25,IF(J50&lt;Assumptions!$B$15,50,IF(J50&lt;Assumptions!$B$16,75,100))))</f>
        <v>100</v>
      </c>
      <c r="N50" s="2" t="n">
        <f aca="false">IF(K50&gt;Assumptions!$B$19,0,IF(K50&gt;=Assumptions!$B$20,25,IF(K50&gt;=Assumptions!$B$21,50,IF(K50&gt;=Assumptions!$B$22,75,100))))</f>
        <v>75</v>
      </c>
      <c r="O50" s="2" t="n">
        <f aca="false">IF(L50&gt;=Assumptions!$B$25,0,IF(L50&gt;=Assumptions!$B$26,25,IF(L50=Assumptions!$B$27,50,IF(L50=Assumptions!$B$28,75,100))))</f>
        <v>75</v>
      </c>
      <c r="P50" s="21" t="n">
        <f aca="false">M50*Assumptions!$B$4+N50*Assumptions!$B$5+O50*Assumptions!$B$6</f>
        <v>87.5</v>
      </c>
      <c r="Q50" s="21" t="n">
        <f aca="false">IF(J50&lt;=Assumptions!$B$8,0,P50)</f>
        <v>87.5</v>
      </c>
      <c r="R50" s="2" t="str">
        <f aca="false">IF(Q50&gt;=Assumptions!$B$9,"High",IF(Q50&gt;=Assumptions!$B$10,"Medium","Low"))</f>
        <v>High</v>
      </c>
      <c r="S50" s="21" t="n">
        <f aca="false">(N50*Assumptions!$B$5+O50*Assumptions!$B$6)/(Assumptions!$B$5+Assumptions!$B$6)</f>
        <v>75</v>
      </c>
      <c r="T50" s="2" t="str">
        <f aca="false">IF(AND(J50&gt;Assumptions!$B$8,G50&lt;=Assumptions!$B$30),"Low confidence","")</f>
        <v/>
      </c>
      <c r="U50" s="2" t="n">
        <f aca="false">(J50&gt;40)+(F50&gt;2000)+(K50&lt;10)+(L50=0)</f>
        <v>3</v>
      </c>
      <c r="V50" s="21" t="n">
        <f aca="false">IF(J50&lt;20,0,IF(J50&lt;40,25,M50))*Assumptions!$B$4+N50*Assumptions!$B$5+O50*Assumptions!$B$6</f>
        <v>87.5</v>
      </c>
      <c r="W50" s="2" t="str">
        <f aca="false">IF(V50&gt;=70,"High",IF(V50&gt;=40,"Medium","Low"))</f>
        <v>High</v>
      </c>
    </row>
    <row r="51" customFormat="false" ht="15" hidden="false" customHeight="false" outlineLevel="0" collapsed="false">
      <c r="A51" s="2" t="s">
        <v>275</v>
      </c>
      <c r="B51" s="2" t="s">
        <v>1571</v>
      </c>
      <c r="C51" s="2" t="s">
        <v>1640</v>
      </c>
      <c r="D51" s="2" t="s">
        <v>1572</v>
      </c>
      <c r="E51" s="2" t="n">
        <v>7</v>
      </c>
      <c r="F51" s="9" t="n">
        <v>3044</v>
      </c>
      <c r="G51" s="2" t="n">
        <v>6</v>
      </c>
      <c r="H51" s="2" t="n">
        <v>3</v>
      </c>
      <c r="I51" s="2" t="n">
        <v>3</v>
      </c>
      <c r="J51" s="2" t="n">
        <v>46</v>
      </c>
      <c r="K51" s="2" t="n">
        <v>5</v>
      </c>
      <c r="L51" s="2" t="n">
        <v>1</v>
      </c>
      <c r="M51" s="2" t="n">
        <f aca="false">IF(J51&lt;=Assumptions!$B$13,0,IF(J51&lt;Assumptions!$B$14,25,IF(J51&lt;Assumptions!$B$15,50,IF(J51&lt;Assumptions!$B$16,75,100))))</f>
        <v>50</v>
      </c>
      <c r="N51" s="2" t="n">
        <f aca="false">IF(K51&gt;Assumptions!$B$19,0,IF(K51&gt;=Assumptions!$B$20,25,IF(K51&gt;=Assumptions!$B$21,50,IF(K51&gt;=Assumptions!$B$22,75,100))))</f>
        <v>75</v>
      </c>
      <c r="O51" s="2" t="n">
        <f aca="false">IF(L51&gt;=Assumptions!$B$25,0,IF(L51&gt;=Assumptions!$B$26,25,IF(L51=Assumptions!$B$27,50,IF(L51=Assumptions!$B$28,75,100))))</f>
        <v>75</v>
      </c>
      <c r="P51" s="21" t="n">
        <f aca="false">M51*Assumptions!$B$4+N51*Assumptions!$B$5+O51*Assumptions!$B$6</f>
        <v>62.5</v>
      </c>
      <c r="Q51" s="21" t="n">
        <f aca="false">IF(J51&lt;=Assumptions!$B$8,0,P51)</f>
        <v>62.5</v>
      </c>
      <c r="R51" s="2" t="str">
        <f aca="false">IF(Q51&gt;=Assumptions!$B$9,"High",IF(Q51&gt;=Assumptions!$B$10,"Medium","Low"))</f>
        <v>Medium</v>
      </c>
      <c r="S51" s="21" t="n">
        <f aca="false">(N51*Assumptions!$B$5+O51*Assumptions!$B$6)/(Assumptions!$B$5+Assumptions!$B$6)</f>
        <v>75</v>
      </c>
      <c r="T51" s="2" t="str">
        <f aca="false">IF(AND(J51&gt;Assumptions!$B$8,G51&lt;=Assumptions!$B$30),"Low confidence","")</f>
        <v/>
      </c>
      <c r="U51" s="2" t="n">
        <f aca="false">(J51&gt;40)+(F51&gt;2000)+(K51&lt;10)+(L51=0)</f>
        <v>3</v>
      </c>
      <c r="V51" s="21" t="n">
        <f aca="false">IF(J51&lt;20,0,IF(J51&lt;40,25,M51))*Assumptions!$B$4+N51*Assumptions!$B$5+O51*Assumptions!$B$6</f>
        <v>62.5</v>
      </c>
      <c r="W51" s="2" t="str">
        <f aca="false">IF(V51&gt;=70,"High",IF(V51&gt;=40,"Medium","Low"))</f>
        <v>Medium</v>
      </c>
    </row>
    <row r="52" customFormat="false" ht="15" hidden="false" customHeight="false" outlineLevel="0" collapsed="false">
      <c r="A52" s="2" t="s">
        <v>278</v>
      </c>
      <c r="B52" s="2" t="s">
        <v>1571</v>
      </c>
      <c r="C52" s="2" t="s">
        <v>1640</v>
      </c>
      <c r="D52" s="2" t="s">
        <v>1572</v>
      </c>
      <c r="E52" s="2" t="n">
        <v>8</v>
      </c>
      <c r="F52" s="9" t="n">
        <v>2992</v>
      </c>
      <c r="G52" s="2" t="n">
        <v>7</v>
      </c>
      <c r="H52" s="2" t="n">
        <v>1</v>
      </c>
      <c r="I52" s="2" t="n">
        <v>6</v>
      </c>
      <c r="J52" s="2" t="n">
        <v>12</v>
      </c>
      <c r="K52" s="2" t="n">
        <v>113</v>
      </c>
      <c r="L52" s="2" t="n">
        <v>4</v>
      </c>
      <c r="M52" s="2" t="n">
        <f aca="false">IF(J52&lt;=Assumptions!$B$13,0,IF(J52&lt;Assumptions!$B$14,25,IF(J52&lt;Assumptions!$B$15,50,IF(J52&lt;Assumptions!$B$16,75,100))))</f>
        <v>0</v>
      </c>
      <c r="N52" s="2" t="n">
        <f aca="false">IF(K52&gt;Assumptions!$B$19,0,IF(K52&gt;=Assumptions!$B$20,25,IF(K52&gt;=Assumptions!$B$21,50,IF(K52&gt;=Assumptions!$B$22,75,100))))</f>
        <v>0</v>
      </c>
      <c r="O52" s="2" t="n">
        <f aca="false">IF(L52&gt;=Assumptions!$B$25,0,IF(L52&gt;=Assumptions!$B$26,25,IF(L52=Assumptions!$B$27,50,IF(L52=Assumptions!$B$28,75,100))))</f>
        <v>25</v>
      </c>
      <c r="P52" s="21" t="n">
        <f aca="false">M52*Assumptions!$B$4+N52*Assumptions!$B$5+O52*Assumptions!$B$6</f>
        <v>5</v>
      </c>
      <c r="Q52" s="21" t="n">
        <f aca="false">IF(J52&lt;=Assumptions!$B$8,0,P52)</f>
        <v>0</v>
      </c>
      <c r="R52" s="2" t="str">
        <f aca="false">IF(Q52&gt;=Assumptions!$B$9,"High",IF(Q52&gt;=Assumptions!$B$10,"Medium","Low"))</f>
        <v>Low</v>
      </c>
      <c r="S52" s="21" t="n">
        <f aca="false">(N52*Assumptions!$B$5+O52*Assumptions!$B$6)/(Assumptions!$B$5+Assumptions!$B$6)</f>
        <v>10</v>
      </c>
      <c r="T52" s="2" t="str">
        <f aca="false">IF(AND(J52&gt;Assumptions!$B$8,G52&lt;=Assumptions!$B$30),"Low confidence","")</f>
        <v/>
      </c>
      <c r="U52" s="2" t="n">
        <f aca="false">(J52&gt;40)+(F52&gt;2000)+(K52&lt;10)+(L52=0)</f>
        <v>1</v>
      </c>
      <c r="V52" s="21" t="n">
        <f aca="false">IF(J52&lt;20,0,IF(J52&lt;40,25,M52))*Assumptions!$B$4+N52*Assumptions!$B$5+O52*Assumptions!$B$6</f>
        <v>5</v>
      </c>
      <c r="W52" s="2" t="str">
        <f aca="false">IF(V52&gt;=70,"High",IF(V52&gt;=40,"Medium","Low"))</f>
        <v>Low</v>
      </c>
    </row>
    <row r="53" customFormat="false" ht="15" hidden="false" customHeight="false" outlineLevel="0" collapsed="false">
      <c r="A53" s="2" t="s">
        <v>281</v>
      </c>
      <c r="B53" s="2" t="s">
        <v>1571</v>
      </c>
      <c r="C53" s="2" t="s">
        <v>1640</v>
      </c>
      <c r="D53" s="2"/>
      <c r="E53" s="2" t="n">
        <v>6</v>
      </c>
      <c r="F53" s="9" t="n">
        <v>2952</v>
      </c>
      <c r="G53" s="2" t="n">
        <v>8</v>
      </c>
      <c r="H53" s="2" t="n">
        <v>5</v>
      </c>
      <c r="I53" s="2" t="n">
        <v>3</v>
      </c>
      <c r="J53" s="2" t="n">
        <v>64</v>
      </c>
      <c r="K53" s="2" t="n">
        <v>6</v>
      </c>
      <c r="L53" s="2" t="n">
        <v>2</v>
      </c>
      <c r="M53" s="2" t="n">
        <f aca="false">IF(J53&lt;=Assumptions!$B$13,0,IF(J53&lt;Assumptions!$B$14,25,IF(J53&lt;Assumptions!$B$15,50,IF(J53&lt;Assumptions!$B$16,75,100))))</f>
        <v>75</v>
      </c>
      <c r="N53" s="2" t="n">
        <f aca="false">IF(K53&gt;Assumptions!$B$19,0,IF(K53&gt;=Assumptions!$B$20,25,IF(K53&gt;=Assumptions!$B$21,50,IF(K53&gt;=Assumptions!$B$22,75,100))))</f>
        <v>75</v>
      </c>
      <c r="O53" s="2" t="n">
        <f aca="false">IF(L53&gt;=Assumptions!$B$25,0,IF(L53&gt;=Assumptions!$B$26,25,IF(L53=Assumptions!$B$27,50,IF(L53=Assumptions!$B$28,75,100))))</f>
        <v>50</v>
      </c>
      <c r="P53" s="21" t="n">
        <f aca="false">M53*Assumptions!$B$4+N53*Assumptions!$B$5+O53*Assumptions!$B$6</f>
        <v>70</v>
      </c>
      <c r="Q53" s="21" t="n">
        <f aca="false">IF(J53&lt;=Assumptions!$B$8,0,P53)</f>
        <v>70</v>
      </c>
      <c r="R53" s="2" t="str">
        <f aca="false">IF(Q53&gt;=Assumptions!$B$9,"High",IF(Q53&gt;=Assumptions!$B$10,"Medium","Low"))</f>
        <v>High</v>
      </c>
      <c r="S53" s="21" t="n">
        <f aca="false">(N53*Assumptions!$B$5+O53*Assumptions!$B$6)/(Assumptions!$B$5+Assumptions!$B$6)</f>
        <v>65</v>
      </c>
      <c r="T53" s="2" t="str">
        <f aca="false">IF(AND(J53&gt;Assumptions!$B$8,G53&lt;=Assumptions!$B$30),"Low confidence","")</f>
        <v/>
      </c>
      <c r="U53" s="2" t="n">
        <f aca="false">(J53&gt;40)+(F53&gt;2000)+(K53&lt;10)+(L53=0)</f>
        <v>3</v>
      </c>
      <c r="V53" s="21" t="n">
        <f aca="false">IF(J53&lt;20,0,IF(J53&lt;40,25,M53))*Assumptions!$B$4+N53*Assumptions!$B$5+O53*Assumptions!$B$6</f>
        <v>70</v>
      </c>
      <c r="W53" s="2" t="str">
        <f aca="false">IF(V53&gt;=70,"High",IF(V53&gt;=40,"Medium","Low"))</f>
        <v>High</v>
      </c>
    </row>
    <row r="54" customFormat="false" ht="15" hidden="false" customHeight="false" outlineLevel="0" collapsed="false">
      <c r="A54" s="2" t="s">
        <v>284</v>
      </c>
      <c r="B54" s="2" t="s">
        <v>1571</v>
      </c>
      <c r="C54" s="2" t="s">
        <v>1640</v>
      </c>
      <c r="D54" s="2" t="s">
        <v>1572</v>
      </c>
      <c r="E54" s="2" t="n">
        <v>14</v>
      </c>
      <c r="F54" s="9" t="n">
        <v>2581</v>
      </c>
      <c r="G54" s="2" t="n">
        <v>7</v>
      </c>
      <c r="H54" s="2" t="n">
        <v>6</v>
      </c>
      <c r="I54" s="2" t="n">
        <v>1</v>
      </c>
      <c r="J54" s="2" t="n">
        <v>82</v>
      </c>
      <c r="K54" s="2" t="n">
        <v>7</v>
      </c>
      <c r="L54" s="2" t="n">
        <v>1</v>
      </c>
      <c r="M54" s="2" t="n">
        <f aca="false">IF(J54&lt;=Assumptions!$B$13,0,IF(J54&lt;Assumptions!$B$14,25,IF(J54&lt;Assumptions!$B$15,50,IF(J54&lt;Assumptions!$B$16,75,100))))</f>
        <v>100</v>
      </c>
      <c r="N54" s="2" t="n">
        <f aca="false">IF(K54&gt;Assumptions!$B$19,0,IF(K54&gt;=Assumptions!$B$20,25,IF(K54&gt;=Assumptions!$B$21,50,IF(K54&gt;=Assumptions!$B$22,75,100))))</f>
        <v>75</v>
      </c>
      <c r="O54" s="2" t="n">
        <f aca="false">IF(L54&gt;=Assumptions!$B$25,0,IF(L54&gt;=Assumptions!$B$26,25,IF(L54=Assumptions!$B$27,50,IF(L54=Assumptions!$B$28,75,100))))</f>
        <v>75</v>
      </c>
      <c r="P54" s="21" t="n">
        <f aca="false">M54*Assumptions!$B$4+N54*Assumptions!$B$5+O54*Assumptions!$B$6</f>
        <v>87.5</v>
      </c>
      <c r="Q54" s="21" t="n">
        <f aca="false">IF(J54&lt;=Assumptions!$B$8,0,P54)</f>
        <v>87.5</v>
      </c>
      <c r="R54" s="2" t="str">
        <f aca="false">IF(Q54&gt;=Assumptions!$B$9,"High",IF(Q54&gt;=Assumptions!$B$10,"Medium","Low"))</f>
        <v>High</v>
      </c>
      <c r="S54" s="21" t="n">
        <f aca="false">(N54*Assumptions!$B$5+O54*Assumptions!$B$6)/(Assumptions!$B$5+Assumptions!$B$6)</f>
        <v>75</v>
      </c>
      <c r="T54" s="2" t="str">
        <f aca="false">IF(AND(J54&gt;Assumptions!$B$8,G54&lt;=Assumptions!$B$30),"Low confidence","")</f>
        <v/>
      </c>
      <c r="U54" s="2" t="n">
        <f aca="false">(J54&gt;40)+(F54&gt;2000)+(K54&lt;10)+(L54=0)</f>
        <v>3</v>
      </c>
      <c r="V54" s="21" t="n">
        <f aca="false">IF(J54&lt;20,0,IF(J54&lt;40,25,M54))*Assumptions!$B$4+N54*Assumptions!$B$5+O54*Assumptions!$B$6</f>
        <v>87.5</v>
      </c>
      <c r="W54" s="2" t="str">
        <f aca="false">IF(V54&gt;=70,"High",IF(V54&gt;=40,"Medium","Low"))</f>
        <v>High</v>
      </c>
    </row>
    <row r="55" customFormat="false" ht="15" hidden="false" customHeight="false" outlineLevel="0" collapsed="false">
      <c r="A55" s="2" t="s">
        <v>287</v>
      </c>
      <c r="B55" s="2" t="s">
        <v>1571</v>
      </c>
      <c r="C55" s="2" t="s">
        <v>1640</v>
      </c>
      <c r="D55" s="2"/>
      <c r="E55" s="2" t="n">
        <v>6</v>
      </c>
      <c r="F55" s="9" t="n">
        <v>2516</v>
      </c>
      <c r="G55" s="2" t="n">
        <v>9</v>
      </c>
      <c r="H55" s="2" t="n">
        <v>7</v>
      </c>
      <c r="I55" s="2" t="n">
        <v>2</v>
      </c>
      <c r="J55" s="2" t="n">
        <v>77</v>
      </c>
      <c r="K55" s="2" t="n">
        <v>3</v>
      </c>
      <c r="L55" s="2" t="n">
        <v>1</v>
      </c>
      <c r="M55" s="2" t="n">
        <f aca="false">IF(J55&lt;=Assumptions!$B$13,0,IF(J55&lt;Assumptions!$B$14,25,IF(J55&lt;Assumptions!$B$15,50,IF(J55&lt;Assumptions!$B$16,75,100))))</f>
        <v>75</v>
      </c>
      <c r="N55" s="2" t="n">
        <f aca="false">IF(K55&gt;Assumptions!$B$19,0,IF(K55&gt;=Assumptions!$B$20,25,IF(K55&gt;=Assumptions!$B$21,50,IF(K55&gt;=Assumptions!$B$22,75,100))))</f>
        <v>100</v>
      </c>
      <c r="O55" s="2" t="n">
        <f aca="false">IF(L55&gt;=Assumptions!$B$25,0,IF(L55&gt;=Assumptions!$B$26,25,IF(L55=Assumptions!$B$27,50,IF(L55=Assumptions!$B$28,75,100))))</f>
        <v>75</v>
      </c>
      <c r="P55" s="21" t="n">
        <f aca="false">M55*Assumptions!$B$4+N55*Assumptions!$B$5+O55*Assumptions!$B$6</f>
        <v>82.5</v>
      </c>
      <c r="Q55" s="21" t="n">
        <f aca="false">IF(J55&lt;=Assumptions!$B$8,0,P55)</f>
        <v>82.5</v>
      </c>
      <c r="R55" s="2" t="str">
        <f aca="false">IF(Q55&gt;=Assumptions!$B$9,"High",IF(Q55&gt;=Assumptions!$B$10,"Medium","Low"))</f>
        <v>High</v>
      </c>
      <c r="S55" s="21" t="n">
        <f aca="false">(N55*Assumptions!$B$5+O55*Assumptions!$B$6)/(Assumptions!$B$5+Assumptions!$B$6)</f>
        <v>90</v>
      </c>
      <c r="T55" s="2" t="str">
        <f aca="false">IF(AND(J55&gt;Assumptions!$B$8,G55&lt;=Assumptions!$B$30),"Low confidence","")</f>
        <v/>
      </c>
      <c r="U55" s="2" t="n">
        <f aca="false">(J55&gt;40)+(F55&gt;2000)+(K55&lt;10)+(L55=0)</f>
        <v>3</v>
      </c>
      <c r="V55" s="21" t="n">
        <f aca="false">IF(J55&lt;20,0,IF(J55&lt;40,25,M55))*Assumptions!$B$4+N55*Assumptions!$B$5+O55*Assumptions!$B$6</f>
        <v>82.5</v>
      </c>
      <c r="W55" s="2" t="str">
        <f aca="false">IF(V55&gt;=70,"High",IF(V55&gt;=40,"Medium","Low"))</f>
        <v>High</v>
      </c>
    </row>
    <row r="56" customFormat="false" ht="15" hidden="false" customHeight="false" outlineLevel="0" collapsed="false">
      <c r="A56" s="2" t="s">
        <v>290</v>
      </c>
      <c r="B56" s="2" t="s">
        <v>1571</v>
      </c>
      <c r="C56" s="2" t="s">
        <v>1640</v>
      </c>
      <c r="D56" s="2" t="s">
        <v>1572</v>
      </c>
      <c r="E56" s="2" t="n">
        <v>17</v>
      </c>
      <c r="F56" s="9" t="n">
        <v>2514</v>
      </c>
      <c r="G56" s="2" t="n">
        <v>12</v>
      </c>
      <c r="H56" s="2" t="n">
        <v>9</v>
      </c>
      <c r="I56" s="2" t="n">
        <v>3</v>
      </c>
      <c r="J56" s="2" t="n">
        <v>77</v>
      </c>
      <c r="K56" s="2" t="n">
        <v>5</v>
      </c>
      <c r="L56" s="2" t="n">
        <v>2</v>
      </c>
      <c r="M56" s="2" t="n">
        <f aca="false">IF(J56&lt;=Assumptions!$B$13,0,IF(J56&lt;Assumptions!$B$14,25,IF(J56&lt;Assumptions!$B$15,50,IF(J56&lt;Assumptions!$B$16,75,100))))</f>
        <v>75</v>
      </c>
      <c r="N56" s="2" t="n">
        <f aca="false">IF(K56&gt;Assumptions!$B$19,0,IF(K56&gt;=Assumptions!$B$20,25,IF(K56&gt;=Assumptions!$B$21,50,IF(K56&gt;=Assumptions!$B$22,75,100))))</f>
        <v>75</v>
      </c>
      <c r="O56" s="2" t="n">
        <f aca="false">IF(L56&gt;=Assumptions!$B$25,0,IF(L56&gt;=Assumptions!$B$26,25,IF(L56=Assumptions!$B$27,50,IF(L56=Assumptions!$B$28,75,100))))</f>
        <v>50</v>
      </c>
      <c r="P56" s="21" t="n">
        <f aca="false">M56*Assumptions!$B$4+N56*Assumptions!$B$5+O56*Assumptions!$B$6</f>
        <v>70</v>
      </c>
      <c r="Q56" s="21" t="n">
        <f aca="false">IF(J56&lt;=Assumptions!$B$8,0,P56)</f>
        <v>70</v>
      </c>
      <c r="R56" s="2" t="str">
        <f aca="false">IF(Q56&gt;=Assumptions!$B$9,"High",IF(Q56&gt;=Assumptions!$B$10,"Medium","Low"))</f>
        <v>High</v>
      </c>
      <c r="S56" s="21" t="n">
        <f aca="false">(N56*Assumptions!$B$5+O56*Assumptions!$B$6)/(Assumptions!$B$5+Assumptions!$B$6)</f>
        <v>65</v>
      </c>
      <c r="T56" s="2" t="str">
        <f aca="false">IF(AND(J56&gt;Assumptions!$B$8,G56&lt;=Assumptions!$B$30),"Low confidence","")</f>
        <v/>
      </c>
      <c r="U56" s="2" t="n">
        <f aca="false">(J56&gt;40)+(F56&gt;2000)+(K56&lt;10)+(L56=0)</f>
        <v>3</v>
      </c>
      <c r="V56" s="21" t="n">
        <f aca="false">IF(J56&lt;20,0,IF(J56&lt;40,25,M56))*Assumptions!$B$4+N56*Assumptions!$B$5+O56*Assumptions!$B$6</f>
        <v>70</v>
      </c>
      <c r="W56" s="2" t="str">
        <f aca="false">IF(V56&gt;=70,"High",IF(V56&gt;=40,"Medium","Low"))</f>
        <v>High</v>
      </c>
    </row>
    <row r="57" customFormat="false" ht="15" hidden="false" customHeight="false" outlineLevel="0" collapsed="false">
      <c r="A57" s="2" t="s">
        <v>442</v>
      </c>
      <c r="B57" s="2" t="s">
        <v>1571</v>
      </c>
      <c r="C57" s="2" t="s">
        <v>1640</v>
      </c>
      <c r="D57" s="2" t="s">
        <v>1572</v>
      </c>
      <c r="E57" s="2" t="n">
        <v>7</v>
      </c>
      <c r="F57" s="9" t="n">
        <v>2380</v>
      </c>
      <c r="G57" s="2" t="n">
        <v>5</v>
      </c>
      <c r="H57" s="2" t="n">
        <v>3</v>
      </c>
      <c r="I57" s="2" t="n">
        <v>2</v>
      </c>
      <c r="J57" s="2" t="n">
        <v>54</v>
      </c>
      <c r="K57" s="2" t="n">
        <v>7</v>
      </c>
      <c r="L57" s="2" t="n">
        <v>1</v>
      </c>
      <c r="M57" s="2" t="n">
        <f aca="false">IF(J57&lt;=Assumptions!$B$13,0,IF(J57&lt;Assumptions!$B$14,25,IF(J57&lt;Assumptions!$B$15,50,IF(J57&lt;Assumptions!$B$16,75,100))))</f>
        <v>50</v>
      </c>
      <c r="N57" s="2" t="n">
        <f aca="false">IF(K57&gt;Assumptions!$B$19,0,IF(K57&gt;=Assumptions!$B$20,25,IF(K57&gt;=Assumptions!$B$21,50,IF(K57&gt;=Assumptions!$B$22,75,100))))</f>
        <v>75</v>
      </c>
      <c r="O57" s="2" t="n">
        <f aca="false">IF(L57&gt;=Assumptions!$B$25,0,IF(L57&gt;=Assumptions!$B$26,25,IF(L57=Assumptions!$B$27,50,IF(L57=Assumptions!$B$28,75,100))))</f>
        <v>75</v>
      </c>
      <c r="P57" s="21" t="n">
        <f aca="false">M57*Assumptions!$B$4+N57*Assumptions!$B$5+O57*Assumptions!$B$6</f>
        <v>62.5</v>
      </c>
      <c r="Q57" s="21" t="n">
        <f aca="false">IF(J57&lt;=Assumptions!$B$8,0,P57)</f>
        <v>62.5</v>
      </c>
      <c r="R57" s="2" t="str">
        <f aca="false">IF(Q57&gt;=Assumptions!$B$9,"High",IF(Q57&gt;=Assumptions!$B$10,"Medium","Low"))</f>
        <v>Medium</v>
      </c>
      <c r="S57" s="21" t="n">
        <f aca="false">(N57*Assumptions!$B$5+O57*Assumptions!$B$6)/(Assumptions!$B$5+Assumptions!$B$6)</f>
        <v>75</v>
      </c>
      <c r="T57" s="2" t="str">
        <f aca="false">IF(AND(J57&gt;Assumptions!$B$8,G57&lt;=Assumptions!$B$30),"Low confidence","")</f>
        <v/>
      </c>
      <c r="U57" s="2" t="n">
        <f aca="false">(J57&gt;40)+(F57&gt;2000)+(K57&lt;10)+(L57=0)</f>
        <v>3</v>
      </c>
      <c r="V57" s="21" t="n">
        <f aca="false">IF(J57&lt;20,0,IF(J57&lt;40,25,M57))*Assumptions!$B$4+N57*Assumptions!$B$5+O57*Assumptions!$B$6</f>
        <v>62.5</v>
      </c>
      <c r="W57" s="2" t="str">
        <f aca="false">IF(V57&gt;=70,"High",IF(V57&gt;=40,"Medium","Low"))</f>
        <v>Medium</v>
      </c>
    </row>
    <row r="58" customFormat="false" ht="15" hidden="false" customHeight="false" outlineLevel="0" collapsed="false">
      <c r="A58" s="2" t="s">
        <v>469</v>
      </c>
      <c r="B58" s="2" t="s">
        <v>1571</v>
      </c>
      <c r="C58" s="2" t="s">
        <v>1640</v>
      </c>
      <c r="D58" s="2" t="s">
        <v>1572</v>
      </c>
      <c r="E58" s="2" t="n">
        <v>16</v>
      </c>
      <c r="F58" s="9" t="n">
        <v>2366</v>
      </c>
      <c r="G58" s="2" t="n">
        <v>3</v>
      </c>
      <c r="H58" s="2" t="n">
        <v>2</v>
      </c>
      <c r="I58" s="2" t="n">
        <v>1</v>
      </c>
      <c r="J58" s="2" t="n">
        <v>61</v>
      </c>
      <c r="K58" s="2" t="n">
        <v>4</v>
      </c>
      <c r="L58" s="2" t="n">
        <v>1</v>
      </c>
      <c r="M58" s="2" t="n">
        <f aca="false">IF(J58&lt;=Assumptions!$B$13,0,IF(J58&lt;Assumptions!$B$14,25,IF(J58&lt;Assumptions!$B$15,50,IF(J58&lt;Assumptions!$B$16,75,100))))</f>
        <v>75</v>
      </c>
      <c r="N58" s="2" t="n">
        <f aca="false">IF(K58&gt;Assumptions!$B$19,0,IF(K58&gt;=Assumptions!$B$20,25,IF(K58&gt;=Assumptions!$B$21,50,IF(K58&gt;=Assumptions!$B$22,75,100))))</f>
        <v>100</v>
      </c>
      <c r="O58" s="2" t="n">
        <f aca="false">IF(L58&gt;=Assumptions!$B$25,0,IF(L58&gt;=Assumptions!$B$26,25,IF(L58=Assumptions!$B$27,50,IF(L58=Assumptions!$B$28,75,100))))</f>
        <v>75</v>
      </c>
      <c r="P58" s="21" t="n">
        <f aca="false">M58*Assumptions!$B$4+N58*Assumptions!$B$5+O58*Assumptions!$B$6</f>
        <v>82.5</v>
      </c>
      <c r="Q58" s="21" t="n">
        <f aca="false">IF(J58&lt;=Assumptions!$B$8,0,P58)</f>
        <v>82.5</v>
      </c>
      <c r="R58" s="2" t="str">
        <f aca="false">IF(Q58&gt;=Assumptions!$B$9,"High",IF(Q58&gt;=Assumptions!$B$10,"Medium","Low"))</f>
        <v>High</v>
      </c>
      <c r="S58" s="21" t="n">
        <f aca="false">(N58*Assumptions!$B$5+O58*Assumptions!$B$6)/(Assumptions!$B$5+Assumptions!$B$6)</f>
        <v>90</v>
      </c>
      <c r="T58" s="2" t="str">
        <f aca="false">IF(AND(J58&gt;Assumptions!$B$8,G58&lt;=Assumptions!$B$30),"Low confidence","")</f>
        <v/>
      </c>
      <c r="U58" s="2" t="n">
        <f aca="false">(J58&gt;40)+(F58&gt;2000)+(K58&lt;10)+(L58=0)</f>
        <v>3</v>
      </c>
      <c r="V58" s="21" t="n">
        <f aca="false">IF(J58&lt;20,0,IF(J58&lt;40,25,M58))*Assumptions!$B$4+N58*Assumptions!$B$5+O58*Assumptions!$B$6</f>
        <v>82.5</v>
      </c>
      <c r="W58" s="2" t="str">
        <f aca="false">IF(V58&gt;=70,"High",IF(V58&gt;=40,"Medium","Low"))</f>
        <v>High</v>
      </c>
    </row>
    <row r="59" customFormat="false" ht="15" hidden="false" customHeight="false" outlineLevel="0" collapsed="false">
      <c r="A59" s="2" t="s">
        <v>446</v>
      </c>
      <c r="B59" s="2" t="s">
        <v>1571</v>
      </c>
      <c r="C59" s="2" t="s">
        <v>1640</v>
      </c>
      <c r="D59" s="2" t="s">
        <v>1572</v>
      </c>
      <c r="E59" s="2" t="n">
        <v>14</v>
      </c>
      <c r="F59" s="9" t="n">
        <v>2277</v>
      </c>
      <c r="G59" s="2" t="n">
        <v>8</v>
      </c>
      <c r="H59" s="2" t="n">
        <v>4</v>
      </c>
      <c r="I59" s="2" t="n">
        <v>4</v>
      </c>
      <c r="J59" s="2" t="n">
        <v>48</v>
      </c>
      <c r="K59" s="2" t="n">
        <v>5</v>
      </c>
      <c r="L59" s="2" t="n">
        <v>0</v>
      </c>
      <c r="M59" s="2" t="n">
        <f aca="false">IF(J59&lt;=Assumptions!$B$13,0,IF(J59&lt;Assumptions!$B$14,25,IF(J59&lt;Assumptions!$B$15,50,IF(J59&lt;Assumptions!$B$16,75,100))))</f>
        <v>50</v>
      </c>
      <c r="N59" s="2" t="n">
        <f aca="false">IF(K59&gt;Assumptions!$B$19,0,IF(K59&gt;=Assumptions!$B$20,25,IF(K59&gt;=Assumptions!$B$21,50,IF(K59&gt;=Assumptions!$B$22,75,100))))</f>
        <v>75</v>
      </c>
      <c r="O59" s="2" t="n">
        <f aca="false">IF(L59&gt;=Assumptions!$B$25,0,IF(L59&gt;=Assumptions!$B$26,25,IF(L59=Assumptions!$B$27,50,IF(L59=Assumptions!$B$28,75,100))))</f>
        <v>100</v>
      </c>
      <c r="P59" s="21" t="n">
        <f aca="false">M59*Assumptions!$B$4+N59*Assumptions!$B$5+O59*Assumptions!$B$6</f>
        <v>67.5</v>
      </c>
      <c r="Q59" s="21" t="n">
        <f aca="false">IF(J59&lt;=Assumptions!$B$8,0,P59)</f>
        <v>67.5</v>
      </c>
      <c r="R59" s="2" t="str">
        <f aca="false">IF(Q59&gt;=Assumptions!$B$9,"High",IF(Q59&gt;=Assumptions!$B$10,"Medium","Low"))</f>
        <v>Medium</v>
      </c>
      <c r="S59" s="21" t="n">
        <f aca="false">(N59*Assumptions!$B$5+O59*Assumptions!$B$6)/(Assumptions!$B$5+Assumptions!$B$6)</f>
        <v>85</v>
      </c>
      <c r="T59" s="2" t="str">
        <f aca="false">IF(AND(J59&gt;Assumptions!$B$8,G59&lt;=Assumptions!$B$30),"Low confidence","")</f>
        <v/>
      </c>
      <c r="U59" s="2" t="n">
        <f aca="false">(J59&gt;40)+(F59&gt;2000)+(K59&lt;10)+(L59=0)</f>
        <v>4</v>
      </c>
      <c r="V59" s="21" t="n">
        <f aca="false">IF(J59&lt;20,0,IF(J59&lt;40,25,M59))*Assumptions!$B$4+N59*Assumptions!$B$5+O59*Assumptions!$B$6</f>
        <v>67.5</v>
      </c>
      <c r="W59" s="2" t="str">
        <f aca="false">IF(V59&gt;=70,"High",IF(V59&gt;=40,"Medium","Low"))</f>
        <v>Medium</v>
      </c>
    </row>
    <row r="60" customFormat="false" ht="15" hidden="false" customHeight="false" outlineLevel="0" collapsed="false">
      <c r="A60" s="2" t="s">
        <v>293</v>
      </c>
      <c r="B60" s="2" t="s">
        <v>1571</v>
      </c>
      <c r="C60" s="2" t="s">
        <v>1640</v>
      </c>
      <c r="D60" s="2" t="s">
        <v>1572</v>
      </c>
      <c r="E60" s="2" t="n">
        <v>21</v>
      </c>
      <c r="F60" s="9" t="n">
        <v>2262</v>
      </c>
      <c r="G60" s="2" t="n">
        <v>3</v>
      </c>
      <c r="H60" s="2" t="n">
        <v>2</v>
      </c>
      <c r="I60" s="2" t="n">
        <v>1</v>
      </c>
      <c r="J60" s="2" t="n">
        <v>75</v>
      </c>
      <c r="K60" s="2" t="n">
        <v>1</v>
      </c>
      <c r="L60" s="2" t="n">
        <v>1</v>
      </c>
      <c r="M60" s="2" t="n">
        <f aca="false">IF(J60&lt;=Assumptions!$B$13,0,IF(J60&lt;Assumptions!$B$14,25,IF(J60&lt;Assumptions!$B$15,50,IF(J60&lt;Assumptions!$B$16,75,100))))</f>
        <v>75</v>
      </c>
      <c r="N60" s="2" t="n">
        <f aca="false">IF(K60&gt;Assumptions!$B$19,0,IF(K60&gt;=Assumptions!$B$20,25,IF(K60&gt;=Assumptions!$B$21,50,IF(K60&gt;=Assumptions!$B$22,75,100))))</f>
        <v>100</v>
      </c>
      <c r="O60" s="2" t="n">
        <f aca="false">IF(L60&gt;=Assumptions!$B$25,0,IF(L60&gt;=Assumptions!$B$26,25,IF(L60=Assumptions!$B$27,50,IF(L60=Assumptions!$B$28,75,100))))</f>
        <v>75</v>
      </c>
      <c r="P60" s="21" t="n">
        <f aca="false">M60*Assumptions!$B$4+N60*Assumptions!$B$5+O60*Assumptions!$B$6</f>
        <v>82.5</v>
      </c>
      <c r="Q60" s="21" t="n">
        <f aca="false">IF(J60&lt;=Assumptions!$B$8,0,P60)</f>
        <v>82.5</v>
      </c>
      <c r="R60" s="2" t="str">
        <f aca="false">IF(Q60&gt;=Assumptions!$B$9,"High",IF(Q60&gt;=Assumptions!$B$10,"Medium","Low"))</f>
        <v>High</v>
      </c>
      <c r="S60" s="21" t="n">
        <f aca="false">(N60*Assumptions!$B$5+O60*Assumptions!$B$6)/(Assumptions!$B$5+Assumptions!$B$6)</f>
        <v>90</v>
      </c>
      <c r="T60" s="2" t="str">
        <f aca="false">IF(AND(J60&gt;Assumptions!$B$8,G60&lt;=Assumptions!$B$30),"Low confidence","")</f>
        <v/>
      </c>
      <c r="U60" s="2" t="n">
        <f aca="false">(J60&gt;40)+(F60&gt;2000)+(K60&lt;10)+(L60=0)</f>
        <v>3</v>
      </c>
      <c r="V60" s="21" t="n">
        <f aca="false">IF(J60&lt;20,0,IF(J60&lt;40,25,M60))*Assumptions!$B$4+N60*Assumptions!$B$5+O60*Assumptions!$B$6</f>
        <v>82.5</v>
      </c>
      <c r="W60" s="2" t="str">
        <f aca="false">IF(V60&gt;=70,"High",IF(V60&gt;=40,"Medium","Low"))</f>
        <v>High</v>
      </c>
    </row>
    <row r="61" customFormat="false" ht="15" hidden="false" customHeight="false" outlineLevel="0" collapsed="false">
      <c r="A61" s="2" t="s">
        <v>297</v>
      </c>
      <c r="B61" s="2" t="s">
        <v>1571</v>
      </c>
      <c r="C61" s="2" t="s">
        <v>1641</v>
      </c>
      <c r="D61" s="2" t="s">
        <v>1572</v>
      </c>
      <c r="E61" s="2" t="n">
        <v>28</v>
      </c>
      <c r="F61" s="9" t="n">
        <v>2214</v>
      </c>
      <c r="G61" s="2" t="n">
        <v>3</v>
      </c>
      <c r="H61" s="2" t="n">
        <v>2</v>
      </c>
      <c r="I61" s="2" t="n">
        <v>1</v>
      </c>
      <c r="J61" s="2" t="n">
        <v>80</v>
      </c>
      <c r="K61" s="2" t="n">
        <v>4</v>
      </c>
      <c r="L61" s="2" t="n">
        <v>1</v>
      </c>
      <c r="M61" s="2" t="n">
        <f aca="false">IF(J61&lt;=Assumptions!$B$13,0,IF(J61&lt;Assumptions!$B$14,25,IF(J61&lt;Assumptions!$B$15,50,IF(J61&lt;Assumptions!$B$16,75,100))))</f>
        <v>100</v>
      </c>
      <c r="N61" s="2" t="n">
        <f aca="false">IF(K61&gt;Assumptions!$B$19,0,IF(K61&gt;=Assumptions!$B$20,25,IF(K61&gt;=Assumptions!$B$21,50,IF(K61&gt;=Assumptions!$B$22,75,100))))</f>
        <v>100</v>
      </c>
      <c r="O61" s="2" t="n">
        <f aca="false">IF(L61&gt;=Assumptions!$B$25,0,IF(L61&gt;=Assumptions!$B$26,25,IF(L61=Assumptions!$B$27,50,IF(L61=Assumptions!$B$28,75,100))))</f>
        <v>75</v>
      </c>
      <c r="P61" s="21" t="n">
        <f aca="false">M61*Assumptions!$B$4+N61*Assumptions!$B$5+O61*Assumptions!$B$6</f>
        <v>95</v>
      </c>
      <c r="Q61" s="21" t="n">
        <f aca="false">IF(J61&lt;=Assumptions!$B$8,0,P61)</f>
        <v>95</v>
      </c>
      <c r="R61" s="2" t="str">
        <f aca="false">IF(Q61&gt;=Assumptions!$B$9,"High",IF(Q61&gt;=Assumptions!$B$10,"Medium","Low"))</f>
        <v>High</v>
      </c>
      <c r="S61" s="21" t="n">
        <f aca="false">(N61*Assumptions!$B$5+O61*Assumptions!$B$6)/(Assumptions!$B$5+Assumptions!$B$6)</f>
        <v>90</v>
      </c>
      <c r="T61" s="2" t="str">
        <f aca="false">IF(AND(J61&gt;Assumptions!$B$8,G61&lt;=Assumptions!$B$30),"Low confidence","")</f>
        <v/>
      </c>
      <c r="U61" s="2" t="n">
        <f aca="false">(J61&gt;40)+(F61&gt;2000)+(K61&lt;10)+(L61=0)</f>
        <v>3</v>
      </c>
      <c r="V61" s="21" t="n">
        <f aca="false">IF(J61&lt;20,0,IF(J61&lt;40,25,M61))*Assumptions!$B$4+N61*Assumptions!$B$5+O61*Assumptions!$B$6</f>
        <v>95</v>
      </c>
      <c r="W61" s="2" t="str">
        <f aca="false">IF(V61&gt;=70,"High",IF(V61&gt;=40,"Medium","Low"))</f>
        <v>High</v>
      </c>
    </row>
    <row r="62" customFormat="false" ht="15" hidden="false" customHeight="false" outlineLevel="0" collapsed="false">
      <c r="A62" s="2" t="s">
        <v>301</v>
      </c>
      <c r="B62" s="2" t="s">
        <v>1571</v>
      </c>
      <c r="C62" s="2" t="s">
        <v>1640</v>
      </c>
      <c r="D62" s="2" t="s">
        <v>1572</v>
      </c>
      <c r="E62" s="2" t="n">
        <v>7</v>
      </c>
      <c r="F62" s="9" t="n">
        <v>2116</v>
      </c>
      <c r="G62" s="2" t="n">
        <v>4</v>
      </c>
      <c r="H62" s="2" t="n">
        <v>3</v>
      </c>
      <c r="I62" s="2" t="n">
        <v>1</v>
      </c>
      <c r="J62" s="2" t="n">
        <v>63</v>
      </c>
      <c r="K62" s="2" t="n">
        <v>3</v>
      </c>
      <c r="L62" s="2" t="n">
        <v>1</v>
      </c>
      <c r="M62" s="2" t="n">
        <f aca="false">IF(J62&lt;=Assumptions!$B$13,0,IF(J62&lt;Assumptions!$B$14,25,IF(J62&lt;Assumptions!$B$15,50,IF(J62&lt;Assumptions!$B$16,75,100))))</f>
        <v>75</v>
      </c>
      <c r="N62" s="2" t="n">
        <f aca="false">IF(K62&gt;Assumptions!$B$19,0,IF(K62&gt;=Assumptions!$B$20,25,IF(K62&gt;=Assumptions!$B$21,50,IF(K62&gt;=Assumptions!$B$22,75,100))))</f>
        <v>100</v>
      </c>
      <c r="O62" s="2" t="n">
        <f aca="false">IF(L62&gt;=Assumptions!$B$25,0,IF(L62&gt;=Assumptions!$B$26,25,IF(L62=Assumptions!$B$27,50,IF(L62=Assumptions!$B$28,75,100))))</f>
        <v>75</v>
      </c>
      <c r="P62" s="21" t="n">
        <f aca="false">M62*Assumptions!$B$4+N62*Assumptions!$B$5+O62*Assumptions!$B$6</f>
        <v>82.5</v>
      </c>
      <c r="Q62" s="21" t="n">
        <f aca="false">IF(J62&lt;=Assumptions!$B$8,0,P62)</f>
        <v>82.5</v>
      </c>
      <c r="R62" s="2" t="str">
        <f aca="false">IF(Q62&gt;=Assumptions!$B$9,"High",IF(Q62&gt;=Assumptions!$B$10,"Medium","Low"))</f>
        <v>High</v>
      </c>
      <c r="S62" s="21" t="n">
        <f aca="false">(N62*Assumptions!$B$5+O62*Assumptions!$B$6)/(Assumptions!$B$5+Assumptions!$B$6)</f>
        <v>90</v>
      </c>
      <c r="T62" s="2" t="str">
        <f aca="false">IF(AND(J62&gt;Assumptions!$B$8,G62&lt;=Assumptions!$B$30),"Low confidence","")</f>
        <v/>
      </c>
      <c r="U62" s="2" t="n">
        <f aca="false">(J62&gt;40)+(F62&gt;2000)+(K62&lt;10)+(L62=0)</f>
        <v>3</v>
      </c>
      <c r="V62" s="21" t="n">
        <f aca="false">IF(J62&lt;20,0,IF(J62&lt;40,25,M62))*Assumptions!$B$4+N62*Assumptions!$B$5+O62*Assumptions!$B$6</f>
        <v>82.5</v>
      </c>
      <c r="W62" s="2" t="str">
        <f aca="false">IF(V62&gt;=70,"High",IF(V62&gt;=40,"Medium","Low"))</f>
        <v>High</v>
      </c>
    </row>
    <row r="63" customFormat="false" ht="15" hidden="false" customHeight="false" outlineLevel="0" collapsed="false">
      <c r="A63" s="2" t="s">
        <v>304</v>
      </c>
      <c r="B63" s="2" t="s">
        <v>1571</v>
      </c>
      <c r="C63" s="2" t="s">
        <v>1640</v>
      </c>
      <c r="D63" s="2" t="s">
        <v>1572</v>
      </c>
      <c r="E63" s="2" t="n">
        <v>14</v>
      </c>
      <c r="F63" s="9" t="n">
        <v>2031</v>
      </c>
      <c r="G63" s="2" t="n">
        <v>5</v>
      </c>
      <c r="H63" s="2" t="n">
        <v>2</v>
      </c>
      <c r="I63" s="2" t="n">
        <v>3</v>
      </c>
      <c r="J63" s="2" t="n">
        <v>47</v>
      </c>
      <c r="K63" s="2" t="n">
        <v>6</v>
      </c>
      <c r="L63" s="2" t="n">
        <v>0</v>
      </c>
      <c r="M63" s="2" t="n">
        <f aca="false">IF(J63&lt;=Assumptions!$B$13,0,IF(J63&lt;Assumptions!$B$14,25,IF(J63&lt;Assumptions!$B$15,50,IF(J63&lt;Assumptions!$B$16,75,100))))</f>
        <v>50</v>
      </c>
      <c r="N63" s="2" t="n">
        <f aca="false">IF(K63&gt;Assumptions!$B$19,0,IF(K63&gt;=Assumptions!$B$20,25,IF(K63&gt;=Assumptions!$B$21,50,IF(K63&gt;=Assumptions!$B$22,75,100))))</f>
        <v>75</v>
      </c>
      <c r="O63" s="2" t="n">
        <f aca="false">IF(L63&gt;=Assumptions!$B$25,0,IF(L63&gt;=Assumptions!$B$26,25,IF(L63=Assumptions!$B$27,50,IF(L63=Assumptions!$B$28,75,100))))</f>
        <v>100</v>
      </c>
      <c r="P63" s="21" t="n">
        <f aca="false">M63*Assumptions!$B$4+N63*Assumptions!$B$5+O63*Assumptions!$B$6</f>
        <v>67.5</v>
      </c>
      <c r="Q63" s="21" t="n">
        <f aca="false">IF(J63&lt;=Assumptions!$B$8,0,P63)</f>
        <v>67.5</v>
      </c>
      <c r="R63" s="2" t="str">
        <f aca="false">IF(Q63&gt;=Assumptions!$B$9,"High",IF(Q63&gt;=Assumptions!$B$10,"Medium","Low"))</f>
        <v>Medium</v>
      </c>
      <c r="S63" s="21" t="n">
        <f aca="false">(N63*Assumptions!$B$5+O63*Assumptions!$B$6)/(Assumptions!$B$5+Assumptions!$B$6)</f>
        <v>85</v>
      </c>
      <c r="T63" s="2" t="str">
        <f aca="false">IF(AND(J63&gt;Assumptions!$B$8,G63&lt;=Assumptions!$B$30),"Low confidence","")</f>
        <v/>
      </c>
      <c r="U63" s="2" t="n">
        <f aca="false">(J63&gt;40)+(F63&gt;2000)+(K63&lt;10)+(L63=0)</f>
        <v>4</v>
      </c>
      <c r="V63" s="21" t="n">
        <f aca="false">IF(J63&lt;20,0,IF(J63&lt;40,25,M63))*Assumptions!$B$4+N63*Assumptions!$B$5+O63*Assumptions!$B$6</f>
        <v>67.5</v>
      </c>
      <c r="W63" s="2" t="str">
        <f aca="false">IF(V63&gt;=70,"High",IF(V63&gt;=40,"Medium","Low"))</f>
        <v>Medium</v>
      </c>
    </row>
    <row r="64" customFormat="false" ht="15" hidden="false" customHeight="false" outlineLevel="0" collapsed="false">
      <c r="A64" s="2" t="s">
        <v>568</v>
      </c>
      <c r="B64" s="2" t="s">
        <v>1571</v>
      </c>
      <c r="C64" s="2" t="s">
        <v>1640</v>
      </c>
      <c r="D64" s="2" t="s">
        <v>1572</v>
      </c>
      <c r="E64" s="2" t="n">
        <v>35</v>
      </c>
      <c r="F64" s="9" t="n">
        <v>1963</v>
      </c>
      <c r="G64" s="2" t="n">
        <v>1</v>
      </c>
      <c r="H64" s="2" t="n">
        <v>0</v>
      </c>
      <c r="I64" s="2" t="n">
        <v>1</v>
      </c>
      <c r="J64" s="2" t="n">
        <v>16</v>
      </c>
      <c r="K64" s="2" t="n">
        <v>26</v>
      </c>
      <c r="L64" s="2" t="n">
        <v>1</v>
      </c>
      <c r="M64" s="2" t="n">
        <f aca="false">IF(J64&lt;=Assumptions!$B$13,0,IF(J64&lt;Assumptions!$B$14,25,IF(J64&lt;Assumptions!$B$15,50,IF(J64&lt;Assumptions!$B$16,75,100))))</f>
        <v>0</v>
      </c>
      <c r="N64" s="2" t="n">
        <f aca="false">IF(K64&gt;Assumptions!$B$19,0,IF(K64&gt;=Assumptions!$B$20,25,IF(K64&gt;=Assumptions!$B$21,50,IF(K64&gt;=Assumptions!$B$22,75,100))))</f>
        <v>25</v>
      </c>
      <c r="O64" s="2" t="n">
        <f aca="false">IF(L64&gt;=Assumptions!$B$25,0,IF(L64&gt;=Assumptions!$B$26,25,IF(L64=Assumptions!$B$27,50,IF(L64=Assumptions!$B$28,75,100))))</f>
        <v>75</v>
      </c>
      <c r="P64" s="21" t="n">
        <f aca="false">M64*Assumptions!$B$4+N64*Assumptions!$B$5+O64*Assumptions!$B$6</f>
        <v>22.5</v>
      </c>
      <c r="Q64" s="21" t="n">
        <f aca="false">IF(J64&lt;=Assumptions!$B$8,0,P64)</f>
        <v>0</v>
      </c>
      <c r="R64" s="2" t="str">
        <f aca="false">IF(Q64&gt;=Assumptions!$B$9,"High",IF(Q64&gt;=Assumptions!$B$10,"Medium","Low"))</f>
        <v>Low</v>
      </c>
      <c r="S64" s="21" t="n">
        <f aca="false">(N64*Assumptions!$B$5+O64*Assumptions!$B$6)/(Assumptions!$B$5+Assumptions!$B$6)</f>
        <v>45</v>
      </c>
      <c r="T64" s="2" t="str">
        <f aca="false">IF(AND(J64&gt;Assumptions!$B$8,G64&lt;=Assumptions!$B$30),"Low confidence","")</f>
        <v/>
      </c>
      <c r="U64" s="2" t="n">
        <f aca="false">(J64&gt;40)+(F64&gt;2000)+(K64&lt;10)+(L64=0)</f>
        <v>0</v>
      </c>
      <c r="V64" s="21" t="n">
        <f aca="false">IF(J64&lt;20,0,IF(J64&lt;40,25,M64))*Assumptions!$B$4+N64*Assumptions!$B$5+O64*Assumptions!$B$6</f>
        <v>22.5</v>
      </c>
      <c r="W64" s="2" t="str">
        <f aca="false">IF(V64&gt;=70,"High",IF(V64&gt;=40,"Medium","Low"))</f>
        <v>Low</v>
      </c>
    </row>
    <row r="65" customFormat="false" ht="15" hidden="false" customHeight="false" outlineLevel="0" collapsed="false">
      <c r="A65" s="2" t="s">
        <v>473</v>
      </c>
      <c r="B65" s="2" t="s">
        <v>1571</v>
      </c>
      <c r="C65" s="2" t="s">
        <v>1641</v>
      </c>
      <c r="D65" s="2" t="s">
        <v>1572</v>
      </c>
      <c r="E65" s="2" t="n">
        <v>9</v>
      </c>
      <c r="F65" s="9" t="n">
        <v>1911</v>
      </c>
      <c r="G65" s="2" t="n">
        <v>15</v>
      </c>
      <c r="H65" s="2" t="n">
        <v>10</v>
      </c>
      <c r="I65" s="2" t="n">
        <v>5</v>
      </c>
      <c r="J65" s="2" t="n">
        <v>68</v>
      </c>
      <c r="K65" s="2" t="n">
        <v>4</v>
      </c>
      <c r="L65" s="2" t="n">
        <v>2</v>
      </c>
      <c r="M65" s="2" t="n">
        <f aca="false">IF(J65&lt;=Assumptions!$B$13,0,IF(J65&lt;Assumptions!$B$14,25,IF(J65&lt;Assumptions!$B$15,50,IF(J65&lt;Assumptions!$B$16,75,100))))</f>
        <v>75</v>
      </c>
      <c r="N65" s="2" t="n">
        <f aca="false">IF(K65&gt;Assumptions!$B$19,0,IF(K65&gt;=Assumptions!$B$20,25,IF(K65&gt;=Assumptions!$B$21,50,IF(K65&gt;=Assumptions!$B$22,75,100))))</f>
        <v>100</v>
      </c>
      <c r="O65" s="2" t="n">
        <f aca="false">IF(L65&gt;=Assumptions!$B$25,0,IF(L65&gt;=Assumptions!$B$26,25,IF(L65=Assumptions!$B$27,50,IF(L65=Assumptions!$B$28,75,100))))</f>
        <v>50</v>
      </c>
      <c r="P65" s="21" t="n">
        <f aca="false">M65*Assumptions!$B$4+N65*Assumptions!$B$5+O65*Assumptions!$B$6</f>
        <v>77.5</v>
      </c>
      <c r="Q65" s="21" t="n">
        <f aca="false">IF(J65&lt;=Assumptions!$B$8,0,P65)</f>
        <v>77.5</v>
      </c>
      <c r="R65" s="2" t="str">
        <f aca="false">IF(Q65&gt;=Assumptions!$B$9,"High",IF(Q65&gt;=Assumptions!$B$10,"Medium","Low"))</f>
        <v>High</v>
      </c>
      <c r="S65" s="21" t="n">
        <f aca="false">(N65*Assumptions!$B$5+O65*Assumptions!$B$6)/(Assumptions!$B$5+Assumptions!$B$6)</f>
        <v>80</v>
      </c>
      <c r="T65" s="2" t="str">
        <f aca="false">IF(AND(J65&gt;Assumptions!$B$8,G65&lt;=Assumptions!$B$30),"Low confidence","")</f>
        <v/>
      </c>
      <c r="U65" s="2" t="n">
        <f aca="false">(J65&gt;40)+(F65&gt;2000)+(K65&lt;10)+(L65=0)</f>
        <v>2</v>
      </c>
      <c r="V65" s="21" t="n">
        <f aca="false">IF(J65&lt;20,0,IF(J65&lt;40,25,M65))*Assumptions!$B$4+N65*Assumptions!$B$5+O65*Assumptions!$B$6</f>
        <v>77.5</v>
      </c>
      <c r="W65" s="2" t="str">
        <f aca="false">IF(V65&gt;=70,"High",IF(V65&gt;=40,"Medium","Low"))</f>
        <v>High</v>
      </c>
    </row>
    <row r="66" customFormat="false" ht="15" hidden="false" customHeight="false" outlineLevel="0" collapsed="false">
      <c r="A66" s="2" t="s">
        <v>490</v>
      </c>
      <c r="B66" s="2" t="s">
        <v>1571</v>
      </c>
      <c r="C66" s="2" t="s">
        <v>1640</v>
      </c>
      <c r="D66" s="2" t="s">
        <v>1572</v>
      </c>
      <c r="E66" s="2" t="n">
        <v>9</v>
      </c>
      <c r="F66" s="9" t="n">
        <v>1812</v>
      </c>
      <c r="G66" s="2" t="n">
        <v>5</v>
      </c>
      <c r="H66" s="2" t="n">
        <v>0</v>
      </c>
      <c r="I66" s="2" t="n">
        <v>5</v>
      </c>
      <c r="J66" s="2" t="n">
        <v>2</v>
      </c>
      <c r="K66" s="2" t="n">
        <v>55</v>
      </c>
      <c r="L66" s="2" t="n">
        <v>4</v>
      </c>
      <c r="M66" s="2" t="n">
        <f aca="false">IF(J66&lt;=Assumptions!$B$13,0,IF(J66&lt;Assumptions!$B$14,25,IF(J66&lt;Assumptions!$B$15,50,IF(J66&lt;Assumptions!$B$16,75,100))))</f>
        <v>0</v>
      </c>
      <c r="N66" s="2" t="n">
        <f aca="false">IF(K66&gt;Assumptions!$B$19,0,IF(K66&gt;=Assumptions!$B$20,25,IF(K66&gt;=Assumptions!$B$21,50,IF(K66&gt;=Assumptions!$B$22,75,100))))</f>
        <v>0</v>
      </c>
      <c r="O66" s="2" t="n">
        <f aca="false">IF(L66&gt;=Assumptions!$B$25,0,IF(L66&gt;=Assumptions!$B$26,25,IF(L66=Assumptions!$B$27,50,IF(L66=Assumptions!$B$28,75,100))))</f>
        <v>25</v>
      </c>
      <c r="P66" s="21" t="n">
        <f aca="false">M66*Assumptions!$B$4+N66*Assumptions!$B$5+O66*Assumptions!$B$6</f>
        <v>5</v>
      </c>
      <c r="Q66" s="21" t="n">
        <f aca="false">IF(J66&lt;=Assumptions!$B$8,0,P66)</f>
        <v>0</v>
      </c>
      <c r="R66" s="2" t="str">
        <f aca="false">IF(Q66&gt;=Assumptions!$B$9,"High",IF(Q66&gt;=Assumptions!$B$10,"Medium","Low"))</f>
        <v>Low</v>
      </c>
      <c r="S66" s="21" t="n">
        <f aca="false">(N66*Assumptions!$B$5+O66*Assumptions!$B$6)/(Assumptions!$B$5+Assumptions!$B$6)</f>
        <v>10</v>
      </c>
      <c r="T66" s="2" t="str">
        <f aca="false">IF(AND(J66&gt;Assumptions!$B$8,G66&lt;=Assumptions!$B$30),"Low confidence","")</f>
        <v/>
      </c>
      <c r="U66" s="2" t="n">
        <f aca="false">(J66&gt;40)+(F66&gt;2000)+(K66&lt;10)+(L66=0)</f>
        <v>0</v>
      </c>
      <c r="V66" s="21" t="n">
        <f aca="false">IF(J66&lt;20,0,IF(J66&lt;40,25,M66))*Assumptions!$B$4+N66*Assumptions!$B$5+O66*Assumptions!$B$6</f>
        <v>5</v>
      </c>
      <c r="W66" s="2" t="str">
        <f aca="false">IF(V66&gt;=70,"High",IF(V66&gt;=40,"Medium","Low"))</f>
        <v>Low</v>
      </c>
    </row>
    <row r="67" customFormat="false" ht="15" hidden="false" customHeight="false" outlineLevel="0" collapsed="false">
      <c r="A67" s="2" t="s">
        <v>574</v>
      </c>
      <c r="B67" s="2" t="s">
        <v>1571</v>
      </c>
      <c r="C67" s="2" t="s">
        <v>1640</v>
      </c>
      <c r="D67" s="2"/>
      <c r="E67" s="2" t="n">
        <v>6</v>
      </c>
      <c r="F67" s="9" t="n">
        <v>1791</v>
      </c>
      <c r="G67" s="2" t="n">
        <v>3</v>
      </c>
      <c r="H67" s="2" t="n">
        <v>0</v>
      </c>
      <c r="I67" s="2" t="n">
        <v>3</v>
      </c>
      <c r="J67" s="2" t="n">
        <v>2</v>
      </c>
      <c r="K67" s="2" t="n">
        <v>32</v>
      </c>
      <c r="L67" s="2" t="n">
        <v>1</v>
      </c>
      <c r="M67" s="2" t="n">
        <f aca="false">IF(J67&lt;=Assumptions!$B$13,0,IF(J67&lt;Assumptions!$B$14,25,IF(J67&lt;Assumptions!$B$15,50,IF(J67&lt;Assumptions!$B$16,75,100))))</f>
        <v>0</v>
      </c>
      <c r="N67" s="2" t="n">
        <f aca="false">IF(K67&gt;Assumptions!$B$19,0,IF(K67&gt;=Assumptions!$B$20,25,IF(K67&gt;=Assumptions!$B$21,50,IF(K67&gt;=Assumptions!$B$22,75,100))))</f>
        <v>0</v>
      </c>
      <c r="O67" s="2" t="n">
        <f aca="false">IF(L67&gt;=Assumptions!$B$25,0,IF(L67&gt;=Assumptions!$B$26,25,IF(L67=Assumptions!$B$27,50,IF(L67=Assumptions!$B$28,75,100))))</f>
        <v>75</v>
      </c>
      <c r="P67" s="21" t="n">
        <f aca="false">M67*Assumptions!$B$4+N67*Assumptions!$B$5+O67*Assumptions!$B$6</f>
        <v>15</v>
      </c>
      <c r="Q67" s="21" t="n">
        <f aca="false">IF(J67&lt;=Assumptions!$B$8,0,P67)</f>
        <v>0</v>
      </c>
      <c r="R67" s="2" t="str">
        <f aca="false">IF(Q67&gt;=Assumptions!$B$9,"High",IF(Q67&gt;=Assumptions!$B$10,"Medium","Low"))</f>
        <v>Low</v>
      </c>
      <c r="S67" s="21" t="n">
        <f aca="false">(N67*Assumptions!$B$5+O67*Assumptions!$B$6)/(Assumptions!$B$5+Assumptions!$B$6)</f>
        <v>30</v>
      </c>
      <c r="T67" s="2" t="str">
        <f aca="false">IF(AND(J67&gt;Assumptions!$B$8,G67&lt;=Assumptions!$B$30),"Low confidence","")</f>
        <v/>
      </c>
      <c r="U67" s="2" t="n">
        <f aca="false">(J67&gt;40)+(F67&gt;2000)+(K67&lt;10)+(L67=0)</f>
        <v>0</v>
      </c>
      <c r="V67" s="21" t="n">
        <f aca="false">IF(J67&lt;20,0,IF(J67&lt;40,25,M67))*Assumptions!$B$4+N67*Assumptions!$B$5+O67*Assumptions!$B$6</f>
        <v>15</v>
      </c>
      <c r="W67" s="2" t="str">
        <f aca="false">IF(V67&gt;=70,"High",IF(V67&gt;=40,"Medium","Low"))</f>
        <v>Low</v>
      </c>
    </row>
    <row r="68" customFormat="false" ht="15" hidden="false" customHeight="false" outlineLevel="0" collapsed="false">
      <c r="A68" s="2" t="s">
        <v>504</v>
      </c>
      <c r="B68" s="2" t="s">
        <v>1571</v>
      </c>
      <c r="C68" s="2" t="s">
        <v>1640</v>
      </c>
      <c r="D68" s="2" t="s">
        <v>1572</v>
      </c>
      <c r="E68" s="2" t="n">
        <v>14</v>
      </c>
      <c r="F68" s="9" t="n">
        <v>1759</v>
      </c>
      <c r="G68" s="2" t="n">
        <v>9</v>
      </c>
      <c r="H68" s="2" t="n">
        <v>6</v>
      </c>
      <c r="I68" s="2" t="n">
        <v>3</v>
      </c>
      <c r="J68" s="2" t="n">
        <v>66</v>
      </c>
      <c r="K68" s="2" t="n">
        <v>2</v>
      </c>
      <c r="L68" s="2" t="n">
        <v>2</v>
      </c>
      <c r="M68" s="2" t="n">
        <f aca="false">IF(J68&lt;=Assumptions!$B$13,0,IF(J68&lt;Assumptions!$B$14,25,IF(J68&lt;Assumptions!$B$15,50,IF(J68&lt;Assumptions!$B$16,75,100))))</f>
        <v>75</v>
      </c>
      <c r="N68" s="2" t="n">
        <f aca="false">IF(K68&gt;Assumptions!$B$19,0,IF(K68&gt;=Assumptions!$B$20,25,IF(K68&gt;=Assumptions!$B$21,50,IF(K68&gt;=Assumptions!$B$22,75,100))))</f>
        <v>100</v>
      </c>
      <c r="O68" s="2" t="n">
        <f aca="false">IF(L68&gt;=Assumptions!$B$25,0,IF(L68&gt;=Assumptions!$B$26,25,IF(L68=Assumptions!$B$27,50,IF(L68=Assumptions!$B$28,75,100))))</f>
        <v>50</v>
      </c>
      <c r="P68" s="21" t="n">
        <f aca="false">M68*Assumptions!$B$4+N68*Assumptions!$B$5+O68*Assumptions!$B$6</f>
        <v>77.5</v>
      </c>
      <c r="Q68" s="21" t="n">
        <f aca="false">IF(J68&lt;=Assumptions!$B$8,0,P68)</f>
        <v>77.5</v>
      </c>
      <c r="R68" s="2" t="str">
        <f aca="false">IF(Q68&gt;=Assumptions!$B$9,"High",IF(Q68&gt;=Assumptions!$B$10,"Medium","Low"))</f>
        <v>High</v>
      </c>
      <c r="S68" s="21" t="n">
        <f aca="false">(N68*Assumptions!$B$5+O68*Assumptions!$B$6)/(Assumptions!$B$5+Assumptions!$B$6)</f>
        <v>80</v>
      </c>
      <c r="T68" s="2" t="str">
        <f aca="false">IF(AND(J68&gt;Assumptions!$B$8,G68&lt;=Assumptions!$B$30),"Low confidence","")</f>
        <v/>
      </c>
      <c r="U68" s="2" t="n">
        <f aca="false">(J68&gt;40)+(F68&gt;2000)+(K68&lt;10)+(L68=0)</f>
        <v>2</v>
      </c>
      <c r="V68" s="21" t="n">
        <f aca="false">IF(J68&lt;20,0,IF(J68&lt;40,25,M68))*Assumptions!$B$4+N68*Assumptions!$B$5+O68*Assumptions!$B$6</f>
        <v>77.5</v>
      </c>
      <c r="W68" s="2" t="str">
        <f aca="false">IF(V68&gt;=70,"High",IF(V68&gt;=40,"Medium","Low"))</f>
        <v>High</v>
      </c>
    </row>
    <row r="69" customFormat="false" ht="15" hidden="false" customHeight="false" outlineLevel="0" collapsed="false">
      <c r="A69" s="2" t="s">
        <v>507</v>
      </c>
      <c r="B69" s="2" t="s">
        <v>1571</v>
      </c>
      <c r="C69" s="2" t="s">
        <v>1640</v>
      </c>
      <c r="D69" s="2" t="s">
        <v>1572</v>
      </c>
      <c r="E69" s="2" t="n">
        <v>19</v>
      </c>
      <c r="F69" s="9" t="n">
        <v>1706</v>
      </c>
      <c r="G69" s="2" t="n">
        <v>5</v>
      </c>
      <c r="H69" s="2" t="n">
        <v>0</v>
      </c>
      <c r="I69" s="2" t="n">
        <v>5</v>
      </c>
      <c r="J69" s="2" t="n">
        <v>4</v>
      </c>
      <c r="K69" s="2" t="n">
        <v>31</v>
      </c>
      <c r="L69" s="2" t="n">
        <v>5</v>
      </c>
      <c r="M69" s="2" t="n">
        <f aca="false">IF(J69&lt;=Assumptions!$B$13,0,IF(J69&lt;Assumptions!$B$14,25,IF(J69&lt;Assumptions!$B$15,50,IF(J69&lt;Assumptions!$B$16,75,100))))</f>
        <v>0</v>
      </c>
      <c r="N69" s="2" t="n">
        <f aca="false">IF(K69&gt;Assumptions!$B$19,0,IF(K69&gt;=Assumptions!$B$20,25,IF(K69&gt;=Assumptions!$B$21,50,IF(K69&gt;=Assumptions!$B$22,75,100))))</f>
        <v>0</v>
      </c>
      <c r="O69" s="2" t="n">
        <f aca="false">IF(L69&gt;=Assumptions!$B$25,0,IF(L69&gt;=Assumptions!$B$26,25,IF(L69=Assumptions!$B$27,50,IF(L69=Assumptions!$B$28,75,100))))</f>
        <v>0</v>
      </c>
      <c r="P69" s="21" t="n">
        <f aca="false">M69*Assumptions!$B$4+N69*Assumptions!$B$5+O69*Assumptions!$B$6</f>
        <v>0</v>
      </c>
      <c r="Q69" s="21" t="n">
        <f aca="false">IF(J69&lt;=Assumptions!$B$8,0,P69)</f>
        <v>0</v>
      </c>
      <c r="R69" s="2" t="str">
        <f aca="false">IF(Q69&gt;=Assumptions!$B$9,"High",IF(Q69&gt;=Assumptions!$B$10,"Medium","Low"))</f>
        <v>Low</v>
      </c>
      <c r="S69" s="21" t="n">
        <f aca="false">(N69*Assumptions!$B$5+O69*Assumptions!$B$6)/(Assumptions!$B$5+Assumptions!$B$6)</f>
        <v>0</v>
      </c>
      <c r="T69" s="2" t="str">
        <f aca="false">IF(AND(J69&gt;Assumptions!$B$8,G69&lt;=Assumptions!$B$30),"Low confidence","")</f>
        <v/>
      </c>
      <c r="U69" s="2" t="n">
        <f aca="false">(J69&gt;40)+(F69&gt;2000)+(K69&lt;10)+(L69=0)</f>
        <v>0</v>
      </c>
      <c r="V69" s="21" t="n">
        <f aca="false">IF(J69&lt;20,0,IF(J69&lt;40,25,M69))*Assumptions!$B$4+N69*Assumptions!$B$5+O69*Assumptions!$B$6</f>
        <v>0</v>
      </c>
      <c r="W69" s="2" t="str">
        <f aca="false">IF(V69&gt;=70,"High",IF(V69&gt;=40,"Medium","Low"))</f>
        <v>Low</v>
      </c>
    </row>
    <row r="70" customFormat="false" ht="15" hidden="false" customHeight="false" outlineLevel="0" collapsed="false">
      <c r="A70" s="2" t="s">
        <v>577</v>
      </c>
      <c r="B70" s="2" t="s">
        <v>1571</v>
      </c>
      <c r="C70" s="2" t="s">
        <v>1640</v>
      </c>
      <c r="D70" s="2" t="s">
        <v>1572</v>
      </c>
      <c r="E70" s="2" t="n">
        <v>9</v>
      </c>
      <c r="F70" s="9" t="n">
        <v>1682</v>
      </c>
      <c r="G70" s="2" t="n">
        <v>8</v>
      </c>
      <c r="H70" s="2" t="n">
        <v>1</v>
      </c>
      <c r="I70" s="2" t="n">
        <v>7</v>
      </c>
      <c r="J70" s="2" t="n">
        <v>12</v>
      </c>
      <c r="K70" s="2" t="n">
        <v>76</v>
      </c>
      <c r="L70" s="2" t="n">
        <v>4</v>
      </c>
      <c r="M70" s="2" t="n">
        <f aca="false">IF(J70&lt;=Assumptions!$B$13,0,IF(J70&lt;Assumptions!$B$14,25,IF(J70&lt;Assumptions!$B$15,50,IF(J70&lt;Assumptions!$B$16,75,100))))</f>
        <v>0</v>
      </c>
      <c r="N70" s="2" t="n">
        <f aca="false">IF(K70&gt;Assumptions!$B$19,0,IF(K70&gt;=Assumptions!$B$20,25,IF(K70&gt;=Assumptions!$B$21,50,IF(K70&gt;=Assumptions!$B$22,75,100))))</f>
        <v>0</v>
      </c>
      <c r="O70" s="2" t="n">
        <f aca="false">IF(L70&gt;=Assumptions!$B$25,0,IF(L70&gt;=Assumptions!$B$26,25,IF(L70=Assumptions!$B$27,50,IF(L70=Assumptions!$B$28,75,100))))</f>
        <v>25</v>
      </c>
      <c r="P70" s="21" t="n">
        <f aca="false">M70*Assumptions!$B$4+N70*Assumptions!$B$5+O70*Assumptions!$B$6</f>
        <v>5</v>
      </c>
      <c r="Q70" s="21" t="n">
        <f aca="false">IF(J70&lt;=Assumptions!$B$8,0,P70)</f>
        <v>0</v>
      </c>
      <c r="R70" s="2" t="str">
        <f aca="false">IF(Q70&gt;=Assumptions!$B$9,"High",IF(Q70&gt;=Assumptions!$B$10,"Medium","Low"))</f>
        <v>Low</v>
      </c>
      <c r="S70" s="21" t="n">
        <f aca="false">(N70*Assumptions!$B$5+O70*Assumptions!$B$6)/(Assumptions!$B$5+Assumptions!$B$6)</f>
        <v>10</v>
      </c>
      <c r="T70" s="2" t="str">
        <f aca="false">IF(AND(J70&gt;Assumptions!$B$8,G70&lt;=Assumptions!$B$30),"Low confidence","")</f>
        <v/>
      </c>
      <c r="U70" s="2" t="n">
        <f aca="false">(J70&gt;40)+(F70&gt;2000)+(K70&lt;10)+(L70=0)</f>
        <v>0</v>
      </c>
      <c r="V70" s="21" t="n">
        <f aca="false">IF(J70&lt;20,0,IF(J70&lt;40,25,M70))*Assumptions!$B$4+N70*Assumptions!$B$5+O70*Assumptions!$B$6</f>
        <v>5</v>
      </c>
      <c r="W70" s="2" t="str">
        <f aca="false">IF(V70&gt;=70,"High",IF(V70&gt;=40,"Medium","Low"))</f>
        <v>Low</v>
      </c>
    </row>
    <row r="71" customFormat="false" ht="15" hidden="false" customHeight="false" outlineLevel="0" collapsed="false">
      <c r="A71" s="2" t="s">
        <v>582</v>
      </c>
      <c r="B71" s="2" t="s">
        <v>1571</v>
      </c>
      <c r="C71" s="2" t="s">
        <v>1640</v>
      </c>
      <c r="D71" s="2" t="s">
        <v>1572</v>
      </c>
      <c r="E71" s="2" t="n">
        <v>7</v>
      </c>
      <c r="F71" s="9" t="n">
        <v>1671</v>
      </c>
      <c r="G71" s="2" t="n">
        <v>1</v>
      </c>
      <c r="H71" s="2" t="n">
        <v>0</v>
      </c>
      <c r="I71" s="2" t="n">
        <v>1</v>
      </c>
      <c r="J71" s="2" t="n">
        <v>12</v>
      </c>
      <c r="K71" s="2" t="n">
        <v>11</v>
      </c>
      <c r="L71" s="2" t="n">
        <v>10</v>
      </c>
      <c r="M71" s="2" t="n">
        <f aca="false">IF(J71&lt;=Assumptions!$B$13,0,IF(J71&lt;Assumptions!$B$14,25,IF(J71&lt;Assumptions!$B$15,50,IF(J71&lt;Assumptions!$B$16,75,100))))</f>
        <v>0</v>
      </c>
      <c r="N71" s="2" t="n">
        <f aca="false">IF(K71&gt;Assumptions!$B$19,0,IF(K71&gt;=Assumptions!$B$20,25,IF(K71&gt;=Assumptions!$B$21,50,IF(K71&gt;=Assumptions!$B$22,75,100))))</f>
        <v>50</v>
      </c>
      <c r="O71" s="2" t="n">
        <f aca="false">IF(L71&gt;=Assumptions!$B$25,0,IF(L71&gt;=Assumptions!$B$26,25,IF(L71=Assumptions!$B$27,50,IF(L71=Assumptions!$B$28,75,100))))</f>
        <v>0</v>
      </c>
      <c r="P71" s="21" t="n">
        <f aca="false">M71*Assumptions!$B$4+N71*Assumptions!$B$5+O71*Assumptions!$B$6</f>
        <v>15</v>
      </c>
      <c r="Q71" s="21" t="n">
        <f aca="false">IF(J71&lt;=Assumptions!$B$8,0,P71)</f>
        <v>0</v>
      </c>
      <c r="R71" s="2" t="str">
        <f aca="false">IF(Q71&gt;=Assumptions!$B$9,"High",IF(Q71&gt;=Assumptions!$B$10,"Medium","Low"))</f>
        <v>Low</v>
      </c>
      <c r="S71" s="21" t="n">
        <f aca="false">(N71*Assumptions!$B$5+O71*Assumptions!$B$6)/(Assumptions!$B$5+Assumptions!$B$6)</f>
        <v>30</v>
      </c>
      <c r="T71" s="2" t="str">
        <f aca="false">IF(AND(J71&gt;Assumptions!$B$8,G71&lt;=Assumptions!$B$30),"Low confidence","")</f>
        <v/>
      </c>
      <c r="U71" s="2" t="n">
        <f aca="false">(J71&gt;40)+(F71&gt;2000)+(K71&lt;10)+(L71=0)</f>
        <v>0</v>
      </c>
      <c r="V71" s="21" t="n">
        <f aca="false">IF(J71&lt;20,0,IF(J71&lt;40,25,M71))*Assumptions!$B$4+N71*Assumptions!$B$5+O71*Assumptions!$B$6</f>
        <v>15</v>
      </c>
      <c r="W71" s="2" t="str">
        <f aca="false">IF(V71&gt;=70,"High",IF(V71&gt;=40,"Medium","Low"))</f>
        <v>Low</v>
      </c>
    </row>
    <row r="72" customFormat="false" ht="15" hidden="false" customHeight="false" outlineLevel="0" collapsed="false">
      <c r="A72" s="2" t="s">
        <v>510</v>
      </c>
      <c r="B72" s="2" t="s">
        <v>1571</v>
      </c>
      <c r="C72" s="2" t="s">
        <v>1640</v>
      </c>
      <c r="D72" s="2" t="s">
        <v>1572</v>
      </c>
      <c r="E72" s="2" t="n">
        <v>12</v>
      </c>
      <c r="F72" s="9" t="n">
        <v>1614</v>
      </c>
      <c r="G72" s="2" t="n">
        <v>6</v>
      </c>
      <c r="H72" s="2" t="n">
        <v>4</v>
      </c>
      <c r="I72" s="2" t="n">
        <v>2</v>
      </c>
      <c r="J72" s="2" t="n">
        <v>73</v>
      </c>
      <c r="K72" s="2" t="n">
        <v>6</v>
      </c>
      <c r="L72" s="2" t="n">
        <v>1</v>
      </c>
      <c r="M72" s="2" t="n">
        <f aca="false">IF(J72&lt;=Assumptions!$B$13,0,IF(J72&lt;Assumptions!$B$14,25,IF(J72&lt;Assumptions!$B$15,50,IF(J72&lt;Assumptions!$B$16,75,100))))</f>
        <v>75</v>
      </c>
      <c r="N72" s="2" t="n">
        <f aca="false">IF(K72&gt;Assumptions!$B$19,0,IF(K72&gt;=Assumptions!$B$20,25,IF(K72&gt;=Assumptions!$B$21,50,IF(K72&gt;=Assumptions!$B$22,75,100))))</f>
        <v>75</v>
      </c>
      <c r="O72" s="2" t="n">
        <f aca="false">IF(L72&gt;=Assumptions!$B$25,0,IF(L72&gt;=Assumptions!$B$26,25,IF(L72=Assumptions!$B$27,50,IF(L72=Assumptions!$B$28,75,100))))</f>
        <v>75</v>
      </c>
      <c r="P72" s="21" t="n">
        <f aca="false">M72*Assumptions!$B$4+N72*Assumptions!$B$5+O72*Assumptions!$B$6</f>
        <v>75</v>
      </c>
      <c r="Q72" s="21" t="n">
        <f aca="false">IF(J72&lt;=Assumptions!$B$8,0,P72)</f>
        <v>75</v>
      </c>
      <c r="R72" s="2" t="str">
        <f aca="false">IF(Q72&gt;=Assumptions!$B$9,"High",IF(Q72&gt;=Assumptions!$B$10,"Medium","Low"))</f>
        <v>High</v>
      </c>
      <c r="S72" s="21" t="n">
        <f aca="false">(N72*Assumptions!$B$5+O72*Assumptions!$B$6)/(Assumptions!$B$5+Assumptions!$B$6)</f>
        <v>75</v>
      </c>
      <c r="T72" s="2" t="str">
        <f aca="false">IF(AND(J72&gt;Assumptions!$B$8,G72&lt;=Assumptions!$B$30),"Low confidence","")</f>
        <v/>
      </c>
      <c r="U72" s="2" t="n">
        <f aca="false">(J72&gt;40)+(F72&gt;2000)+(K72&lt;10)+(L72=0)</f>
        <v>2</v>
      </c>
      <c r="V72" s="21" t="n">
        <f aca="false">IF(J72&lt;20,0,IF(J72&lt;40,25,M72))*Assumptions!$B$4+N72*Assumptions!$B$5+O72*Assumptions!$B$6</f>
        <v>75</v>
      </c>
      <c r="W72" s="2" t="str">
        <f aca="false">IF(V72&gt;=70,"High",IF(V72&gt;=40,"Medium","Low"))</f>
        <v>High</v>
      </c>
    </row>
    <row r="73" customFormat="false" ht="15" hidden="false" customHeight="false" outlineLevel="0" collapsed="false">
      <c r="A73" s="2" t="s">
        <v>584</v>
      </c>
      <c r="B73" s="2" t="s">
        <v>1571</v>
      </c>
      <c r="C73" s="2" t="s">
        <v>1640</v>
      </c>
      <c r="D73" s="2"/>
      <c r="E73" s="2" t="n">
        <v>6</v>
      </c>
      <c r="F73" s="9" t="n">
        <v>1542</v>
      </c>
      <c r="G73" s="2" t="n">
        <v>5</v>
      </c>
      <c r="H73" s="2" t="n">
        <v>1</v>
      </c>
      <c r="I73" s="2" t="n">
        <v>4</v>
      </c>
      <c r="J73" s="2" t="n">
        <v>20</v>
      </c>
      <c r="K73" s="2" t="n">
        <v>77</v>
      </c>
      <c r="L73" s="2" t="n">
        <v>17</v>
      </c>
      <c r="M73" s="2" t="n">
        <f aca="false">IF(J73&lt;=Assumptions!$B$13,0,IF(J73&lt;Assumptions!$B$14,25,IF(J73&lt;Assumptions!$B$15,50,IF(J73&lt;Assumptions!$B$16,75,100))))</f>
        <v>0</v>
      </c>
      <c r="N73" s="2" t="n">
        <f aca="false">IF(K73&gt;Assumptions!$B$19,0,IF(K73&gt;=Assumptions!$B$20,25,IF(K73&gt;=Assumptions!$B$21,50,IF(K73&gt;=Assumptions!$B$22,75,100))))</f>
        <v>0</v>
      </c>
      <c r="O73" s="2" t="n">
        <f aca="false">IF(L73&gt;=Assumptions!$B$25,0,IF(L73&gt;=Assumptions!$B$26,25,IF(L73=Assumptions!$B$27,50,IF(L73=Assumptions!$B$28,75,100))))</f>
        <v>0</v>
      </c>
      <c r="P73" s="21" t="n">
        <f aca="false">M73*Assumptions!$B$4+N73*Assumptions!$B$5+O73*Assumptions!$B$6</f>
        <v>0</v>
      </c>
      <c r="Q73" s="21" t="n">
        <f aca="false">IF(J73&lt;=Assumptions!$B$8,0,P73)</f>
        <v>0</v>
      </c>
      <c r="R73" s="2" t="str">
        <f aca="false">IF(Q73&gt;=Assumptions!$B$9,"High",IF(Q73&gt;=Assumptions!$B$10,"Medium","Low"))</f>
        <v>Low</v>
      </c>
      <c r="S73" s="21" t="n">
        <f aca="false">(N73*Assumptions!$B$5+O73*Assumptions!$B$6)/(Assumptions!$B$5+Assumptions!$B$6)</f>
        <v>0</v>
      </c>
      <c r="T73" s="2" t="str">
        <f aca="false">IF(AND(J73&gt;Assumptions!$B$8,G73&lt;=Assumptions!$B$30),"Low confidence","")</f>
        <v/>
      </c>
      <c r="U73" s="2" t="n">
        <f aca="false">(J73&gt;40)+(F73&gt;2000)+(K73&lt;10)+(L73=0)</f>
        <v>0</v>
      </c>
      <c r="V73" s="21" t="n">
        <f aca="false">IF(J73&lt;20,0,IF(J73&lt;40,25,M73))*Assumptions!$B$4+N73*Assumptions!$B$5+O73*Assumptions!$B$6</f>
        <v>12.5</v>
      </c>
      <c r="W73" s="2" t="str">
        <f aca="false">IF(V73&gt;=70,"High",IF(V73&gt;=40,"Medium","Low"))</f>
        <v>Low</v>
      </c>
    </row>
    <row r="74" customFormat="false" ht="15" hidden="false" customHeight="false" outlineLevel="0" collapsed="false">
      <c r="A74" s="2" t="s">
        <v>586</v>
      </c>
      <c r="B74" s="2" t="s">
        <v>1571</v>
      </c>
      <c r="C74" s="2" t="s">
        <v>1640</v>
      </c>
      <c r="D74" s="2" t="s">
        <v>1572</v>
      </c>
      <c r="E74" s="2" t="n">
        <v>26</v>
      </c>
      <c r="F74" s="9" t="n">
        <v>1501</v>
      </c>
      <c r="G74" s="2" t="n">
        <v>1</v>
      </c>
      <c r="H74" s="2" t="n">
        <v>0</v>
      </c>
      <c r="I74" s="2" t="n">
        <v>1</v>
      </c>
      <c r="J74" s="2" t="n">
        <v>2</v>
      </c>
      <c r="K74" s="2" t="n">
        <v>11</v>
      </c>
      <c r="L74" s="2" t="n">
        <v>0</v>
      </c>
      <c r="M74" s="2" t="n">
        <f aca="false">IF(J74&lt;=Assumptions!$B$13,0,IF(J74&lt;Assumptions!$B$14,25,IF(J74&lt;Assumptions!$B$15,50,IF(J74&lt;Assumptions!$B$16,75,100))))</f>
        <v>0</v>
      </c>
      <c r="N74" s="2" t="n">
        <f aca="false">IF(K74&gt;Assumptions!$B$19,0,IF(K74&gt;=Assumptions!$B$20,25,IF(K74&gt;=Assumptions!$B$21,50,IF(K74&gt;=Assumptions!$B$22,75,100))))</f>
        <v>50</v>
      </c>
      <c r="O74" s="2" t="n">
        <f aca="false">IF(L74&gt;=Assumptions!$B$25,0,IF(L74&gt;=Assumptions!$B$26,25,IF(L74=Assumptions!$B$27,50,IF(L74=Assumptions!$B$28,75,100))))</f>
        <v>100</v>
      </c>
      <c r="P74" s="21" t="n">
        <f aca="false">M74*Assumptions!$B$4+N74*Assumptions!$B$5+O74*Assumptions!$B$6</f>
        <v>35</v>
      </c>
      <c r="Q74" s="21" t="n">
        <f aca="false">IF(J74&lt;=Assumptions!$B$8,0,P74)</f>
        <v>0</v>
      </c>
      <c r="R74" s="2" t="str">
        <f aca="false">IF(Q74&gt;=Assumptions!$B$9,"High",IF(Q74&gt;=Assumptions!$B$10,"Medium","Low"))</f>
        <v>Low</v>
      </c>
      <c r="S74" s="21" t="n">
        <f aca="false">(N74*Assumptions!$B$5+O74*Assumptions!$B$6)/(Assumptions!$B$5+Assumptions!$B$6)</f>
        <v>70</v>
      </c>
      <c r="T74" s="2" t="str">
        <f aca="false">IF(AND(J74&gt;Assumptions!$B$8,G74&lt;=Assumptions!$B$30),"Low confidence","")</f>
        <v/>
      </c>
      <c r="U74" s="2" t="n">
        <f aca="false">(J74&gt;40)+(F74&gt;2000)+(K74&lt;10)+(L74=0)</f>
        <v>1</v>
      </c>
      <c r="V74" s="21" t="n">
        <f aca="false">IF(J74&lt;20,0,IF(J74&lt;40,25,M74))*Assumptions!$B$4+N74*Assumptions!$B$5+O74*Assumptions!$B$6</f>
        <v>35</v>
      </c>
      <c r="W74" s="2" t="str">
        <f aca="false">IF(V74&gt;=70,"High",IF(V74&gt;=40,"Medium","Low"))</f>
        <v>Low</v>
      </c>
    </row>
    <row r="75" customFormat="false" ht="15" hidden="false" customHeight="false" outlineLevel="0" collapsed="false">
      <c r="A75" s="2" t="s">
        <v>513</v>
      </c>
      <c r="B75" s="2" t="s">
        <v>1571</v>
      </c>
      <c r="C75" s="2" t="s">
        <v>1640</v>
      </c>
      <c r="D75" s="2" t="s">
        <v>1572</v>
      </c>
      <c r="E75" s="2" t="n">
        <v>10</v>
      </c>
      <c r="F75" s="9" t="n">
        <v>1448</v>
      </c>
      <c r="G75" s="2" t="n">
        <v>2</v>
      </c>
      <c r="H75" s="2" t="n">
        <v>1</v>
      </c>
      <c r="I75" s="2" t="n">
        <v>1</v>
      </c>
      <c r="J75" s="2" t="n">
        <v>70</v>
      </c>
      <c r="K75" s="2" t="n">
        <v>8</v>
      </c>
      <c r="L75" s="2" t="n">
        <v>0</v>
      </c>
      <c r="M75" s="2" t="n">
        <f aca="false">IF(J75&lt;=Assumptions!$B$13,0,IF(J75&lt;Assumptions!$B$14,25,IF(J75&lt;Assumptions!$B$15,50,IF(J75&lt;Assumptions!$B$16,75,100))))</f>
        <v>75</v>
      </c>
      <c r="N75" s="2" t="n">
        <f aca="false">IF(K75&gt;Assumptions!$B$19,0,IF(K75&gt;=Assumptions!$B$20,25,IF(K75&gt;=Assumptions!$B$21,50,IF(K75&gt;=Assumptions!$B$22,75,100))))</f>
        <v>75</v>
      </c>
      <c r="O75" s="2" t="n">
        <f aca="false">IF(L75&gt;=Assumptions!$B$25,0,IF(L75&gt;=Assumptions!$B$26,25,IF(L75=Assumptions!$B$27,50,IF(L75=Assumptions!$B$28,75,100))))</f>
        <v>100</v>
      </c>
      <c r="P75" s="21" t="n">
        <f aca="false">M75*Assumptions!$B$4+N75*Assumptions!$B$5+O75*Assumptions!$B$6</f>
        <v>80</v>
      </c>
      <c r="Q75" s="21" t="n">
        <f aca="false">IF(J75&lt;=Assumptions!$B$8,0,P75)</f>
        <v>80</v>
      </c>
      <c r="R75" s="2" t="str">
        <f aca="false">IF(Q75&gt;=Assumptions!$B$9,"High",IF(Q75&gt;=Assumptions!$B$10,"Medium","Low"))</f>
        <v>High</v>
      </c>
      <c r="S75" s="21" t="n">
        <f aca="false">(N75*Assumptions!$B$5+O75*Assumptions!$B$6)/(Assumptions!$B$5+Assumptions!$B$6)</f>
        <v>85</v>
      </c>
      <c r="T75" s="2" t="str">
        <f aca="false">IF(AND(J75&gt;Assumptions!$B$8,G75&lt;=Assumptions!$B$30),"Low confidence","")</f>
        <v>Low confidence</v>
      </c>
      <c r="U75" s="2" t="n">
        <f aca="false">(J75&gt;40)+(F75&gt;2000)+(K75&lt;10)+(L75=0)</f>
        <v>3</v>
      </c>
      <c r="V75" s="21" t="n">
        <f aca="false">IF(J75&lt;20,0,IF(J75&lt;40,25,M75))*Assumptions!$B$4+N75*Assumptions!$B$5+O75*Assumptions!$B$6</f>
        <v>80</v>
      </c>
      <c r="W75" s="2" t="str">
        <f aca="false">IF(V75&gt;=70,"High",IF(V75&gt;=40,"Medium","Low"))</f>
        <v>High</v>
      </c>
    </row>
    <row r="76" customFormat="false" ht="15" hidden="false" customHeight="false" outlineLevel="0" collapsed="false">
      <c r="A76" s="2" t="s">
        <v>517</v>
      </c>
      <c r="B76" s="2" t="s">
        <v>1571</v>
      </c>
      <c r="C76" s="2" t="s">
        <v>1640</v>
      </c>
      <c r="D76" s="2" t="s">
        <v>1572</v>
      </c>
      <c r="E76" s="2" t="n">
        <v>14</v>
      </c>
      <c r="F76" s="9" t="n">
        <v>1422</v>
      </c>
      <c r="G76" s="2" t="n">
        <v>3</v>
      </c>
      <c r="H76" s="2" t="n">
        <v>2</v>
      </c>
      <c r="I76" s="2" t="n">
        <v>1</v>
      </c>
      <c r="J76" s="2" t="n">
        <v>79</v>
      </c>
      <c r="K76" s="2" t="n">
        <v>1</v>
      </c>
      <c r="L76" s="2" t="n">
        <v>2</v>
      </c>
      <c r="M76" s="2" t="n">
        <f aca="false">IF(J76&lt;=Assumptions!$B$13,0,IF(J76&lt;Assumptions!$B$14,25,IF(J76&lt;Assumptions!$B$15,50,IF(J76&lt;Assumptions!$B$16,75,100))))</f>
        <v>75</v>
      </c>
      <c r="N76" s="2" t="n">
        <f aca="false">IF(K76&gt;Assumptions!$B$19,0,IF(K76&gt;=Assumptions!$B$20,25,IF(K76&gt;=Assumptions!$B$21,50,IF(K76&gt;=Assumptions!$B$22,75,100))))</f>
        <v>100</v>
      </c>
      <c r="O76" s="2" t="n">
        <f aca="false">IF(L76&gt;=Assumptions!$B$25,0,IF(L76&gt;=Assumptions!$B$26,25,IF(L76=Assumptions!$B$27,50,IF(L76=Assumptions!$B$28,75,100))))</f>
        <v>50</v>
      </c>
      <c r="P76" s="21" t="n">
        <f aca="false">M76*Assumptions!$B$4+N76*Assumptions!$B$5+O76*Assumptions!$B$6</f>
        <v>77.5</v>
      </c>
      <c r="Q76" s="21" t="n">
        <f aca="false">IF(J76&lt;=Assumptions!$B$8,0,P76)</f>
        <v>77.5</v>
      </c>
      <c r="R76" s="2" t="str">
        <f aca="false">IF(Q76&gt;=Assumptions!$B$9,"High",IF(Q76&gt;=Assumptions!$B$10,"Medium","Low"))</f>
        <v>High</v>
      </c>
      <c r="S76" s="21" t="n">
        <f aca="false">(N76*Assumptions!$B$5+O76*Assumptions!$B$6)/(Assumptions!$B$5+Assumptions!$B$6)</f>
        <v>80</v>
      </c>
      <c r="T76" s="2" t="str">
        <f aca="false">IF(AND(J76&gt;Assumptions!$B$8,G76&lt;=Assumptions!$B$30),"Low confidence","")</f>
        <v/>
      </c>
      <c r="U76" s="2" t="n">
        <f aca="false">(J76&gt;40)+(F76&gt;2000)+(K76&lt;10)+(L76=0)</f>
        <v>2</v>
      </c>
      <c r="V76" s="21" t="n">
        <f aca="false">IF(J76&lt;20,0,IF(J76&lt;40,25,M76))*Assumptions!$B$4+N76*Assumptions!$B$5+O76*Assumptions!$B$6</f>
        <v>77.5</v>
      </c>
      <c r="W76" s="2" t="str">
        <f aca="false">IF(V76&gt;=70,"High",IF(V76&gt;=40,"Medium","Low"))</f>
        <v>High</v>
      </c>
    </row>
    <row r="77" customFormat="false" ht="15" hidden="false" customHeight="false" outlineLevel="0" collapsed="false">
      <c r="A77" s="2" t="s">
        <v>591</v>
      </c>
      <c r="B77" s="2" t="s">
        <v>1571</v>
      </c>
      <c r="C77" s="2" t="s">
        <v>1640</v>
      </c>
      <c r="D77" s="2" t="s">
        <v>1572</v>
      </c>
      <c r="E77" s="2" t="n">
        <v>12</v>
      </c>
      <c r="F77" s="9" t="n">
        <v>1422</v>
      </c>
      <c r="G77" s="2" t="n">
        <v>1</v>
      </c>
      <c r="H77" s="2" t="n">
        <v>0</v>
      </c>
      <c r="I77" s="2" t="n">
        <v>1</v>
      </c>
      <c r="J77" s="2" t="n">
        <v>1</v>
      </c>
      <c r="K77" s="2" t="n">
        <v>4</v>
      </c>
      <c r="L77" s="2" t="n">
        <v>0</v>
      </c>
      <c r="M77" s="2" t="n">
        <f aca="false">IF(J77&lt;=Assumptions!$B$13,0,IF(J77&lt;Assumptions!$B$14,25,IF(J77&lt;Assumptions!$B$15,50,IF(J77&lt;Assumptions!$B$16,75,100))))</f>
        <v>0</v>
      </c>
      <c r="N77" s="2" t="n">
        <f aca="false">IF(K77&gt;Assumptions!$B$19,0,IF(K77&gt;=Assumptions!$B$20,25,IF(K77&gt;=Assumptions!$B$21,50,IF(K77&gt;=Assumptions!$B$22,75,100))))</f>
        <v>100</v>
      </c>
      <c r="O77" s="2" t="n">
        <f aca="false">IF(L77&gt;=Assumptions!$B$25,0,IF(L77&gt;=Assumptions!$B$26,25,IF(L77=Assumptions!$B$27,50,IF(L77=Assumptions!$B$28,75,100))))</f>
        <v>100</v>
      </c>
      <c r="P77" s="21" t="n">
        <f aca="false">M77*Assumptions!$B$4+N77*Assumptions!$B$5+O77*Assumptions!$B$6</f>
        <v>50</v>
      </c>
      <c r="Q77" s="21" t="n">
        <f aca="false">IF(J77&lt;=Assumptions!$B$8,0,P77)</f>
        <v>0</v>
      </c>
      <c r="R77" s="2" t="str">
        <f aca="false">IF(Q77&gt;=Assumptions!$B$9,"High",IF(Q77&gt;=Assumptions!$B$10,"Medium","Low"))</f>
        <v>Low</v>
      </c>
      <c r="S77" s="21" t="n">
        <f aca="false">(N77*Assumptions!$B$5+O77*Assumptions!$B$6)/(Assumptions!$B$5+Assumptions!$B$6)</f>
        <v>100</v>
      </c>
      <c r="T77" s="2" t="str">
        <f aca="false">IF(AND(J77&gt;Assumptions!$B$8,G77&lt;=Assumptions!$B$30),"Low confidence","")</f>
        <v/>
      </c>
      <c r="U77" s="2" t="n">
        <f aca="false">(J77&gt;40)+(F77&gt;2000)+(K77&lt;10)+(L77=0)</f>
        <v>2</v>
      </c>
      <c r="V77" s="21" t="n">
        <f aca="false">IF(J77&lt;20,0,IF(J77&lt;40,25,M77))*Assumptions!$B$4+N77*Assumptions!$B$5+O77*Assumptions!$B$6</f>
        <v>50</v>
      </c>
      <c r="W77" s="2" t="str">
        <f aca="false">IF(V77&gt;=70,"High",IF(V77&gt;=40,"Medium","Low"))</f>
        <v>Medium</v>
      </c>
    </row>
    <row r="78" customFormat="false" ht="15" hidden="false" customHeight="false" outlineLevel="0" collapsed="false">
      <c r="A78" s="2" t="s">
        <v>520</v>
      </c>
      <c r="B78" s="2" t="s">
        <v>1571</v>
      </c>
      <c r="C78" s="2" t="s">
        <v>1640</v>
      </c>
      <c r="D78" s="2" t="s">
        <v>1572</v>
      </c>
      <c r="E78" s="2" t="n">
        <v>14</v>
      </c>
      <c r="F78" s="9" t="n">
        <v>1401</v>
      </c>
      <c r="G78" s="2" t="n">
        <v>5</v>
      </c>
      <c r="H78" s="2" t="n">
        <v>4</v>
      </c>
      <c r="I78" s="2" t="n">
        <v>1</v>
      </c>
      <c r="J78" s="2" t="n">
        <v>81</v>
      </c>
      <c r="K78" s="2" t="n">
        <v>4</v>
      </c>
      <c r="L78" s="2" t="n">
        <v>1</v>
      </c>
      <c r="M78" s="2" t="n">
        <f aca="false">IF(J78&lt;=Assumptions!$B$13,0,IF(J78&lt;Assumptions!$B$14,25,IF(J78&lt;Assumptions!$B$15,50,IF(J78&lt;Assumptions!$B$16,75,100))))</f>
        <v>100</v>
      </c>
      <c r="N78" s="2" t="n">
        <f aca="false">IF(K78&gt;Assumptions!$B$19,0,IF(K78&gt;=Assumptions!$B$20,25,IF(K78&gt;=Assumptions!$B$21,50,IF(K78&gt;=Assumptions!$B$22,75,100))))</f>
        <v>100</v>
      </c>
      <c r="O78" s="2" t="n">
        <f aca="false">IF(L78&gt;=Assumptions!$B$25,0,IF(L78&gt;=Assumptions!$B$26,25,IF(L78=Assumptions!$B$27,50,IF(L78=Assumptions!$B$28,75,100))))</f>
        <v>75</v>
      </c>
      <c r="P78" s="21" t="n">
        <f aca="false">M78*Assumptions!$B$4+N78*Assumptions!$B$5+O78*Assumptions!$B$6</f>
        <v>95</v>
      </c>
      <c r="Q78" s="21" t="n">
        <f aca="false">IF(J78&lt;=Assumptions!$B$8,0,P78)</f>
        <v>95</v>
      </c>
      <c r="R78" s="2" t="str">
        <f aca="false">IF(Q78&gt;=Assumptions!$B$9,"High",IF(Q78&gt;=Assumptions!$B$10,"Medium","Low"))</f>
        <v>High</v>
      </c>
      <c r="S78" s="21" t="n">
        <f aca="false">(N78*Assumptions!$B$5+O78*Assumptions!$B$6)/(Assumptions!$B$5+Assumptions!$B$6)</f>
        <v>90</v>
      </c>
      <c r="T78" s="2" t="str">
        <f aca="false">IF(AND(J78&gt;Assumptions!$B$8,G78&lt;=Assumptions!$B$30),"Low confidence","")</f>
        <v/>
      </c>
      <c r="U78" s="2" t="n">
        <f aca="false">(J78&gt;40)+(F78&gt;2000)+(K78&lt;10)+(L78=0)</f>
        <v>2</v>
      </c>
      <c r="V78" s="21" t="n">
        <f aca="false">IF(J78&lt;20,0,IF(J78&lt;40,25,M78))*Assumptions!$B$4+N78*Assumptions!$B$5+O78*Assumptions!$B$6</f>
        <v>95</v>
      </c>
      <c r="W78" s="2" t="str">
        <f aca="false">IF(V78&gt;=70,"High",IF(V78&gt;=40,"Medium","Low"))</f>
        <v>High</v>
      </c>
    </row>
    <row r="79" customFormat="false" ht="15" hidden="false" customHeight="false" outlineLevel="0" collapsed="false">
      <c r="A79" s="2" t="s">
        <v>523</v>
      </c>
      <c r="B79" s="2" t="s">
        <v>1571</v>
      </c>
      <c r="C79" s="2" t="s">
        <v>1640</v>
      </c>
      <c r="D79" s="2" t="s">
        <v>1572</v>
      </c>
      <c r="E79" s="2" t="n">
        <v>16</v>
      </c>
      <c r="F79" s="9" t="n">
        <v>1366</v>
      </c>
      <c r="G79" s="2" t="n">
        <v>4</v>
      </c>
      <c r="H79" s="2" t="n">
        <v>1</v>
      </c>
      <c r="I79" s="2" t="n">
        <v>3</v>
      </c>
      <c r="J79" s="2" t="n">
        <v>16</v>
      </c>
      <c r="K79" s="2" t="n">
        <v>10</v>
      </c>
      <c r="L79" s="2" t="n">
        <v>0</v>
      </c>
      <c r="M79" s="2" t="n">
        <f aca="false">IF(J79&lt;=Assumptions!$B$13,0,IF(J79&lt;Assumptions!$B$14,25,IF(J79&lt;Assumptions!$B$15,50,IF(J79&lt;Assumptions!$B$16,75,100))))</f>
        <v>0</v>
      </c>
      <c r="N79" s="2" t="n">
        <f aca="false">IF(K79&gt;Assumptions!$B$19,0,IF(K79&gt;=Assumptions!$B$20,25,IF(K79&gt;=Assumptions!$B$21,50,IF(K79&gt;=Assumptions!$B$22,75,100))))</f>
        <v>50</v>
      </c>
      <c r="O79" s="2" t="n">
        <f aca="false">IF(L79&gt;=Assumptions!$B$25,0,IF(L79&gt;=Assumptions!$B$26,25,IF(L79=Assumptions!$B$27,50,IF(L79=Assumptions!$B$28,75,100))))</f>
        <v>100</v>
      </c>
      <c r="P79" s="21" t="n">
        <f aca="false">M79*Assumptions!$B$4+N79*Assumptions!$B$5+O79*Assumptions!$B$6</f>
        <v>35</v>
      </c>
      <c r="Q79" s="21" t="n">
        <f aca="false">IF(J79&lt;=Assumptions!$B$8,0,P79)</f>
        <v>0</v>
      </c>
      <c r="R79" s="2" t="str">
        <f aca="false">IF(Q79&gt;=Assumptions!$B$9,"High",IF(Q79&gt;=Assumptions!$B$10,"Medium","Low"))</f>
        <v>Low</v>
      </c>
      <c r="S79" s="21" t="n">
        <f aca="false">(N79*Assumptions!$B$5+O79*Assumptions!$B$6)/(Assumptions!$B$5+Assumptions!$B$6)</f>
        <v>70</v>
      </c>
      <c r="T79" s="2" t="str">
        <f aca="false">IF(AND(J79&gt;Assumptions!$B$8,G79&lt;=Assumptions!$B$30),"Low confidence","")</f>
        <v/>
      </c>
      <c r="U79" s="2" t="n">
        <f aca="false">(J79&gt;40)+(F79&gt;2000)+(K79&lt;10)+(L79=0)</f>
        <v>1</v>
      </c>
      <c r="V79" s="21" t="n">
        <f aca="false">IF(J79&lt;20,0,IF(J79&lt;40,25,M79))*Assumptions!$B$4+N79*Assumptions!$B$5+O79*Assumptions!$B$6</f>
        <v>35</v>
      </c>
      <c r="W79" s="2" t="str">
        <f aca="false">IF(V79&gt;=70,"High",IF(V79&gt;=40,"Medium","Low"))</f>
        <v>Low</v>
      </c>
    </row>
    <row r="80" customFormat="false" ht="15" hidden="false" customHeight="false" outlineLevel="0" collapsed="false">
      <c r="A80" s="2" t="s">
        <v>594</v>
      </c>
      <c r="B80" s="2" t="s">
        <v>1571</v>
      </c>
      <c r="C80" s="2" t="s">
        <v>1640</v>
      </c>
      <c r="D80" s="2" t="s">
        <v>1572</v>
      </c>
      <c r="E80" s="2" t="n">
        <v>8</v>
      </c>
      <c r="F80" s="9" t="n">
        <v>1342</v>
      </c>
      <c r="G80" s="2" t="n">
        <v>3</v>
      </c>
      <c r="H80" s="2" t="n">
        <v>2</v>
      </c>
      <c r="I80" s="2" t="n">
        <v>1</v>
      </c>
      <c r="J80" s="2" t="n">
        <v>53</v>
      </c>
      <c r="K80" s="2" t="n">
        <v>1</v>
      </c>
      <c r="L80" s="2" t="n">
        <v>1</v>
      </c>
      <c r="M80" s="2" t="n">
        <f aca="false">IF(J80&lt;=Assumptions!$B$13,0,IF(J80&lt;Assumptions!$B$14,25,IF(J80&lt;Assumptions!$B$15,50,IF(J80&lt;Assumptions!$B$16,75,100))))</f>
        <v>50</v>
      </c>
      <c r="N80" s="2" t="n">
        <f aca="false">IF(K80&gt;Assumptions!$B$19,0,IF(K80&gt;=Assumptions!$B$20,25,IF(K80&gt;=Assumptions!$B$21,50,IF(K80&gt;=Assumptions!$B$22,75,100))))</f>
        <v>100</v>
      </c>
      <c r="O80" s="2" t="n">
        <f aca="false">IF(L80&gt;=Assumptions!$B$25,0,IF(L80&gt;=Assumptions!$B$26,25,IF(L80=Assumptions!$B$27,50,IF(L80=Assumptions!$B$28,75,100))))</f>
        <v>75</v>
      </c>
      <c r="P80" s="21" t="n">
        <f aca="false">M80*Assumptions!$B$4+N80*Assumptions!$B$5+O80*Assumptions!$B$6</f>
        <v>70</v>
      </c>
      <c r="Q80" s="21" t="n">
        <f aca="false">IF(J80&lt;=Assumptions!$B$8,0,P80)</f>
        <v>70</v>
      </c>
      <c r="R80" s="2" t="str">
        <f aca="false">IF(Q80&gt;=Assumptions!$B$9,"High",IF(Q80&gt;=Assumptions!$B$10,"Medium","Low"))</f>
        <v>High</v>
      </c>
      <c r="S80" s="21" t="n">
        <f aca="false">(N80*Assumptions!$B$5+O80*Assumptions!$B$6)/(Assumptions!$B$5+Assumptions!$B$6)</f>
        <v>90</v>
      </c>
      <c r="T80" s="2" t="str">
        <f aca="false">IF(AND(J80&gt;Assumptions!$B$8,G80&lt;=Assumptions!$B$30),"Low confidence","")</f>
        <v/>
      </c>
      <c r="U80" s="2" t="n">
        <f aca="false">(J80&gt;40)+(F80&gt;2000)+(K80&lt;10)+(L80=0)</f>
        <v>2</v>
      </c>
      <c r="V80" s="21" t="n">
        <f aca="false">IF(J80&lt;20,0,IF(J80&lt;40,25,M80))*Assumptions!$B$4+N80*Assumptions!$B$5+O80*Assumptions!$B$6</f>
        <v>70</v>
      </c>
      <c r="W80" s="2" t="str">
        <f aca="false">IF(V80&gt;=70,"High",IF(V80&gt;=40,"Medium","Low"))</f>
        <v>High</v>
      </c>
    </row>
    <row r="81" customFormat="false" ht="15" hidden="false" customHeight="false" outlineLevel="0" collapsed="false">
      <c r="A81" s="2" t="s">
        <v>530</v>
      </c>
      <c r="B81" s="2" t="s">
        <v>1571</v>
      </c>
      <c r="C81" s="2" t="s">
        <v>1640</v>
      </c>
      <c r="D81" s="2" t="s">
        <v>1572</v>
      </c>
      <c r="E81" s="2" t="n">
        <v>10</v>
      </c>
      <c r="F81" s="9" t="n">
        <v>1342</v>
      </c>
      <c r="G81" s="2" t="n">
        <v>7</v>
      </c>
      <c r="H81" s="2" t="n">
        <v>4</v>
      </c>
      <c r="I81" s="2" t="n">
        <v>3</v>
      </c>
      <c r="J81" s="2" t="n">
        <v>58</v>
      </c>
      <c r="K81" s="2" t="n">
        <v>3</v>
      </c>
      <c r="L81" s="2" t="n">
        <v>1</v>
      </c>
      <c r="M81" s="2" t="n">
        <f aca="false">IF(J81&lt;=Assumptions!$B$13,0,IF(J81&lt;Assumptions!$B$14,25,IF(J81&lt;Assumptions!$B$15,50,IF(J81&lt;Assumptions!$B$16,75,100))))</f>
        <v>50</v>
      </c>
      <c r="N81" s="2" t="n">
        <f aca="false">IF(K81&gt;Assumptions!$B$19,0,IF(K81&gt;=Assumptions!$B$20,25,IF(K81&gt;=Assumptions!$B$21,50,IF(K81&gt;=Assumptions!$B$22,75,100))))</f>
        <v>100</v>
      </c>
      <c r="O81" s="2" t="n">
        <f aca="false">IF(L81&gt;=Assumptions!$B$25,0,IF(L81&gt;=Assumptions!$B$26,25,IF(L81=Assumptions!$B$27,50,IF(L81=Assumptions!$B$28,75,100))))</f>
        <v>75</v>
      </c>
      <c r="P81" s="21" t="n">
        <f aca="false">M81*Assumptions!$B$4+N81*Assumptions!$B$5+O81*Assumptions!$B$6</f>
        <v>70</v>
      </c>
      <c r="Q81" s="21" t="n">
        <f aca="false">IF(J81&lt;=Assumptions!$B$8,0,P81)</f>
        <v>70</v>
      </c>
      <c r="R81" s="2" t="str">
        <f aca="false">IF(Q81&gt;=Assumptions!$B$9,"High",IF(Q81&gt;=Assumptions!$B$10,"Medium","Low"))</f>
        <v>High</v>
      </c>
      <c r="S81" s="21" t="n">
        <f aca="false">(N81*Assumptions!$B$5+O81*Assumptions!$B$6)/(Assumptions!$B$5+Assumptions!$B$6)</f>
        <v>90</v>
      </c>
      <c r="T81" s="2" t="str">
        <f aca="false">IF(AND(J81&gt;Assumptions!$B$8,G81&lt;=Assumptions!$B$30),"Low confidence","")</f>
        <v/>
      </c>
      <c r="U81" s="2" t="n">
        <f aca="false">(J81&gt;40)+(F81&gt;2000)+(K81&lt;10)+(L81=0)</f>
        <v>2</v>
      </c>
      <c r="V81" s="21" t="n">
        <f aca="false">IF(J81&lt;20,0,IF(J81&lt;40,25,M81))*Assumptions!$B$4+N81*Assumptions!$B$5+O81*Assumptions!$B$6</f>
        <v>70</v>
      </c>
      <c r="W81" s="2" t="str">
        <f aca="false">IF(V81&gt;=70,"High",IF(V81&gt;=40,"Medium","Low"))</f>
        <v>High</v>
      </c>
    </row>
    <row r="82" customFormat="false" ht="15" hidden="false" customHeight="false" outlineLevel="0" collapsed="false">
      <c r="A82" s="2" t="s">
        <v>597</v>
      </c>
      <c r="B82" s="2" t="s">
        <v>1571</v>
      </c>
      <c r="C82" s="2" t="s">
        <v>1640</v>
      </c>
      <c r="D82" s="2" t="s">
        <v>1572</v>
      </c>
      <c r="E82" s="2" t="n">
        <v>17</v>
      </c>
      <c r="F82" s="9" t="n">
        <v>1289</v>
      </c>
      <c r="G82" s="2" t="n">
        <v>4</v>
      </c>
      <c r="H82" s="2" t="n">
        <v>3</v>
      </c>
      <c r="I82" s="2" t="n">
        <v>1</v>
      </c>
      <c r="J82" s="2" t="n">
        <v>74</v>
      </c>
      <c r="K82" s="2" t="n">
        <v>5</v>
      </c>
      <c r="L82" s="2" t="n">
        <v>1</v>
      </c>
      <c r="M82" s="2" t="n">
        <f aca="false">IF(J82&lt;=Assumptions!$B$13,0,IF(J82&lt;Assumptions!$B$14,25,IF(J82&lt;Assumptions!$B$15,50,IF(J82&lt;Assumptions!$B$16,75,100))))</f>
        <v>75</v>
      </c>
      <c r="N82" s="2" t="n">
        <f aca="false">IF(K82&gt;Assumptions!$B$19,0,IF(K82&gt;=Assumptions!$B$20,25,IF(K82&gt;=Assumptions!$B$21,50,IF(K82&gt;=Assumptions!$B$22,75,100))))</f>
        <v>75</v>
      </c>
      <c r="O82" s="2" t="n">
        <f aca="false">IF(L82&gt;=Assumptions!$B$25,0,IF(L82&gt;=Assumptions!$B$26,25,IF(L82=Assumptions!$B$27,50,IF(L82=Assumptions!$B$28,75,100))))</f>
        <v>75</v>
      </c>
      <c r="P82" s="21" t="n">
        <f aca="false">M82*Assumptions!$B$4+N82*Assumptions!$B$5+O82*Assumptions!$B$6</f>
        <v>75</v>
      </c>
      <c r="Q82" s="21" t="n">
        <f aca="false">IF(J82&lt;=Assumptions!$B$8,0,P82)</f>
        <v>75</v>
      </c>
      <c r="R82" s="2" t="str">
        <f aca="false">IF(Q82&gt;=Assumptions!$B$9,"High",IF(Q82&gt;=Assumptions!$B$10,"Medium","Low"))</f>
        <v>High</v>
      </c>
      <c r="S82" s="21" t="n">
        <f aca="false">(N82*Assumptions!$B$5+O82*Assumptions!$B$6)/(Assumptions!$B$5+Assumptions!$B$6)</f>
        <v>75</v>
      </c>
      <c r="T82" s="2" t="str">
        <f aca="false">IF(AND(J82&gt;Assumptions!$B$8,G82&lt;=Assumptions!$B$30),"Low confidence","")</f>
        <v/>
      </c>
      <c r="U82" s="2" t="n">
        <f aca="false">(J82&gt;40)+(F82&gt;2000)+(K82&lt;10)+(L82=0)</f>
        <v>2</v>
      </c>
      <c r="V82" s="21" t="n">
        <f aca="false">IF(J82&lt;20,0,IF(J82&lt;40,25,M82))*Assumptions!$B$4+N82*Assumptions!$B$5+O82*Assumptions!$B$6</f>
        <v>75</v>
      </c>
      <c r="W82" s="2" t="str">
        <f aca="false">IF(V82&gt;=70,"High",IF(V82&gt;=40,"Medium","Low"))</f>
        <v>High</v>
      </c>
    </row>
    <row r="83" customFormat="false" ht="15" hidden="false" customHeight="false" outlineLevel="0" collapsed="false">
      <c r="A83" s="2" t="s">
        <v>599</v>
      </c>
      <c r="B83" s="2" t="s">
        <v>1571</v>
      </c>
      <c r="C83" s="2" t="s">
        <v>1640</v>
      </c>
      <c r="D83" s="2"/>
      <c r="E83" s="2" t="n">
        <v>6</v>
      </c>
      <c r="F83" s="9" t="n">
        <v>1263</v>
      </c>
      <c r="G83" s="2" t="n">
        <v>4</v>
      </c>
      <c r="H83" s="2" t="n">
        <v>0</v>
      </c>
      <c r="I83" s="2" t="n">
        <v>4</v>
      </c>
      <c r="J83" s="2" t="n">
        <v>11</v>
      </c>
      <c r="K83" s="2" t="n">
        <v>53</v>
      </c>
      <c r="L83" s="2" t="n">
        <v>3</v>
      </c>
      <c r="M83" s="2" t="n">
        <f aca="false">IF(J83&lt;=Assumptions!$B$13,0,IF(J83&lt;Assumptions!$B$14,25,IF(J83&lt;Assumptions!$B$15,50,IF(J83&lt;Assumptions!$B$16,75,100))))</f>
        <v>0</v>
      </c>
      <c r="N83" s="2" t="n">
        <f aca="false">IF(K83&gt;Assumptions!$B$19,0,IF(K83&gt;=Assumptions!$B$20,25,IF(K83&gt;=Assumptions!$B$21,50,IF(K83&gt;=Assumptions!$B$22,75,100))))</f>
        <v>0</v>
      </c>
      <c r="O83" s="2" t="n">
        <f aca="false">IF(L83&gt;=Assumptions!$B$25,0,IF(L83&gt;=Assumptions!$B$26,25,IF(L83=Assumptions!$B$27,50,IF(L83=Assumptions!$B$28,75,100))))</f>
        <v>25</v>
      </c>
      <c r="P83" s="21" t="n">
        <f aca="false">M83*Assumptions!$B$4+N83*Assumptions!$B$5+O83*Assumptions!$B$6</f>
        <v>5</v>
      </c>
      <c r="Q83" s="21" t="n">
        <f aca="false">IF(J83&lt;=Assumptions!$B$8,0,P83)</f>
        <v>0</v>
      </c>
      <c r="R83" s="2" t="str">
        <f aca="false">IF(Q83&gt;=Assumptions!$B$9,"High",IF(Q83&gt;=Assumptions!$B$10,"Medium","Low"))</f>
        <v>Low</v>
      </c>
      <c r="S83" s="21" t="n">
        <f aca="false">(N83*Assumptions!$B$5+O83*Assumptions!$B$6)/(Assumptions!$B$5+Assumptions!$B$6)</f>
        <v>10</v>
      </c>
      <c r="T83" s="2" t="str">
        <f aca="false">IF(AND(J83&gt;Assumptions!$B$8,G83&lt;=Assumptions!$B$30),"Low confidence","")</f>
        <v/>
      </c>
      <c r="U83" s="2" t="n">
        <f aca="false">(J83&gt;40)+(F83&gt;2000)+(K83&lt;10)+(L83=0)</f>
        <v>0</v>
      </c>
      <c r="V83" s="21" t="n">
        <f aca="false">IF(J83&lt;20,0,IF(J83&lt;40,25,M83))*Assumptions!$B$4+N83*Assumptions!$B$5+O83*Assumptions!$B$6</f>
        <v>5</v>
      </c>
      <c r="W83" s="2" t="str">
        <f aca="false">IF(V83&gt;=70,"High",IF(V83&gt;=40,"Medium","Low"))</f>
        <v>Low</v>
      </c>
    </row>
    <row r="84" customFormat="false" ht="15" hidden="false" customHeight="false" outlineLevel="0" collapsed="false">
      <c r="A84" s="2" t="s">
        <v>533</v>
      </c>
      <c r="B84" s="2" t="s">
        <v>1571</v>
      </c>
      <c r="C84" s="2" t="s">
        <v>1640</v>
      </c>
      <c r="D84" s="2" t="s">
        <v>1572</v>
      </c>
      <c r="E84" s="2" t="n">
        <v>8</v>
      </c>
      <c r="F84" s="9" t="n">
        <v>1217</v>
      </c>
      <c r="G84" s="2" t="n">
        <v>8</v>
      </c>
      <c r="H84" s="2" t="n">
        <v>1</v>
      </c>
      <c r="I84" s="2" t="n">
        <v>7</v>
      </c>
      <c r="J84" s="2" t="n">
        <v>10</v>
      </c>
      <c r="K84" s="2" t="n">
        <v>49</v>
      </c>
      <c r="L84" s="2" t="n">
        <v>14</v>
      </c>
      <c r="M84" s="2" t="n">
        <f aca="false">IF(J84&lt;=Assumptions!$B$13,0,IF(J84&lt;Assumptions!$B$14,25,IF(J84&lt;Assumptions!$B$15,50,IF(J84&lt;Assumptions!$B$16,75,100))))</f>
        <v>0</v>
      </c>
      <c r="N84" s="2" t="n">
        <f aca="false">IF(K84&gt;Assumptions!$B$19,0,IF(K84&gt;=Assumptions!$B$20,25,IF(K84&gt;=Assumptions!$B$21,50,IF(K84&gt;=Assumptions!$B$22,75,100))))</f>
        <v>0</v>
      </c>
      <c r="O84" s="2" t="n">
        <f aca="false">IF(L84&gt;=Assumptions!$B$25,0,IF(L84&gt;=Assumptions!$B$26,25,IF(L84=Assumptions!$B$27,50,IF(L84=Assumptions!$B$28,75,100))))</f>
        <v>0</v>
      </c>
      <c r="P84" s="21" t="n">
        <f aca="false">M84*Assumptions!$B$4+N84*Assumptions!$B$5+O84*Assumptions!$B$6</f>
        <v>0</v>
      </c>
      <c r="Q84" s="21" t="n">
        <f aca="false">IF(J84&lt;=Assumptions!$B$8,0,P84)</f>
        <v>0</v>
      </c>
      <c r="R84" s="2" t="str">
        <f aca="false">IF(Q84&gt;=Assumptions!$B$9,"High",IF(Q84&gt;=Assumptions!$B$10,"Medium","Low"))</f>
        <v>Low</v>
      </c>
      <c r="S84" s="21" t="n">
        <f aca="false">(N84*Assumptions!$B$5+O84*Assumptions!$B$6)/(Assumptions!$B$5+Assumptions!$B$6)</f>
        <v>0</v>
      </c>
      <c r="T84" s="2" t="str">
        <f aca="false">IF(AND(J84&gt;Assumptions!$B$8,G84&lt;=Assumptions!$B$30),"Low confidence","")</f>
        <v/>
      </c>
      <c r="U84" s="2" t="n">
        <f aca="false">(J84&gt;40)+(F84&gt;2000)+(K84&lt;10)+(L84=0)</f>
        <v>0</v>
      </c>
      <c r="V84" s="21" t="n">
        <f aca="false">IF(J84&lt;20,0,IF(J84&lt;40,25,M84))*Assumptions!$B$4+N84*Assumptions!$B$5+O84*Assumptions!$B$6</f>
        <v>0</v>
      </c>
      <c r="W84" s="2" t="str">
        <f aca="false">IF(V84&gt;=70,"High",IF(V84&gt;=40,"Medium","Low"))</f>
        <v>Low</v>
      </c>
    </row>
    <row r="85" customFormat="false" ht="15" hidden="false" customHeight="false" outlineLevel="0" collapsed="false">
      <c r="A85" s="2" t="s">
        <v>603</v>
      </c>
      <c r="B85" s="2" t="s">
        <v>1571</v>
      </c>
      <c r="C85" s="2" t="s">
        <v>1640</v>
      </c>
      <c r="D85" s="2" t="s">
        <v>1572</v>
      </c>
      <c r="E85" s="2" t="n">
        <v>38</v>
      </c>
      <c r="F85" s="9" t="n">
        <v>1185</v>
      </c>
      <c r="G85" s="2" t="n">
        <v>2</v>
      </c>
      <c r="H85" s="2" t="n">
        <v>0</v>
      </c>
      <c r="I85" s="2" t="n">
        <v>2</v>
      </c>
      <c r="J85" s="2" t="n">
        <v>3</v>
      </c>
      <c r="K85" s="2" t="n">
        <v>20</v>
      </c>
      <c r="L85" s="2" t="n">
        <v>0</v>
      </c>
      <c r="M85" s="2" t="n">
        <f aca="false">IF(J85&lt;=Assumptions!$B$13,0,IF(J85&lt;Assumptions!$B$14,25,IF(J85&lt;Assumptions!$B$15,50,IF(J85&lt;Assumptions!$B$16,75,100))))</f>
        <v>0</v>
      </c>
      <c r="N85" s="2" t="n">
        <f aca="false">IF(K85&gt;Assumptions!$B$19,0,IF(K85&gt;=Assumptions!$B$20,25,IF(K85&gt;=Assumptions!$B$21,50,IF(K85&gt;=Assumptions!$B$22,75,100))))</f>
        <v>25</v>
      </c>
      <c r="O85" s="2" t="n">
        <f aca="false">IF(L85&gt;=Assumptions!$B$25,0,IF(L85&gt;=Assumptions!$B$26,25,IF(L85=Assumptions!$B$27,50,IF(L85=Assumptions!$B$28,75,100))))</f>
        <v>100</v>
      </c>
      <c r="P85" s="21" t="n">
        <f aca="false">M85*Assumptions!$B$4+N85*Assumptions!$B$5+O85*Assumptions!$B$6</f>
        <v>27.5</v>
      </c>
      <c r="Q85" s="21" t="n">
        <f aca="false">IF(J85&lt;=Assumptions!$B$8,0,P85)</f>
        <v>0</v>
      </c>
      <c r="R85" s="2" t="str">
        <f aca="false">IF(Q85&gt;=Assumptions!$B$9,"High",IF(Q85&gt;=Assumptions!$B$10,"Medium","Low"))</f>
        <v>Low</v>
      </c>
      <c r="S85" s="21" t="n">
        <f aca="false">(N85*Assumptions!$B$5+O85*Assumptions!$B$6)/(Assumptions!$B$5+Assumptions!$B$6)</f>
        <v>55</v>
      </c>
      <c r="T85" s="2" t="str">
        <f aca="false">IF(AND(J85&gt;Assumptions!$B$8,G85&lt;=Assumptions!$B$30),"Low confidence","")</f>
        <v/>
      </c>
      <c r="U85" s="2" t="n">
        <f aca="false">(J85&gt;40)+(F85&gt;2000)+(K85&lt;10)+(L85=0)</f>
        <v>1</v>
      </c>
      <c r="V85" s="21" t="n">
        <f aca="false">IF(J85&lt;20,0,IF(J85&lt;40,25,M85))*Assumptions!$B$4+N85*Assumptions!$B$5+O85*Assumptions!$B$6</f>
        <v>27.5</v>
      </c>
      <c r="W85" s="2" t="str">
        <f aca="false">IF(V85&gt;=70,"High",IF(V85&gt;=40,"Medium","Low"))</f>
        <v>Low</v>
      </c>
    </row>
    <row r="86" customFormat="false" ht="15" hidden="false" customHeight="false" outlineLevel="0" collapsed="false">
      <c r="A86" s="2" t="s">
        <v>539</v>
      </c>
      <c r="B86" s="2" t="s">
        <v>1571</v>
      </c>
      <c r="C86" s="2" t="s">
        <v>1641</v>
      </c>
      <c r="D86" s="2" t="s">
        <v>1572</v>
      </c>
      <c r="E86" s="2" t="n">
        <v>13</v>
      </c>
      <c r="F86" s="9" t="n">
        <v>1166</v>
      </c>
      <c r="G86" s="2" t="n">
        <v>4</v>
      </c>
      <c r="H86" s="2" t="n">
        <v>0</v>
      </c>
      <c r="I86" s="2" t="n">
        <v>4</v>
      </c>
      <c r="J86" s="2" t="n">
        <v>5</v>
      </c>
      <c r="K86" s="2" t="n">
        <v>18</v>
      </c>
      <c r="L86" s="2" t="n">
        <v>5</v>
      </c>
      <c r="M86" s="2" t="n">
        <f aca="false">IF(J86&lt;=Assumptions!$B$13,0,IF(J86&lt;Assumptions!$B$14,25,IF(J86&lt;Assumptions!$B$15,50,IF(J86&lt;Assumptions!$B$16,75,100))))</f>
        <v>0</v>
      </c>
      <c r="N86" s="2" t="n">
        <f aca="false">IF(K86&gt;Assumptions!$B$19,0,IF(K86&gt;=Assumptions!$B$20,25,IF(K86&gt;=Assumptions!$B$21,50,IF(K86&gt;=Assumptions!$B$22,75,100))))</f>
        <v>50</v>
      </c>
      <c r="O86" s="2" t="n">
        <f aca="false">IF(L86&gt;=Assumptions!$B$25,0,IF(L86&gt;=Assumptions!$B$26,25,IF(L86=Assumptions!$B$27,50,IF(L86=Assumptions!$B$28,75,100))))</f>
        <v>0</v>
      </c>
      <c r="P86" s="21" t="n">
        <f aca="false">M86*Assumptions!$B$4+N86*Assumptions!$B$5+O86*Assumptions!$B$6</f>
        <v>15</v>
      </c>
      <c r="Q86" s="21" t="n">
        <f aca="false">IF(J86&lt;=Assumptions!$B$8,0,P86)</f>
        <v>0</v>
      </c>
      <c r="R86" s="2" t="str">
        <f aca="false">IF(Q86&gt;=Assumptions!$B$9,"High",IF(Q86&gt;=Assumptions!$B$10,"Medium","Low"))</f>
        <v>Low</v>
      </c>
      <c r="S86" s="21" t="n">
        <f aca="false">(N86*Assumptions!$B$5+O86*Assumptions!$B$6)/(Assumptions!$B$5+Assumptions!$B$6)</f>
        <v>30</v>
      </c>
      <c r="T86" s="2" t="str">
        <f aca="false">IF(AND(J86&gt;Assumptions!$B$8,G86&lt;=Assumptions!$B$30),"Low confidence","")</f>
        <v/>
      </c>
      <c r="U86" s="2" t="n">
        <f aca="false">(J86&gt;40)+(F86&gt;2000)+(K86&lt;10)+(L86=0)</f>
        <v>0</v>
      </c>
      <c r="V86" s="21" t="n">
        <f aca="false">IF(J86&lt;20,0,IF(J86&lt;40,25,M86))*Assumptions!$B$4+N86*Assumptions!$B$5+O86*Assumptions!$B$6</f>
        <v>15</v>
      </c>
      <c r="W86" s="2" t="str">
        <f aca="false">IF(V86&gt;=70,"High",IF(V86&gt;=40,"Medium","Low"))</f>
        <v>Low</v>
      </c>
    </row>
    <row r="87" customFormat="false" ht="15" hidden="false" customHeight="false" outlineLevel="0" collapsed="false">
      <c r="A87" s="2" t="s">
        <v>553</v>
      </c>
      <c r="B87" s="2" t="s">
        <v>1571</v>
      </c>
      <c r="C87" s="2" t="s">
        <v>1640</v>
      </c>
      <c r="D87" s="2" t="s">
        <v>1572</v>
      </c>
      <c r="E87" s="2" t="n">
        <v>7</v>
      </c>
      <c r="F87" s="9" t="n">
        <v>1153</v>
      </c>
      <c r="G87" s="2" t="n">
        <v>3</v>
      </c>
      <c r="H87" s="2" t="n">
        <v>0</v>
      </c>
      <c r="I87" s="2" t="n">
        <v>3</v>
      </c>
      <c r="J87" s="2" t="n">
        <v>13</v>
      </c>
      <c r="K87" s="2" t="n">
        <v>105</v>
      </c>
      <c r="L87" s="2" t="n">
        <v>50</v>
      </c>
      <c r="M87" s="2" t="n">
        <f aca="false">IF(J87&lt;=Assumptions!$B$13,0,IF(J87&lt;Assumptions!$B$14,25,IF(J87&lt;Assumptions!$B$15,50,IF(J87&lt;Assumptions!$B$16,75,100))))</f>
        <v>0</v>
      </c>
      <c r="N87" s="2" t="n">
        <f aca="false">IF(K87&gt;Assumptions!$B$19,0,IF(K87&gt;=Assumptions!$B$20,25,IF(K87&gt;=Assumptions!$B$21,50,IF(K87&gt;=Assumptions!$B$22,75,100))))</f>
        <v>0</v>
      </c>
      <c r="O87" s="2" t="n">
        <f aca="false">IF(L87&gt;=Assumptions!$B$25,0,IF(L87&gt;=Assumptions!$B$26,25,IF(L87=Assumptions!$B$27,50,IF(L87=Assumptions!$B$28,75,100))))</f>
        <v>0</v>
      </c>
      <c r="P87" s="21" t="n">
        <f aca="false">M87*Assumptions!$B$4+N87*Assumptions!$B$5+O87*Assumptions!$B$6</f>
        <v>0</v>
      </c>
      <c r="Q87" s="21" t="n">
        <f aca="false">IF(J87&lt;=Assumptions!$B$8,0,P87)</f>
        <v>0</v>
      </c>
      <c r="R87" s="2" t="str">
        <f aca="false">IF(Q87&gt;=Assumptions!$B$9,"High",IF(Q87&gt;=Assumptions!$B$10,"Medium","Low"))</f>
        <v>Low</v>
      </c>
      <c r="S87" s="21" t="n">
        <f aca="false">(N87*Assumptions!$B$5+O87*Assumptions!$B$6)/(Assumptions!$B$5+Assumptions!$B$6)</f>
        <v>0</v>
      </c>
      <c r="T87" s="2" t="str">
        <f aca="false">IF(AND(J87&gt;Assumptions!$B$8,G87&lt;=Assumptions!$B$30),"Low confidence","")</f>
        <v/>
      </c>
      <c r="U87" s="2" t="n">
        <f aca="false">(J87&gt;40)+(F87&gt;2000)+(K87&lt;10)+(L87=0)</f>
        <v>0</v>
      </c>
      <c r="V87" s="21" t="n">
        <f aca="false">IF(J87&lt;20,0,IF(J87&lt;40,25,M87))*Assumptions!$B$4+N87*Assumptions!$B$5+O87*Assumptions!$B$6</f>
        <v>0</v>
      </c>
      <c r="W87" s="2" t="str">
        <f aca="false">IF(V87&gt;=70,"High",IF(V87&gt;=40,"Medium","Low"))</f>
        <v>Low</v>
      </c>
    </row>
    <row r="88" customFormat="false" ht="15" hidden="false" customHeight="false" outlineLevel="0" collapsed="false">
      <c r="A88" s="2" t="s">
        <v>610</v>
      </c>
      <c r="B88" s="2" t="s">
        <v>1571</v>
      </c>
      <c r="C88" s="2" t="s">
        <v>1640</v>
      </c>
      <c r="D88" s="2" t="s">
        <v>1572</v>
      </c>
      <c r="E88" s="2" t="n">
        <v>16</v>
      </c>
      <c r="F88" s="9" t="n">
        <v>1079</v>
      </c>
      <c r="G88" s="2" t="n">
        <v>3</v>
      </c>
      <c r="H88" s="2" t="n">
        <v>2</v>
      </c>
      <c r="I88" s="2" t="n">
        <v>1</v>
      </c>
      <c r="J88" s="2" t="n">
        <v>74</v>
      </c>
      <c r="K88" s="2" t="n">
        <v>7</v>
      </c>
      <c r="L88" s="2" t="n">
        <v>2</v>
      </c>
      <c r="M88" s="2" t="n">
        <f aca="false">IF(J88&lt;=Assumptions!$B$13,0,IF(J88&lt;Assumptions!$B$14,25,IF(J88&lt;Assumptions!$B$15,50,IF(J88&lt;Assumptions!$B$16,75,100))))</f>
        <v>75</v>
      </c>
      <c r="N88" s="2" t="n">
        <f aca="false">IF(K88&gt;Assumptions!$B$19,0,IF(K88&gt;=Assumptions!$B$20,25,IF(K88&gt;=Assumptions!$B$21,50,IF(K88&gt;=Assumptions!$B$22,75,100))))</f>
        <v>75</v>
      </c>
      <c r="O88" s="2" t="n">
        <f aca="false">IF(L88&gt;=Assumptions!$B$25,0,IF(L88&gt;=Assumptions!$B$26,25,IF(L88=Assumptions!$B$27,50,IF(L88=Assumptions!$B$28,75,100))))</f>
        <v>50</v>
      </c>
      <c r="P88" s="21" t="n">
        <f aca="false">M88*Assumptions!$B$4+N88*Assumptions!$B$5+O88*Assumptions!$B$6</f>
        <v>70</v>
      </c>
      <c r="Q88" s="21" t="n">
        <f aca="false">IF(J88&lt;=Assumptions!$B$8,0,P88)</f>
        <v>70</v>
      </c>
      <c r="R88" s="2" t="str">
        <f aca="false">IF(Q88&gt;=Assumptions!$B$9,"High",IF(Q88&gt;=Assumptions!$B$10,"Medium","Low"))</f>
        <v>High</v>
      </c>
      <c r="S88" s="21" t="n">
        <f aca="false">(N88*Assumptions!$B$5+O88*Assumptions!$B$6)/(Assumptions!$B$5+Assumptions!$B$6)</f>
        <v>65</v>
      </c>
      <c r="T88" s="2" t="str">
        <f aca="false">IF(AND(J88&gt;Assumptions!$B$8,G88&lt;=Assumptions!$B$30),"Low confidence","")</f>
        <v/>
      </c>
      <c r="U88" s="2" t="n">
        <f aca="false">(J88&gt;40)+(F88&gt;2000)+(K88&lt;10)+(L88=0)</f>
        <v>2</v>
      </c>
      <c r="V88" s="21" t="n">
        <f aca="false">IF(J88&lt;20,0,IF(J88&lt;40,25,M88))*Assumptions!$B$4+N88*Assumptions!$B$5+O88*Assumptions!$B$6</f>
        <v>70</v>
      </c>
      <c r="W88" s="2" t="str">
        <f aca="false">IF(V88&gt;=70,"High",IF(V88&gt;=40,"Medium","Low"))</f>
        <v>High</v>
      </c>
    </row>
    <row r="89" customFormat="false" ht="15" hidden="false" customHeight="false" outlineLevel="0" collapsed="false">
      <c r="A89" s="2" t="s">
        <v>612</v>
      </c>
      <c r="B89" s="2" t="s">
        <v>1571</v>
      </c>
      <c r="C89" s="2" t="s">
        <v>1640</v>
      </c>
      <c r="D89" s="2" t="s">
        <v>1572</v>
      </c>
      <c r="E89" s="2" t="n">
        <v>9</v>
      </c>
      <c r="F89" s="9" t="n">
        <v>1071</v>
      </c>
      <c r="G89" s="2" t="n">
        <v>2</v>
      </c>
      <c r="H89" s="2" t="n">
        <v>1</v>
      </c>
      <c r="I89" s="2" t="n">
        <v>1</v>
      </c>
      <c r="J89" s="2" t="n">
        <v>51</v>
      </c>
      <c r="K89" s="2" t="n">
        <v>3</v>
      </c>
      <c r="L89" s="2" t="n">
        <v>1</v>
      </c>
      <c r="M89" s="2" t="n">
        <f aca="false">IF(J89&lt;=Assumptions!$B$13,0,IF(J89&lt;Assumptions!$B$14,25,IF(J89&lt;Assumptions!$B$15,50,IF(J89&lt;Assumptions!$B$16,75,100))))</f>
        <v>50</v>
      </c>
      <c r="N89" s="2" t="n">
        <f aca="false">IF(K89&gt;Assumptions!$B$19,0,IF(K89&gt;=Assumptions!$B$20,25,IF(K89&gt;=Assumptions!$B$21,50,IF(K89&gt;=Assumptions!$B$22,75,100))))</f>
        <v>100</v>
      </c>
      <c r="O89" s="2" t="n">
        <f aca="false">IF(L89&gt;=Assumptions!$B$25,0,IF(L89&gt;=Assumptions!$B$26,25,IF(L89=Assumptions!$B$27,50,IF(L89=Assumptions!$B$28,75,100))))</f>
        <v>75</v>
      </c>
      <c r="P89" s="21" t="n">
        <f aca="false">M89*Assumptions!$B$4+N89*Assumptions!$B$5+O89*Assumptions!$B$6</f>
        <v>70</v>
      </c>
      <c r="Q89" s="21" t="n">
        <f aca="false">IF(J89&lt;=Assumptions!$B$8,0,P89)</f>
        <v>70</v>
      </c>
      <c r="R89" s="2" t="str">
        <f aca="false">IF(Q89&gt;=Assumptions!$B$9,"High",IF(Q89&gt;=Assumptions!$B$10,"Medium","Low"))</f>
        <v>High</v>
      </c>
      <c r="S89" s="21" t="n">
        <f aca="false">(N89*Assumptions!$B$5+O89*Assumptions!$B$6)/(Assumptions!$B$5+Assumptions!$B$6)</f>
        <v>90</v>
      </c>
      <c r="T89" s="2" t="str">
        <f aca="false">IF(AND(J89&gt;Assumptions!$B$8,G89&lt;=Assumptions!$B$30),"Low confidence","")</f>
        <v>Low confidence</v>
      </c>
      <c r="U89" s="2" t="n">
        <f aca="false">(J89&gt;40)+(F89&gt;2000)+(K89&lt;10)+(L89=0)</f>
        <v>2</v>
      </c>
      <c r="V89" s="21" t="n">
        <f aca="false">IF(J89&lt;20,0,IF(J89&lt;40,25,M89))*Assumptions!$B$4+N89*Assumptions!$B$5+O89*Assumptions!$B$6</f>
        <v>70</v>
      </c>
      <c r="W89" s="2" t="str">
        <f aca="false">IF(V89&gt;=70,"High",IF(V89&gt;=40,"Medium","Low"))</f>
        <v>High</v>
      </c>
    </row>
    <row r="90" customFormat="false" ht="15" hidden="false" customHeight="false" outlineLevel="0" collapsed="false">
      <c r="A90" s="2" t="s">
        <v>614</v>
      </c>
      <c r="B90" s="2" t="s">
        <v>1571</v>
      </c>
      <c r="C90" s="2" t="s">
        <v>1640</v>
      </c>
      <c r="D90" s="2"/>
      <c r="E90" s="2" t="n">
        <v>6</v>
      </c>
      <c r="F90" s="9" t="n">
        <v>1011</v>
      </c>
      <c r="G90" s="2" t="n">
        <v>2</v>
      </c>
      <c r="H90" s="2" t="n">
        <v>0</v>
      </c>
      <c r="I90" s="2" t="n">
        <v>2</v>
      </c>
      <c r="J90" s="2" t="n">
        <v>11</v>
      </c>
      <c r="K90" s="2" t="n">
        <v>42</v>
      </c>
      <c r="L90" s="2" t="n">
        <v>13</v>
      </c>
      <c r="M90" s="2" t="n">
        <f aca="false">IF(J90&lt;=Assumptions!$B$13,0,IF(J90&lt;Assumptions!$B$14,25,IF(J90&lt;Assumptions!$B$15,50,IF(J90&lt;Assumptions!$B$16,75,100))))</f>
        <v>0</v>
      </c>
      <c r="N90" s="2" t="n">
        <f aca="false">IF(K90&gt;Assumptions!$B$19,0,IF(K90&gt;=Assumptions!$B$20,25,IF(K90&gt;=Assumptions!$B$21,50,IF(K90&gt;=Assumptions!$B$22,75,100))))</f>
        <v>0</v>
      </c>
      <c r="O90" s="2" t="n">
        <f aca="false">IF(L90&gt;=Assumptions!$B$25,0,IF(L90&gt;=Assumptions!$B$26,25,IF(L90=Assumptions!$B$27,50,IF(L90=Assumptions!$B$28,75,100))))</f>
        <v>0</v>
      </c>
      <c r="P90" s="21" t="n">
        <f aca="false">M90*Assumptions!$B$4+N90*Assumptions!$B$5+O90*Assumptions!$B$6</f>
        <v>0</v>
      </c>
      <c r="Q90" s="21" t="n">
        <f aca="false">IF(J90&lt;=Assumptions!$B$8,0,P90)</f>
        <v>0</v>
      </c>
      <c r="R90" s="2" t="str">
        <f aca="false">IF(Q90&gt;=Assumptions!$B$9,"High",IF(Q90&gt;=Assumptions!$B$10,"Medium","Low"))</f>
        <v>Low</v>
      </c>
      <c r="S90" s="21" t="n">
        <f aca="false">(N90*Assumptions!$B$5+O90*Assumptions!$B$6)/(Assumptions!$B$5+Assumptions!$B$6)</f>
        <v>0</v>
      </c>
      <c r="T90" s="2" t="str">
        <f aca="false">IF(AND(J90&gt;Assumptions!$B$8,G90&lt;=Assumptions!$B$30),"Low confidence","")</f>
        <v/>
      </c>
      <c r="U90" s="2" t="n">
        <f aca="false">(J90&gt;40)+(F90&gt;2000)+(K90&lt;10)+(L90=0)</f>
        <v>0</v>
      </c>
      <c r="V90" s="21" t="n">
        <f aca="false">IF(J90&lt;20,0,IF(J90&lt;40,25,M90))*Assumptions!$B$4+N90*Assumptions!$B$5+O90*Assumptions!$B$6</f>
        <v>0</v>
      </c>
      <c r="W90" s="2" t="str">
        <f aca="false">IF(V90&gt;=70,"High",IF(V90&gt;=40,"Medium","Low"))</f>
        <v>Low</v>
      </c>
    </row>
    <row r="91" customFormat="false" ht="15" hidden="false" customHeight="false" outlineLevel="0" collapsed="false">
      <c r="A91" s="2" t="s">
        <v>616</v>
      </c>
      <c r="B91" s="2" t="s">
        <v>1571</v>
      </c>
      <c r="C91" s="2" t="s">
        <v>1640</v>
      </c>
      <c r="D91" s="2" t="s">
        <v>1572</v>
      </c>
      <c r="E91" s="2" t="n">
        <v>13</v>
      </c>
      <c r="F91" s="9" t="n">
        <v>987</v>
      </c>
      <c r="G91" s="2" t="n">
        <v>7</v>
      </c>
      <c r="H91" s="2" t="n">
        <v>0</v>
      </c>
      <c r="I91" s="2" t="n">
        <v>7</v>
      </c>
      <c r="J91" s="2" t="n">
        <v>1</v>
      </c>
      <c r="K91" s="2" t="n">
        <v>27</v>
      </c>
      <c r="L91" s="2" t="n">
        <v>8</v>
      </c>
      <c r="M91" s="2" t="n">
        <f aca="false">IF(J91&lt;=Assumptions!$B$13,0,IF(J91&lt;Assumptions!$B$14,25,IF(J91&lt;Assumptions!$B$15,50,IF(J91&lt;Assumptions!$B$16,75,100))))</f>
        <v>0</v>
      </c>
      <c r="N91" s="2" t="n">
        <f aca="false">IF(K91&gt;Assumptions!$B$19,0,IF(K91&gt;=Assumptions!$B$20,25,IF(K91&gt;=Assumptions!$B$21,50,IF(K91&gt;=Assumptions!$B$22,75,100))))</f>
        <v>25</v>
      </c>
      <c r="O91" s="2" t="n">
        <f aca="false">IF(L91&gt;=Assumptions!$B$25,0,IF(L91&gt;=Assumptions!$B$26,25,IF(L91=Assumptions!$B$27,50,IF(L91=Assumptions!$B$28,75,100))))</f>
        <v>0</v>
      </c>
      <c r="P91" s="21" t="n">
        <f aca="false">M91*Assumptions!$B$4+N91*Assumptions!$B$5+O91*Assumptions!$B$6</f>
        <v>7.5</v>
      </c>
      <c r="Q91" s="21" t="n">
        <f aca="false">IF(J91&lt;=Assumptions!$B$8,0,P91)</f>
        <v>0</v>
      </c>
      <c r="R91" s="2" t="str">
        <f aca="false">IF(Q91&gt;=Assumptions!$B$9,"High",IF(Q91&gt;=Assumptions!$B$10,"Medium","Low"))</f>
        <v>Low</v>
      </c>
      <c r="S91" s="21" t="n">
        <f aca="false">(N91*Assumptions!$B$5+O91*Assumptions!$B$6)/(Assumptions!$B$5+Assumptions!$B$6)</f>
        <v>15</v>
      </c>
      <c r="T91" s="2" t="str">
        <f aca="false">IF(AND(J91&gt;Assumptions!$B$8,G91&lt;=Assumptions!$B$30),"Low confidence","")</f>
        <v/>
      </c>
      <c r="U91" s="2" t="n">
        <f aca="false">(J91&gt;40)+(F91&gt;2000)+(K91&lt;10)+(L91=0)</f>
        <v>0</v>
      </c>
      <c r="V91" s="21" t="n">
        <f aca="false">IF(J91&lt;20,0,IF(J91&lt;40,25,M91))*Assumptions!$B$4+N91*Assumptions!$B$5+O91*Assumptions!$B$6</f>
        <v>7.5</v>
      </c>
      <c r="W91" s="2" t="str">
        <f aca="false">IF(V91&gt;=70,"High",IF(V91&gt;=40,"Medium","Low"))</f>
        <v>Low</v>
      </c>
    </row>
    <row r="92" customFormat="false" ht="15" hidden="false" customHeight="false" outlineLevel="0" collapsed="false">
      <c r="A92" s="2" t="s">
        <v>618</v>
      </c>
      <c r="B92" s="2" t="s">
        <v>1571</v>
      </c>
      <c r="C92" s="2" t="s">
        <v>1640</v>
      </c>
      <c r="D92" s="2" t="s">
        <v>1572</v>
      </c>
      <c r="E92" s="2" t="n">
        <v>12</v>
      </c>
      <c r="F92" s="9" t="n">
        <v>982</v>
      </c>
      <c r="G92" s="2" t="n">
        <v>3</v>
      </c>
      <c r="H92" s="2" t="n">
        <v>0</v>
      </c>
      <c r="I92" s="2" t="n">
        <v>3</v>
      </c>
      <c r="J92" s="2" t="n">
        <v>14</v>
      </c>
      <c r="K92" s="2" t="n">
        <v>30</v>
      </c>
      <c r="L92" s="2" t="n">
        <v>4</v>
      </c>
      <c r="M92" s="2" t="n">
        <f aca="false">IF(J92&lt;=Assumptions!$B$13,0,IF(J92&lt;Assumptions!$B$14,25,IF(J92&lt;Assumptions!$B$15,50,IF(J92&lt;Assumptions!$B$16,75,100))))</f>
        <v>0</v>
      </c>
      <c r="N92" s="2" t="n">
        <f aca="false">IF(K92&gt;Assumptions!$B$19,0,IF(K92&gt;=Assumptions!$B$20,25,IF(K92&gt;=Assumptions!$B$21,50,IF(K92&gt;=Assumptions!$B$22,75,100))))</f>
        <v>25</v>
      </c>
      <c r="O92" s="2" t="n">
        <f aca="false">IF(L92&gt;=Assumptions!$B$25,0,IF(L92&gt;=Assumptions!$B$26,25,IF(L92=Assumptions!$B$27,50,IF(L92=Assumptions!$B$28,75,100))))</f>
        <v>25</v>
      </c>
      <c r="P92" s="21" t="n">
        <f aca="false">M92*Assumptions!$B$4+N92*Assumptions!$B$5+O92*Assumptions!$B$6</f>
        <v>12.5</v>
      </c>
      <c r="Q92" s="21" t="n">
        <f aca="false">IF(J92&lt;=Assumptions!$B$8,0,P92)</f>
        <v>0</v>
      </c>
      <c r="R92" s="2" t="str">
        <f aca="false">IF(Q92&gt;=Assumptions!$B$9,"High",IF(Q92&gt;=Assumptions!$B$10,"Medium","Low"))</f>
        <v>Low</v>
      </c>
      <c r="S92" s="21" t="n">
        <f aca="false">(N92*Assumptions!$B$5+O92*Assumptions!$B$6)/(Assumptions!$B$5+Assumptions!$B$6)</f>
        <v>25</v>
      </c>
      <c r="T92" s="2" t="str">
        <f aca="false">IF(AND(J92&gt;Assumptions!$B$8,G92&lt;=Assumptions!$B$30),"Low confidence","")</f>
        <v/>
      </c>
      <c r="U92" s="2" t="n">
        <f aca="false">(J92&gt;40)+(F92&gt;2000)+(K92&lt;10)+(L92=0)</f>
        <v>0</v>
      </c>
      <c r="V92" s="21" t="n">
        <f aca="false">IF(J92&lt;20,0,IF(J92&lt;40,25,M92))*Assumptions!$B$4+N92*Assumptions!$B$5+O92*Assumptions!$B$6</f>
        <v>12.5</v>
      </c>
      <c r="W92" s="2" t="str">
        <f aca="false">IF(V92&gt;=70,"High",IF(V92&gt;=40,"Medium","Low"))</f>
        <v>Low</v>
      </c>
    </row>
    <row r="93" customFormat="false" ht="15" hidden="false" customHeight="false" outlineLevel="0" collapsed="false">
      <c r="A93" s="2" t="s">
        <v>620</v>
      </c>
      <c r="B93" s="2" t="s">
        <v>1571</v>
      </c>
      <c r="C93" s="2" t="s">
        <v>1640</v>
      </c>
      <c r="D93" s="2" t="s">
        <v>1572</v>
      </c>
      <c r="E93" s="2" t="n">
        <v>25</v>
      </c>
      <c r="F93" s="9" t="n">
        <v>944</v>
      </c>
      <c r="G93" s="2" t="n">
        <v>2</v>
      </c>
      <c r="H93" s="2" t="n">
        <v>0</v>
      </c>
      <c r="I93" s="2" t="n">
        <v>2</v>
      </c>
      <c r="J93" s="2" t="n">
        <v>14</v>
      </c>
      <c r="K93" s="2" t="n">
        <v>19</v>
      </c>
      <c r="L93" s="2" t="n">
        <v>1</v>
      </c>
      <c r="M93" s="2" t="n">
        <f aca="false">IF(J93&lt;=Assumptions!$B$13,0,IF(J93&lt;Assumptions!$B$14,25,IF(J93&lt;Assumptions!$B$15,50,IF(J93&lt;Assumptions!$B$16,75,100))))</f>
        <v>0</v>
      </c>
      <c r="N93" s="2" t="n">
        <f aca="false">IF(K93&gt;Assumptions!$B$19,0,IF(K93&gt;=Assumptions!$B$20,25,IF(K93&gt;=Assumptions!$B$21,50,IF(K93&gt;=Assumptions!$B$22,75,100))))</f>
        <v>50</v>
      </c>
      <c r="O93" s="2" t="n">
        <f aca="false">IF(L93&gt;=Assumptions!$B$25,0,IF(L93&gt;=Assumptions!$B$26,25,IF(L93=Assumptions!$B$27,50,IF(L93=Assumptions!$B$28,75,100))))</f>
        <v>75</v>
      </c>
      <c r="P93" s="21" t="n">
        <f aca="false">M93*Assumptions!$B$4+N93*Assumptions!$B$5+O93*Assumptions!$B$6</f>
        <v>30</v>
      </c>
      <c r="Q93" s="21" t="n">
        <f aca="false">IF(J93&lt;=Assumptions!$B$8,0,P93)</f>
        <v>0</v>
      </c>
      <c r="R93" s="2" t="str">
        <f aca="false">IF(Q93&gt;=Assumptions!$B$9,"High",IF(Q93&gt;=Assumptions!$B$10,"Medium","Low"))</f>
        <v>Low</v>
      </c>
      <c r="S93" s="21" t="n">
        <f aca="false">(N93*Assumptions!$B$5+O93*Assumptions!$B$6)/(Assumptions!$B$5+Assumptions!$B$6)</f>
        <v>60</v>
      </c>
      <c r="T93" s="2" t="str">
        <f aca="false">IF(AND(J93&gt;Assumptions!$B$8,G93&lt;=Assumptions!$B$30),"Low confidence","")</f>
        <v/>
      </c>
      <c r="U93" s="2" t="n">
        <f aca="false">(J93&gt;40)+(F93&gt;2000)+(K93&lt;10)+(L93=0)</f>
        <v>0</v>
      </c>
      <c r="V93" s="21" t="n">
        <f aca="false">IF(J93&lt;20,0,IF(J93&lt;40,25,M93))*Assumptions!$B$4+N93*Assumptions!$B$5+O93*Assumptions!$B$6</f>
        <v>30</v>
      </c>
      <c r="W93" s="2" t="str">
        <f aca="false">IF(V93&gt;=70,"High",IF(V93&gt;=40,"Medium","Low"))</f>
        <v>Low</v>
      </c>
    </row>
    <row r="94" customFormat="false" ht="15" hidden="false" customHeight="false" outlineLevel="0" collapsed="false">
      <c r="A94" s="2" t="s">
        <v>624</v>
      </c>
      <c r="B94" s="2" t="s">
        <v>1571</v>
      </c>
      <c r="C94" s="2" t="s">
        <v>1640</v>
      </c>
      <c r="D94" s="2" t="s">
        <v>1572</v>
      </c>
      <c r="E94" s="2" t="n">
        <v>6</v>
      </c>
      <c r="F94" s="9" t="n">
        <v>908</v>
      </c>
      <c r="G94" s="2" t="n">
        <v>4</v>
      </c>
      <c r="H94" s="2" t="n">
        <v>0</v>
      </c>
      <c r="I94" s="2" t="n">
        <v>4</v>
      </c>
      <c r="J94" s="2" t="n">
        <v>12</v>
      </c>
      <c r="K94" s="2" t="n">
        <v>30</v>
      </c>
      <c r="L94" s="2" t="n">
        <v>4</v>
      </c>
      <c r="M94" s="2" t="n">
        <f aca="false">IF(J94&lt;=Assumptions!$B$13,0,IF(J94&lt;Assumptions!$B$14,25,IF(J94&lt;Assumptions!$B$15,50,IF(J94&lt;Assumptions!$B$16,75,100))))</f>
        <v>0</v>
      </c>
      <c r="N94" s="2" t="n">
        <f aca="false">IF(K94&gt;Assumptions!$B$19,0,IF(K94&gt;=Assumptions!$B$20,25,IF(K94&gt;=Assumptions!$B$21,50,IF(K94&gt;=Assumptions!$B$22,75,100))))</f>
        <v>25</v>
      </c>
      <c r="O94" s="2" t="n">
        <f aca="false">IF(L94&gt;=Assumptions!$B$25,0,IF(L94&gt;=Assumptions!$B$26,25,IF(L94=Assumptions!$B$27,50,IF(L94=Assumptions!$B$28,75,100))))</f>
        <v>25</v>
      </c>
      <c r="P94" s="21" t="n">
        <f aca="false">M94*Assumptions!$B$4+N94*Assumptions!$B$5+O94*Assumptions!$B$6</f>
        <v>12.5</v>
      </c>
      <c r="Q94" s="21" t="n">
        <f aca="false">IF(J94&lt;=Assumptions!$B$8,0,P94)</f>
        <v>0</v>
      </c>
      <c r="R94" s="2" t="str">
        <f aca="false">IF(Q94&gt;=Assumptions!$B$9,"High",IF(Q94&gt;=Assumptions!$B$10,"Medium","Low"))</f>
        <v>Low</v>
      </c>
      <c r="S94" s="21" t="n">
        <f aca="false">(N94*Assumptions!$B$5+O94*Assumptions!$B$6)/(Assumptions!$B$5+Assumptions!$B$6)</f>
        <v>25</v>
      </c>
      <c r="T94" s="2" t="str">
        <f aca="false">IF(AND(J94&gt;Assumptions!$B$8,G94&lt;=Assumptions!$B$30),"Low confidence","")</f>
        <v/>
      </c>
      <c r="U94" s="2" t="n">
        <f aca="false">(J94&gt;40)+(F94&gt;2000)+(K94&lt;10)+(L94=0)</f>
        <v>0</v>
      </c>
      <c r="V94" s="21" t="n">
        <f aca="false">IF(J94&lt;20,0,IF(J94&lt;40,25,M94))*Assumptions!$B$4+N94*Assumptions!$B$5+O94*Assumptions!$B$6</f>
        <v>12.5</v>
      </c>
      <c r="W94" s="2" t="str">
        <f aca="false">IF(V94&gt;=70,"High",IF(V94&gt;=40,"Medium","Low"))</f>
        <v>Low</v>
      </c>
    </row>
    <row r="95" customFormat="false" ht="15" hidden="false" customHeight="false" outlineLevel="0" collapsed="false">
      <c r="A95" s="2" t="s">
        <v>627</v>
      </c>
      <c r="B95" s="2" t="s">
        <v>1571</v>
      </c>
      <c r="C95" s="2" t="s">
        <v>1640</v>
      </c>
      <c r="D95" s="2"/>
      <c r="E95" s="2" t="n">
        <v>6</v>
      </c>
      <c r="F95" s="9" t="n">
        <v>896</v>
      </c>
      <c r="G95" s="2" t="n">
        <v>2</v>
      </c>
      <c r="H95" s="2" t="n">
        <v>0</v>
      </c>
      <c r="I95" s="2" t="n">
        <v>2</v>
      </c>
      <c r="J95" s="2" t="n">
        <v>6</v>
      </c>
      <c r="K95" s="2" t="n">
        <v>8</v>
      </c>
      <c r="L95" s="2" t="n">
        <v>0</v>
      </c>
      <c r="M95" s="2" t="n">
        <f aca="false">IF(J95&lt;=Assumptions!$B$13,0,IF(J95&lt;Assumptions!$B$14,25,IF(J95&lt;Assumptions!$B$15,50,IF(J95&lt;Assumptions!$B$16,75,100))))</f>
        <v>0</v>
      </c>
      <c r="N95" s="2" t="n">
        <f aca="false">IF(K95&gt;Assumptions!$B$19,0,IF(K95&gt;=Assumptions!$B$20,25,IF(K95&gt;=Assumptions!$B$21,50,IF(K95&gt;=Assumptions!$B$22,75,100))))</f>
        <v>75</v>
      </c>
      <c r="O95" s="2" t="n">
        <f aca="false">IF(L95&gt;=Assumptions!$B$25,0,IF(L95&gt;=Assumptions!$B$26,25,IF(L95=Assumptions!$B$27,50,IF(L95=Assumptions!$B$28,75,100))))</f>
        <v>100</v>
      </c>
      <c r="P95" s="21" t="n">
        <f aca="false">M95*Assumptions!$B$4+N95*Assumptions!$B$5+O95*Assumptions!$B$6</f>
        <v>42.5</v>
      </c>
      <c r="Q95" s="21" t="n">
        <f aca="false">IF(J95&lt;=Assumptions!$B$8,0,P95)</f>
        <v>0</v>
      </c>
      <c r="R95" s="2" t="str">
        <f aca="false">IF(Q95&gt;=Assumptions!$B$9,"High",IF(Q95&gt;=Assumptions!$B$10,"Medium","Low"))</f>
        <v>Low</v>
      </c>
      <c r="S95" s="21" t="n">
        <f aca="false">(N95*Assumptions!$B$5+O95*Assumptions!$B$6)/(Assumptions!$B$5+Assumptions!$B$6)</f>
        <v>85</v>
      </c>
      <c r="T95" s="2" t="str">
        <f aca="false">IF(AND(J95&gt;Assumptions!$B$8,G95&lt;=Assumptions!$B$30),"Low confidence","")</f>
        <v/>
      </c>
      <c r="U95" s="2" t="n">
        <f aca="false">(J95&gt;40)+(F95&gt;2000)+(K95&lt;10)+(L95=0)</f>
        <v>2</v>
      </c>
      <c r="V95" s="21" t="n">
        <f aca="false">IF(J95&lt;20,0,IF(J95&lt;40,25,M95))*Assumptions!$B$4+N95*Assumptions!$B$5+O95*Assumptions!$B$6</f>
        <v>42.5</v>
      </c>
      <c r="W95" s="2" t="str">
        <f aca="false">IF(V95&gt;=70,"High",IF(V95&gt;=40,"Medium","Low"))</f>
        <v>Medium</v>
      </c>
    </row>
    <row r="96" customFormat="false" ht="15" hidden="false" customHeight="false" outlineLevel="0" collapsed="false">
      <c r="A96" s="2" t="s">
        <v>629</v>
      </c>
      <c r="B96" s="2" t="s">
        <v>1571</v>
      </c>
      <c r="C96" s="2" t="s">
        <v>1640</v>
      </c>
      <c r="D96" s="2" t="s">
        <v>1572</v>
      </c>
      <c r="E96" s="2" t="n">
        <v>9</v>
      </c>
      <c r="F96" s="9" t="n">
        <v>892</v>
      </c>
      <c r="G96" s="2" t="n">
        <v>1</v>
      </c>
      <c r="H96" s="2" t="n">
        <v>0</v>
      </c>
      <c r="I96" s="2" t="n">
        <v>1</v>
      </c>
      <c r="J96" s="2" t="n">
        <v>4</v>
      </c>
      <c r="K96" s="2" t="n">
        <v>38</v>
      </c>
      <c r="L96" s="2" t="n">
        <v>0</v>
      </c>
      <c r="M96" s="2" t="n">
        <f aca="false">IF(J96&lt;=Assumptions!$B$13,0,IF(J96&lt;Assumptions!$B$14,25,IF(J96&lt;Assumptions!$B$15,50,IF(J96&lt;Assumptions!$B$16,75,100))))</f>
        <v>0</v>
      </c>
      <c r="N96" s="2" t="n">
        <f aca="false">IF(K96&gt;Assumptions!$B$19,0,IF(K96&gt;=Assumptions!$B$20,25,IF(K96&gt;=Assumptions!$B$21,50,IF(K96&gt;=Assumptions!$B$22,75,100))))</f>
        <v>0</v>
      </c>
      <c r="O96" s="2" t="n">
        <f aca="false">IF(L96&gt;=Assumptions!$B$25,0,IF(L96&gt;=Assumptions!$B$26,25,IF(L96=Assumptions!$B$27,50,IF(L96=Assumptions!$B$28,75,100))))</f>
        <v>100</v>
      </c>
      <c r="P96" s="21" t="n">
        <f aca="false">M96*Assumptions!$B$4+N96*Assumptions!$B$5+O96*Assumptions!$B$6</f>
        <v>20</v>
      </c>
      <c r="Q96" s="21" t="n">
        <f aca="false">IF(J96&lt;=Assumptions!$B$8,0,P96)</f>
        <v>0</v>
      </c>
      <c r="R96" s="2" t="str">
        <f aca="false">IF(Q96&gt;=Assumptions!$B$9,"High",IF(Q96&gt;=Assumptions!$B$10,"Medium","Low"))</f>
        <v>Low</v>
      </c>
      <c r="S96" s="21" t="n">
        <f aca="false">(N96*Assumptions!$B$5+O96*Assumptions!$B$6)/(Assumptions!$B$5+Assumptions!$B$6)</f>
        <v>40</v>
      </c>
      <c r="T96" s="2" t="str">
        <f aca="false">IF(AND(J96&gt;Assumptions!$B$8,G96&lt;=Assumptions!$B$30),"Low confidence","")</f>
        <v/>
      </c>
      <c r="U96" s="2" t="n">
        <f aca="false">(J96&gt;40)+(F96&gt;2000)+(K96&lt;10)+(L96=0)</f>
        <v>1</v>
      </c>
      <c r="V96" s="21" t="n">
        <f aca="false">IF(J96&lt;20,0,IF(J96&lt;40,25,M96))*Assumptions!$B$4+N96*Assumptions!$B$5+O96*Assumptions!$B$6</f>
        <v>20</v>
      </c>
      <c r="W96" s="2" t="str">
        <f aca="false">IF(V96&gt;=70,"High",IF(V96&gt;=40,"Medium","Low"))</f>
        <v>Low</v>
      </c>
    </row>
    <row r="97" customFormat="false" ht="15" hidden="false" customHeight="false" outlineLevel="0" collapsed="false">
      <c r="A97" s="2" t="s">
        <v>634</v>
      </c>
      <c r="B97" s="2" t="s">
        <v>1571</v>
      </c>
      <c r="C97" s="2" t="s">
        <v>1640</v>
      </c>
      <c r="D97" s="2"/>
      <c r="E97" s="2" t="n">
        <v>6</v>
      </c>
      <c r="F97" s="9" t="n">
        <v>874</v>
      </c>
      <c r="G97" s="2" t="n">
        <v>2</v>
      </c>
      <c r="H97" s="2" t="n">
        <v>1</v>
      </c>
      <c r="I97" s="2" t="n">
        <v>1</v>
      </c>
      <c r="J97" s="2" t="n">
        <v>49</v>
      </c>
      <c r="K97" s="2" t="n">
        <v>3</v>
      </c>
      <c r="L97" s="2" t="n">
        <v>1</v>
      </c>
      <c r="M97" s="2" t="n">
        <f aca="false">IF(J97&lt;=Assumptions!$B$13,0,IF(J97&lt;Assumptions!$B$14,25,IF(J97&lt;Assumptions!$B$15,50,IF(J97&lt;Assumptions!$B$16,75,100))))</f>
        <v>50</v>
      </c>
      <c r="N97" s="2" t="n">
        <f aca="false">IF(K97&gt;Assumptions!$B$19,0,IF(K97&gt;=Assumptions!$B$20,25,IF(K97&gt;=Assumptions!$B$21,50,IF(K97&gt;=Assumptions!$B$22,75,100))))</f>
        <v>100</v>
      </c>
      <c r="O97" s="2" t="n">
        <f aca="false">IF(L97&gt;=Assumptions!$B$25,0,IF(L97&gt;=Assumptions!$B$26,25,IF(L97=Assumptions!$B$27,50,IF(L97=Assumptions!$B$28,75,100))))</f>
        <v>75</v>
      </c>
      <c r="P97" s="21" t="n">
        <f aca="false">M97*Assumptions!$B$4+N97*Assumptions!$B$5+O97*Assumptions!$B$6</f>
        <v>70</v>
      </c>
      <c r="Q97" s="21" t="n">
        <f aca="false">IF(J97&lt;=Assumptions!$B$8,0,P97)</f>
        <v>70</v>
      </c>
      <c r="R97" s="2" t="str">
        <f aca="false">IF(Q97&gt;=Assumptions!$B$9,"High",IF(Q97&gt;=Assumptions!$B$10,"Medium","Low"))</f>
        <v>High</v>
      </c>
      <c r="S97" s="21" t="n">
        <f aca="false">(N97*Assumptions!$B$5+O97*Assumptions!$B$6)/(Assumptions!$B$5+Assumptions!$B$6)</f>
        <v>90</v>
      </c>
      <c r="T97" s="2" t="str">
        <f aca="false">IF(AND(J97&gt;Assumptions!$B$8,G97&lt;=Assumptions!$B$30),"Low confidence","")</f>
        <v>Low confidence</v>
      </c>
      <c r="U97" s="2" t="n">
        <f aca="false">(J97&gt;40)+(F97&gt;2000)+(K97&lt;10)+(L97=0)</f>
        <v>2</v>
      </c>
      <c r="V97" s="21" t="n">
        <f aca="false">IF(J97&lt;20,0,IF(J97&lt;40,25,M97))*Assumptions!$B$4+N97*Assumptions!$B$5+O97*Assumptions!$B$6</f>
        <v>70</v>
      </c>
      <c r="W97" s="2" t="str">
        <f aca="false">IF(V97&gt;=70,"High",IF(V97&gt;=40,"Medium","Low"))</f>
        <v>High</v>
      </c>
    </row>
    <row r="98" customFormat="false" ht="15" hidden="false" customHeight="false" outlineLevel="0" collapsed="false">
      <c r="A98" s="2" t="s">
        <v>636</v>
      </c>
      <c r="B98" s="2" t="s">
        <v>1571</v>
      </c>
      <c r="C98" s="2" t="s">
        <v>1640</v>
      </c>
      <c r="D98" s="2" t="s">
        <v>1572</v>
      </c>
      <c r="E98" s="2" t="n">
        <v>8</v>
      </c>
      <c r="F98" s="9" t="n">
        <v>852</v>
      </c>
      <c r="G98" s="2" t="n">
        <v>6</v>
      </c>
      <c r="H98" s="2" t="n">
        <v>0</v>
      </c>
      <c r="I98" s="2" t="n">
        <v>6</v>
      </c>
      <c r="J98" s="2" t="n">
        <v>8</v>
      </c>
      <c r="K98" s="2" t="n">
        <v>21</v>
      </c>
      <c r="L98" s="2" t="n">
        <v>21</v>
      </c>
      <c r="M98" s="2" t="n">
        <f aca="false">IF(J98&lt;=Assumptions!$B$13,0,IF(J98&lt;Assumptions!$B$14,25,IF(J98&lt;Assumptions!$B$15,50,IF(J98&lt;Assumptions!$B$16,75,100))))</f>
        <v>0</v>
      </c>
      <c r="N98" s="2" t="n">
        <f aca="false">IF(K98&gt;Assumptions!$B$19,0,IF(K98&gt;=Assumptions!$B$20,25,IF(K98&gt;=Assumptions!$B$21,50,IF(K98&gt;=Assumptions!$B$22,75,100))))</f>
        <v>25</v>
      </c>
      <c r="O98" s="2" t="n">
        <f aca="false">IF(L98&gt;=Assumptions!$B$25,0,IF(L98&gt;=Assumptions!$B$26,25,IF(L98=Assumptions!$B$27,50,IF(L98=Assumptions!$B$28,75,100))))</f>
        <v>0</v>
      </c>
      <c r="P98" s="21" t="n">
        <f aca="false">M98*Assumptions!$B$4+N98*Assumptions!$B$5+O98*Assumptions!$B$6</f>
        <v>7.5</v>
      </c>
      <c r="Q98" s="21" t="n">
        <f aca="false">IF(J98&lt;=Assumptions!$B$8,0,P98)</f>
        <v>0</v>
      </c>
      <c r="R98" s="2" t="str">
        <f aca="false">IF(Q98&gt;=Assumptions!$B$9,"High",IF(Q98&gt;=Assumptions!$B$10,"Medium","Low"))</f>
        <v>Low</v>
      </c>
      <c r="S98" s="21" t="n">
        <f aca="false">(N98*Assumptions!$B$5+O98*Assumptions!$B$6)/(Assumptions!$B$5+Assumptions!$B$6)</f>
        <v>15</v>
      </c>
      <c r="T98" s="2" t="str">
        <f aca="false">IF(AND(J98&gt;Assumptions!$B$8,G98&lt;=Assumptions!$B$30),"Low confidence","")</f>
        <v/>
      </c>
      <c r="U98" s="2" t="n">
        <f aca="false">(J98&gt;40)+(F98&gt;2000)+(K98&lt;10)+(L98=0)</f>
        <v>0</v>
      </c>
      <c r="V98" s="21" t="n">
        <f aca="false">IF(J98&lt;20,0,IF(J98&lt;40,25,M98))*Assumptions!$B$4+N98*Assumptions!$B$5+O98*Assumptions!$B$6</f>
        <v>7.5</v>
      </c>
      <c r="W98" s="2" t="str">
        <f aca="false">IF(V98&gt;=70,"High",IF(V98&gt;=40,"Medium","Low"))</f>
        <v>Low</v>
      </c>
    </row>
    <row r="99" customFormat="false" ht="15" hidden="false" customHeight="false" outlineLevel="0" collapsed="false">
      <c r="A99" s="2" t="s">
        <v>638</v>
      </c>
      <c r="B99" s="2" t="s">
        <v>1571</v>
      </c>
      <c r="C99" s="2" t="s">
        <v>1640</v>
      </c>
      <c r="D99" s="2" t="s">
        <v>1572</v>
      </c>
      <c r="E99" s="2" t="n">
        <v>8</v>
      </c>
      <c r="F99" s="9" t="n">
        <v>844</v>
      </c>
      <c r="G99" s="2" t="n">
        <v>3</v>
      </c>
      <c r="H99" s="2" t="n">
        <v>0</v>
      </c>
      <c r="I99" s="2" t="n">
        <v>3</v>
      </c>
      <c r="J99" s="2" t="n">
        <v>13</v>
      </c>
      <c r="K99" s="2" t="n">
        <v>30</v>
      </c>
      <c r="L99" s="2" t="n">
        <v>11</v>
      </c>
      <c r="M99" s="2" t="n">
        <f aca="false">IF(J99&lt;=Assumptions!$B$13,0,IF(J99&lt;Assumptions!$B$14,25,IF(J99&lt;Assumptions!$B$15,50,IF(J99&lt;Assumptions!$B$16,75,100))))</f>
        <v>0</v>
      </c>
      <c r="N99" s="2" t="n">
        <f aca="false">IF(K99&gt;Assumptions!$B$19,0,IF(K99&gt;=Assumptions!$B$20,25,IF(K99&gt;=Assumptions!$B$21,50,IF(K99&gt;=Assumptions!$B$22,75,100))))</f>
        <v>25</v>
      </c>
      <c r="O99" s="2" t="n">
        <f aca="false">IF(L99&gt;=Assumptions!$B$25,0,IF(L99&gt;=Assumptions!$B$26,25,IF(L99=Assumptions!$B$27,50,IF(L99=Assumptions!$B$28,75,100))))</f>
        <v>0</v>
      </c>
      <c r="P99" s="21" t="n">
        <f aca="false">M99*Assumptions!$B$4+N99*Assumptions!$B$5+O99*Assumptions!$B$6</f>
        <v>7.5</v>
      </c>
      <c r="Q99" s="21" t="n">
        <f aca="false">IF(J99&lt;=Assumptions!$B$8,0,P99)</f>
        <v>0</v>
      </c>
      <c r="R99" s="2" t="str">
        <f aca="false">IF(Q99&gt;=Assumptions!$B$9,"High",IF(Q99&gt;=Assumptions!$B$10,"Medium","Low"))</f>
        <v>Low</v>
      </c>
      <c r="S99" s="21" t="n">
        <f aca="false">(N99*Assumptions!$B$5+O99*Assumptions!$B$6)/(Assumptions!$B$5+Assumptions!$B$6)</f>
        <v>15</v>
      </c>
      <c r="T99" s="2" t="str">
        <f aca="false">IF(AND(J99&gt;Assumptions!$B$8,G99&lt;=Assumptions!$B$30),"Low confidence","")</f>
        <v/>
      </c>
      <c r="U99" s="2" t="n">
        <f aca="false">(J99&gt;40)+(F99&gt;2000)+(K99&lt;10)+(L99=0)</f>
        <v>0</v>
      </c>
      <c r="V99" s="21" t="n">
        <f aca="false">IF(J99&lt;20,0,IF(J99&lt;40,25,M99))*Assumptions!$B$4+N99*Assumptions!$B$5+O99*Assumptions!$B$6</f>
        <v>7.5</v>
      </c>
      <c r="W99" s="2" t="str">
        <f aca="false">IF(V99&gt;=70,"High",IF(V99&gt;=40,"Medium","Low"))</f>
        <v>Low</v>
      </c>
    </row>
    <row r="100" customFormat="false" ht="15" hidden="false" customHeight="false" outlineLevel="0" collapsed="false">
      <c r="A100" s="2" t="s">
        <v>640</v>
      </c>
      <c r="B100" s="2" t="s">
        <v>1571</v>
      </c>
      <c r="C100" s="2" t="s">
        <v>1640</v>
      </c>
      <c r="D100" s="2"/>
      <c r="E100" s="2" t="n">
        <v>6</v>
      </c>
      <c r="F100" s="9" t="n">
        <v>840</v>
      </c>
      <c r="G100" s="2" t="n">
        <v>2</v>
      </c>
      <c r="H100" s="2" t="n">
        <v>0</v>
      </c>
      <c r="I100" s="2" t="n">
        <v>2</v>
      </c>
      <c r="J100" s="2" t="n">
        <v>18</v>
      </c>
      <c r="K100" s="2" t="n">
        <v>10</v>
      </c>
      <c r="L100" s="2" t="n">
        <v>1</v>
      </c>
      <c r="M100" s="2" t="n">
        <f aca="false">IF(J100&lt;=Assumptions!$B$13,0,IF(J100&lt;Assumptions!$B$14,25,IF(J100&lt;Assumptions!$B$15,50,IF(J100&lt;Assumptions!$B$16,75,100))))</f>
        <v>0</v>
      </c>
      <c r="N100" s="2" t="n">
        <f aca="false">IF(K100&gt;Assumptions!$B$19,0,IF(K100&gt;=Assumptions!$B$20,25,IF(K100&gt;=Assumptions!$B$21,50,IF(K100&gt;=Assumptions!$B$22,75,100))))</f>
        <v>50</v>
      </c>
      <c r="O100" s="2" t="n">
        <f aca="false">IF(L100&gt;=Assumptions!$B$25,0,IF(L100&gt;=Assumptions!$B$26,25,IF(L100=Assumptions!$B$27,50,IF(L100=Assumptions!$B$28,75,100))))</f>
        <v>75</v>
      </c>
      <c r="P100" s="21" t="n">
        <f aca="false">M100*Assumptions!$B$4+N100*Assumptions!$B$5+O100*Assumptions!$B$6</f>
        <v>30</v>
      </c>
      <c r="Q100" s="21" t="n">
        <f aca="false">IF(J100&lt;=Assumptions!$B$8,0,P100)</f>
        <v>0</v>
      </c>
      <c r="R100" s="2" t="str">
        <f aca="false">IF(Q100&gt;=Assumptions!$B$9,"High",IF(Q100&gt;=Assumptions!$B$10,"Medium","Low"))</f>
        <v>Low</v>
      </c>
      <c r="S100" s="21" t="n">
        <f aca="false">(N100*Assumptions!$B$5+O100*Assumptions!$B$6)/(Assumptions!$B$5+Assumptions!$B$6)</f>
        <v>60</v>
      </c>
      <c r="T100" s="2" t="str">
        <f aca="false">IF(AND(J100&gt;Assumptions!$B$8,G100&lt;=Assumptions!$B$30),"Low confidence","")</f>
        <v/>
      </c>
      <c r="U100" s="2" t="n">
        <f aca="false">(J100&gt;40)+(F100&gt;2000)+(K100&lt;10)+(L100=0)</f>
        <v>0</v>
      </c>
      <c r="V100" s="21" t="n">
        <f aca="false">IF(J100&lt;20,0,IF(J100&lt;40,25,M100))*Assumptions!$B$4+N100*Assumptions!$B$5+O100*Assumptions!$B$6</f>
        <v>30</v>
      </c>
      <c r="W100" s="2" t="str">
        <f aca="false">IF(V100&gt;=70,"High",IF(V100&gt;=40,"Medium","Low"))</f>
        <v>Low</v>
      </c>
    </row>
    <row r="101" customFormat="false" ht="15" hidden="false" customHeight="false" outlineLevel="0" collapsed="false">
      <c r="A101" s="2" t="s">
        <v>642</v>
      </c>
      <c r="B101" s="2" t="s">
        <v>1571</v>
      </c>
      <c r="C101" s="2" t="s">
        <v>1640</v>
      </c>
      <c r="D101" s="2"/>
      <c r="E101" s="2" t="n">
        <v>6</v>
      </c>
      <c r="F101" s="9" t="n">
        <v>834</v>
      </c>
      <c r="G101" s="2" t="n">
        <v>4</v>
      </c>
      <c r="H101" s="2" t="n">
        <v>0</v>
      </c>
      <c r="I101" s="2" t="n">
        <v>4</v>
      </c>
      <c r="J101" s="2" t="n">
        <v>7</v>
      </c>
      <c r="K101" s="2" t="n">
        <v>3</v>
      </c>
      <c r="L101" s="2" t="n">
        <v>0</v>
      </c>
      <c r="M101" s="2" t="n">
        <f aca="false">IF(J101&lt;=Assumptions!$B$13,0,IF(J101&lt;Assumptions!$B$14,25,IF(J101&lt;Assumptions!$B$15,50,IF(J101&lt;Assumptions!$B$16,75,100))))</f>
        <v>0</v>
      </c>
      <c r="N101" s="2" t="n">
        <f aca="false">IF(K101&gt;Assumptions!$B$19,0,IF(K101&gt;=Assumptions!$B$20,25,IF(K101&gt;=Assumptions!$B$21,50,IF(K101&gt;=Assumptions!$B$22,75,100))))</f>
        <v>100</v>
      </c>
      <c r="O101" s="2" t="n">
        <f aca="false">IF(L101&gt;=Assumptions!$B$25,0,IF(L101&gt;=Assumptions!$B$26,25,IF(L101=Assumptions!$B$27,50,IF(L101=Assumptions!$B$28,75,100))))</f>
        <v>100</v>
      </c>
      <c r="P101" s="21" t="n">
        <f aca="false">M101*Assumptions!$B$4+N101*Assumptions!$B$5+O101*Assumptions!$B$6</f>
        <v>50</v>
      </c>
      <c r="Q101" s="21" t="n">
        <f aca="false">IF(J101&lt;=Assumptions!$B$8,0,P101)</f>
        <v>0</v>
      </c>
      <c r="R101" s="2" t="str">
        <f aca="false">IF(Q101&gt;=Assumptions!$B$9,"High",IF(Q101&gt;=Assumptions!$B$10,"Medium","Low"))</f>
        <v>Low</v>
      </c>
      <c r="S101" s="21" t="n">
        <f aca="false">(N101*Assumptions!$B$5+O101*Assumptions!$B$6)/(Assumptions!$B$5+Assumptions!$B$6)</f>
        <v>100</v>
      </c>
      <c r="T101" s="2" t="str">
        <f aca="false">IF(AND(J101&gt;Assumptions!$B$8,G101&lt;=Assumptions!$B$30),"Low confidence","")</f>
        <v/>
      </c>
      <c r="U101" s="2" t="n">
        <f aca="false">(J101&gt;40)+(F101&gt;2000)+(K101&lt;10)+(L101=0)</f>
        <v>2</v>
      </c>
      <c r="V101" s="21" t="n">
        <f aca="false">IF(J101&lt;20,0,IF(J101&lt;40,25,M101))*Assumptions!$B$4+N101*Assumptions!$B$5+O101*Assumptions!$B$6</f>
        <v>50</v>
      </c>
      <c r="W101" s="2" t="str">
        <f aca="false">IF(V101&gt;=70,"High",IF(V101&gt;=40,"Medium","Low"))</f>
        <v>Medium</v>
      </c>
    </row>
    <row r="102" customFormat="false" ht="15" hidden="false" customHeight="false" outlineLevel="0" collapsed="false">
      <c r="A102" s="2" t="s">
        <v>644</v>
      </c>
      <c r="B102" s="2" t="s">
        <v>1571</v>
      </c>
      <c r="C102" s="2" t="s">
        <v>1640</v>
      </c>
      <c r="D102" s="2" t="s">
        <v>1572</v>
      </c>
      <c r="E102" s="2" t="n">
        <v>11</v>
      </c>
      <c r="F102" s="9" t="n">
        <v>788</v>
      </c>
      <c r="G102" s="2" t="n">
        <v>2</v>
      </c>
      <c r="H102" s="2" t="n">
        <v>0</v>
      </c>
      <c r="I102" s="2" t="n">
        <v>2</v>
      </c>
      <c r="J102" s="2" t="n">
        <v>18</v>
      </c>
      <c r="K102" s="2" t="n">
        <v>19</v>
      </c>
      <c r="L102" s="2" t="n">
        <v>5</v>
      </c>
      <c r="M102" s="2" t="n">
        <f aca="false">IF(J102&lt;=Assumptions!$B$13,0,IF(J102&lt;Assumptions!$B$14,25,IF(J102&lt;Assumptions!$B$15,50,IF(J102&lt;Assumptions!$B$16,75,100))))</f>
        <v>0</v>
      </c>
      <c r="N102" s="2" t="n">
        <f aca="false">IF(K102&gt;Assumptions!$B$19,0,IF(K102&gt;=Assumptions!$B$20,25,IF(K102&gt;=Assumptions!$B$21,50,IF(K102&gt;=Assumptions!$B$22,75,100))))</f>
        <v>50</v>
      </c>
      <c r="O102" s="2" t="n">
        <f aca="false">IF(L102&gt;=Assumptions!$B$25,0,IF(L102&gt;=Assumptions!$B$26,25,IF(L102=Assumptions!$B$27,50,IF(L102=Assumptions!$B$28,75,100))))</f>
        <v>0</v>
      </c>
      <c r="P102" s="21" t="n">
        <f aca="false">M102*Assumptions!$B$4+N102*Assumptions!$B$5+O102*Assumptions!$B$6</f>
        <v>15</v>
      </c>
      <c r="Q102" s="21" t="n">
        <f aca="false">IF(J102&lt;=Assumptions!$B$8,0,P102)</f>
        <v>0</v>
      </c>
      <c r="R102" s="2" t="str">
        <f aca="false">IF(Q102&gt;=Assumptions!$B$9,"High",IF(Q102&gt;=Assumptions!$B$10,"Medium","Low"))</f>
        <v>Low</v>
      </c>
      <c r="S102" s="21" t="n">
        <f aca="false">(N102*Assumptions!$B$5+O102*Assumptions!$B$6)/(Assumptions!$B$5+Assumptions!$B$6)</f>
        <v>30</v>
      </c>
      <c r="T102" s="2" t="str">
        <f aca="false">IF(AND(J102&gt;Assumptions!$B$8,G102&lt;=Assumptions!$B$30),"Low confidence","")</f>
        <v/>
      </c>
      <c r="U102" s="2" t="n">
        <f aca="false">(J102&gt;40)+(F102&gt;2000)+(K102&lt;10)+(L102=0)</f>
        <v>0</v>
      </c>
      <c r="V102" s="21" t="n">
        <f aca="false">IF(J102&lt;20,0,IF(J102&lt;40,25,M102))*Assumptions!$B$4+N102*Assumptions!$B$5+O102*Assumptions!$B$6</f>
        <v>15</v>
      </c>
      <c r="W102" s="2" t="str">
        <f aca="false">IF(V102&gt;=70,"High",IF(V102&gt;=40,"Medium","Low"))</f>
        <v>Low</v>
      </c>
    </row>
    <row r="103" customFormat="false" ht="15" hidden="false" customHeight="false" outlineLevel="0" collapsed="false">
      <c r="A103" s="2" t="s">
        <v>647</v>
      </c>
      <c r="B103" s="2" t="s">
        <v>1571</v>
      </c>
      <c r="C103" s="2" t="s">
        <v>1640</v>
      </c>
      <c r="D103" s="2"/>
      <c r="E103" s="2" t="n">
        <v>6</v>
      </c>
      <c r="F103" s="9" t="n">
        <v>763</v>
      </c>
      <c r="G103" s="2" t="n">
        <v>2</v>
      </c>
      <c r="H103" s="2" t="n">
        <v>0</v>
      </c>
      <c r="I103" s="2" t="n">
        <v>2</v>
      </c>
      <c r="J103" s="2" t="n">
        <v>14</v>
      </c>
      <c r="K103" s="2" t="n">
        <v>15</v>
      </c>
      <c r="L103" s="2" t="n">
        <v>0</v>
      </c>
      <c r="M103" s="2" t="n">
        <f aca="false">IF(J103&lt;=Assumptions!$B$13,0,IF(J103&lt;Assumptions!$B$14,25,IF(J103&lt;Assumptions!$B$15,50,IF(J103&lt;Assumptions!$B$16,75,100))))</f>
        <v>0</v>
      </c>
      <c r="N103" s="2" t="n">
        <f aca="false">IF(K103&gt;Assumptions!$B$19,0,IF(K103&gt;=Assumptions!$B$20,25,IF(K103&gt;=Assumptions!$B$21,50,IF(K103&gt;=Assumptions!$B$22,75,100))))</f>
        <v>50</v>
      </c>
      <c r="O103" s="2" t="n">
        <f aca="false">IF(L103&gt;=Assumptions!$B$25,0,IF(L103&gt;=Assumptions!$B$26,25,IF(L103=Assumptions!$B$27,50,IF(L103=Assumptions!$B$28,75,100))))</f>
        <v>100</v>
      </c>
      <c r="P103" s="21" t="n">
        <f aca="false">M103*Assumptions!$B$4+N103*Assumptions!$B$5+O103*Assumptions!$B$6</f>
        <v>35</v>
      </c>
      <c r="Q103" s="21" t="n">
        <f aca="false">IF(J103&lt;=Assumptions!$B$8,0,P103)</f>
        <v>0</v>
      </c>
      <c r="R103" s="2" t="str">
        <f aca="false">IF(Q103&gt;=Assumptions!$B$9,"High",IF(Q103&gt;=Assumptions!$B$10,"Medium","Low"))</f>
        <v>Low</v>
      </c>
      <c r="S103" s="21" t="n">
        <f aca="false">(N103*Assumptions!$B$5+O103*Assumptions!$B$6)/(Assumptions!$B$5+Assumptions!$B$6)</f>
        <v>70</v>
      </c>
      <c r="T103" s="2" t="str">
        <f aca="false">IF(AND(J103&gt;Assumptions!$B$8,G103&lt;=Assumptions!$B$30),"Low confidence","")</f>
        <v/>
      </c>
      <c r="U103" s="2" t="n">
        <f aca="false">(J103&gt;40)+(F103&gt;2000)+(K103&lt;10)+(L103=0)</f>
        <v>1</v>
      </c>
      <c r="V103" s="21" t="n">
        <f aca="false">IF(J103&lt;20,0,IF(J103&lt;40,25,M103))*Assumptions!$B$4+N103*Assumptions!$B$5+O103*Assumptions!$B$6</f>
        <v>35</v>
      </c>
      <c r="W103" s="2" t="str">
        <f aca="false">IF(V103&gt;=70,"High",IF(V103&gt;=40,"Medium","Low"))</f>
        <v>Low</v>
      </c>
    </row>
    <row r="104" customFormat="false" ht="15" hidden="false" customHeight="false" outlineLevel="0" collapsed="false">
      <c r="A104" s="2" t="s">
        <v>649</v>
      </c>
      <c r="B104" s="2" t="s">
        <v>1571</v>
      </c>
      <c r="C104" s="2" t="s">
        <v>1640</v>
      </c>
      <c r="D104" s="2" t="s">
        <v>1572</v>
      </c>
      <c r="E104" s="2" t="n">
        <v>29</v>
      </c>
      <c r="F104" s="9" t="n">
        <v>757</v>
      </c>
      <c r="G104" s="2" t="n">
        <v>1</v>
      </c>
      <c r="H104" s="2" t="n">
        <v>0</v>
      </c>
      <c r="I104" s="2" t="n">
        <v>1</v>
      </c>
      <c r="J104" s="2" t="n">
        <v>13</v>
      </c>
      <c r="K104" s="2" t="n">
        <v>42</v>
      </c>
      <c r="L104" s="2" t="n">
        <v>1</v>
      </c>
      <c r="M104" s="2" t="n">
        <f aca="false">IF(J104&lt;=Assumptions!$B$13,0,IF(J104&lt;Assumptions!$B$14,25,IF(J104&lt;Assumptions!$B$15,50,IF(J104&lt;Assumptions!$B$16,75,100))))</f>
        <v>0</v>
      </c>
      <c r="N104" s="2" t="n">
        <f aca="false">IF(K104&gt;Assumptions!$B$19,0,IF(K104&gt;=Assumptions!$B$20,25,IF(K104&gt;=Assumptions!$B$21,50,IF(K104&gt;=Assumptions!$B$22,75,100))))</f>
        <v>0</v>
      </c>
      <c r="O104" s="2" t="n">
        <f aca="false">IF(L104&gt;=Assumptions!$B$25,0,IF(L104&gt;=Assumptions!$B$26,25,IF(L104=Assumptions!$B$27,50,IF(L104=Assumptions!$B$28,75,100))))</f>
        <v>75</v>
      </c>
      <c r="P104" s="21" t="n">
        <f aca="false">M104*Assumptions!$B$4+N104*Assumptions!$B$5+O104*Assumptions!$B$6</f>
        <v>15</v>
      </c>
      <c r="Q104" s="21" t="n">
        <f aca="false">IF(J104&lt;=Assumptions!$B$8,0,P104)</f>
        <v>0</v>
      </c>
      <c r="R104" s="2" t="str">
        <f aca="false">IF(Q104&gt;=Assumptions!$B$9,"High",IF(Q104&gt;=Assumptions!$B$10,"Medium","Low"))</f>
        <v>Low</v>
      </c>
      <c r="S104" s="21" t="n">
        <f aca="false">(N104*Assumptions!$B$5+O104*Assumptions!$B$6)/(Assumptions!$B$5+Assumptions!$B$6)</f>
        <v>30</v>
      </c>
      <c r="T104" s="2" t="str">
        <f aca="false">IF(AND(J104&gt;Assumptions!$B$8,G104&lt;=Assumptions!$B$30),"Low confidence","")</f>
        <v/>
      </c>
      <c r="U104" s="2" t="n">
        <f aca="false">(J104&gt;40)+(F104&gt;2000)+(K104&lt;10)+(L104=0)</f>
        <v>0</v>
      </c>
      <c r="V104" s="21" t="n">
        <f aca="false">IF(J104&lt;20,0,IF(J104&lt;40,25,M104))*Assumptions!$B$4+N104*Assumptions!$B$5+O104*Assumptions!$B$6</f>
        <v>15</v>
      </c>
      <c r="W104" s="2" t="str">
        <f aca="false">IF(V104&gt;=70,"High",IF(V104&gt;=40,"Medium","Low"))</f>
        <v>Low</v>
      </c>
    </row>
    <row r="105" customFormat="false" ht="15" hidden="false" customHeight="false" outlineLevel="0" collapsed="false">
      <c r="A105" s="2" t="s">
        <v>556</v>
      </c>
      <c r="B105" s="2" t="s">
        <v>1571</v>
      </c>
      <c r="C105" s="2" t="s">
        <v>1640</v>
      </c>
      <c r="D105" s="2" t="s">
        <v>1572</v>
      </c>
      <c r="E105" s="2" t="n">
        <v>18</v>
      </c>
      <c r="F105" s="9" t="n">
        <v>718</v>
      </c>
      <c r="G105" s="2" t="n">
        <v>2</v>
      </c>
      <c r="H105" s="2" t="n">
        <v>1</v>
      </c>
      <c r="I105" s="2" t="n">
        <v>1</v>
      </c>
      <c r="J105" s="2" t="n">
        <v>53</v>
      </c>
      <c r="K105" s="2" t="n">
        <v>3</v>
      </c>
      <c r="L105" s="2" t="n">
        <v>2</v>
      </c>
      <c r="M105" s="2" t="n">
        <f aca="false">IF(J105&lt;=Assumptions!$B$13,0,IF(J105&lt;Assumptions!$B$14,25,IF(J105&lt;Assumptions!$B$15,50,IF(J105&lt;Assumptions!$B$16,75,100))))</f>
        <v>50</v>
      </c>
      <c r="N105" s="2" t="n">
        <f aca="false">IF(K105&gt;Assumptions!$B$19,0,IF(K105&gt;=Assumptions!$B$20,25,IF(K105&gt;=Assumptions!$B$21,50,IF(K105&gt;=Assumptions!$B$22,75,100))))</f>
        <v>100</v>
      </c>
      <c r="O105" s="2" t="n">
        <f aca="false">IF(L105&gt;=Assumptions!$B$25,0,IF(L105&gt;=Assumptions!$B$26,25,IF(L105=Assumptions!$B$27,50,IF(L105=Assumptions!$B$28,75,100))))</f>
        <v>50</v>
      </c>
      <c r="P105" s="21" t="n">
        <f aca="false">M105*Assumptions!$B$4+N105*Assumptions!$B$5+O105*Assumptions!$B$6</f>
        <v>65</v>
      </c>
      <c r="Q105" s="21" t="n">
        <f aca="false">IF(J105&lt;=Assumptions!$B$8,0,P105)</f>
        <v>65</v>
      </c>
      <c r="R105" s="2" t="str">
        <f aca="false">IF(Q105&gt;=Assumptions!$B$9,"High",IF(Q105&gt;=Assumptions!$B$10,"Medium","Low"))</f>
        <v>Medium</v>
      </c>
      <c r="S105" s="21" t="n">
        <f aca="false">(N105*Assumptions!$B$5+O105*Assumptions!$B$6)/(Assumptions!$B$5+Assumptions!$B$6)</f>
        <v>80</v>
      </c>
      <c r="T105" s="2" t="str">
        <f aca="false">IF(AND(J105&gt;Assumptions!$B$8,G105&lt;=Assumptions!$B$30),"Low confidence","")</f>
        <v>Low confidence</v>
      </c>
      <c r="U105" s="2" t="n">
        <f aca="false">(J105&gt;40)+(F105&gt;2000)+(K105&lt;10)+(L105=0)</f>
        <v>2</v>
      </c>
      <c r="V105" s="21" t="n">
        <f aca="false">IF(J105&lt;20,0,IF(J105&lt;40,25,M105))*Assumptions!$B$4+N105*Assumptions!$B$5+O105*Assumptions!$B$6</f>
        <v>65</v>
      </c>
      <c r="W105" s="2" t="str">
        <f aca="false">IF(V105&gt;=70,"High",IF(V105&gt;=40,"Medium","Low"))</f>
        <v>Medium</v>
      </c>
    </row>
    <row r="106" customFormat="false" ht="15" hidden="false" customHeight="false" outlineLevel="0" collapsed="false">
      <c r="A106" s="2" t="s">
        <v>651</v>
      </c>
      <c r="B106" s="2" t="s">
        <v>1571</v>
      </c>
      <c r="C106" s="2" t="s">
        <v>1640</v>
      </c>
      <c r="D106" s="2" t="s">
        <v>1572</v>
      </c>
      <c r="E106" s="2" t="n">
        <v>6</v>
      </c>
      <c r="F106" s="9" t="n">
        <v>710</v>
      </c>
      <c r="G106" s="2" t="n">
        <v>1</v>
      </c>
      <c r="H106" s="2" t="n">
        <v>1</v>
      </c>
      <c r="I106" s="2" t="n">
        <v>0</v>
      </c>
      <c r="J106" s="2" t="n">
        <v>82</v>
      </c>
      <c r="K106" s="2" t="n">
        <v>4</v>
      </c>
      <c r="L106" s="2" t="n">
        <v>1</v>
      </c>
      <c r="M106" s="2" t="n">
        <f aca="false">IF(J106&lt;=Assumptions!$B$13,0,IF(J106&lt;Assumptions!$B$14,25,IF(J106&lt;Assumptions!$B$15,50,IF(J106&lt;Assumptions!$B$16,75,100))))</f>
        <v>100</v>
      </c>
      <c r="N106" s="2" t="n">
        <f aca="false">IF(K106&gt;Assumptions!$B$19,0,IF(K106&gt;=Assumptions!$B$20,25,IF(K106&gt;=Assumptions!$B$21,50,IF(K106&gt;=Assumptions!$B$22,75,100))))</f>
        <v>100</v>
      </c>
      <c r="O106" s="2" t="n">
        <f aca="false">IF(L106&gt;=Assumptions!$B$25,0,IF(L106&gt;=Assumptions!$B$26,25,IF(L106=Assumptions!$B$27,50,IF(L106=Assumptions!$B$28,75,100))))</f>
        <v>75</v>
      </c>
      <c r="P106" s="21" t="n">
        <f aca="false">M106*Assumptions!$B$4+N106*Assumptions!$B$5+O106*Assumptions!$B$6</f>
        <v>95</v>
      </c>
      <c r="Q106" s="21" t="n">
        <f aca="false">IF(J106&lt;=Assumptions!$B$8,0,P106)</f>
        <v>95</v>
      </c>
      <c r="R106" s="2" t="str">
        <f aca="false">IF(Q106&gt;=Assumptions!$B$9,"High",IF(Q106&gt;=Assumptions!$B$10,"Medium","Low"))</f>
        <v>High</v>
      </c>
      <c r="S106" s="21" t="n">
        <f aca="false">(N106*Assumptions!$B$5+O106*Assumptions!$B$6)/(Assumptions!$B$5+Assumptions!$B$6)</f>
        <v>90</v>
      </c>
      <c r="T106" s="2" t="str">
        <f aca="false">IF(AND(J106&gt;Assumptions!$B$8,G106&lt;=Assumptions!$B$30),"Low confidence","")</f>
        <v>Low confidence</v>
      </c>
      <c r="U106" s="2" t="n">
        <f aca="false">(J106&gt;40)+(F106&gt;2000)+(K106&lt;10)+(L106=0)</f>
        <v>2</v>
      </c>
      <c r="V106" s="21" t="n">
        <f aca="false">IF(J106&lt;20,0,IF(J106&lt;40,25,M106))*Assumptions!$B$4+N106*Assumptions!$B$5+O106*Assumptions!$B$6</f>
        <v>95</v>
      </c>
      <c r="W106" s="2" t="str">
        <f aca="false">IF(V106&gt;=70,"High",IF(V106&gt;=40,"Medium","Low"))</f>
        <v>High</v>
      </c>
    </row>
    <row r="107" customFormat="false" ht="15" hidden="false" customHeight="false" outlineLevel="0" collapsed="false">
      <c r="A107" s="2" t="s">
        <v>653</v>
      </c>
      <c r="B107" s="2" t="s">
        <v>1571</v>
      </c>
      <c r="C107" s="2" t="s">
        <v>1640</v>
      </c>
      <c r="D107" s="2" t="s">
        <v>1572</v>
      </c>
      <c r="E107" s="2" t="n">
        <v>24</v>
      </c>
      <c r="F107" s="9" t="n">
        <v>680</v>
      </c>
      <c r="G107" s="2" t="n">
        <v>1</v>
      </c>
      <c r="H107" s="2" t="n">
        <v>0</v>
      </c>
      <c r="I107" s="2" t="n">
        <v>1</v>
      </c>
      <c r="J107" s="2" t="n">
        <v>10</v>
      </c>
      <c r="K107" s="2" t="n">
        <v>28</v>
      </c>
      <c r="L107" s="2" t="n">
        <v>3</v>
      </c>
      <c r="M107" s="2" t="n">
        <f aca="false">IF(J107&lt;=Assumptions!$B$13,0,IF(J107&lt;Assumptions!$B$14,25,IF(J107&lt;Assumptions!$B$15,50,IF(J107&lt;Assumptions!$B$16,75,100))))</f>
        <v>0</v>
      </c>
      <c r="N107" s="2" t="n">
        <f aca="false">IF(K107&gt;Assumptions!$B$19,0,IF(K107&gt;=Assumptions!$B$20,25,IF(K107&gt;=Assumptions!$B$21,50,IF(K107&gt;=Assumptions!$B$22,75,100))))</f>
        <v>25</v>
      </c>
      <c r="O107" s="2" t="n">
        <f aca="false">IF(L107&gt;=Assumptions!$B$25,0,IF(L107&gt;=Assumptions!$B$26,25,IF(L107=Assumptions!$B$27,50,IF(L107=Assumptions!$B$28,75,100))))</f>
        <v>25</v>
      </c>
      <c r="P107" s="21" t="n">
        <f aca="false">M107*Assumptions!$B$4+N107*Assumptions!$B$5+O107*Assumptions!$B$6</f>
        <v>12.5</v>
      </c>
      <c r="Q107" s="21" t="n">
        <f aca="false">IF(J107&lt;=Assumptions!$B$8,0,P107)</f>
        <v>0</v>
      </c>
      <c r="R107" s="2" t="str">
        <f aca="false">IF(Q107&gt;=Assumptions!$B$9,"High",IF(Q107&gt;=Assumptions!$B$10,"Medium","Low"))</f>
        <v>Low</v>
      </c>
      <c r="S107" s="21" t="n">
        <f aca="false">(N107*Assumptions!$B$5+O107*Assumptions!$B$6)/(Assumptions!$B$5+Assumptions!$B$6)</f>
        <v>25</v>
      </c>
      <c r="T107" s="2" t="str">
        <f aca="false">IF(AND(J107&gt;Assumptions!$B$8,G107&lt;=Assumptions!$B$30),"Low confidence","")</f>
        <v/>
      </c>
      <c r="U107" s="2" t="n">
        <f aca="false">(J107&gt;40)+(F107&gt;2000)+(K107&lt;10)+(L107=0)</f>
        <v>0</v>
      </c>
      <c r="V107" s="21" t="n">
        <f aca="false">IF(J107&lt;20,0,IF(J107&lt;40,25,M107))*Assumptions!$B$4+N107*Assumptions!$B$5+O107*Assumptions!$B$6</f>
        <v>12.5</v>
      </c>
      <c r="W107" s="2" t="str">
        <f aca="false">IF(V107&gt;=70,"High",IF(V107&gt;=40,"Medium","Low"))</f>
        <v>Low</v>
      </c>
    </row>
    <row r="108" customFormat="false" ht="15" hidden="false" customHeight="false" outlineLevel="0" collapsed="false">
      <c r="A108" s="2" t="s">
        <v>655</v>
      </c>
      <c r="B108" s="2" t="s">
        <v>1571</v>
      </c>
      <c r="C108" s="2" t="s">
        <v>1641</v>
      </c>
      <c r="D108" s="2" t="s">
        <v>1572</v>
      </c>
      <c r="E108" s="2" t="n">
        <v>16</v>
      </c>
      <c r="F108" s="9" t="n">
        <v>675</v>
      </c>
      <c r="G108" s="2" t="n">
        <v>2</v>
      </c>
      <c r="H108" s="2" t="n">
        <v>2</v>
      </c>
      <c r="I108" s="2" t="n">
        <v>0</v>
      </c>
      <c r="J108" s="2" t="n">
        <v>82</v>
      </c>
      <c r="K108" s="2" t="n">
        <v>2</v>
      </c>
      <c r="L108" s="2" t="n">
        <v>2</v>
      </c>
      <c r="M108" s="2" t="n">
        <f aca="false">IF(J108&lt;=Assumptions!$B$13,0,IF(J108&lt;Assumptions!$B$14,25,IF(J108&lt;Assumptions!$B$15,50,IF(J108&lt;Assumptions!$B$16,75,100))))</f>
        <v>100</v>
      </c>
      <c r="N108" s="2" t="n">
        <f aca="false">IF(K108&gt;Assumptions!$B$19,0,IF(K108&gt;=Assumptions!$B$20,25,IF(K108&gt;=Assumptions!$B$21,50,IF(K108&gt;=Assumptions!$B$22,75,100))))</f>
        <v>100</v>
      </c>
      <c r="O108" s="2" t="n">
        <f aca="false">IF(L108&gt;=Assumptions!$B$25,0,IF(L108&gt;=Assumptions!$B$26,25,IF(L108=Assumptions!$B$27,50,IF(L108=Assumptions!$B$28,75,100))))</f>
        <v>50</v>
      </c>
      <c r="P108" s="21" t="n">
        <f aca="false">M108*Assumptions!$B$4+N108*Assumptions!$B$5+O108*Assumptions!$B$6</f>
        <v>90</v>
      </c>
      <c r="Q108" s="21" t="n">
        <f aca="false">IF(J108&lt;=Assumptions!$B$8,0,P108)</f>
        <v>90</v>
      </c>
      <c r="R108" s="2" t="str">
        <f aca="false">IF(Q108&gt;=Assumptions!$B$9,"High",IF(Q108&gt;=Assumptions!$B$10,"Medium","Low"))</f>
        <v>High</v>
      </c>
      <c r="S108" s="21" t="n">
        <f aca="false">(N108*Assumptions!$B$5+O108*Assumptions!$B$6)/(Assumptions!$B$5+Assumptions!$B$6)</f>
        <v>80</v>
      </c>
      <c r="T108" s="2" t="str">
        <f aca="false">IF(AND(J108&gt;Assumptions!$B$8,G108&lt;=Assumptions!$B$30),"Low confidence","")</f>
        <v>Low confidence</v>
      </c>
      <c r="U108" s="2" t="n">
        <f aca="false">(J108&gt;40)+(F108&gt;2000)+(K108&lt;10)+(L108=0)</f>
        <v>2</v>
      </c>
      <c r="V108" s="21" t="n">
        <f aca="false">IF(J108&lt;20,0,IF(J108&lt;40,25,M108))*Assumptions!$B$4+N108*Assumptions!$B$5+O108*Assumptions!$B$6</f>
        <v>90</v>
      </c>
      <c r="W108" s="2" t="str">
        <f aca="false">IF(V108&gt;=70,"High",IF(V108&gt;=40,"Medium","Low"))</f>
        <v>High</v>
      </c>
    </row>
    <row r="109" customFormat="false" ht="15" hidden="false" customHeight="false" outlineLevel="0" collapsed="false">
      <c r="A109" s="2" t="s">
        <v>657</v>
      </c>
      <c r="B109" s="2" t="s">
        <v>1571</v>
      </c>
      <c r="C109" s="2" t="s">
        <v>1640</v>
      </c>
      <c r="D109" s="2" t="s">
        <v>1572</v>
      </c>
      <c r="E109" s="2" t="n">
        <v>7</v>
      </c>
      <c r="F109" s="9" t="n">
        <v>663</v>
      </c>
      <c r="G109" s="2" t="n">
        <v>6</v>
      </c>
      <c r="H109" s="2" t="n">
        <v>1</v>
      </c>
      <c r="I109" s="2" t="n">
        <v>5</v>
      </c>
      <c r="J109" s="2" t="n">
        <v>13</v>
      </c>
      <c r="K109" s="2" t="n">
        <v>19</v>
      </c>
      <c r="L109" s="2" t="n">
        <v>5</v>
      </c>
      <c r="M109" s="2" t="n">
        <f aca="false">IF(J109&lt;=Assumptions!$B$13,0,IF(J109&lt;Assumptions!$B$14,25,IF(J109&lt;Assumptions!$B$15,50,IF(J109&lt;Assumptions!$B$16,75,100))))</f>
        <v>0</v>
      </c>
      <c r="N109" s="2" t="n">
        <f aca="false">IF(K109&gt;Assumptions!$B$19,0,IF(K109&gt;=Assumptions!$B$20,25,IF(K109&gt;=Assumptions!$B$21,50,IF(K109&gt;=Assumptions!$B$22,75,100))))</f>
        <v>50</v>
      </c>
      <c r="O109" s="2" t="n">
        <f aca="false">IF(L109&gt;=Assumptions!$B$25,0,IF(L109&gt;=Assumptions!$B$26,25,IF(L109=Assumptions!$B$27,50,IF(L109=Assumptions!$B$28,75,100))))</f>
        <v>0</v>
      </c>
      <c r="P109" s="21" t="n">
        <f aca="false">M109*Assumptions!$B$4+N109*Assumptions!$B$5+O109*Assumptions!$B$6</f>
        <v>15</v>
      </c>
      <c r="Q109" s="21" t="n">
        <f aca="false">IF(J109&lt;=Assumptions!$B$8,0,P109)</f>
        <v>0</v>
      </c>
      <c r="R109" s="2" t="str">
        <f aca="false">IF(Q109&gt;=Assumptions!$B$9,"High",IF(Q109&gt;=Assumptions!$B$10,"Medium","Low"))</f>
        <v>Low</v>
      </c>
      <c r="S109" s="21" t="n">
        <f aca="false">(N109*Assumptions!$B$5+O109*Assumptions!$B$6)/(Assumptions!$B$5+Assumptions!$B$6)</f>
        <v>30</v>
      </c>
      <c r="T109" s="2" t="str">
        <f aca="false">IF(AND(J109&gt;Assumptions!$B$8,G109&lt;=Assumptions!$B$30),"Low confidence","")</f>
        <v/>
      </c>
      <c r="U109" s="2" t="n">
        <f aca="false">(J109&gt;40)+(F109&gt;2000)+(K109&lt;10)+(L109=0)</f>
        <v>0</v>
      </c>
      <c r="V109" s="21" t="n">
        <f aca="false">IF(J109&lt;20,0,IF(J109&lt;40,25,M109))*Assumptions!$B$4+N109*Assumptions!$B$5+O109*Assumptions!$B$6</f>
        <v>15</v>
      </c>
      <c r="W109" s="2" t="str">
        <f aca="false">IF(V109&gt;=70,"High",IF(V109&gt;=40,"Medium","Low"))</f>
        <v>Low</v>
      </c>
    </row>
    <row r="110" customFormat="false" ht="15" hidden="false" customHeight="false" outlineLevel="0" collapsed="false">
      <c r="A110" s="2" t="s">
        <v>661</v>
      </c>
      <c r="B110" s="2" t="s">
        <v>1571</v>
      </c>
      <c r="C110" s="2" t="s">
        <v>1640</v>
      </c>
      <c r="D110" s="2" t="s">
        <v>1572</v>
      </c>
      <c r="E110" s="2" t="n">
        <v>25</v>
      </c>
      <c r="F110" s="9" t="n">
        <v>607</v>
      </c>
      <c r="G110" s="2" t="n">
        <v>2</v>
      </c>
      <c r="H110" s="2" t="n">
        <v>0</v>
      </c>
      <c r="I110" s="2" t="n">
        <v>2</v>
      </c>
      <c r="J110" s="2" t="n">
        <v>17</v>
      </c>
      <c r="K110" s="2" t="n">
        <v>34</v>
      </c>
      <c r="L110" s="2" t="n">
        <v>5</v>
      </c>
      <c r="M110" s="2" t="n">
        <f aca="false">IF(J110&lt;=Assumptions!$B$13,0,IF(J110&lt;Assumptions!$B$14,25,IF(J110&lt;Assumptions!$B$15,50,IF(J110&lt;Assumptions!$B$16,75,100))))</f>
        <v>0</v>
      </c>
      <c r="N110" s="2" t="n">
        <f aca="false">IF(K110&gt;Assumptions!$B$19,0,IF(K110&gt;=Assumptions!$B$20,25,IF(K110&gt;=Assumptions!$B$21,50,IF(K110&gt;=Assumptions!$B$22,75,100))))</f>
        <v>0</v>
      </c>
      <c r="O110" s="2" t="n">
        <f aca="false">IF(L110&gt;=Assumptions!$B$25,0,IF(L110&gt;=Assumptions!$B$26,25,IF(L110=Assumptions!$B$27,50,IF(L110=Assumptions!$B$28,75,100))))</f>
        <v>0</v>
      </c>
      <c r="P110" s="21" t="n">
        <f aca="false">M110*Assumptions!$B$4+N110*Assumptions!$B$5+O110*Assumptions!$B$6</f>
        <v>0</v>
      </c>
      <c r="Q110" s="21" t="n">
        <f aca="false">IF(J110&lt;=Assumptions!$B$8,0,P110)</f>
        <v>0</v>
      </c>
      <c r="R110" s="2" t="str">
        <f aca="false">IF(Q110&gt;=Assumptions!$B$9,"High",IF(Q110&gt;=Assumptions!$B$10,"Medium","Low"))</f>
        <v>Low</v>
      </c>
      <c r="S110" s="21" t="n">
        <f aca="false">(N110*Assumptions!$B$5+O110*Assumptions!$B$6)/(Assumptions!$B$5+Assumptions!$B$6)</f>
        <v>0</v>
      </c>
      <c r="T110" s="2" t="str">
        <f aca="false">IF(AND(J110&gt;Assumptions!$B$8,G110&lt;=Assumptions!$B$30),"Low confidence","")</f>
        <v/>
      </c>
      <c r="U110" s="2" t="n">
        <f aca="false">(J110&gt;40)+(F110&gt;2000)+(K110&lt;10)+(L110=0)</f>
        <v>0</v>
      </c>
      <c r="V110" s="21" t="n">
        <f aca="false">IF(J110&lt;20,0,IF(J110&lt;40,25,M110))*Assumptions!$B$4+N110*Assumptions!$B$5+O110*Assumptions!$B$6</f>
        <v>0</v>
      </c>
      <c r="W110" s="2" t="str">
        <f aca="false">IF(V110&gt;=70,"High",IF(V110&gt;=40,"Medium","Low"))</f>
        <v>Low</v>
      </c>
    </row>
    <row r="111" customFormat="false" ht="15" hidden="false" customHeight="false" outlineLevel="0" collapsed="false">
      <c r="A111" s="2" t="s">
        <v>666</v>
      </c>
      <c r="B111" s="2" t="s">
        <v>1571</v>
      </c>
      <c r="C111" s="2" t="s">
        <v>1640</v>
      </c>
      <c r="D111" s="2" t="s">
        <v>1572</v>
      </c>
      <c r="E111" s="2" t="n">
        <v>11</v>
      </c>
      <c r="F111" s="9" t="n">
        <v>594</v>
      </c>
      <c r="G111" s="2" t="n">
        <v>2</v>
      </c>
      <c r="H111" s="2" t="n">
        <v>0</v>
      </c>
      <c r="I111" s="2" t="n">
        <v>2</v>
      </c>
      <c r="J111" s="2" t="n">
        <v>3</v>
      </c>
      <c r="K111" s="2" t="n">
        <v>16</v>
      </c>
      <c r="L111" s="2" t="n">
        <v>5</v>
      </c>
      <c r="M111" s="2" t="n">
        <f aca="false">IF(J111&lt;=Assumptions!$B$13,0,IF(J111&lt;Assumptions!$B$14,25,IF(J111&lt;Assumptions!$B$15,50,IF(J111&lt;Assumptions!$B$16,75,100))))</f>
        <v>0</v>
      </c>
      <c r="N111" s="2" t="n">
        <f aca="false">IF(K111&gt;Assumptions!$B$19,0,IF(K111&gt;=Assumptions!$B$20,25,IF(K111&gt;=Assumptions!$B$21,50,IF(K111&gt;=Assumptions!$B$22,75,100))))</f>
        <v>50</v>
      </c>
      <c r="O111" s="2" t="n">
        <f aca="false">IF(L111&gt;=Assumptions!$B$25,0,IF(L111&gt;=Assumptions!$B$26,25,IF(L111=Assumptions!$B$27,50,IF(L111=Assumptions!$B$28,75,100))))</f>
        <v>0</v>
      </c>
      <c r="P111" s="21" t="n">
        <f aca="false">M111*Assumptions!$B$4+N111*Assumptions!$B$5+O111*Assumptions!$B$6</f>
        <v>15</v>
      </c>
      <c r="Q111" s="21" t="n">
        <f aca="false">IF(J111&lt;=Assumptions!$B$8,0,P111)</f>
        <v>0</v>
      </c>
      <c r="R111" s="2" t="str">
        <f aca="false">IF(Q111&gt;=Assumptions!$B$9,"High",IF(Q111&gt;=Assumptions!$B$10,"Medium","Low"))</f>
        <v>Low</v>
      </c>
      <c r="S111" s="21" t="n">
        <f aca="false">(N111*Assumptions!$B$5+O111*Assumptions!$B$6)/(Assumptions!$B$5+Assumptions!$B$6)</f>
        <v>30</v>
      </c>
      <c r="T111" s="2" t="str">
        <f aca="false">IF(AND(J111&gt;Assumptions!$B$8,G111&lt;=Assumptions!$B$30),"Low confidence","")</f>
        <v/>
      </c>
      <c r="U111" s="2" t="n">
        <f aca="false">(J111&gt;40)+(F111&gt;2000)+(K111&lt;10)+(L111=0)</f>
        <v>0</v>
      </c>
      <c r="V111" s="21" t="n">
        <f aca="false">IF(J111&lt;20,0,IF(J111&lt;40,25,M111))*Assumptions!$B$4+N111*Assumptions!$B$5+O111*Assumptions!$B$6</f>
        <v>15</v>
      </c>
      <c r="W111" s="2" t="str">
        <f aca="false">IF(V111&gt;=70,"High",IF(V111&gt;=40,"Medium","Low"))</f>
        <v>Low</v>
      </c>
    </row>
    <row r="112" customFormat="false" ht="15" hidden="false" customHeight="false" outlineLevel="0" collapsed="false">
      <c r="A112" s="2" t="s">
        <v>560</v>
      </c>
      <c r="B112" s="2" t="s">
        <v>1571</v>
      </c>
      <c r="C112" s="2" t="s">
        <v>1640</v>
      </c>
      <c r="D112" s="2" t="s">
        <v>1572</v>
      </c>
      <c r="E112" s="2" t="n">
        <v>14</v>
      </c>
      <c r="F112" s="9" t="n">
        <v>592</v>
      </c>
      <c r="G112" s="2" t="n">
        <v>4</v>
      </c>
      <c r="H112" s="2" t="n">
        <v>1</v>
      </c>
      <c r="I112" s="2" t="n">
        <v>3</v>
      </c>
      <c r="J112" s="2" t="n">
        <v>19</v>
      </c>
      <c r="K112" s="2" t="n">
        <v>29</v>
      </c>
      <c r="L112" s="2" t="n">
        <v>0</v>
      </c>
      <c r="M112" s="2" t="n">
        <f aca="false">IF(J112&lt;=Assumptions!$B$13,0,IF(J112&lt;Assumptions!$B$14,25,IF(J112&lt;Assumptions!$B$15,50,IF(J112&lt;Assumptions!$B$16,75,100))))</f>
        <v>0</v>
      </c>
      <c r="N112" s="2" t="n">
        <f aca="false">IF(K112&gt;Assumptions!$B$19,0,IF(K112&gt;=Assumptions!$B$20,25,IF(K112&gt;=Assumptions!$B$21,50,IF(K112&gt;=Assumptions!$B$22,75,100))))</f>
        <v>25</v>
      </c>
      <c r="O112" s="2" t="n">
        <f aca="false">IF(L112&gt;=Assumptions!$B$25,0,IF(L112&gt;=Assumptions!$B$26,25,IF(L112=Assumptions!$B$27,50,IF(L112=Assumptions!$B$28,75,100))))</f>
        <v>100</v>
      </c>
      <c r="P112" s="21" t="n">
        <f aca="false">M112*Assumptions!$B$4+N112*Assumptions!$B$5+O112*Assumptions!$B$6</f>
        <v>27.5</v>
      </c>
      <c r="Q112" s="21" t="n">
        <f aca="false">IF(J112&lt;=Assumptions!$B$8,0,P112)</f>
        <v>0</v>
      </c>
      <c r="R112" s="2" t="str">
        <f aca="false">IF(Q112&gt;=Assumptions!$B$9,"High",IF(Q112&gt;=Assumptions!$B$10,"Medium","Low"))</f>
        <v>Low</v>
      </c>
      <c r="S112" s="21" t="n">
        <f aca="false">(N112*Assumptions!$B$5+O112*Assumptions!$B$6)/(Assumptions!$B$5+Assumptions!$B$6)</f>
        <v>55</v>
      </c>
      <c r="T112" s="2" t="str">
        <f aca="false">IF(AND(J112&gt;Assumptions!$B$8,G112&lt;=Assumptions!$B$30),"Low confidence","")</f>
        <v/>
      </c>
      <c r="U112" s="2" t="n">
        <f aca="false">(J112&gt;40)+(F112&gt;2000)+(K112&lt;10)+(L112=0)</f>
        <v>1</v>
      </c>
      <c r="V112" s="21" t="n">
        <f aca="false">IF(J112&lt;20,0,IF(J112&lt;40,25,M112))*Assumptions!$B$4+N112*Assumptions!$B$5+O112*Assumptions!$B$6</f>
        <v>27.5</v>
      </c>
      <c r="W112" s="2" t="str">
        <f aca="false">IF(V112&gt;=70,"High",IF(V112&gt;=40,"Medium","Low"))</f>
        <v>Low</v>
      </c>
    </row>
    <row r="113" customFormat="false" ht="15" hidden="false" customHeight="false" outlineLevel="0" collapsed="false">
      <c r="A113" s="2" t="s">
        <v>668</v>
      </c>
      <c r="B113" s="2" t="s">
        <v>1571</v>
      </c>
      <c r="C113" s="2" t="s">
        <v>1640</v>
      </c>
      <c r="D113" s="2" t="s">
        <v>1572</v>
      </c>
      <c r="E113" s="2" t="n">
        <v>23</v>
      </c>
      <c r="F113" s="9" t="n">
        <v>586</v>
      </c>
      <c r="G113" s="2" t="n">
        <v>1</v>
      </c>
      <c r="H113" s="2" t="n">
        <v>0</v>
      </c>
      <c r="I113" s="2" t="n">
        <v>1</v>
      </c>
      <c r="J113" s="2" t="n">
        <v>4</v>
      </c>
      <c r="K113" s="2" t="n">
        <v>21</v>
      </c>
      <c r="L113" s="2" t="n">
        <v>8</v>
      </c>
      <c r="M113" s="2" t="n">
        <f aca="false">IF(J113&lt;=Assumptions!$B$13,0,IF(J113&lt;Assumptions!$B$14,25,IF(J113&lt;Assumptions!$B$15,50,IF(J113&lt;Assumptions!$B$16,75,100))))</f>
        <v>0</v>
      </c>
      <c r="N113" s="2" t="n">
        <f aca="false">IF(K113&gt;Assumptions!$B$19,0,IF(K113&gt;=Assumptions!$B$20,25,IF(K113&gt;=Assumptions!$B$21,50,IF(K113&gt;=Assumptions!$B$22,75,100))))</f>
        <v>25</v>
      </c>
      <c r="O113" s="2" t="n">
        <f aca="false">IF(L113&gt;=Assumptions!$B$25,0,IF(L113&gt;=Assumptions!$B$26,25,IF(L113=Assumptions!$B$27,50,IF(L113=Assumptions!$B$28,75,100))))</f>
        <v>0</v>
      </c>
      <c r="P113" s="21" t="n">
        <f aca="false">M113*Assumptions!$B$4+N113*Assumptions!$B$5+O113*Assumptions!$B$6</f>
        <v>7.5</v>
      </c>
      <c r="Q113" s="21" t="n">
        <f aca="false">IF(J113&lt;=Assumptions!$B$8,0,P113)</f>
        <v>0</v>
      </c>
      <c r="R113" s="2" t="str">
        <f aca="false">IF(Q113&gt;=Assumptions!$B$9,"High",IF(Q113&gt;=Assumptions!$B$10,"Medium","Low"))</f>
        <v>Low</v>
      </c>
      <c r="S113" s="21" t="n">
        <f aca="false">(N113*Assumptions!$B$5+O113*Assumptions!$B$6)/(Assumptions!$B$5+Assumptions!$B$6)</f>
        <v>15</v>
      </c>
      <c r="T113" s="2" t="str">
        <f aca="false">IF(AND(J113&gt;Assumptions!$B$8,G113&lt;=Assumptions!$B$30),"Low confidence","")</f>
        <v/>
      </c>
      <c r="U113" s="2" t="n">
        <f aca="false">(J113&gt;40)+(F113&gt;2000)+(K113&lt;10)+(L113=0)</f>
        <v>0</v>
      </c>
      <c r="V113" s="21" t="n">
        <f aca="false">IF(J113&lt;20,0,IF(J113&lt;40,25,M113))*Assumptions!$B$4+N113*Assumptions!$B$5+O113*Assumptions!$B$6</f>
        <v>7.5</v>
      </c>
      <c r="W113" s="2" t="str">
        <f aca="false">IF(V113&gt;=70,"High",IF(V113&gt;=40,"Medium","Low"))</f>
        <v>Low</v>
      </c>
    </row>
    <row r="114" customFormat="false" ht="15" hidden="false" customHeight="false" outlineLevel="0" collapsed="false">
      <c r="A114" s="2" t="s">
        <v>670</v>
      </c>
      <c r="B114" s="2" t="s">
        <v>1571</v>
      </c>
      <c r="C114" s="2" t="s">
        <v>1640</v>
      </c>
      <c r="D114" s="2"/>
      <c r="E114" s="2" t="n">
        <v>7</v>
      </c>
      <c r="F114" s="9" t="n">
        <v>580</v>
      </c>
      <c r="G114" s="2" t="n">
        <v>2</v>
      </c>
      <c r="H114" s="2" t="n">
        <v>1</v>
      </c>
      <c r="I114" s="2" t="n">
        <v>1</v>
      </c>
      <c r="J114" s="2" t="n">
        <v>67</v>
      </c>
      <c r="K114" s="2" t="n">
        <v>3</v>
      </c>
      <c r="L114" s="2" t="n">
        <v>2</v>
      </c>
      <c r="M114" s="2" t="n">
        <f aca="false">IF(J114&lt;=Assumptions!$B$13,0,IF(J114&lt;Assumptions!$B$14,25,IF(J114&lt;Assumptions!$B$15,50,IF(J114&lt;Assumptions!$B$16,75,100))))</f>
        <v>75</v>
      </c>
      <c r="N114" s="2" t="n">
        <f aca="false">IF(K114&gt;Assumptions!$B$19,0,IF(K114&gt;=Assumptions!$B$20,25,IF(K114&gt;=Assumptions!$B$21,50,IF(K114&gt;=Assumptions!$B$22,75,100))))</f>
        <v>100</v>
      </c>
      <c r="O114" s="2" t="n">
        <f aca="false">IF(L114&gt;=Assumptions!$B$25,0,IF(L114&gt;=Assumptions!$B$26,25,IF(L114=Assumptions!$B$27,50,IF(L114=Assumptions!$B$28,75,100))))</f>
        <v>50</v>
      </c>
      <c r="P114" s="21" t="n">
        <f aca="false">M114*Assumptions!$B$4+N114*Assumptions!$B$5+O114*Assumptions!$B$6</f>
        <v>77.5</v>
      </c>
      <c r="Q114" s="21" t="n">
        <f aca="false">IF(J114&lt;=Assumptions!$B$8,0,P114)</f>
        <v>77.5</v>
      </c>
      <c r="R114" s="2" t="str">
        <f aca="false">IF(Q114&gt;=Assumptions!$B$9,"High",IF(Q114&gt;=Assumptions!$B$10,"Medium","Low"))</f>
        <v>High</v>
      </c>
      <c r="S114" s="21" t="n">
        <f aca="false">(N114*Assumptions!$B$5+O114*Assumptions!$B$6)/(Assumptions!$B$5+Assumptions!$B$6)</f>
        <v>80</v>
      </c>
      <c r="T114" s="2" t="str">
        <f aca="false">IF(AND(J114&gt;Assumptions!$B$8,G114&lt;=Assumptions!$B$30),"Low confidence","")</f>
        <v>Low confidence</v>
      </c>
      <c r="U114" s="2" t="n">
        <f aca="false">(J114&gt;40)+(F114&gt;2000)+(K114&lt;10)+(L114=0)</f>
        <v>2</v>
      </c>
      <c r="V114" s="21" t="n">
        <f aca="false">IF(J114&lt;20,0,IF(J114&lt;40,25,M114))*Assumptions!$B$4+N114*Assumptions!$B$5+O114*Assumptions!$B$6</f>
        <v>77.5</v>
      </c>
      <c r="W114" s="2" t="str">
        <f aca="false">IF(V114&gt;=70,"High",IF(V114&gt;=40,"Medium","Low"))</f>
        <v>High</v>
      </c>
    </row>
    <row r="115" customFormat="false" ht="15" hidden="false" customHeight="false" outlineLevel="0" collapsed="false">
      <c r="A115" s="2" t="s">
        <v>672</v>
      </c>
      <c r="B115" s="2" t="s">
        <v>1571</v>
      </c>
      <c r="C115" s="2" t="s">
        <v>1640</v>
      </c>
      <c r="D115" s="2" t="s">
        <v>1572</v>
      </c>
      <c r="E115" s="2" t="n">
        <v>18</v>
      </c>
      <c r="F115" s="9" t="n">
        <v>576</v>
      </c>
      <c r="G115" s="2" t="n">
        <v>2</v>
      </c>
      <c r="H115" s="2" t="n">
        <v>1</v>
      </c>
      <c r="I115" s="2" t="n">
        <v>1</v>
      </c>
      <c r="J115" s="2" t="n">
        <v>57</v>
      </c>
      <c r="K115" s="2" t="n">
        <v>3</v>
      </c>
      <c r="L115" s="2" t="n">
        <v>1</v>
      </c>
      <c r="M115" s="2" t="n">
        <f aca="false">IF(J115&lt;=Assumptions!$B$13,0,IF(J115&lt;Assumptions!$B$14,25,IF(J115&lt;Assumptions!$B$15,50,IF(J115&lt;Assumptions!$B$16,75,100))))</f>
        <v>50</v>
      </c>
      <c r="N115" s="2" t="n">
        <f aca="false">IF(K115&gt;Assumptions!$B$19,0,IF(K115&gt;=Assumptions!$B$20,25,IF(K115&gt;=Assumptions!$B$21,50,IF(K115&gt;=Assumptions!$B$22,75,100))))</f>
        <v>100</v>
      </c>
      <c r="O115" s="2" t="n">
        <f aca="false">IF(L115&gt;=Assumptions!$B$25,0,IF(L115&gt;=Assumptions!$B$26,25,IF(L115=Assumptions!$B$27,50,IF(L115=Assumptions!$B$28,75,100))))</f>
        <v>75</v>
      </c>
      <c r="P115" s="21" t="n">
        <f aca="false">M115*Assumptions!$B$4+N115*Assumptions!$B$5+O115*Assumptions!$B$6</f>
        <v>70</v>
      </c>
      <c r="Q115" s="21" t="n">
        <f aca="false">IF(J115&lt;=Assumptions!$B$8,0,P115)</f>
        <v>70</v>
      </c>
      <c r="R115" s="2" t="str">
        <f aca="false">IF(Q115&gt;=Assumptions!$B$9,"High",IF(Q115&gt;=Assumptions!$B$10,"Medium","Low"))</f>
        <v>High</v>
      </c>
      <c r="S115" s="21" t="n">
        <f aca="false">(N115*Assumptions!$B$5+O115*Assumptions!$B$6)/(Assumptions!$B$5+Assumptions!$B$6)</f>
        <v>90</v>
      </c>
      <c r="T115" s="2" t="str">
        <f aca="false">IF(AND(J115&gt;Assumptions!$B$8,G115&lt;=Assumptions!$B$30),"Low confidence","")</f>
        <v>Low confidence</v>
      </c>
      <c r="U115" s="2" t="n">
        <f aca="false">(J115&gt;40)+(F115&gt;2000)+(K115&lt;10)+(L115=0)</f>
        <v>2</v>
      </c>
      <c r="V115" s="21" t="n">
        <f aca="false">IF(J115&lt;20,0,IF(J115&lt;40,25,M115))*Assumptions!$B$4+N115*Assumptions!$B$5+O115*Assumptions!$B$6</f>
        <v>70</v>
      </c>
      <c r="W115" s="2" t="str">
        <f aca="false">IF(V115&gt;=70,"High",IF(V115&gt;=40,"Medium","Low"))</f>
        <v>High</v>
      </c>
    </row>
    <row r="116" customFormat="false" ht="15" hidden="false" customHeight="false" outlineLevel="0" collapsed="false">
      <c r="A116" s="2" t="s">
        <v>674</v>
      </c>
      <c r="B116" s="2" t="s">
        <v>1571</v>
      </c>
      <c r="C116" s="2" t="s">
        <v>1640</v>
      </c>
      <c r="D116" s="2" t="s">
        <v>1572</v>
      </c>
      <c r="E116" s="2" t="n">
        <v>7</v>
      </c>
      <c r="F116" s="9" t="n">
        <v>574</v>
      </c>
      <c r="G116" s="2" t="n">
        <v>1</v>
      </c>
      <c r="H116" s="2" t="n">
        <v>0</v>
      </c>
      <c r="I116" s="2" t="n">
        <v>1</v>
      </c>
      <c r="J116" s="2" t="n">
        <v>12</v>
      </c>
      <c r="K116" s="2" t="n">
        <v>3</v>
      </c>
      <c r="L116" s="2" t="n">
        <v>0</v>
      </c>
      <c r="M116" s="2" t="n">
        <f aca="false">IF(J116&lt;=Assumptions!$B$13,0,IF(J116&lt;Assumptions!$B$14,25,IF(J116&lt;Assumptions!$B$15,50,IF(J116&lt;Assumptions!$B$16,75,100))))</f>
        <v>0</v>
      </c>
      <c r="N116" s="2" t="n">
        <f aca="false">IF(K116&gt;Assumptions!$B$19,0,IF(K116&gt;=Assumptions!$B$20,25,IF(K116&gt;=Assumptions!$B$21,50,IF(K116&gt;=Assumptions!$B$22,75,100))))</f>
        <v>100</v>
      </c>
      <c r="O116" s="2" t="n">
        <f aca="false">IF(L116&gt;=Assumptions!$B$25,0,IF(L116&gt;=Assumptions!$B$26,25,IF(L116=Assumptions!$B$27,50,IF(L116=Assumptions!$B$28,75,100))))</f>
        <v>100</v>
      </c>
      <c r="P116" s="21" t="n">
        <f aca="false">M116*Assumptions!$B$4+N116*Assumptions!$B$5+O116*Assumptions!$B$6</f>
        <v>50</v>
      </c>
      <c r="Q116" s="21" t="n">
        <f aca="false">IF(J116&lt;=Assumptions!$B$8,0,P116)</f>
        <v>0</v>
      </c>
      <c r="R116" s="2" t="str">
        <f aca="false">IF(Q116&gt;=Assumptions!$B$9,"High",IF(Q116&gt;=Assumptions!$B$10,"Medium","Low"))</f>
        <v>Low</v>
      </c>
      <c r="S116" s="21" t="n">
        <f aca="false">(N116*Assumptions!$B$5+O116*Assumptions!$B$6)/(Assumptions!$B$5+Assumptions!$B$6)</f>
        <v>100</v>
      </c>
      <c r="T116" s="2" t="str">
        <f aca="false">IF(AND(J116&gt;Assumptions!$B$8,G116&lt;=Assumptions!$B$30),"Low confidence","")</f>
        <v/>
      </c>
      <c r="U116" s="2" t="n">
        <f aca="false">(J116&gt;40)+(F116&gt;2000)+(K116&lt;10)+(L116=0)</f>
        <v>2</v>
      </c>
      <c r="V116" s="21" t="n">
        <f aca="false">IF(J116&lt;20,0,IF(J116&lt;40,25,M116))*Assumptions!$B$4+N116*Assumptions!$B$5+O116*Assumptions!$B$6</f>
        <v>50</v>
      </c>
      <c r="W116" s="2" t="str">
        <f aca="false">IF(V116&gt;=70,"High",IF(V116&gt;=40,"Medium","Low"))</f>
        <v>Medium</v>
      </c>
    </row>
    <row r="117" customFormat="false" ht="15" hidden="false" customHeight="false" outlineLevel="0" collapsed="false">
      <c r="A117" s="2" t="s">
        <v>678</v>
      </c>
      <c r="B117" s="2" t="s">
        <v>1571</v>
      </c>
      <c r="C117" s="2" t="s">
        <v>1640</v>
      </c>
      <c r="D117" s="2" t="s">
        <v>1572</v>
      </c>
      <c r="E117" s="2" t="n">
        <v>8</v>
      </c>
      <c r="F117" s="9" t="n">
        <v>523</v>
      </c>
      <c r="G117" s="2" t="n">
        <v>5</v>
      </c>
      <c r="H117" s="2" t="n">
        <v>0</v>
      </c>
      <c r="I117" s="2" t="n">
        <v>5</v>
      </c>
      <c r="J117" s="2" t="n">
        <v>4</v>
      </c>
      <c r="K117" s="2" t="n">
        <v>23</v>
      </c>
      <c r="L117" s="2" t="n">
        <v>0</v>
      </c>
      <c r="M117" s="2" t="n">
        <f aca="false">IF(J117&lt;=Assumptions!$B$13,0,IF(J117&lt;Assumptions!$B$14,25,IF(J117&lt;Assumptions!$B$15,50,IF(J117&lt;Assumptions!$B$16,75,100))))</f>
        <v>0</v>
      </c>
      <c r="N117" s="2" t="n">
        <f aca="false">IF(K117&gt;Assumptions!$B$19,0,IF(K117&gt;=Assumptions!$B$20,25,IF(K117&gt;=Assumptions!$B$21,50,IF(K117&gt;=Assumptions!$B$22,75,100))))</f>
        <v>25</v>
      </c>
      <c r="O117" s="2" t="n">
        <f aca="false">IF(L117&gt;=Assumptions!$B$25,0,IF(L117&gt;=Assumptions!$B$26,25,IF(L117=Assumptions!$B$27,50,IF(L117=Assumptions!$B$28,75,100))))</f>
        <v>100</v>
      </c>
      <c r="P117" s="21" t="n">
        <f aca="false">M117*Assumptions!$B$4+N117*Assumptions!$B$5+O117*Assumptions!$B$6</f>
        <v>27.5</v>
      </c>
      <c r="Q117" s="21" t="n">
        <f aca="false">IF(J117&lt;=Assumptions!$B$8,0,P117)</f>
        <v>0</v>
      </c>
      <c r="R117" s="2" t="str">
        <f aca="false">IF(Q117&gt;=Assumptions!$B$9,"High",IF(Q117&gt;=Assumptions!$B$10,"Medium","Low"))</f>
        <v>Low</v>
      </c>
      <c r="S117" s="21" t="n">
        <f aca="false">(N117*Assumptions!$B$5+O117*Assumptions!$B$6)/(Assumptions!$B$5+Assumptions!$B$6)</f>
        <v>55</v>
      </c>
      <c r="T117" s="2" t="str">
        <f aca="false">IF(AND(J117&gt;Assumptions!$B$8,G117&lt;=Assumptions!$B$30),"Low confidence","")</f>
        <v/>
      </c>
      <c r="U117" s="2" t="n">
        <f aca="false">(J117&gt;40)+(F117&gt;2000)+(K117&lt;10)+(L117=0)</f>
        <v>1</v>
      </c>
      <c r="V117" s="21" t="n">
        <f aca="false">IF(J117&lt;20,0,IF(J117&lt;40,25,M117))*Assumptions!$B$4+N117*Assumptions!$B$5+O117*Assumptions!$B$6</f>
        <v>27.5</v>
      </c>
      <c r="W117" s="2" t="str">
        <f aca="false">IF(V117&gt;=70,"High",IF(V117&gt;=40,"Medium","Low"))</f>
        <v>Low</v>
      </c>
    </row>
    <row r="118" customFormat="false" ht="15" hidden="false" customHeight="false" outlineLevel="0" collapsed="false">
      <c r="A118" s="2" t="s">
        <v>680</v>
      </c>
      <c r="B118" s="2" t="s">
        <v>1571</v>
      </c>
      <c r="C118" s="2" t="s">
        <v>1640</v>
      </c>
      <c r="D118" s="2" t="s">
        <v>1572</v>
      </c>
      <c r="E118" s="2" t="n">
        <v>7</v>
      </c>
      <c r="F118" s="9" t="n">
        <v>519</v>
      </c>
      <c r="G118" s="2" t="n">
        <v>1</v>
      </c>
      <c r="H118" s="2" t="n">
        <v>0</v>
      </c>
      <c r="I118" s="2" t="n">
        <v>1</v>
      </c>
      <c r="J118" s="2" t="n">
        <v>15</v>
      </c>
      <c r="K118" s="2" t="n">
        <v>20</v>
      </c>
      <c r="L118" s="2" t="n">
        <v>3</v>
      </c>
      <c r="M118" s="2" t="n">
        <f aca="false">IF(J118&lt;=Assumptions!$B$13,0,IF(J118&lt;Assumptions!$B$14,25,IF(J118&lt;Assumptions!$B$15,50,IF(J118&lt;Assumptions!$B$16,75,100))))</f>
        <v>0</v>
      </c>
      <c r="N118" s="2" t="n">
        <f aca="false">IF(K118&gt;Assumptions!$B$19,0,IF(K118&gt;=Assumptions!$B$20,25,IF(K118&gt;=Assumptions!$B$21,50,IF(K118&gt;=Assumptions!$B$22,75,100))))</f>
        <v>25</v>
      </c>
      <c r="O118" s="2" t="n">
        <f aca="false">IF(L118&gt;=Assumptions!$B$25,0,IF(L118&gt;=Assumptions!$B$26,25,IF(L118=Assumptions!$B$27,50,IF(L118=Assumptions!$B$28,75,100))))</f>
        <v>25</v>
      </c>
      <c r="P118" s="21" t="n">
        <f aca="false">M118*Assumptions!$B$4+N118*Assumptions!$B$5+O118*Assumptions!$B$6</f>
        <v>12.5</v>
      </c>
      <c r="Q118" s="21" t="n">
        <f aca="false">IF(J118&lt;=Assumptions!$B$8,0,P118)</f>
        <v>0</v>
      </c>
      <c r="R118" s="2" t="str">
        <f aca="false">IF(Q118&gt;=Assumptions!$B$9,"High",IF(Q118&gt;=Assumptions!$B$10,"Medium","Low"))</f>
        <v>Low</v>
      </c>
      <c r="S118" s="21" t="n">
        <f aca="false">(N118*Assumptions!$B$5+O118*Assumptions!$B$6)/(Assumptions!$B$5+Assumptions!$B$6)</f>
        <v>25</v>
      </c>
      <c r="T118" s="2" t="str">
        <f aca="false">IF(AND(J118&gt;Assumptions!$B$8,G118&lt;=Assumptions!$B$30),"Low confidence","")</f>
        <v/>
      </c>
      <c r="U118" s="2" t="n">
        <f aca="false">(J118&gt;40)+(F118&gt;2000)+(K118&lt;10)+(L118=0)</f>
        <v>0</v>
      </c>
      <c r="V118" s="21" t="n">
        <f aca="false">IF(J118&lt;20,0,IF(J118&lt;40,25,M118))*Assumptions!$B$4+N118*Assumptions!$B$5+O118*Assumptions!$B$6</f>
        <v>12.5</v>
      </c>
      <c r="W118" s="2" t="str">
        <f aca="false">IF(V118&gt;=70,"High",IF(V118&gt;=40,"Medium","Low"))</f>
        <v>Low</v>
      </c>
    </row>
    <row r="119" customFormat="false" ht="15" hidden="false" customHeight="false" outlineLevel="0" collapsed="false">
      <c r="A119" s="2" t="s">
        <v>686</v>
      </c>
      <c r="B119" s="2" t="s">
        <v>1571</v>
      </c>
      <c r="C119" s="2" t="s">
        <v>1641</v>
      </c>
      <c r="D119" s="2" t="s">
        <v>1572</v>
      </c>
      <c r="E119" s="2" t="n">
        <v>13</v>
      </c>
      <c r="F119" s="9" t="n">
        <v>489</v>
      </c>
      <c r="G119" s="2" t="n">
        <v>3</v>
      </c>
      <c r="H119" s="2" t="n">
        <v>0</v>
      </c>
      <c r="I119" s="2" t="n">
        <v>3</v>
      </c>
      <c r="J119" s="2" t="n">
        <v>15</v>
      </c>
      <c r="K119" s="2" t="n">
        <v>11</v>
      </c>
      <c r="L119" s="2" t="n">
        <v>4</v>
      </c>
      <c r="M119" s="2" t="n">
        <f aca="false">IF(J119&lt;=Assumptions!$B$13,0,IF(J119&lt;Assumptions!$B$14,25,IF(J119&lt;Assumptions!$B$15,50,IF(J119&lt;Assumptions!$B$16,75,100))))</f>
        <v>0</v>
      </c>
      <c r="N119" s="2" t="n">
        <f aca="false">IF(K119&gt;Assumptions!$B$19,0,IF(K119&gt;=Assumptions!$B$20,25,IF(K119&gt;=Assumptions!$B$21,50,IF(K119&gt;=Assumptions!$B$22,75,100))))</f>
        <v>50</v>
      </c>
      <c r="O119" s="2" t="n">
        <f aca="false">IF(L119&gt;=Assumptions!$B$25,0,IF(L119&gt;=Assumptions!$B$26,25,IF(L119=Assumptions!$B$27,50,IF(L119=Assumptions!$B$28,75,100))))</f>
        <v>25</v>
      </c>
      <c r="P119" s="21" t="n">
        <f aca="false">M119*Assumptions!$B$4+N119*Assumptions!$B$5+O119*Assumptions!$B$6</f>
        <v>20</v>
      </c>
      <c r="Q119" s="21" t="n">
        <f aca="false">IF(J119&lt;=Assumptions!$B$8,0,P119)</f>
        <v>0</v>
      </c>
      <c r="R119" s="2" t="str">
        <f aca="false">IF(Q119&gt;=Assumptions!$B$9,"High",IF(Q119&gt;=Assumptions!$B$10,"Medium","Low"))</f>
        <v>Low</v>
      </c>
      <c r="S119" s="21" t="n">
        <f aca="false">(N119*Assumptions!$B$5+O119*Assumptions!$B$6)/(Assumptions!$B$5+Assumptions!$B$6)</f>
        <v>40</v>
      </c>
      <c r="T119" s="2" t="str">
        <f aca="false">IF(AND(J119&gt;Assumptions!$B$8,G119&lt;=Assumptions!$B$30),"Low confidence","")</f>
        <v/>
      </c>
      <c r="U119" s="2" t="n">
        <f aca="false">(J119&gt;40)+(F119&gt;2000)+(K119&lt;10)+(L119=0)</f>
        <v>0</v>
      </c>
      <c r="V119" s="21" t="n">
        <f aca="false">IF(J119&lt;20,0,IF(J119&lt;40,25,M119))*Assumptions!$B$4+N119*Assumptions!$B$5+O119*Assumptions!$B$6</f>
        <v>20</v>
      </c>
      <c r="W119" s="2" t="str">
        <f aca="false">IF(V119&gt;=70,"High",IF(V119&gt;=40,"Medium","Low"))</f>
        <v>Low</v>
      </c>
    </row>
    <row r="120" customFormat="false" ht="15" hidden="false" customHeight="false" outlineLevel="0" collapsed="false">
      <c r="A120" s="2" t="s">
        <v>689</v>
      </c>
      <c r="B120" s="2" t="s">
        <v>1571</v>
      </c>
      <c r="C120" s="2" t="s">
        <v>1641</v>
      </c>
      <c r="D120" s="2"/>
      <c r="E120" s="2" t="n">
        <v>6</v>
      </c>
      <c r="F120" s="9" t="n">
        <v>489</v>
      </c>
      <c r="G120" s="2" t="n">
        <v>2</v>
      </c>
      <c r="H120" s="2" t="n">
        <v>0</v>
      </c>
      <c r="I120" s="2" t="n">
        <v>2</v>
      </c>
      <c r="J120" s="2" t="n">
        <v>20</v>
      </c>
      <c r="K120" s="2" t="n">
        <v>37</v>
      </c>
      <c r="L120" s="2" t="n">
        <v>1</v>
      </c>
      <c r="M120" s="2" t="n">
        <f aca="false">IF(J120&lt;=Assumptions!$B$13,0,IF(J120&lt;Assumptions!$B$14,25,IF(J120&lt;Assumptions!$B$15,50,IF(J120&lt;Assumptions!$B$16,75,100))))</f>
        <v>0</v>
      </c>
      <c r="N120" s="2" t="n">
        <f aca="false">IF(K120&gt;Assumptions!$B$19,0,IF(K120&gt;=Assumptions!$B$20,25,IF(K120&gt;=Assumptions!$B$21,50,IF(K120&gt;=Assumptions!$B$22,75,100))))</f>
        <v>0</v>
      </c>
      <c r="O120" s="2" t="n">
        <f aca="false">IF(L120&gt;=Assumptions!$B$25,0,IF(L120&gt;=Assumptions!$B$26,25,IF(L120=Assumptions!$B$27,50,IF(L120=Assumptions!$B$28,75,100))))</f>
        <v>75</v>
      </c>
      <c r="P120" s="21" t="n">
        <f aca="false">M120*Assumptions!$B$4+N120*Assumptions!$B$5+O120*Assumptions!$B$6</f>
        <v>15</v>
      </c>
      <c r="Q120" s="21" t="n">
        <f aca="false">IF(J120&lt;=Assumptions!$B$8,0,P120)</f>
        <v>0</v>
      </c>
      <c r="R120" s="2" t="str">
        <f aca="false">IF(Q120&gt;=Assumptions!$B$9,"High",IF(Q120&gt;=Assumptions!$B$10,"Medium","Low"))</f>
        <v>Low</v>
      </c>
      <c r="S120" s="21" t="n">
        <f aca="false">(N120*Assumptions!$B$5+O120*Assumptions!$B$6)/(Assumptions!$B$5+Assumptions!$B$6)</f>
        <v>30</v>
      </c>
      <c r="T120" s="2" t="str">
        <f aca="false">IF(AND(J120&gt;Assumptions!$B$8,G120&lt;=Assumptions!$B$30),"Low confidence","")</f>
        <v/>
      </c>
      <c r="U120" s="2" t="n">
        <f aca="false">(J120&gt;40)+(F120&gt;2000)+(K120&lt;10)+(L120=0)</f>
        <v>0</v>
      </c>
      <c r="V120" s="21" t="n">
        <f aca="false">IF(J120&lt;20,0,IF(J120&lt;40,25,M120))*Assumptions!$B$4+N120*Assumptions!$B$5+O120*Assumptions!$B$6</f>
        <v>27.5</v>
      </c>
      <c r="W120" s="2" t="str">
        <f aca="false">IF(V120&gt;=70,"High",IF(V120&gt;=40,"Medium","Low"))</f>
        <v>Low</v>
      </c>
    </row>
    <row r="121" customFormat="false" ht="15" hidden="false" customHeight="false" outlineLevel="0" collapsed="false">
      <c r="A121" s="2" t="s">
        <v>693</v>
      </c>
      <c r="B121" s="2" t="s">
        <v>1571</v>
      </c>
      <c r="C121" s="2" t="s">
        <v>1640</v>
      </c>
      <c r="D121" s="2" t="s">
        <v>1572</v>
      </c>
      <c r="E121" s="2" t="n">
        <v>18</v>
      </c>
      <c r="F121" s="9" t="n">
        <v>471</v>
      </c>
      <c r="G121" s="2" t="n">
        <v>3</v>
      </c>
      <c r="H121" s="2" t="n">
        <v>1</v>
      </c>
      <c r="I121" s="2" t="n">
        <v>2</v>
      </c>
      <c r="J121" s="2" t="n">
        <v>19</v>
      </c>
      <c r="K121" s="2" t="n">
        <v>21</v>
      </c>
      <c r="L121" s="2" t="n">
        <v>9</v>
      </c>
      <c r="M121" s="2" t="n">
        <f aca="false">IF(J121&lt;=Assumptions!$B$13,0,IF(J121&lt;Assumptions!$B$14,25,IF(J121&lt;Assumptions!$B$15,50,IF(J121&lt;Assumptions!$B$16,75,100))))</f>
        <v>0</v>
      </c>
      <c r="N121" s="2" t="n">
        <f aca="false">IF(K121&gt;Assumptions!$B$19,0,IF(K121&gt;=Assumptions!$B$20,25,IF(K121&gt;=Assumptions!$B$21,50,IF(K121&gt;=Assumptions!$B$22,75,100))))</f>
        <v>25</v>
      </c>
      <c r="O121" s="2" t="n">
        <f aca="false">IF(L121&gt;=Assumptions!$B$25,0,IF(L121&gt;=Assumptions!$B$26,25,IF(L121=Assumptions!$B$27,50,IF(L121=Assumptions!$B$28,75,100))))</f>
        <v>0</v>
      </c>
      <c r="P121" s="21" t="n">
        <f aca="false">M121*Assumptions!$B$4+N121*Assumptions!$B$5+O121*Assumptions!$B$6</f>
        <v>7.5</v>
      </c>
      <c r="Q121" s="21" t="n">
        <f aca="false">IF(J121&lt;=Assumptions!$B$8,0,P121)</f>
        <v>0</v>
      </c>
      <c r="R121" s="2" t="str">
        <f aca="false">IF(Q121&gt;=Assumptions!$B$9,"High",IF(Q121&gt;=Assumptions!$B$10,"Medium","Low"))</f>
        <v>Low</v>
      </c>
      <c r="S121" s="21" t="n">
        <f aca="false">(N121*Assumptions!$B$5+O121*Assumptions!$B$6)/(Assumptions!$B$5+Assumptions!$B$6)</f>
        <v>15</v>
      </c>
      <c r="T121" s="2" t="str">
        <f aca="false">IF(AND(J121&gt;Assumptions!$B$8,G121&lt;=Assumptions!$B$30),"Low confidence","")</f>
        <v/>
      </c>
      <c r="U121" s="2" t="n">
        <f aca="false">(J121&gt;40)+(F121&gt;2000)+(K121&lt;10)+(L121=0)</f>
        <v>0</v>
      </c>
      <c r="V121" s="21" t="n">
        <f aca="false">IF(J121&lt;20,0,IF(J121&lt;40,25,M121))*Assumptions!$B$4+N121*Assumptions!$B$5+O121*Assumptions!$B$6</f>
        <v>7.5</v>
      </c>
      <c r="W121" s="2" t="str">
        <f aca="false">IF(V121&gt;=70,"High",IF(V121&gt;=40,"Medium","Low"))</f>
        <v>Low</v>
      </c>
    </row>
    <row r="122" customFormat="false" ht="15" hidden="false" customHeight="false" outlineLevel="0" collapsed="false">
      <c r="A122" s="2" t="s">
        <v>695</v>
      </c>
      <c r="B122" s="2" t="s">
        <v>1571</v>
      </c>
      <c r="C122" s="2" t="s">
        <v>1640</v>
      </c>
      <c r="D122" s="2" t="s">
        <v>1572</v>
      </c>
      <c r="E122" s="2" t="n">
        <v>30</v>
      </c>
      <c r="F122" s="9" t="n">
        <v>468</v>
      </c>
      <c r="G122" s="2" t="n">
        <v>1</v>
      </c>
      <c r="H122" s="2" t="n">
        <v>0</v>
      </c>
      <c r="I122" s="2" t="n">
        <v>1</v>
      </c>
      <c r="J122" s="2" t="n">
        <v>14</v>
      </c>
      <c r="K122" s="2" t="n">
        <v>2</v>
      </c>
      <c r="L122" s="2" t="n">
        <v>0</v>
      </c>
      <c r="M122" s="2" t="n">
        <f aca="false">IF(J122&lt;=Assumptions!$B$13,0,IF(J122&lt;Assumptions!$B$14,25,IF(J122&lt;Assumptions!$B$15,50,IF(J122&lt;Assumptions!$B$16,75,100))))</f>
        <v>0</v>
      </c>
      <c r="N122" s="2" t="n">
        <f aca="false">IF(K122&gt;Assumptions!$B$19,0,IF(K122&gt;=Assumptions!$B$20,25,IF(K122&gt;=Assumptions!$B$21,50,IF(K122&gt;=Assumptions!$B$22,75,100))))</f>
        <v>100</v>
      </c>
      <c r="O122" s="2" t="n">
        <f aca="false">IF(L122&gt;=Assumptions!$B$25,0,IF(L122&gt;=Assumptions!$B$26,25,IF(L122=Assumptions!$B$27,50,IF(L122=Assumptions!$B$28,75,100))))</f>
        <v>100</v>
      </c>
      <c r="P122" s="21" t="n">
        <f aca="false">M122*Assumptions!$B$4+N122*Assumptions!$B$5+O122*Assumptions!$B$6</f>
        <v>50</v>
      </c>
      <c r="Q122" s="21" t="n">
        <f aca="false">IF(J122&lt;=Assumptions!$B$8,0,P122)</f>
        <v>0</v>
      </c>
      <c r="R122" s="2" t="str">
        <f aca="false">IF(Q122&gt;=Assumptions!$B$9,"High",IF(Q122&gt;=Assumptions!$B$10,"Medium","Low"))</f>
        <v>Low</v>
      </c>
      <c r="S122" s="21" t="n">
        <f aca="false">(N122*Assumptions!$B$5+O122*Assumptions!$B$6)/(Assumptions!$B$5+Assumptions!$B$6)</f>
        <v>100</v>
      </c>
      <c r="T122" s="2" t="str">
        <f aca="false">IF(AND(J122&gt;Assumptions!$B$8,G122&lt;=Assumptions!$B$30),"Low confidence","")</f>
        <v/>
      </c>
      <c r="U122" s="2" t="n">
        <f aca="false">(J122&gt;40)+(F122&gt;2000)+(K122&lt;10)+(L122=0)</f>
        <v>2</v>
      </c>
      <c r="V122" s="21" t="n">
        <f aca="false">IF(J122&lt;20,0,IF(J122&lt;40,25,M122))*Assumptions!$B$4+N122*Assumptions!$B$5+O122*Assumptions!$B$6</f>
        <v>50</v>
      </c>
      <c r="W122" s="2" t="str">
        <f aca="false">IF(V122&gt;=70,"High",IF(V122&gt;=40,"Medium","Low"))</f>
        <v>Medium</v>
      </c>
    </row>
    <row r="123" customFormat="false" ht="15" hidden="false" customHeight="false" outlineLevel="0" collapsed="false">
      <c r="A123" s="2" t="s">
        <v>699</v>
      </c>
      <c r="B123" s="2" t="s">
        <v>1571</v>
      </c>
      <c r="C123" s="2" t="s">
        <v>1640</v>
      </c>
      <c r="D123" s="2"/>
      <c r="E123" s="2" t="n">
        <v>6</v>
      </c>
      <c r="F123" s="9" t="n">
        <v>459</v>
      </c>
      <c r="G123" s="2" t="n">
        <v>4</v>
      </c>
      <c r="H123" s="2" t="n">
        <v>0</v>
      </c>
      <c r="I123" s="2" t="n">
        <v>4</v>
      </c>
      <c r="J123" s="2" t="n">
        <v>2</v>
      </c>
      <c r="K123" s="2" t="n">
        <v>26</v>
      </c>
      <c r="L123" s="2" t="n">
        <v>9</v>
      </c>
      <c r="M123" s="2" t="n">
        <f aca="false">IF(J123&lt;=Assumptions!$B$13,0,IF(J123&lt;Assumptions!$B$14,25,IF(J123&lt;Assumptions!$B$15,50,IF(J123&lt;Assumptions!$B$16,75,100))))</f>
        <v>0</v>
      </c>
      <c r="N123" s="2" t="n">
        <f aca="false">IF(K123&gt;Assumptions!$B$19,0,IF(K123&gt;=Assumptions!$B$20,25,IF(K123&gt;=Assumptions!$B$21,50,IF(K123&gt;=Assumptions!$B$22,75,100))))</f>
        <v>25</v>
      </c>
      <c r="O123" s="2" t="n">
        <f aca="false">IF(L123&gt;=Assumptions!$B$25,0,IF(L123&gt;=Assumptions!$B$26,25,IF(L123=Assumptions!$B$27,50,IF(L123=Assumptions!$B$28,75,100))))</f>
        <v>0</v>
      </c>
      <c r="P123" s="21" t="n">
        <f aca="false">M123*Assumptions!$B$4+N123*Assumptions!$B$5+O123*Assumptions!$B$6</f>
        <v>7.5</v>
      </c>
      <c r="Q123" s="21" t="n">
        <f aca="false">IF(J123&lt;=Assumptions!$B$8,0,P123)</f>
        <v>0</v>
      </c>
      <c r="R123" s="2" t="str">
        <f aca="false">IF(Q123&gt;=Assumptions!$B$9,"High",IF(Q123&gt;=Assumptions!$B$10,"Medium","Low"))</f>
        <v>Low</v>
      </c>
      <c r="S123" s="21" t="n">
        <f aca="false">(N123*Assumptions!$B$5+O123*Assumptions!$B$6)/(Assumptions!$B$5+Assumptions!$B$6)</f>
        <v>15</v>
      </c>
      <c r="T123" s="2" t="str">
        <f aca="false">IF(AND(J123&gt;Assumptions!$B$8,G123&lt;=Assumptions!$B$30),"Low confidence","")</f>
        <v/>
      </c>
      <c r="U123" s="2" t="n">
        <f aca="false">(J123&gt;40)+(F123&gt;2000)+(K123&lt;10)+(L123=0)</f>
        <v>0</v>
      </c>
      <c r="V123" s="21" t="n">
        <f aca="false">IF(J123&lt;20,0,IF(J123&lt;40,25,M123))*Assumptions!$B$4+N123*Assumptions!$B$5+O123*Assumptions!$B$6</f>
        <v>7.5</v>
      </c>
      <c r="W123" s="2" t="str">
        <f aca="false">IF(V123&gt;=70,"High",IF(V123&gt;=40,"Medium","Low"))</f>
        <v>Low</v>
      </c>
    </row>
    <row r="124" customFormat="false" ht="15" hidden="false" customHeight="false" outlineLevel="0" collapsed="false">
      <c r="A124" s="2" t="s">
        <v>703</v>
      </c>
      <c r="B124" s="2" t="s">
        <v>1571</v>
      </c>
      <c r="C124" s="2" t="s">
        <v>1640</v>
      </c>
      <c r="D124" s="2" t="s">
        <v>1572</v>
      </c>
      <c r="E124" s="2" t="n">
        <v>7</v>
      </c>
      <c r="F124" s="9" t="n">
        <v>454</v>
      </c>
      <c r="G124" s="2" t="n">
        <v>3</v>
      </c>
      <c r="H124" s="2" t="n">
        <v>2</v>
      </c>
      <c r="I124" s="2" t="n">
        <v>1</v>
      </c>
      <c r="J124" s="2" t="n">
        <v>70</v>
      </c>
      <c r="K124" s="2" t="n">
        <v>4</v>
      </c>
      <c r="L124" s="2" t="n">
        <v>1</v>
      </c>
      <c r="M124" s="2" t="n">
        <f aca="false">IF(J124&lt;=Assumptions!$B$13,0,IF(J124&lt;Assumptions!$B$14,25,IF(J124&lt;Assumptions!$B$15,50,IF(J124&lt;Assumptions!$B$16,75,100))))</f>
        <v>75</v>
      </c>
      <c r="N124" s="2" t="n">
        <f aca="false">IF(K124&gt;Assumptions!$B$19,0,IF(K124&gt;=Assumptions!$B$20,25,IF(K124&gt;=Assumptions!$B$21,50,IF(K124&gt;=Assumptions!$B$22,75,100))))</f>
        <v>100</v>
      </c>
      <c r="O124" s="2" t="n">
        <f aca="false">IF(L124&gt;=Assumptions!$B$25,0,IF(L124&gt;=Assumptions!$B$26,25,IF(L124=Assumptions!$B$27,50,IF(L124=Assumptions!$B$28,75,100))))</f>
        <v>75</v>
      </c>
      <c r="P124" s="21" t="n">
        <f aca="false">M124*Assumptions!$B$4+N124*Assumptions!$B$5+O124*Assumptions!$B$6</f>
        <v>82.5</v>
      </c>
      <c r="Q124" s="21" t="n">
        <f aca="false">IF(J124&lt;=Assumptions!$B$8,0,P124)</f>
        <v>82.5</v>
      </c>
      <c r="R124" s="2" t="str">
        <f aca="false">IF(Q124&gt;=Assumptions!$B$9,"High",IF(Q124&gt;=Assumptions!$B$10,"Medium","Low"))</f>
        <v>High</v>
      </c>
      <c r="S124" s="21" t="n">
        <f aca="false">(N124*Assumptions!$B$5+O124*Assumptions!$B$6)/(Assumptions!$B$5+Assumptions!$B$6)</f>
        <v>90</v>
      </c>
      <c r="T124" s="2" t="str">
        <f aca="false">IF(AND(J124&gt;Assumptions!$B$8,G124&lt;=Assumptions!$B$30),"Low confidence","")</f>
        <v/>
      </c>
      <c r="U124" s="2" t="n">
        <f aca="false">(J124&gt;40)+(F124&gt;2000)+(K124&lt;10)+(L124=0)</f>
        <v>2</v>
      </c>
      <c r="V124" s="21" t="n">
        <f aca="false">IF(J124&lt;20,0,IF(J124&lt;40,25,M124))*Assumptions!$B$4+N124*Assumptions!$B$5+O124*Assumptions!$B$6</f>
        <v>82.5</v>
      </c>
      <c r="W124" s="2" t="str">
        <f aca="false">IF(V124&gt;=70,"High",IF(V124&gt;=40,"Medium","Low"))</f>
        <v>High</v>
      </c>
    </row>
    <row r="125" customFormat="false" ht="15" hidden="false" customHeight="false" outlineLevel="0" collapsed="false">
      <c r="A125" s="2" t="s">
        <v>705</v>
      </c>
      <c r="B125" s="2" t="s">
        <v>1571</v>
      </c>
      <c r="C125" s="2" t="s">
        <v>1640</v>
      </c>
      <c r="D125" s="2" t="s">
        <v>1572</v>
      </c>
      <c r="E125" s="2" t="n">
        <v>14</v>
      </c>
      <c r="F125" s="9" t="n">
        <v>447</v>
      </c>
      <c r="G125" s="2" t="n">
        <v>1</v>
      </c>
      <c r="H125" s="2" t="n">
        <v>0</v>
      </c>
      <c r="I125" s="2" t="n">
        <v>1</v>
      </c>
      <c r="J125" s="2" t="n">
        <v>15</v>
      </c>
      <c r="K125" s="2" t="n">
        <v>4</v>
      </c>
      <c r="L125" s="2" t="n">
        <v>2</v>
      </c>
      <c r="M125" s="2" t="n">
        <f aca="false">IF(J125&lt;=Assumptions!$B$13,0,IF(J125&lt;Assumptions!$B$14,25,IF(J125&lt;Assumptions!$B$15,50,IF(J125&lt;Assumptions!$B$16,75,100))))</f>
        <v>0</v>
      </c>
      <c r="N125" s="2" t="n">
        <f aca="false">IF(K125&gt;Assumptions!$B$19,0,IF(K125&gt;=Assumptions!$B$20,25,IF(K125&gt;=Assumptions!$B$21,50,IF(K125&gt;=Assumptions!$B$22,75,100))))</f>
        <v>100</v>
      </c>
      <c r="O125" s="2" t="n">
        <f aca="false">IF(L125&gt;=Assumptions!$B$25,0,IF(L125&gt;=Assumptions!$B$26,25,IF(L125=Assumptions!$B$27,50,IF(L125=Assumptions!$B$28,75,100))))</f>
        <v>50</v>
      </c>
      <c r="P125" s="21" t="n">
        <f aca="false">M125*Assumptions!$B$4+N125*Assumptions!$B$5+O125*Assumptions!$B$6</f>
        <v>40</v>
      </c>
      <c r="Q125" s="21" t="n">
        <f aca="false">IF(J125&lt;=Assumptions!$B$8,0,P125)</f>
        <v>0</v>
      </c>
      <c r="R125" s="2" t="str">
        <f aca="false">IF(Q125&gt;=Assumptions!$B$9,"High",IF(Q125&gt;=Assumptions!$B$10,"Medium","Low"))</f>
        <v>Low</v>
      </c>
      <c r="S125" s="21" t="n">
        <f aca="false">(N125*Assumptions!$B$5+O125*Assumptions!$B$6)/(Assumptions!$B$5+Assumptions!$B$6)</f>
        <v>80</v>
      </c>
      <c r="T125" s="2" t="str">
        <f aca="false">IF(AND(J125&gt;Assumptions!$B$8,G125&lt;=Assumptions!$B$30),"Low confidence","")</f>
        <v/>
      </c>
      <c r="U125" s="2" t="n">
        <f aca="false">(J125&gt;40)+(F125&gt;2000)+(K125&lt;10)+(L125=0)</f>
        <v>1</v>
      </c>
      <c r="V125" s="21" t="n">
        <f aca="false">IF(J125&lt;20,0,IF(J125&lt;40,25,M125))*Assumptions!$B$4+N125*Assumptions!$B$5+O125*Assumptions!$B$6</f>
        <v>40</v>
      </c>
      <c r="W125" s="2" t="str">
        <f aca="false">IF(V125&gt;=70,"High",IF(V125&gt;=40,"Medium","Low"))</f>
        <v>Medium</v>
      </c>
    </row>
    <row r="126" customFormat="false" ht="15" hidden="false" customHeight="false" outlineLevel="0" collapsed="false">
      <c r="A126" s="2" t="s">
        <v>707</v>
      </c>
      <c r="B126" s="2" t="s">
        <v>1571</v>
      </c>
      <c r="C126" s="2" t="s">
        <v>1641</v>
      </c>
      <c r="D126" s="2" t="s">
        <v>1572</v>
      </c>
      <c r="E126" s="2" t="n">
        <v>8</v>
      </c>
      <c r="F126" s="9" t="n">
        <v>446</v>
      </c>
      <c r="G126" s="2" t="n">
        <v>2</v>
      </c>
      <c r="H126" s="2" t="n">
        <v>0</v>
      </c>
      <c r="I126" s="2" t="n">
        <v>2</v>
      </c>
      <c r="J126" s="2" t="n">
        <v>6</v>
      </c>
      <c r="K126" s="2" t="n">
        <v>22</v>
      </c>
      <c r="L126" s="2" t="n">
        <v>2</v>
      </c>
      <c r="M126" s="2" t="n">
        <f aca="false">IF(J126&lt;=Assumptions!$B$13,0,IF(J126&lt;Assumptions!$B$14,25,IF(J126&lt;Assumptions!$B$15,50,IF(J126&lt;Assumptions!$B$16,75,100))))</f>
        <v>0</v>
      </c>
      <c r="N126" s="2" t="n">
        <f aca="false">IF(K126&gt;Assumptions!$B$19,0,IF(K126&gt;=Assumptions!$B$20,25,IF(K126&gt;=Assumptions!$B$21,50,IF(K126&gt;=Assumptions!$B$22,75,100))))</f>
        <v>25</v>
      </c>
      <c r="O126" s="2" t="n">
        <f aca="false">IF(L126&gt;=Assumptions!$B$25,0,IF(L126&gt;=Assumptions!$B$26,25,IF(L126=Assumptions!$B$27,50,IF(L126=Assumptions!$B$28,75,100))))</f>
        <v>50</v>
      </c>
      <c r="P126" s="21" t="n">
        <f aca="false">M126*Assumptions!$B$4+N126*Assumptions!$B$5+O126*Assumptions!$B$6</f>
        <v>17.5</v>
      </c>
      <c r="Q126" s="21" t="n">
        <f aca="false">IF(J126&lt;=Assumptions!$B$8,0,P126)</f>
        <v>0</v>
      </c>
      <c r="R126" s="2" t="str">
        <f aca="false">IF(Q126&gt;=Assumptions!$B$9,"High",IF(Q126&gt;=Assumptions!$B$10,"Medium","Low"))</f>
        <v>Low</v>
      </c>
      <c r="S126" s="21" t="n">
        <f aca="false">(N126*Assumptions!$B$5+O126*Assumptions!$B$6)/(Assumptions!$B$5+Assumptions!$B$6)</f>
        <v>35</v>
      </c>
      <c r="T126" s="2" t="str">
        <f aca="false">IF(AND(J126&gt;Assumptions!$B$8,G126&lt;=Assumptions!$B$30),"Low confidence","")</f>
        <v/>
      </c>
      <c r="U126" s="2" t="n">
        <f aca="false">(J126&gt;40)+(F126&gt;2000)+(K126&lt;10)+(L126=0)</f>
        <v>0</v>
      </c>
      <c r="V126" s="21" t="n">
        <f aca="false">IF(J126&lt;20,0,IF(J126&lt;40,25,M126))*Assumptions!$B$4+N126*Assumptions!$B$5+O126*Assumptions!$B$6</f>
        <v>17.5</v>
      </c>
      <c r="W126" s="2" t="str">
        <f aca="false">IF(V126&gt;=70,"High",IF(V126&gt;=40,"Medium","Low"))</f>
        <v>Low</v>
      </c>
    </row>
    <row r="127" customFormat="false" ht="15" hidden="false" customHeight="false" outlineLevel="0" collapsed="false">
      <c r="A127" s="2" t="s">
        <v>709</v>
      </c>
      <c r="B127" s="2" t="s">
        <v>1571</v>
      </c>
      <c r="C127" s="2" t="s">
        <v>1640</v>
      </c>
      <c r="D127" s="2" t="s">
        <v>1572</v>
      </c>
      <c r="E127" s="2" t="n">
        <v>9</v>
      </c>
      <c r="F127" s="9" t="n">
        <v>443</v>
      </c>
      <c r="G127" s="2" t="n">
        <v>1</v>
      </c>
      <c r="H127" s="2" t="n">
        <v>0</v>
      </c>
      <c r="I127" s="2" t="n">
        <v>1</v>
      </c>
      <c r="J127" s="2" t="n">
        <v>18</v>
      </c>
      <c r="K127" s="2" t="n">
        <v>16</v>
      </c>
      <c r="L127" s="2" t="n">
        <v>0</v>
      </c>
      <c r="M127" s="2" t="n">
        <f aca="false">IF(J127&lt;=Assumptions!$B$13,0,IF(J127&lt;Assumptions!$B$14,25,IF(J127&lt;Assumptions!$B$15,50,IF(J127&lt;Assumptions!$B$16,75,100))))</f>
        <v>0</v>
      </c>
      <c r="N127" s="2" t="n">
        <f aca="false">IF(K127&gt;Assumptions!$B$19,0,IF(K127&gt;=Assumptions!$B$20,25,IF(K127&gt;=Assumptions!$B$21,50,IF(K127&gt;=Assumptions!$B$22,75,100))))</f>
        <v>50</v>
      </c>
      <c r="O127" s="2" t="n">
        <f aca="false">IF(L127&gt;=Assumptions!$B$25,0,IF(L127&gt;=Assumptions!$B$26,25,IF(L127=Assumptions!$B$27,50,IF(L127=Assumptions!$B$28,75,100))))</f>
        <v>100</v>
      </c>
      <c r="P127" s="21" t="n">
        <f aca="false">M127*Assumptions!$B$4+N127*Assumptions!$B$5+O127*Assumptions!$B$6</f>
        <v>35</v>
      </c>
      <c r="Q127" s="21" t="n">
        <f aca="false">IF(J127&lt;=Assumptions!$B$8,0,P127)</f>
        <v>0</v>
      </c>
      <c r="R127" s="2" t="str">
        <f aca="false">IF(Q127&gt;=Assumptions!$B$9,"High",IF(Q127&gt;=Assumptions!$B$10,"Medium","Low"))</f>
        <v>Low</v>
      </c>
      <c r="S127" s="21" t="n">
        <f aca="false">(N127*Assumptions!$B$5+O127*Assumptions!$B$6)/(Assumptions!$B$5+Assumptions!$B$6)</f>
        <v>70</v>
      </c>
      <c r="T127" s="2" t="str">
        <f aca="false">IF(AND(J127&gt;Assumptions!$B$8,G127&lt;=Assumptions!$B$30),"Low confidence","")</f>
        <v/>
      </c>
      <c r="U127" s="2" t="n">
        <f aca="false">(J127&gt;40)+(F127&gt;2000)+(K127&lt;10)+(L127=0)</f>
        <v>1</v>
      </c>
      <c r="V127" s="21" t="n">
        <f aca="false">IF(J127&lt;20,0,IF(J127&lt;40,25,M127))*Assumptions!$B$4+N127*Assumptions!$B$5+O127*Assumptions!$B$6</f>
        <v>35</v>
      </c>
      <c r="W127" s="2" t="str">
        <f aca="false">IF(V127&gt;=70,"High",IF(V127&gt;=40,"Medium","Low"))</f>
        <v>Low</v>
      </c>
    </row>
    <row r="128" customFormat="false" ht="15" hidden="false" customHeight="false" outlineLevel="0" collapsed="false">
      <c r="A128" s="2" t="s">
        <v>724</v>
      </c>
      <c r="B128" s="2" t="s">
        <v>1571</v>
      </c>
      <c r="C128" s="2" t="s">
        <v>1640</v>
      </c>
      <c r="D128" s="2" t="s">
        <v>1572</v>
      </c>
      <c r="E128" s="2" t="n">
        <v>14</v>
      </c>
      <c r="F128" s="9" t="n">
        <v>392</v>
      </c>
      <c r="G128" s="2" t="n">
        <v>1</v>
      </c>
      <c r="H128" s="2" t="n">
        <v>0</v>
      </c>
      <c r="I128" s="2" t="n">
        <v>1</v>
      </c>
      <c r="J128" s="2" t="n">
        <v>12</v>
      </c>
      <c r="K128" s="2" t="n">
        <v>13</v>
      </c>
      <c r="L128" s="2" t="n">
        <v>1</v>
      </c>
      <c r="M128" s="2" t="n">
        <f aca="false">IF(J128&lt;=Assumptions!$B$13,0,IF(J128&lt;Assumptions!$B$14,25,IF(J128&lt;Assumptions!$B$15,50,IF(J128&lt;Assumptions!$B$16,75,100))))</f>
        <v>0</v>
      </c>
      <c r="N128" s="2" t="n">
        <f aca="false">IF(K128&gt;Assumptions!$B$19,0,IF(K128&gt;=Assumptions!$B$20,25,IF(K128&gt;=Assumptions!$B$21,50,IF(K128&gt;=Assumptions!$B$22,75,100))))</f>
        <v>50</v>
      </c>
      <c r="O128" s="2" t="n">
        <f aca="false">IF(L128&gt;=Assumptions!$B$25,0,IF(L128&gt;=Assumptions!$B$26,25,IF(L128=Assumptions!$B$27,50,IF(L128=Assumptions!$B$28,75,100))))</f>
        <v>75</v>
      </c>
      <c r="P128" s="21" t="n">
        <f aca="false">M128*Assumptions!$B$4+N128*Assumptions!$B$5+O128*Assumptions!$B$6</f>
        <v>30</v>
      </c>
      <c r="Q128" s="21" t="n">
        <f aca="false">IF(J128&lt;=Assumptions!$B$8,0,P128)</f>
        <v>0</v>
      </c>
      <c r="R128" s="2" t="str">
        <f aca="false">IF(Q128&gt;=Assumptions!$B$9,"High",IF(Q128&gt;=Assumptions!$B$10,"Medium","Low"))</f>
        <v>Low</v>
      </c>
      <c r="S128" s="21" t="n">
        <f aca="false">(N128*Assumptions!$B$5+O128*Assumptions!$B$6)/(Assumptions!$B$5+Assumptions!$B$6)</f>
        <v>60</v>
      </c>
      <c r="T128" s="2" t="str">
        <f aca="false">IF(AND(J128&gt;Assumptions!$B$8,G128&lt;=Assumptions!$B$30),"Low confidence","")</f>
        <v/>
      </c>
      <c r="U128" s="2" t="n">
        <f aca="false">(J128&gt;40)+(F128&gt;2000)+(K128&lt;10)+(L128=0)</f>
        <v>0</v>
      </c>
      <c r="V128" s="21" t="n">
        <f aca="false">IF(J128&lt;20,0,IF(J128&lt;40,25,M128))*Assumptions!$B$4+N128*Assumptions!$B$5+O128*Assumptions!$B$6</f>
        <v>30</v>
      </c>
      <c r="W128" s="2" t="str">
        <f aca="false">IF(V128&gt;=70,"High",IF(V128&gt;=40,"Medium","Low"))</f>
        <v>Low</v>
      </c>
    </row>
    <row r="129" customFormat="false" ht="15" hidden="false" customHeight="false" outlineLevel="0" collapsed="false">
      <c r="A129" s="2" t="s">
        <v>726</v>
      </c>
      <c r="B129" s="2" t="s">
        <v>1571</v>
      </c>
      <c r="C129" s="2" t="s">
        <v>1640</v>
      </c>
      <c r="D129" s="2" t="s">
        <v>1572</v>
      </c>
      <c r="E129" s="2" t="n">
        <v>9</v>
      </c>
      <c r="F129" s="9" t="n">
        <v>386</v>
      </c>
      <c r="G129" s="2" t="n">
        <v>2</v>
      </c>
      <c r="H129" s="2" t="n">
        <v>1</v>
      </c>
      <c r="I129" s="2" t="n">
        <v>1</v>
      </c>
      <c r="J129" s="2" t="n">
        <v>63</v>
      </c>
      <c r="K129" s="2" t="n">
        <v>7</v>
      </c>
      <c r="L129" s="2" t="n">
        <v>1</v>
      </c>
      <c r="M129" s="2" t="n">
        <f aca="false">IF(J129&lt;=Assumptions!$B$13,0,IF(J129&lt;Assumptions!$B$14,25,IF(J129&lt;Assumptions!$B$15,50,IF(J129&lt;Assumptions!$B$16,75,100))))</f>
        <v>75</v>
      </c>
      <c r="N129" s="2" t="n">
        <f aca="false">IF(K129&gt;Assumptions!$B$19,0,IF(K129&gt;=Assumptions!$B$20,25,IF(K129&gt;=Assumptions!$B$21,50,IF(K129&gt;=Assumptions!$B$22,75,100))))</f>
        <v>75</v>
      </c>
      <c r="O129" s="2" t="n">
        <f aca="false">IF(L129&gt;=Assumptions!$B$25,0,IF(L129&gt;=Assumptions!$B$26,25,IF(L129=Assumptions!$B$27,50,IF(L129=Assumptions!$B$28,75,100))))</f>
        <v>75</v>
      </c>
      <c r="P129" s="21" t="n">
        <f aca="false">M129*Assumptions!$B$4+N129*Assumptions!$B$5+O129*Assumptions!$B$6</f>
        <v>75</v>
      </c>
      <c r="Q129" s="21" t="n">
        <f aca="false">IF(J129&lt;=Assumptions!$B$8,0,P129)</f>
        <v>75</v>
      </c>
      <c r="R129" s="2" t="str">
        <f aca="false">IF(Q129&gt;=Assumptions!$B$9,"High",IF(Q129&gt;=Assumptions!$B$10,"Medium","Low"))</f>
        <v>High</v>
      </c>
      <c r="S129" s="21" t="n">
        <f aca="false">(N129*Assumptions!$B$5+O129*Assumptions!$B$6)/(Assumptions!$B$5+Assumptions!$B$6)</f>
        <v>75</v>
      </c>
      <c r="T129" s="2" t="str">
        <f aca="false">IF(AND(J129&gt;Assumptions!$B$8,G129&lt;=Assumptions!$B$30),"Low confidence","")</f>
        <v>Low confidence</v>
      </c>
      <c r="U129" s="2" t="n">
        <f aca="false">(J129&gt;40)+(F129&gt;2000)+(K129&lt;10)+(L129=0)</f>
        <v>2</v>
      </c>
      <c r="V129" s="21" t="n">
        <f aca="false">IF(J129&lt;20,0,IF(J129&lt;40,25,M129))*Assumptions!$B$4+N129*Assumptions!$B$5+O129*Assumptions!$B$6</f>
        <v>75</v>
      </c>
      <c r="W129" s="2" t="str">
        <f aca="false">IF(V129&gt;=70,"High",IF(V129&gt;=40,"Medium","Low"))</f>
        <v>High</v>
      </c>
    </row>
    <row r="130" customFormat="false" ht="15" hidden="false" customHeight="false" outlineLevel="0" collapsed="false">
      <c r="A130" s="2" t="s">
        <v>730</v>
      </c>
      <c r="B130" s="2" t="s">
        <v>1571</v>
      </c>
      <c r="C130" s="2" t="s">
        <v>1640</v>
      </c>
      <c r="D130" s="2"/>
      <c r="E130" s="2" t="n">
        <v>6</v>
      </c>
      <c r="F130" s="9" t="n">
        <v>379</v>
      </c>
      <c r="G130" s="2" t="n">
        <v>2</v>
      </c>
      <c r="H130" s="2" t="n">
        <v>1</v>
      </c>
      <c r="I130" s="2" t="n">
        <v>1</v>
      </c>
      <c r="J130" s="2" t="n">
        <v>54</v>
      </c>
      <c r="K130" s="2" t="n">
        <v>4</v>
      </c>
      <c r="L130" s="2" t="n">
        <v>1</v>
      </c>
      <c r="M130" s="2" t="n">
        <f aca="false">IF(J130&lt;=Assumptions!$B$13,0,IF(J130&lt;Assumptions!$B$14,25,IF(J130&lt;Assumptions!$B$15,50,IF(J130&lt;Assumptions!$B$16,75,100))))</f>
        <v>50</v>
      </c>
      <c r="N130" s="2" t="n">
        <f aca="false">IF(K130&gt;Assumptions!$B$19,0,IF(K130&gt;=Assumptions!$B$20,25,IF(K130&gt;=Assumptions!$B$21,50,IF(K130&gt;=Assumptions!$B$22,75,100))))</f>
        <v>100</v>
      </c>
      <c r="O130" s="2" t="n">
        <f aca="false">IF(L130&gt;=Assumptions!$B$25,0,IF(L130&gt;=Assumptions!$B$26,25,IF(L130=Assumptions!$B$27,50,IF(L130=Assumptions!$B$28,75,100))))</f>
        <v>75</v>
      </c>
      <c r="P130" s="21" t="n">
        <f aca="false">M130*Assumptions!$B$4+N130*Assumptions!$B$5+O130*Assumptions!$B$6</f>
        <v>70</v>
      </c>
      <c r="Q130" s="21" t="n">
        <f aca="false">IF(J130&lt;=Assumptions!$B$8,0,P130)</f>
        <v>70</v>
      </c>
      <c r="R130" s="2" t="str">
        <f aca="false">IF(Q130&gt;=Assumptions!$B$9,"High",IF(Q130&gt;=Assumptions!$B$10,"Medium","Low"))</f>
        <v>High</v>
      </c>
      <c r="S130" s="21" t="n">
        <f aca="false">(N130*Assumptions!$B$5+O130*Assumptions!$B$6)/(Assumptions!$B$5+Assumptions!$B$6)</f>
        <v>90</v>
      </c>
      <c r="T130" s="2" t="str">
        <f aca="false">IF(AND(J130&gt;Assumptions!$B$8,G130&lt;=Assumptions!$B$30),"Low confidence","")</f>
        <v>Low confidence</v>
      </c>
      <c r="U130" s="2" t="n">
        <f aca="false">(J130&gt;40)+(F130&gt;2000)+(K130&lt;10)+(L130=0)</f>
        <v>2</v>
      </c>
      <c r="V130" s="21" t="n">
        <f aca="false">IF(J130&lt;20,0,IF(J130&lt;40,25,M130))*Assumptions!$B$4+N130*Assumptions!$B$5+O130*Assumptions!$B$6</f>
        <v>70</v>
      </c>
      <c r="W130" s="2" t="str">
        <f aca="false">IF(V130&gt;=70,"High",IF(V130&gt;=40,"Medium","Low"))</f>
        <v>High</v>
      </c>
    </row>
    <row r="131" customFormat="false" ht="15" hidden="false" customHeight="false" outlineLevel="0" collapsed="false">
      <c r="A131" s="2" t="s">
        <v>732</v>
      </c>
      <c r="B131" s="2" t="s">
        <v>1571</v>
      </c>
      <c r="C131" s="2" t="s">
        <v>1640</v>
      </c>
      <c r="D131" s="2" t="s">
        <v>1572</v>
      </c>
      <c r="E131" s="2" t="n">
        <v>7</v>
      </c>
      <c r="F131" s="9" t="n">
        <v>377</v>
      </c>
      <c r="G131" s="2" t="n">
        <v>1</v>
      </c>
      <c r="H131" s="2" t="n">
        <v>0</v>
      </c>
      <c r="I131" s="2" t="n">
        <v>1</v>
      </c>
      <c r="J131" s="2" t="n">
        <v>17</v>
      </c>
      <c r="K131" s="2" t="n">
        <v>8</v>
      </c>
      <c r="L131" s="2" t="n">
        <v>1</v>
      </c>
      <c r="M131" s="2" t="n">
        <f aca="false">IF(J131&lt;=Assumptions!$B$13,0,IF(J131&lt;Assumptions!$B$14,25,IF(J131&lt;Assumptions!$B$15,50,IF(J131&lt;Assumptions!$B$16,75,100))))</f>
        <v>0</v>
      </c>
      <c r="N131" s="2" t="n">
        <f aca="false">IF(K131&gt;Assumptions!$B$19,0,IF(K131&gt;=Assumptions!$B$20,25,IF(K131&gt;=Assumptions!$B$21,50,IF(K131&gt;=Assumptions!$B$22,75,100))))</f>
        <v>75</v>
      </c>
      <c r="O131" s="2" t="n">
        <f aca="false">IF(L131&gt;=Assumptions!$B$25,0,IF(L131&gt;=Assumptions!$B$26,25,IF(L131=Assumptions!$B$27,50,IF(L131=Assumptions!$B$28,75,100))))</f>
        <v>75</v>
      </c>
      <c r="P131" s="21" t="n">
        <f aca="false">M131*Assumptions!$B$4+N131*Assumptions!$B$5+O131*Assumptions!$B$6</f>
        <v>37.5</v>
      </c>
      <c r="Q131" s="21" t="n">
        <f aca="false">IF(J131&lt;=Assumptions!$B$8,0,P131)</f>
        <v>0</v>
      </c>
      <c r="R131" s="2" t="str">
        <f aca="false">IF(Q131&gt;=Assumptions!$B$9,"High",IF(Q131&gt;=Assumptions!$B$10,"Medium","Low"))</f>
        <v>Low</v>
      </c>
      <c r="S131" s="21" t="n">
        <f aca="false">(N131*Assumptions!$B$5+O131*Assumptions!$B$6)/(Assumptions!$B$5+Assumptions!$B$6)</f>
        <v>75</v>
      </c>
      <c r="T131" s="2" t="str">
        <f aca="false">IF(AND(J131&gt;Assumptions!$B$8,G131&lt;=Assumptions!$B$30),"Low confidence","")</f>
        <v/>
      </c>
      <c r="U131" s="2" t="n">
        <f aca="false">(J131&gt;40)+(F131&gt;2000)+(K131&lt;10)+(L131=0)</f>
        <v>1</v>
      </c>
      <c r="V131" s="21" t="n">
        <f aca="false">IF(J131&lt;20,0,IF(J131&lt;40,25,M131))*Assumptions!$B$4+N131*Assumptions!$B$5+O131*Assumptions!$B$6</f>
        <v>37.5</v>
      </c>
      <c r="W131" s="2" t="str">
        <f aca="false">IF(V131&gt;=70,"High",IF(V131&gt;=40,"Medium","Low"))</f>
        <v>Low</v>
      </c>
    </row>
    <row r="132" customFormat="false" ht="15" hidden="false" customHeight="false" outlineLevel="0" collapsed="false">
      <c r="A132" s="2" t="s">
        <v>738</v>
      </c>
      <c r="B132" s="2" t="s">
        <v>1571</v>
      </c>
      <c r="C132" s="2" t="s">
        <v>1640</v>
      </c>
      <c r="D132" s="2" t="s">
        <v>1572</v>
      </c>
      <c r="E132" s="2" t="n">
        <v>18</v>
      </c>
      <c r="F132" s="9" t="n">
        <v>363</v>
      </c>
      <c r="G132" s="2" t="n">
        <v>1</v>
      </c>
      <c r="H132" s="2" t="n">
        <v>0</v>
      </c>
      <c r="I132" s="2" t="n">
        <v>1</v>
      </c>
      <c r="J132" s="2" t="n">
        <v>7</v>
      </c>
      <c r="K132" s="2" t="n">
        <v>10</v>
      </c>
      <c r="L132" s="2" t="n">
        <v>0</v>
      </c>
      <c r="M132" s="2" t="n">
        <f aca="false">IF(J132&lt;=Assumptions!$B$13,0,IF(J132&lt;Assumptions!$B$14,25,IF(J132&lt;Assumptions!$B$15,50,IF(J132&lt;Assumptions!$B$16,75,100))))</f>
        <v>0</v>
      </c>
      <c r="N132" s="2" t="n">
        <f aca="false">IF(K132&gt;Assumptions!$B$19,0,IF(K132&gt;=Assumptions!$B$20,25,IF(K132&gt;=Assumptions!$B$21,50,IF(K132&gt;=Assumptions!$B$22,75,100))))</f>
        <v>50</v>
      </c>
      <c r="O132" s="2" t="n">
        <f aca="false">IF(L132&gt;=Assumptions!$B$25,0,IF(L132&gt;=Assumptions!$B$26,25,IF(L132=Assumptions!$B$27,50,IF(L132=Assumptions!$B$28,75,100))))</f>
        <v>100</v>
      </c>
      <c r="P132" s="21" t="n">
        <f aca="false">M132*Assumptions!$B$4+N132*Assumptions!$B$5+O132*Assumptions!$B$6</f>
        <v>35</v>
      </c>
      <c r="Q132" s="21" t="n">
        <f aca="false">IF(J132&lt;=Assumptions!$B$8,0,P132)</f>
        <v>0</v>
      </c>
      <c r="R132" s="2" t="str">
        <f aca="false">IF(Q132&gt;=Assumptions!$B$9,"High",IF(Q132&gt;=Assumptions!$B$10,"Medium","Low"))</f>
        <v>Low</v>
      </c>
      <c r="S132" s="21" t="n">
        <f aca="false">(N132*Assumptions!$B$5+O132*Assumptions!$B$6)/(Assumptions!$B$5+Assumptions!$B$6)</f>
        <v>70</v>
      </c>
      <c r="T132" s="2" t="str">
        <f aca="false">IF(AND(J132&gt;Assumptions!$B$8,G132&lt;=Assumptions!$B$30),"Low confidence","")</f>
        <v/>
      </c>
      <c r="U132" s="2" t="n">
        <f aca="false">(J132&gt;40)+(F132&gt;2000)+(K132&lt;10)+(L132=0)</f>
        <v>1</v>
      </c>
      <c r="V132" s="21" t="n">
        <f aca="false">IF(J132&lt;20,0,IF(J132&lt;40,25,M132))*Assumptions!$B$4+N132*Assumptions!$B$5+O132*Assumptions!$B$6</f>
        <v>35</v>
      </c>
      <c r="W132" s="2" t="str">
        <f aca="false">IF(V132&gt;=70,"High",IF(V132&gt;=40,"Medium","Low"))</f>
        <v>Low</v>
      </c>
    </row>
    <row r="133" customFormat="false" ht="15" hidden="false" customHeight="false" outlineLevel="0" collapsed="false">
      <c r="A133" s="2" t="s">
        <v>740</v>
      </c>
      <c r="B133" s="2" t="s">
        <v>1571</v>
      </c>
      <c r="C133" s="2" t="s">
        <v>1640</v>
      </c>
      <c r="D133" s="2" t="s">
        <v>1572</v>
      </c>
      <c r="E133" s="2" t="n">
        <v>28</v>
      </c>
      <c r="F133" s="9" t="n">
        <v>360</v>
      </c>
      <c r="G133" s="2" t="n">
        <v>1</v>
      </c>
      <c r="H133" s="2" t="n">
        <v>0</v>
      </c>
      <c r="I133" s="2" t="n">
        <v>1</v>
      </c>
      <c r="J133" s="2" t="n">
        <v>18</v>
      </c>
      <c r="K133" s="2" t="n">
        <v>21</v>
      </c>
      <c r="L133" s="2" t="n">
        <v>0</v>
      </c>
      <c r="M133" s="2" t="n">
        <f aca="false">IF(J133&lt;=Assumptions!$B$13,0,IF(J133&lt;Assumptions!$B$14,25,IF(J133&lt;Assumptions!$B$15,50,IF(J133&lt;Assumptions!$B$16,75,100))))</f>
        <v>0</v>
      </c>
      <c r="N133" s="2" t="n">
        <f aca="false">IF(K133&gt;Assumptions!$B$19,0,IF(K133&gt;=Assumptions!$B$20,25,IF(K133&gt;=Assumptions!$B$21,50,IF(K133&gt;=Assumptions!$B$22,75,100))))</f>
        <v>25</v>
      </c>
      <c r="O133" s="2" t="n">
        <f aca="false">IF(L133&gt;=Assumptions!$B$25,0,IF(L133&gt;=Assumptions!$B$26,25,IF(L133=Assumptions!$B$27,50,IF(L133=Assumptions!$B$28,75,100))))</f>
        <v>100</v>
      </c>
      <c r="P133" s="21" t="n">
        <f aca="false">M133*Assumptions!$B$4+N133*Assumptions!$B$5+O133*Assumptions!$B$6</f>
        <v>27.5</v>
      </c>
      <c r="Q133" s="21" t="n">
        <f aca="false">IF(J133&lt;=Assumptions!$B$8,0,P133)</f>
        <v>0</v>
      </c>
      <c r="R133" s="2" t="str">
        <f aca="false">IF(Q133&gt;=Assumptions!$B$9,"High",IF(Q133&gt;=Assumptions!$B$10,"Medium","Low"))</f>
        <v>Low</v>
      </c>
      <c r="S133" s="21" t="n">
        <f aca="false">(N133*Assumptions!$B$5+O133*Assumptions!$B$6)/(Assumptions!$B$5+Assumptions!$B$6)</f>
        <v>55</v>
      </c>
      <c r="T133" s="2" t="str">
        <f aca="false">IF(AND(J133&gt;Assumptions!$B$8,G133&lt;=Assumptions!$B$30),"Low confidence","")</f>
        <v/>
      </c>
      <c r="U133" s="2" t="n">
        <f aca="false">(J133&gt;40)+(F133&gt;2000)+(K133&lt;10)+(L133=0)</f>
        <v>1</v>
      </c>
      <c r="V133" s="21" t="n">
        <f aca="false">IF(J133&lt;20,0,IF(J133&lt;40,25,M133))*Assumptions!$B$4+N133*Assumptions!$B$5+O133*Assumptions!$B$6</f>
        <v>27.5</v>
      </c>
      <c r="W133" s="2" t="str">
        <f aca="false">IF(V133&gt;=70,"High",IF(V133&gt;=40,"Medium","Low"))</f>
        <v>Low</v>
      </c>
    </row>
    <row r="134" customFormat="false" ht="15" hidden="false" customHeight="false" outlineLevel="0" collapsed="false">
      <c r="A134" s="2" t="s">
        <v>742</v>
      </c>
      <c r="B134" s="2" t="s">
        <v>1571</v>
      </c>
      <c r="C134" s="2" t="s">
        <v>1640</v>
      </c>
      <c r="D134" s="2"/>
      <c r="E134" s="2" t="n">
        <v>6</v>
      </c>
      <c r="F134" s="9" t="n">
        <v>356</v>
      </c>
      <c r="G134" s="2" t="n">
        <v>1</v>
      </c>
      <c r="H134" s="2" t="n">
        <v>0</v>
      </c>
      <c r="I134" s="2" t="n">
        <v>1</v>
      </c>
      <c r="J134" s="2" t="n">
        <v>7</v>
      </c>
      <c r="K134" s="2" t="n">
        <v>3</v>
      </c>
      <c r="L134" s="2" t="n">
        <v>0</v>
      </c>
      <c r="M134" s="2" t="n">
        <f aca="false">IF(J134&lt;=Assumptions!$B$13,0,IF(J134&lt;Assumptions!$B$14,25,IF(J134&lt;Assumptions!$B$15,50,IF(J134&lt;Assumptions!$B$16,75,100))))</f>
        <v>0</v>
      </c>
      <c r="N134" s="2" t="n">
        <f aca="false">IF(K134&gt;Assumptions!$B$19,0,IF(K134&gt;=Assumptions!$B$20,25,IF(K134&gt;=Assumptions!$B$21,50,IF(K134&gt;=Assumptions!$B$22,75,100))))</f>
        <v>100</v>
      </c>
      <c r="O134" s="2" t="n">
        <f aca="false">IF(L134&gt;=Assumptions!$B$25,0,IF(L134&gt;=Assumptions!$B$26,25,IF(L134=Assumptions!$B$27,50,IF(L134=Assumptions!$B$28,75,100))))</f>
        <v>100</v>
      </c>
      <c r="P134" s="21" t="n">
        <f aca="false">M134*Assumptions!$B$4+N134*Assumptions!$B$5+O134*Assumptions!$B$6</f>
        <v>50</v>
      </c>
      <c r="Q134" s="21" t="n">
        <f aca="false">IF(J134&lt;=Assumptions!$B$8,0,P134)</f>
        <v>0</v>
      </c>
      <c r="R134" s="2" t="str">
        <f aca="false">IF(Q134&gt;=Assumptions!$B$9,"High",IF(Q134&gt;=Assumptions!$B$10,"Medium","Low"))</f>
        <v>Low</v>
      </c>
      <c r="S134" s="21" t="n">
        <f aca="false">(N134*Assumptions!$B$5+O134*Assumptions!$B$6)/(Assumptions!$B$5+Assumptions!$B$6)</f>
        <v>100</v>
      </c>
      <c r="T134" s="2" t="str">
        <f aca="false">IF(AND(J134&gt;Assumptions!$B$8,G134&lt;=Assumptions!$B$30),"Low confidence","")</f>
        <v/>
      </c>
      <c r="U134" s="2" t="n">
        <f aca="false">(J134&gt;40)+(F134&gt;2000)+(K134&lt;10)+(L134=0)</f>
        <v>2</v>
      </c>
      <c r="V134" s="21" t="n">
        <f aca="false">IF(J134&lt;20,0,IF(J134&lt;40,25,M134))*Assumptions!$B$4+N134*Assumptions!$B$5+O134*Assumptions!$B$6</f>
        <v>50</v>
      </c>
      <c r="W134" s="2" t="str">
        <f aca="false">IF(V134&gt;=70,"High",IF(V134&gt;=40,"Medium","Low"))</f>
        <v>Medium</v>
      </c>
    </row>
    <row r="135" customFormat="false" ht="15" hidden="false" customHeight="false" outlineLevel="0" collapsed="false">
      <c r="A135" s="2" t="s">
        <v>744</v>
      </c>
      <c r="B135" s="2" t="s">
        <v>1571</v>
      </c>
      <c r="C135" s="2" t="s">
        <v>1640</v>
      </c>
      <c r="D135" s="2" t="s">
        <v>1572</v>
      </c>
      <c r="E135" s="2" t="n">
        <v>11</v>
      </c>
      <c r="F135" s="9" t="n">
        <v>355</v>
      </c>
      <c r="G135" s="2" t="n">
        <v>1</v>
      </c>
      <c r="H135" s="2" t="n">
        <v>0</v>
      </c>
      <c r="I135" s="2" t="n">
        <v>1</v>
      </c>
      <c r="J135" s="2" t="n">
        <v>7</v>
      </c>
      <c r="K135" s="2" t="n">
        <v>11</v>
      </c>
      <c r="L135" s="2" t="n">
        <v>16</v>
      </c>
      <c r="M135" s="2" t="n">
        <f aca="false">IF(J135&lt;=Assumptions!$B$13,0,IF(J135&lt;Assumptions!$B$14,25,IF(J135&lt;Assumptions!$B$15,50,IF(J135&lt;Assumptions!$B$16,75,100))))</f>
        <v>0</v>
      </c>
      <c r="N135" s="2" t="n">
        <f aca="false">IF(K135&gt;Assumptions!$B$19,0,IF(K135&gt;=Assumptions!$B$20,25,IF(K135&gt;=Assumptions!$B$21,50,IF(K135&gt;=Assumptions!$B$22,75,100))))</f>
        <v>50</v>
      </c>
      <c r="O135" s="2" t="n">
        <f aca="false">IF(L135&gt;=Assumptions!$B$25,0,IF(L135&gt;=Assumptions!$B$26,25,IF(L135=Assumptions!$B$27,50,IF(L135=Assumptions!$B$28,75,100))))</f>
        <v>0</v>
      </c>
      <c r="P135" s="21" t="n">
        <f aca="false">M135*Assumptions!$B$4+N135*Assumptions!$B$5+O135*Assumptions!$B$6</f>
        <v>15</v>
      </c>
      <c r="Q135" s="21" t="n">
        <f aca="false">IF(J135&lt;=Assumptions!$B$8,0,P135)</f>
        <v>0</v>
      </c>
      <c r="R135" s="2" t="str">
        <f aca="false">IF(Q135&gt;=Assumptions!$B$9,"High",IF(Q135&gt;=Assumptions!$B$10,"Medium","Low"))</f>
        <v>Low</v>
      </c>
      <c r="S135" s="21" t="n">
        <f aca="false">(N135*Assumptions!$B$5+O135*Assumptions!$B$6)/(Assumptions!$B$5+Assumptions!$B$6)</f>
        <v>30</v>
      </c>
      <c r="T135" s="2" t="str">
        <f aca="false">IF(AND(J135&gt;Assumptions!$B$8,G135&lt;=Assumptions!$B$30),"Low confidence","")</f>
        <v/>
      </c>
      <c r="U135" s="2" t="n">
        <f aca="false">(J135&gt;40)+(F135&gt;2000)+(K135&lt;10)+(L135=0)</f>
        <v>0</v>
      </c>
      <c r="V135" s="21" t="n">
        <f aca="false">IF(J135&lt;20,0,IF(J135&lt;40,25,M135))*Assumptions!$B$4+N135*Assumptions!$B$5+O135*Assumptions!$B$6</f>
        <v>15</v>
      </c>
      <c r="W135" s="2" t="str">
        <f aca="false">IF(V135&gt;=70,"High",IF(V135&gt;=40,"Medium","Low"))</f>
        <v>Low</v>
      </c>
    </row>
    <row r="136" customFormat="false" ht="15" hidden="false" customHeight="false" outlineLevel="0" collapsed="false">
      <c r="A136" s="2" t="s">
        <v>746</v>
      </c>
      <c r="B136" s="2" t="s">
        <v>1571</v>
      </c>
      <c r="C136" s="2" t="s">
        <v>1640</v>
      </c>
      <c r="D136" s="2" t="s">
        <v>1572</v>
      </c>
      <c r="E136" s="2" t="n">
        <v>6</v>
      </c>
      <c r="F136" s="9" t="n">
        <v>353</v>
      </c>
      <c r="G136" s="2" t="n">
        <v>2</v>
      </c>
      <c r="H136" s="2" t="n">
        <v>0</v>
      </c>
      <c r="I136" s="2" t="n">
        <v>2</v>
      </c>
      <c r="J136" s="2" t="n">
        <v>11</v>
      </c>
      <c r="K136" s="2" t="n">
        <v>7</v>
      </c>
      <c r="L136" s="2" t="n">
        <v>0</v>
      </c>
      <c r="M136" s="2" t="n">
        <f aca="false">IF(J136&lt;=Assumptions!$B$13,0,IF(J136&lt;Assumptions!$B$14,25,IF(J136&lt;Assumptions!$B$15,50,IF(J136&lt;Assumptions!$B$16,75,100))))</f>
        <v>0</v>
      </c>
      <c r="N136" s="2" t="n">
        <f aca="false">IF(K136&gt;Assumptions!$B$19,0,IF(K136&gt;=Assumptions!$B$20,25,IF(K136&gt;=Assumptions!$B$21,50,IF(K136&gt;=Assumptions!$B$22,75,100))))</f>
        <v>75</v>
      </c>
      <c r="O136" s="2" t="n">
        <f aca="false">IF(L136&gt;=Assumptions!$B$25,0,IF(L136&gt;=Assumptions!$B$26,25,IF(L136=Assumptions!$B$27,50,IF(L136=Assumptions!$B$28,75,100))))</f>
        <v>100</v>
      </c>
      <c r="P136" s="21" t="n">
        <f aca="false">M136*Assumptions!$B$4+N136*Assumptions!$B$5+O136*Assumptions!$B$6</f>
        <v>42.5</v>
      </c>
      <c r="Q136" s="21" t="n">
        <f aca="false">IF(J136&lt;=Assumptions!$B$8,0,P136)</f>
        <v>0</v>
      </c>
      <c r="R136" s="2" t="str">
        <f aca="false">IF(Q136&gt;=Assumptions!$B$9,"High",IF(Q136&gt;=Assumptions!$B$10,"Medium","Low"))</f>
        <v>Low</v>
      </c>
      <c r="S136" s="21" t="n">
        <f aca="false">(N136*Assumptions!$B$5+O136*Assumptions!$B$6)/(Assumptions!$B$5+Assumptions!$B$6)</f>
        <v>85</v>
      </c>
      <c r="T136" s="2" t="str">
        <f aca="false">IF(AND(J136&gt;Assumptions!$B$8,G136&lt;=Assumptions!$B$30),"Low confidence","")</f>
        <v/>
      </c>
      <c r="U136" s="2" t="n">
        <f aca="false">(J136&gt;40)+(F136&gt;2000)+(K136&lt;10)+(L136=0)</f>
        <v>2</v>
      </c>
      <c r="V136" s="21" t="n">
        <f aca="false">IF(J136&lt;20,0,IF(J136&lt;40,25,M136))*Assumptions!$B$4+N136*Assumptions!$B$5+O136*Assumptions!$B$6</f>
        <v>42.5</v>
      </c>
      <c r="W136" s="2" t="str">
        <f aca="false">IF(V136&gt;=70,"High",IF(V136&gt;=40,"Medium","Low"))</f>
        <v>Medium</v>
      </c>
    </row>
    <row r="137" customFormat="false" ht="15" hidden="false" customHeight="false" outlineLevel="0" collapsed="false">
      <c r="A137" s="2" t="s">
        <v>750</v>
      </c>
      <c r="B137" s="2" t="s">
        <v>1571</v>
      </c>
      <c r="C137" s="2" t="s">
        <v>1640</v>
      </c>
      <c r="D137" s="2" t="s">
        <v>1572</v>
      </c>
      <c r="E137" s="2" t="n">
        <v>7</v>
      </c>
      <c r="F137" s="9" t="n">
        <v>345</v>
      </c>
      <c r="G137" s="2" t="n">
        <v>2</v>
      </c>
      <c r="H137" s="2" t="n">
        <v>1</v>
      </c>
      <c r="I137" s="2" t="n">
        <v>1</v>
      </c>
      <c r="J137" s="2" t="n">
        <v>48</v>
      </c>
      <c r="K137" s="2" t="n">
        <v>3</v>
      </c>
      <c r="L137" s="2" t="n">
        <v>1</v>
      </c>
      <c r="M137" s="2" t="n">
        <f aca="false">IF(J137&lt;=Assumptions!$B$13,0,IF(J137&lt;Assumptions!$B$14,25,IF(J137&lt;Assumptions!$B$15,50,IF(J137&lt;Assumptions!$B$16,75,100))))</f>
        <v>50</v>
      </c>
      <c r="N137" s="2" t="n">
        <f aca="false">IF(K137&gt;Assumptions!$B$19,0,IF(K137&gt;=Assumptions!$B$20,25,IF(K137&gt;=Assumptions!$B$21,50,IF(K137&gt;=Assumptions!$B$22,75,100))))</f>
        <v>100</v>
      </c>
      <c r="O137" s="2" t="n">
        <f aca="false">IF(L137&gt;=Assumptions!$B$25,0,IF(L137&gt;=Assumptions!$B$26,25,IF(L137=Assumptions!$B$27,50,IF(L137=Assumptions!$B$28,75,100))))</f>
        <v>75</v>
      </c>
      <c r="P137" s="21" t="n">
        <f aca="false">M137*Assumptions!$B$4+N137*Assumptions!$B$5+O137*Assumptions!$B$6</f>
        <v>70</v>
      </c>
      <c r="Q137" s="21" t="n">
        <f aca="false">IF(J137&lt;=Assumptions!$B$8,0,P137)</f>
        <v>70</v>
      </c>
      <c r="R137" s="2" t="str">
        <f aca="false">IF(Q137&gt;=Assumptions!$B$9,"High",IF(Q137&gt;=Assumptions!$B$10,"Medium","Low"))</f>
        <v>High</v>
      </c>
      <c r="S137" s="21" t="n">
        <f aca="false">(N137*Assumptions!$B$5+O137*Assumptions!$B$6)/(Assumptions!$B$5+Assumptions!$B$6)</f>
        <v>90</v>
      </c>
      <c r="T137" s="2" t="str">
        <f aca="false">IF(AND(J137&gt;Assumptions!$B$8,G137&lt;=Assumptions!$B$30),"Low confidence","")</f>
        <v>Low confidence</v>
      </c>
      <c r="U137" s="2" t="n">
        <f aca="false">(J137&gt;40)+(F137&gt;2000)+(K137&lt;10)+(L137=0)</f>
        <v>2</v>
      </c>
      <c r="V137" s="21" t="n">
        <f aca="false">IF(J137&lt;20,0,IF(J137&lt;40,25,M137))*Assumptions!$B$4+N137*Assumptions!$B$5+O137*Assumptions!$B$6</f>
        <v>70</v>
      </c>
      <c r="W137" s="2" t="str">
        <f aca="false">IF(V137&gt;=70,"High",IF(V137&gt;=40,"Medium","Low"))</f>
        <v>High</v>
      </c>
    </row>
    <row r="138" customFormat="false" ht="15" hidden="false" customHeight="false" outlineLevel="0" collapsed="false">
      <c r="A138" s="2" t="s">
        <v>754</v>
      </c>
      <c r="B138" s="2" t="s">
        <v>1571</v>
      </c>
      <c r="C138" s="2" t="s">
        <v>1640</v>
      </c>
      <c r="D138" s="2" t="s">
        <v>1572</v>
      </c>
      <c r="E138" s="2" t="n">
        <v>16</v>
      </c>
      <c r="F138" s="9" t="n">
        <v>344</v>
      </c>
      <c r="G138" s="2" t="n">
        <v>2</v>
      </c>
      <c r="H138" s="2" t="n">
        <v>0</v>
      </c>
      <c r="I138" s="2" t="n">
        <v>2</v>
      </c>
      <c r="J138" s="2" t="n">
        <v>7</v>
      </c>
      <c r="K138" s="2" t="n">
        <v>18</v>
      </c>
      <c r="L138" s="2" t="n">
        <v>50</v>
      </c>
      <c r="M138" s="2" t="n">
        <f aca="false">IF(J138&lt;=Assumptions!$B$13,0,IF(J138&lt;Assumptions!$B$14,25,IF(J138&lt;Assumptions!$B$15,50,IF(J138&lt;Assumptions!$B$16,75,100))))</f>
        <v>0</v>
      </c>
      <c r="N138" s="2" t="n">
        <f aca="false">IF(K138&gt;Assumptions!$B$19,0,IF(K138&gt;=Assumptions!$B$20,25,IF(K138&gt;=Assumptions!$B$21,50,IF(K138&gt;=Assumptions!$B$22,75,100))))</f>
        <v>50</v>
      </c>
      <c r="O138" s="2" t="n">
        <f aca="false">IF(L138&gt;=Assumptions!$B$25,0,IF(L138&gt;=Assumptions!$B$26,25,IF(L138=Assumptions!$B$27,50,IF(L138=Assumptions!$B$28,75,100))))</f>
        <v>0</v>
      </c>
      <c r="P138" s="21" t="n">
        <f aca="false">M138*Assumptions!$B$4+N138*Assumptions!$B$5+O138*Assumptions!$B$6</f>
        <v>15</v>
      </c>
      <c r="Q138" s="21" t="n">
        <f aca="false">IF(J138&lt;=Assumptions!$B$8,0,P138)</f>
        <v>0</v>
      </c>
      <c r="R138" s="2" t="str">
        <f aca="false">IF(Q138&gt;=Assumptions!$B$9,"High",IF(Q138&gt;=Assumptions!$B$10,"Medium","Low"))</f>
        <v>Low</v>
      </c>
      <c r="S138" s="21" t="n">
        <f aca="false">(N138*Assumptions!$B$5+O138*Assumptions!$B$6)/(Assumptions!$B$5+Assumptions!$B$6)</f>
        <v>30</v>
      </c>
      <c r="T138" s="2" t="str">
        <f aca="false">IF(AND(J138&gt;Assumptions!$B$8,G138&lt;=Assumptions!$B$30),"Low confidence","")</f>
        <v/>
      </c>
      <c r="U138" s="2" t="n">
        <f aca="false">(J138&gt;40)+(F138&gt;2000)+(K138&lt;10)+(L138=0)</f>
        <v>0</v>
      </c>
      <c r="V138" s="21" t="n">
        <f aca="false">IF(J138&lt;20,0,IF(J138&lt;40,25,M138))*Assumptions!$B$4+N138*Assumptions!$B$5+O138*Assumptions!$B$6</f>
        <v>15</v>
      </c>
      <c r="W138" s="2" t="str">
        <f aca="false">IF(V138&gt;=70,"High",IF(V138&gt;=40,"Medium","Low"))</f>
        <v>Low</v>
      </c>
    </row>
    <row r="139" customFormat="false" ht="15" hidden="false" customHeight="false" outlineLevel="0" collapsed="false">
      <c r="A139" s="2" t="s">
        <v>762</v>
      </c>
      <c r="B139" s="2" t="s">
        <v>1571</v>
      </c>
      <c r="C139" s="2" t="s">
        <v>1641</v>
      </c>
      <c r="D139" s="2"/>
      <c r="E139" s="2" t="n">
        <v>6</v>
      </c>
      <c r="F139" s="9" t="n">
        <v>329</v>
      </c>
      <c r="G139" s="2" t="n">
        <v>2</v>
      </c>
      <c r="H139" s="2" t="n">
        <v>0</v>
      </c>
      <c r="I139" s="2" t="n">
        <v>2</v>
      </c>
      <c r="J139" s="2" t="n">
        <v>15</v>
      </c>
      <c r="K139" s="2" t="n">
        <v>41</v>
      </c>
      <c r="L139" s="2" t="n">
        <v>1</v>
      </c>
      <c r="M139" s="2" t="n">
        <f aca="false">IF(J139&lt;=Assumptions!$B$13,0,IF(J139&lt;Assumptions!$B$14,25,IF(J139&lt;Assumptions!$B$15,50,IF(J139&lt;Assumptions!$B$16,75,100))))</f>
        <v>0</v>
      </c>
      <c r="N139" s="2" t="n">
        <f aca="false">IF(K139&gt;Assumptions!$B$19,0,IF(K139&gt;=Assumptions!$B$20,25,IF(K139&gt;=Assumptions!$B$21,50,IF(K139&gt;=Assumptions!$B$22,75,100))))</f>
        <v>0</v>
      </c>
      <c r="O139" s="2" t="n">
        <f aca="false">IF(L139&gt;=Assumptions!$B$25,0,IF(L139&gt;=Assumptions!$B$26,25,IF(L139=Assumptions!$B$27,50,IF(L139=Assumptions!$B$28,75,100))))</f>
        <v>75</v>
      </c>
      <c r="P139" s="21" t="n">
        <f aca="false">M139*Assumptions!$B$4+N139*Assumptions!$B$5+O139*Assumptions!$B$6</f>
        <v>15</v>
      </c>
      <c r="Q139" s="21" t="n">
        <f aca="false">IF(J139&lt;=Assumptions!$B$8,0,P139)</f>
        <v>0</v>
      </c>
      <c r="R139" s="2" t="str">
        <f aca="false">IF(Q139&gt;=Assumptions!$B$9,"High",IF(Q139&gt;=Assumptions!$B$10,"Medium","Low"))</f>
        <v>Low</v>
      </c>
      <c r="S139" s="21" t="n">
        <f aca="false">(N139*Assumptions!$B$5+O139*Assumptions!$B$6)/(Assumptions!$B$5+Assumptions!$B$6)</f>
        <v>30</v>
      </c>
      <c r="T139" s="2" t="str">
        <f aca="false">IF(AND(J139&gt;Assumptions!$B$8,G139&lt;=Assumptions!$B$30),"Low confidence","")</f>
        <v/>
      </c>
      <c r="U139" s="2" t="n">
        <f aca="false">(J139&gt;40)+(F139&gt;2000)+(K139&lt;10)+(L139=0)</f>
        <v>0</v>
      </c>
      <c r="V139" s="21" t="n">
        <f aca="false">IF(J139&lt;20,0,IF(J139&lt;40,25,M139))*Assumptions!$B$4+N139*Assumptions!$B$5+O139*Assumptions!$B$6</f>
        <v>15</v>
      </c>
      <c r="W139" s="2" t="str">
        <f aca="false">IF(V139&gt;=70,"High",IF(V139&gt;=40,"Medium","Low"))</f>
        <v>Low</v>
      </c>
    </row>
    <row r="140" customFormat="false" ht="15" hidden="false" customHeight="false" outlineLevel="0" collapsed="false">
      <c r="A140" s="2" t="s">
        <v>764</v>
      </c>
      <c r="B140" s="2" t="s">
        <v>1571</v>
      </c>
      <c r="C140" s="2" t="s">
        <v>1640</v>
      </c>
      <c r="D140" s="2" t="s">
        <v>1572</v>
      </c>
      <c r="E140" s="2" t="n">
        <v>7</v>
      </c>
      <c r="F140" s="9" t="n">
        <v>322</v>
      </c>
      <c r="G140" s="2" t="n">
        <v>1</v>
      </c>
      <c r="H140" s="2" t="n">
        <v>0</v>
      </c>
      <c r="I140" s="2" t="n">
        <v>1</v>
      </c>
      <c r="J140" s="2" t="n">
        <v>19</v>
      </c>
      <c r="K140" s="2" t="n">
        <v>8</v>
      </c>
      <c r="L140" s="2" t="n">
        <v>0</v>
      </c>
      <c r="M140" s="2" t="n">
        <f aca="false">IF(J140&lt;=Assumptions!$B$13,0,IF(J140&lt;Assumptions!$B$14,25,IF(J140&lt;Assumptions!$B$15,50,IF(J140&lt;Assumptions!$B$16,75,100))))</f>
        <v>0</v>
      </c>
      <c r="N140" s="2" t="n">
        <f aca="false">IF(K140&gt;Assumptions!$B$19,0,IF(K140&gt;=Assumptions!$B$20,25,IF(K140&gt;=Assumptions!$B$21,50,IF(K140&gt;=Assumptions!$B$22,75,100))))</f>
        <v>75</v>
      </c>
      <c r="O140" s="2" t="n">
        <f aca="false">IF(L140&gt;=Assumptions!$B$25,0,IF(L140&gt;=Assumptions!$B$26,25,IF(L140=Assumptions!$B$27,50,IF(L140=Assumptions!$B$28,75,100))))</f>
        <v>100</v>
      </c>
      <c r="P140" s="21" t="n">
        <f aca="false">M140*Assumptions!$B$4+N140*Assumptions!$B$5+O140*Assumptions!$B$6</f>
        <v>42.5</v>
      </c>
      <c r="Q140" s="21" t="n">
        <f aca="false">IF(J140&lt;=Assumptions!$B$8,0,P140)</f>
        <v>0</v>
      </c>
      <c r="R140" s="2" t="str">
        <f aca="false">IF(Q140&gt;=Assumptions!$B$9,"High",IF(Q140&gt;=Assumptions!$B$10,"Medium","Low"))</f>
        <v>Low</v>
      </c>
      <c r="S140" s="21" t="n">
        <f aca="false">(N140*Assumptions!$B$5+O140*Assumptions!$B$6)/(Assumptions!$B$5+Assumptions!$B$6)</f>
        <v>85</v>
      </c>
      <c r="T140" s="2" t="str">
        <f aca="false">IF(AND(J140&gt;Assumptions!$B$8,G140&lt;=Assumptions!$B$30),"Low confidence","")</f>
        <v/>
      </c>
      <c r="U140" s="2" t="n">
        <f aca="false">(J140&gt;40)+(F140&gt;2000)+(K140&lt;10)+(L140=0)</f>
        <v>2</v>
      </c>
      <c r="V140" s="21" t="n">
        <f aca="false">IF(J140&lt;20,0,IF(J140&lt;40,25,M140))*Assumptions!$B$4+N140*Assumptions!$B$5+O140*Assumptions!$B$6</f>
        <v>42.5</v>
      </c>
      <c r="W140" s="2" t="str">
        <f aca="false">IF(V140&gt;=70,"High",IF(V140&gt;=40,"Medium","Low"))</f>
        <v>Medium</v>
      </c>
    </row>
    <row r="141" customFormat="false" ht="15" hidden="false" customHeight="false" outlineLevel="0" collapsed="false">
      <c r="A141" s="2" t="s">
        <v>768</v>
      </c>
      <c r="B141" s="2" t="s">
        <v>1571</v>
      </c>
      <c r="C141" s="2" t="s">
        <v>1640</v>
      </c>
      <c r="D141" s="2" t="s">
        <v>1572</v>
      </c>
      <c r="E141" s="2" t="n">
        <v>6</v>
      </c>
      <c r="F141" s="9" t="n">
        <v>320</v>
      </c>
      <c r="G141" s="2" t="n">
        <v>1</v>
      </c>
      <c r="H141" s="2" t="n">
        <v>0</v>
      </c>
      <c r="I141" s="2" t="n">
        <v>1</v>
      </c>
      <c r="J141" s="2" t="n">
        <v>11</v>
      </c>
      <c r="K141" s="2" t="n">
        <v>0</v>
      </c>
      <c r="L141" s="2" t="n">
        <v>0</v>
      </c>
      <c r="M141" s="2" t="n">
        <f aca="false">IF(J141&lt;=Assumptions!$B$13,0,IF(J141&lt;Assumptions!$B$14,25,IF(J141&lt;Assumptions!$B$15,50,IF(J141&lt;Assumptions!$B$16,75,100))))</f>
        <v>0</v>
      </c>
      <c r="N141" s="2" t="n">
        <f aca="false">IF(K141&gt;Assumptions!$B$19,0,IF(K141&gt;=Assumptions!$B$20,25,IF(K141&gt;=Assumptions!$B$21,50,IF(K141&gt;=Assumptions!$B$22,75,100))))</f>
        <v>100</v>
      </c>
      <c r="O141" s="2" t="n">
        <f aca="false">IF(L141&gt;=Assumptions!$B$25,0,IF(L141&gt;=Assumptions!$B$26,25,IF(L141=Assumptions!$B$27,50,IF(L141=Assumptions!$B$28,75,100))))</f>
        <v>100</v>
      </c>
      <c r="P141" s="21" t="n">
        <f aca="false">M141*Assumptions!$B$4+N141*Assumptions!$B$5+O141*Assumptions!$B$6</f>
        <v>50</v>
      </c>
      <c r="Q141" s="21" t="n">
        <f aca="false">IF(J141&lt;=Assumptions!$B$8,0,P141)</f>
        <v>0</v>
      </c>
      <c r="R141" s="2" t="str">
        <f aca="false">IF(Q141&gt;=Assumptions!$B$9,"High",IF(Q141&gt;=Assumptions!$B$10,"Medium","Low"))</f>
        <v>Low</v>
      </c>
      <c r="S141" s="21" t="n">
        <f aca="false">(N141*Assumptions!$B$5+O141*Assumptions!$B$6)/(Assumptions!$B$5+Assumptions!$B$6)</f>
        <v>100</v>
      </c>
      <c r="T141" s="2" t="str">
        <f aca="false">IF(AND(J141&gt;Assumptions!$B$8,G141&lt;=Assumptions!$B$30),"Low confidence","")</f>
        <v/>
      </c>
      <c r="U141" s="2" t="n">
        <f aca="false">(J141&gt;40)+(F141&gt;2000)+(K141&lt;10)+(L141=0)</f>
        <v>2</v>
      </c>
      <c r="V141" s="21" t="n">
        <f aca="false">IF(J141&lt;20,0,IF(J141&lt;40,25,M141))*Assumptions!$B$4+N141*Assumptions!$B$5+O141*Assumptions!$B$6</f>
        <v>50</v>
      </c>
      <c r="W141" s="2" t="str">
        <f aca="false">IF(V141&gt;=70,"High",IF(V141&gt;=40,"Medium","Low"))</f>
        <v>Medium</v>
      </c>
    </row>
    <row r="142" customFormat="false" ht="15" hidden="false" customHeight="false" outlineLevel="0" collapsed="false">
      <c r="A142" s="2" t="s">
        <v>772</v>
      </c>
      <c r="B142" s="2" t="s">
        <v>1571</v>
      </c>
      <c r="C142" s="2" t="s">
        <v>1640</v>
      </c>
      <c r="D142" s="2" t="s">
        <v>1572</v>
      </c>
      <c r="E142" s="2" t="n">
        <v>11</v>
      </c>
      <c r="F142" s="9" t="n">
        <v>313</v>
      </c>
      <c r="G142" s="2" t="n">
        <v>1</v>
      </c>
      <c r="H142" s="2" t="n">
        <v>0</v>
      </c>
      <c r="I142" s="2" t="n">
        <v>1</v>
      </c>
      <c r="J142" s="2" t="n">
        <v>13</v>
      </c>
      <c r="K142" s="2" t="n">
        <v>23</v>
      </c>
      <c r="L142" s="2" t="n">
        <v>10</v>
      </c>
      <c r="M142" s="2" t="n">
        <f aca="false">IF(J142&lt;=Assumptions!$B$13,0,IF(J142&lt;Assumptions!$B$14,25,IF(J142&lt;Assumptions!$B$15,50,IF(J142&lt;Assumptions!$B$16,75,100))))</f>
        <v>0</v>
      </c>
      <c r="N142" s="2" t="n">
        <f aca="false">IF(K142&gt;Assumptions!$B$19,0,IF(K142&gt;=Assumptions!$B$20,25,IF(K142&gt;=Assumptions!$B$21,50,IF(K142&gt;=Assumptions!$B$22,75,100))))</f>
        <v>25</v>
      </c>
      <c r="O142" s="2" t="n">
        <f aca="false">IF(L142&gt;=Assumptions!$B$25,0,IF(L142&gt;=Assumptions!$B$26,25,IF(L142=Assumptions!$B$27,50,IF(L142=Assumptions!$B$28,75,100))))</f>
        <v>0</v>
      </c>
      <c r="P142" s="21" t="n">
        <f aca="false">M142*Assumptions!$B$4+N142*Assumptions!$B$5+O142*Assumptions!$B$6</f>
        <v>7.5</v>
      </c>
      <c r="Q142" s="21" t="n">
        <f aca="false">IF(J142&lt;=Assumptions!$B$8,0,P142)</f>
        <v>0</v>
      </c>
      <c r="R142" s="2" t="str">
        <f aca="false">IF(Q142&gt;=Assumptions!$B$9,"High",IF(Q142&gt;=Assumptions!$B$10,"Medium","Low"))</f>
        <v>Low</v>
      </c>
      <c r="S142" s="21" t="n">
        <f aca="false">(N142*Assumptions!$B$5+O142*Assumptions!$B$6)/(Assumptions!$B$5+Assumptions!$B$6)</f>
        <v>15</v>
      </c>
      <c r="T142" s="2" t="str">
        <f aca="false">IF(AND(J142&gt;Assumptions!$B$8,G142&lt;=Assumptions!$B$30),"Low confidence","")</f>
        <v/>
      </c>
      <c r="U142" s="2" t="n">
        <f aca="false">(J142&gt;40)+(F142&gt;2000)+(K142&lt;10)+(L142=0)</f>
        <v>0</v>
      </c>
      <c r="V142" s="21" t="n">
        <f aca="false">IF(J142&lt;20,0,IF(J142&lt;40,25,M142))*Assumptions!$B$4+N142*Assumptions!$B$5+O142*Assumptions!$B$6</f>
        <v>7.5</v>
      </c>
      <c r="W142" s="2" t="str">
        <f aca="false">IF(V142&gt;=70,"High",IF(V142&gt;=40,"Medium","Low"))</f>
        <v>Low</v>
      </c>
    </row>
    <row r="143" customFormat="false" ht="15" hidden="false" customHeight="false" outlineLevel="0" collapsed="false">
      <c r="A143" s="2" t="s">
        <v>774</v>
      </c>
      <c r="B143" s="2" t="s">
        <v>1571</v>
      </c>
      <c r="C143" s="2" t="s">
        <v>1640</v>
      </c>
      <c r="D143" s="2" t="s">
        <v>1572</v>
      </c>
      <c r="E143" s="2" t="n">
        <v>6</v>
      </c>
      <c r="F143" s="9" t="n">
        <v>312</v>
      </c>
      <c r="G143" s="2" t="n">
        <v>1</v>
      </c>
      <c r="H143" s="2" t="n">
        <v>0</v>
      </c>
      <c r="I143" s="2" t="n">
        <v>1</v>
      </c>
      <c r="J143" s="2" t="n">
        <v>17</v>
      </c>
      <c r="K143" s="2" t="n">
        <v>3</v>
      </c>
      <c r="L143" s="2" t="n">
        <v>0</v>
      </c>
      <c r="M143" s="2" t="n">
        <f aca="false">IF(J143&lt;=Assumptions!$B$13,0,IF(J143&lt;Assumptions!$B$14,25,IF(J143&lt;Assumptions!$B$15,50,IF(J143&lt;Assumptions!$B$16,75,100))))</f>
        <v>0</v>
      </c>
      <c r="N143" s="2" t="n">
        <f aca="false">IF(K143&gt;Assumptions!$B$19,0,IF(K143&gt;=Assumptions!$B$20,25,IF(K143&gt;=Assumptions!$B$21,50,IF(K143&gt;=Assumptions!$B$22,75,100))))</f>
        <v>100</v>
      </c>
      <c r="O143" s="2" t="n">
        <f aca="false">IF(L143&gt;=Assumptions!$B$25,0,IF(L143&gt;=Assumptions!$B$26,25,IF(L143=Assumptions!$B$27,50,IF(L143=Assumptions!$B$28,75,100))))</f>
        <v>100</v>
      </c>
      <c r="P143" s="21" t="n">
        <f aca="false">M143*Assumptions!$B$4+N143*Assumptions!$B$5+O143*Assumptions!$B$6</f>
        <v>50</v>
      </c>
      <c r="Q143" s="21" t="n">
        <f aca="false">IF(J143&lt;=Assumptions!$B$8,0,P143)</f>
        <v>0</v>
      </c>
      <c r="R143" s="2" t="str">
        <f aca="false">IF(Q143&gt;=Assumptions!$B$9,"High",IF(Q143&gt;=Assumptions!$B$10,"Medium","Low"))</f>
        <v>Low</v>
      </c>
      <c r="S143" s="21" t="n">
        <f aca="false">(N143*Assumptions!$B$5+O143*Assumptions!$B$6)/(Assumptions!$B$5+Assumptions!$B$6)</f>
        <v>100</v>
      </c>
      <c r="T143" s="2" t="str">
        <f aca="false">IF(AND(J143&gt;Assumptions!$B$8,G143&lt;=Assumptions!$B$30),"Low confidence","")</f>
        <v/>
      </c>
      <c r="U143" s="2" t="n">
        <f aca="false">(J143&gt;40)+(F143&gt;2000)+(K143&lt;10)+(L143=0)</f>
        <v>2</v>
      </c>
      <c r="V143" s="21" t="n">
        <f aca="false">IF(J143&lt;20,0,IF(J143&lt;40,25,M143))*Assumptions!$B$4+N143*Assumptions!$B$5+O143*Assumptions!$B$6</f>
        <v>50</v>
      </c>
      <c r="W143" s="2" t="str">
        <f aca="false">IF(V143&gt;=70,"High",IF(V143&gt;=40,"Medium","Low"))</f>
        <v>Medium</v>
      </c>
    </row>
    <row r="144" customFormat="false" ht="15" hidden="false" customHeight="false" outlineLevel="0" collapsed="false">
      <c r="A144" s="2" t="s">
        <v>778</v>
      </c>
      <c r="B144" s="2" t="s">
        <v>1571</v>
      </c>
      <c r="C144" s="2" t="s">
        <v>1640</v>
      </c>
      <c r="D144" s="2" t="s">
        <v>1572</v>
      </c>
      <c r="E144" s="2" t="n">
        <v>14</v>
      </c>
      <c r="F144" s="9" t="n">
        <v>308</v>
      </c>
      <c r="G144" s="2" t="n">
        <v>1</v>
      </c>
      <c r="H144" s="2" t="n">
        <v>0</v>
      </c>
      <c r="I144" s="2" t="n">
        <v>1</v>
      </c>
      <c r="J144" s="2" t="n">
        <v>14</v>
      </c>
      <c r="K144" s="2" t="n">
        <v>18</v>
      </c>
      <c r="L144" s="2" t="n">
        <v>1</v>
      </c>
      <c r="M144" s="2" t="n">
        <f aca="false">IF(J144&lt;=Assumptions!$B$13,0,IF(J144&lt;Assumptions!$B$14,25,IF(J144&lt;Assumptions!$B$15,50,IF(J144&lt;Assumptions!$B$16,75,100))))</f>
        <v>0</v>
      </c>
      <c r="N144" s="2" t="n">
        <f aca="false">IF(K144&gt;Assumptions!$B$19,0,IF(K144&gt;=Assumptions!$B$20,25,IF(K144&gt;=Assumptions!$B$21,50,IF(K144&gt;=Assumptions!$B$22,75,100))))</f>
        <v>50</v>
      </c>
      <c r="O144" s="2" t="n">
        <f aca="false">IF(L144&gt;=Assumptions!$B$25,0,IF(L144&gt;=Assumptions!$B$26,25,IF(L144=Assumptions!$B$27,50,IF(L144=Assumptions!$B$28,75,100))))</f>
        <v>75</v>
      </c>
      <c r="P144" s="21" t="n">
        <f aca="false">M144*Assumptions!$B$4+N144*Assumptions!$B$5+O144*Assumptions!$B$6</f>
        <v>30</v>
      </c>
      <c r="Q144" s="21" t="n">
        <f aca="false">IF(J144&lt;=Assumptions!$B$8,0,P144)</f>
        <v>0</v>
      </c>
      <c r="R144" s="2" t="str">
        <f aca="false">IF(Q144&gt;=Assumptions!$B$9,"High",IF(Q144&gt;=Assumptions!$B$10,"Medium","Low"))</f>
        <v>Low</v>
      </c>
      <c r="S144" s="21" t="n">
        <f aca="false">(N144*Assumptions!$B$5+O144*Assumptions!$B$6)/(Assumptions!$B$5+Assumptions!$B$6)</f>
        <v>60</v>
      </c>
      <c r="T144" s="2" t="str">
        <f aca="false">IF(AND(J144&gt;Assumptions!$B$8,G144&lt;=Assumptions!$B$30),"Low confidence","")</f>
        <v/>
      </c>
      <c r="U144" s="2" t="n">
        <f aca="false">(J144&gt;40)+(F144&gt;2000)+(K144&lt;10)+(L144=0)</f>
        <v>0</v>
      </c>
      <c r="V144" s="21" t="n">
        <f aca="false">IF(J144&lt;20,0,IF(J144&lt;40,25,M144))*Assumptions!$B$4+N144*Assumptions!$B$5+O144*Assumptions!$B$6</f>
        <v>30</v>
      </c>
      <c r="W144" s="2" t="str">
        <f aca="false">IF(V144&gt;=70,"High",IF(V144&gt;=40,"Medium","Low"))</f>
        <v>Low</v>
      </c>
    </row>
    <row r="145" customFormat="false" ht="15" hidden="false" customHeight="false" outlineLevel="0" collapsed="false">
      <c r="A145" s="2" t="s">
        <v>782</v>
      </c>
      <c r="B145" s="2" t="s">
        <v>1571</v>
      </c>
      <c r="C145" s="2" t="s">
        <v>1640</v>
      </c>
      <c r="D145" s="2" t="s">
        <v>1572</v>
      </c>
      <c r="E145" s="2" t="n">
        <v>6</v>
      </c>
      <c r="F145" s="9" t="n">
        <v>306</v>
      </c>
      <c r="G145" s="2" t="n">
        <v>1</v>
      </c>
      <c r="H145" s="2" t="n">
        <v>0</v>
      </c>
      <c r="I145" s="2" t="n">
        <v>1</v>
      </c>
      <c r="J145" s="2" t="n">
        <v>1</v>
      </c>
      <c r="K145" s="2" t="n">
        <v>13</v>
      </c>
      <c r="L145" s="2" t="n">
        <v>4</v>
      </c>
      <c r="M145" s="2" t="n">
        <f aca="false">IF(J145&lt;=Assumptions!$B$13,0,IF(J145&lt;Assumptions!$B$14,25,IF(J145&lt;Assumptions!$B$15,50,IF(J145&lt;Assumptions!$B$16,75,100))))</f>
        <v>0</v>
      </c>
      <c r="N145" s="2" t="n">
        <f aca="false">IF(K145&gt;Assumptions!$B$19,0,IF(K145&gt;=Assumptions!$B$20,25,IF(K145&gt;=Assumptions!$B$21,50,IF(K145&gt;=Assumptions!$B$22,75,100))))</f>
        <v>50</v>
      </c>
      <c r="O145" s="2" t="n">
        <f aca="false">IF(L145&gt;=Assumptions!$B$25,0,IF(L145&gt;=Assumptions!$B$26,25,IF(L145=Assumptions!$B$27,50,IF(L145=Assumptions!$B$28,75,100))))</f>
        <v>25</v>
      </c>
      <c r="P145" s="21" t="n">
        <f aca="false">M145*Assumptions!$B$4+N145*Assumptions!$B$5+O145*Assumptions!$B$6</f>
        <v>20</v>
      </c>
      <c r="Q145" s="21" t="n">
        <f aca="false">IF(J145&lt;=Assumptions!$B$8,0,P145)</f>
        <v>0</v>
      </c>
      <c r="R145" s="2" t="str">
        <f aca="false">IF(Q145&gt;=Assumptions!$B$9,"High",IF(Q145&gt;=Assumptions!$B$10,"Medium","Low"))</f>
        <v>Low</v>
      </c>
      <c r="S145" s="21" t="n">
        <f aca="false">(N145*Assumptions!$B$5+O145*Assumptions!$B$6)/(Assumptions!$B$5+Assumptions!$B$6)</f>
        <v>40</v>
      </c>
      <c r="T145" s="2" t="str">
        <f aca="false">IF(AND(J145&gt;Assumptions!$B$8,G145&lt;=Assumptions!$B$30),"Low confidence","")</f>
        <v/>
      </c>
      <c r="U145" s="2" t="n">
        <f aca="false">(J145&gt;40)+(F145&gt;2000)+(K145&lt;10)+(L145=0)</f>
        <v>0</v>
      </c>
      <c r="V145" s="21" t="n">
        <f aca="false">IF(J145&lt;20,0,IF(J145&lt;40,25,M145))*Assumptions!$B$4+N145*Assumptions!$B$5+O145*Assumptions!$B$6</f>
        <v>20</v>
      </c>
      <c r="W145" s="2" t="str">
        <f aca="false">IF(V145&gt;=70,"High",IF(V145&gt;=40,"Medium","Low"))</f>
        <v>Low</v>
      </c>
    </row>
    <row r="146" customFormat="false" ht="15" hidden="false" customHeight="false" outlineLevel="0" collapsed="false">
      <c r="A146" s="2" t="s">
        <v>784</v>
      </c>
      <c r="B146" s="2" t="s">
        <v>1571</v>
      </c>
      <c r="C146" s="2" t="s">
        <v>1640</v>
      </c>
      <c r="D146" s="2" t="s">
        <v>1572</v>
      </c>
      <c r="E146" s="2" t="n">
        <v>11</v>
      </c>
      <c r="F146" s="9" t="n">
        <v>305</v>
      </c>
      <c r="G146" s="2" t="n">
        <v>1</v>
      </c>
      <c r="H146" s="2" t="n">
        <v>0</v>
      </c>
      <c r="I146" s="2" t="n">
        <v>1</v>
      </c>
      <c r="J146" s="2" t="n">
        <v>17</v>
      </c>
      <c r="K146" s="2" t="n">
        <v>1</v>
      </c>
      <c r="L146" s="2" t="n">
        <v>0</v>
      </c>
      <c r="M146" s="2" t="n">
        <f aca="false">IF(J146&lt;=Assumptions!$B$13,0,IF(J146&lt;Assumptions!$B$14,25,IF(J146&lt;Assumptions!$B$15,50,IF(J146&lt;Assumptions!$B$16,75,100))))</f>
        <v>0</v>
      </c>
      <c r="N146" s="2" t="n">
        <f aca="false">IF(K146&gt;Assumptions!$B$19,0,IF(K146&gt;=Assumptions!$B$20,25,IF(K146&gt;=Assumptions!$B$21,50,IF(K146&gt;=Assumptions!$B$22,75,100))))</f>
        <v>100</v>
      </c>
      <c r="O146" s="2" t="n">
        <f aca="false">IF(L146&gt;=Assumptions!$B$25,0,IF(L146&gt;=Assumptions!$B$26,25,IF(L146=Assumptions!$B$27,50,IF(L146=Assumptions!$B$28,75,100))))</f>
        <v>100</v>
      </c>
      <c r="P146" s="21" t="n">
        <f aca="false">M146*Assumptions!$B$4+N146*Assumptions!$B$5+O146*Assumptions!$B$6</f>
        <v>50</v>
      </c>
      <c r="Q146" s="21" t="n">
        <f aca="false">IF(J146&lt;=Assumptions!$B$8,0,P146)</f>
        <v>0</v>
      </c>
      <c r="R146" s="2" t="str">
        <f aca="false">IF(Q146&gt;=Assumptions!$B$9,"High",IF(Q146&gt;=Assumptions!$B$10,"Medium","Low"))</f>
        <v>Low</v>
      </c>
      <c r="S146" s="21" t="n">
        <f aca="false">(N146*Assumptions!$B$5+O146*Assumptions!$B$6)/(Assumptions!$B$5+Assumptions!$B$6)</f>
        <v>100</v>
      </c>
      <c r="T146" s="2" t="str">
        <f aca="false">IF(AND(J146&gt;Assumptions!$B$8,G146&lt;=Assumptions!$B$30),"Low confidence","")</f>
        <v/>
      </c>
      <c r="U146" s="2" t="n">
        <f aca="false">(J146&gt;40)+(F146&gt;2000)+(K146&lt;10)+(L146=0)</f>
        <v>2</v>
      </c>
      <c r="V146" s="21" t="n">
        <f aca="false">IF(J146&lt;20,0,IF(J146&lt;40,25,M146))*Assumptions!$B$4+N146*Assumptions!$B$5+O146*Assumptions!$B$6</f>
        <v>50</v>
      </c>
      <c r="W146" s="2" t="str">
        <f aca="false">IF(V146&gt;=70,"High",IF(V146&gt;=40,"Medium","Low"))</f>
        <v>Medium</v>
      </c>
    </row>
    <row r="147" customFormat="false" ht="15" hidden="false" customHeight="false" outlineLevel="0" collapsed="false">
      <c r="A147" s="2" t="s">
        <v>790</v>
      </c>
      <c r="B147" s="2" t="s">
        <v>1571</v>
      </c>
      <c r="C147" s="2" t="s">
        <v>1640</v>
      </c>
      <c r="D147" s="2"/>
      <c r="E147" s="2" t="n">
        <v>6</v>
      </c>
      <c r="F147" s="9" t="n">
        <v>298</v>
      </c>
      <c r="G147" s="2" t="n">
        <v>3</v>
      </c>
      <c r="H147" s="2" t="n">
        <v>0</v>
      </c>
      <c r="I147" s="2" t="n">
        <v>3</v>
      </c>
      <c r="J147" s="2" t="n">
        <v>5</v>
      </c>
      <c r="K147" s="2" t="n">
        <v>20</v>
      </c>
      <c r="L147" s="2" t="n">
        <v>0</v>
      </c>
      <c r="M147" s="2" t="n">
        <f aca="false">IF(J147&lt;=Assumptions!$B$13,0,IF(J147&lt;Assumptions!$B$14,25,IF(J147&lt;Assumptions!$B$15,50,IF(J147&lt;Assumptions!$B$16,75,100))))</f>
        <v>0</v>
      </c>
      <c r="N147" s="2" t="n">
        <f aca="false">IF(K147&gt;Assumptions!$B$19,0,IF(K147&gt;=Assumptions!$B$20,25,IF(K147&gt;=Assumptions!$B$21,50,IF(K147&gt;=Assumptions!$B$22,75,100))))</f>
        <v>25</v>
      </c>
      <c r="O147" s="2" t="n">
        <f aca="false">IF(L147&gt;=Assumptions!$B$25,0,IF(L147&gt;=Assumptions!$B$26,25,IF(L147=Assumptions!$B$27,50,IF(L147=Assumptions!$B$28,75,100))))</f>
        <v>100</v>
      </c>
      <c r="P147" s="21" t="n">
        <f aca="false">M147*Assumptions!$B$4+N147*Assumptions!$B$5+O147*Assumptions!$B$6</f>
        <v>27.5</v>
      </c>
      <c r="Q147" s="21" t="n">
        <f aca="false">IF(J147&lt;=Assumptions!$B$8,0,P147)</f>
        <v>0</v>
      </c>
      <c r="R147" s="2" t="str">
        <f aca="false">IF(Q147&gt;=Assumptions!$B$9,"High",IF(Q147&gt;=Assumptions!$B$10,"Medium","Low"))</f>
        <v>Low</v>
      </c>
      <c r="S147" s="21" t="n">
        <f aca="false">(N147*Assumptions!$B$5+O147*Assumptions!$B$6)/(Assumptions!$B$5+Assumptions!$B$6)</f>
        <v>55</v>
      </c>
      <c r="T147" s="2" t="str">
        <f aca="false">IF(AND(J147&gt;Assumptions!$B$8,G147&lt;=Assumptions!$B$30),"Low confidence","")</f>
        <v/>
      </c>
      <c r="U147" s="2" t="n">
        <f aca="false">(J147&gt;40)+(F147&gt;2000)+(K147&lt;10)+(L147=0)</f>
        <v>1</v>
      </c>
      <c r="V147" s="21" t="n">
        <f aca="false">IF(J147&lt;20,0,IF(J147&lt;40,25,M147))*Assumptions!$B$4+N147*Assumptions!$B$5+O147*Assumptions!$B$6</f>
        <v>27.5</v>
      </c>
      <c r="W147" s="2" t="str">
        <f aca="false">IF(V147&gt;=70,"High",IF(V147&gt;=40,"Medium","Low"))</f>
        <v>Low</v>
      </c>
    </row>
    <row r="148" customFormat="false" ht="15" hidden="false" customHeight="false" outlineLevel="0" collapsed="false">
      <c r="A148" s="2" t="s">
        <v>794</v>
      </c>
      <c r="B148" s="2" t="s">
        <v>1571</v>
      </c>
      <c r="C148" s="2" t="s">
        <v>1640</v>
      </c>
      <c r="D148" s="2" t="s">
        <v>1572</v>
      </c>
      <c r="E148" s="2" t="n">
        <v>6</v>
      </c>
      <c r="F148" s="9" t="n">
        <v>296</v>
      </c>
      <c r="G148" s="2" t="n">
        <v>1</v>
      </c>
      <c r="H148" s="2" t="n">
        <v>0</v>
      </c>
      <c r="I148" s="2" t="n">
        <v>1</v>
      </c>
      <c r="J148" s="2" t="n">
        <v>12</v>
      </c>
      <c r="K148" s="2" t="n">
        <v>1</v>
      </c>
      <c r="L148" s="2" t="n">
        <v>6</v>
      </c>
      <c r="M148" s="2" t="n">
        <f aca="false">IF(J148&lt;=Assumptions!$B$13,0,IF(J148&lt;Assumptions!$B$14,25,IF(J148&lt;Assumptions!$B$15,50,IF(J148&lt;Assumptions!$B$16,75,100))))</f>
        <v>0</v>
      </c>
      <c r="N148" s="2" t="n">
        <f aca="false">IF(K148&gt;Assumptions!$B$19,0,IF(K148&gt;=Assumptions!$B$20,25,IF(K148&gt;=Assumptions!$B$21,50,IF(K148&gt;=Assumptions!$B$22,75,100))))</f>
        <v>100</v>
      </c>
      <c r="O148" s="2" t="n">
        <f aca="false">IF(L148&gt;=Assumptions!$B$25,0,IF(L148&gt;=Assumptions!$B$26,25,IF(L148=Assumptions!$B$27,50,IF(L148=Assumptions!$B$28,75,100))))</f>
        <v>0</v>
      </c>
      <c r="P148" s="21" t="n">
        <f aca="false">M148*Assumptions!$B$4+N148*Assumptions!$B$5+O148*Assumptions!$B$6</f>
        <v>30</v>
      </c>
      <c r="Q148" s="21" t="n">
        <f aca="false">IF(J148&lt;=Assumptions!$B$8,0,P148)</f>
        <v>0</v>
      </c>
      <c r="R148" s="2" t="str">
        <f aca="false">IF(Q148&gt;=Assumptions!$B$9,"High",IF(Q148&gt;=Assumptions!$B$10,"Medium","Low"))</f>
        <v>Low</v>
      </c>
      <c r="S148" s="21" t="n">
        <f aca="false">(N148*Assumptions!$B$5+O148*Assumptions!$B$6)/(Assumptions!$B$5+Assumptions!$B$6)</f>
        <v>60</v>
      </c>
      <c r="T148" s="2" t="str">
        <f aca="false">IF(AND(J148&gt;Assumptions!$B$8,G148&lt;=Assumptions!$B$30),"Low confidence","")</f>
        <v/>
      </c>
      <c r="U148" s="2" t="n">
        <f aca="false">(J148&gt;40)+(F148&gt;2000)+(K148&lt;10)+(L148=0)</f>
        <v>1</v>
      </c>
      <c r="V148" s="21" t="n">
        <f aca="false">IF(J148&lt;20,0,IF(J148&lt;40,25,M148))*Assumptions!$B$4+N148*Assumptions!$B$5+O148*Assumptions!$B$6</f>
        <v>30</v>
      </c>
      <c r="W148" s="2" t="str">
        <f aca="false">IF(V148&gt;=70,"High",IF(V148&gt;=40,"Medium","Low"))</f>
        <v>Low</v>
      </c>
    </row>
    <row r="149" customFormat="false" ht="15" hidden="false" customHeight="false" outlineLevel="0" collapsed="false">
      <c r="A149" s="2" t="s">
        <v>798</v>
      </c>
      <c r="B149" s="2" t="s">
        <v>1571</v>
      </c>
      <c r="C149" s="2" t="s">
        <v>1640</v>
      </c>
      <c r="D149" s="2" t="s">
        <v>1572</v>
      </c>
      <c r="E149" s="2" t="n">
        <v>14</v>
      </c>
      <c r="F149" s="9" t="n">
        <v>291</v>
      </c>
      <c r="G149" s="2" t="n">
        <v>1</v>
      </c>
      <c r="H149" s="2" t="n">
        <v>0</v>
      </c>
      <c r="I149" s="2" t="n">
        <v>1</v>
      </c>
      <c r="J149" s="2" t="n">
        <v>7</v>
      </c>
      <c r="K149" s="2" t="n">
        <v>6</v>
      </c>
      <c r="L149" s="2" t="n">
        <v>1</v>
      </c>
      <c r="M149" s="2" t="n">
        <f aca="false">IF(J149&lt;=Assumptions!$B$13,0,IF(J149&lt;Assumptions!$B$14,25,IF(J149&lt;Assumptions!$B$15,50,IF(J149&lt;Assumptions!$B$16,75,100))))</f>
        <v>0</v>
      </c>
      <c r="N149" s="2" t="n">
        <f aca="false">IF(K149&gt;Assumptions!$B$19,0,IF(K149&gt;=Assumptions!$B$20,25,IF(K149&gt;=Assumptions!$B$21,50,IF(K149&gt;=Assumptions!$B$22,75,100))))</f>
        <v>75</v>
      </c>
      <c r="O149" s="2" t="n">
        <f aca="false">IF(L149&gt;=Assumptions!$B$25,0,IF(L149&gt;=Assumptions!$B$26,25,IF(L149=Assumptions!$B$27,50,IF(L149=Assumptions!$B$28,75,100))))</f>
        <v>75</v>
      </c>
      <c r="P149" s="21" t="n">
        <f aca="false">M149*Assumptions!$B$4+N149*Assumptions!$B$5+O149*Assumptions!$B$6</f>
        <v>37.5</v>
      </c>
      <c r="Q149" s="21" t="n">
        <f aca="false">IF(J149&lt;=Assumptions!$B$8,0,P149)</f>
        <v>0</v>
      </c>
      <c r="R149" s="2" t="str">
        <f aca="false">IF(Q149&gt;=Assumptions!$B$9,"High",IF(Q149&gt;=Assumptions!$B$10,"Medium","Low"))</f>
        <v>Low</v>
      </c>
      <c r="S149" s="21" t="n">
        <f aca="false">(N149*Assumptions!$B$5+O149*Assumptions!$B$6)/(Assumptions!$B$5+Assumptions!$B$6)</f>
        <v>75</v>
      </c>
      <c r="T149" s="2" t="str">
        <f aca="false">IF(AND(J149&gt;Assumptions!$B$8,G149&lt;=Assumptions!$B$30),"Low confidence","")</f>
        <v/>
      </c>
      <c r="U149" s="2" t="n">
        <f aca="false">(J149&gt;40)+(F149&gt;2000)+(K149&lt;10)+(L149=0)</f>
        <v>1</v>
      </c>
      <c r="V149" s="21" t="n">
        <f aca="false">IF(J149&lt;20,0,IF(J149&lt;40,25,M149))*Assumptions!$B$4+N149*Assumptions!$B$5+O149*Assumptions!$B$6</f>
        <v>37.5</v>
      </c>
      <c r="W149" s="2" t="str">
        <f aca="false">IF(V149&gt;=70,"High",IF(V149&gt;=40,"Medium","Low"))</f>
        <v>Low</v>
      </c>
    </row>
    <row r="150" customFormat="false" ht="15" hidden="false" customHeight="false" outlineLevel="0" collapsed="false">
      <c r="A150" s="2" t="s">
        <v>800</v>
      </c>
      <c r="B150" s="2" t="s">
        <v>1571</v>
      </c>
      <c r="C150" s="2" t="s">
        <v>1640</v>
      </c>
      <c r="D150" s="2" t="s">
        <v>1572</v>
      </c>
      <c r="E150" s="2" t="n">
        <v>8</v>
      </c>
      <c r="F150" s="9" t="n">
        <v>289</v>
      </c>
      <c r="G150" s="2" t="n">
        <v>2</v>
      </c>
      <c r="H150" s="2" t="n">
        <v>0</v>
      </c>
      <c r="I150" s="2" t="n">
        <v>2</v>
      </c>
      <c r="J150" s="2" t="n">
        <v>16</v>
      </c>
      <c r="K150" s="2" t="n">
        <v>7</v>
      </c>
      <c r="L150" s="2" t="n">
        <v>9</v>
      </c>
      <c r="M150" s="2" t="n">
        <f aca="false">IF(J150&lt;=Assumptions!$B$13,0,IF(J150&lt;Assumptions!$B$14,25,IF(J150&lt;Assumptions!$B$15,50,IF(J150&lt;Assumptions!$B$16,75,100))))</f>
        <v>0</v>
      </c>
      <c r="N150" s="2" t="n">
        <f aca="false">IF(K150&gt;Assumptions!$B$19,0,IF(K150&gt;=Assumptions!$B$20,25,IF(K150&gt;=Assumptions!$B$21,50,IF(K150&gt;=Assumptions!$B$22,75,100))))</f>
        <v>75</v>
      </c>
      <c r="O150" s="2" t="n">
        <f aca="false">IF(L150&gt;=Assumptions!$B$25,0,IF(L150&gt;=Assumptions!$B$26,25,IF(L150=Assumptions!$B$27,50,IF(L150=Assumptions!$B$28,75,100))))</f>
        <v>0</v>
      </c>
      <c r="P150" s="21" t="n">
        <f aca="false">M150*Assumptions!$B$4+N150*Assumptions!$B$5+O150*Assumptions!$B$6</f>
        <v>22.5</v>
      </c>
      <c r="Q150" s="21" t="n">
        <f aca="false">IF(J150&lt;=Assumptions!$B$8,0,P150)</f>
        <v>0</v>
      </c>
      <c r="R150" s="2" t="str">
        <f aca="false">IF(Q150&gt;=Assumptions!$B$9,"High",IF(Q150&gt;=Assumptions!$B$10,"Medium","Low"))</f>
        <v>Low</v>
      </c>
      <c r="S150" s="21" t="n">
        <f aca="false">(N150*Assumptions!$B$5+O150*Assumptions!$B$6)/(Assumptions!$B$5+Assumptions!$B$6)</f>
        <v>45</v>
      </c>
      <c r="T150" s="2" t="str">
        <f aca="false">IF(AND(J150&gt;Assumptions!$B$8,G150&lt;=Assumptions!$B$30),"Low confidence","")</f>
        <v/>
      </c>
      <c r="U150" s="2" t="n">
        <f aca="false">(J150&gt;40)+(F150&gt;2000)+(K150&lt;10)+(L150=0)</f>
        <v>1</v>
      </c>
      <c r="V150" s="21" t="n">
        <f aca="false">IF(J150&lt;20,0,IF(J150&lt;40,25,M150))*Assumptions!$B$4+N150*Assumptions!$B$5+O150*Assumptions!$B$6</f>
        <v>22.5</v>
      </c>
      <c r="W150" s="2" t="str">
        <f aca="false">IF(V150&gt;=70,"High",IF(V150&gt;=40,"Medium","Low"))</f>
        <v>Low</v>
      </c>
    </row>
    <row r="151" customFormat="false" ht="15" hidden="false" customHeight="false" outlineLevel="0" collapsed="false">
      <c r="A151" s="2" t="s">
        <v>802</v>
      </c>
      <c r="B151" s="2" t="s">
        <v>1571</v>
      </c>
      <c r="C151" s="2" t="s">
        <v>1640</v>
      </c>
      <c r="D151" s="2" t="s">
        <v>1572</v>
      </c>
      <c r="E151" s="2" t="n">
        <v>7</v>
      </c>
      <c r="F151" s="9" t="n">
        <v>284</v>
      </c>
      <c r="G151" s="2" t="n">
        <v>1</v>
      </c>
      <c r="H151" s="2" t="n">
        <v>0</v>
      </c>
      <c r="I151" s="2" t="n">
        <v>1</v>
      </c>
      <c r="J151" s="2" t="n">
        <v>2</v>
      </c>
      <c r="K151" s="2" t="n">
        <v>16</v>
      </c>
      <c r="L151" s="2" t="n">
        <v>0</v>
      </c>
      <c r="M151" s="2" t="n">
        <f aca="false">IF(J151&lt;=Assumptions!$B$13,0,IF(J151&lt;Assumptions!$B$14,25,IF(J151&lt;Assumptions!$B$15,50,IF(J151&lt;Assumptions!$B$16,75,100))))</f>
        <v>0</v>
      </c>
      <c r="N151" s="2" t="n">
        <f aca="false">IF(K151&gt;Assumptions!$B$19,0,IF(K151&gt;=Assumptions!$B$20,25,IF(K151&gt;=Assumptions!$B$21,50,IF(K151&gt;=Assumptions!$B$22,75,100))))</f>
        <v>50</v>
      </c>
      <c r="O151" s="2" t="n">
        <f aca="false">IF(L151&gt;=Assumptions!$B$25,0,IF(L151&gt;=Assumptions!$B$26,25,IF(L151=Assumptions!$B$27,50,IF(L151=Assumptions!$B$28,75,100))))</f>
        <v>100</v>
      </c>
      <c r="P151" s="21" t="n">
        <f aca="false">M151*Assumptions!$B$4+N151*Assumptions!$B$5+O151*Assumptions!$B$6</f>
        <v>35</v>
      </c>
      <c r="Q151" s="21" t="n">
        <f aca="false">IF(J151&lt;=Assumptions!$B$8,0,P151)</f>
        <v>0</v>
      </c>
      <c r="R151" s="2" t="str">
        <f aca="false">IF(Q151&gt;=Assumptions!$B$9,"High",IF(Q151&gt;=Assumptions!$B$10,"Medium","Low"))</f>
        <v>Low</v>
      </c>
      <c r="S151" s="21" t="n">
        <f aca="false">(N151*Assumptions!$B$5+O151*Assumptions!$B$6)/(Assumptions!$B$5+Assumptions!$B$6)</f>
        <v>70</v>
      </c>
      <c r="T151" s="2" t="str">
        <f aca="false">IF(AND(J151&gt;Assumptions!$B$8,G151&lt;=Assumptions!$B$30),"Low confidence","")</f>
        <v/>
      </c>
      <c r="U151" s="2" t="n">
        <f aca="false">(J151&gt;40)+(F151&gt;2000)+(K151&lt;10)+(L151=0)</f>
        <v>1</v>
      </c>
      <c r="V151" s="21" t="n">
        <f aca="false">IF(J151&lt;20,0,IF(J151&lt;40,25,M151))*Assumptions!$B$4+N151*Assumptions!$B$5+O151*Assumptions!$B$6</f>
        <v>35</v>
      </c>
      <c r="W151" s="2" t="str">
        <f aca="false">IF(V151&gt;=70,"High",IF(V151&gt;=40,"Medium","Low"))</f>
        <v>Low</v>
      </c>
    </row>
    <row r="152" customFormat="false" ht="15" hidden="false" customHeight="false" outlineLevel="0" collapsed="false">
      <c r="A152" s="2" t="s">
        <v>804</v>
      </c>
      <c r="B152" s="2" t="s">
        <v>1571</v>
      </c>
      <c r="C152" s="2" t="s">
        <v>1640</v>
      </c>
      <c r="D152" s="2" t="s">
        <v>1572</v>
      </c>
      <c r="E152" s="2" t="n">
        <v>6</v>
      </c>
      <c r="F152" s="9" t="n">
        <v>282</v>
      </c>
      <c r="G152" s="2" t="n">
        <v>1</v>
      </c>
      <c r="H152" s="2" t="n">
        <v>0</v>
      </c>
      <c r="I152" s="2" t="n">
        <v>1</v>
      </c>
      <c r="J152" s="2" t="n">
        <v>15</v>
      </c>
      <c r="K152" s="2" t="n">
        <v>20</v>
      </c>
      <c r="L152" s="2" t="n">
        <v>1</v>
      </c>
      <c r="M152" s="2" t="n">
        <f aca="false">IF(J152&lt;=Assumptions!$B$13,0,IF(J152&lt;Assumptions!$B$14,25,IF(J152&lt;Assumptions!$B$15,50,IF(J152&lt;Assumptions!$B$16,75,100))))</f>
        <v>0</v>
      </c>
      <c r="N152" s="2" t="n">
        <f aca="false">IF(K152&gt;Assumptions!$B$19,0,IF(K152&gt;=Assumptions!$B$20,25,IF(K152&gt;=Assumptions!$B$21,50,IF(K152&gt;=Assumptions!$B$22,75,100))))</f>
        <v>25</v>
      </c>
      <c r="O152" s="2" t="n">
        <f aca="false">IF(L152&gt;=Assumptions!$B$25,0,IF(L152&gt;=Assumptions!$B$26,25,IF(L152=Assumptions!$B$27,50,IF(L152=Assumptions!$B$28,75,100))))</f>
        <v>75</v>
      </c>
      <c r="P152" s="21" t="n">
        <f aca="false">M152*Assumptions!$B$4+N152*Assumptions!$B$5+O152*Assumptions!$B$6</f>
        <v>22.5</v>
      </c>
      <c r="Q152" s="21" t="n">
        <f aca="false">IF(J152&lt;=Assumptions!$B$8,0,P152)</f>
        <v>0</v>
      </c>
      <c r="R152" s="2" t="str">
        <f aca="false">IF(Q152&gt;=Assumptions!$B$9,"High",IF(Q152&gt;=Assumptions!$B$10,"Medium","Low"))</f>
        <v>Low</v>
      </c>
      <c r="S152" s="21" t="n">
        <f aca="false">(N152*Assumptions!$B$5+O152*Assumptions!$B$6)/(Assumptions!$B$5+Assumptions!$B$6)</f>
        <v>45</v>
      </c>
      <c r="T152" s="2" t="str">
        <f aca="false">IF(AND(J152&gt;Assumptions!$B$8,G152&lt;=Assumptions!$B$30),"Low confidence","")</f>
        <v/>
      </c>
      <c r="U152" s="2" t="n">
        <f aca="false">(J152&gt;40)+(F152&gt;2000)+(K152&lt;10)+(L152=0)</f>
        <v>0</v>
      </c>
      <c r="V152" s="21" t="n">
        <f aca="false">IF(J152&lt;20,0,IF(J152&lt;40,25,M152))*Assumptions!$B$4+N152*Assumptions!$B$5+O152*Assumptions!$B$6</f>
        <v>22.5</v>
      </c>
      <c r="W152" s="2" t="str">
        <f aca="false">IF(V152&gt;=70,"High",IF(V152&gt;=40,"Medium","Low"))</f>
        <v>Low</v>
      </c>
    </row>
    <row r="153" customFormat="false" ht="15" hidden="false" customHeight="false" outlineLevel="0" collapsed="false">
      <c r="A153" s="2" t="s">
        <v>812</v>
      </c>
      <c r="B153" s="2" t="s">
        <v>1571</v>
      </c>
      <c r="C153" s="2" t="s">
        <v>1641</v>
      </c>
      <c r="D153" s="2"/>
      <c r="E153" s="2" t="n">
        <v>6</v>
      </c>
      <c r="F153" s="9" t="n">
        <v>273</v>
      </c>
      <c r="G153" s="2" t="n">
        <v>1</v>
      </c>
      <c r="H153" s="2" t="n">
        <v>0</v>
      </c>
      <c r="I153" s="2" t="n">
        <v>1</v>
      </c>
      <c r="J153" s="2" t="n">
        <v>1</v>
      </c>
      <c r="K153" s="2" t="n">
        <v>26</v>
      </c>
      <c r="L153" s="2" t="n">
        <v>1</v>
      </c>
      <c r="M153" s="2" t="n">
        <f aca="false">IF(J153&lt;=Assumptions!$B$13,0,IF(J153&lt;Assumptions!$B$14,25,IF(J153&lt;Assumptions!$B$15,50,IF(J153&lt;Assumptions!$B$16,75,100))))</f>
        <v>0</v>
      </c>
      <c r="N153" s="2" t="n">
        <f aca="false">IF(K153&gt;Assumptions!$B$19,0,IF(K153&gt;=Assumptions!$B$20,25,IF(K153&gt;=Assumptions!$B$21,50,IF(K153&gt;=Assumptions!$B$22,75,100))))</f>
        <v>25</v>
      </c>
      <c r="O153" s="2" t="n">
        <f aca="false">IF(L153&gt;=Assumptions!$B$25,0,IF(L153&gt;=Assumptions!$B$26,25,IF(L153=Assumptions!$B$27,50,IF(L153=Assumptions!$B$28,75,100))))</f>
        <v>75</v>
      </c>
      <c r="P153" s="21" t="n">
        <f aca="false">M153*Assumptions!$B$4+N153*Assumptions!$B$5+O153*Assumptions!$B$6</f>
        <v>22.5</v>
      </c>
      <c r="Q153" s="21" t="n">
        <f aca="false">IF(J153&lt;=Assumptions!$B$8,0,P153)</f>
        <v>0</v>
      </c>
      <c r="R153" s="2" t="str">
        <f aca="false">IF(Q153&gt;=Assumptions!$B$9,"High",IF(Q153&gt;=Assumptions!$B$10,"Medium","Low"))</f>
        <v>Low</v>
      </c>
      <c r="S153" s="21" t="n">
        <f aca="false">(N153*Assumptions!$B$5+O153*Assumptions!$B$6)/(Assumptions!$B$5+Assumptions!$B$6)</f>
        <v>45</v>
      </c>
      <c r="T153" s="2" t="str">
        <f aca="false">IF(AND(J153&gt;Assumptions!$B$8,G153&lt;=Assumptions!$B$30),"Low confidence","")</f>
        <v/>
      </c>
      <c r="U153" s="2" t="n">
        <f aca="false">(J153&gt;40)+(F153&gt;2000)+(K153&lt;10)+(L153=0)</f>
        <v>0</v>
      </c>
      <c r="V153" s="21" t="n">
        <f aca="false">IF(J153&lt;20,0,IF(J153&lt;40,25,M153))*Assumptions!$B$4+N153*Assumptions!$B$5+O153*Assumptions!$B$6</f>
        <v>22.5</v>
      </c>
      <c r="W153" s="2" t="str">
        <f aca="false">IF(V153&gt;=70,"High",IF(V153&gt;=40,"Medium","Low"))</f>
        <v>Low</v>
      </c>
    </row>
    <row r="154" customFormat="false" ht="15" hidden="false" customHeight="false" outlineLevel="0" collapsed="false">
      <c r="A154" s="2" t="s">
        <v>814</v>
      </c>
      <c r="B154" s="2" t="s">
        <v>1571</v>
      </c>
      <c r="C154" s="2" t="s">
        <v>1640</v>
      </c>
      <c r="D154" s="2"/>
      <c r="E154" s="2" t="n">
        <v>6</v>
      </c>
      <c r="F154" s="9" t="n">
        <v>272</v>
      </c>
      <c r="G154" s="2" t="n">
        <v>1</v>
      </c>
      <c r="H154" s="2" t="n">
        <v>0</v>
      </c>
      <c r="I154" s="2" t="n">
        <v>1</v>
      </c>
      <c r="J154" s="2" t="n">
        <v>19</v>
      </c>
      <c r="K154" s="2" t="n">
        <v>11</v>
      </c>
      <c r="L154" s="2" t="n">
        <v>0</v>
      </c>
      <c r="M154" s="2" t="n">
        <f aca="false">IF(J154&lt;=Assumptions!$B$13,0,IF(J154&lt;Assumptions!$B$14,25,IF(J154&lt;Assumptions!$B$15,50,IF(J154&lt;Assumptions!$B$16,75,100))))</f>
        <v>0</v>
      </c>
      <c r="N154" s="2" t="n">
        <f aca="false">IF(K154&gt;Assumptions!$B$19,0,IF(K154&gt;=Assumptions!$B$20,25,IF(K154&gt;=Assumptions!$B$21,50,IF(K154&gt;=Assumptions!$B$22,75,100))))</f>
        <v>50</v>
      </c>
      <c r="O154" s="2" t="n">
        <f aca="false">IF(L154&gt;=Assumptions!$B$25,0,IF(L154&gt;=Assumptions!$B$26,25,IF(L154=Assumptions!$B$27,50,IF(L154=Assumptions!$B$28,75,100))))</f>
        <v>100</v>
      </c>
      <c r="P154" s="21" t="n">
        <f aca="false">M154*Assumptions!$B$4+N154*Assumptions!$B$5+O154*Assumptions!$B$6</f>
        <v>35</v>
      </c>
      <c r="Q154" s="21" t="n">
        <f aca="false">IF(J154&lt;=Assumptions!$B$8,0,P154)</f>
        <v>0</v>
      </c>
      <c r="R154" s="2" t="str">
        <f aca="false">IF(Q154&gt;=Assumptions!$B$9,"High",IF(Q154&gt;=Assumptions!$B$10,"Medium","Low"))</f>
        <v>Low</v>
      </c>
      <c r="S154" s="21" t="n">
        <f aca="false">(N154*Assumptions!$B$5+O154*Assumptions!$B$6)/(Assumptions!$B$5+Assumptions!$B$6)</f>
        <v>70</v>
      </c>
      <c r="T154" s="2" t="str">
        <f aca="false">IF(AND(J154&gt;Assumptions!$B$8,G154&lt;=Assumptions!$B$30),"Low confidence","")</f>
        <v/>
      </c>
      <c r="U154" s="2" t="n">
        <f aca="false">(J154&gt;40)+(F154&gt;2000)+(K154&lt;10)+(L154=0)</f>
        <v>1</v>
      </c>
      <c r="V154" s="21" t="n">
        <f aca="false">IF(J154&lt;20,0,IF(J154&lt;40,25,M154))*Assumptions!$B$4+N154*Assumptions!$B$5+O154*Assumptions!$B$6</f>
        <v>35</v>
      </c>
      <c r="W154" s="2" t="str">
        <f aca="false">IF(V154&gt;=70,"High",IF(V154&gt;=40,"Medium","Low"))</f>
        <v>Low</v>
      </c>
    </row>
    <row r="155" customFormat="false" ht="15" hidden="false" customHeight="false" outlineLevel="0" collapsed="false">
      <c r="A155" s="2" t="s">
        <v>818</v>
      </c>
      <c r="B155" s="2" t="s">
        <v>1571</v>
      </c>
      <c r="C155" s="2" t="s">
        <v>1640</v>
      </c>
      <c r="D155" s="2" t="s">
        <v>1572</v>
      </c>
      <c r="E155" s="2" t="n">
        <v>6</v>
      </c>
      <c r="F155" s="9" t="n">
        <v>269</v>
      </c>
      <c r="G155" s="2" t="n">
        <v>1</v>
      </c>
      <c r="H155" s="2" t="n">
        <v>0</v>
      </c>
      <c r="I155" s="2" t="n">
        <v>1</v>
      </c>
      <c r="J155" s="2" t="n">
        <v>6</v>
      </c>
      <c r="K155" s="2" t="n">
        <v>12</v>
      </c>
      <c r="L155" s="2" t="n">
        <v>0</v>
      </c>
      <c r="M155" s="2" t="n">
        <f aca="false">IF(J155&lt;=Assumptions!$B$13,0,IF(J155&lt;Assumptions!$B$14,25,IF(J155&lt;Assumptions!$B$15,50,IF(J155&lt;Assumptions!$B$16,75,100))))</f>
        <v>0</v>
      </c>
      <c r="N155" s="2" t="n">
        <f aca="false">IF(K155&gt;Assumptions!$B$19,0,IF(K155&gt;=Assumptions!$B$20,25,IF(K155&gt;=Assumptions!$B$21,50,IF(K155&gt;=Assumptions!$B$22,75,100))))</f>
        <v>50</v>
      </c>
      <c r="O155" s="2" t="n">
        <f aca="false">IF(L155&gt;=Assumptions!$B$25,0,IF(L155&gt;=Assumptions!$B$26,25,IF(L155=Assumptions!$B$27,50,IF(L155=Assumptions!$B$28,75,100))))</f>
        <v>100</v>
      </c>
      <c r="P155" s="21" t="n">
        <f aca="false">M155*Assumptions!$B$4+N155*Assumptions!$B$5+O155*Assumptions!$B$6</f>
        <v>35</v>
      </c>
      <c r="Q155" s="21" t="n">
        <f aca="false">IF(J155&lt;=Assumptions!$B$8,0,P155)</f>
        <v>0</v>
      </c>
      <c r="R155" s="2" t="str">
        <f aca="false">IF(Q155&gt;=Assumptions!$B$9,"High",IF(Q155&gt;=Assumptions!$B$10,"Medium","Low"))</f>
        <v>Low</v>
      </c>
      <c r="S155" s="21" t="n">
        <f aca="false">(N155*Assumptions!$B$5+O155*Assumptions!$B$6)/(Assumptions!$B$5+Assumptions!$B$6)</f>
        <v>70</v>
      </c>
      <c r="T155" s="2" t="str">
        <f aca="false">IF(AND(J155&gt;Assumptions!$B$8,G155&lt;=Assumptions!$B$30),"Low confidence","")</f>
        <v/>
      </c>
      <c r="U155" s="2" t="n">
        <f aca="false">(J155&gt;40)+(F155&gt;2000)+(K155&lt;10)+(L155=0)</f>
        <v>1</v>
      </c>
      <c r="V155" s="21" t="n">
        <f aca="false">IF(J155&lt;20,0,IF(J155&lt;40,25,M155))*Assumptions!$B$4+N155*Assumptions!$B$5+O155*Assumptions!$B$6</f>
        <v>35</v>
      </c>
      <c r="W155" s="2" t="str">
        <f aca="false">IF(V155&gt;=70,"High",IF(V155&gt;=40,"Medium","Low"))</f>
        <v>Low</v>
      </c>
    </row>
    <row r="156" customFormat="false" ht="15" hidden="false" customHeight="false" outlineLevel="0" collapsed="false">
      <c r="A156" s="2" t="s">
        <v>822</v>
      </c>
      <c r="B156" s="2" t="s">
        <v>1571</v>
      </c>
      <c r="C156" s="2" t="s">
        <v>1640</v>
      </c>
      <c r="D156" s="2" t="s">
        <v>1572</v>
      </c>
      <c r="E156" s="2" t="n">
        <v>12</v>
      </c>
      <c r="F156" s="9" t="n">
        <v>261</v>
      </c>
      <c r="G156" s="2" t="n">
        <v>1</v>
      </c>
      <c r="H156" s="2" t="n">
        <v>0</v>
      </c>
      <c r="I156" s="2" t="n">
        <v>1</v>
      </c>
      <c r="J156" s="2" t="n">
        <v>18</v>
      </c>
      <c r="K156" s="2" t="n">
        <v>5</v>
      </c>
      <c r="L156" s="2" t="n">
        <v>3</v>
      </c>
      <c r="M156" s="2" t="n">
        <f aca="false">IF(J156&lt;=Assumptions!$B$13,0,IF(J156&lt;Assumptions!$B$14,25,IF(J156&lt;Assumptions!$B$15,50,IF(J156&lt;Assumptions!$B$16,75,100))))</f>
        <v>0</v>
      </c>
      <c r="N156" s="2" t="n">
        <f aca="false">IF(K156&gt;Assumptions!$B$19,0,IF(K156&gt;=Assumptions!$B$20,25,IF(K156&gt;=Assumptions!$B$21,50,IF(K156&gt;=Assumptions!$B$22,75,100))))</f>
        <v>75</v>
      </c>
      <c r="O156" s="2" t="n">
        <f aca="false">IF(L156&gt;=Assumptions!$B$25,0,IF(L156&gt;=Assumptions!$B$26,25,IF(L156=Assumptions!$B$27,50,IF(L156=Assumptions!$B$28,75,100))))</f>
        <v>25</v>
      </c>
      <c r="P156" s="21" t="n">
        <f aca="false">M156*Assumptions!$B$4+N156*Assumptions!$B$5+O156*Assumptions!$B$6</f>
        <v>27.5</v>
      </c>
      <c r="Q156" s="21" t="n">
        <f aca="false">IF(J156&lt;=Assumptions!$B$8,0,P156)</f>
        <v>0</v>
      </c>
      <c r="R156" s="2" t="str">
        <f aca="false">IF(Q156&gt;=Assumptions!$B$9,"High",IF(Q156&gt;=Assumptions!$B$10,"Medium","Low"))</f>
        <v>Low</v>
      </c>
      <c r="S156" s="21" t="n">
        <f aca="false">(N156*Assumptions!$B$5+O156*Assumptions!$B$6)/(Assumptions!$B$5+Assumptions!$B$6)</f>
        <v>55</v>
      </c>
      <c r="T156" s="2" t="str">
        <f aca="false">IF(AND(J156&gt;Assumptions!$B$8,G156&lt;=Assumptions!$B$30),"Low confidence","")</f>
        <v/>
      </c>
      <c r="U156" s="2" t="n">
        <f aca="false">(J156&gt;40)+(F156&gt;2000)+(K156&lt;10)+(L156=0)</f>
        <v>1</v>
      </c>
      <c r="V156" s="21" t="n">
        <f aca="false">IF(J156&lt;20,0,IF(J156&lt;40,25,M156))*Assumptions!$B$4+N156*Assumptions!$B$5+O156*Assumptions!$B$6</f>
        <v>27.5</v>
      </c>
      <c r="W156" s="2" t="str">
        <f aca="false">IF(V156&gt;=70,"High",IF(V156&gt;=40,"Medium","Low"))</f>
        <v>Low</v>
      </c>
    </row>
    <row r="157" customFormat="false" ht="15" hidden="false" customHeight="false" outlineLevel="0" collapsed="false">
      <c r="A157" s="2" t="s">
        <v>826</v>
      </c>
      <c r="B157" s="2" t="s">
        <v>1571</v>
      </c>
      <c r="C157" s="2" t="s">
        <v>1641</v>
      </c>
      <c r="D157" s="2" t="s">
        <v>1572</v>
      </c>
      <c r="E157" s="2" t="n">
        <v>23</v>
      </c>
      <c r="F157" s="9" t="n">
        <v>255</v>
      </c>
      <c r="G157" s="2" t="n">
        <v>1</v>
      </c>
      <c r="H157" s="2" t="n">
        <v>0</v>
      </c>
      <c r="I157" s="2" t="n">
        <v>1</v>
      </c>
      <c r="J157" s="2" t="n">
        <v>11</v>
      </c>
      <c r="K157" s="2" t="n">
        <v>8</v>
      </c>
      <c r="L157" s="2" t="n">
        <v>3</v>
      </c>
      <c r="M157" s="2" t="n">
        <f aca="false">IF(J157&lt;=Assumptions!$B$13,0,IF(J157&lt;Assumptions!$B$14,25,IF(J157&lt;Assumptions!$B$15,50,IF(J157&lt;Assumptions!$B$16,75,100))))</f>
        <v>0</v>
      </c>
      <c r="N157" s="2" t="n">
        <f aca="false">IF(K157&gt;Assumptions!$B$19,0,IF(K157&gt;=Assumptions!$B$20,25,IF(K157&gt;=Assumptions!$B$21,50,IF(K157&gt;=Assumptions!$B$22,75,100))))</f>
        <v>75</v>
      </c>
      <c r="O157" s="2" t="n">
        <f aca="false">IF(L157&gt;=Assumptions!$B$25,0,IF(L157&gt;=Assumptions!$B$26,25,IF(L157=Assumptions!$B$27,50,IF(L157=Assumptions!$B$28,75,100))))</f>
        <v>25</v>
      </c>
      <c r="P157" s="21" t="n">
        <f aca="false">M157*Assumptions!$B$4+N157*Assumptions!$B$5+O157*Assumptions!$B$6</f>
        <v>27.5</v>
      </c>
      <c r="Q157" s="21" t="n">
        <f aca="false">IF(J157&lt;=Assumptions!$B$8,0,P157)</f>
        <v>0</v>
      </c>
      <c r="R157" s="2" t="str">
        <f aca="false">IF(Q157&gt;=Assumptions!$B$9,"High",IF(Q157&gt;=Assumptions!$B$10,"Medium","Low"))</f>
        <v>Low</v>
      </c>
      <c r="S157" s="21" t="n">
        <f aca="false">(N157*Assumptions!$B$5+O157*Assumptions!$B$6)/(Assumptions!$B$5+Assumptions!$B$6)</f>
        <v>55</v>
      </c>
      <c r="T157" s="2" t="str">
        <f aca="false">IF(AND(J157&gt;Assumptions!$B$8,G157&lt;=Assumptions!$B$30),"Low confidence","")</f>
        <v/>
      </c>
      <c r="U157" s="2" t="n">
        <f aca="false">(J157&gt;40)+(F157&gt;2000)+(K157&lt;10)+(L157=0)</f>
        <v>1</v>
      </c>
      <c r="V157" s="21" t="n">
        <f aca="false">IF(J157&lt;20,0,IF(J157&lt;40,25,M157))*Assumptions!$B$4+N157*Assumptions!$B$5+O157*Assumptions!$B$6</f>
        <v>27.5</v>
      </c>
      <c r="W157" s="2" t="str">
        <f aca="false">IF(V157&gt;=70,"High",IF(V157&gt;=40,"Medium","Low"))</f>
        <v>Low</v>
      </c>
    </row>
    <row r="158" customFormat="false" ht="15" hidden="false" customHeight="false" outlineLevel="0" collapsed="false">
      <c r="A158" s="2" t="s">
        <v>828</v>
      </c>
      <c r="B158" s="2" t="s">
        <v>1571</v>
      </c>
      <c r="C158" s="2" t="s">
        <v>1640</v>
      </c>
      <c r="D158" s="2" t="s">
        <v>1572</v>
      </c>
      <c r="E158" s="2" t="n">
        <v>14</v>
      </c>
      <c r="F158" s="9" t="n">
        <v>254</v>
      </c>
      <c r="G158" s="2" t="n">
        <v>1</v>
      </c>
      <c r="H158" s="2" t="n">
        <v>0</v>
      </c>
      <c r="I158" s="2" t="n">
        <v>1</v>
      </c>
      <c r="J158" s="2" t="n">
        <v>6</v>
      </c>
      <c r="K158" s="2" t="n">
        <v>70</v>
      </c>
      <c r="L158" s="2" t="n">
        <v>1</v>
      </c>
      <c r="M158" s="2" t="n">
        <f aca="false">IF(J158&lt;=Assumptions!$B$13,0,IF(J158&lt;Assumptions!$B$14,25,IF(J158&lt;Assumptions!$B$15,50,IF(J158&lt;Assumptions!$B$16,75,100))))</f>
        <v>0</v>
      </c>
      <c r="N158" s="2" t="n">
        <f aca="false">IF(K158&gt;Assumptions!$B$19,0,IF(K158&gt;=Assumptions!$B$20,25,IF(K158&gt;=Assumptions!$B$21,50,IF(K158&gt;=Assumptions!$B$22,75,100))))</f>
        <v>0</v>
      </c>
      <c r="O158" s="2" t="n">
        <f aca="false">IF(L158&gt;=Assumptions!$B$25,0,IF(L158&gt;=Assumptions!$B$26,25,IF(L158=Assumptions!$B$27,50,IF(L158=Assumptions!$B$28,75,100))))</f>
        <v>75</v>
      </c>
      <c r="P158" s="21" t="n">
        <f aca="false">M158*Assumptions!$B$4+N158*Assumptions!$B$5+O158*Assumptions!$B$6</f>
        <v>15</v>
      </c>
      <c r="Q158" s="21" t="n">
        <f aca="false">IF(J158&lt;=Assumptions!$B$8,0,P158)</f>
        <v>0</v>
      </c>
      <c r="R158" s="2" t="str">
        <f aca="false">IF(Q158&gt;=Assumptions!$B$9,"High",IF(Q158&gt;=Assumptions!$B$10,"Medium","Low"))</f>
        <v>Low</v>
      </c>
      <c r="S158" s="21" t="n">
        <f aca="false">(N158*Assumptions!$B$5+O158*Assumptions!$B$6)/(Assumptions!$B$5+Assumptions!$B$6)</f>
        <v>30</v>
      </c>
      <c r="T158" s="2" t="str">
        <f aca="false">IF(AND(J158&gt;Assumptions!$B$8,G158&lt;=Assumptions!$B$30),"Low confidence","")</f>
        <v/>
      </c>
      <c r="U158" s="2" t="n">
        <f aca="false">(J158&gt;40)+(F158&gt;2000)+(K158&lt;10)+(L158=0)</f>
        <v>0</v>
      </c>
      <c r="V158" s="21" t="n">
        <f aca="false">IF(J158&lt;20,0,IF(J158&lt;40,25,M158))*Assumptions!$B$4+N158*Assumptions!$B$5+O158*Assumptions!$B$6</f>
        <v>15</v>
      </c>
      <c r="W158" s="2" t="str">
        <f aca="false">IF(V158&gt;=70,"High",IF(V158&gt;=40,"Medium","Low"))</f>
        <v>Low</v>
      </c>
    </row>
    <row r="159" customFormat="false" ht="15" hidden="false" customHeight="false" outlineLevel="0" collapsed="false">
      <c r="A159" s="2" t="s">
        <v>830</v>
      </c>
      <c r="B159" s="2" t="s">
        <v>1571</v>
      </c>
      <c r="C159" s="2" t="s">
        <v>1640</v>
      </c>
      <c r="D159" s="2"/>
      <c r="E159" s="2" t="n">
        <v>6</v>
      </c>
      <c r="F159" s="9" t="n">
        <v>254</v>
      </c>
      <c r="G159" s="2" t="n">
        <v>1</v>
      </c>
      <c r="H159" s="2" t="n">
        <v>0</v>
      </c>
      <c r="I159" s="2" t="n">
        <v>1</v>
      </c>
      <c r="J159" s="2" t="n">
        <v>9</v>
      </c>
      <c r="K159" s="2" t="n">
        <v>6</v>
      </c>
      <c r="L159" s="2" t="n">
        <v>0</v>
      </c>
      <c r="M159" s="2" t="n">
        <f aca="false">IF(J159&lt;=Assumptions!$B$13,0,IF(J159&lt;Assumptions!$B$14,25,IF(J159&lt;Assumptions!$B$15,50,IF(J159&lt;Assumptions!$B$16,75,100))))</f>
        <v>0</v>
      </c>
      <c r="N159" s="2" t="n">
        <f aca="false">IF(K159&gt;Assumptions!$B$19,0,IF(K159&gt;=Assumptions!$B$20,25,IF(K159&gt;=Assumptions!$B$21,50,IF(K159&gt;=Assumptions!$B$22,75,100))))</f>
        <v>75</v>
      </c>
      <c r="O159" s="2" t="n">
        <f aca="false">IF(L159&gt;=Assumptions!$B$25,0,IF(L159&gt;=Assumptions!$B$26,25,IF(L159=Assumptions!$B$27,50,IF(L159=Assumptions!$B$28,75,100))))</f>
        <v>100</v>
      </c>
      <c r="P159" s="21" t="n">
        <f aca="false">M159*Assumptions!$B$4+N159*Assumptions!$B$5+O159*Assumptions!$B$6</f>
        <v>42.5</v>
      </c>
      <c r="Q159" s="21" t="n">
        <f aca="false">IF(J159&lt;=Assumptions!$B$8,0,P159)</f>
        <v>0</v>
      </c>
      <c r="R159" s="2" t="str">
        <f aca="false">IF(Q159&gt;=Assumptions!$B$9,"High",IF(Q159&gt;=Assumptions!$B$10,"Medium","Low"))</f>
        <v>Low</v>
      </c>
      <c r="S159" s="21" t="n">
        <f aca="false">(N159*Assumptions!$B$5+O159*Assumptions!$B$6)/(Assumptions!$B$5+Assumptions!$B$6)</f>
        <v>85</v>
      </c>
      <c r="T159" s="2" t="str">
        <f aca="false">IF(AND(J159&gt;Assumptions!$B$8,G159&lt;=Assumptions!$B$30),"Low confidence","")</f>
        <v/>
      </c>
      <c r="U159" s="2" t="n">
        <f aca="false">(J159&gt;40)+(F159&gt;2000)+(K159&lt;10)+(L159=0)</f>
        <v>2</v>
      </c>
      <c r="V159" s="21" t="n">
        <f aca="false">IF(J159&lt;20,0,IF(J159&lt;40,25,M159))*Assumptions!$B$4+N159*Assumptions!$B$5+O159*Assumptions!$B$6</f>
        <v>42.5</v>
      </c>
      <c r="W159" s="2" t="str">
        <f aca="false">IF(V159&gt;=70,"High",IF(V159&gt;=40,"Medium","Low"))</f>
        <v>Medium</v>
      </c>
    </row>
    <row r="160" customFormat="false" ht="15" hidden="false" customHeight="false" outlineLevel="0" collapsed="false">
      <c r="A160" s="2" t="s">
        <v>832</v>
      </c>
      <c r="B160" s="2" t="s">
        <v>1571</v>
      </c>
      <c r="C160" s="2" t="s">
        <v>1640</v>
      </c>
      <c r="D160" s="2" t="s">
        <v>1572</v>
      </c>
      <c r="E160" s="2" t="n">
        <v>6</v>
      </c>
      <c r="F160" s="9" t="n">
        <v>253</v>
      </c>
      <c r="G160" s="2" t="n">
        <v>1</v>
      </c>
      <c r="H160" s="2" t="n">
        <v>0</v>
      </c>
      <c r="I160" s="2" t="n">
        <v>1</v>
      </c>
      <c r="J160" s="2" t="n">
        <v>14</v>
      </c>
      <c r="K160" s="2" t="n">
        <v>7</v>
      </c>
      <c r="L160" s="2" t="n">
        <v>0</v>
      </c>
      <c r="M160" s="2" t="n">
        <f aca="false">IF(J160&lt;=Assumptions!$B$13,0,IF(J160&lt;Assumptions!$B$14,25,IF(J160&lt;Assumptions!$B$15,50,IF(J160&lt;Assumptions!$B$16,75,100))))</f>
        <v>0</v>
      </c>
      <c r="N160" s="2" t="n">
        <f aca="false">IF(K160&gt;Assumptions!$B$19,0,IF(K160&gt;=Assumptions!$B$20,25,IF(K160&gt;=Assumptions!$B$21,50,IF(K160&gt;=Assumptions!$B$22,75,100))))</f>
        <v>75</v>
      </c>
      <c r="O160" s="2" t="n">
        <f aca="false">IF(L160&gt;=Assumptions!$B$25,0,IF(L160&gt;=Assumptions!$B$26,25,IF(L160=Assumptions!$B$27,50,IF(L160=Assumptions!$B$28,75,100))))</f>
        <v>100</v>
      </c>
      <c r="P160" s="21" t="n">
        <f aca="false">M160*Assumptions!$B$4+N160*Assumptions!$B$5+O160*Assumptions!$B$6</f>
        <v>42.5</v>
      </c>
      <c r="Q160" s="21" t="n">
        <f aca="false">IF(J160&lt;=Assumptions!$B$8,0,P160)</f>
        <v>0</v>
      </c>
      <c r="R160" s="2" t="str">
        <f aca="false">IF(Q160&gt;=Assumptions!$B$9,"High",IF(Q160&gt;=Assumptions!$B$10,"Medium","Low"))</f>
        <v>Low</v>
      </c>
      <c r="S160" s="21" t="n">
        <f aca="false">(N160*Assumptions!$B$5+O160*Assumptions!$B$6)/(Assumptions!$B$5+Assumptions!$B$6)</f>
        <v>85</v>
      </c>
      <c r="T160" s="2" t="str">
        <f aca="false">IF(AND(J160&gt;Assumptions!$B$8,G160&lt;=Assumptions!$B$30),"Low confidence","")</f>
        <v/>
      </c>
      <c r="U160" s="2" t="n">
        <f aca="false">(J160&gt;40)+(F160&gt;2000)+(K160&lt;10)+(L160=0)</f>
        <v>2</v>
      </c>
      <c r="V160" s="21" t="n">
        <f aca="false">IF(J160&lt;20,0,IF(J160&lt;40,25,M160))*Assumptions!$B$4+N160*Assumptions!$B$5+O160*Assumptions!$B$6</f>
        <v>42.5</v>
      </c>
      <c r="W160" s="2" t="str">
        <f aca="false">IF(V160&gt;=70,"High",IF(V160&gt;=40,"Medium","Low"))</f>
        <v>Medium</v>
      </c>
    </row>
    <row r="161" customFormat="false" ht="15" hidden="false" customHeight="false" outlineLevel="0" collapsed="false">
      <c r="A161" s="2" t="s">
        <v>566</v>
      </c>
      <c r="B161" s="2" t="s">
        <v>1571</v>
      </c>
      <c r="C161" s="2" t="s">
        <v>1640</v>
      </c>
      <c r="D161" s="2" t="s">
        <v>1572</v>
      </c>
      <c r="E161" s="2" t="n">
        <v>12</v>
      </c>
      <c r="F161" s="9" t="n">
        <v>249</v>
      </c>
      <c r="G161" s="2" t="n">
        <v>2</v>
      </c>
      <c r="H161" s="2" t="n">
        <v>0</v>
      </c>
      <c r="I161" s="2" t="n">
        <v>2</v>
      </c>
      <c r="J161" s="2" t="n">
        <v>18</v>
      </c>
      <c r="K161" s="2" t="n">
        <v>5</v>
      </c>
      <c r="L161" s="2" t="n">
        <v>0</v>
      </c>
      <c r="M161" s="2" t="n">
        <f aca="false">IF(J161&lt;=Assumptions!$B$13,0,IF(J161&lt;Assumptions!$B$14,25,IF(J161&lt;Assumptions!$B$15,50,IF(J161&lt;Assumptions!$B$16,75,100))))</f>
        <v>0</v>
      </c>
      <c r="N161" s="2" t="n">
        <f aca="false">IF(K161&gt;Assumptions!$B$19,0,IF(K161&gt;=Assumptions!$B$20,25,IF(K161&gt;=Assumptions!$B$21,50,IF(K161&gt;=Assumptions!$B$22,75,100))))</f>
        <v>75</v>
      </c>
      <c r="O161" s="2" t="n">
        <f aca="false">IF(L161&gt;=Assumptions!$B$25,0,IF(L161&gt;=Assumptions!$B$26,25,IF(L161=Assumptions!$B$27,50,IF(L161=Assumptions!$B$28,75,100))))</f>
        <v>100</v>
      </c>
      <c r="P161" s="21" t="n">
        <f aca="false">M161*Assumptions!$B$4+N161*Assumptions!$B$5+O161*Assumptions!$B$6</f>
        <v>42.5</v>
      </c>
      <c r="Q161" s="21" t="n">
        <f aca="false">IF(J161&lt;=Assumptions!$B$8,0,P161)</f>
        <v>0</v>
      </c>
      <c r="R161" s="2" t="str">
        <f aca="false">IF(Q161&gt;=Assumptions!$B$9,"High",IF(Q161&gt;=Assumptions!$B$10,"Medium","Low"))</f>
        <v>Low</v>
      </c>
      <c r="S161" s="21" t="n">
        <f aca="false">(N161*Assumptions!$B$5+O161*Assumptions!$B$6)/(Assumptions!$B$5+Assumptions!$B$6)</f>
        <v>85</v>
      </c>
      <c r="T161" s="2" t="str">
        <f aca="false">IF(AND(J161&gt;Assumptions!$B$8,G161&lt;=Assumptions!$B$30),"Low confidence","")</f>
        <v/>
      </c>
      <c r="U161" s="2" t="n">
        <f aca="false">(J161&gt;40)+(F161&gt;2000)+(K161&lt;10)+(L161=0)</f>
        <v>2</v>
      </c>
      <c r="V161" s="21" t="n">
        <f aca="false">IF(J161&lt;20,0,IF(J161&lt;40,25,M161))*Assumptions!$B$4+N161*Assumptions!$B$5+O161*Assumptions!$B$6</f>
        <v>42.5</v>
      </c>
      <c r="W161" s="2" t="str">
        <f aca="false">IF(V161&gt;=70,"High",IF(V161&gt;=40,"Medium","Low"))</f>
        <v>Medium</v>
      </c>
    </row>
    <row r="162" customFormat="false" ht="15" hidden="false" customHeight="false" outlineLevel="0" collapsed="false">
      <c r="A162" s="2" t="s">
        <v>834</v>
      </c>
      <c r="B162" s="2" t="s">
        <v>1571</v>
      </c>
      <c r="C162" s="2" t="s">
        <v>1640</v>
      </c>
      <c r="D162" s="2" t="s">
        <v>1572</v>
      </c>
      <c r="E162" s="2" t="n">
        <v>16</v>
      </c>
      <c r="F162" s="9" t="n">
        <v>248</v>
      </c>
      <c r="G162" s="2" t="n">
        <v>1</v>
      </c>
      <c r="H162" s="2" t="n">
        <v>0</v>
      </c>
      <c r="I162" s="2" t="n">
        <v>1</v>
      </c>
      <c r="J162" s="2" t="n">
        <v>16</v>
      </c>
      <c r="K162" s="2" t="n">
        <v>17</v>
      </c>
      <c r="L162" s="2" t="n">
        <v>0</v>
      </c>
      <c r="M162" s="2" t="n">
        <f aca="false">IF(J162&lt;=Assumptions!$B$13,0,IF(J162&lt;Assumptions!$B$14,25,IF(J162&lt;Assumptions!$B$15,50,IF(J162&lt;Assumptions!$B$16,75,100))))</f>
        <v>0</v>
      </c>
      <c r="N162" s="2" t="n">
        <f aca="false">IF(K162&gt;Assumptions!$B$19,0,IF(K162&gt;=Assumptions!$B$20,25,IF(K162&gt;=Assumptions!$B$21,50,IF(K162&gt;=Assumptions!$B$22,75,100))))</f>
        <v>50</v>
      </c>
      <c r="O162" s="2" t="n">
        <f aca="false">IF(L162&gt;=Assumptions!$B$25,0,IF(L162&gt;=Assumptions!$B$26,25,IF(L162=Assumptions!$B$27,50,IF(L162=Assumptions!$B$28,75,100))))</f>
        <v>100</v>
      </c>
      <c r="P162" s="21" t="n">
        <f aca="false">M162*Assumptions!$B$4+N162*Assumptions!$B$5+O162*Assumptions!$B$6</f>
        <v>35</v>
      </c>
      <c r="Q162" s="21" t="n">
        <f aca="false">IF(J162&lt;=Assumptions!$B$8,0,P162)</f>
        <v>0</v>
      </c>
      <c r="R162" s="2" t="str">
        <f aca="false">IF(Q162&gt;=Assumptions!$B$9,"High",IF(Q162&gt;=Assumptions!$B$10,"Medium","Low"))</f>
        <v>Low</v>
      </c>
      <c r="S162" s="21" t="n">
        <f aca="false">(N162*Assumptions!$B$5+O162*Assumptions!$B$6)/(Assumptions!$B$5+Assumptions!$B$6)</f>
        <v>70</v>
      </c>
      <c r="T162" s="2" t="str">
        <f aca="false">IF(AND(J162&gt;Assumptions!$B$8,G162&lt;=Assumptions!$B$30),"Low confidence","")</f>
        <v/>
      </c>
      <c r="U162" s="2" t="n">
        <f aca="false">(J162&gt;40)+(F162&gt;2000)+(K162&lt;10)+(L162=0)</f>
        <v>1</v>
      </c>
      <c r="V162" s="21" t="n">
        <f aca="false">IF(J162&lt;20,0,IF(J162&lt;40,25,M162))*Assumptions!$B$4+N162*Assumptions!$B$5+O162*Assumptions!$B$6</f>
        <v>35</v>
      </c>
      <c r="W162" s="2" t="str">
        <f aca="false">IF(V162&gt;=70,"High",IF(V162&gt;=40,"Medium","Low"))</f>
        <v>Low</v>
      </c>
    </row>
    <row r="163" customFormat="false" ht="15" hidden="false" customHeight="false" outlineLevel="0" collapsed="false">
      <c r="A163" s="2" t="s">
        <v>838</v>
      </c>
      <c r="B163" s="2" t="s">
        <v>1571</v>
      </c>
      <c r="C163" s="2" t="s">
        <v>1641</v>
      </c>
      <c r="D163" s="2"/>
      <c r="E163" s="2" t="n">
        <v>6</v>
      </c>
      <c r="F163" s="9" t="n">
        <v>242</v>
      </c>
      <c r="G163" s="2" t="n">
        <v>1</v>
      </c>
      <c r="H163" s="2" t="n">
        <v>0</v>
      </c>
      <c r="I163" s="2" t="n">
        <v>1</v>
      </c>
      <c r="J163" s="2" t="n">
        <v>9</v>
      </c>
      <c r="K163" s="2" t="n">
        <v>7</v>
      </c>
      <c r="L163" s="2" t="n">
        <v>1</v>
      </c>
      <c r="M163" s="2" t="n">
        <f aca="false">IF(J163&lt;=Assumptions!$B$13,0,IF(J163&lt;Assumptions!$B$14,25,IF(J163&lt;Assumptions!$B$15,50,IF(J163&lt;Assumptions!$B$16,75,100))))</f>
        <v>0</v>
      </c>
      <c r="N163" s="2" t="n">
        <f aca="false">IF(K163&gt;Assumptions!$B$19,0,IF(K163&gt;=Assumptions!$B$20,25,IF(K163&gt;=Assumptions!$B$21,50,IF(K163&gt;=Assumptions!$B$22,75,100))))</f>
        <v>75</v>
      </c>
      <c r="O163" s="2" t="n">
        <f aca="false">IF(L163&gt;=Assumptions!$B$25,0,IF(L163&gt;=Assumptions!$B$26,25,IF(L163=Assumptions!$B$27,50,IF(L163=Assumptions!$B$28,75,100))))</f>
        <v>75</v>
      </c>
      <c r="P163" s="21" t="n">
        <f aca="false">M163*Assumptions!$B$4+N163*Assumptions!$B$5+O163*Assumptions!$B$6</f>
        <v>37.5</v>
      </c>
      <c r="Q163" s="21" t="n">
        <f aca="false">IF(J163&lt;=Assumptions!$B$8,0,P163)</f>
        <v>0</v>
      </c>
      <c r="R163" s="2" t="str">
        <f aca="false">IF(Q163&gt;=Assumptions!$B$9,"High",IF(Q163&gt;=Assumptions!$B$10,"Medium","Low"))</f>
        <v>Low</v>
      </c>
      <c r="S163" s="21" t="n">
        <f aca="false">(N163*Assumptions!$B$5+O163*Assumptions!$B$6)/(Assumptions!$B$5+Assumptions!$B$6)</f>
        <v>75</v>
      </c>
      <c r="T163" s="2" t="str">
        <f aca="false">IF(AND(J163&gt;Assumptions!$B$8,G163&lt;=Assumptions!$B$30),"Low confidence","")</f>
        <v/>
      </c>
      <c r="U163" s="2" t="n">
        <f aca="false">(J163&gt;40)+(F163&gt;2000)+(K163&lt;10)+(L163=0)</f>
        <v>1</v>
      </c>
      <c r="V163" s="21" t="n">
        <f aca="false">IF(J163&lt;20,0,IF(J163&lt;40,25,M163))*Assumptions!$B$4+N163*Assumptions!$B$5+O163*Assumptions!$B$6</f>
        <v>37.5</v>
      </c>
      <c r="W163" s="2" t="str">
        <f aca="false">IF(V163&gt;=70,"High",IF(V163&gt;=40,"Medium","Low"))</f>
        <v>Low</v>
      </c>
    </row>
    <row r="164" customFormat="false" ht="15" hidden="false" customHeight="false" outlineLevel="0" collapsed="false">
      <c r="A164" s="2" t="s">
        <v>842</v>
      </c>
      <c r="B164" s="2" t="s">
        <v>1571</v>
      </c>
      <c r="C164" s="2" t="s">
        <v>1640</v>
      </c>
      <c r="D164" s="2" t="s">
        <v>1572</v>
      </c>
      <c r="E164" s="2" t="n">
        <v>6</v>
      </c>
      <c r="F164" s="9" t="n">
        <v>240</v>
      </c>
      <c r="G164" s="2" t="n">
        <v>1</v>
      </c>
      <c r="H164" s="2" t="n">
        <v>0</v>
      </c>
      <c r="I164" s="2" t="n">
        <v>1</v>
      </c>
      <c r="J164" s="2" t="n">
        <v>6</v>
      </c>
      <c r="K164" s="2" t="n">
        <v>9</v>
      </c>
      <c r="L164" s="2" t="n">
        <v>1</v>
      </c>
      <c r="M164" s="2" t="n">
        <f aca="false">IF(J164&lt;=Assumptions!$B$13,0,IF(J164&lt;Assumptions!$B$14,25,IF(J164&lt;Assumptions!$B$15,50,IF(J164&lt;Assumptions!$B$16,75,100))))</f>
        <v>0</v>
      </c>
      <c r="N164" s="2" t="n">
        <f aca="false">IF(K164&gt;Assumptions!$B$19,0,IF(K164&gt;=Assumptions!$B$20,25,IF(K164&gt;=Assumptions!$B$21,50,IF(K164&gt;=Assumptions!$B$22,75,100))))</f>
        <v>75</v>
      </c>
      <c r="O164" s="2" t="n">
        <f aca="false">IF(L164&gt;=Assumptions!$B$25,0,IF(L164&gt;=Assumptions!$B$26,25,IF(L164=Assumptions!$B$27,50,IF(L164=Assumptions!$B$28,75,100))))</f>
        <v>75</v>
      </c>
      <c r="P164" s="21" t="n">
        <f aca="false">M164*Assumptions!$B$4+N164*Assumptions!$B$5+O164*Assumptions!$B$6</f>
        <v>37.5</v>
      </c>
      <c r="Q164" s="21" t="n">
        <f aca="false">IF(J164&lt;=Assumptions!$B$8,0,P164)</f>
        <v>0</v>
      </c>
      <c r="R164" s="2" t="str">
        <f aca="false">IF(Q164&gt;=Assumptions!$B$9,"High",IF(Q164&gt;=Assumptions!$B$10,"Medium","Low"))</f>
        <v>Low</v>
      </c>
      <c r="S164" s="21" t="n">
        <f aca="false">(N164*Assumptions!$B$5+O164*Assumptions!$B$6)/(Assumptions!$B$5+Assumptions!$B$6)</f>
        <v>75</v>
      </c>
      <c r="T164" s="2" t="str">
        <f aca="false">IF(AND(J164&gt;Assumptions!$B$8,G164&lt;=Assumptions!$B$30),"Low confidence","")</f>
        <v/>
      </c>
      <c r="U164" s="2" t="n">
        <f aca="false">(J164&gt;40)+(F164&gt;2000)+(K164&lt;10)+(L164=0)</f>
        <v>1</v>
      </c>
      <c r="V164" s="21" t="n">
        <f aca="false">IF(J164&lt;20,0,IF(J164&lt;40,25,M164))*Assumptions!$B$4+N164*Assumptions!$B$5+O164*Assumptions!$B$6</f>
        <v>37.5</v>
      </c>
      <c r="W164" s="2" t="str">
        <f aca="false">IF(V164&gt;=70,"High",IF(V164&gt;=40,"Medium","Low"))</f>
        <v>Low</v>
      </c>
    </row>
    <row r="165" customFormat="false" ht="15" hidden="false" customHeight="false" outlineLevel="0" collapsed="false">
      <c r="A165" s="2" t="s">
        <v>844</v>
      </c>
      <c r="B165" s="2" t="s">
        <v>1571</v>
      </c>
      <c r="C165" s="2" t="s">
        <v>1640</v>
      </c>
      <c r="D165" s="2"/>
      <c r="E165" s="2" t="n">
        <v>6</v>
      </c>
      <c r="F165" s="9" t="n">
        <v>230</v>
      </c>
      <c r="G165" s="2" t="n">
        <v>1</v>
      </c>
      <c r="H165" s="2" t="n">
        <v>0</v>
      </c>
      <c r="I165" s="2" t="n">
        <v>1</v>
      </c>
      <c r="J165" s="2" t="n">
        <v>18</v>
      </c>
      <c r="K165" s="2" t="n">
        <v>20</v>
      </c>
      <c r="L165" s="2" t="n">
        <v>0</v>
      </c>
      <c r="M165" s="2" t="n">
        <f aca="false">IF(J165&lt;=Assumptions!$B$13,0,IF(J165&lt;Assumptions!$B$14,25,IF(J165&lt;Assumptions!$B$15,50,IF(J165&lt;Assumptions!$B$16,75,100))))</f>
        <v>0</v>
      </c>
      <c r="N165" s="2" t="n">
        <f aca="false">IF(K165&gt;Assumptions!$B$19,0,IF(K165&gt;=Assumptions!$B$20,25,IF(K165&gt;=Assumptions!$B$21,50,IF(K165&gt;=Assumptions!$B$22,75,100))))</f>
        <v>25</v>
      </c>
      <c r="O165" s="2" t="n">
        <f aca="false">IF(L165&gt;=Assumptions!$B$25,0,IF(L165&gt;=Assumptions!$B$26,25,IF(L165=Assumptions!$B$27,50,IF(L165=Assumptions!$B$28,75,100))))</f>
        <v>100</v>
      </c>
      <c r="P165" s="21" t="n">
        <f aca="false">M165*Assumptions!$B$4+N165*Assumptions!$B$5+O165*Assumptions!$B$6</f>
        <v>27.5</v>
      </c>
      <c r="Q165" s="21" t="n">
        <f aca="false">IF(J165&lt;=Assumptions!$B$8,0,P165)</f>
        <v>0</v>
      </c>
      <c r="R165" s="2" t="str">
        <f aca="false">IF(Q165&gt;=Assumptions!$B$9,"High",IF(Q165&gt;=Assumptions!$B$10,"Medium","Low"))</f>
        <v>Low</v>
      </c>
      <c r="S165" s="21" t="n">
        <f aca="false">(N165*Assumptions!$B$5+O165*Assumptions!$B$6)/(Assumptions!$B$5+Assumptions!$B$6)</f>
        <v>55</v>
      </c>
      <c r="T165" s="2" t="str">
        <f aca="false">IF(AND(J165&gt;Assumptions!$B$8,G165&lt;=Assumptions!$B$30),"Low confidence","")</f>
        <v/>
      </c>
      <c r="U165" s="2" t="n">
        <f aca="false">(J165&gt;40)+(F165&gt;2000)+(K165&lt;10)+(L165=0)</f>
        <v>1</v>
      </c>
      <c r="V165" s="21" t="n">
        <f aca="false">IF(J165&lt;20,0,IF(J165&lt;40,25,M165))*Assumptions!$B$4+N165*Assumptions!$B$5+O165*Assumptions!$B$6</f>
        <v>27.5</v>
      </c>
      <c r="W165" s="2" t="str">
        <f aca="false">IF(V165&gt;=70,"High",IF(V165&gt;=40,"Medium","Low"))</f>
        <v>Low</v>
      </c>
    </row>
    <row r="166" customFormat="false" ht="15" hidden="false" customHeight="false" outlineLevel="0" collapsed="false">
      <c r="A166" s="2" t="s">
        <v>846</v>
      </c>
      <c r="B166" s="2" t="s">
        <v>1571</v>
      </c>
      <c r="C166" s="2" t="s">
        <v>1640</v>
      </c>
      <c r="D166" s="2"/>
      <c r="E166" s="2" t="n">
        <v>6</v>
      </c>
      <c r="F166" s="9" t="n">
        <v>222</v>
      </c>
      <c r="G166" s="2" t="n">
        <v>2</v>
      </c>
      <c r="H166" s="2" t="n">
        <v>0</v>
      </c>
      <c r="I166" s="2" t="n">
        <v>2</v>
      </c>
      <c r="J166" s="2" t="n">
        <v>5</v>
      </c>
      <c r="K166" s="2" t="n">
        <v>54</v>
      </c>
      <c r="L166" s="2" t="n">
        <v>3</v>
      </c>
      <c r="M166" s="2" t="n">
        <f aca="false">IF(J166&lt;=Assumptions!$B$13,0,IF(J166&lt;Assumptions!$B$14,25,IF(J166&lt;Assumptions!$B$15,50,IF(J166&lt;Assumptions!$B$16,75,100))))</f>
        <v>0</v>
      </c>
      <c r="N166" s="2" t="n">
        <f aca="false">IF(K166&gt;Assumptions!$B$19,0,IF(K166&gt;=Assumptions!$B$20,25,IF(K166&gt;=Assumptions!$B$21,50,IF(K166&gt;=Assumptions!$B$22,75,100))))</f>
        <v>0</v>
      </c>
      <c r="O166" s="2" t="n">
        <f aca="false">IF(L166&gt;=Assumptions!$B$25,0,IF(L166&gt;=Assumptions!$B$26,25,IF(L166=Assumptions!$B$27,50,IF(L166=Assumptions!$B$28,75,100))))</f>
        <v>25</v>
      </c>
      <c r="P166" s="21" t="n">
        <f aca="false">M166*Assumptions!$B$4+N166*Assumptions!$B$5+O166*Assumptions!$B$6</f>
        <v>5</v>
      </c>
      <c r="Q166" s="21" t="n">
        <f aca="false">IF(J166&lt;=Assumptions!$B$8,0,P166)</f>
        <v>0</v>
      </c>
      <c r="R166" s="2" t="str">
        <f aca="false">IF(Q166&gt;=Assumptions!$B$9,"High",IF(Q166&gt;=Assumptions!$B$10,"Medium","Low"))</f>
        <v>Low</v>
      </c>
      <c r="S166" s="21" t="n">
        <f aca="false">(N166*Assumptions!$B$5+O166*Assumptions!$B$6)/(Assumptions!$B$5+Assumptions!$B$6)</f>
        <v>10</v>
      </c>
      <c r="T166" s="2" t="str">
        <f aca="false">IF(AND(J166&gt;Assumptions!$B$8,G166&lt;=Assumptions!$B$30),"Low confidence","")</f>
        <v/>
      </c>
      <c r="U166" s="2" t="n">
        <f aca="false">(J166&gt;40)+(F166&gt;2000)+(K166&lt;10)+(L166=0)</f>
        <v>0</v>
      </c>
      <c r="V166" s="21" t="n">
        <f aca="false">IF(J166&lt;20,0,IF(J166&lt;40,25,M166))*Assumptions!$B$4+N166*Assumptions!$B$5+O166*Assumptions!$B$6</f>
        <v>5</v>
      </c>
      <c r="W166" s="2" t="str">
        <f aca="false">IF(V166&gt;=70,"High",IF(V166&gt;=40,"Medium","Low"))</f>
        <v>Low</v>
      </c>
    </row>
    <row r="167" customFormat="false" ht="15" hidden="false" customHeight="false" outlineLevel="0" collapsed="false">
      <c r="A167" s="2" t="s">
        <v>848</v>
      </c>
      <c r="B167" s="2" t="s">
        <v>1571</v>
      </c>
      <c r="C167" s="2" t="s">
        <v>1640</v>
      </c>
      <c r="D167" s="2"/>
      <c r="E167" s="2" t="n">
        <v>6</v>
      </c>
      <c r="F167" s="9" t="n">
        <v>217</v>
      </c>
      <c r="G167" s="2" t="n">
        <v>2</v>
      </c>
      <c r="H167" s="2" t="n">
        <v>0</v>
      </c>
      <c r="I167" s="2" t="n">
        <v>2</v>
      </c>
      <c r="J167" s="2" t="n">
        <v>0</v>
      </c>
      <c r="K167" s="2" t="n">
        <v>7</v>
      </c>
      <c r="L167" s="2" t="n">
        <v>0</v>
      </c>
      <c r="M167" s="2" t="n">
        <f aca="false">IF(J167&lt;=Assumptions!$B$13,0,IF(J167&lt;Assumptions!$B$14,25,IF(J167&lt;Assumptions!$B$15,50,IF(J167&lt;Assumptions!$B$16,75,100))))</f>
        <v>0</v>
      </c>
      <c r="N167" s="2" t="n">
        <f aca="false">IF(K167&gt;Assumptions!$B$19,0,IF(K167&gt;=Assumptions!$B$20,25,IF(K167&gt;=Assumptions!$B$21,50,IF(K167&gt;=Assumptions!$B$22,75,100))))</f>
        <v>75</v>
      </c>
      <c r="O167" s="2" t="n">
        <f aca="false">IF(L167&gt;=Assumptions!$B$25,0,IF(L167&gt;=Assumptions!$B$26,25,IF(L167=Assumptions!$B$27,50,IF(L167=Assumptions!$B$28,75,100))))</f>
        <v>100</v>
      </c>
      <c r="P167" s="21" t="n">
        <f aca="false">M167*Assumptions!$B$4+N167*Assumptions!$B$5+O167*Assumptions!$B$6</f>
        <v>42.5</v>
      </c>
      <c r="Q167" s="21" t="n">
        <f aca="false">IF(J167&lt;=Assumptions!$B$8,0,P167)</f>
        <v>0</v>
      </c>
      <c r="R167" s="2" t="str">
        <f aca="false">IF(Q167&gt;=Assumptions!$B$9,"High",IF(Q167&gt;=Assumptions!$B$10,"Medium","Low"))</f>
        <v>Low</v>
      </c>
      <c r="S167" s="21" t="n">
        <f aca="false">(N167*Assumptions!$B$5+O167*Assumptions!$B$6)/(Assumptions!$B$5+Assumptions!$B$6)</f>
        <v>85</v>
      </c>
      <c r="T167" s="2" t="str">
        <f aca="false">IF(AND(J167&gt;Assumptions!$B$8,G167&lt;=Assumptions!$B$30),"Low confidence","")</f>
        <v/>
      </c>
      <c r="U167" s="2" t="n">
        <f aca="false">(J167&gt;40)+(F167&gt;2000)+(K167&lt;10)+(L167=0)</f>
        <v>2</v>
      </c>
      <c r="V167" s="21" t="n">
        <f aca="false">IF(J167&lt;20,0,IF(J167&lt;40,25,M167))*Assumptions!$B$4+N167*Assumptions!$B$5+O167*Assumptions!$B$6</f>
        <v>42.5</v>
      </c>
      <c r="W167" s="2" t="str">
        <f aca="false">IF(V167&gt;=70,"High",IF(V167&gt;=40,"Medium","Low"))</f>
        <v>Medium</v>
      </c>
    </row>
    <row r="168" customFormat="false" ht="15" hidden="false" customHeight="false" outlineLevel="0" collapsed="false">
      <c r="A168" s="2" t="s">
        <v>858</v>
      </c>
      <c r="B168" s="2" t="s">
        <v>1571</v>
      </c>
      <c r="C168" s="2" t="s">
        <v>1640</v>
      </c>
      <c r="D168" s="2" t="s">
        <v>1572</v>
      </c>
      <c r="E168" s="2" t="n">
        <v>7</v>
      </c>
      <c r="F168" s="9" t="n">
        <v>209</v>
      </c>
      <c r="G168" s="2" t="n">
        <v>1</v>
      </c>
      <c r="H168" s="2" t="n">
        <v>0</v>
      </c>
      <c r="I168" s="2" t="n">
        <v>1</v>
      </c>
      <c r="J168" s="2" t="n">
        <v>4</v>
      </c>
      <c r="K168" s="2" t="n">
        <v>9</v>
      </c>
      <c r="L168" s="2" t="n">
        <v>5</v>
      </c>
      <c r="M168" s="2" t="n">
        <f aca="false">IF(J168&lt;=Assumptions!$B$13,0,IF(J168&lt;Assumptions!$B$14,25,IF(J168&lt;Assumptions!$B$15,50,IF(J168&lt;Assumptions!$B$16,75,100))))</f>
        <v>0</v>
      </c>
      <c r="N168" s="2" t="n">
        <f aca="false">IF(K168&gt;Assumptions!$B$19,0,IF(K168&gt;=Assumptions!$B$20,25,IF(K168&gt;=Assumptions!$B$21,50,IF(K168&gt;=Assumptions!$B$22,75,100))))</f>
        <v>75</v>
      </c>
      <c r="O168" s="2" t="n">
        <f aca="false">IF(L168&gt;=Assumptions!$B$25,0,IF(L168&gt;=Assumptions!$B$26,25,IF(L168=Assumptions!$B$27,50,IF(L168=Assumptions!$B$28,75,100))))</f>
        <v>0</v>
      </c>
      <c r="P168" s="21" t="n">
        <f aca="false">M168*Assumptions!$B$4+N168*Assumptions!$B$5+O168*Assumptions!$B$6</f>
        <v>22.5</v>
      </c>
      <c r="Q168" s="21" t="n">
        <f aca="false">IF(J168&lt;=Assumptions!$B$8,0,P168)</f>
        <v>0</v>
      </c>
      <c r="R168" s="2" t="str">
        <f aca="false">IF(Q168&gt;=Assumptions!$B$9,"High",IF(Q168&gt;=Assumptions!$B$10,"Medium","Low"))</f>
        <v>Low</v>
      </c>
      <c r="S168" s="21" t="n">
        <f aca="false">(N168*Assumptions!$B$5+O168*Assumptions!$B$6)/(Assumptions!$B$5+Assumptions!$B$6)</f>
        <v>45</v>
      </c>
      <c r="T168" s="2" t="str">
        <f aca="false">IF(AND(J168&gt;Assumptions!$B$8,G168&lt;=Assumptions!$B$30),"Low confidence","")</f>
        <v/>
      </c>
      <c r="U168" s="2" t="n">
        <f aca="false">(J168&gt;40)+(F168&gt;2000)+(K168&lt;10)+(L168=0)</f>
        <v>1</v>
      </c>
      <c r="V168" s="21" t="n">
        <f aca="false">IF(J168&lt;20,0,IF(J168&lt;40,25,M168))*Assumptions!$B$4+N168*Assumptions!$B$5+O168*Assumptions!$B$6</f>
        <v>22.5</v>
      </c>
      <c r="W168" s="2" t="str">
        <f aca="false">IF(V168&gt;=70,"High",IF(V168&gt;=40,"Medium","Low"))</f>
        <v>Low</v>
      </c>
    </row>
    <row r="169" customFormat="false" ht="15" hidden="false" customHeight="false" outlineLevel="0" collapsed="false">
      <c r="A169" s="2" t="s">
        <v>862</v>
      </c>
      <c r="B169" s="2" t="s">
        <v>1571</v>
      </c>
      <c r="C169" s="2" t="s">
        <v>1640</v>
      </c>
      <c r="D169" s="2"/>
      <c r="E169" s="2" t="n">
        <v>6</v>
      </c>
      <c r="F169" s="9" t="n">
        <v>200</v>
      </c>
      <c r="G169" s="2" t="n">
        <v>1</v>
      </c>
      <c r="H169" s="2" t="n">
        <v>0</v>
      </c>
      <c r="I169" s="2" t="n">
        <v>1</v>
      </c>
      <c r="J169" s="2" t="n">
        <v>18</v>
      </c>
      <c r="K169" s="2" t="n">
        <v>8</v>
      </c>
      <c r="L169" s="2" t="n">
        <v>0</v>
      </c>
      <c r="M169" s="2" t="n">
        <f aca="false">IF(J169&lt;=Assumptions!$B$13,0,IF(J169&lt;Assumptions!$B$14,25,IF(J169&lt;Assumptions!$B$15,50,IF(J169&lt;Assumptions!$B$16,75,100))))</f>
        <v>0</v>
      </c>
      <c r="N169" s="2" t="n">
        <f aca="false">IF(K169&gt;Assumptions!$B$19,0,IF(K169&gt;=Assumptions!$B$20,25,IF(K169&gt;=Assumptions!$B$21,50,IF(K169&gt;=Assumptions!$B$22,75,100))))</f>
        <v>75</v>
      </c>
      <c r="O169" s="2" t="n">
        <f aca="false">IF(L169&gt;=Assumptions!$B$25,0,IF(L169&gt;=Assumptions!$B$26,25,IF(L169=Assumptions!$B$27,50,IF(L169=Assumptions!$B$28,75,100))))</f>
        <v>100</v>
      </c>
      <c r="P169" s="21" t="n">
        <f aca="false">M169*Assumptions!$B$4+N169*Assumptions!$B$5+O169*Assumptions!$B$6</f>
        <v>42.5</v>
      </c>
      <c r="Q169" s="21" t="n">
        <f aca="false">IF(J169&lt;=Assumptions!$B$8,0,P169)</f>
        <v>0</v>
      </c>
      <c r="R169" s="2" t="str">
        <f aca="false">IF(Q169&gt;=Assumptions!$B$9,"High",IF(Q169&gt;=Assumptions!$B$10,"Medium","Low"))</f>
        <v>Low</v>
      </c>
      <c r="S169" s="21" t="n">
        <f aca="false">(N169*Assumptions!$B$5+O169*Assumptions!$B$6)/(Assumptions!$B$5+Assumptions!$B$6)</f>
        <v>85</v>
      </c>
      <c r="T169" s="2" t="str">
        <f aca="false">IF(AND(J169&gt;Assumptions!$B$8,G169&lt;=Assumptions!$B$30),"Low confidence","")</f>
        <v/>
      </c>
      <c r="U169" s="2" t="n">
        <f aca="false">(J169&gt;40)+(F169&gt;2000)+(K169&lt;10)+(L169=0)</f>
        <v>2</v>
      </c>
      <c r="V169" s="21" t="n">
        <f aca="false">IF(J169&lt;20,0,IF(J169&lt;40,25,M169))*Assumptions!$B$4+N169*Assumptions!$B$5+O169*Assumptions!$B$6</f>
        <v>42.5</v>
      </c>
      <c r="W169" s="2" t="str">
        <f aca="false">IF(V169&gt;=70,"High",IF(V169&gt;=40,"Medium","Low"))</f>
        <v>Medium</v>
      </c>
    </row>
    <row r="170" customFormat="false" ht="15" hidden="false" customHeight="false" outlineLevel="0" collapsed="false">
      <c r="A170" s="2" t="s">
        <v>864</v>
      </c>
      <c r="B170" s="2" t="s">
        <v>1571</v>
      </c>
      <c r="C170" s="2" t="s">
        <v>1641</v>
      </c>
      <c r="D170" s="2"/>
      <c r="E170" s="2" t="n">
        <v>6</v>
      </c>
      <c r="F170" s="9" t="n">
        <v>200</v>
      </c>
      <c r="G170" s="2" t="n">
        <v>1</v>
      </c>
      <c r="H170" s="2" t="n">
        <v>0</v>
      </c>
      <c r="I170" s="2" t="n">
        <v>1</v>
      </c>
      <c r="J170" s="2" t="n">
        <v>18</v>
      </c>
      <c r="K170" s="2" t="n">
        <v>6</v>
      </c>
      <c r="L170" s="2" t="n">
        <v>0</v>
      </c>
      <c r="M170" s="2" t="n">
        <f aca="false">IF(J170&lt;=Assumptions!$B$13,0,IF(J170&lt;Assumptions!$B$14,25,IF(J170&lt;Assumptions!$B$15,50,IF(J170&lt;Assumptions!$B$16,75,100))))</f>
        <v>0</v>
      </c>
      <c r="N170" s="2" t="n">
        <f aca="false">IF(K170&gt;Assumptions!$B$19,0,IF(K170&gt;=Assumptions!$B$20,25,IF(K170&gt;=Assumptions!$B$21,50,IF(K170&gt;=Assumptions!$B$22,75,100))))</f>
        <v>75</v>
      </c>
      <c r="O170" s="2" t="n">
        <f aca="false">IF(L170&gt;=Assumptions!$B$25,0,IF(L170&gt;=Assumptions!$B$26,25,IF(L170=Assumptions!$B$27,50,IF(L170=Assumptions!$B$28,75,100))))</f>
        <v>100</v>
      </c>
      <c r="P170" s="21" t="n">
        <f aca="false">M170*Assumptions!$B$4+N170*Assumptions!$B$5+O170*Assumptions!$B$6</f>
        <v>42.5</v>
      </c>
      <c r="Q170" s="21" t="n">
        <f aca="false">IF(J170&lt;=Assumptions!$B$8,0,P170)</f>
        <v>0</v>
      </c>
      <c r="R170" s="2" t="str">
        <f aca="false">IF(Q170&gt;=Assumptions!$B$9,"High",IF(Q170&gt;=Assumptions!$B$10,"Medium","Low"))</f>
        <v>Low</v>
      </c>
      <c r="S170" s="21" t="n">
        <f aca="false">(N170*Assumptions!$B$5+O170*Assumptions!$B$6)/(Assumptions!$B$5+Assumptions!$B$6)</f>
        <v>85</v>
      </c>
      <c r="T170" s="2" t="str">
        <f aca="false">IF(AND(J170&gt;Assumptions!$B$8,G170&lt;=Assumptions!$B$30),"Low confidence","")</f>
        <v/>
      </c>
      <c r="U170" s="2" t="n">
        <f aca="false">(J170&gt;40)+(F170&gt;2000)+(K170&lt;10)+(L170=0)</f>
        <v>2</v>
      </c>
      <c r="V170" s="21" t="n">
        <f aca="false">IF(J170&lt;20,0,IF(J170&lt;40,25,M170))*Assumptions!$B$4+N170*Assumptions!$B$5+O170*Assumptions!$B$6</f>
        <v>42.5</v>
      </c>
      <c r="W170" s="2" t="str">
        <f aca="false">IF(V170&gt;=70,"High",IF(V170&gt;=40,"Medium","Low"))</f>
        <v>Medium</v>
      </c>
    </row>
    <row r="171" customFormat="false" ht="15" hidden="false" customHeight="false" outlineLevel="0" collapsed="false">
      <c r="A171" s="2" t="s">
        <v>866</v>
      </c>
      <c r="B171" s="2" t="s">
        <v>1571</v>
      </c>
      <c r="C171" s="2" t="s">
        <v>1640</v>
      </c>
      <c r="D171" s="2"/>
      <c r="E171" s="2" t="n">
        <v>6</v>
      </c>
      <c r="F171" s="9" t="n">
        <v>196</v>
      </c>
      <c r="G171" s="2" t="n">
        <v>1</v>
      </c>
      <c r="H171" s="2" t="n">
        <v>0</v>
      </c>
      <c r="I171" s="2" t="n">
        <v>1</v>
      </c>
      <c r="J171" s="2" t="n">
        <v>17</v>
      </c>
      <c r="K171" s="2" t="n">
        <v>5</v>
      </c>
      <c r="L171" s="2" t="n">
        <v>0</v>
      </c>
      <c r="M171" s="2" t="n">
        <f aca="false">IF(J171&lt;=Assumptions!$B$13,0,IF(J171&lt;Assumptions!$B$14,25,IF(J171&lt;Assumptions!$B$15,50,IF(J171&lt;Assumptions!$B$16,75,100))))</f>
        <v>0</v>
      </c>
      <c r="N171" s="2" t="n">
        <f aca="false">IF(K171&gt;Assumptions!$B$19,0,IF(K171&gt;=Assumptions!$B$20,25,IF(K171&gt;=Assumptions!$B$21,50,IF(K171&gt;=Assumptions!$B$22,75,100))))</f>
        <v>75</v>
      </c>
      <c r="O171" s="2" t="n">
        <f aca="false">IF(L171&gt;=Assumptions!$B$25,0,IF(L171&gt;=Assumptions!$B$26,25,IF(L171=Assumptions!$B$27,50,IF(L171=Assumptions!$B$28,75,100))))</f>
        <v>100</v>
      </c>
      <c r="P171" s="21" t="n">
        <f aca="false">M171*Assumptions!$B$4+N171*Assumptions!$B$5+O171*Assumptions!$B$6</f>
        <v>42.5</v>
      </c>
      <c r="Q171" s="21" t="n">
        <f aca="false">IF(J171&lt;=Assumptions!$B$8,0,P171)</f>
        <v>0</v>
      </c>
      <c r="R171" s="2" t="str">
        <f aca="false">IF(Q171&gt;=Assumptions!$B$9,"High",IF(Q171&gt;=Assumptions!$B$10,"Medium","Low"))</f>
        <v>Low</v>
      </c>
      <c r="S171" s="21" t="n">
        <f aca="false">(N171*Assumptions!$B$5+O171*Assumptions!$B$6)/(Assumptions!$B$5+Assumptions!$B$6)</f>
        <v>85</v>
      </c>
      <c r="T171" s="2" t="str">
        <f aca="false">IF(AND(J171&gt;Assumptions!$B$8,G171&lt;=Assumptions!$B$30),"Low confidence","")</f>
        <v/>
      </c>
      <c r="U171" s="2" t="n">
        <f aca="false">(J171&gt;40)+(F171&gt;2000)+(K171&lt;10)+(L171=0)</f>
        <v>2</v>
      </c>
      <c r="V171" s="21" t="n">
        <f aca="false">IF(J171&lt;20,0,IF(J171&lt;40,25,M171))*Assumptions!$B$4+N171*Assumptions!$B$5+O171*Assumptions!$B$6</f>
        <v>42.5</v>
      </c>
      <c r="W171" s="2" t="str">
        <f aca="false">IF(V171&gt;=70,"High",IF(V171&gt;=40,"Medium","Low"))</f>
        <v>Medium</v>
      </c>
    </row>
    <row r="172" customFormat="false" ht="15" hidden="false" customHeight="false" outlineLevel="0" collapsed="false">
      <c r="A172" s="2" t="s">
        <v>870</v>
      </c>
      <c r="B172" s="2" t="s">
        <v>1571</v>
      </c>
      <c r="C172" s="2" t="s">
        <v>1640</v>
      </c>
      <c r="D172" s="2" t="s">
        <v>1572</v>
      </c>
      <c r="E172" s="2" t="n">
        <v>6</v>
      </c>
      <c r="F172" s="9" t="n">
        <v>192</v>
      </c>
      <c r="G172" s="2" t="n">
        <v>1</v>
      </c>
      <c r="H172" s="2" t="n">
        <v>0</v>
      </c>
      <c r="I172" s="2" t="n">
        <v>1</v>
      </c>
      <c r="J172" s="2" t="n">
        <v>20</v>
      </c>
      <c r="K172" s="2" t="n">
        <v>3</v>
      </c>
      <c r="L172" s="2" t="n">
        <v>0</v>
      </c>
      <c r="M172" s="2" t="n">
        <f aca="false">IF(J172&lt;=Assumptions!$B$13,0,IF(J172&lt;Assumptions!$B$14,25,IF(J172&lt;Assumptions!$B$15,50,IF(J172&lt;Assumptions!$B$16,75,100))))</f>
        <v>0</v>
      </c>
      <c r="N172" s="2" t="n">
        <f aca="false">IF(K172&gt;Assumptions!$B$19,0,IF(K172&gt;=Assumptions!$B$20,25,IF(K172&gt;=Assumptions!$B$21,50,IF(K172&gt;=Assumptions!$B$22,75,100))))</f>
        <v>100</v>
      </c>
      <c r="O172" s="2" t="n">
        <f aca="false">IF(L172&gt;=Assumptions!$B$25,0,IF(L172&gt;=Assumptions!$B$26,25,IF(L172=Assumptions!$B$27,50,IF(L172=Assumptions!$B$28,75,100))))</f>
        <v>100</v>
      </c>
      <c r="P172" s="21" t="n">
        <f aca="false">M172*Assumptions!$B$4+N172*Assumptions!$B$5+O172*Assumptions!$B$6</f>
        <v>50</v>
      </c>
      <c r="Q172" s="21" t="n">
        <f aca="false">IF(J172&lt;=Assumptions!$B$8,0,P172)</f>
        <v>0</v>
      </c>
      <c r="R172" s="2" t="str">
        <f aca="false">IF(Q172&gt;=Assumptions!$B$9,"High",IF(Q172&gt;=Assumptions!$B$10,"Medium","Low"))</f>
        <v>Low</v>
      </c>
      <c r="S172" s="21" t="n">
        <f aca="false">(N172*Assumptions!$B$5+O172*Assumptions!$B$6)/(Assumptions!$B$5+Assumptions!$B$6)</f>
        <v>100</v>
      </c>
      <c r="T172" s="2" t="str">
        <f aca="false">IF(AND(J172&gt;Assumptions!$B$8,G172&lt;=Assumptions!$B$30),"Low confidence","")</f>
        <v/>
      </c>
      <c r="U172" s="2" t="n">
        <f aca="false">(J172&gt;40)+(F172&gt;2000)+(K172&lt;10)+(L172=0)</f>
        <v>2</v>
      </c>
      <c r="V172" s="21" t="n">
        <f aca="false">IF(J172&lt;20,0,IF(J172&lt;40,25,M172))*Assumptions!$B$4+N172*Assumptions!$B$5+O172*Assumptions!$B$6</f>
        <v>62.5</v>
      </c>
      <c r="W172" s="2" t="str">
        <f aca="false">IF(V172&gt;=70,"High",IF(V172&gt;=40,"Medium","Low"))</f>
        <v>Medium</v>
      </c>
    </row>
    <row r="173" customFormat="false" ht="15" hidden="false" customHeight="false" outlineLevel="0" collapsed="false">
      <c r="A173" s="2" t="s">
        <v>874</v>
      </c>
      <c r="B173" s="2" t="s">
        <v>1571</v>
      </c>
      <c r="C173" s="2" t="s">
        <v>1640</v>
      </c>
      <c r="D173" s="2"/>
      <c r="E173" s="2" t="n">
        <v>6</v>
      </c>
      <c r="F173" s="9" t="n">
        <v>186</v>
      </c>
      <c r="G173" s="2" t="n">
        <v>1</v>
      </c>
      <c r="H173" s="2" t="n">
        <v>0</v>
      </c>
      <c r="I173" s="2" t="n">
        <v>1</v>
      </c>
      <c r="J173" s="2" t="n">
        <v>16</v>
      </c>
      <c r="K173" s="2" t="n">
        <v>3</v>
      </c>
      <c r="L173" s="2" t="n">
        <v>1</v>
      </c>
      <c r="M173" s="2" t="n">
        <f aca="false">IF(J173&lt;=Assumptions!$B$13,0,IF(J173&lt;Assumptions!$B$14,25,IF(J173&lt;Assumptions!$B$15,50,IF(J173&lt;Assumptions!$B$16,75,100))))</f>
        <v>0</v>
      </c>
      <c r="N173" s="2" t="n">
        <f aca="false">IF(K173&gt;Assumptions!$B$19,0,IF(K173&gt;=Assumptions!$B$20,25,IF(K173&gt;=Assumptions!$B$21,50,IF(K173&gt;=Assumptions!$B$22,75,100))))</f>
        <v>100</v>
      </c>
      <c r="O173" s="2" t="n">
        <f aca="false">IF(L173&gt;=Assumptions!$B$25,0,IF(L173&gt;=Assumptions!$B$26,25,IF(L173=Assumptions!$B$27,50,IF(L173=Assumptions!$B$28,75,100))))</f>
        <v>75</v>
      </c>
      <c r="P173" s="21" t="n">
        <f aca="false">M173*Assumptions!$B$4+N173*Assumptions!$B$5+O173*Assumptions!$B$6</f>
        <v>45</v>
      </c>
      <c r="Q173" s="21" t="n">
        <f aca="false">IF(J173&lt;=Assumptions!$B$8,0,P173)</f>
        <v>0</v>
      </c>
      <c r="R173" s="2" t="str">
        <f aca="false">IF(Q173&gt;=Assumptions!$B$9,"High",IF(Q173&gt;=Assumptions!$B$10,"Medium","Low"))</f>
        <v>Low</v>
      </c>
      <c r="S173" s="21" t="n">
        <f aca="false">(N173*Assumptions!$B$5+O173*Assumptions!$B$6)/(Assumptions!$B$5+Assumptions!$B$6)</f>
        <v>90</v>
      </c>
      <c r="T173" s="2" t="str">
        <f aca="false">IF(AND(J173&gt;Assumptions!$B$8,G173&lt;=Assumptions!$B$30),"Low confidence","")</f>
        <v/>
      </c>
      <c r="U173" s="2" t="n">
        <f aca="false">(J173&gt;40)+(F173&gt;2000)+(K173&lt;10)+(L173=0)</f>
        <v>1</v>
      </c>
      <c r="V173" s="21" t="n">
        <f aca="false">IF(J173&lt;20,0,IF(J173&lt;40,25,M173))*Assumptions!$B$4+N173*Assumptions!$B$5+O173*Assumptions!$B$6</f>
        <v>45</v>
      </c>
      <c r="W173" s="2" t="str">
        <f aca="false">IF(V173&gt;=70,"High",IF(V173&gt;=40,"Medium","Low"))</f>
        <v>Medium</v>
      </c>
    </row>
    <row r="174" customFormat="false" ht="15" hidden="false" customHeight="false" outlineLevel="0" collapsed="false">
      <c r="A174" s="2" t="s">
        <v>878</v>
      </c>
      <c r="B174" s="2" t="s">
        <v>1571</v>
      </c>
      <c r="C174" s="2" t="s">
        <v>1640</v>
      </c>
      <c r="D174" s="2" t="s">
        <v>1572</v>
      </c>
      <c r="E174" s="2" t="n">
        <v>13</v>
      </c>
      <c r="F174" s="9" t="n">
        <v>185</v>
      </c>
      <c r="G174" s="2" t="n">
        <v>1</v>
      </c>
      <c r="H174" s="2" t="n">
        <v>0</v>
      </c>
      <c r="I174" s="2" t="n">
        <v>1</v>
      </c>
      <c r="J174" s="2" t="n">
        <v>19</v>
      </c>
      <c r="K174" s="2" t="n">
        <v>6</v>
      </c>
      <c r="L174" s="2" t="n">
        <v>0</v>
      </c>
      <c r="M174" s="2" t="n">
        <f aca="false">IF(J174&lt;=Assumptions!$B$13,0,IF(J174&lt;Assumptions!$B$14,25,IF(J174&lt;Assumptions!$B$15,50,IF(J174&lt;Assumptions!$B$16,75,100))))</f>
        <v>0</v>
      </c>
      <c r="N174" s="2" t="n">
        <f aca="false">IF(K174&gt;Assumptions!$B$19,0,IF(K174&gt;=Assumptions!$B$20,25,IF(K174&gt;=Assumptions!$B$21,50,IF(K174&gt;=Assumptions!$B$22,75,100))))</f>
        <v>75</v>
      </c>
      <c r="O174" s="2" t="n">
        <f aca="false">IF(L174&gt;=Assumptions!$B$25,0,IF(L174&gt;=Assumptions!$B$26,25,IF(L174=Assumptions!$B$27,50,IF(L174=Assumptions!$B$28,75,100))))</f>
        <v>100</v>
      </c>
      <c r="P174" s="21" t="n">
        <f aca="false">M174*Assumptions!$B$4+N174*Assumptions!$B$5+O174*Assumptions!$B$6</f>
        <v>42.5</v>
      </c>
      <c r="Q174" s="21" t="n">
        <f aca="false">IF(J174&lt;=Assumptions!$B$8,0,P174)</f>
        <v>0</v>
      </c>
      <c r="R174" s="2" t="str">
        <f aca="false">IF(Q174&gt;=Assumptions!$B$9,"High",IF(Q174&gt;=Assumptions!$B$10,"Medium","Low"))</f>
        <v>Low</v>
      </c>
      <c r="S174" s="21" t="n">
        <f aca="false">(N174*Assumptions!$B$5+O174*Assumptions!$B$6)/(Assumptions!$B$5+Assumptions!$B$6)</f>
        <v>85</v>
      </c>
      <c r="T174" s="2" t="str">
        <f aca="false">IF(AND(J174&gt;Assumptions!$B$8,G174&lt;=Assumptions!$B$30),"Low confidence","")</f>
        <v/>
      </c>
      <c r="U174" s="2" t="n">
        <f aca="false">(J174&gt;40)+(F174&gt;2000)+(K174&lt;10)+(L174=0)</f>
        <v>2</v>
      </c>
      <c r="V174" s="21" t="n">
        <f aca="false">IF(J174&lt;20,0,IF(J174&lt;40,25,M174))*Assumptions!$B$4+N174*Assumptions!$B$5+O174*Assumptions!$B$6</f>
        <v>42.5</v>
      </c>
      <c r="W174" s="2" t="str">
        <f aca="false">IF(V174&gt;=70,"High",IF(V174&gt;=40,"Medium","Low"))</f>
        <v>Medium</v>
      </c>
    </row>
    <row r="175" customFormat="false" ht="15" hidden="false" customHeight="false" outlineLevel="0" collapsed="false">
      <c r="A175" s="2" t="s">
        <v>886</v>
      </c>
      <c r="B175" s="2" t="s">
        <v>1571</v>
      </c>
      <c r="C175" s="2" t="s">
        <v>1640</v>
      </c>
      <c r="D175" s="2" t="s">
        <v>1572</v>
      </c>
      <c r="E175" s="2" t="n">
        <v>6</v>
      </c>
      <c r="F175" s="9" t="n">
        <v>176</v>
      </c>
      <c r="G175" s="2" t="n">
        <v>1</v>
      </c>
      <c r="H175" s="2" t="n">
        <v>0</v>
      </c>
      <c r="I175" s="2" t="n">
        <v>1</v>
      </c>
      <c r="J175" s="2" t="n">
        <v>11</v>
      </c>
      <c r="K175" s="2" t="n">
        <v>3</v>
      </c>
      <c r="L175" s="2" t="n">
        <v>0</v>
      </c>
      <c r="M175" s="2" t="n">
        <f aca="false">IF(J175&lt;=Assumptions!$B$13,0,IF(J175&lt;Assumptions!$B$14,25,IF(J175&lt;Assumptions!$B$15,50,IF(J175&lt;Assumptions!$B$16,75,100))))</f>
        <v>0</v>
      </c>
      <c r="N175" s="2" t="n">
        <f aca="false">IF(K175&gt;Assumptions!$B$19,0,IF(K175&gt;=Assumptions!$B$20,25,IF(K175&gt;=Assumptions!$B$21,50,IF(K175&gt;=Assumptions!$B$22,75,100))))</f>
        <v>100</v>
      </c>
      <c r="O175" s="2" t="n">
        <f aca="false">IF(L175&gt;=Assumptions!$B$25,0,IF(L175&gt;=Assumptions!$B$26,25,IF(L175=Assumptions!$B$27,50,IF(L175=Assumptions!$B$28,75,100))))</f>
        <v>100</v>
      </c>
      <c r="P175" s="21" t="n">
        <f aca="false">M175*Assumptions!$B$4+N175*Assumptions!$B$5+O175*Assumptions!$B$6</f>
        <v>50</v>
      </c>
      <c r="Q175" s="21" t="n">
        <f aca="false">IF(J175&lt;=Assumptions!$B$8,0,P175)</f>
        <v>0</v>
      </c>
      <c r="R175" s="2" t="str">
        <f aca="false">IF(Q175&gt;=Assumptions!$B$9,"High",IF(Q175&gt;=Assumptions!$B$10,"Medium","Low"))</f>
        <v>Low</v>
      </c>
      <c r="S175" s="21" t="n">
        <f aca="false">(N175*Assumptions!$B$5+O175*Assumptions!$B$6)/(Assumptions!$B$5+Assumptions!$B$6)</f>
        <v>100</v>
      </c>
      <c r="T175" s="2" t="str">
        <f aca="false">IF(AND(J175&gt;Assumptions!$B$8,G175&lt;=Assumptions!$B$30),"Low confidence","")</f>
        <v/>
      </c>
      <c r="U175" s="2" t="n">
        <f aca="false">(J175&gt;40)+(F175&gt;2000)+(K175&lt;10)+(L175=0)</f>
        <v>2</v>
      </c>
      <c r="V175" s="21" t="n">
        <f aca="false">IF(J175&lt;20,0,IF(J175&lt;40,25,M175))*Assumptions!$B$4+N175*Assumptions!$B$5+O175*Assumptions!$B$6</f>
        <v>50</v>
      </c>
      <c r="W175" s="2" t="str">
        <f aca="false">IF(V175&gt;=70,"High",IF(V175&gt;=40,"Medium","Low"))</f>
        <v>Medium</v>
      </c>
    </row>
    <row r="176" customFormat="false" ht="15" hidden="false" customHeight="false" outlineLevel="0" collapsed="false">
      <c r="A176" s="2" t="s">
        <v>890</v>
      </c>
      <c r="B176" s="2" t="s">
        <v>1571</v>
      </c>
      <c r="C176" s="2" t="s">
        <v>1640</v>
      </c>
      <c r="D176" s="2"/>
      <c r="E176" s="2" t="n">
        <v>6</v>
      </c>
      <c r="F176" s="9" t="n">
        <v>172</v>
      </c>
      <c r="G176" s="2" t="n">
        <v>1</v>
      </c>
      <c r="H176" s="2" t="n">
        <v>0</v>
      </c>
      <c r="I176" s="2" t="n">
        <v>1</v>
      </c>
      <c r="J176" s="2" t="n">
        <v>7</v>
      </c>
      <c r="K176" s="2" t="n">
        <v>6</v>
      </c>
      <c r="L176" s="2" t="n">
        <v>1</v>
      </c>
      <c r="M176" s="2" t="n">
        <f aca="false">IF(J176&lt;=Assumptions!$B$13,0,IF(J176&lt;Assumptions!$B$14,25,IF(J176&lt;Assumptions!$B$15,50,IF(J176&lt;Assumptions!$B$16,75,100))))</f>
        <v>0</v>
      </c>
      <c r="N176" s="2" t="n">
        <f aca="false">IF(K176&gt;Assumptions!$B$19,0,IF(K176&gt;=Assumptions!$B$20,25,IF(K176&gt;=Assumptions!$B$21,50,IF(K176&gt;=Assumptions!$B$22,75,100))))</f>
        <v>75</v>
      </c>
      <c r="O176" s="2" t="n">
        <f aca="false">IF(L176&gt;=Assumptions!$B$25,0,IF(L176&gt;=Assumptions!$B$26,25,IF(L176=Assumptions!$B$27,50,IF(L176=Assumptions!$B$28,75,100))))</f>
        <v>75</v>
      </c>
      <c r="P176" s="21" t="n">
        <f aca="false">M176*Assumptions!$B$4+N176*Assumptions!$B$5+O176*Assumptions!$B$6</f>
        <v>37.5</v>
      </c>
      <c r="Q176" s="21" t="n">
        <f aca="false">IF(J176&lt;=Assumptions!$B$8,0,P176)</f>
        <v>0</v>
      </c>
      <c r="R176" s="2" t="str">
        <f aca="false">IF(Q176&gt;=Assumptions!$B$9,"High",IF(Q176&gt;=Assumptions!$B$10,"Medium","Low"))</f>
        <v>Low</v>
      </c>
      <c r="S176" s="21" t="n">
        <f aca="false">(N176*Assumptions!$B$5+O176*Assumptions!$B$6)/(Assumptions!$B$5+Assumptions!$B$6)</f>
        <v>75</v>
      </c>
      <c r="T176" s="2" t="str">
        <f aca="false">IF(AND(J176&gt;Assumptions!$B$8,G176&lt;=Assumptions!$B$30),"Low confidence","")</f>
        <v/>
      </c>
      <c r="U176" s="2" t="n">
        <f aca="false">(J176&gt;40)+(F176&gt;2000)+(K176&lt;10)+(L176=0)</f>
        <v>1</v>
      </c>
      <c r="V176" s="21" t="n">
        <f aca="false">IF(J176&lt;20,0,IF(J176&lt;40,25,M176))*Assumptions!$B$4+N176*Assumptions!$B$5+O176*Assumptions!$B$6</f>
        <v>37.5</v>
      </c>
      <c r="W176" s="2" t="str">
        <f aca="false">IF(V176&gt;=70,"High",IF(V176&gt;=40,"Medium","Low"))</f>
        <v>Low</v>
      </c>
    </row>
    <row r="177" customFormat="false" ht="15" hidden="false" customHeight="false" outlineLevel="0" collapsed="false">
      <c r="A177" s="2" t="s">
        <v>894</v>
      </c>
      <c r="B177" s="2" t="s">
        <v>1571</v>
      </c>
      <c r="C177" s="2" t="s">
        <v>1640</v>
      </c>
      <c r="D177" s="2" t="s">
        <v>1572</v>
      </c>
      <c r="E177" s="2" t="n">
        <v>6</v>
      </c>
      <c r="F177" s="9" t="n">
        <v>164</v>
      </c>
      <c r="G177" s="2" t="n">
        <v>1</v>
      </c>
      <c r="H177" s="2" t="n">
        <v>0</v>
      </c>
      <c r="I177" s="2" t="n">
        <v>1</v>
      </c>
      <c r="J177" s="2" t="n">
        <v>11</v>
      </c>
      <c r="K177" s="2" t="n">
        <v>11</v>
      </c>
      <c r="L177" s="2" t="n">
        <v>3</v>
      </c>
      <c r="M177" s="2" t="n">
        <f aca="false">IF(J177&lt;=Assumptions!$B$13,0,IF(J177&lt;Assumptions!$B$14,25,IF(J177&lt;Assumptions!$B$15,50,IF(J177&lt;Assumptions!$B$16,75,100))))</f>
        <v>0</v>
      </c>
      <c r="N177" s="2" t="n">
        <f aca="false">IF(K177&gt;Assumptions!$B$19,0,IF(K177&gt;=Assumptions!$B$20,25,IF(K177&gt;=Assumptions!$B$21,50,IF(K177&gt;=Assumptions!$B$22,75,100))))</f>
        <v>50</v>
      </c>
      <c r="O177" s="2" t="n">
        <f aca="false">IF(L177&gt;=Assumptions!$B$25,0,IF(L177&gt;=Assumptions!$B$26,25,IF(L177=Assumptions!$B$27,50,IF(L177=Assumptions!$B$28,75,100))))</f>
        <v>25</v>
      </c>
      <c r="P177" s="21" t="n">
        <f aca="false">M177*Assumptions!$B$4+N177*Assumptions!$B$5+O177*Assumptions!$B$6</f>
        <v>20</v>
      </c>
      <c r="Q177" s="21" t="n">
        <f aca="false">IF(J177&lt;=Assumptions!$B$8,0,P177)</f>
        <v>0</v>
      </c>
      <c r="R177" s="2" t="str">
        <f aca="false">IF(Q177&gt;=Assumptions!$B$9,"High",IF(Q177&gt;=Assumptions!$B$10,"Medium","Low"))</f>
        <v>Low</v>
      </c>
      <c r="S177" s="21" t="n">
        <f aca="false">(N177*Assumptions!$B$5+O177*Assumptions!$B$6)/(Assumptions!$B$5+Assumptions!$B$6)</f>
        <v>40</v>
      </c>
      <c r="T177" s="2" t="str">
        <f aca="false">IF(AND(J177&gt;Assumptions!$B$8,G177&lt;=Assumptions!$B$30),"Low confidence","")</f>
        <v/>
      </c>
      <c r="U177" s="2" t="n">
        <f aca="false">(J177&gt;40)+(F177&gt;2000)+(K177&lt;10)+(L177=0)</f>
        <v>0</v>
      </c>
      <c r="V177" s="21" t="n">
        <f aca="false">IF(J177&lt;20,0,IF(J177&lt;40,25,M177))*Assumptions!$B$4+N177*Assumptions!$B$5+O177*Assumptions!$B$6</f>
        <v>20</v>
      </c>
      <c r="W177" s="2" t="str">
        <f aca="false">IF(V177&gt;=70,"High",IF(V177&gt;=40,"Medium","Low"))</f>
        <v>Low</v>
      </c>
    </row>
    <row r="178" customFormat="false" ht="15" hidden="false" customHeight="false" outlineLevel="0" collapsed="false">
      <c r="A178" s="2" t="s">
        <v>896</v>
      </c>
      <c r="B178" s="2" t="s">
        <v>1571</v>
      </c>
      <c r="C178" s="2" t="s">
        <v>1640</v>
      </c>
      <c r="D178" s="2" t="s">
        <v>1572</v>
      </c>
      <c r="E178" s="2" t="n">
        <v>7</v>
      </c>
      <c r="F178" s="9" t="n">
        <v>164</v>
      </c>
      <c r="G178" s="2" t="n">
        <v>1</v>
      </c>
      <c r="H178" s="2" t="n">
        <v>0</v>
      </c>
      <c r="I178" s="2" t="n">
        <v>1</v>
      </c>
      <c r="J178" s="2" t="n">
        <v>12</v>
      </c>
      <c r="K178" s="2" t="n">
        <v>10</v>
      </c>
      <c r="L178" s="2" t="n">
        <v>0</v>
      </c>
      <c r="M178" s="2" t="n">
        <f aca="false">IF(J178&lt;=Assumptions!$B$13,0,IF(J178&lt;Assumptions!$B$14,25,IF(J178&lt;Assumptions!$B$15,50,IF(J178&lt;Assumptions!$B$16,75,100))))</f>
        <v>0</v>
      </c>
      <c r="N178" s="2" t="n">
        <f aca="false">IF(K178&gt;Assumptions!$B$19,0,IF(K178&gt;=Assumptions!$B$20,25,IF(K178&gt;=Assumptions!$B$21,50,IF(K178&gt;=Assumptions!$B$22,75,100))))</f>
        <v>50</v>
      </c>
      <c r="O178" s="2" t="n">
        <f aca="false">IF(L178&gt;=Assumptions!$B$25,0,IF(L178&gt;=Assumptions!$B$26,25,IF(L178=Assumptions!$B$27,50,IF(L178=Assumptions!$B$28,75,100))))</f>
        <v>100</v>
      </c>
      <c r="P178" s="21" t="n">
        <f aca="false">M178*Assumptions!$B$4+N178*Assumptions!$B$5+O178*Assumptions!$B$6</f>
        <v>35</v>
      </c>
      <c r="Q178" s="21" t="n">
        <f aca="false">IF(J178&lt;=Assumptions!$B$8,0,P178)</f>
        <v>0</v>
      </c>
      <c r="R178" s="2" t="str">
        <f aca="false">IF(Q178&gt;=Assumptions!$B$9,"High",IF(Q178&gt;=Assumptions!$B$10,"Medium","Low"))</f>
        <v>Low</v>
      </c>
      <c r="S178" s="21" t="n">
        <f aca="false">(N178*Assumptions!$B$5+O178*Assumptions!$B$6)/(Assumptions!$B$5+Assumptions!$B$6)</f>
        <v>70</v>
      </c>
      <c r="T178" s="2" t="str">
        <f aca="false">IF(AND(J178&gt;Assumptions!$B$8,G178&lt;=Assumptions!$B$30),"Low confidence","")</f>
        <v/>
      </c>
      <c r="U178" s="2" t="n">
        <f aca="false">(J178&gt;40)+(F178&gt;2000)+(K178&lt;10)+(L178=0)</f>
        <v>1</v>
      </c>
      <c r="V178" s="21" t="n">
        <f aca="false">IF(J178&lt;20,0,IF(J178&lt;40,25,M178))*Assumptions!$B$4+N178*Assumptions!$B$5+O178*Assumptions!$B$6</f>
        <v>35</v>
      </c>
      <c r="W178" s="2" t="str">
        <f aca="false">IF(V178&gt;=70,"High",IF(V178&gt;=40,"Medium","Low"))</f>
        <v>Low</v>
      </c>
    </row>
    <row r="179" customFormat="false" ht="15" hidden="false" customHeight="false" outlineLevel="0" collapsed="false">
      <c r="A179" s="2" t="s">
        <v>898</v>
      </c>
      <c r="B179" s="2" t="s">
        <v>1571</v>
      </c>
      <c r="C179" s="2" t="s">
        <v>1640</v>
      </c>
      <c r="D179" s="2" t="s">
        <v>1572</v>
      </c>
      <c r="E179" s="2" t="n">
        <v>7</v>
      </c>
      <c r="F179" s="9" t="n">
        <v>156</v>
      </c>
      <c r="G179" s="2" t="n">
        <v>1</v>
      </c>
      <c r="H179" s="2" t="n">
        <v>0</v>
      </c>
      <c r="I179" s="2" t="n">
        <v>1</v>
      </c>
      <c r="J179" s="2" t="n">
        <v>5</v>
      </c>
      <c r="K179" s="2" t="n">
        <v>10</v>
      </c>
      <c r="L179" s="2" t="n">
        <v>0</v>
      </c>
      <c r="M179" s="2" t="n">
        <f aca="false">IF(J179&lt;=Assumptions!$B$13,0,IF(J179&lt;Assumptions!$B$14,25,IF(J179&lt;Assumptions!$B$15,50,IF(J179&lt;Assumptions!$B$16,75,100))))</f>
        <v>0</v>
      </c>
      <c r="N179" s="2" t="n">
        <f aca="false">IF(K179&gt;Assumptions!$B$19,0,IF(K179&gt;=Assumptions!$B$20,25,IF(K179&gt;=Assumptions!$B$21,50,IF(K179&gt;=Assumptions!$B$22,75,100))))</f>
        <v>50</v>
      </c>
      <c r="O179" s="2" t="n">
        <f aca="false">IF(L179&gt;=Assumptions!$B$25,0,IF(L179&gt;=Assumptions!$B$26,25,IF(L179=Assumptions!$B$27,50,IF(L179=Assumptions!$B$28,75,100))))</f>
        <v>100</v>
      </c>
      <c r="P179" s="21" t="n">
        <f aca="false">M179*Assumptions!$B$4+N179*Assumptions!$B$5+O179*Assumptions!$B$6</f>
        <v>35</v>
      </c>
      <c r="Q179" s="21" t="n">
        <f aca="false">IF(J179&lt;=Assumptions!$B$8,0,P179)</f>
        <v>0</v>
      </c>
      <c r="R179" s="2" t="str">
        <f aca="false">IF(Q179&gt;=Assumptions!$B$9,"High",IF(Q179&gt;=Assumptions!$B$10,"Medium","Low"))</f>
        <v>Low</v>
      </c>
      <c r="S179" s="21" t="n">
        <f aca="false">(N179*Assumptions!$B$5+O179*Assumptions!$B$6)/(Assumptions!$B$5+Assumptions!$B$6)</f>
        <v>70</v>
      </c>
      <c r="T179" s="2" t="str">
        <f aca="false">IF(AND(J179&gt;Assumptions!$B$8,G179&lt;=Assumptions!$B$30),"Low confidence","")</f>
        <v/>
      </c>
      <c r="U179" s="2" t="n">
        <f aca="false">(J179&gt;40)+(F179&gt;2000)+(K179&lt;10)+(L179=0)</f>
        <v>1</v>
      </c>
      <c r="V179" s="21" t="n">
        <f aca="false">IF(J179&lt;20,0,IF(J179&lt;40,25,M179))*Assumptions!$B$4+N179*Assumptions!$B$5+O179*Assumptions!$B$6</f>
        <v>35</v>
      </c>
      <c r="W179" s="2" t="str">
        <f aca="false">IF(V179&gt;=70,"High",IF(V179&gt;=40,"Medium","Low"))</f>
        <v>Low</v>
      </c>
    </row>
    <row r="180" customFormat="false" ht="15" hidden="false" customHeight="false" outlineLevel="0" collapsed="false">
      <c r="A180" s="2" t="s">
        <v>902</v>
      </c>
      <c r="B180" s="2" t="s">
        <v>1571</v>
      </c>
      <c r="C180" s="2" t="s">
        <v>1640</v>
      </c>
      <c r="D180" s="2" t="s">
        <v>1572</v>
      </c>
      <c r="E180" s="2" t="n">
        <v>10</v>
      </c>
      <c r="F180" s="9" t="n">
        <v>153</v>
      </c>
      <c r="G180" s="2" t="n">
        <v>1</v>
      </c>
      <c r="H180" s="2" t="n">
        <v>0</v>
      </c>
      <c r="I180" s="2" t="n">
        <v>1</v>
      </c>
      <c r="J180" s="2" t="n">
        <v>13</v>
      </c>
      <c r="K180" s="2" t="n">
        <v>19</v>
      </c>
      <c r="L180" s="2" t="n">
        <v>3</v>
      </c>
      <c r="M180" s="2" t="n">
        <f aca="false">IF(J180&lt;=Assumptions!$B$13,0,IF(J180&lt;Assumptions!$B$14,25,IF(J180&lt;Assumptions!$B$15,50,IF(J180&lt;Assumptions!$B$16,75,100))))</f>
        <v>0</v>
      </c>
      <c r="N180" s="2" t="n">
        <f aca="false">IF(K180&gt;Assumptions!$B$19,0,IF(K180&gt;=Assumptions!$B$20,25,IF(K180&gt;=Assumptions!$B$21,50,IF(K180&gt;=Assumptions!$B$22,75,100))))</f>
        <v>50</v>
      </c>
      <c r="O180" s="2" t="n">
        <f aca="false">IF(L180&gt;=Assumptions!$B$25,0,IF(L180&gt;=Assumptions!$B$26,25,IF(L180=Assumptions!$B$27,50,IF(L180=Assumptions!$B$28,75,100))))</f>
        <v>25</v>
      </c>
      <c r="P180" s="21" t="n">
        <f aca="false">M180*Assumptions!$B$4+N180*Assumptions!$B$5+O180*Assumptions!$B$6</f>
        <v>20</v>
      </c>
      <c r="Q180" s="21" t="n">
        <f aca="false">IF(J180&lt;=Assumptions!$B$8,0,P180)</f>
        <v>0</v>
      </c>
      <c r="R180" s="2" t="str">
        <f aca="false">IF(Q180&gt;=Assumptions!$B$9,"High",IF(Q180&gt;=Assumptions!$B$10,"Medium","Low"))</f>
        <v>Low</v>
      </c>
      <c r="S180" s="21" t="n">
        <f aca="false">(N180*Assumptions!$B$5+O180*Assumptions!$B$6)/(Assumptions!$B$5+Assumptions!$B$6)</f>
        <v>40</v>
      </c>
      <c r="T180" s="2" t="str">
        <f aca="false">IF(AND(J180&gt;Assumptions!$B$8,G180&lt;=Assumptions!$B$30),"Low confidence","")</f>
        <v/>
      </c>
      <c r="U180" s="2" t="n">
        <f aca="false">(J180&gt;40)+(F180&gt;2000)+(K180&lt;10)+(L180=0)</f>
        <v>0</v>
      </c>
      <c r="V180" s="21" t="n">
        <f aca="false">IF(J180&lt;20,0,IF(J180&lt;40,25,M180))*Assumptions!$B$4+N180*Assumptions!$B$5+O180*Assumptions!$B$6</f>
        <v>20</v>
      </c>
      <c r="W180" s="2" t="str">
        <f aca="false">IF(V180&gt;=70,"High",IF(V180&gt;=40,"Medium","Low"))</f>
        <v>Low</v>
      </c>
    </row>
    <row r="181" customFormat="false" ht="15" hidden="false" customHeight="false" outlineLevel="0" collapsed="false">
      <c r="A181" s="2" t="s">
        <v>904</v>
      </c>
      <c r="B181" s="2" t="s">
        <v>1571</v>
      </c>
      <c r="C181" s="2" t="s">
        <v>1640</v>
      </c>
      <c r="D181" s="2" t="s">
        <v>1572</v>
      </c>
      <c r="E181" s="2" t="n">
        <v>10</v>
      </c>
      <c r="F181" s="9" t="n">
        <v>152</v>
      </c>
      <c r="G181" s="2" t="n">
        <v>1</v>
      </c>
      <c r="H181" s="2" t="n">
        <v>0</v>
      </c>
      <c r="I181" s="2" t="n">
        <v>1</v>
      </c>
      <c r="J181" s="2" t="n">
        <v>10</v>
      </c>
      <c r="K181" s="2" t="n">
        <v>7</v>
      </c>
      <c r="L181" s="2" t="n">
        <v>4</v>
      </c>
      <c r="M181" s="2" t="n">
        <f aca="false">IF(J181&lt;=Assumptions!$B$13,0,IF(J181&lt;Assumptions!$B$14,25,IF(J181&lt;Assumptions!$B$15,50,IF(J181&lt;Assumptions!$B$16,75,100))))</f>
        <v>0</v>
      </c>
      <c r="N181" s="2" t="n">
        <f aca="false">IF(K181&gt;Assumptions!$B$19,0,IF(K181&gt;=Assumptions!$B$20,25,IF(K181&gt;=Assumptions!$B$21,50,IF(K181&gt;=Assumptions!$B$22,75,100))))</f>
        <v>75</v>
      </c>
      <c r="O181" s="2" t="n">
        <f aca="false">IF(L181&gt;=Assumptions!$B$25,0,IF(L181&gt;=Assumptions!$B$26,25,IF(L181=Assumptions!$B$27,50,IF(L181=Assumptions!$B$28,75,100))))</f>
        <v>25</v>
      </c>
      <c r="P181" s="21" t="n">
        <f aca="false">M181*Assumptions!$B$4+N181*Assumptions!$B$5+O181*Assumptions!$B$6</f>
        <v>27.5</v>
      </c>
      <c r="Q181" s="21" t="n">
        <f aca="false">IF(J181&lt;=Assumptions!$B$8,0,P181)</f>
        <v>0</v>
      </c>
      <c r="R181" s="2" t="str">
        <f aca="false">IF(Q181&gt;=Assumptions!$B$9,"High",IF(Q181&gt;=Assumptions!$B$10,"Medium","Low"))</f>
        <v>Low</v>
      </c>
      <c r="S181" s="21" t="n">
        <f aca="false">(N181*Assumptions!$B$5+O181*Assumptions!$B$6)/(Assumptions!$B$5+Assumptions!$B$6)</f>
        <v>55</v>
      </c>
      <c r="T181" s="2" t="str">
        <f aca="false">IF(AND(J181&gt;Assumptions!$B$8,G181&lt;=Assumptions!$B$30),"Low confidence","")</f>
        <v/>
      </c>
      <c r="U181" s="2" t="n">
        <f aca="false">(J181&gt;40)+(F181&gt;2000)+(K181&lt;10)+(L181=0)</f>
        <v>1</v>
      </c>
      <c r="V181" s="21" t="n">
        <f aca="false">IF(J181&lt;20,0,IF(J181&lt;40,25,M181))*Assumptions!$B$4+N181*Assumptions!$B$5+O181*Assumptions!$B$6</f>
        <v>27.5</v>
      </c>
      <c r="W181" s="2" t="str">
        <f aca="false">IF(V181&gt;=70,"High",IF(V181&gt;=40,"Medium","Low"))</f>
        <v>Low</v>
      </c>
    </row>
    <row r="182" customFormat="false" ht="15" hidden="false" customHeight="false" outlineLevel="0" collapsed="false">
      <c r="A182" s="2" t="s">
        <v>906</v>
      </c>
      <c r="B182" s="2" t="s">
        <v>1571</v>
      </c>
      <c r="C182" s="2" t="s">
        <v>1640</v>
      </c>
      <c r="D182" s="2"/>
      <c r="E182" s="2" t="n">
        <v>6</v>
      </c>
      <c r="F182" s="9" t="n">
        <v>149</v>
      </c>
      <c r="G182" s="2" t="n">
        <v>1</v>
      </c>
      <c r="H182" s="2" t="n">
        <v>0</v>
      </c>
      <c r="I182" s="2" t="n">
        <v>1</v>
      </c>
      <c r="J182" s="2" t="n">
        <v>18</v>
      </c>
      <c r="K182" s="2" t="n">
        <v>3</v>
      </c>
      <c r="L182" s="2" t="n">
        <v>0</v>
      </c>
      <c r="M182" s="2" t="n">
        <f aca="false">IF(J182&lt;=Assumptions!$B$13,0,IF(J182&lt;Assumptions!$B$14,25,IF(J182&lt;Assumptions!$B$15,50,IF(J182&lt;Assumptions!$B$16,75,100))))</f>
        <v>0</v>
      </c>
      <c r="N182" s="2" t="n">
        <f aca="false">IF(K182&gt;Assumptions!$B$19,0,IF(K182&gt;=Assumptions!$B$20,25,IF(K182&gt;=Assumptions!$B$21,50,IF(K182&gt;=Assumptions!$B$22,75,100))))</f>
        <v>100</v>
      </c>
      <c r="O182" s="2" t="n">
        <f aca="false">IF(L182&gt;=Assumptions!$B$25,0,IF(L182&gt;=Assumptions!$B$26,25,IF(L182=Assumptions!$B$27,50,IF(L182=Assumptions!$B$28,75,100))))</f>
        <v>100</v>
      </c>
      <c r="P182" s="21" t="n">
        <f aca="false">M182*Assumptions!$B$4+N182*Assumptions!$B$5+O182*Assumptions!$B$6</f>
        <v>50</v>
      </c>
      <c r="Q182" s="21" t="n">
        <f aca="false">IF(J182&lt;=Assumptions!$B$8,0,P182)</f>
        <v>0</v>
      </c>
      <c r="R182" s="2" t="str">
        <f aca="false">IF(Q182&gt;=Assumptions!$B$9,"High",IF(Q182&gt;=Assumptions!$B$10,"Medium","Low"))</f>
        <v>Low</v>
      </c>
      <c r="S182" s="21" t="n">
        <f aca="false">(N182*Assumptions!$B$5+O182*Assumptions!$B$6)/(Assumptions!$B$5+Assumptions!$B$6)</f>
        <v>100</v>
      </c>
      <c r="T182" s="2" t="str">
        <f aca="false">IF(AND(J182&gt;Assumptions!$B$8,G182&lt;=Assumptions!$B$30),"Low confidence","")</f>
        <v/>
      </c>
      <c r="U182" s="2" t="n">
        <f aca="false">(J182&gt;40)+(F182&gt;2000)+(K182&lt;10)+(L182=0)</f>
        <v>2</v>
      </c>
      <c r="V182" s="21" t="n">
        <f aca="false">IF(J182&lt;20,0,IF(J182&lt;40,25,M182))*Assumptions!$B$4+N182*Assumptions!$B$5+O182*Assumptions!$B$6</f>
        <v>50</v>
      </c>
      <c r="W182" s="2" t="str">
        <f aca="false">IF(V182&gt;=70,"High",IF(V182&gt;=40,"Medium","Low"))</f>
        <v>Medium</v>
      </c>
    </row>
    <row r="183" customFormat="false" ht="15" hidden="false" customHeight="false" outlineLevel="0" collapsed="false">
      <c r="A183" s="2" t="s">
        <v>910</v>
      </c>
      <c r="B183" s="2" t="s">
        <v>1571</v>
      </c>
      <c r="C183" s="2" t="s">
        <v>1641</v>
      </c>
      <c r="D183" s="2" t="s">
        <v>1572</v>
      </c>
      <c r="E183" s="2" t="n">
        <v>6</v>
      </c>
      <c r="F183" s="9" t="n">
        <v>146</v>
      </c>
      <c r="G183" s="2" t="n">
        <v>1</v>
      </c>
      <c r="H183" s="2" t="n">
        <v>0</v>
      </c>
      <c r="I183" s="2" t="n">
        <v>1</v>
      </c>
      <c r="J183" s="2" t="n">
        <v>20</v>
      </c>
      <c r="K183" s="2" t="n">
        <v>15</v>
      </c>
      <c r="L183" s="2" t="n">
        <v>0</v>
      </c>
      <c r="M183" s="2" t="n">
        <f aca="false">IF(J183&lt;=Assumptions!$B$13,0,IF(J183&lt;Assumptions!$B$14,25,IF(J183&lt;Assumptions!$B$15,50,IF(J183&lt;Assumptions!$B$16,75,100))))</f>
        <v>0</v>
      </c>
      <c r="N183" s="2" t="n">
        <f aca="false">IF(K183&gt;Assumptions!$B$19,0,IF(K183&gt;=Assumptions!$B$20,25,IF(K183&gt;=Assumptions!$B$21,50,IF(K183&gt;=Assumptions!$B$22,75,100))))</f>
        <v>50</v>
      </c>
      <c r="O183" s="2" t="n">
        <f aca="false">IF(L183&gt;=Assumptions!$B$25,0,IF(L183&gt;=Assumptions!$B$26,25,IF(L183=Assumptions!$B$27,50,IF(L183=Assumptions!$B$28,75,100))))</f>
        <v>100</v>
      </c>
      <c r="P183" s="21" t="n">
        <f aca="false">M183*Assumptions!$B$4+N183*Assumptions!$B$5+O183*Assumptions!$B$6</f>
        <v>35</v>
      </c>
      <c r="Q183" s="21" t="n">
        <f aca="false">IF(J183&lt;=Assumptions!$B$8,0,P183)</f>
        <v>0</v>
      </c>
      <c r="R183" s="2" t="str">
        <f aca="false">IF(Q183&gt;=Assumptions!$B$9,"High",IF(Q183&gt;=Assumptions!$B$10,"Medium","Low"))</f>
        <v>Low</v>
      </c>
      <c r="S183" s="21" t="n">
        <f aca="false">(N183*Assumptions!$B$5+O183*Assumptions!$B$6)/(Assumptions!$B$5+Assumptions!$B$6)</f>
        <v>70</v>
      </c>
      <c r="T183" s="2" t="str">
        <f aca="false">IF(AND(J183&gt;Assumptions!$B$8,G183&lt;=Assumptions!$B$30),"Low confidence","")</f>
        <v/>
      </c>
      <c r="U183" s="2" t="n">
        <f aca="false">(J183&gt;40)+(F183&gt;2000)+(K183&lt;10)+(L183=0)</f>
        <v>1</v>
      </c>
      <c r="V183" s="21" t="n">
        <f aca="false">IF(J183&lt;20,0,IF(J183&lt;40,25,M183))*Assumptions!$B$4+N183*Assumptions!$B$5+O183*Assumptions!$B$6</f>
        <v>47.5</v>
      </c>
      <c r="W183" s="2" t="str">
        <f aca="false">IF(V183&gt;=70,"High",IF(V183&gt;=40,"Medium","Low"))</f>
        <v>Medium</v>
      </c>
    </row>
    <row r="184" customFormat="false" ht="15" hidden="false" customHeight="false" outlineLevel="0" collapsed="false">
      <c r="A184" s="2" t="s">
        <v>912</v>
      </c>
      <c r="B184" s="2" t="s">
        <v>1571</v>
      </c>
      <c r="C184" s="2" t="s">
        <v>1640</v>
      </c>
      <c r="D184" s="2"/>
      <c r="E184" s="2" t="n">
        <v>6</v>
      </c>
      <c r="F184" s="9" t="n">
        <v>145</v>
      </c>
      <c r="G184" s="2" t="n">
        <v>1</v>
      </c>
      <c r="H184" s="2" t="n">
        <v>0</v>
      </c>
      <c r="I184" s="2" t="n">
        <v>1</v>
      </c>
      <c r="J184" s="2" t="n">
        <v>2</v>
      </c>
      <c r="K184" s="2" t="n">
        <v>2</v>
      </c>
      <c r="L184" s="2" t="n">
        <v>0</v>
      </c>
      <c r="M184" s="2" t="n">
        <f aca="false">IF(J184&lt;=Assumptions!$B$13,0,IF(J184&lt;Assumptions!$B$14,25,IF(J184&lt;Assumptions!$B$15,50,IF(J184&lt;Assumptions!$B$16,75,100))))</f>
        <v>0</v>
      </c>
      <c r="N184" s="2" t="n">
        <f aca="false">IF(K184&gt;Assumptions!$B$19,0,IF(K184&gt;=Assumptions!$B$20,25,IF(K184&gt;=Assumptions!$B$21,50,IF(K184&gt;=Assumptions!$B$22,75,100))))</f>
        <v>100</v>
      </c>
      <c r="O184" s="2" t="n">
        <f aca="false">IF(L184&gt;=Assumptions!$B$25,0,IF(L184&gt;=Assumptions!$B$26,25,IF(L184=Assumptions!$B$27,50,IF(L184=Assumptions!$B$28,75,100))))</f>
        <v>100</v>
      </c>
      <c r="P184" s="21" t="n">
        <f aca="false">M184*Assumptions!$B$4+N184*Assumptions!$B$5+O184*Assumptions!$B$6</f>
        <v>50</v>
      </c>
      <c r="Q184" s="21" t="n">
        <f aca="false">IF(J184&lt;=Assumptions!$B$8,0,P184)</f>
        <v>0</v>
      </c>
      <c r="R184" s="2" t="str">
        <f aca="false">IF(Q184&gt;=Assumptions!$B$9,"High",IF(Q184&gt;=Assumptions!$B$10,"Medium","Low"))</f>
        <v>Low</v>
      </c>
      <c r="S184" s="21" t="n">
        <f aca="false">(N184*Assumptions!$B$5+O184*Assumptions!$B$6)/(Assumptions!$B$5+Assumptions!$B$6)</f>
        <v>100</v>
      </c>
      <c r="T184" s="2" t="str">
        <f aca="false">IF(AND(J184&gt;Assumptions!$B$8,G184&lt;=Assumptions!$B$30),"Low confidence","")</f>
        <v/>
      </c>
      <c r="U184" s="2" t="n">
        <f aca="false">(J184&gt;40)+(F184&gt;2000)+(K184&lt;10)+(L184=0)</f>
        <v>2</v>
      </c>
      <c r="V184" s="21" t="n">
        <f aca="false">IF(J184&lt;20,0,IF(J184&lt;40,25,M184))*Assumptions!$B$4+N184*Assumptions!$B$5+O184*Assumptions!$B$6</f>
        <v>50</v>
      </c>
      <c r="W184" s="2" t="str">
        <f aca="false">IF(V184&gt;=70,"High",IF(V184&gt;=40,"Medium","Low"))</f>
        <v>Medium</v>
      </c>
    </row>
    <row r="185" customFormat="false" ht="15" hidden="false" customHeight="false" outlineLevel="0" collapsed="false">
      <c r="A185" s="2" t="s">
        <v>922</v>
      </c>
      <c r="B185" s="2" t="s">
        <v>1571</v>
      </c>
      <c r="C185" s="2" t="s">
        <v>1640</v>
      </c>
      <c r="D185" s="2" t="s">
        <v>1572</v>
      </c>
      <c r="E185" s="2" t="n">
        <v>6</v>
      </c>
      <c r="F185" s="9" t="n">
        <v>134</v>
      </c>
      <c r="G185" s="2" t="n">
        <v>1</v>
      </c>
      <c r="H185" s="2" t="n">
        <v>0</v>
      </c>
      <c r="I185" s="2" t="n">
        <v>1</v>
      </c>
      <c r="J185" s="2" t="n">
        <v>18</v>
      </c>
      <c r="K185" s="2" t="n">
        <v>9</v>
      </c>
      <c r="L185" s="2" t="n">
        <v>1</v>
      </c>
      <c r="M185" s="2" t="n">
        <f aca="false">IF(J185&lt;=Assumptions!$B$13,0,IF(J185&lt;Assumptions!$B$14,25,IF(J185&lt;Assumptions!$B$15,50,IF(J185&lt;Assumptions!$B$16,75,100))))</f>
        <v>0</v>
      </c>
      <c r="N185" s="2" t="n">
        <f aca="false">IF(K185&gt;Assumptions!$B$19,0,IF(K185&gt;=Assumptions!$B$20,25,IF(K185&gt;=Assumptions!$B$21,50,IF(K185&gt;=Assumptions!$B$22,75,100))))</f>
        <v>75</v>
      </c>
      <c r="O185" s="2" t="n">
        <f aca="false">IF(L185&gt;=Assumptions!$B$25,0,IF(L185&gt;=Assumptions!$B$26,25,IF(L185=Assumptions!$B$27,50,IF(L185=Assumptions!$B$28,75,100))))</f>
        <v>75</v>
      </c>
      <c r="P185" s="21" t="n">
        <f aca="false">M185*Assumptions!$B$4+N185*Assumptions!$B$5+O185*Assumptions!$B$6</f>
        <v>37.5</v>
      </c>
      <c r="Q185" s="21" t="n">
        <f aca="false">IF(J185&lt;=Assumptions!$B$8,0,P185)</f>
        <v>0</v>
      </c>
      <c r="R185" s="2" t="str">
        <f aca="false">IF(Q185&gt;=Assumptions!$B$9,"High",IF(Q185&gt;=Assumptions!$B$10,"Medium","Low"))</f>
        <v>Low</v>
      </c>
      <c r="S185" s="21" t="n">
        <f aca="false">(N185*Assumptions!$B$5+O185*Assumptions!$B$6)/(Assumptions!$B$5+Assumptions!$B$6)</f>
        <v>75</v>
      </c>
      <c r="T185" s="2" t="str">
        <f aca="false">IF(AND(J185&gt;Assumptions!$B$8,G185&lt;=Assumptions!$B$30),"Low confidence","")</f>
        <v/>
      </c>
      <c r="U185" s="2" t="n">
        <f aca="false">(J185&gt;40)+(F185&gt;2000)+(K185&lt;10)+(L185=0)</f>
        <v>1</v>
      </c>
      <c r="V185" s="21" t="n">
        <f aca="false">IF(J185&lt;20,0,IF(J185&lt;40,25,M185))*Assumptions!$B$4+N185*Assumptions!$B$5+O185*Assumptions!$B$6</f>
        <v>37.5</v>
      </c>
      <c r="W185" s="2" t="str">
        <f aca="false">IF(V185&gt;=70,"High",IF(V185&gt;=40,"Medium","Low"))</f>
        <v>Low</v>
      </c>
    </row>
    <row r="186" customFormat="false" ht="15" hidden="false" customHeight="false" outlineLevel="0" collapsed="false">
      <c r="A186" s="2" t="s">
        <v>926</v>
      </c>
      <c r="B186" s="2" t="s">
        <v>1571</v>
      </c>
      <c r="C186" s="2" t="s">
        <v>1640</v>
      </c>
      <c r="D186" s="2" t="s">
        <v>1572</v>
      </c>
      <c r="E186" s="2" t="n">
        <v>11</v>
      </c>
      <c r="F186" s="9" t="n">
        <v>123</v>
      </c>
      <c r="G186" s="2" t="n">
        <v>1</v>
      </c>
      <c r="H186" s="2" t="n">
        <v>0</v>
      </c>
      <c r="I186" s="2" t="n">
        <v>1</v>
      </c>
      <c r="J186" s="2" t="n">
        <v>15</v>
      </c>
      <c r="K186" s="2" t="n">
        <v>7</v>
      </c>
      <c r="L186" s="2" t="n">
        <v>16</v>
      </c>
      <c r="M186" s="2" t="n">
        <f aca="false">IF(J186&lt;=Assumptions!$B$13,0,IF(J186&lt;Assumptions!$B$14,25,IF(J186&lt;Assumptions!$B$15,50,IF(J186&lt;Assumptions!$B$16,75,100))))</f>
        <v>0</v>
      </c>
      <c r="N186" s="2" t="n">
        <f aca="false">IF(K186&gt;Assumptions!$B$19,0,IF(K186&gt;=Assumptions!$B$20,25,IF(K186&gt;=Assumptions!$B$21,50,IF(K186&gt;=Assumptions!$B$22,75,100))))</f>
        <v>75</v>
      </c>
      <c r="O186" s="2" t="n">
        <f aca="false">IF(L186&gt;=Assumptions!$B$25,0,IF(L186&gt;=Assumptions!$B$26,25,IF(L186=Assumptions!$B$27,50,IF(L186=Assumptions!$B$28,75,100))))</f>
        <v>0</v>
      </c>
      <c r="P186" s="21" t="n">
        <f aca="false">M186*Assumptions!$B$4+N186*Assumptions!$B$5+O186*Assumptions!$B$6</f>
        <v>22.5</v>
      </c>
      <c r="Q186" s="21" t="n">
        <f aca="false">IF(J186&lt;=Assumptions!$B$8,0,P186)</f>
        <v>0</v>
      </c>
      <c r="R186" s="2" t="str">
        <f aca="false">IF(Q186&gt;=Assumptions!$B$9,"High",IF(Q186&gt;=Assumptions!$B$10,"Medium","Low"))</f>
        <v>Low</v>
      </c>
      <c r="S186" s="21" t="n">
        <f aca="false">(N186*Assumptions!$B$5+O186*Assumptions!$B$6)/(Assumptions!$B$5+Assumptions!$B$6)</f>
        <v>45</v>
      </c>
      <c r="T186" s="2" t="str">
        <f aca="false">IF(AND(J186&gt;Assumptions!$B$8,G186&lt;=Assumptions!$B$30),"Low confidence","")</f>
        <v/>
      </c>
      <c r="U186" s="2" t="n">
        <f aca="false">(J186&gt;40)+(F186&gt;2000)+(K186&lt;10)+(L186=0)</f>
        <v>1</v>
      </c>
      <c r="V186" s="21" t="n">
        <f aca="false">IF(J186&lt;20,0,IF(J186&lt;40,25,M186))*Assumptions!$B$4+N186*Assumptions!$B$5+O186*Assumptions!$B$6</f>
        <v>22.5</v>
      </c>
      <c r="W186" s="2" t="str">
        <f aca="false">IF(V186&gt;=70,"High",IF(V186&gt;=40,"Medium","Low"))</f>
        <v>Low</v>
      </c>
    </row>
    <row r="187" customFormat="false" ht="15" hidden="false" customHeight="false" outlineLevel="0" collapsed="false">
      <c r="A187" s="2" t="s">
        <v>930</v>
      </c>
      <c r="B187" s="2" t="s">
        <v>1571</v>
      </c>
      <c r="C187" s="2" t="s">
        <v>1640</v>
      </c>
      <c r="D187" s="2"/>
      <c r="E187" s="2" t="n">
        <v>6</v>
      </c>
      <c r="F187" s="9" t="n">
        <v>121</v>
      </c>
      <c r="G187" s="2" t="n">
        <v>1</v>
      </c>
      <c r="H187" s="2" t="n">
        <v>0</v>
      </c>
      <c r="I187" s="2" t="n">
        <v>1</v>
      </c>
      <c r="J187" s="2" t="n">
        <v>14</v>
      </c>
      <c r="K187" s="2" t="n">
        <v>6</v>
      </c>
      <c r="L187" s="2" t="n">
        <v>1</v>
      </c>
      <c r="M187" s="2" t="n">
        <f aca="false">IF(J187&lt;=Assumptions!$B$13,0,IF(J187&lt;Assumptions!$B$14,25,IF(J187&lt;Assumptions!$B$15,50,IF(J187&lt;Assumptions!$B$16,75,100))))</f>
        <v>0</v>
      </c>
      <c r="N187" s="2" t="n">
        <f aca="false">IF(K187&gt;Assumptions!$B$19,0,IF(K187&gt;=Assumptions!$B$20,25,IF(K187&gt;=Assumptions!$B$21,50,IF(K187&gt;=Assumptions!$B$22,75,100))))</f>
        <v>75</v>
      </c>
      <c r="O187" s="2" t="n">
        <f aca="false">IF(L187&gt;=Assumptions!$B$25,0,IF(L187&gt;=Assumptions!$B$26,25,IF(L187=Assumptions!$B$27,50,IF(L187=Assumptions!$B$28,75,100))))</f>
        <v>75</v>
      </c>
      <c r="P187" s="21" t="n">
        <f aca="false">M187*Assumptions!$B$4+N187*Assumptions!$B$5+O187*Assumptions!$B$6</f>
        <v>37.5</v>
      </c>
      <c r="Q187" s="21" t="n">
        <f aca="false">IF(J187&lt;=Assumptions!$B$8,0,P187)</f>
        <v>0</v>
      </c>
      <c r="R187" s="2" t="str">
        <f aca="false">IF(Q187&gt;=Assumptions!$B$9,"High",IF(Q187&gt;=Assumptions!$B$10,"Medium","Low"))</f>
        <v>Low</v>
      </c>
      <c r="S187" s="21" t="n">
        <f aca="false">(N187*Assumptions!$B$5+O187*Assumptions!$B$6)/(Assumptions!$B$5+Assumptions!$B$6)</f>
        <v>75</v>
      </c>
      <c r="T187" s="2" t="str">
        <f aca="false">IF(AND(J187&gt;Assumptions!$B$8,G187&lt;=Assumptions!$B$30),"Low confidence","")</f>
        <v/>
      </c>
      <c r="U187" s="2" t="n">
        <f aca="false">(J187&gt;40)+(F187&gt;2000)+(K187&lt;10)+(L187=0)</f>
        <v>1</v>
      </c>
      <c r="V187" s="21" t="n">
        <f aca="false">IF(J187&lt;20,0,IF(J187&lt;40,25,M187))*Assumptions!$B$4+N187*Assumptions!$B$5+O187*Assumptions!$B$6</f>
        <v>37.5</v>
      </c>
      <c r="W187" s="2" t="str">
        <f aca="false">IF(V187&gt;=70,"High",IF(V187&gt;=40,"Medium","Low"))</f>
        <v>Low</v>
      </c>
    </row>
    <row r="188" customFormat="false" ht="15" hidden="false" customHeight="false" outlineLevel="0" collapsed="false">
      <c r="A188" s="2" t="s">
        <v>936</v>
      </c>
      <c r="B188" s="2" t="s">
        <v>1571</v>
      </c>
      <c r="C188" s="2" t="s">
        <v>1640</v>
      </c>
      <c r="D188" s="2" t="s">
        <v>1572</v>
      </c>
      <c r="E188" s="2" t="n">
        <v>26</v>
      </c>
      <c r="F188" s="9" t="n">
        <v>117</v>
      </c>
      <c r="G188" s="2" t="n">
        <v>1</v>
      </c>
      <c r="H188" s="2" t="n">
        <v>0</v>
      </c>
      <c r="I188" s="2" t="n">
        <v>1</v>
      </c>
      <c r="J188" s="2" t="n">
        <v>4</v>
      </c>
      <c r="K188" s="2" t="n">
        <v>7</v>
      </c>
      <c r="L188" s="2" t="n">
        <v>6</v>
      </c>
      <c r="M188" s="2" t="n">
        <f aca="false">IF(J188&lt;=Assumptions!$B$13,0,IF(J188&lt;Assumptions!$B$14,25,IF(J188&lt;Assumptions!$B$15,50,IF(J188&lt;Assumptions!$B$16,75,100))))</f>
        <v>0</v>
      </c>
      <c r="N188" s="2" t="n">
        <f aca="false">IF(K188&gt;Assumptions!$B$19,0,IF(K188&gt;=Assumptions!$B$20,25,IF(K188&gt;=Assumptions!$B$21,50,IF(K188&gt;=Assumptions!$B$22,75,100))))</f>
        <v>75</v>
      </c>
      <c r="O188" s="2" t="n">
        <f aca="false">IF(L188&gt;=Assumptions!$B$25,0,IF(L188&gt;=Assumptions!$B$26,25,IF(L188=Assumptions!$B$27,50,IF(L188=Assumptions!$B$28,75,100))))</f>
        <v>0</v>
      </c>
      <c r="P188" s="21" t="n">
        <f aca="false">M188*Assumptions!$B$4+N188*Assumptions!$B$5+O188*Assumptions!$B$6</f>
        <v>22.5</v>
      </c>
      <c r="Q188" s="21" t="n">
        <f aca="false">IF(J188&lt;=Assumptions!$B$8,0,P188)</f>
        <v>0</v>
      </c>
      <c r="R188" s="2" t="str">
        <f aca="false">IF(Q188&gt;=Assumptions!$B$9,"High",IF(Q188&gt;=Assumptions!$B$10,"Medium","Low"))</f>
        <v>Low</v>
      </c>
      <c r="S188" s="21" t="n">
        <f aca="false">(N188*Assumptions!$B$5+O188*Assumptions!$B$6)/(Assumptions!$B$5+Assumptions!$B$6)</f>
        <v>45</v>
      </c>
      <c r="T188" s="2" t="str">
        <f aca="false">IF(AND(J188&gt;Assumptions!$B$8,G188&lt;=Assumptions!$B$30),"Low confidence","")</f>
        <v/>
      </c>
      <c r="U188" s="2" t="n">
        <f aca="false">(J188&gt;40)+(F188&gt;2000)+(K188&lt;10)+(L188=0)</f>
        <v>1</v>
      </c>
      <c r="V188" s="21" t="n">
        <f aca="false">IF(J188&lt;20,0,IF(J188&lt;40,25,M188))*Assumptions!$B$4+N188*Assumptions!$B$5+O188*Assumptions!$B$6</f>
        <v>22.5</v>
      </c>
      <c r="W188" s="2" t="str">
        <f aca="false">IF(V188&gt;=70,"High",IF(V188&gt;=40,"Medium","Low"))</f>
        <v>Low</v>
      </c>
    </row>
    <row r="189" customFormat="false" ht="15" hidden="false" customHeight="false" outlineLevel="0" collapsed="false">
      <c r="A189" s="2" t="s">
        <v>938</v>
      </c>
      <c r="B189" s="2" t="s">
        <v>1571</v>
      </c>
      <c r="C189" s="2" t="s">
        <v>1640</v>
      </c>
      <c r="D189" s="2" t="s">
        <v>1572</v>
      </c>
      <c r="E189" s="2" t="n">
        <v>6</v>
      </c>
      <c r="F189" s="9" t="n">
        <v>116</v>
      </c>
      <c r="G189" s="2" t="n">
        <v>1</v>
      </c>
      <c r="H189" s="2" t="n">
        <v>0</v>
      </c>
      <c r="I189" s="2" t="n">
        <v>1</v>
      </c>
      <c r="J189" s="2" t="n">
        <v>17</v>
      </c>
      <c r="K189" s="2" t="n">
        <v>4</v>
      </c>
      <c r="L189" s="2" t="n">
        <v>0</v>
      </c>
      <c r="M189" s="2" t="n">
        <f aca="false">IF(J189&lt;=Assumptions!$B$13,0,IF(J189&lt;Assumptions!$B$14,25,IF(J189&lt;Assumptions!$B$15,50,IF(J189&lt;Assumptions!$B$16,75,100))))</f>
        <v>0</v>
      </c>
      <c r="N189" s="2" t="n">
        <f aca="false">IF(K189&gt;Assumptions!$B$19,0,IF(K189&gt;=Assumptions!$B$20,25,IF(K189&gt;=Assumptions!$B$21,50,IF(K189&gt;=Assumptions!$B$22,75,100))))</f>
        <v>100</v>
      </c>
      <c r="O189" s="2" t="n">
        <f aca="false">IF(L189&gt;=Assumptions!$B$25,0,IF(L189&gt;=Assumptions!$B$26,25,IF(L189=Assumptions!$B$27,50,IF(L189=Assumptions!$B$28,75,100))))</f>
        <v>100</v>
      </c>
      <c r="P189" s="21" t="n">
        <f aca="false">M189*Assumptions!$B$4+N189*Assumptions!$B$5+O189*Assumptions!$B$6</f>
        <v>50</v>
      </c>
      <c r="Q189" s="21" t="n">
        <f aca="false">IF(J189&lt;=Assumptions!$B$8,0,P189)</f>
        <v>0</v>
      </c>
      <c r="R189" s="2" t="str">
        <f aca="false">IF(Q189&gt;=Assumptions!$B$9,"High",IF(Q189&gt;=Assumptions!$B$10,"Medium","Low"))</f>
        <v>Low</v>
      </c>
      <c r="S189" s="21" t="n">
        <f aca="false">(N189*Assumptions!$B$5+O189*Assumptions!$B$6)/(Assumptions!$B$5+Assumptions!$B$6)</f>
        <v>100</v>
      </c>
      <c r="T189" s="2" t="str">
        <f aca="false">IF(AND(J189&gt;Assumptions!$B$8,G189&lt;=Assumptions!$B$30),"Low confidence","")</f>
        <v/>
      </c>
      <c r="U189" s="2" t="n">
        <f aca="false">(J189&gt;40)+(F189&gt;2000)+(K189&lt;10)+(L189=0)</f>
        <v>2</v>
      </c>
      <c r="V189" s="21" t="n">
        <f aca="false">IF(J189&lt;20,0,IF(J189&lt;40,25,M189))*Assumptions!$B$4+N189*Assumptions!$B$5+O189*Assumptions!$B$6</f>
        <v>50</v>
      </c>
      <c r="W189" s="2" t="str">
        <f aca="false">IF(V189&gt;=70,"High",IF(V189&gt;=40,"Medium","Low"))</f>
        <v>Medium</v>
      </c>
    </row>
    <row r="190" customFormat="false" ht="15" hidden="false" customHeight="false" outlineLevel="0" collapsed="false">
      <c r="A190" s="2" t="s">
        <v>940</v>
      </c>
      <c r="B190" s="2" t="s">
        <v>1571</v>
      </c>
      <c r="C190" s="2" t="s">
        <v>1640</v>
      </c>
      <c r="D190" s="2" t="s">
        <v>1572</v>
      </c>
      <c r="E190" s="2" t="n">
        <v>12</v>
      </c>
      <c r="F190" s="9" t="n">
        <v>116</v>
      </c>
      <c r="G190" s="2" t="n">
        <v>1</v>
      </c>
      <c r="H190" s="2" t="n">
        <v>0</v>
      </c>
      <c r="I190" s="2" t="n">
        <v>1</v>
      </c>
      <c r="J190" s="2" t="n">
        <v>15</v>
      </c>
      <c r="K190" s="2" t="n">
        <v>12</v>
      </c>
      <c r="L190" s="2" t="n">
        <v>0</v>
      </c>
      <c r="M190" s="2" t="n">
        <f aca="false">IF(J190&lt;=Assumptions!$B$13,0,IF(J190&lt;Assumptions!$B$14,25,IF(J190&lt;Assumptions!$B$15,50,IF(J190&lt;Assumptions!$B$16,75,100))))</f>
        <v>0</v>
      </c>
      <c r="N190" s="2" t="n">
        <f aca="false">IF(K190&gt;Assumptions!$B$19,0,IF(K190&gt;=Assumptions!$B$20,25,IF(K190&gt;=Assumptions!$B$21,50,IF(K190&gt;=Assumptions!$B$22,75,100))))</f>
        <v>50</v>
      </c>
      <c r="O190" s="2" t="n">
        <f aca="false">IF(L190&gt;=Assumptions!$B$25,0,IF(L190&gt;=Assumptions!$B$26,25,IF(L190=Assumptions!$B$27,50,IF(L190=Assumptions!$B$28,75,100))))</f>
        <v>100</v>
      </c>
      <c r="P190" s="21" t="n">
        <f aca="false">M190*Assumptions!$B$4+N190*Assumptions!$B$5+O190*Assumptions!$B$6</f>
        <v>35</v>
      </c>
      <c r="Q190" s="21" t="n">
        <f aca="false">IF(J190&lt;=Assumptions!$B$8,0,P190)</f>
        <v>0</v>
      </c>
      <c r="R190" s="2" t="str">
        <f aca="false">IF(Q190&gt;=Assumptions!$B$9,"High",IF(Q190&gt;=Assumptions!$B$10,"Medium","Low"))</f>
        <v>Low</v>
      </c>
      <c r="S190" s="21" t="n">
        <f aca="false">(N190*Assumptions!$B$5+O190*Assumptions!$B$6)/(Assumptions!$B$5+Assumptions!$B$6)</f>
        <v>70</v>
      </c>
      <c r="T190" s="2" t="str">
        <f aca="false">IF(AND(J190&gt;Assumptions!$B$8,G190&lt;=Assumptions!$B$30),"Low confidence","")</f>
        <v/>
      </c>
      <c r="U190" s="2" t="n">
        <f aca="false">(J190&gt;40)+(F190&gt;2000)+(K190&lt;10)+(L190=0)</f>
        <v>1</v>
      </c>
      <c r="V190" s="21" t="n">
        <f aca="false">IF(J190&lt;20,0,IF(J190&lt;40,25,M190))*Assumptions!$B$4+N190*Assumptions!$B$5+O190*Assumptions!$B$6</f>
        <v>35</v>
      </c>
      <c r="W190" s="2" t="str">
        <f aca="false">IF(V190&gt;=70,"High",IF(V190&gt;=40,"Medium","Low"))</f>
        <v>Low</v>
      </c>
    </row>
    <row r="191" customFormat="false" ht="15" hidden="false" customHeight="false" outlineLevel="0" collapsed="false">
      <c r="A191" s="2" t="s">
        <v>942</v>
      </c>
      <c r="B191" s="2" t="s">
        <v>1571</v>
      </c>
      <c r="C191" s="2" t="s">
        <v>1640</v>
      </c>
      <c r="D191" s="2" t="s">
        <v>1572</v>
      </c>
      <c r="E191" s="2" t="n">
        <v>6</v>
      </c>
      <c r="F191" s="9" t="n">
        <v>113</v>
      </c>
      <c r="G191" s="2" t="n">
        <v>1</v>
      </c>
      <c r="H191" s="2" t="n">
        <v>0</v>
      </c>
      <c r="I191" s="2" t="n">
        <v>1</v>
      </c>
      <c r="J191" s="2" t="n">
        <v>1</v>
      </c>
      <c r="K191" s="2" t="n">
        <v>2</v>
      </c>
      <c r="L191" s="2" t="n">
        <v>0</v>
      </c>
      <c r="M191" s="2" t="n">
        <f aca="false">IF(J191&lt;=Assumptions!$B$13,0,IF(J191&lt;Assumptions!$B$14,25,IF(J191&lt;Assumptions!$B$15,50,IF(J191&lt;Assumptions!$B$16,75,100))))</f>
        <v>0</v>
      </c>
      <c r="N191" s="2" t="n">
        <f aca="false">IF(K191&gt;Assumptions!$B$19,0,IF(K191&gt;=Assumptions!$B$20,25,IF(K191&gt;=Assumptions!$B$21,50,IF(K191&gt;=Assumptions!$B$22,75,100))))</f>
        <v>100</v>
      </c>
      <c r="O191" s="2" t="n">
        <f aca="false">IF(L191&gt;=Assumptions!$B$25,0,IF(L191&gt;=Assumptions!$B$26,25,IF(L191=Assumptions!$B$27,50,IF(L191=Assumptions!$B$28,75,100))))</f>
        <v>100</v>
      </c>
      <c r="P191" s="21" t="n">
        <f aca="false">M191*Assumptions!$B$4+N191*Assumptions!$B$5+O191*Assumptions!$B$6</f>
        <v>50</v>
      </c>
      <c r="Q191" s="21" t="n">
        <f aca="false">IF(J191&lt;=Assumptions!$B$8,0,P191)</f>
        <v>0</v>
      </c>
      <c r="R191" s="2" t="str">
        <f aca="false">IF(Q191&gt;=Assumptions!$B$9,"High",IF(Q191&gt;=Assumptions!$B$10,"Medium","Low"))</f>
        <v>Low</v>
      </c>
      <c r="S191" s="21" t="n">
        <f aca="false">(N191*Assumptions!$B$5+O191*Assumptions!$B$6)/(Assumptions!$B$5+Assumptions!$B$6)</f>
        <v>100</v>
      </c>
      <c r="T191" s="2" t="str">
        <f aca="false">IF(AND(J191&gt;Assumptions!$B$8,G191&lt;=Assumptions!$B$30),"Low confidence","")</f>
        <v/>
      </c>
      <c r="U191" s="2" t="n">
        <f aca="false">(J191&gt;40)+(F191&gt;2000)+(K191&lt;10)+(L191=0)</f>
        <v>2</v>
      </c>
      <c r="V191" s="21" t="n">
        <f aca="false">IF(J191&lt;20,0,IF(J191&lt;40,25,M191))*Assumptions!$B$4+N191*Assumptions!$B$5+O191*Assumptions!$B$6</f>
        <v>50</v>
      </c>
      <c r="W191" s="2" t="str">
        <f aca="false">IF(V191&gt;=70,"High",IF(V191&gt;=40,"Medium","Low"))</f>
        <v>Medium</v>
      </c>
    </row>
    <row r="192" customFormat="false" ht="15" hidden="false" customHeight="false" outlineLevel="0" collapsed="false">
      <c r="A192" s="2" t="s">
        <v>946</v>
      </c>
      <c r="B192" s="2" t="s">
        <v>1571</v>
      </c>
      <c r="C192" s="2" t="s">
        <v>1640</v>
      </c>
      <c r="D192" s="2" t="s">
        <v>1572</v>
      </c>
      <c r="E192" s="2" t="n">
        <v>11</v>
      </c>
      <c r="F192" s="9" t="n">
        <v>109</v>
      </c>
      <c r="G192" s="2" t="n">
        <v>1</v>
      </c>
      <c r="H192" s="2" t="n">
        <v>0</v>
      </c>
      <c r="I192" s="2" t="n">
        <v>1</v>
      </c>
      <c r="J192" s="2" t="n">
        <v>14</v>
      </c>
      <c r="K192" s="2" t="n">
        <v>25</v>
      </c>
      <c r="L192" s="2" t="n">
        <v>0</v>
      </c>
      <c r="M192" s="2" t="n">
        <f aca="false">IF(J192&lt;=Assumptions!$B$13,0,IF(J192&lt;Assumptions!$B$14,25,IF(J192&lt;Assumptions!$B$15,50,IF(J192&lt;Assumptions!$B$16,75,100))))</f>
        <v>0</v>
      </c>
      <c r="N192" s="2" t="n">
        <f aca="false">IF(K192&gt;Assumptions!$B$19,0,IF(K192&gt;=Assumptions!$B$20,25,IF(K192&gt;=Assumptions!$B$21,50,IF(K192&gt;=Assumptions!$B$22,75,100))))</f>
        <v>25</v>
      </c>
      <c r="O192" s="2" t="n">
        <f aca="false">IF(L192&gt;=Assumptions!$B$25,0,IF(L192&gt;=Assumptions!$B$26,25,IF(L192=Assumptions!$B$27,50,IF(L192=Assumptions!$B$28,75,100))))</f>
        <v>100</v>
      </c>
      <c r="P192" s="21" t="n">
        <f aca="false">M192*Assumptions!$B$4+N192*Assumptions!$B$5+O192*Assumptions!$B$6</f>
        <v>27.5</v>
      </c>
      <c r="Q192" s="21" t="n">
        <f aca="false">IF(J192&lt;=Assumptions!$B$8,0,P192)</f>
        <v>0</v>
      </c>
      <c r="R192" s="2" t="str">
        <f aca="false">IF(Q192&gt;=Assumptions!$B$9,"High",IF(Q192&gt;=Assumptions!$B$10,"Medium","Low"))</f>
        <v>Low</v>
      </c>
      <c r="S192" s="21" t="n">
        <f aca="false">(N192*Assumptions!$B$5+O192*Assumptions!$B$6)/(Assumptions!$B$5+Assumptions!$B$6)</f>
        <v>55</v>
      </c>
      <c r="T192" s="2" t="str">
        <f aca="false">IF(AND(J192&gt;Assumptions!$B$8,G192&lt;=Assumptions!$B$30),"Low confidence","")</f>
        <v/>
      </c>
      <c r="U192" s="2" t="n">
        <f aca="false">(J192&gt;40)+(F192&gt;2000)+(K192&lt;10)+(L192=0)</f>
        <v>1</v>
      </c>
      <c r="V192" s="21" t="n">
        <f aca="false">IF(J192&lt;20,0,IF(J192&lt;40,25,M192))*Assumptions!$B$4+N192*Assumptions!$B$5+O192*Assumptions!$B$6</f>
        <v>27.5</v>
      </c>
      <c r="W192" s="2" t="str">
        <f aca="false">IF(V192&gt;=70,"High",IF(V192&gt;=40,"Medium","Low"))</f>
        <v>Low</v>
      </c>
    </row>
    <row r="193" customFormat="false" ht="15" hidden="false" customHeight="false" outlineLevel="0" collapsed="false">
      <c r="A193" s="2" t="s">
        <v>948</v>
      </c>
      <c r="B193" s="2" t="s">
        <v>1571</v>
      </c>
      <c r="C193" s="2" t="s">
        <v>1640</v>
      </c>
      <c r="D193" s="2" t="s">
        <v>1572</v>
      </c>
      <c r="E193" s="2" t="n">
        <v>20</v>
      </c>
      <c r="F193" s="9" t="n">
        <v>107</v>
      </c>
      <c r="G193" s="2" t="n">
        <v>1</v>
      </c>
      <c r="H193" s="2" t="n">
        <v>0</v>
      </c>
      <c r="I193" s="2" t="n">
        <v>1</v>
      </c>
      <c r="J193" s="2" t="n">
        <v>13</v>
      </c>
      <c r="K193" s="2" t="n">
        <v>1</v>
      </c>
      <c r="L193" s="2" t="n">
        <v>1</v>
      </c>
      <c r="M193" s="2" t="n">
        <f aca="false">IF(J193&lt;=Assumptions!$B$13,0,IF(J193&lt;Assumptions!$B$14,25,IF(J193&lt;Assumptions!$B$15,50,IF(J193&lt;Assumptions!$B$16,75,100))))</f>
        <v>0</v>
      </c>
      <c r="N193" s="2" t="n">
        <f aca="false">IF(K193&gt;Assumptions!$B$19,0,IF(K193&gt;=Assumptions!$B$20,25,IF(K193&gt;=Assumptions!$B$21,50,IF(K193&gt;=Assumptions!$B$22,75,100))))</f>
        <v>100</v>
      </c>
      <c r="O193" s="2" t="n">
        <f aca="false">IF(L193&gt;=Assumptions!$B$25,0,IF(L193&gt;=Assumptions!$B$26,25,IF(L193=Assumptions!$B$27,50,IF(L193=Assumptions!$B$28,75,100))))</f>
        <v>75</v>
      </c>
      <c r="P193" s="21" t="n">
        <f aca="false">M193*Assumptions!$B$4+N193*Assumptions!$B$5+O193*Assumptions!$B$6</f>
        <v>45</v>
      </c>
      <c r="Q193" s="21" t="n">
        <f aca="false">IF(J193&lt;=Assumptions!$B$8,0,P193)</f>
        <v>0</v>
      </c>
      <c r="R193" s="2" t="str">
        <f aca="false">IF(Q193&gt;=Assumptions!$B$9,"High",IF(Q193&gt;=Assumptions!$B$10,"Medium","Low"))</f>
        <v>Low</v>
      </c>
      <c r="S193" s="21" t="n">
        <f aca="false">(N193*Assumptions!$B$5+O193*Assumptions!$B$6)/(Assumptions!$B$5+Assumptions!$B$6)</f>
        <v>90</v>
      </c>
      <c r="T193" s="2" t="str">
        <f aca="false">IF(AND(J193&gt;Assumptions!$B$8,G193&lt;=Assumptions!$B$30),"Low confidence","")</f>
        <v/>
      </c>
      <c r="U193" s="2" t="n">
        <f aca="false">(J193&gt;40)+(F193&gt;2000)+(K193&lt;10)+(L193=0)</f>
        <v>1</v>
      </c>
      <c r="V193" s="21" t="n">
        <f aca="false">IF(J193&lt;20,0,IF(J193&lt;40,25,M193))*Assumptions!$B$4+N193*Assumptions!$B$5+O193*Assumptions!$B$6</f>
        <v>45</v>
      </c>
      <c r="W193" s="2" t="str">
        <f aca="false">IF(V193&gt;=70,"High",IF(V193&gt;=40,"Medium","Low"))</f>
        <v>Medium</v>
      </c>
    </row>
    <row r="194" customFormat="false" ht="15" hidden="false" customHeight="false" outlineLevel="0" collapsed="false">
      <c r="A194" s="2" t="s">
        <v>950</v>
      </c>
      <c r="B194" s="2" t="s">
        <v>1571</v>
      </c>
      <c r="C194" s="2" t="s">
        <v>1640</v>
      </c>
      <c r="D194" s="2"/>
      <c r="E194" s="2" t="n">
        <v>6</v>
      </c>
      <c r="F194" s="9" t="n">
        <v>106</v>
      </c>
      <c r="G194" s="2" t="n">
        <v>1</v>
      </c>
      <c r="H194" s="2" t="n">
        <v>0</v>
      </c>
      <c r="I194" s="2" t="n">
        <v>1</v>
      </c>
      <c r="J194" s="2" t="n">
        <v>18</v>
      </c>
      <c r="K194" s="2" t="n">
        <v>13</v>
      </c>
      <c r="L194" s="2" t="n">
        <v>0</v>
      </c>
      <c r="M194" s="2" t="n">
        <f aca="false">IF(J194&lt;=Assumptions!$B$13,0,IF(J194&lt;Assumptions!$B$14,25,IF(J194&lt;Assumptions!$B$15,50,IF(J194&lt;Assumptions!$B$16,75,100))))</f>
        <v>0</v>
      </c>
      <c r="N194" s="2" t="n">
        <f aca="false">IF(K194&gt;Assumptions!$B$19,0,IF(K194&gt;=Assumptions!$B$20,25,IF(K194&gt;=Assumptions!$B$21,50,IF(K194&gt;=Assumptions!$B$22,75,100))))</f>
        <v>50</v>
      </c>
      <c r="O194" s="2" t="n">
        <f aca="false">IF(L194&gt;=Assumptions!$B$25,0,IF(L194&gt;=Assumptions!$B$26,25,IF(L194=Assumptions!$B$27,50,IF(L194=Assumptions!$B$28,75,100))))</f>
        <v>100</v>
      </c>
      <c r="P194" s="21" t="n">
        <f aca="false">M194*Assumptions!$B$4+N194*Assumptions!$B$5+O194*Assumptions!$B$6</f>
        <v>35</v>
      </c>
      <c r="Q194" s="21" t="n">
        <f aca="false">IF(J194&lt;=Assumptions!$B$8,0,P194)</f>
        <v>0</v>
      </c>
      <c r="R194" s="2" t="str">
        <f aca="false">IF(Q194&gt;=Assumptions!$B$9,"High",IF(Q194&gt;=Assumptions!$B$10,"Medium","Low"))</f>
        <v>Low</v>
      </c>
      <c r="S194" s="21" t="n">
        <f aca="false">(N194*Assumptions!$B$5+O194*Assumptions!$B$6)/(Assumptions!$B$5+Assumptions!$B$6)</f>
        <v>70</v>
      </c>
      <c r="T194" s="2" t="str">
        <f aca="false">IF(AND(J194&gt;Assumptions!$B$8,G194&lt;=Assumptions!$B$30),"Low confidence","")</f>
        <v/>
      </c>
      <c r="U194" s="2" t="n">
        <f aca="false">(J194&gt;40)+(F194&gt;2000)+(K194&lt;10)+(L194=0)</f>
        <v>1</v>
      </c>
      <c r="V194" s="21" t="n">
        <f aca="false">IF(J194&lt;20,0,IF(J194&lt;40,25,M194))*Assumptions!$B$4+N194*Assumptions!$B$5+O194*Assumptions!$B$6</f>
        <v>35</v>
      </c>
      <c r="W194" s="2" t="str">
        <f aca="false">IF(V194&gt;=70,"High",IF(V194&gt;=40,"Medium","Low"))</f>
        <v>Low</v>
      </c>
    </row>
    <row r="195" customFormat="false" ht="15" hidden="false" customHeight="false" outlineLevel="0" collapsed="false">
      <c r="A195" s="2" t="s">
        <v>952</v>
      </c>
      <c r="B195" s="2" t="s">
        <v>1571</v>
      </c>
      <c r="C195" s="2" t="s">
        <v>1640</v>
      </c>
      <c r="D195" s="2" t="s">
        <v>1572</v>
      </c>
      <c r="E195" s="2" t="n">
        <v>34</v>
      </c>
      <c r="F195" s="9" t="n">
        <v>106</v>
      </c>
      <c r="G195" s="2" t="n">
        <v>1</v>
      </c>
      <c r="H195" s="2" t="n">
        <v>0</v>
      </c>
      <c r="I195" s="2" t="n">
        <v>1</v>
      </c>
      <c r="J195" s="2" t="n">
        <v>7</v>
      </c>
      <c r="K195" s="2" t="n">
        <v>60</v>
      </c>
      <c r="L195" s="2" t="n">
        <v>1</v>
      </c>
      <c r="M195" s="2" t="n">
        <f aca="false">IF(J195&lt;=Assumptions!$B$13,0,IF(J195&lt;Assumptions!$B$14,25,IF(J195&lt;Assumptions!$B$15,50,IF(J195&lt;Assumptions!$B$16,75,100))))</f>
        <v>0</v>
      </c>
      <c r="N195" s="2" t="n">
        <f aca="false">IF(K195&gt;Assumptions!$B$19,0,IF(K195&gt;=Assumptions!$B$20,25,IF(K195&gt;=Assumptions!$B$21,50,IF(K195&gt;=Assumptions!$B$22,75,100))))</f>
        <v>0</v>
      </c>
      <c r="O195" s="2" t="n">
        <f aca="false">IF(L195&gt;=Assumptions!$B$25,0,IF(L195&gt;=Assumptions!$B$26,25,IF(L195=Assumptions!$B$27,50,IF(L195=Assumptions!$B$28,75,100))))</f>
        <v>75</v>
      </c>
      <c r="P195" s="21" t="n">
        <f aca="false">M195*Assumptions!$B$4+N195*Assumptions!$B$5+O195*Assumptions!$B$6</f>
        <v>15</v>
      </c>
      <c r="Q195" s="21" t="n">
        <f aca="false">IF(J195&lt;=Assumptions!$B$8,0,P195)</f>
        <v>0</v>
      </c>
      <c r="R195" s="2" t="str">
        <f aca="false">IF(Q195&gt;=Assumptions!$B$9,"High",IF(Q195&gt;=Assumptions!$B$10,"Medium","Low"))</f>
        <v>Low</v>
      </c>
      <c r="S195" s="21" t="n">
        <f aca="false">(N195*Assumptions!$B$5+O195*Assumptions!$B$6)/(Assumptions!$B$5+Assumptions!$B$6)</f>
        <v>30</v>
      </c>
      <c r="T195" s="2" t="str">
        <f aca="false">IF(AND(J195&gt;Assumptions!$B$8,G195&lt;=Assumptions!$B$30),"Low confidence","")</f>
        <v/>
      </c>
      <c r="U195" s="2" t="n">
        <f aca="false">(J195&gt;40)+(F195&gt;2000)+(K195&lt;10)+(L195=0)</f>
        <v>0</v>
      </c>
      <c r="V195" s="21" t="n">
        <f aca="false">IF(J195&lt;20,0,IF(J195&lt;40,25,M195))*Assumptions!$B$4+N195*Assumptions!$B$5+O195*Assumptions!$B$6</f>
        <v>15</v>
      </c>
      <c r="W195" s="2" t="str">
        <f aca="false">IF(V195&gt;=70,"High",IF(V195&gt;=40,"Medium","Low"))</f>
        <v>Low</v>
      </c>
    </row>
    <row r="196" customFormat="false" ht="15" hidden="false" customHeight="false" outlineLevel="0" collapsed="false">
      <c r="A196" s="2" t="s">
        <v>956</v>
      </c>
      <c r="B196" s="2" t="s">
        <v>1571</v>
      </c>
      <c r="C196" s="2" t="s">
        <v>1640</v>
      </c>
      <c r="D196" s="2" t="s">
        <v>1572</v>
      </c>
      <c r="E196" s="2" t="n">
        <v>16</v>
      </c>
      <c r="F196" s="9" t="n">
        <v>103</v>
      </c>
      <c r="G196" s="2" t="n">
        <v>1</v>
      </c>
      <c r="H196" s="2" t="n">
        <v>0</v>
      </c>
      <c r="I196" s="2" t="n">
        <v>1</v>
      </c>
      <c r="J196" s="2" t="n">
        <v>18</v>
      </c>
      <c r="K196" s="2" t="n">
        <v>0</v>
      </c>
      <c r="L196" s="2" t="n">
        <v>0</v>
      </c>
      <c r="M196" s="2" t="n">
        <f aca="false">IF(J196&lt;=Assumptions!$B$13,0,IF(J196&lt;Assumptions!$B$14,25,IF(J196&lt;Assumptions!$B$15,50,IF(J196&lt;Assumptions!$B$16,75,100))))</f>
        <v>0</v>
      </c>
      <c r="N196" s="2" t="n">
        <f aca="false">IF(K196&gt;Assumptions!$B$19,0,IF(K196&gt;=Assumptions!$B$20,25,IF(K196&gt;=Assumptions!$B$21,50,IF(K196&gt;=Assumptions!$B$22,75,100))))</f>
        <v>100</v>
      </c>
      <c r="O196" s="2" t="n">
        <f aca="false">IF(L196&gt;=Assumptions!$B$25,0,IF(L196&gt;=Assumptions!$B$26,25,IF(L196=Assumptions!$B$27,50,IF(L196=Assumptions!$B$28,75,100))))</f>
        <v>100</v>
      </c>
      <c r="P196" s="21" t="n">
        <f aca="false">M196*Assumptions!$B$4+N196*Assumptions!$B$5+O196*Assumptions!$B$6</f>
        <v>50</v>
      </c>
      <c r="Q196" s="21" t="n">
        <f aca="false">IF(J196&lt;=Assumptions!$B$8,0,P196)</f>
        <v>0</v>
      </c>
      <c r="R196" s="2" t="str">
        <f aca="false">IF(Q196&gt;=Assumptions!$B$9,"High",IF(Q196&gt;=Assumptions!$B$10,"Medium","Low"))</f>
        <v>Low</v>
      </c>
      <c r="S196" s="21" t="n">
        <f aca="false">(N196*Assumptions!$B$5+O196*Assumptions!$B$6)/(Assumptions!$B$5+Assumptions!$B$6)</f>
        <v>100</v>
      </c>
      <c r="T196" s="2" t="str">
        <f aca="false">IF(AND(J196&gt;Assumptions!$B$8,G196&lt;=Assumptions!$B$30),"Low confidence","")</f>
        <v/>
      </c>
      <c r="U196" s="2" t="n">
        <f aca="false">(J196&gt;40)+(F196&gt;2000)+(K196&lt;10)+(L196=0)</f>
        <v>2</v>
      </c>
      <c r="V196" s="21" t="n">
        <f aca="false">IF(J196&lt;20,0,IF(J196&lt;40,25,M196))*Assumptions!$B$4+N196*Assumptions!$B$5+O196*Assumptions!$B$6</f>
        <v>50</v>
      </c>
      <c r="W196" s="2" t="str">
        <f aca="false">IF(V196&gt;=70,"High",IF(V196&gt;=40,"Medium","Low"))</f>
        <v>Medium</v>
      </c>
    </row>
    <row r="197" customFormat="false" ht="15" hidden="false" customHeight="false" outlineLevel="0" collapsed="false">
      <c r="A197" s="2" t="s">
        <v>958</v>
      </c>
      <c r="B197" s="2" t="s">
        <v>1571</v>
      </c>
      <c r="C197" s="2" t="s">
        <v>1640</v>
      </c>
      <c r="D197" s="2"/>
      <c r="E197" s="2" t="n">
        <v>6</v>
      </c>
      <c r="F197" s="9" t="n">
        <v>101</v>
      </c>
      <c r="G197" s="2" t="n">
        <v>1</v>
      </c>
      <c r="H197" s="2" t="n">
        <v>0</v>
      </c>
      <c r="I197" s="2" t="n">
        <v>1</v>
      </c>
      <c r="J197" s="2" t="n">
        <v>5</v>
      </c>
      <c r="K197" s="2" t="n">
        <v>11</v>
      </c>
      <c r="L197" s="2" t="n">
        <v>0</v>
      </c>
      <c r="M197" s="2" t="n">
        <f aca="false">IF(J197&lt;=Assumptions!$B$13,0,IF(J197&lt;Assumptions!$B$14,25,IF(J197&lt;Assumptions!$B$15,50,IF(J197&lt;Assumptions!$B$16,75,100))))</f>
        <v>0</v>
      </c>
      <c r="N197" s="2" t="n">
        <f aca="false">IF(K197&gt;Assumptions!$B$19,0,IF(K197&gt;=Assumptions!$B$20,25,IF(K197&gt;=Assumptions!$B$21,50,IF(K197&gt;=Assumptions!$B$22,75,100))))</f>
        <v>50</v>
      </c>
      <c r="O197" s="2" t="n">
        <f aca="false">IF(L197&gt;=Assumptions!$B$25,0,IF(L197&gt;=Assumptions!$B$26,25,IF(L197=Assumptions!$B$27,50,IF(L197=Assumptions!$B$28,75,100))))</f>
        <v>100</v>
      </c>
      <c r="P197" s="21" t="n">
        <f aca="false">M197*Assumptions!$B$4+N197*Assumptions!$B$5+O197*Assumptions!$B$6</f>
        <v>35</v>
      </c>
      <c r="Q197" s="21" t="n">
        <f aca="false">IF(J197&lt;=Assumptions!$B$8,0,P197)</f>
        <v>0</v>
      </c>
      <c r="R197" s="2" t="str">
        <f aca="false">IF(Q197&gt;=Assumptions!$B$9,"High",IF(Q197&gt;=Assumptions!$B$10,"Medium","Low"))</f>
        <v>Low</v>
      </c>
      <c r="S197" s="21" t="n">
        <f aca="false">(N197*Assumptions!$B$5+O197*Assumptions!$B$6)/(Assumptions!$B$5+Assumptions!$B$6)</f>
        <v>70</v>
      </c>
      <c r="T197" s="2" t="str">
        <f aca="false">IF(AND(J197&gt;Assumptions!$B$8,G197&lt;=Assumptions!$B$30),"Low confidence","")</f>
        <v/>
      </c>
      <c r="U197" s="2" t="n">
        <f aca="false">(J197&gt;40)+(F197&gt;2000)+(K197&lt;10)+(L197=0)</f>
        <v>1</v>
      </c>
      <c r="V197" s="21" t="n">
        <f aca="false">IF(J197&lt;20,0,IF(J197&lt;40,25,M197))*Assumptions!$B$4+N197*Assumptions!$B$5+O197*Assumptions!$B$6</f>
        <v>35</v>
      </c>
      <c r="W197" s="2" t="str">
        <f aca="false">IF(V197&gt;=70,"High",IF(V197&gt;=40,"Medium","Low"))</f>
        <v>Low</v>
      </c>
    </row>
    <row r="198" customFormat="false" ht="15" hidden="false" customHeight="false" outlineLevel="0" collapsed="false">
      <c r="A198" s="2" t="s">
        <v>962</v>
      </c>
      <c r="B198" s="2" t="s">
        <v>1571</v>
      </c>
      <c r="C198" s="2" t="s">
        <v>1640</v>
      </c>
      <c r="D198" s="2"/>
      <c r="E198" s="2" t="n">
        <v>6</v>
      </c>
      <c r="F198" s="9" t="n">
        <v>97</v>
      </c>
      <c r="G198" s="2" t="n">
        <v>1</v>
      </c>
      <c r="H198" s="2" t="n">
        <v>0</v>
      </c>
      <c r="I198" s="2" t="n">
        <v>1</v>
      </c>
      <c r="J198" s="2" t="n">
        <v>0</v>
      </c>
      <c r="K198" s="2" t="n">
        <v>11</v>
      </c>
      <c r="L198" s="2" t="n">
        <v>0</v>
      </c>
      <c r="M198" s="2" t="n">
        <f aca="false">IF(J198&lt;=Assumptions!$B$13,0,IF(J198&lt;Assumptions!$B$14,25,IF(J198&lt;Assumptions!$B$15,50,IF(J198&lt;Assumptions!$B$16,75,100))))</f>
        <v>0</v>
      </c>
      <c r="N198" s="2" t="n">
        <f aca="false">IF(K198&gt;Assumptions!$B$19,0,IF(K198&gt;=Assumptions!$B$20,25,IF(K198&gt;=Assumptions!$B$21,50,IF(K198&gt;=Assumptions!$B$22,75,100))))</f>
        <v>50</v>
      </c>
      <c r="O198" s="2" t="n">
        <f aca="false">IF(L198&gt;=Assumptions!$B$25,0,IF(L198&gt;=Assumptions!$B$26,25,IF(L198=Assumptions!$B$27,50,IF(L198=Assumptions!$B$28,75,100))))</f>
        <v>100</v>
      </c>
      <c r="P198" s="21" t="n">
        <f aca="false">M198*Assumptions!$B$4+N198*Assumptions!$B$5+O198*Assumptions!$B$6</f>
        <v>35</v>
      </c>
      <c r="Q198" s="21" t="n">
        <f aca="false">IF(J198&lt;=Assumptions!$B$8,0,P198)</f>
        <v>0</v>
      </c>
      <c r="R198" s="2" t="str">
        <f aca="false">IF(Q198&gt;=Assumptions!$B$9,"High",IF(Q198&gt;=Assumptions!$B$10,"Medium","Low"))</f>
        <v>Low</v>
      </c>
      <c r="S198" s="21" t="n">
        <f aca="false">(N198*Assumptions!$B$5+O198*Assumptions!$B$6)/(Assumptions!$B$5+Assumptions!$B$6)</f>
        <v>70</v>
      </c>
      <c r="T198" s="2" t="str">
        <f aca="false">IF(AND(J198&gt;Assumptions!$B$8,G198&lt;=Assumptions!$B$30),"Low confidence","")</f>
        <v/>
      </c>
      <c r="U198" s="2" t="n">
        <f aca="false">(J198&gt;40)+(F198&gt;2000)+(K198&lt;10)+(L198=0)</f>
        <v>1</v>
      </c>
      <c r="V198" s="21" t="n">
        <f aca="false">IF(J198&lt;20,0,IF(J198&lt;40,25,M198))*Assumptions!$B$4+N198*Assumptions!$B$5+O198*Assumptions!$B$6</f>
        <v>35</v>
      </c>
      <c r="W198" s="2" t="str">
        <f aca="false">IF(V198&gt;=70,"High",IF(V198&gt;=40,"Medium","Low"))</f>
        <v>Low</v>
      </c>
    </row>
    <row r="199" customFormat="false" ht="15" hidden="false" customHeight="false" outlineLevel="0" collapsed="false">
      <c r="A199" s="2" t="s">
        <v>964</v>
      </c>
      <c r="B199" s="2" t="s">
        <v>1571</v>
      </c>
      <c r="C199" s="2" t="s">
        <v>1640</v>
      </c>
      <c r="D199" s="2"/>
      <c r="E199" s="2" t="n">
        <v>6</v>
      </c>
      <c r="F199" s="9" t="n">
        <v>96</v>
      </c>
      <c r="G199" s="2" t="n">
        <v>1</v>
      </c>
      <c r="H199" s="2" t="n">
        <v>0</v>
      </c>
      <c r="I199" s="2" t="n">
        <v>1</v>
      </c>
      <c r="J199" s="2" t="n">
        <v>10</v>
      </c>
      <c r="K199" s="2" t="n">
        <v>4</v>
      </c>
      <c r="L199" s="2" t="n">
        <v>0</v>
      </c>
      <c r="M199" s="2" t="n">
        <f aca="false">IF(J199&lt;=Assumptions!$B$13,0,IF(J199&lt;Assumptions!$B$14,25,IF(J199&lt;Assumptions!$B$15,50,IF(J199&lt;Assumptions!$B$16,75,100))))</f>
        <v>0</v>
      </c>
      <c r="N199" s="2" t="n">
        <f aca="false">IF(K199&gt;Assumptions!$B$19,0,IF(K199&gt;=Assumptions!$B$20,25,IF(K199&gt;=Assumptions!$B$21,50,IF(K199&gt;=Assumptions!$B$22,75,100))))</f>
        <v>100</v>
      </c>
      <c r="O199" s="2" t="n">
        <f aca="false">IF(L199&gt;=Assumptions!$B$25,0,IF(L199&gt;=Assumptions!$B$26,25,IF(L199=Assumptions!$B$27,50,IF(L199=Assumptions!$B$28,75,100))))</f>
        <v>100</v>
      </c>
      <c r="P199" s="21" t="n">
        <f aca="false">M199*Assumptions!$B$4+N199*Assumptions!$B$5+O199*Assumptions!$B$6</f>
        <v>50</v>
      </c>
      <c r="Q199" s="21" t="n">
        <f aca="false">IF(J199&lt;=Assumptions!$B$8,0,P199)</f>
        <v>0</v>
      </c>
      <c r="R199" s="2" t="str">
        <f aca="false">IF(Q199&gt;=Assumptions!$B$9,"High",IF(Q199&gt;=Assumptions!$B$10,"Medium","Low"))</f>
        <v>Low</v>
      </c>
      <c r="S199" s="21" t="n">
        <f aca="false">(N199*Assumptions!$B$5+O199*Assumptions!$B$6)/(Assumptions!$B$5+Assumptions!$B$6)</f>
        <v>100</v>
      </c>
      <c r="T199" s="2" t="str">
        <f aca="false">IF(AND(J199&gt;Assumptions!$B$8,G199&lt;=Assumptions!$B$30),"Low confidence","")</f>
        <v/>
      </c>
      <c r="U199" s="2" t="n">
        <f aca="false">(J199&gt;40)+(F199&gt;2000)+(K199&lt;10)+(L199=0)</f>
        <v>2</v>
      </c>
      <c r="V199" s="21" t="n">
        <f aca="false">IF(J199&lt;20,0,IF(J199&lt;40,25,M199))*Assumptions!$B$4+N199*Assumptions!$B$5+O199*Assumptions!$B$6</f>
        <v>50</v>
      </c>
      <c r="W199" s="2" t="str">
        <f aca="false">IF(V199&gt;=70,"High",IF(V199&gt;=40,"Medium","Low"))</f>
        <v>Medium</v>
      </c>
    </row>
    <row r="200" customFormat="false" ht="15" hidden="false" customHeight="false" outlineLevel="0" collapsed="false">
      <c r="A200" s="2" t="s">
        <v>966</v>
      </c>
      <c r="B200" s="2" t="s">
        <v>1571</v>
      </c>
      <c r="C200" s="2" t="s">
        <v>1640</v>
      </c>
      <c r="D200" s="2"/>
      <c r="E200" s="2" t="n">
        <v>6</v>
      </c>
      <c r="F200" s="9" t="n">
        <v>96</v>
      </c>
      <c r="G200" s="2" t="n">
        <v>1</v>
      </c>
      <c r="H200" s="2" t="n">
        <v>0</v>
      </c>
      <c r="I200" s="2" t="n">
        <v>1</v>
      </c>
      <c r="J200" s="2" t="n">
        <v>12</v>
      </c>
      <c r="K200" s="2" t="n">
        <v>5</v>
      </c>
      <c r="L200" s="2" t="n">
        <v>0</v>
      </c>
      <c r="M200" s="2" t="n">
        <f aca="false">IF(J200&lt;=Assumptions!$B$13,0,IF(J200&lt;Assumptions!$B$14,25,IF(J200&lt;Assumptions!$B$15,50,IF(J200&lt;Assumptions!$B$16,75,100))))</f>
        <v>0</v>
      </c>
      <c r="N200" s="2" t="n">
        <f aca="false">IF(K200&gt;Assumptions!$B$19,0,IF(K200&gt;=Assumptions!$B$20,25,IF(K200&gt;=Assumptions!$B$21,50,IF(K200&gt;=Assumptions!$B$22,75,100))))</f>
        <v>75</v>
      </c>
      <c r="O200" s="2" t="n">
        <f aca="false">IF(L200&gt;=Assumptions!$B$25,0,IF(L200&gt;=Assumptions!$B$26,25,IF(L200=Assumptions!$B$27,50,IF(L200=Assumptions!$B$28,75,100))))</f>
        <v>100</v>
      </c>
      <c r="P200" s="21" t="n">
        <f aca="false">M200*Assumptions!$B$4+N200*Assumptions!$B$5+O200*Assumptions!$B$6</f>
        <v>42.5</v>
      </c>
      <c r="Q200" s="21" t="n">
        <f aca="false">IF(J200&lt;=Assumptions!$B$8,0,P200)</f>
        <v>0</v>
      </c>
      <c r="R200" s="2" t="str">
        <f aca="false">IF(Q200&gt;=Assumptions!$B$9,"High",IF(Q200&gt;=Assumptions!$B$10,"Medium","Low"))</f>
        <v>Low</v>
      </c>
      <c r="S200" s="21" t="n">
        <f aca="false">(N200*Assumptions!$B$5+O200*Assumptions!$B$6)/(Assumptions!$B$5+Assumptions!$B$6)</f>
        <v>85</v>
      </c>
      <c r="T200" s="2" t="str">
        <f aca="false">IF(AND(J200&gt;Assumptions!$B$8,G200&lt;=Assumptions!$B$30),"Low confidence","")</f>
        <v/>
      </c>
      <c r="U200" s="2" t="n">
        <f aca="false">(J200&gt;40)+(F200&gt;2000)+(K200&lt;10)+(L200=0)</f>
        <v>2</v>
      </c>
      <c r="V200" s="21" t="n">
        <f aca="false">IF(J200&lt;20,0,IF(J200&lt;40,25,M200))*Assumptions!$B$4+N200*Assumptions!$B$5+O200*Assumptions!$B$6</f>
        <v>42.5</v>
      </c>
      <c r="W200" s="2" t="str">
        <f aca="false">IF(V200&gt;=70,"High",IF(V200&gt;=40,"Medium","Low"))</f>
        <v>Medium</v>
      </c>
    </row>
    <row r="201" customFormat="false" ht="15" hidden="false" customHeight="false" outlineLevel="0" collapsed="false">
      <c r="A201" s="2" t="s">
        <v>970</v>
      </c>
      <c r="B201" s="2" t="s">
        <v>1571</v>
      </c>
      <c r="C201" s="2" t="s">
        <v>1640</v>
      </c>
      <c r="D201" s="2"/>
      <c r="E201" s="2" t="n">
        <v>6</v>
      </c>
      <c r="F201" s="9" t="n">
        <v>94</v>
      </c>
      <c r="G201" s="2" t="n">
        <v>1</v>
      </c>
      <c r="H201" s="2" t="n">
        <v>0</v>
      </c>
      <c r="I201" s="2" t="n">
        <v>1</v>
      </c>
      <c r="J201" s="2" t="n">
        <v>12</v>
      </c>
      <c r="K201" s="2" t="n">
        <v>13</v>
      </c>
      <c r="L201" s="2" t="n">
        <v>7</v>
      </c>
      <c r="M201" s="2" t="n">
        <f aca="false">IF(J201&lt;=Assumptions!$B$13,0,IF(J201&lt;Assumptions!$B$14,25,IF(J201&lt;Assumptions!$B$15,50,IF(J201&lt;Assumptions!$B$16,75,100))))</f>
        <v>0</v>
      </c>
      <c r="N201" s="2" t="n">
        <f aca="false">IF(K201&gt;Assumptions!$B$19,0,IF(K201&gt;=Assumptions!$B$20,25,IF(K201&gt;=Assumptions!$B$21,50,IF(K201&gt;=Assumptions!$B$22,75,100))))</f>
        <v>50</v>
      </c>
      <c r="O201" s="2" t="n">
        <f aca="false">IF(L201&gt;=Assumptions!$B$25,0,IF(L201&gt;=Assumptions!$B$26,25,IF(L201=Assumptions!$B$27,50,IF(L201=Assumptions!$B$28,75,100))))</f>
        <v>0</v>
      </c>
      <c r="P201" s="21" t="n">
        <f aca="false">M201*Assumptions!$B$4+N201*Assumptions!$B$5+O201*Assumptions!$B$6</f>
        <v>15</v>
      </c>
      <c r="Q201" s="21" t="n">
        <f aca="false">IF(J201&lt;=Assumptions!$B$8,0,P201)</f>
        <v>0</v>
      </c>
      <c r="R201" s="2" t="str">
        <f aca="false">IF(Q201&gt;=Assumptions!$B$9,"High",IF(Q201&gt;=Assumptions!$B$10,"Medium","Low"))</f>
        <v>Low</v>
      </c>
      <c r="S201" s="21" t="n">
        <f aca="false">(N201*Assumptions!$B$5+O201*Assumptions!$B$6)/(Assumptions!$B$5+Assumptions!$B$6)</f>
        <v>30</v>
      </c>
      <c r="T201" s="2" t="str">
        <f aca="false">IF(AND(J201&gt;Assumptions!$B$8,G201&lt;=Assumptions!$B$30),"Low confidence","")</f>
        <v/>
      </c>
      <c r="U201" s="2" t="n">
        <f aca="false">(J201&gt;40)+(F201&gt;2000)+(K201&lt;10)+(L201=0)</f>
        <v>0</v>
      </c>
      <c r="V201" s="21" t="n">
        <f aca="false">IF(J201&lt;20,0,IF(J201&lt;40,25,M201))*Assumptions!$B$4+N201*Assumptions!$B$5+O201*Assumptions!$B$6</f>
        <v>15</v>
      </c>
      <c r="W201" s="2" t="str">
        <f aca="false">IF(V201&gt;=70,"High",IF(V201&gt;=40,"Medium","Low"))</f>
        <v>Low</v>
      </c>
    </row>
    <row r="202" customFormat="false" ht="15" hidden="false" customHeight="false" outlineLevel="0" collapsed="false">
      <c r="A202" s="2" t="s">
        <v>974</v>
      </c>
      <c r="B202" s="2" t="s">
        <v>1571</v>
      </c>
      <c r="C202" s="2" t="s">
        <v>1640</v>
      </c>
      <c r="D202" s="2"/>
      <c r="E202" s="2" t="n">
        <v>6</v>
      </c>
      <c r="F202" s="9" t="n">
        <v>88</v>
      </c>
      <c r="G202" s="2" t="n">
        <v>1</v>
      </c>
      <c r="H202" s="2" t="n">
        <v>0</v>
      </c>
      <c r="I202" s="2" t="n">
        <v>1</v>
      </c>
      <c r="J202" s="2" t="n">
        <v>16</v>
      </c>
      <c r="K202" s="2" t="n">
        <v>11</v>
      </c>
      <c r="L202" s="2" t="n">
        <v>0</v>
      </c>
      <c r="M202" s="2" t="n">
        <f aca="false">IF(J202&lt;=Assumptions!$B$13,0,IF(J202&lt;Assumptions!$B$14,25,IF(J202&lt;Assumptions!$B$15,50,IF(J202&lt;Assumptions!$B$16,75,100))))</f>
        <v>0</v>
      </c>
      <c r="N202" s="2" t="n">
        <f aca="false">IF(K202&gt;Assumptions!$B$19,0,IF(K202&gt;=Assumptions!$B$20,25,IF(K202&gt;=Assumptions!$B$21,50,IF(K202&gt;=Assumptions!$B$22,75,100))))</f>
        <v>50</v>
      </c>
      <c r="O202" s="2" t="n">
        <f aca="false">IF(L202&gt;=Assumptions!$B$25,0,IF(L202&gt;=Assumptions!$B$26,25,IF(L202=Assumptions!$B$27,50,IF(L202=Assumptions!$B$28,75,100))))</f>
        <v>100</v>
      </c>
      <c r="P202" s="21" t="n">
        <f aca="false">M202*Assumptions!$B$4+N202*Assumptions!$B$5+O202*Assumptions!$B$6</f>
        <v>35</v>
      </c>
      <c r="Q202" s="21" t="n">
        <f aca="false">IF(J202&lt;=Assumptions!$B$8,0,P202)</f>
        <v>0</v>
      </c>
      <c r="R202" s="2" t="str">
        <f aca="false">IF(Q202&gt;=Assumptions!$B$9,"High",IF(Q202&gt;=Assumptions!$B$10,"Medium","Low"))</f>
        <v>Low</v>
      </c>
      <c r="S202" s="21" t="n">
        <f aca="false">(N202*Assumptions!$B$5+O202*Assumptions!$B$6)/(Assumptions!$B$5+Assumptions!$B$6)</f>
        <v>70</v>
      </c>
      <c r="T202" s="2" t="str">
        <f aca="false">IF(AND(J202&gt;Assumptions!$B$8,G202&lt;=Assumptions!$B$30),"Low confidence","")</f>
        <v/>
      </c>
      <c r="U202" s="2" t="n">
        <f aca="false">(J202&gt;40)+(F202&gt;2000)+(K202&lt;10)+(L202=0)</f>
        <v>1</v>
      </c>
      <c r="V202" s="21" t="n">
        <f aca="false">IF(J202&lt;20,0,IF(J202&lt;40,25,M202))*Assumptions!$B$4+N202*Assumptions!$B$5+O202*Assumptions!$B$6</f>
        <v>35</v>
      </c>
      <c r="W202" s="2" t="str">
        <f aca="false">IF(V202&gt;=70,"High",IF(V202&gt;=40,"Medium","Low"))</f>
        <v>Low</v>
      </c>
    </row>
    <row r="203" customFormat="false" ht="15" hidden="false" customHeight="false" outlineLevel="0" collapsed="false">
      <c r="A203" s="2" t="s">
        <v>982</v>
      </c>
      <c r="B203" s="2" t="s">
        <v>1571</v>
      </c>
      <c r="C203" s="2" t="s">
        <v>1641</v>
      </c>
      <c r="D203" s="2" t="s">
        <v>1572</v>
      </c>
      <c r="E203" s="2" t="n">
        <v>6</v>
      </c>
      <c r="F203" s="9" t="n">
        <v>85</v>
      </c>
      <c r="G203" s="2" t="n">
        <v>1</v>
      </c>
      <c r="H203" s="2" t="n">
        <v>0</v>
      </c>
      <c r="I203" s="2" t="n">
        <v>1</v>
      </c>
      <c r="J203" s="2" t="n">
        <v>2</v>
      </c>
      <c r="K203" s="2" t="n">
        <v>13</v>
      </c>
      <c r="L203" s="2" t="n">
        <v>4</v>
      </c>
      <c r="M203" s="2" t="n">
        <f aca="false">IF(J203&lt;=Assumptions!$B$13,0,IF(J203&lt;Assumptions!$B$14,25,IF(J203&lt;Assumptions!$B$15,50,IF(J203&lt;Assumptions!$B$16,75,100))))</f>
        <v>0</v>
      </c>
      <c r="N203" s="2" t="n">
        <f aca="false">IF(K203&gt;Assumptions!$B$19,0,IF(K203&gt;=Assumptions!$B$20,25,IF(K203&gt;=Assumptions!$B$21,50,IF(K203&gt;=Assumptions!$B$22,75,100))))</f>
        <v>50</v>
      </c>
      <c r="O203" s="2" t="n">
        <f aca="false">IF(L203&gt;=Assumptions!$B$25,0,IF(L203&gt;=Assumptions!$B$26,25,IF(L203=Assumptions!$B$27,50,IF(L203=Assumptions!$B$28,75,100))))</f>
        <v>25</v>
      </c>
      <c r="P203" s="21" t="n">
        <f aca="false">M203*Assumptions!$B$4+N203*Assumptions!$B$5+O203*Assumptions!$B$6</f>
        <v>20</v>
      </c>
      <c r="Q203" s="21" t="n">
        <f aca="false">IF(J203&lt;=Assumptions!$B$8,0,P203)</f>
        <v>0</v>
      </c>
      <c r="R203" s="2" t="str">
        <f aca="false">IF(Q203&gt;=Assumptions!$B$9,"High",IF(Q203&gt;=Assumptions!$B$10,"Medium","Low"))</f>
        <v>Low</v>
      </c>
      <c r="S203" s="21" t="n">
        <f aca="false">(N203*Assumptions!$B$5+O203*Assumptions!$B$6)/(Assumptions!$B$5+Assumptions!$B$6)</f>
        <v>40</v>
      </c>
      <c r="T203" s="2" t="str">
        <f aca="false">IF(AND(J203&gt;Assumptions!$B$8,G203&lt;=Assumptions!$B$30),"Low confidence","")</f>
        <v/>
      </c>
      <c r="U203" s="2" t="n">
        <f aca="false">(J203&gt;40)+(F203&gt;2000)+(K203&lt;10)+(L203=0)</f>
        <v>0</v>
      </c>
      <c r="V203" s="21" t="n">
        <f aca="false">IF(J203&lt;20,0,IF(J203&lt;40,25,M203))*Assumptions!$B$4+N203*Assumptions!$B$5+O203*Assumptions!$B$6</f>
        <v>20</v>
      </c>
      <c r="W203" s="2" t="str">
        <f aca="false">IF(V203&gt;=70,"High",IF(V203&gt;=40,"Medium","Low"))</f>
        <v>Low</v>
      </c>
    </row>
    <row r="204" customFormat="false" ht="15" hidden="false" customHeight="false" outlineLevel="0" collapsed="false">
      <c r="A204" s="2" t="s">
        <v>984</v>
      </c>
      <c r="B204" s="2" t="s">
        <v>1571</v>
      </c>
      <c r="C204" s="2" t="s">
        <v>1640</v>
      </c>
      <c r="D204" s="2" t="s">
        <v>1572</v>
      </c>
      <c r="E204" s="2" t="n">
        <v>7</v>
      </c>
      <c r="F204" s="9" t="n">
        <v>84</v>
      </c>
      <c r="G204" s="2" t="n">
        <v>1</v>
      </c>
      <c r="H204" s="2" t="n">
        <v>0</v>
      </c>
      <c r="I204" s="2" t="n">
        <v>1</v>
      </c>
      <c r="J204" s="2" t="n">
        <v>18</v>
      </c>
      <c r="K204" s="2" t="n">
        <v>7</v>
      </c>
      <c r="L204" s="2" t="n">
        <v>0</v>
      </c>
      <c r="M204" s="2" t="n">
        <f aca="false">IF(J204&lt;=Assumptions!$B$13,0,IF(J204&lt;Assumptions!$B$14,25,IF(J204&lt;Assumptions!$B$15,50,IF(J204&lt;Assumptions!$B$16,75,100))))</f>
        <v>0</v>
      </c>
      <c r="N204" s="2" t="n">
        <f aca="false">IF(K204&gt;Assumptions!$B$19,0,IF(K204&gt;=Assumptions!$B$20,25,IF(K204&gt;=Assumptions!$B$21,50,IF(K204&gt;=Assumptions!$B$22,75,100))))</f>
        <v>75</v>
      </c>
      <c r="O204" s="2" t="n">
        <f aca="false">IF(L204&gt;=Assumptions!$B$25,0,IF(L204&gt;=Assumptions!$B$26,25,IF(L204=Assumptions!$B$27,50,IF(L204=Assumptions!$B$28,75,100))))</f>
        <v>100</v>
      </c>
      <c r="P204" s="21" t="n">
        <f aca="false">M204*Assumptions!$B$4+N204*Assumptions!$B$5+O204*Assumptions!$B$6</f>
        <v>42.5</v>
      </c>
      <c r="Q204" s="21" t="n">
        <f aca="false">IF(J204&lt;=Assumptions!$B$8,0,P204)</f>
        <v>0</v>
      </c>
      <c r="R204" s="2" t="str">
        <f aca="false">IF(Q204&gt;=Assumptions!$B$9,"High",IF(Q204&gt;=Assumptions!$B$10,"Medium","Low"))</f>
        <v>Low</v>
      </c>
      <c r="S204" s="21" t="n">
        <f aca="false">(N204*Assumptions!$B$5+O204*Assumptions!$B$6)/(Assumptions!$B$5+Assumptions!$B$6)</f>
        <v>85</v>
      </c>
      <c r="T204" s="2" t="str">
        <f aca="false">IF(AND(J204&gt;Assumptions!$B$8,G204&lt;=Assumptions!$B$30),"Low confidence","")</f>
        <v/>
      </c>
      <c r="U204" s="2" t="n">
        <f aca="false">(J204&gt;40)+(F204&gt;2000)+(K204&lt;10)+(L204=0)</f>
        <v>2</v>
      </c>
      <c r="V204" s="21" t="n">
        <f aca="false">IF(J204&lt;20,0,IF(J204&lt;40,25,M204))*Assumptions!$B$4+N204*Assumptions!$B$5+O204*Assumptions!$B$6</f>
        <v>42.5</v>
      </c>
      <c r="W204" s="2" t="str">
        <f aca="false">IF(V204&gt;=70,"High",IF(V204&gt;=40,"Medium","Low"))</f>
        <v>Medium</v>
      </c>
    </row>
    <row r="205" customFormat="false" ht="15" hidden="false" customHeight="false" outlineLevel="0" collapsed="false">
      <c r="A205" s="2" t="s">
        <v>986</v>
      </c>
      <c r="B205" s="2" t="s">
        <v>1571</v>
      </c>
      <c r="C205" s="2" t="s">
        <v>1640</v>
      </c>
      <c r="D205" s="2"/>
      <c r="E205" s="2" t="n">
        <v>6</v>
      </c>
      <c r="F205" s="9" t="n">
        <v>84</v>
      </c>
      <c r="G205" s="2" t="n">
        <v>1</v>
      </c>
      <c r="H205" s="2" t="n">
        <v>0</v>
      </c>
      <c r="I205" s="2" t="n">
        <v>1</v>
      </c>
      <c r="J205" s="2" t="n">
        <v>6</v>
      </c>
      <c r="K205" s="2" t="n">
        <v>4</v>
      </c>
      <c r="L205" s="2" t="n">
        <v>0</v>
      </c>
      <c r="M205" s="2" t="n">
        <f aca="false">IF(J205&lt;=Assumptions!$B$13,0,IF(J205&lt;Assumptions!$B$14,25,IF(J205&lt;Assumptions!$B$15,50,IF(J205&lt;Assumptions!$B$16,75,100))))</f>
        <v>0</v>
      </c>
      <c r="N205" s="2" t="n">
        <f aca="false">IF(K205&gt;Assumptions!$B$19,0,IF(K205&gt;=Assumptions!$B$20,25,IF(K205&gt;=Assumptions!$B$21,50,IF(K205&gt;=Assumptions!$B$22,75,100))))</f>
        <v>100</v>
      </c>
      <c r="O205" s="2" t="n">
        <f aca="false">IF(L205&gt;=Assumptions!$B$25,0,IF(L205&gt;=Assumptions!$B$26,25,IF(L205=Assumptions!$B$27,50,IF(L205=Assumptions!$B$28,75,100))))</f>
        <v>100</v>
      </c>
      <c r="P205" s="21" t="n">
        <f aca="false">M205*Assumptions!$B$4+N205*Assumptions!$B$5+O205*Assumptions!$B$6</f>
        <v>50</v>
      </c>
      <c r="Q205" s="21" t="n">
        <f aca="false">IF(J205&lt;=Assumptions!$B$8,0,P205)</f>
        <v>0</v>
      </c>
      <c r="R205" s="2" t="str">
        <f aca="false">IF(Q205&gt;=Assumptions!$B$9,"High",IF(Q205&gt;=Assumptions!$B$10,"Medium","Low"))</f>
        <v>Low</v>
      </c>
      <c r="S205" s="21" t="n">
        <f aca="false">(N205*Assumptions!$B$5+O205*Assumptions!$B$6)/(Assumptions!$B$5+Assumptions!$B$6)</f>
        <v>100</v>
      </c>
      <c r="T205" s="2" t="str">
        <f aca="false">IF(AND(J205&gt;Assumptions!$B$8,G205&lt;=Assumptions!$B$30),"Low confidence","")</f>
        <v/>
      </c>
      <c r="U205" s="2" t="n">
        <f aca="false">(J205&gt;40)+(F205&gt;2000)+(K205&lt;10)+(L205=0)</f>
        <v>2</v>
      </c>
      <c r="V205" s="21" t="n">
        <f aca="false">IF(J205&lt;20,0,IF(J205&lt;40,25,M205))*Assumptions!$B$4+N205*Assumptions!$B$5+O205*Assumptions!$B$6</f>
        <v>50</v>
      </c>
      <c r="W205" s="2" t="str">
        <f aca="false">IF(V205&gt;=70,"High",IF(V205&gt;=40,"Medium","Low"))</f>
        <v>Medium</v>
      </c>
    </row>
    <row r="206" customFormat="false" ht="15" hidden="false" customHeight="false" outlineLevel="0" collapsed="false">
      <c r="A206" s="2" t="s">
        <v>988</v>
      </c>
      <c r="B206" s="2" t="s">
        <v>1571</v>
      </c>
      <c r="C206" s="2" t="s">
        <v>1640</v>
      </c>
      <c r="D206" s="2" t="s">
        <v>1572</v>
      </c>
      <c r="E206" s="2" t="n">
        <v>6</v>
      </c>
      <c r="F206" s="9" t="n">
        <v>84</v>
      </c>
      <c r="G206" s="2" t="n">
        <v>1</v>
      </c>
      <c r="H206" s="2" t="n">
        <v>0</v>
      </c>
      <c r="I206" s="2" t="n">
        <v>1</v>
      </c>
      <c r="J206" s="2" t="n">
        <v>9</v>
      </c>
      <c r="K206" s="2" t="n">
        <v>6</v>
      </c>
      <c r="L206" s="2" t="n">
        <v>0</v>
      </c>
      <c r="M206" s="2" t="n">
        <f aca="false">IF(J206&lt;=Assumptions!$B$13,0,IF(J206&lt;Assumptions!$B$14,25,IF(J206&lt;Assumptions!$B$15,50,IF(J206&lt;Assumptions!$B$16,75,100))))</f>
        <v>0</v>
      </c>
      <c r="N206" s="2" t="n">
        <f aca="false">IF(K206&gt;Assumptions!$B$19,0,IF(K206&gt;=Assumptions!$B$20,25,IF(K206&gt;=Assumptions!$B$21,50,IF(K206&gt;=Assumptions!$B$22,75,100))))</f>
        <v>75</v>
      </c>
      <c r="O206" s="2" t="n">
        <f aca="false">IF(L206&gt;=Assumptions!$B$25,0,IF(L206&gt;=Assumptions!$B$26,25,IF(L206=Assumptions!$B$27,50,IF(L206=Assumptions!$B$28,75,100))))</f>
        <v>100</v>
      </c>
      <c r="P206" s="21" t="n">
        <f aca="false">M206*Assumptions!$B$4+N206*Assumptions!$B$5+O206*Assumptions!$B$6</f>
        <v>42.5</v>
      </c>
      <c r="Q206" s="21" t="n">
        <f aca="false">IF(J206&lt;=Assumptions!$B$8,0,P206)</f>
        <v>0</v>
      </c>
      <c r="R206" s="2" t="str">
        <f aca="false">IF(Q206&gt;=Assumptions!$B$9,"High",IF(Q206&gt;=Assumptions!$B$10,"Medium","Low"))</f>
        <v>Low</v>
      </c>
      <c r="S206" s="21" t="n">
        <f aca="false">(N206*Assumptions!$B$5+O206*Assumptions!$B$6)/(Assumptions!$B$5+Assumptions!$B$6)</f>
        <v>85</v>
      </c>
      <c r="T206" s="2" t="str">
        <f aca="false">IF(AND(J206&gt;Assumptions!$B$8,G206&lt;=Assumptions!$B$30),"Low confidence","")</f>
        <v/>
      </c>
      <c r="U206" s="2" t="n">
        <f aca="false">(J206&gt;40)+(F206&gt;2000)+(K206&lt;10)+(L206=0)</f>
        <v>2</v>
      </c>
      <c r="V206" s="21" t="n">
        <f aca="false">IF(J206&lt;20,0,IF(J206&lt;40,25,M206))*Assumptions!$B$4+N206*Assumptions!$B$5+O206*Assumptions!$B$6</f>
        <v>42.5</v>
      </c>
      <c r="W206" s="2" t="str">
        <f aca="false">IF(V206&gt;=70,"High",IF(V206&gt;=40,"Medium","Low"))</f>
        <v>Medium</v>
      </c>
    </row>
    <row r="207" customFormat="false" ht="15" hidden="false" customHeight="false" outlineLevel="0" collapsed="false">
      <c r="A207" s="2" t="s">
        <v>996</v>
      </c>
      <c r="B207" s="2" t="s">
        <v>1571</v>
      </c>
      <c r="C207" s="2" t="s">
        <v>1640</v>
      </c>
      <c r="D207" s="2" t="s">
        <v>1572</v>
      </c>
      <c r="E207" s="2" t="n">
        <v>9</v>
      </c>
      <c r="F207" s="9" t="n">
        <v>80</v>
      </c>
      <c r="G207" s="2" t="n">
        <v>1</v>
      </c>
      <c r="H207" s="2" t="n">
        <v>0</v>
      </c>
      <c r="I207" s="2" t="n">
        <v>1</v>
      </c>
      <c r="J207" s="2" t="n">
        <v>5</v>
      </c>
      <c r="K207" s="2" t="n">
        <v>7</v>
      </c>
      <c r="L207" s="2" t="n">
        <v>1</v>
      </c>
      <c r="M207" s="2" t="n">
        <f aca="false">IF(J207&lt;=Assumptions!$B$13,0,IF(J207&lt;Assumptions!$B$14,25,IF(J207&lt;Assumptions!$B$15,50,IF(J207&lt;Assumptions!$B$16,75,100))))</f>
        <v>0</v>
      </c>
      <c r="N207" s="2" t="n">
        <f aca="false">IF(K207&gt;Assumptions!$B$19,0,IF(K207&gt;=Assumptions!$B$20,25,IF(K207&gt;=Assumptions!$B$21,50,IF(K207&gt;=Assumptions!$B$22,75,100))))</f>
        <v>75</v>
      </c>
      <c r="O207" s="2" t="n">
        <f aca="false">IF(L207&gt;=Assumptions!$B$25,0,IF(L207&gt;=Assumptions!$B$26,25,IF(L207=Assumptions!$B$27,50,IF(L207=Assumptions!$B$28,75,100))))</f>
        <v>75</v>
      </c>
      <c r="P207" s="21" t="n">
        <f aca="false">M207*Assumptions!$B$4+N207*Assumptions!$B$5+O207*Assumptions!$B$6</f>
        <v>37.5</v>
      </c>
      <c r="Q207" s="21" t="n">
        <f aca="false">IF(J207&lt;=Assumptions!$B$8,0,P207)</f>
        <v>0</v>
      </c>
      <c r="R207" s="2" t="str">
        <f aca="false">IF(Q207&gt;=Assumptions!$B$9,"High",IF(Q207&gt;=Assumptions!$B$10,"Medium","Low"))</f>
        <v>Low</v>
      </c>
      <c r="S207" s="21" t="n">
        <f aca="false">(N207*Assumptions!$B$5+O207*Assumptions!$B$6)/(Assumptions!$B$5+Assumptions!$B$6)</f>
        <v>75</v>
      </c>
      <c r="T207" s="2" t="str">
        <f aca="false">IF(AND(J207&gt;Assumptions!$B$8,G207&lt;=Assumptions!$B$30),"Low confidence","")</f>
        <v/>
      </c>
      <c r="U207" s="2" t="n">
        <f aca="false">(J207&gt;40)+(F207&gt;2000)+(K207&lt;10)+(L207=0)</f>
        <v>1</v>
      </c>
      <c r="V207" s="21" t="n">
        <f aca="false">IF(J207&lt;20,0,IF(J207&lt;40,25,M207))*Assumptions!$B$4+N207*Assumptions!$B$5+O207*Assumptions!$B$6</f>
        <v>37.5</v>
      </c>
      <c r="W207" s="2" t="str">
        <f aca="false">IF(V207&gt;=70,"High",IF(V207&gt;=40,"Medium","Low"))</f>
        <v>Low</v>
      </c>
    </row>
    <row r="208" customFormat="false" ht="15" hidden="false" customHeight="false" outlineLevel="0" collapsed="false">
      <c r="A208" s="2" t="s">
        <v>1000</v>
      </c>
      <c r="B208" s="2" t="s">
        <v>1571</v>
      </c>
      <c r="C208" s="2" t="s">
        <v>1640</v>
      </c>
      <c r="D208" s="2"/>
      <c r="E208" s="2" t="n">
        <v>6</v>
      </c>
      <c r="F208" s="9" t="n">
        <v>77</v>
      </c>
      <c r="G208" s="2" t="n">
        <v>1</v>
      </c>
      <c r="H208" s="2" t="n">
        <v>0</v>
      </c>
      <c r="I208" s="2" t="n">
        <v>1</v>
      </c>
      <c r="J208" s="2" t="n">
        <v>18</v>
      </c>
      <c r="K208" s="2" t="n">
        <v>11</v>
      </c>
      <c r="L208" s="2" t="n">
        <v>8</v>
      </c>
      <c r="M208" s="2" t="n">
        <f aca="false">IF(J208&lt;=Assumptions!$B$13,0,IF(J208&lt;Assumptions!$B$14,25,IF(J208&lt;Assumptions!$B$15,50,IF(J208&lt;Assumptions!$B$16,75,100))))</f>
        <v>0</v>
      </c>
      <c r="N208" s="2" t="n">
        <f aca="false">IF(K208&gt;Assumptions!$B$19,0,IF(K208&gt;=Assumptions!$B$20,25,IF(K208&gt;=Assumptions!$B$21,50,IF(K208&gt;=Assumptions!$B$22,75,100))))</f>
        <v>50</v>
      </c>
      <c r="O208" s="2" t="n">
        <f aca="false">IF(L208&gt;=Assumptions!$B$25,0,IF(L208&gt;=Assumptions!$B$26,25,IF(L208=Assumptions!$B$27,50,IF(L208=Assumptions!$B$28,75,100))))</f>
        <v>0</v>
      </c>
      <c r="P208" s="21" t="n">
        <f aca="false">M208*Assumptions!$B$4+N208*Assumptions!$B$5+O208*Assumptions!$B$6</f>
        <v>15</v>
      </c>
      <c r="Q208" s="21" t="n">
        <f aca="false">IF(J208&lt;=Assumptions!$B$8,0,P208)</f>
        <v>0</v>
      </c>
      <c r="R208" s="2" t="str">
        <f aca="false">IF(Q208&gt;=Assumptions!$B$9,"High",IF(Q208&gt;=Assumptions!$B$10,"Medium","Low"))</f>
        <v>Low</v>
      </c>
      <c r="S208" s="21" t="n">
        <f aca="false">(N208*Assumptions!$B$5+O208*Assumptions!$B$6)/(Assumptions!$B$5+Assumptions!$B$6)</f>
        <v>30</v>
      </c>
      <c r="T208" s="2" t="str">
        <f aca="false">IF(AND(J208&gt;Assumptions!$B$8,G208&lt;=Assumptions!$B$30),"Low confidence","")</f>
        <v/>
      </c>
      <c r="U208" s="2" t="n">
        <f aca="false">(J208&gt;40)+(F208&gt;2000)+(K208&lt;10)+(L208=0)</f>
        <v>0</v>
      </c>
      <c r="V208" s="21" t="n">
        <f aca="false">IF(J208&lt;20,0,IF(J208&lt;40,25,M208))*Assumptions!$B$4+N208*Assumptions!$B$5+O208*Assumptions!$B$6</f>
        <v>15</v>
      </c>
      <c r="W208" s="2" t="str">
        <f aca="false">IF(V208&gt;=70,"High",IF(V208&gt;=40,"Medium","Low"))</f>
        <v>Low</v>
      </c>
    </row>
    <row r="209" customFormat="false" ht="15" hidden="false" customHeight="false" outlineLevel="0" collapsed="false">
      <c r="A209" s="2" t="s">
        <v>1012</v>
      </c>
      <c r="B209" s="2" t="s">
        <v>1571</v>
      </c>
      <c r="C209" s="2" t="s">
        <v>1640</v>
      </c>
      <c r="D209" s="2" t="s">
        <v>1572</v>
      </c>
      <c r="E209" s="2" t="n">
        <v>6</v>
      </c>
      <c r="F209" s="9" t="n">
        <v>53</v>
      </c>
      <c r="G209" s="2" t="n">
        <v>1</v>
      </c>
      <c r="H209" s="2" t="n">
        <v>0</v>
      </c>
      <c r="I209" s="2" t="n">
        <v>1</v>
      </c>
      <c r="J209" s="2" t="n">
        <v>13</v>
      </c>
      <c r="K209" s="2" t="n">
        <v>4</v>
      </c>
      <c r="L209" s="2" t="n">
        <v>1</v>
      </c>
      <c r="M209" s="2" t="n">
        <f aca="false">IF(J209&lt;=Assumptions!$B$13,0,IF(J209&lt;Assumptions!$B$14,25,IF(J209&lt;Assumptions!$B$15,50,IF(J209&lt;Assumptions!$B$16,75,100))))</f>
        <v>0</v>
      </c>
      <c r="N209" s="2" t="n">
        <f aca="false">IF(K209&gt;Assumptions!$B$19,0,IF(K209&gt;=Assumptions!$B$20,25,IF(K209&gt;=Assumptions!$B$21,50,IF(K209&gt;=Assumptions!$B$22,75,100))))</f>
        <v>100</v>
      </c>
      <c r="O209" s="2" t="n">
        <f aca="false">IF(L209&gt;=Assumptions!$B$25,0,IF(L209&gt;=Assumptions!$B$26,25,IF(L209=Assumptions!$B$27,50,IF(L209=Assumptions!$B$28,75,100))))</f>
        <v>75</v>
      </c>
      <c r="P209" s="21" t="n">
        <f aca="false">M209*Assumptions!$B$4+N209*Assumptions!$B$5+O209*Assumptions!$B$6</f>
        <v>45</v>
      </c>
      <c r="Q209" s="21" t="n">
        <f aca="false">IF(J209&lt;=Assumptions!$B$8,0,P209)</f>
        <v>0</v>
      </c>
      <c r="R209" s="2" t="str">
        <f aca="false">IF(Q209&gt;=Assumptions!$B$9,"High",IF(Q209&gt;=Assumptions!$B$10,"Medium","Low"))</f>
        <v>Low</v>
      </c>
      <c r="S209" s="21" t="n">
        <f aca="false">(N209*Assumptions!$B$5+O209*Assumptions!$B$6)/(Assumptions!$B$5+Assumptions!$B$6)</f>
        <v>90</v>
      </c>
      <c r="T209" s="2" t="str">
        <f aca="false">IF(AND(J209&gt;Assumptions!$B$8,G209&lt;=Assumptions!$B$30),"Low confidence","")</f>
        <v/>
      </c>
      <c r="U209" s="2" t="n">
        <f aca="false">(J209&gt;40)+(F209&gt;2000)+(K209&lt;10)+(L209=0)</f>
        <v>1</v>
      </c>
      <c r="V209" s="21" t="n">
        <f aca="false">IF(J209&lt;20,0,IF(J209&lt;40,25,M209))*Assumptions!$B$4+N209*Assumptions!$B$5+O209*Assumptions!$B$6</f>
        <v>45</v>
      </c>
      <c r="W209" s="2" t="str">
        <f aca="false">IF(V209&gt;=70,"High",IF(V209&gt;=40,"Medium","Low"))</f>
        <v>Medium</v>
      </c>
    </row>
    <row r="210" customFormat="false" ht="15" hidden="false" customHeight="false" outlineLevel="0" collapsed="false">
      <c r="A210" s="2" t="s">
        <v>1014</v>
      </c>
      <c r="B210" s="2" t="s">
        <v>1571</v>
      </c>
      <c r="C210" s="2" t="s">
        <v>1640</v>
      </c>
      <c r="D210" s="2" t="s">
        <v>1572</v>
      </c>
      <c r="E210" s="2" t="n">
        <v>8</v>
      </c>
      <c r="F210" s="9" t="n">
        <v>49</v>
      </c>
      <c r="G210" s="2" t="n">
        <v>1</v>
      </c>
      <c r="H210" s="2" t="n">
        <v>0</v>
      </c>
      <c r="I210" s="2" t="n">
        <v>1</v>
      </c>
      <c r="J210" s="2" t="n">
        <v>9</v>
      </c>
      <c r="K210" s="2" t="n">
        <v>9</v>
      </c>
      <c r="L210" s="2" t="n">
        <v>2</v>
      </c>
      <c r="M210" s="2" t="n">
        <f aca="false">IF(J210&lt;=Assumptions!$B$13,0,IF(J210&lt;Assumptions!$B$14,25,IF(J210&lt;Assumptions!$B$15,50,IF(J210&lt;Assumptions!$B$16,75,100))))</f>
        <v>0</v>
      </c>
      <c r="N210" s="2" t="n">
        <f aca="false">IF(K210&gt;Assumptions!$B$19,0,IF(K210&gt;=Assumptions!$B$20,25,IF(K210&gt;=Assumptions!$B$21,50,IF(K210&gt;=Assumptions!$B$22,75,100))))</f>
        <v>75</v>
      </c>
      <c r="O210" s="2" t="n">
        <f aca="false">IF(L210&gt;=Assumptions!$B$25,0,IF(L210&gt;=Assumptions!$B$26,25,IF(L210=Assumptions!$B$27,50,IF(L210=Assumptions!$B$28,75,100))))</f>
        <v>50</v>
      </c>
      <c r="P210" s="21" t="n">
        <f aca="false">M210*Assumptions!$B$4+N210*Assumptions!$B$5+O210*Assumptions!$B$6</f>
        <v>32.5</v>
      </c>
      <c r="Q210" s="21" t="n">
        <f aca="false">IF(J210&lt;=Assumptions!$B$8,0,P210)</f>
        <v>0</v>
      </c>
      <c r="R210" s="2" t="str">
        <f aca="false">IF(Q210&gt;=Assumptions!$B$9,"High",IF(Q210&gt;=Assumptions!$B$10,"Medium","Low"))</f>
        <v>Low</v>
      </c>
      <c r="S210" s="21" t="n">
        <f aca="false">(N210*Assumptions!$B$5+O210*Assumptions!$B$6)/(Assumptions!$B$5+Assumptions!$B$6)</f>
        <v>65</v>
      </c>
      <c r="T210" s="2" t="str">
        <f aca="false">IF(AND(J210&gt;Assumptions!$B$8,G210&lt;=Assumptions!$B$30),"Low confidence","")</f>
        <v/>
      </c>
      <c r="U210" s="2" t="n">
        <f aca="false">(J210&gt;40)+(F210&gt;2000)+(K210&lt;10)+(L210=0)</f>
        <v>1</v>
      </c>
      <c r="V210" s="21" t="n">
        <f aca="false">IF(J210&lt;20,0,IF(J210&lt;40,25,M210))*Assumptions!$B$4+N210*Assumptions!$B$5+O210*Assumptions!$B$6</f>
        <v>32.5</v>
      </c>
      <c r="W210" s="2" t="str">
        <f aca="false">IF(V210&gt;=70,"High",IF(V210&gt;=40,"Medium","Low"))</f>
        <v>Low</v>
      </c>
    </row>
    <row r="211" customFormat="false" ht="15" hidden="false" customHeight="false" outlineLevel="0" collapsed="false">
      <c r="A211" s="2" t="s">
        <v>1018</v>
      </c>
      <c r="B211" s="2" t="s">
        <v>1571</v>
      </c>
      <c r="C211" s="2" t="s">
        <v>1640</v>
      </c>
      <c r="D211" s="2" t="s">
        <v>1572</v>
      </c>
      <c r="E211" s="2" t="n">
        <v>7</v>
      </c>
      <c r="F211" s="9" t="n">
        <v>7</v>
      </c>
      <c r="G211" s="2" t="n">
        <v>1</v>
      </c>
      <c r="H211" s="2" t="n">
        <v>0</v>
      </c>
      <c r="I211" s="2" t="n">
        <v>1</v>
      </c>
      <c r="J211" s="2" t="n">
        <v>1</v>
      </c>
      <c r="K211" s="2" t="n">
        <v>2</v>
      </c>
      <c r="L211" s="2" t="n">
        <v>0</v>
      </c>
      <c r="M211" s="2" t="n">
        <f aca="false">IF(J211&lt;=Assumptions!$B$13,0,IF(J211&lt;Assumptions!$B$14,25,IF(J211&lt;Assumptions!$B$15,50,IF(J211&lt;Assumptions!$B$16,75,100))))</f>
        <v>0</v>
      </c>
      <c r="N211" s="2" t="n">
        <f aca="false">IF(K211&gt;Assumptions!$B$19,0,IF(K211&gt;=Assumptions!$B$20,25,IF(K211&gt;=Assumptions!$B$21,50,IF(K211&gt;=Assumptions!$B$22,75,100))))</f>
        <v>100</v>
      </c>
      <c r="O211" s="2" t="n">
        <f aca="false">IF(L211&gt;=Assumptions!$B$25,0,IF(L211&gt;=Assumptions!$B$26,25,IF(L211=Assumptions!$B$27,50,IF(L211=Assumptions!$B$28,75,100))))</f>
        <v>100</v>
      </c>
      <c r="P211" s="21" t="n">
        <f aca="false">M211*Assumptions!$B$4+N211*Assumptions!$B$5+O211*Assumptions!$B$6</f>
        <v>50</v>
      </c>
      <c r="Q211" s="21" t="n">
        <f aca="false">IF(J211&lt;=Assumptions!$B$8,0,P211)</f>
        <v>0</v>
      </c>
      <c r="R211" s="2" t="str">
        <f aca="false">IF(Q211&gt;=Assumptions!$B$9,"High",IF(Q211&gt;=Assumptions!$B$10,"Medium","Low"))</f>
        <v>Low</v>
      </c>
      <c r="S211" s="21" t="n">
        <f aca="false">(N211*Assumptions!$B$5+O211*Assumptions!$B$6)/(Assumptions!$B$5+Assumptions!$B$6)</f>
        <v>100</v>
      </c>
      <c r="T211" s="2" t="str">
        <f aca="false">IF(AND(J211&gt;Assumptions!$B$8,G211&lt;=Assumptions!$B$30),"Low confidence","")</f>
        <v/>
      </c>
      <c r="U211" s="2" t="n">
        <f aca="false">(J211&gt;40)+(F211&gt;2000)+(K211&lt;10)+(L211=0)</f>
        <v>2</v>
      </c>
      <c r="V211" s="21" t="n">
        <f aca="false">IF(J211&lt;20,0,IF(J211&lt;40,25,M211))*Assumptions!$B$4+N211*Assumptions!$B$5+O211*Assumptions!$B$6</f>
        <v>50</v>
      </c>
      <c r="W211" s="2" t="str">
        <f aca="false">IF(V211&gt;=70,"High",IF(V211&gt;=40,"Medium","Low"))</f>
        <v>Medium</v>
      </c>
    </row>
    <row r="212" customFormat="false" ht="15" hidden="false" customHeight="false" outlineLevel="0" collapsed="false">
      <c r="A212" s="2" t="s">
        <v>178</v>
      </c>
      <c r="B212" s="2" t="s">
        <v>1574</v>
      </c>
      <c r="C212" s="2" t="s">
        <v>1640</v>
      </c>
      <c r="D212" s="2"/>
      <c r="E212" s="2" t="n">
        <v>5</v>
      </c>
      <c r="F212" s="9" t="n">
        <v>13412</v>
      </c>
      <c r="G212" s="2" t="n">
        <v>15</v>
      </c>
      <c r="H212" s="2" t="n">
        <v>0</v>
      </c>
      <c r="I212" s="2" t="n">
        <v>15</v>
      </c>
      <c r="J212" s="2" t="n">
        <v>0</v>
      </c>
      <c r="K212" s="2" t="n">
        <v>100</v>
      </c>
      <c r="L212" s="2" t="n">
        <v>71</v>
      </c>
      <c r="M212" s="2" t="n">
        <f aca="false">IF(J212&lt;=Assumptions!$B$13,0,IF(J212&lt;Assumptions!$B$14,25,IF(J212&lt;Assumptions!$B$15,50,IF(J212&lt;Assumptions!$B$16,75,100))))</f>
        <v>0</v>
      </c>
      <c r="N212" s="2" t="n">
        <f aca="false">IF(K212&gt;Assumptions!$B$19,0,IF(K212&gt;=Assumptions!$B$20,25,IF(K212&gt;=Assumptions!$B$21,50,IF(K212&gt;=Assumptions!$B$22,75,100))))</f>
        <v>0</v>
      </c>
      <c r="O212" s="2" t="n">
        <f aca="false">IF(L212&gt;=Assumptions!$B$25,0,IF(L212&gt;=Assumptions!$B$26,25,IF(L212=Assumptions!$B$27,50,IF(L212=Assumptions!$B$28,75,100))))</f>
        <v>0</v>
      </c>
      <c r="P212" s="21" t="n">
        <f aca="false">M212*Assumptions!$B$4+N212*Assumptions!$B$5+O212*Assumptions!$B$6</f>
        <v>0</v>
      </c>
      <c r="Q212" s="21" t="n">
        <f aca="false">IF(J212&lt;=Assumptions!$B$8,0,P212)</f>
        <v>0</v>
      </c>
      <c r="R212" s="2" t="str">
        <f aca="false">IF(Q212&gt;=Assumptions!$B$9,"High",IF(Q212&gt;=Assumptions!$B$10,"Medium","Low"))</f>
        <v>Low</v>
      </c>
      <c r="S212" s="21" t="n">
        <f aca="false">(N212*Assumptions!$B$5+O212*Assumptions!$B$6)/(Assumptions!$B$5+Assumptions!$B$6)</f>
        <v>0</v>
      </c>
      <c r="T212" s="2" t="str">
        <f aca="false">IF(AND(J212&gt;Assumptions!$B$8,G212&lt;=Assumptions!$B$30),"Low confidence","")</f>
        <v/>
      </c>
      <c r="U212" s="2" t="n">
        <f aca="false">(J212&gt;40)+(F212&gt;2000)+(K212&lt;10)+(L212=0)</f>
        <v>1</v>
      </c>
      <c r="V212" s="21" t="n">
        <f aca="false">IF(J212&lt;20,0,IF(J212&lt;40,25,M212))*Assumptions!$B$4+N212*Assumptions!$B$5+O212*Assumptions!$B$6</f>
        <v>0</v>
      </c>
      <c r="W212" s="2" t="str">
        <f aca="false">IF(V212&gt;=70,"High",IF(V212&gt;=40,"Medium","Low"))</f>
        <v>Low</v>
      </c>
    </row>
    <row r="213" customFormat="false" ht="15" hidden="false" customHeight="false" outlineLevel="0" collapsed="false">
      <c r="A213" s="2" t="s">
        <v>365</v>
      </c>
      <c r="B213" s="2" t="s">
        <v>1574</v>
      </c>
      <c r="C213" s="2" t="s">
        <v>1640</v>
      </c>
      <c r="D213" s="2"/>
      <c r="E213" s="2" t="n">
        <v>5</v>
      </c>
      <c r="F213" s="9" t="n">
        <v>8581</v>
      </c>
      <c r="G213" s="2" t="n">
        <v>8</v>
      </c>
      <c r="H213" s="2" t="n">
        <v>0</v>
      </c>
      <c r="I213" s="2" t="n">
        <v>8</v>
      </c>
      <c r="J213" s="2" t="n">
        <v>0</v>
      </c>
      <c r="K213" s="2" t="n">
        <v>78</v>
      </c>
      <c r="L213" s="2" t="n">
        <v>5</v>
      </c>
      <c r="M213" s="2" t="n">
        <f aca="false">IF(J213&lt;=Assumptions!$B$13,0,IF(J213&lt;Assumptions!$B$14,25,IF(J213&lt;Assumptions!$B$15,50,IF(J213&lt;Assumptions!$B$16,75,100))))</f>
        <v>0</v>
      </c>
      <c r="N213" s="2" t="n">
        <f aca="false">IF(K213&gt;Assumptions!$B$19,0,IF(K213&gt;=Assumptions!$B$20,25,IF(K213&gt;=Assumptions!$B$21,50,IF(K213&gt;=Assumptions!$B$22,75,100))))</f>
        <v>0</v>
      </c>
      <c r="O213" s="2" t="n">
        <f aca="false">IF(L213&gt;=Assumptions!$B$25,0,IF(L213&gt;=Assumptions!$B$26,25,IF(L213=Assumptions!$B$27,50,IF(L213=Assumptions!$B$28,75,100))))</f>
        <v>0</v>
      </c>
      <c r="P213" s="21" t="n">
        <f aca="false">M213*Assumptions!$B$4+N213*Assumptions!$B$5+O213*Assumptions!$B$6</f>
        <v>0</v>
      </c>
      <c r="Q213" s="21" t="n">
        <f aca="false">IF(J213&lt;=Assumptions!$B$8,0,P213)</f>
        <v>0</v>
      </c>
      <c r="R213" s="2" t="str">
        <f aca="false">IF(Q213&gt;=Assumptions!$B$9,"High",IF(Q213&gt;=Assumptions!$B$10,"Medium","Low"))</f>
        <v>Low</v>
      </c>
      <c r="S213" s="21" t="n">
        <f aca="false">(N213*Assumptions!$B$5+O213*Assumptions!$B$6)/(Assumptions!$B$5+Assumptions!$B$6)</f>
        <v>0</v>
      </c>
      <c r="T213" s="2" t="str">
        <f aca="false">IF(AND(J213&gt;Assumptions!$B$8,G213&lt;=Assumptions!$B$30),"Low confidence","")</f>
        <v/>
      </c>
      <c r="U213" s="2" t="n">
        <f aca="false">(J213&gt;40)+(F213&gt;2000)+(K213&lt;10)+(L213=0)</f>
        <v>1</v>
      </c>
      <c r="V213" s="21" t="n">
        <f aca="false">IF(J213&lt;20,0,IF(J213&lt;40,25,M213))*Assumptions!$B$4+N213*Assumptions!$B$5+O213*Assumptions!$B$6</f>
        <v>0</v>
      </c>
      <c r="W213" s="2" t="str">
        <f aca="false">IF(V213&gt;=70,"High",IF(V213&gt;=40,"Medium","Low"))</f>
        <v>Low</v>
      </c>
    </row>
    <row r="214" customFormat="false" ht="15" hidden="false" customHeight="false" outlineLevel="0" collapsed="false">
      <c r="A214" s="2" t="s">
        <v>405</v>
      </c>
      <c r="B214" s="2" t="s">
        <v>1574</v>
      </c>
      <c r="C214" s="2" t="s">
        <v>1640</v>
      </c>
      <c r="D214" s="2"/>
      <c r="E214" s="2" t="n">
        <v>5</v>
      </c>
      <c r="F214" s="9" t="n">
        <v>4899</v>
      </c>
      <c r="G214" s="2" t="n">
        <v>8</v>
      </c>
      <c r="H214" s="2" t="n">
        <v>0</v>
      </c>
      <c r="I214" s="2" t="n">
        <v>8</v>
      </c>
      <c r="J214" s="2" t="n">
        <v>0</v>
      </c>
      <c r="K214" s="2" t="n">
        <v>29</v>
      </c>
      <c r="L214" s="2" t="n">
        <v>37</v>
      </c>
      <c r="M214" s="2" t="n">
        <f aca="false">IF(J214&lt;=Assumptions!$B$13,0,IF(J214&lt;Assumptions!$B$14,25,IF(J214&lt;Assumptions!$B$15,50,IF(J214&lt;Assumptions!$B$16,75,100))))</f>
        <v>0</v>
      </c>
      <c r="N214" s="2" t="n">
        <f aca="false">IF(K214&gt;Assumptions!$B$19,0,IF(K214&gt;=Assumptions!$B$20,25,IF(K214&gt;=Assumptions!$B$21,50,IF(K214&gt;=Assumptions!$B$22,75,100))))</f>
        <v>25</v>
      </c>
      <c r="O214" s="2" t="n">
        <f aca="false">IF(L214&gt;=Assumptions!$B$25,0,IF(L214&gt;=Assumptions!$B$26,25,IF(L214=Assumptions!$B$27,50,IF(L214=Assumptions!$B$28,75,100))))</f>
        <v>0</v>
      </c>
      <c r="P214" s="21" t="n">
        <f aca="false">M214*Assumptions!$B$4+N214*Assumptions!$B$5+O214*Assumptions!$B$6</f>
        <v>7.5</v>
      </c>
      <c r="Q214" s="21" t="n">
        <f aca="false">IF(J214&lt;=Assumptions!$B$8,0,P214)</f>
        <v>0</v>
      </c>
      <c r="R214" s="2" t="str">
        <f aca="false">IF(Q214&gt;=Assumptions!$B$9,"High",IF(Q214&gt;=Assumptions!$B$10,"Medium","Low"))</f>
        <v>Low</v>
      </c>
      <c r="S214" s="21" t="n">
        <f aca="false">(N214*Assumptions!$B$5+O214*Assumptions!$B$6)/(Assumptions!$B$5+Assumptions!$B$6)</f>
        <v>15</v>
      </c>
      <c r="T214" s="2" t="str">
        <f aca="false">IF(AND(J214&gt;Assumptions!$B$8,G214&lt;=Assumptions!$B$30),"Low confidence","")</f>
        <v/>
      </c>
      <c r="U214" s="2" t="n">
        <f aca="false">(J214&gt;40)+(F214&gt;2000)+(K214&lt;10)+(L214=0)</f>
        <v>1</v>
      </c>
      <c r="V214" s="21" t="n">
        <f aca="false">IF(J214&lt;20,0,IF(J214&lt;40,25,M214))*Assumptions!$B$4+N214*Assumptions!$B$5+O214*Assumptions!$B$6</f>
        <v>7.5</v>
      </c>
      <c r="W214" s="2" t="str">
        <f aca="false">IF(V214&gt;=70,"High",IF(V214&gt;=40,"Medium","Low"))</f>
        <v>Low</v>
      </c>
    </row>
    <row r="215" customFormat="false" ht="15" hidden="false" customHeight="false" outlineLevel="0" collapsed="false">
      <c r="A215" s="2" t="s">
        <v>226</v>
      </c>
      <c r="B215" s="2" t="s">
        <v>1574</v>
      </c>
      <c r="C215" s="2" t="s">
        <v>1640</v>
      </c>
      <c r="D215" s="2"/>
      <c r="E215" s="2" t="n">
        <v>5</v>
      </c>
      <c r="F215" s="9" t="n">
        <v>4632</v>
      </c>
      <c r="G215" s="2" t="n">
        <v>12</v>
      </c>
      <c r="H215" s="2" t="n">
        <v>0</v>
      </c>
      <c r="I215" s="2" t="n">
        <v>12</v>
      </c>
      <c r="J215" s="2" t="n">
        <v>0</v>
      </c>
      <c r="K215" s="2" t="n">
        <v>74</v>
      </c>
      <c r="L215" s="2" t="n">
        <v>53</v>
      </c>
      <c r="M215" s="2" t="n">
        <f aca="false">IF(J215&lt;=Assumptions!$B$13,0,IF(J215&lt;Assumptions!$B$14,25,IF(J215&lt;Assumptions!$B$15,50,IF(J215&lt;Assumptions!$B$16,75,100))))</f>
        <v>0</v>
      </c>
      <c r="N215" s="2" t="n">
        <f aca="false">IF(K215&gt;Assumptions!$B$19,0,IF(K215&gt;=Assumptions!$B$20,25,IF(K215&gt;=Assumptions!$B$21,50,IF(K215&gt;=Assumptions!$B$22,75,100))))</f>
        <v>0</v>
      </c>
      <c r="O215" s="2" t="n">
        <f aca="false">IF(L215&gt;=Assumptions!$B$25,0,IF(L215&gt;=Assumptions!$B$26,25,IF(L215=Assumptions!$B$27,50,IF(L215=Assumptions!$B$28,75,100))))</f>
        <v>0</v>
      </c>
      <c r="P215" s="21" t="n">
        <f aca="false">M215*Assumptions!$B$4+N215*Assumptions!$B$5+O215*Assumptions!$B$6</f>
        <v>0</v>
      </c>
      <c r="Q215" s="21" t="n">
        <f aca="false">IF(J215&lt;=Assumptions!$B$8,0,P215)</f>
        <v>0</v>
      </c>
      <c r="R215" s="2" t="str">
        <f aca="false">IF(Q215&gt;=Assumptions!$B$9,"High",IF(Q215&gt;=Assumptions!$B$10,"Medium","Low"))</f>
        <v>Low</v>
      </c>
      <c r="S215" s="21" t="n">
        <f aca="false">(N215*Assumptions!$B$5+O215*Assumptions!$B$6)/(Assumptions!$B$5+Assumptions!$B$6)</f>
        <v>0</v>
      </c>
      <c r="T215" s="2" t="str">
        <f aca="false">IF(AND(J215&gt;Assumptions!$B$8,G215&lt;=Assumptions!$B$30),"Low confidence","")</f>
        <v/>
      </c>
      <c r="U215" s="2" t="n">
        <f aca="false">(J215&gt;40)+(F215&gt;2000)+(K215&lt;10)+(L215=0)</f>
        <v>1</v>
      </c>
      <c r="V215" s="21" t="n">
        <f aca="false">IF(J215&lt;20,0,IF(J215&lt;40,25,M215))*Assumptions!$B$4+N215*Assumptions!$B$5+O215*Assumptions!$B$6</f>
        <v>0</v>
      </c>
      <c r="W215" s="2" t="str">
        <f aca="false">IF(V215&gt;=70,"High",IF(V215&gt;=40,"Medium","Low"))</f>
        <v>Low</v>
      </c>
    </row>
    <row r="216" customFormat="false" ht="15" hidden="false" customHeight="false" outlineLevel="0" collapsed="false">
      <c r="A216" s="2" t="s">
        <v>232</v>
      </c>
      <c r="B216" s="2" t="s">
        <v>1574</v>
      </c>
      <c r="C216" s="2" t="s">
        <v>1640</v>
      </c>
      <c r="D216" s="2"/>
      <c r="E216" s="2" t="n">
        <v>5</v>
      </c>
      <c r="F216" s="9" t="n">
        <v>3907</v>
      </c>
      <c r="G216" s="2" t="n">
        <v>1</v>
      </c>
      <c r="H216" s="2" t="n">
        <v>0</v>
      </c>
      <c r="I216" s="2" t="n">
        <v>1</v>
      </c>
      <c r="J216" s="2" t="n">
        <v>0</v>
      </c>
      <c r="K216" s="2" t="n">
        <v>14</v>
      </c>
      <c r="L216" s="2" t="n">
        <v>0</v>
      </c>
      <c r="M216" s="2" t="n">
        <f aca="false">IF(J216&lt;=Assumptions!$B$13,0,IF(J216&lt;Assumptions!$B$14,25,IF(J216&lt;Assumptions!$B$15,50,IF(J216&lt;Assumptions!$B$16,75,100))))</f>
        <v>0</v>
      </c>
      <c r="N216" s="2" t="n">
        <f aca="false">IF(K216&gt;Assumptions!$B$19,0,IF(K216&gt;=Assumptions!$B$20,25,IF(K216&gt;=Assumptions!$B$21,50,IF(K216&gt;=Assumptions!$B$22,75,100))))</f>
        <v>50</v>
      </c>
      <c r="O216" s="2" t="n">
        <f aca="false">IF(L216&gt;=Assumptions!$B$25,0,IF(L216&gt;=Assumptions!$B$26,25,IF(L216=Assumptions!$B$27,50,IF(L216=Assumptions!$B$28,75,100))))</f>
        <v>100</v>
      </c>
      <c r="P216" s="21" t="n">
        <f aca="false">M216*Assumptions!$B$4+N216*Assumptions!$B$5+O216*Assumptions!$B$6</f>
        <v>35</v>
      </c>
      <c r="Q216" s="21" t="n">
        <f aca="false">IF(J216&lt;=Assumptions!$B$8,0,P216)</f>
        <v>0</v>
      </c>
      <c r="R216" s="2" t="str">
        <f aca="false">IF(Q216&gt;=Assumptions!$B$9,"High",IF(Q216&gt;=Assumptions!$B$10,"Medium","Low"))</f>
        <v>Low</v>
      </c>
      <c r="S216" s="21" t="n">
        <f aca="false">(N216*Assumptions!$B$5+O216*Assumptions!$B$6)/(Assumptions!$B$5+Assumptions!$B$6)</f>
        <v>70</v>
      </c>
      <c r="T216" s="2" t="str">
        <f aca="false">IF(AND(J216&gt;Assumptions!$B$8,G216&lt;=Assumptions!$B$30),"Low confidence","")</f>
        <v/>
      </c>
      <c r="U216" s="2" t="n">
        <f aca="false">(J216&gt;40)+(F216&gt;2000)+(K216&lt;10)+(L216=0)</f>
        <v>2</v>
      </c>
      <c r="V216" s="21" t="n">
        <f aca="false">IF(J216&lt;20,0,IF(J216&lt;40,25,M216))*Assumptions!$B$4+N216*Assumptions!$B$5+O216*Assumptions!$B$6</f>
        <v>35</v>
      </c>
      <c r="W216" s="2" t="str">
        <f aca="false">IF(V216&gt;=70,"High",IF(V216&gt;=40,"Medium","Low"))</f>
        <v>Low</v>
      </c>
    </row>
    <row r="217" customFormat="false" ht="15" hidden="false" customHeight="false" outlineLevel="0" collapsed="false">
      <c r="A217" s="2" t="s">
        <v>252</v>
      </c>
      <c r="B217" s="2" t="s">
        <v>1574</v>
      </c>
      <c r="C217" s="2" t="s">
        <v>1640</v>
      </c>
      <c r="D217" s="2"/>
      <c r="E217" s="2" t="n">
        <v>5</v>
      </c>
      <c r="F217" s="9" t="n">
        <v>3497</v>
      </c>
      <c r="G217" s="2" t="n">
        <v>11</v>
      </c>
      <c r="H217" s="2" t="n">
        <v>0</v>
      </c>
      <c r="I217" s="2" t="n">
        <v>11</v>
      </c>
      <c r="J217" s="2" t="n">
        <v>0</v>
      </c>
      <c r="K217" s="2" t="n">
        <v>50</v>
      </c>
      <c r="L217" s="2" t="n">
        <v>13</v>
      </c>
      <c r="M217" s="2" t="n">
        <f aca="false">IF(J217&lt;=Assumptions!$B$13,0,IF(J217&lt;Assumptions!$B$14,25,IF(J217&lt;Assumptions!$B$15,50,IF(J217&lt;Assumptions!$B$16,75,100))))</f>
        <v>0</v>
      </c>
      <c r="N217" s="2" t="n">
        <f aca="false">IF(K217&gt;Assumptions!$B$19,0,IF(K217&gt;=Assumptions!$B$20,25,IF(K217&gt;=Assumptions!$B$21,50,IF(K217&gt;=Assumptions!$B$22,75,100))))</f>
        <v>0</v>
      </c>
      <c r="O217" s="2" t="n">
        <f aca="false">IF(L217&gt;=Assumptions!$B$25,0,IF(L217&gt;=Assumptions!$B$26,25,IF(L217=Assumptions!$B$27,50,IF(L217=Assumptions!$B$28,75,100))))</f>
        <v>0</v>
      </c>
      <c r="P217" s="21" t="n">
        <f aca="false">M217*Assumptions!$B$4+N217*Assumptions!$B$5+O217*Assumptions!$B$6</f>
        <v>0</v>
      </c>
      <c r="Q217" s="21" t="n">
        <f aca="false">IF(J217&lt;=Assumptions!$B$8,0,P217)</f>
        <v>0</v>
      </c>
      <c r="R217" s="2" t="str">
        <f aca="false">IF(Q217&gt;=Assumptions!$B$9,"High",IF(Q217&gt;=Assumptions!$B$10,"Medium","Low"))</f>
        <v>Low</v>
      </c>
      <c r="S217" s="21" t="n">
        <f aca="false">(N217*Assumptions!$B$5+O217*Assumptions!$B$6)/(Assumptions!$B$5+Assumptions!$B$6)</f>
        <v>0</v>
      </c>
      <c r="T217" s="2" t="str">
        <f aca="false">IF(AND(J217&gt;Assumptions!$B$8,G217&lt;=Assumptions!$B$30),"Low confidence","")</f>
        <v/>
      </c>
      <c r="U217" s="2" t="n">
        <f aca="false">(J217&gt;40)+(F217&gt;2000)+(K217&lt;10)+(L217=0)</f>
        <v>1</v>
      </c>
      <c r="V217" s="21" t="n">
        <f aca="false">IF(J217&lt;20,0,IF(J217&lt;40,25,M217))*Assumptions!$B$4+N217*Assumptions!$B$5+O217*Assumptions!$B$6</f>
        <v>0</v>
      </c>
      <c r="W217" s="2" t="str">
        <f aca="false">IF(V217&gt;=70,"High",IF(V217&gt;=40,"Medium","Low"))</f>
        <v>Low</v>
      </c>
    </row>
    <row r="218" customFormat="false" ht="15" hidden="false" customHeight="false" outlineLevel="0" collapsed="false">
      <c r="A218" s="2" t="s">
        <v>435</v>
      </c>
      <c r="B218" s="2" t="s">
        <v>1574</v>
      </c>
      <c r="C218" s="2" t="s">
        <v>1640</v>
      </c>
      <c r="D218" s="2"/>
      <c r="E218" s="2" t="n">
        <v>3</v>
      </c>
      <c r="F218" s="9" t="n">
        <v>2402</v>
      </c>
      <c r="G218" s="2" t="n">
        <v>9</v>
      </c>
      <c r="H218" s="2" t="n">
        <v>0</v>
      </c>
      <c r="I218" s="2" t="n">
        <v>9</v>
      </c>
      <c r="J218" s="2" t="n">
        <v>0</v>
      </c>
      <c r="K218" s="2" t="n">
        <v>21</v>
      </c>
      <c r="L218" s="2" t="n">
        <v>0</v>
      </c>
      <c r="M218" s="2" t="n">
        <f aca="false">IF(J218&lt;=Assumptions!$B$13,0,IF(J218&lt;Assumptions!$B$14,25,IF(J218&lt;Assumptions!$B$15,50,IF(J218&lt;Assumptions!$B$16,75,100))))</f>
        <v>0</v>
      </c>
      <c r="N218" s="2" t="n">
        <f aca="false">IF(K218&gt;Assumptions!$B$19,0,IF(K218&gt;=Assumptions!$B$20,25,IF(K218&gt;=Assumptions!$B$21,50,IF(K218&gt;=Assumptions!$B$22,75,100))))</f>
        <v>25</v>
      </c>
      <c r="O218" s="2" t="n">
        <f aca="false">IF(L218&gt;=Assumptions!$B$25,0,IF(L218&gt;=Assumptions!$B$26,25,IF(L218=Assumptions!$B$27,50,IF(L218=Assumptions!$B$28,75,100))))</f>
        <v>100</v>
      </c>
      <c r="P218" s="21" t="n">
        <f aca="false">M218*Assumptions!$B$4+N218*Assumptions!$B$5+O218*Assumptions!$B$6</f>
        <v>27.5</v>
      </c>
      <c r="Q218" s="21" t="n">
        <f aca="false">IF(J218&lt;=Assumptions!$B$8,0,P218)</f>
        <v>0</v>
      </c>
      <c r="R218" s="2" t="str">
        <f aca="false">IF(Q218&gt;=Assumptions!$B$9,"High",IF(Q218&gt;=Assumptions!$B$10,"Medium","Low"))</f>
        <v>Low</v>
      </c>
      <c r="S218" s="21" t="n">
        <f aca="false">(N218*Assumptions!$B$5+O218*Assumptions!$B$6)/(Assumptions!$B$5+Assumptions!$B$6)</f>
        <v>55</v>
      </c>
      <c r="T218" s="2" t="str">
        <f aca="false">IF(AND(J218&gt;Assumptions!$B$8,G218&lt;=Assumptions!$B$30),"Low confidence","")</f>
        <v/>
      </c>
      <c r="U218" s="2" t="n">
        <f aca="false">(J218&gt;40)+(F218&gt;2000)+(K218&lt;10)+(L218=0)</f>
        <v>2</v>
      </c>
      <c r="V218" s="21" t="n">
        <f aca="false">IF(J218&lt;20,0,IF(J218&lt;40,25,M218))*Assumptions!$B$4+N218*Assumptions!$B$5+O218*Assumptions!$B$6</f>
        <v>27.5</v>
      </c>
      <c r="W218" s="2" t="str">
        <f aca="false">IF(V218&gt;=70,"High",IF(V218&gt;=40,"Medium","Low"))</f>
        <v>Low</v>
      </c>
    </row>
    <row r="219" customFormat="false" ht="15" hidden="false" customHeight="false" outlineLevel="0" collapsed="false">
      <c r="A219" s="2" t="s">
        <v>601</v>
      </c>
      <c r="B219" s="2" t="s">
        <v>1574</v>
      </c>
      <c r="C219" s="2" t="s">
        <v>1640</v>
      </c>
      <c r="D219" s="2"/>
      <c r="E219" s="2" t="n">
        <v>5</v>
      </c>
      <c r="F219" s="9" t="n">
        <v>1219</v>
      </c>
      <c r="G219" s="2" t="n">
        <v>4</v>
      </c>
      <c r="H219" s="2" t="n">
        <v>0</v>
      </c>
      <c r="I219" s="2" t="n">
        <v>4</v>
      </c>
      <c r="J219" s="2" t="n">
        <v>0</v>
      </c>
      <c r="K219" s="2" t="n">
        <v>0</v>
      </c>
      <c r="L219" s="2" t="n">
        <v>0</v>
      </c>
      <c r="M219" s="2" t="n">
        <f aca="false">IF(J219&lt;=Assumptions!$B$13,0,IF(J219&lt;Assumptions!$B$14,25,IF(J219&lt;Assumptions!$B$15,50,IF(J219&lt;Assumptions!$B$16,75,100))))</f>
        <v>0</v>
      </c>
      <c r="N219" s="2" t="n">
        <f aca="false">IF(K219&gt;Assumptions!$B$19,0,IF(K219&gt;=Assumptions!$B$20,25,IF(K219&gt;=Assumptions!$B$21,50,IF(K219&gt;=Assumptions!$B$22,75,100))))</f>
        <v>100</v>
      </c>
      <c r="O219" s="2" t="n">
        <f aca="false">IF(L219&gt;=Assumptions!$B$25,0,IF(L219&gt;=Assumptions!$B$26,25,IF(L219=Assumptions!$B$27,50,IF(L219=Assumptions!$B$28,75,100))))</f>
        <v>100</v>
      </c>
      <c r="P219" s="21" t="n">
        <f aca="false">M219*Assumptions!$B$4+N219*Assumptions!$B$5+O219*Assumptions!$B$6</f>
        <v>50</v>
      </c>
      <c r="Q219" s="21" t="n">
        <f aca="false">IF(J219&lt;=Assumptions!$B$8,0,P219)</f>
        <v>0</v>
      </c>
      <c r="R219" s="2" t="str">
        <f aca="false">IF(Q219&gt;=Assumptions!$B$9,"High",IF(Q219&gt;=Assumptions!$B$10,"Medium","Low"))</f>
        <v>Low</v>
      </c>
      <c r="S219" s="21" t="n">
        <f aca="false">(N219*Assumptions!$B$5+O219*Assumptions!$B$6)/(Assumptions!$B$5+Assumptions!$B$6)</f>
        <v>100</v>
      </c>
      <c r="T219" s="2" t="str">
        <f aca="false">IF(AND(J219&gt;Assumptions!$B$8,G219&lt;=Assumptions!$B$30),"Low confidence","")</f>
        <v/>
      </c>
      <c r="U219" s="2" t="n">
        <f aca="false">(J219&gt;40)+(F219&gt;2000)+(K219&lt;10)+(L219=0)</f>
        <v>2</v>
      </c>
      <c r="V219" s="21" t="n">
        <f aca="false">IF(J219&lt;20,0,IF(J219&lt;40,25,M219))*Assumptions!$B$4+N219*Assumptions!$B$5+O219*Assumptions!$B$6</f>
        <v>50</v>
      </c>
      <c r="W219" s="2" t="str">
        <f aca="false">IF(V219&gt;=70,"High",IF(V219&gt;=40,"Medium","Low"))</f>
        <v>Medium</v>
      </c>
    </row>
    <row r="220" customFormat="false" ht="15" hidden="false" customHeight="false" outlineLevel="0" collapsed="false">
      <c r="A220" s="2" t="s">
        <v>541</v>
      </c>
      <c r="B220" s="2" t="s">
        <v>1574</v>
      </c>
      <c r="C220" s="2" t="s">
        <v>1640</v>
      </c>
      <c r="D220" s="2"/>
      <c r="E220" s="2" t="n">
        <v>3</v>
      </c>
      <c r="F220" s="9" t="n">
        <v>1166</v>
      </c>
      <c r="G220" s="2" t="n">
        <v>5</v>
      </c>
      <c r="H220" s="2" t="n">
        <v>0</v>
      </c>
      <c r="I220" s="2" t="n">
        <v>5</v>
      </c>
      <c r="J220" s="2" t="n">
        <v>0</v>
      </c>
      <c r="K220" s="2" t="n">
        <v>39</v>
      </c>
      <c r="L220" s="2" t="n">
        <v>2</v>
      </c>
      <c r="M220" s="2" t="n">
        <f aca="false">IF(J220&lt;=Assumptions!$B$13,0,IF(J220&lt;Assumptions!$B$14,25,IF(J220&lt;Assumptions!$B$15,50,IF(J220&lt;Assumptions!$B$16,75,100))))</f>
        <v>0</v>
      </c>
      <c r="N220" s="2" t="n">
        <f aca="false">IF(K220&gt;Assumptions!$B$19,0,IF(K220&gt;=Assumptions!$B$20,25,IF(K220&gt;=Assumptions!$B$21,50,IF(K220&gt;=Assumptions!$B$22,75,100))))</f>
        <v>0</v>
      </c>
      <c r="O220" s="2" t="n">
        <f aca="false">IF(L220&gt;=Assumptions!$B$25,0,IF(L220&gt;=Assumptions!$B$26,25,IF(L220=Assumptions!$B$27,50,IF(L220=Assumptions!$B$28,75,100))))</f>
        <v>50</v>
      </c>
      <c r="P220" s="21" t="n">
        <f aca="false">M220*Assumptions!$B$4+N220*Assumptions!$B$5+O220*Assumptions!$B$6</f>
        <v>10</v>
      </c>
      <c r="Q220" s="21" t="n">
        <f aca="false">IF(J220&lt;=Assumptions!$B$8,0,P220)</f>
        <v>0</v>
      </c>
      <c r="R220" s="2" t="str">
        <f aca="false">IF(Q220&gt;=Assumptions!$B$9,"High",IF(Q220&gt;=Assumptions!$B$10,"Medium","Low"))</f>
        <v>Low</v>
      </c>
      <c r="S220" s="21" t="n">
        <f aca="false">(N220*Assumptions!$B$5+O220*Assumptions!$B$6)/(Assumptions!$B$5+Assumptions!$B$6)</f>
        <v>20</v>
      </c>
      <c r="T220" s="2" t="str">
        <f aca="false">IF(AND(J220&gt;Assumptions!$B$8,G220&lt;=Assumptions!$B$30),"Low confidence","")</f>
        <v/>
      </c>
      <c r="U220" s="2" t="n">
        <f aca="false">(J220&gt;40)+(F220&gt;2000)+(K220&lt;10)+(L220=0)</f>
        <v>0</v>
      </c>
      <c r="V220" s="21" t="n">
        <f aca="false">IF(J220&lt;20,0,IF(J220&lt;40,25,M220))*Assumptions!$B$4+N220*Assumptions!$B$5+O220*Assumptions!$B$6</f>
        <v>10</v>
      </c>
      <c r="W220" s="2" t="str">
        <f aca="false">IF(V220&gt;=70,"High",IF(V220&gt;=40,"Medium","Low"))</f>
        <v>Low</v>
      </c>
    </row>
    <row r="221" customFormat="false" ht="15" hidden="false" customHeight="false" outlineLevel="0" collapsed="false">
      <c r="A221" s="2" t="s">
        <v>605</v>
      </c>
      <c r="B221" s="2" t="s">
        <v>1574</v>
      </c>
      <c r="C221" s="2" t="s">
        <v>1640</v>
      </c>
      <c r="D221" s="2"/>
      <c r="E221" s="2" t="n">
        <v>3</v>
      </c>
      <c r="F221" s="9" t="n">
        <v>1119</v>
      </c>
      <c r="G221" s="2" t="n">
        <v>1</v>
      </c>
      <c r="H221" s="2" t="n">
        <v>0</v>
      </c>
      <c r="I221" s="2" t="n">
        <v>1</v>
      </c>
      <c r="J221" s="2" t="n">
        <v>0</v>
      </c>
      <c r="K221" s="2" t="n">
        <v>8</v>
      </c>
      <c r="L221" s="2" t="n">
        <v>0</v>
      </c>
      <c r="M221" s="2" t="n">
        <f aca="false">IF(J221&lt;=Assumptions!$B$13,0,IF(J221&lt;Assumptions!$B$14,25,IF(J221&lt;Assumptions!$B$15,50,IF(J221&lt;Assumptions!$B$16,75,100))))</f>
        <v>0</v>
      </c>
      <c r="N221" s="2" t="n">
        <f aca="false">IF(K221&gt;Assumptions!$B$19,0,IF(K221&gt;=Assumptions!$B$20,25,IF(K221&gt;=Assumptions!$B$21,50,IF(K221&gt;=Assumptions!$B$22,75,100))))</f>
        <v>75</v>
      </c>
      <c r="O221" s="2" t="n">
        <f aca="false">IF(L221&gt;=Assumptions!$B$25,0,IF(L221&gt;=Assumptions!$B$26,25,IF(L221=Assumptions!$B$27,50,IF(L221=Assumptions!$B$28,75,100))))</f>
        <v>100</v>
      </c>
      <c r="P221" s="21" t="n">
        <f aca="false">M221*Assumptions!$B$4+N221*Assumptions!$B$5+O221*Assumptions!$B$6</f>
        <v>42.5</v>
      </c>
      <c r="Q221" s="21" t="n">
        <f aca="false">IF(J221&lt;=Assumptions!$B$8,0,P221)</f>
        <v>0</v>
      </c>
      <c r="R221" s="2" t="str">
        <f aca="false">IF(Q221&gt;=Assumptions!$B$9,"High",IF(Q221&gt;=Assumptions!$B$10,"Medium","Low"))</f>
        <v>Low</v>
      </c>
      <c r="S221" s="21" t="n">
        <f aca="false">(N221*Assumptions!$B$5+O221*Assumptions!$B$6)/(Assumptions!$B$5+Assumptions!$B$6)</f>
        <v>85</v>
      </c>
      <c r="T221" s="2" t="str">
        <f aca="false">IF(AND(J221&gt;Assumptions!$B$8,G221&lt;=Assumptions!$B$30),"Low confidence","")</f>
        <v/>
      </c>
      <c r="U221" s="2" t="n">
        <f aca="false">(J221&gt;40)+(F221&gt;2000)+(K221&lt;10)+(L221=0)</f>
        <v>2</v>
      </c>
      <c r="V221" s="21" t="n">
        <f aca="false">IF(J221&lt;20,0,IF(J221&lt;40,25,M221))*Assumptions!$B$4+N221*Assumptions!$B$5+O221*Assumptions!$B$6</f>
        <v>42.5</v>
      </c>
      <c r="W221" s="2" t="str">
        <f aca="false">IF(V221&gt;=70,"High",IF(V221&gt;=40,"Medium","Low"))</f>
        <v>Medium</v>
      </c>
    </row>
    <row r="222" customFormat="false" ht="15" hidden="false" customHeight="false" outlineLevel="0" collapsed="false">
      <c r="A222" s="2" t="s">
        <v>622</v>
      </c>
      <c r="B222" s="2" t="s">
        <v>1574</v>
      </c>
      <c r="C222" s="2" t="s">
        <v>1640</v>
      </c>
      <c r="D222" s="2"/>
      <c r="E222" s="2" t="n">
        <v>3</v>
      </c>
      <c r="F222" s="9" t="n">
        <v>925</v>
      </c>
      <c r="G222" s="2" t="n">
        <v>4</v>
      </c>
      <c r="H222" s="2" t="n">
        <v>0</v>
      </c>
      <c r="I222" s="2" t="n">
        <v>4</v>
      </c>
      <c r="J222" s="2" t="n">
        <v>0</v>
      </c>
      <c r="K222" s="2" t="n">
        <v>21</v>
      </c>
      <c r="L222" s="2" t="n">
        <v>13</v>
      </c>
      <c r="M222" s="2" t="n">
        <f aca="false">IF(J222&lt;=Assumptions!$B$13,0,IF(J222&lt;Assumptions!$B$14,25,IF(J222&lt;Assumptions!$B$15,50,IF(J222&lt;Assumptions!$B$16,75,100))))</f>
        <v>0</v>
      </c>
      <c r="N222" s="2" t="n">
        <f aca="false">IF(K222&gt;Assumptions!$B$19,0,IF(K222&gt;=Assumptions!$B$20,25,IF(K222&gt;=Assumptions!$B$21,50,IF(K222&gt;=Assumptions!$B$22,75,100))))</f>
        <v>25</v>
      </c>
      <c r="O222" s="2" t="n">
        <f aca="false">IF(L222&gt;=Assumptions!$B$25,0,IF(L222&gt;=Assumptions!$B$26,25,IF(L222=Assumptions!$B$27,50,IF(L222=Assumptions!$B$28,75,100))))</f>
        <v>0</v>
      </c>
      <c r="P222" s="21" t="n">
        <f aca="false">M222*Assumptions!$B$4+N222*Assumptions!$B$5+O222*Assumptions!$B$6</f>
        <v>7.5</v>
      </c>
      <c r="Q222" s="21" t="n">
        <f aca="false">IF(J222&lt;=Assumptions!$B$8,0,P222)</f>
        <v>0</v>
      </c>
      <c r="R222" s="2" t="str">
        <f aca="false">IF(Q222&gt;=Assumptions!$B$9,"High",IF(Q222&gt;=Assumptions!$B$10,"Medium","Low"))</f>
        <v>Low</v>
      </c>
      <c r="S222" s="21" t="n">
        <f aca="false">(N222*Assumptions!$B$5+O222*Assumptions!$B$6)/(Assumptions!$B$5+Assumptions!$B$6)</f>
        <v>15</v>
      </c>
      <c r="T222" s="2" t="str">
        <f aca="false">IF(AND(J222&gt;Assumptions!$B$8,G222&lt;=Assumptions!$B$30),"Low confidence","")</f>
        <v/>
      </c>
      <c r="U222" s="2" t="n">
        <f aca="false">(J222&gt;40)+(F222&gt;2000)+(K222&lt;10)+(L222=0)</f>
        <v>0</v>
      </c>
      <c r="V222" s="21" t="n">
        <f aca="false">IF(J222&lt;20,0,IF(J222&lt;40,25,M222))*Assumptions!$B$4+N222*Assumptions!$B$5+O222*Assumptions!$B$6</f>
        <v>7.5</v>
      </c>
      <c r="W222" s="2" t="str">
        <f aca="false">IF(V222&gt;=70,"High",IF(V222&gt;=40,"Medium","Low"))</f>
        <v>Low</v>
      </c>
    </row>
    <row r="223" customFormat="false" ht="15" hidden="false" customHeight="false" outlineLevel="0" collapsed="false">
      <c r="A223" s="2" t="s">
        <v>631</v>
      </c>
      <c r="B223" s="2" t="s">
        <v>1574</v>
      </c>
      <c r="C223" s="2" t="s">
        <v>1640</v>
      </c>
      <c r="D223" s="2"/>
      <c r="E223" s="2" t="n">
        <v>1</v>
      </c>
      <c r="F223" s="9" t="n">
        <v>880</v>
      </c>
      <c r="G223" s="2" t="n">
        <v>1</v>
      </c>
      <c r="H223" s="2" t="n">
        <v>0</v>
      </c>
      <c r="I223" s="2" t="n">
        <v>1</v>
      </c>
      <c r="J223" s="2" t="n">
        <v>0</v>
      </c>
      <c r="K223" s="2" t="n">
        <v>2</v>
      </c>
      <c r="L223" s="2" t="n">
        <v>7</v>
      </c>
      <c r="M223" s="2" t="n">
        <f aca="false">IF(J223&lt;=Assumptions!$B$13,0,IF(J223&lt;Assumptions!$B$14,25,IF(J223&lt;Assumptions!$B$15,50,IF(J223&lt;Assumptions!$B$16,75,100))))</f>
        <v>0</v>
      </c>
      <c r="N223" s="2" t="n">
        <f aca="false">IF(K223&gt;Assumptions!$B$19,0,IF(K223&gt;=Assumptions!$B$20,25,IF(K223&gt;=Assumptions!$B$21,50,IF(K223&gt;=Assumptions!$B$22,75,100))))</f>
        <v>100</v>
      </c>
      <c r="O223" s="2" t="n">
        <f aca="false">IF(L223&gt;=Assumptions!$B$25,0,IF(L223&gt;=Assumptions!$B$26,25,IF(L223=Assumptions!$B$27,50,IF(L223=Assumptions!$B$28,75,100))))</f>
        <v>0</v>
      </c>
      <c r="P223" s="21" t="n">
        <f aca="false">M223*Assumptions!$B$4+N223*Assumptions!$B$5+O223*Assumptions!$B$6</f>
        <v>30</v>
      </c>
      <c r="Q223" s="21" t="n">
        <f aca="false">IF(J223&lt;=Assumptions!$B$8,0,P223)</f>
        <v>0</v>
      </c>
      <c r="R223" s="2" t="str">
        <f aca="false">IF(Q223&gt;=Assumptions!$B$9,"High",IF(Q223&gt;=Assumptions!$B$10,"Medium","Low"))</f>
        <v>Low</v>
      </c>
      <c r="S223" s="21" t="n">
        <f aca="false">(N223*Assumptions!$B$5+O223*Assumptions!$B$6)/(Assumptions!$B$5+Assumptions!$B$6)</f>
        <v>60</v>
      </c>
      <c r="T223" s="2" t="str">
        <f aca="false">IF(AND(J223&gt;Assumptions!$B$8,G223&lt;=Assumptions!$B$30),"Low confidence","")</f>
        <v/>
      </c>
      <c r="U223" s="2" t="n">
        <f aca="false">(J223&gt;40)+(F223&gt;2000)+(K223&lt;10)+(L223=0)</f>
        <v>1</v>
      </c>
      <c r="V223" s="21" t="n">
        <f aca="false">IF(J223&lt;20,0,IF(J223&lt;40,25,M223))*Assumptions!$B$4+N223*Assumptions!$B$5+O223*Assumptions!$B$6</f>
        <v>30</v>
      </c>
      <c r="W223" s="2" t="str">
        <f aca="false">IF(V223&gt;=70,"High",IF(V223&gt;=40,"Medium","Low"))</f>
        <v>Low</v>
      </c>
    </row>
    <row r="224" customFormat="false" ht="15" hidden="false" customHeight="false" outlineLevel="0" collapsed="false">
      <c r="A224" s="2" t="s">
        <v>676</v>
      </c>
      <c r="B224" s="2" t="s">
        <v>1574</v>
      </c>
      <c r="C224" s="2" t="s">
        <v>1640</v>
      </c>
      <c r="D224" s="2"/>
      <c r="E224" s="2" t="n">
        <v>5</v>
      </c>
      <c r="F224" s="9" t="n">
        <v>550</v>
      </c>
      <c r="G224" s="2" t="n">
        <v>2</v>
      </c>
      <c r="H224" s="2" t="n">
        <v>0</v>
      </c>
      <c r="I224" s="2" t="n">
        <v>2</v>
      </c>
      <c r="J224" s="2" t="n">
        <v>0</v>
      </c>
      <c r="K224" s="2" t="n">
        <v>23</v>
      </c>
      <c r="L224" s="2" t="n">
        <v>0</v>
      </c>
      <c r="M224" s="2" t="n">
        <f aca="false">IF(J224&lt;=Assumptions!$B$13,0,IF(J224&lt;Assumptions!$B$14,25,IF(J224&lt;Assumptions!$B$15,50,IF(J224&lt;Assumptions!$B$16,75,100))))</f>
        <v>0</v>
      </c>
      <c r="N224" s="2" t="n">
        <f aca="false">IF(K224&gt;Assumptions!$B$19,0,IF(K224&gt;=Assumptions!$B$20,25,IF(K224&gt;=Assumptions!$B$21,50,IF(K224&gt;=Assumptions!$B$22,75,100))))</f>
        <v>25</v>
      </c>
      <c r="O224" s="2" t="n">
        <f aca="false">IF(L224&gt;=Assumptions!$B$25,0,IF(L224&gt;=Assumptions!$B$26,25,IF(L224=Assumptions!$B$27,50,IF(L224=Assumptions!$B$28,75,100))))</f>
        <v>100</v>
      </c>
      <c r="P224" s="21" t="n">
        <f aca="false">M224*Assumptions!$B$4+N224*Assumptions!$B$5+O224*Assumptions!$B$6</f>
        <v>27.5</v>
      </c>
      <c r="Q224" s="21" t="n">
        <f aca="false">IF(J224&lt;=Assumptions!$B$8,0,P224)</f>
        <v>0</v>
      </c>
      <c r="R224" s="2" t="str">
        <f aca="false">IF(Q224&gt;=Assumptions!$B$9,"High",IF(Q224&gt;=Assumptions!$B$10,"Medium","Low"))</f>
        <v>Low</v>
      </c>
      <c r="S224" s="21" t="n">
        <f aca="false">(N224*Assumptions!$B$5+O224*Assumptions!$B$6)/(Assumptions!$B$5+Assumptions!$B$6)</f>
        <v>55</v>
      </c>
      <c r="T224" s="2" t="str">
        <f aca="false">IF(AND(J224&gt;Assumptions!$B$8,G224&lt;=Assumptions!$B$30),"Low confidence","")</f>
        <v/>
      </c>
      <c r="U224" s="2" t="n">
        <f aca="false">(J224&gt;40)+(F224&gt;2000)+(K224&lt;10)+(L224=0)</f>
        <v>1</v>
      </c>
      <c r="V224" s="21" t="n">
        <f aca="false">IF(J224&lt;20,0,IF(J224&lt;40,25,M224))*Assumptions!$B$4+N224*Assumptions!$B$5+O224*Assumptions!$B$6</f>
        <v>27.5</v>
      </c>
      <c r="W224" s="2" t="str">
        <f aca="false">IF(V224&gt;=70,"High",IF(V224&gt;=40,"Medium","Low"))</f>
        <v>Low</v>
      </c>
    </row>
    <row r="225" customFormat="false" ht="15" hidden="false" customHeight="false" outlineLevel="0" collapsed="false">
      <c r="A225" s="2" t="s">
        <v>682</v>
      </c>
      <c r="B225" s="2" t="s">
        <v>1574</v>
      </c>
      <c r="C225" s="2" t="s">
        <v>1640</v>
      </c>
      <c r="D225" s="2"/>
      <c r="E225" s="2" t="n">
        <v>2</v>
      </c>
      <c r="F225" s="9" t="n">
        <v>501</v>
      </c>
      <c r="G225" s="2" t="n">
        <v>1</v>
      </c>
      <c r="H225" s="2" t="n">
        <v>0</v>
      </c>
      <c r="I225" s="2" t="n">
        <v>1</v>
      </c>
      <c r="J225" s="2" t="n">
        <v>0</v>
      </c>
      <c r="K225" s="2" t="n">
        <v>4</v>
      </c>
      <c r="L225" s="2" t="n">
        <v>1</v>
      </c>
      <c r="M225" s="2" t="n">
        <f aca="false">IF(J225&lt;=Assumptions!$B$13,0,IF(J225&lt;Assumptions!$B$14,25,IF(J225&lt;Assumptions!$B$15,50,IF(J225&lt;Assumptions!$B$16,75,100))))</f>
        <v>0</v>
      </c>
      <c r="N225" s="2" t="n">
        <f aca="false">IF(K225&gt;Assumptions!$B$19,0,IF(K225&gt;=Assumptions!$B$20,25,IF(K225&gt;=Assumptions!$B$21,50,IF(K225&gt;=Assumptions!$B$22,75,100))))</f>
        <v>100</v>
      </c>
      <c r="O225" s="2" t="n">
        <f aca="false">IF(L225&gt;=Assumptions!$B$25,0,IF(L225&gt;=Assumptions!$B$26,25,IF(L225=Assumptions!$B$27,50,IF(L225=Assumptions!$B$28,75,100))))</f>
        <v>75</v>
      </c>
      <c r="P225" s="21" t="n">
        <f aca="false">M225*Assumptions!$B$4+N225*Assumptions!$B$5+O225*Assumptions!$B$6</f>
        <v>45</v>
      </c>
      <c r="Q225" s="21" t="n">
        <f aca="false">IF(J225&lt;=Assumptions!$B$8,0,P225)</f>
        <v>0</v>
      </c>
      <c r="R225" s="2" t="str">
        <f aca="false">IF(Q225&gt;=Assumptions!$B$9,"High",IF(Q225&gt;=Assumptions!$B$10,"Medium","Low"))</f>
        <v>Low</v>
      </c>
      <c r="S225" s="21" t="n">
        <f aca="false">(N225*Assumptions!$B$5+O225*Assumptions!$B$6)/(Assumptions!$B$5+Assumptions!$B$6)</f>
        <v>90</v>
      </c>
      <c r="T225" s="2" t="str">
        <f aca="false">IF(AND(J225&gt;Assumptions!$B$8,G225&lt;=Assumptions!$B$30),"Low confidence","")</f>
        <v/>
      </c>
      <c r="U225" s="2" t="n">
        <f aca="false">(J225&gt;40)+(F225&gt;2000)+(K225&lt;10)+(L225=0)</f>
        <v>1</v>
      </c>
      <c r="V225" s="21" t="n">
        <f aca="false">IF(J225&lt;20,0,IF(J225&lt;40,25,M225))*Assumptions!$B$4+N225*Assumptions!$B$5+O225*Assumptions!$B$6</f>
        <v>45</v>
      </c>
      <c r="W225" s="2" t="str">
        <f aca="false">IF(V225&gt;=70,"High",IF(V225&gt;=40,"Medium","Low"))</f>
        <v>Medium</v>
      </c>
    </row>
    <row r="226" customFormat="false" ht="15" hidden="false" customHeight="false" outlineLevel="0" collapsed="false">
      <c r="A226" s="2" t="s">
        <v>684</v>
      </c>
      <c r="B226" s="2" t="s">
        <v>1574</v>
      </c>
      <c r="C226" s="2" t="s">
        <v>1640</v>
      </c>
      <c r="D226" s="2"/>
      <c r="E226" s="2" t="n">
        <v>6</v>
      </c>
      <c r="F226" s="9" t="n">
        <v>493</v>
      </c>
      <c r="G226" s="2" t="n">
        <v>3</v>
      </c>
      <c r="H226" s="2" t="n">
        <v>0</v>
      </c>
      <c r="I226" s="2" t="n">
        <v>3</v>
      </c>
      <c r="J226" s="2" t="n">
        <v>0</v>
      </c>
      <c r="K226" s="2" t="n">
        <v>35</v>
      </c>
      <c r="L226" s="2" t="n">
        <v>2</v>
      </c>
      <c r="M226" s="2" t="n">
        <f aca="false">IF(J226&lt;=Assumptions!$B$13,0,IF(J226&lt;Assumptions!$B$14,25,IF(J226&lt;Assumptions!$B$15,50,IF(J226&lt;Assumptions!$B$16,75,100))))</f>
        <v>0</v>
      </c>
      <c r="N226" s="2" t="n">
        <f aca="false">IF(K226&gt;Assumptions!$B$19,0,IF(K226&gt;=Assumptions!$B$20,25,IF(K226&gt;=Assumptions!$B$21,50,IF(K226&gt;=Assumptions!$B$22,75,100))))</f>
        <v>0</v>
      </c>
      <c r="O226" s="2" t="n">
        <f aca="false">IF(L226&gt;=Assumptions!$B$25,0,IF(L226&gt;=Assumptions!$B$26,25,IF(L226=Assumptions!$B$27,50,IF(L226=Assumptions!$B$28,75,100))))</f>
        <v>50</v>
      </c>
      <c r="P226" s="21" t="n">
        <f aca="false">M226*Assumptions!$B$4+N226*Assumptions!$B$5+O226*Assumptions!$B$6</f>
        <v>10</v>
      </c>
      <c r="Q226" s="21" t="n">
        <f aca="false">IF(J226&lt;=Assumptions!$B$8,0,P226)</f>
        <v>0</v>
      </c>
      <c r="R226" s="2" t="str">
        <f aca="false">IF(Q226&gt;=Assumptions!$B$9,"High",IF(Q226&gt;=Assumptions!$B$10,"Medium","Low"))</f>
        <v>Low</v>
      </c>
      <c r="S226" s="21" t="n">
        <f aca="false">(N226*Assumptions!$B$5+O226*Assumptions!$B$6)/(Assumptions!$B$5+Assumptions!$B$6)</f>
        <v>20</v>
      </c>
      <c r="T226" s="2" t="str">
        <f aca="false">IF(AND(J226&gt;Assumptions!$B$8,G226&lt;=Assumptions!$B$30),"Low confidence","")</f>
        <v/>
      </c>
      <c r="U226" s="2" t="n">
        <f aca="false">(J226&gt;40)+(F226&gt;2000)+(K226&lt;10)+(L226=0)</f>
        <v>0</v>
      </c>
      <c r="V226" s="21" t="n">
        <f aca="false">IF(J226&lt;20,0,IF(J226&lt;40,25,M226))*Assumptions!$B$4+N226*Assumptions!$B$5+O226*Assumptions!$B$6</f>
        <v>10</v>
      </c>
      <c r="W226" s="2" t="str">
        <f aca="false">IF(V226&gt;=70,"High",IF(V226&gt;=40,"Medium","Low"))</f>
        <v>Low</v>
      </c>
    </row>
    <row r="227" customFormat="false" ht="15" hidden="false" customHeight="false" outlineLevel="0" collapsed="false">
      <c r="A227" s="2" t="s">
        <v>691</v>
      </c>
      <c r="B227" s="2" t="s">
        <v>1574</v>
      </c>
      <c r="C227" s="2" t="s">
        <v>1640</v>
      </c>
      <c r="D227" s="2"/>
      <c r="E227" s="2" t="n">
        <v>5</v>
      </c>
      <c r="F227" s="9" t="n">
        <v>486</v>
      </c>
      <c r="G227" s="2" t="n">
        <v>2</v>
      </c>
      <c r="H227" s="2" t="n">
        <v>0</v>
      </c>
      <c r="I227" s="2" t="n">
        <v>2</v>
      </c>
      <c r="J227" s="2" t="n">
        <v>0</v>
      </c>
      <c r="K227" s="2" t="n">
        <v>39</v>
      </c>
      <c r="L227" s="2" t="n">
        <v>17</v>
      </c>
      <c r="M227" s="2" t="n">
        <f aca="false">IF(J227&lt;=Assumptions!$B$13,0,IF(J227&lt;Assumptions!$B$14,25,IF(J227&lt;Assumptions!$B$15,50,IF(J227&lt;Assumptions!$B$16,75,100))))</f>
        <v>0</v>
      </c>
      <c r="N227" s="2" t="n">
        <f aca="false">IF(K227&gt;Assumptions!$B$19,0,IF(K227&gt;=Assumptions!$B$20,25,IF(K227&gt;=Assumptions!$B$21,50,IF(K227&gt;=Assumptions!$B$22,75,100))))</f>
        <v>0</v>
      </c>
      <c r="O227" s="2" t="n">
        <f aca="false">IF(L227&gt;=Assumptions!$B$25,0,IF(L227&gt;=Assumptions!$B$26,25,IF(L227=Assumptions!$B$27,50,IF(L227=Assumptions!$B$28,75,100))))</f>
        <v>0</v>
      </c>
      <c r="P227" s="21" t="n">
        <f aca="false">M227*Assumptions!$B$4+N227*Assumptions!$B$5+O227*Assumptions!$B$6</f>
        <v>0</v>
      </c>
      <c r="Q227" s="21" t="n">
        <f aca="false">IF(J227&lt;=Assumptions!$B$8,0,P227)</f>
        <v>0</v>
      </c>
      <c r="R227" s="2" t="str">
        <f aca="false">IF(Q227&gt;=Assumptions!$B$9,"High",IF(Q227&gt;=Assumptions!$B$10,"Medium","Low"))</f>
        <v>Low</v>
      </c>
      <c r="S227" s="21" t="n">
        <f aca="false">(N227*Assumptions!$B$5+O227*Assumptions!$B$6)/(Assumptions!$B$5+Assumptions!$B$6)</f>
        <v>0</v>
      </c>
      <c r="T227" s="2" t="str">
        <f aca="false">IF(AND(J227&gt;Assumptions!$B$8,G227&lt;=Assumptions!$B$30),"Low confidence","")</f>
        <v/>
      </c>
      <c r="U227" s="2" t="n">
        <f aca="false">(J227&gt;40)+(F227&gt;2000)+(K227&lt;10)+(L227=0)</f>
        <v>0</v>
      </c>
      <c r="V227" s="21" t="n">
        <f aca="false">IF(J227&lt;20,0,IF(J227&lt;40,25,M227))*Assumptions!$B$4+N227*Assumptions!$B$5+O227*Assumptions!$B$6</f>
        <v>0</v>
      </c>
      <c r="W227" s="2" t="str">
        <f aca="false">IF(V227&gt;=70,"High",IF(V227&gt;=40,"Medium","Low"))</f>
        <v>Low</v>
      </c>
    </row>
    <row r="228" customFormat="false" ht="15" hidden="false" customHeight="false" outlineLevel="0" collapsed="false">
      <c r="A228" s="2" t="s">
        <v>697</v>
      </c>
      <c r="B228" s="2" t="s">
        <v>1574</v>
      </c>
      <c r="C228" s="2" t="s">
        <v>1640</v>
      </c>
      <c r="D228" s="2"/>
      <c r="E228" s="2" t="n">
        <v>1</v>
      </c>
      <c r="F228" s="9" t="n">
        <v>461</v>
      </c>
      <c r="G228" s="2" t="n">
        <v>1</v>
      </c>
      <c r="H228" s="2" t="n">
        <v>0</v>
      </c>
      <c r="I228" s="2" t="n">
        <v>1</v>
      </c>
      <c r="J228" s="2" t="n">
        <v>0</v>
      </c>
      <c r="K228" s="2" t="n">
        <v>9</v>
      </c>
      <c r="L228" s="2" t="n">
        <v>0</v>
      </c>
      <c r="M228" s="2" t="n">
        <f aca="false">IF(J228&lt;=Assumptions!$B$13,0,IF(J228&lt;Assumptions!$B$14,25,IF(J228&lt;Assumptions!$B$15,50,IF(J228&lt;Assumptions!$B$16,75,100))))</f>
        <v>0</v>
      </c>
      <c r="N228" s="2" t="n">
        <f aca="false">IF(K228&gt;Assumptions!$B$19,0,IF(K228&gt;=Assumptions!$B$20,25,IF(K228&gt;=Assumptions!$B$21,50,IF(K228&gt;=Assumptions!$B$22,75,100))))</f>
        <v>75</v>
      </c>
      <c r="O228" s="2" t="n">
        <f aca="false">IF(L228&gt;=Assumptions!$B$25,0,IF(L228&gt;=Assumptions!$B$26,25,IF(L228=Assumptions!$B$27,50,IF(L228=Assumptions!$B$28,75,100))))</f>
        <v>100</v>
      </c>
      <c r="P228" s="21" t="n">
        <f aca="false">M228*Assumptions!$B$4+N228*Assumptions!$B$5+O228*Assumptions!$B$6</f>
        <v>42.5</v>
      </c>
      <c r="Q228" s="21" t="n">
        <f aca="false">IF(J228&lt;=Assumptions!$B$8,0,P228)</f>
        <v>0</v>
      </c>
      <c r="R228" s="2" t="str">
        <f aca="false">IF(Q228&gt;=Assumptions!$B$9,"High",IF(Q228&gt;=Assumptions!$B$10,"Medium","Low"))</f>
        <v>Low</v>
      </c>
      <c r="S228" s="21" t="n">
        <f aca="false">(N228*Assumptions!$B$5+O228*Assumptions!$B$6)/(Assumptions!$B$5+Assumptions!$B$6)</f>
        <v>85</v>
      </c>
      <c r="T228" s="2" t="str">
        <f aca="false">IF(AND(J228&gt;Assumptions!$B$8,G228&lt;=Assumptions!$B$30),"Low confidence","")</f>
        <v/>
      </c>
      <c r="U228" s="2" t="n">
        <f aca="false">(J228&gt;40)+(F228&gt;2000)+(K228&lt;10)+(L228=0)</f>
        <v>2</v>
      </c>
      <c r="V228" s="21" t="n">
        <f aca="false">IF(J228&lt;20,0,IF(J228&lt;40,25,M228))*Assumptions!$B$4+N228*Assumptions!$B$5+O228*Assumptions!$B$6</f>
        <v>42.5</v>
      </c>
      <c r="W228" s="2" t="str">
        <f aca="false">IF(V228&gt;=70,"High",IF(V228&gt;=40,"Medium","Low"))</f>
        <v>Medium</v>
      </c>
    </row>
    <row r="229" customFormat="false" ht="15" hidden="false" customHeight="false" outlineLevel="0" collapsed="false">
      <c r="A229" s="2" t="s">
        <v>701</v>
      </c>
      <c r="B229" s="2" t="s">
        <v>1574</v>
      </c>
      <c r="C229" s="2" t="s">
        <v>1640</v>
      </c>
      <c r="D229" s="2"/>
      <c r="E229" s="2" t="n">
        <v>1</v>
      </c>
      <c r="F229" s="9" t="n">
        <v>457</v>
      </c>
      <c r="G229" s="2" t="n">
        <v>1</v>
      </c>
      <c r="H229" s="2" t="n">
        <v>0</v>
      </c>
      <c r="I229" s="2" t="n">
        <v>1</v>
      </c>
      <c r="J229" s="2" t="n">
        <v>0</v>
      </c>
      <c r="K229" s="2" t="n">
        <v>5</v>
      </c>
      <c r="L229" s="2" t="n">
        <v>3</v>
      </c>
      <c r="M229" s="2" t="n">
        <f aca="false">IF(J229&lt;=Assumptions!$B$13,0,IF(J229&lt;Assumptions!$B$14,25,IF(J229&lt;Assumptions!$B$15,50,IF(J229&lt;Assumptions!$B$16,75,100))))</f>
        <v>0</v>
      </c>
      <c r="N229" s="2" t="n">
        <f aca="false">IF(K229&gt;Assumptions!$B$19,0,IF(K229&gt;=Assumptions!$B$20,25,IF(K229&gt;=Assumptions!$B$21,50,IF(K229&gt;=Assumptions!$B$22,75,100))))</f>
        <v>75</v>
      </c>
      <c r="O229" s="2" t="n">
        <f aca="false">IF(L229&gt;=Assumptions!$B$25,0,IF(L229&gt;=Assumptions!$B$26,25,IF(L229=Assumptions!$B$27,50,IF(L229=Assumptions!$B$28,75,100))))</f>
        <v>25</v>
      </c>
      <c r="P229" s="21" t="n">
        <f aca="false">M229*Assumptions!$B$4+N229*Assumptions!$B$5+O229*Assumptions!$B$6</f>
        <v>27.5</v>
      </c>
      <c r="Q229" s="21" t="n">
        <f aca="false">IF(J229&lt;=Assumptions!$B$8,0,P229)</f>
        <v>0</v>
      </c>
      <c r="R229" s="2" t="str">
        <f aca="false">IF(Q229&gt;=Assumptions!$B$9,"High",IF(Q229&gt;=Assumptions!$B$10,"Medium","Low"))</f>
        <v>Low</v>
      </c>
      <c r="S229" s="21" t="n">
        <f aca="false">(N229*Assumptions!$B$5+O229*Assumptions!$B$6)/(Assumptions!$B$5+Assumptions!$B$6)</f>
        <v>55</v>
      </c>
      <c r="T229" s="2" t="str">
        <f aca="false">IF(AND(J229&gt;Assumptions!$B$8,G229&lt;=Assumptions!$B$30),"Low confidence","")</f>
        <v/>
      </c>
      <c r="U229" s="2" t="n">
        <f aca="false">(J229&gt;40)+(F229&gt;2000)+(K229&lt;10)+(L229=0)</f>
        <v>1</v>
      </c>
      <c r="V229" s="21" t="n">
        <f aca="false">IF(J229&lt;20,0,IF(J229&lt;40,25,M229))*Assumptions!$B$4+N229*Assumptions!$B$5+O229*Assumptions!$B$6</f>
        <v>27.5</v>
      </c>
      <c r="W229" s="2" t="str">
        <f aca="false">IF(V229&gt;=70,"High",IF(V229&gt;=40,"Medium","Low"))</f>
        <v>Low</v>
      </c>
    </row>
    <row r="230" customFormat="false" ht="15" hidden="false" customHeight="false" outlineLevel="0" collapsed="false">
      <c r="A230" s="2" t="s">
        <v>711</v>
      </c>
      <c r="B230" s="2" t="s">
        <v>1574</v>
      </c>
      <c r="C230" s="2" t="s">
        <v>1640</v>
      </c>
      <c r="D230" s="2"/>
      <c r="E230" s="2" t="n">
        <v>2</v>
      </c>
      <c r="F230" s="9" t="n">
        <v>442</v>
      </c>
      <c r="G230" s="2" t="n">
        <v>1</v>
      </c>
      <c r="H230" s="2" t="n">
        <v>0</v>
      </c>
      <c r="I230" s="2" t="n">
        <v>1</v>
      </c>
      <c r="J230" s="2" t="n">
        <v>0</v>
      </c>
      <c r="K230" s="2" t="n">
        <v>3</v>
      </c>
      <c r="L230" s="2" t="n">
        <v>0</v>
      </c>
      <c r="M230" s="2" t="n">
        <f aca="false">IF(J230&lt;=Assumptions!$B$13,0,IF(J230&lt;Assumptions!$B$14,25,IF(J230&lt;Assumptions!$B$15,50,IF(J230&lt;Assumptions!$B$16,75,100))))</f>
        <v>0</v>
      </c>
      <c r="N230" s="2" t="n">
        <f aca="false">IF(K230&gt;Assumptions!$B$19,0,IF(K230&gt;=Assumptions!$B$20,25,IF(K230&gt;=Assumptions!$B$21,50,IF(K230&gt;=Assumptions!$B$22,75,100))))</f>
        <v>100</v>
      </c>
      <c r="O230" s="2" t="n">
        <f aca="false">IF(L230&gt;=Assumptions!$B$25,0,IF(L230&gt;=Assumptions!$B$26,25,IF(L230=Assumptions!$B$27,50,IF(L230=Assumptions!$B$28,75,100))))</f>
        <v>100</v>
      </c>
      <c r="P230" s="21" t="n">
        <f aca="false">M230*Assumptions!$B$4+N230*Assumptions!$B$5+O230*Assumptions!$B$6</f>
        <v>50</v>
      </c>
      <c r="Q230" s="21" t="n">
        <f aca="false">IF(J230&lt;=Assumptions!$B$8,0,P230)</f>
        <v>0</v>
      </c>
      <c r="R230" s="2" t="str">
        <f aca="false">IF(Q230&gt;=Assumptions!$B$9,"High",IF(Q230&gt;=Assumptions!$B$10,"Medium","Low"))</f>
        <v>Low</v>
      </c>
      <c r="S230" s="21" t="n">
        <f aca="false">(N230*Assumptions!$B$5+O230*Assumptions!$B$6)/(Assumptions!$B$5+Assumptions!$B$6)</f>
        <v>100</v>
      </c>
      <c r="T230" s="2" t="str">
        <f aca="false">IF(AND(J230&gt;Assumptions!$B$8,G230&lt;=Assumptions!$B$30),"Low confidence","")</f>
        <v/>
      </c>
      <c r="U230" s="2" t="n">
        <f aca="false">(J230&gt;40)+(F230&gt;2000)+(K230&lt;10)+(L230=0)</f>
        <v>2</v>
      </c>
      <c r="V230" s="21" t="n">
        <f aca="false">IF(J230&lt;20,0,IF(J230&lt;40,25,M230))*Assumptions!$B$4+N230*Assumptions!$B$5+O230*Assumptions!$B$6</f>
        <v>50</v>
      </c>
      <c r="W230" s="2" t="str">
        <f aca="false">IF(V230&gt;=70,"High",IF(V230&gt;=40,"Medium","Low"))</f>
        <v>Medium</v>
      </c>
    </row>
    <row r="231" customFormat="false" ht="15" hidden="false" customHeight="false" outlineLevel="0" collapsed="false">
      <c r="A231" s="2" t="s">
        <v>713</v>
      </c>
      <c r="B231" s="2" t="s">
        <v>1574</v>
      </c>
      <c r="C231" s="2" t="s">
        <v>1640</v>
      </c>
      <c r="D231" s="2"/>
      <c r="E231" s="2" t="n">
        <v>6</v>
      </c>
      <c r="F231" s="9" t="n">
        <v>422</v>
      </c>
      <c r="G231" s="2" t="n">
        <v>3</v>
      </c>
      <c r="H231" s="2" t="n">
        <v>0</v>
      </c>
      <c r="I231" s="2" t="n">
        <v>3</v>
      </c>
      <c r="J231" s="2" t="n">
        <v>0</v>
      </c>
      <c r="K231" s="2" t="n">
        <v>0</v>
      </c>
      <c r="L231" s="2" t="n">
        <v>0</v>
      </c>
      <c r="M231" s="2" t="n">
        <f aca="false">IF(J231&lt;=Assumptions!$B$13,0,IF(J231&lt;Assumptions!$B$14,25,IF(J231&lt;Assumptions!$B$15,50,IF(J231&lt;Assumptions!$B$16,75,100))))</f>
        <v>0</v>
      </c>
      <c r="N231" s="2" t="n">
        <f aca="false">IF(K231&gt;Assumptions!$B$19,0,IF(K231&gt;=Assumptions!$B$20,25,IF(K231&gt;=Assumptions!$B$21,50,IF(K231&gt;=Assumptions!$B$22,75,100))))</f>
        <v>100</v>
      </c>
      <c r="O231" s="2" t="n">
        <f aca="false">IF(L231&gt;=Assumptions!$B$25,0,IF(L231&gt;=Assumptions!$B$26,25,IF(L231=Assumptions!$B$27,50,IF(L231=Assumptions!$B$28,75,100))))</f>
        <v>100</v>
      </c>
      <c r="P231" s="21" t="n">
        <f aca="false">M231*Assumptions!$B$4+N231*Assumptions!$B$5+O231*Assumptions!$B$6</f>
        <v>50</v>
      </c>
      <c r="Q231" s="21" t="n">
        <f aca="false">IF(J231&lt;=Assumptions!$B$8,0,P231)</f>
        <v>0</v>
      </c>
      <c r="R231" s="2" t="str">
        <f aca="false">IF(Q231&gt;=Assumptions!$B$9,"High",IF(Q231&gt;=Assumptions!$B$10,"Medium","Low"))</f>
        <v>Low</v>
      </c>
      <c r="S231" s="21" t="n">
        <f aca="false">(N231*Assumptions!$B$5+O231*Assumptions!$B$6)/(Assumptions!$B$5+Assumptions!$B$6)</f>
        <v>100</v>
      </c>
      <c r="T231" s="2" t="str">
        <f aca="false">IF(AND(J231&gt;Assumptions!$B$8,G231&lt;=Assumptions!$B$30),"Low confidence","")</f>
        <v/>
      </c>
      <c r="U231" s="2" t="n">
        <f aca="false">(J231&gt;40)+(F231&gt;2000)+(K231&lt;10)+(L231=0)</f>
        <v>2</v>
      </c>
      <c r="V231" s="21" t="n">
        <f aca="false">IF(J231&lt;20,0,IF(J231&lt;40,25,M231))*Assumptions!$B$4+N231*Assumptions!$B$5+O231*Assumptions!$B$6</f>
        <v>50</v>
      </c>
      <c r="W231" s="2" t="str">
        <f aca="false">IF(V231&gt;=70,"High",IF(V231&gt;=40,"Medium","Low"))</f>
        <v>Medium</v>
      </c>
    </row>
    <row r="232" customFormat="false" ht="15" hidden="false" customHeight="false" outlineLevel="0" collapsed="false">
      <c r="A232" s="2" t="s">
        <v>716</v>
      </c>
      <c r="B232" s="2" t="s">
        <v>1574</v>
      </c>
      <c r="C232" s="2" t="s">
        <v>1640</v>
      </c>
      <c r="D232" s="2"/>
      <c r="E232" s="2" t="n">
        <v>4</v>
      </c>
      <c r="F232" s="9" t="n">
        <v>416</v>
      </c>
      <c r="G232" s="2" t="n">
        <v>2</v>
      </c>
      <c r="H232" s="2" t="n">
        <v>0</v>
      </c>
      <c r="I232" s="2" t="n">
        <v>2</v>
      </c>
      <c r="J232" s="2" t="n">
        <v>0</v>
      </c>
      <c r="K232" s="2" t="n">
        <v>15</v>
      </c>
      <c r="L232" s="2" t="n">
        <v>2</v>
      </c>
      <c r="M232" s="2" t="n">
        <f aca="false">IF(J232&lt;=Assumptions!$B$13,0,IF(J232&lt;Assumptions!$B$14,25,IF(J232&lt;Assumptions!$B$15,50,IF(J232&lt;Assumptions!$B$16,75,100))))</f>
        <v>0</v>
      </c>
      <c r="N232" s="2" t="n">
        <f aca="false">IF(K232&gt;Assumptions!$B$19,0,IF(K232&gt;=Assumptions!$B$20,25,IF(K232&gt;=Assumptions!$B$21,50,IF(K232&gt;=Assumptions!$B$22,75,100))))</f>
        <v>50</v>
      </c>
      <c r="O232" s="2" t="n">
        <f aca="false">IF(L232&gt;=Assumptions!$B$25,0,IF(L232&gt;=Assumptions!$B$26,25,IF(L232=Assumptions!$B$27,50,IF(L232=Assumptions!$B$28,75,100))))</f>
        <v>50</v>
      </c>
      <c r="P232" s="21" t="n">
        <f aca="false">M232*Assumptions!$B$4+N232*Assumptions!$B$5+O232*Assumptions!$B$6</f>
        <v>25</v>
      </c>
      <c r="Q232" s="21" t="n">
        <f aca="false">IF(J232&lt;=Assumptions!$B$8,0,P232)</f>
        <v>0</v>
      </c>
      <c r="R232" s="2" t="str">
        <f aca="false">IF(Q232&gt;=Assumptions!$B$9,"High",IF(Q232&gt;=Assumptions!$B$10,"Medium","Low"))</f>
        <v>Low</v>
      </c>
      <c r="S232" s="21" t="n">
        <f aca="false">(N232*Assumptions!$B$5+O232*Assumptions!$B$6)/(Assumptions!$B$5+Assumptions!$B$6)</f>
        <v>50</v>
      </c>
      <c r="T232" s="2" t="str">
        <f aca="false">IF(AND(J232&gt;Assumptions!$B$8,G232&lt;=Assumptions!$B$30),"Low confidence","")</f>
        <v/>
      </c>
      <c r="U232" s="2" t="n">
        <f aca="false">(J232&gt;40)+(F232&gt;2000)+(K232&lt;10)+(L232=0)</f>
        <v>0</v>
      </c>
      <c r="V232" s="21" t="n">
        <f aca="false">IF(J232&lt;20,0,IF(J232&lt;40,25,M232))*Assumptions!$B$4+N232*Assumptions!$B$5+O232*Assumptions!$B$6</f>
        <v>25</v>
      </c>
      <c r="W232" s="2" t="str">
        <f aca="false">IF(V232&gt;=70,"High",IF(V232&gt;=40,"Medium","Low"))</f>
        <v>Low</v>
      </c>
    </row>
    <row r="233" customFormat="false" ht="15" hidden="false" customHeight="false" outlineLevel="0" collapsed="false">
      <c r="A233" s="2" t="s">
        <v>718</v>
      </c>
      <c r="B233" s="2" t="s">
        <v>1574</v>
      </c>
      <c r="C233" s="2" t="s">
        <v>1640</v>
      </c>
      <c r="D233" s="2"/>
      <c r="E233" s="2" t="n">
        <v>4</v>
      </c>
      <c r="F233" s="9" t="n">
        <v>399</v>
      </c>
      <c r="G233" s="2" t="n">
        <v>1</v>
      </c>
      <c r="H233" s="2" t="n">
        <v>0</v>
      </c>
      <c r="I233" s="2" t="n">
        <v>1</v>
      </c>
      <c r="J233" s="2" t="n">
        <v>0</v>
      </c>
      <c r="K233" s="2" t="n">
        <v>8</v>
      </c>
      <c r="L233" s="2" t="n">
        <v>0</v>
      </c>
      <c r="M233" s="2" t="n">
        <f aca="false">IF(J233&lt;=Assumptions!$B$13,0,IF(J233&lt;Assumptions!$B$14,25,IF(J233&lt;Assumptions!$B$15,50,IF(J233&lt;Assumptions!$B$16,75,100))))</f>
        <v>0</v>
      </c>
      <c r="N233" s="2" t="n">
        <f aca="false">IF(K233&gt;Assumptions!$B$19,0,IF(K233&gt;=Assumptions!$B$20,25,IF(K233&gt;=Assumptions!$B$21,50,IF(K233&gt;=Assumptions!$B$22,75,100))))</f>
        <v>75</v>
      </c>
      <c r="O233" s="2" t="n">
        <f aca="false">IF(L233&gt;=Assumptions!$B$25,0,IF(L233&gt;=Assumptions!$B$26,25,IF(L233=Assumptions!$B$27,50,IF(L233=Assumptions!$B$28,75,100))))</f>
        <v>100</v>
      </c>
      <c r="P233" s="21" t="n">
        <f aca="false">M233*Assumptions!$B$4+N233*Assumptions!$B$5+O233*Assumptions!$B$6</f>
        <v>42.5</v>
      </c>
      <c r="Q233" s="21" t="n">
        <f aca="false">IF(J233&lt;=Assumptions!$B$8,0,P233)</f>
        <v>0</v>
      </c>
      <c r="R233" s="2" t="str">
        <f aca="false">IF(Q233&gt;=Assumptions!$B$9,"High",IF(Q233&gt;=Assumptions!$B$10,"Medium","Low"))</f>
        <v>Low</v>
      </c>
      <c r="S233" s="21" t="n">
        <f aca="false">(N233*Assumptions!$B$5+O233*Assumptions!$B$6)/(Assumptions!$B$5+Assumptions!$B$6)</f>
        <v>85</v>
      </c>
      <c r="T233" s="2" t="str">
        <f aca="false">IF(AND(J233&gt;Assumptions!$B$8,G233&lt;=Assumptions!$B$30),"Low confidence","")</f>
        <v/>
      </c>
      <c r="U233" s="2" t="n">
        <f aca="false">(J233&gt;40)+(F233&gt;2000)+(K233&lt;10)+(L233=0)</f>
        <v>2</v>
      </c>
      <c r="V233" s="21" t="n">
        <f aca="false">IF(J233&lt;20,0,IF(J233&lt;40,25,M233))*Assumptions!$B$4+N233*Assumptions!$B$5+O233*Assumptions!$B$6</f>
        <v>42.5</v>
      </c>
      <c r="W233" s="2" t="str">
        <f aca="false">IF(V233&gt;=70,"High",IF(V233&gt;=40,"Medium","Low"))</f>
        <v>Medium</v>
      </c>
    </row>
    <row r="234" customFormat="false" ht="15" hidden="false" customHeight="false" outlineLevel="0" collapsed="false">
      <c r="A234" s="2" t="s">
        <v>720</v>
      </c>
      <c r="B234" s="2" t="s">
        <v>1574</v>
      </c>
      <c r="C234" s="2" t="s">
        <v>1640</v>
      </c>
      <c r="D234" s="2"/>
      <c r="E234" s="2" t="n">
        <v>4</v>
      </c>
      <c r="F234" s="9" t="n">
        <v>395</v>
      </c>
      <c r="G234" s="2" t="n">
        <v>2</v>
      </c>
      <c r="H234" s="2" t="n">
        <v>0</v>
      </c>
      <c r="I234" s="2" t="n">
        <v>2</v>
      </c>
      <c r="J234" s="2" t="n">
        <v>0</v>
      </c>
      <c r="K234" s="2" t="n">
        <v>54</v>
      </c>
      <c r="L234" s="2" t="n">
        <v>5</v>
      </c>
      <c r="M234" s="2" t="n">
        <f aca="false">IF(J234&lt;=Assumptions!$B$13,0,IF(J234&lt;Assumptions!$B$14,25,IF(J234&lt;Assumptions!$B$15,50,IF(J234&lt;Assumptions!$B$16,75,100))))</f>
        <v>0</v>
      </c>
      <c r="N234" s="2" t="n">
        <f aca="false">IF(K234&gt;Assumptions!$B$19,0,IF(K234&gt;=Assumptions!$B$20,25,IF(K234&gt;=Assumptions!$B$21,50,IF(K234&gt;=Assumptions!$B$22,75,100))))</f>
        <v>0</v>
      </c>
      <c r="O234" s="2" t="n">
        <f aca="false">IF(L234&gt;=Assumptions!$B$25,0,IF(L234&gt;=Assumptions!$B$26,25,IF(L234=Assumptions!$B$27,50,IF(L234=Assumptions!$B$28,75,100))))</f>
        <v>0</v>
      </c>
      <c r="P234" s="21" t="n">
        <f aca="false">M234*Assumptions!$B$4+N234*Assumptions!$B$5+O234*Assumptions!$B$6</f>
        <v>0</v>
      </c>
      <c r="Q234" s="21" t="n">
        <f aca="false">IF(J234&lt;=Assumptions!$B$8,0,P234)</f>
        <v>0</v>
      </c>
      <c r="R234" s="2" t="str">
        <f aca="false">IF(Q234&gt;=Assumptions!$B$9,"High",IF(Q234&gt;=Assumptions!$B$10,"Medium","Low"))</f>
        <v>Low</v>
      </c>
      <c r="S234" s="21" t="n">
        <f aca="false">(N234*Assumptions!$B$5+O234*Assumptions!$B$6)/(Assumptions!$B$5+Assumptions!$B$6)</f>
        <v>0</v>
      </c>
      <c r="T234" s="2" t="str">
        <f aca="false">IF(AND(J234&gt;Assumptions!$B$8,G234&lt;=Assumptions!$B$30),"Low confidence","")</f>
        <v/>
      </c>
      <c r="U234" s="2" t="n">
        <f aca="false">(J234&gt;40)+(F234&gt;2000)+(K234&lt;10)+(L234=0)</f>
        <v>0</v>
      </c>
      <c r="V234" s="21" t="n">
        <f aca="false">IF(J234&lt;20,0,IF(J234&lt;40,25,M234))*Assumptions!$B$4+N234*Assumptions!$B$5+O234*Assumptions!$B$6</f>
        <v>0</v>
      </c>
      <c r="W234" s="2" t="str">
        <f aca="false">IF(V234&gt;=70,"High",IF(V234&gt;=40,"Medium","Low"))</f>
        <v>Low</v>
      </c>
    </row>
    <row r="235" customFormat="false" ht="15" hidden="false" customHeight="false" outlineLevel="0" collapsed="false">
      <c r="A235" s="2" t="s">
        <v>722</v>
      </c>
      <c r="B235" s="2" t="s">
        <v>1574</v>
      </c>
      <c r="C235" s="2" t="s">
        <v>1640</v>
      </c>
      <c r="D235" s="2"/>
      <c r="E235" s="2" t="n">
        <v>1</v>
      </c>
      <c r="F235" s="9" t="n">
        <v>393</v>
      </c>
      <c r="G235" s="2" t="n">
        <v>1</v>
      </c>
      <c r="H235" s="2" t="n">
        <v>0</v>
      </c>
      <c r="I235" s="2" t="n">
        <v>1</v>
      </c>
      <c r="J235" s="2" t="n">
        <v>0</v>
      </c>
      <c r="K235" s="2" t="n">
        <v>1</v>
      </c>
      <c r="L235" s="2" t="n">
        <v>1</v>
      </c>
      <c r="M235" s="2" t="n">
        <f aca="false">IF(J235&lt;=Assumptions!$B$13,0,IF(J235&lt;Assumptions!$B$14,25,IF(J235&lt;Assumptions!$B$15,50,IF(J235&lt;Assumptions!$B$16,75,100))))</f>
        <v>0</v>
      </c>
      <c r="N235" s="2" t="n">
        <f aca="false">IF(K235&gt;Assumptions!$B$19,0,IF(K235&gt;=Assumptions!$B$20,25,IF(K235&gt;=Assumptions!$B$21,50,IF(K235&gt;=Assumptions!$B$22,75,100))))</f>
        <v>100</v>
      </c>
      <c r="O235" s="2" t="n">
        <f aca="false">IF(L235&gt;=Assumptions!$B$25,0,IF(L235&gt;=Assumptions!$B$26,25,IF(L235=Assumptions!$B$27,50,IF(L235=Assumptions!$B$28,75,100))))</f>
        <v>75</v>
      </c>
      <c r="P235" s="21" t="n">
        <f aca="false">M235*Assumptions!$B$4+N235*Assumptions!$B$5+O235*Assumptions!$B$6</f>
        <v>45</v>
      </c>
      <c r="Q235" s="21" t="n">
        <f aca="false">IF(J235&lt;=Assumptions!$B$8,0,P235)</f>
        <v>0</v>
      </c>
      <c r="R235" s="2" t="str">
        <f aca="false">IF(Q235&gt;=Assumptions!$B$9,"High",IF(Q235&gt;=Assumptions!$B$10,"Medium","Low"))</f>
        <v>Low</v>
      </c>
      <c r="S235" s="21" t="n">
        <f aca="false">(N235*Assumptions!$B$5+O235*Assumptions!$B$6)/(Assumptions!$B$5+Assumptions!$B$6)</f>
        <v>90</v>
      </c>
      <c r="T235" s="2" t="str">
        <f aca="false">IF(AND(J235&gt;Assumptions!$B$8,G235&lt;=Assumptions!$B$30),"Low confidence","")</f>
        <v/>
      </c>
      <c r="U235" s="2" t="n">
        <f aca="false">(J235&gt;40)+(F235&gt;2000)+(K235&lt;10)+(L235=0)</f>
        <v>1</v>
      </c>
      <c r="V235" s="21" t="n">
        <f aca="false">IF(J235&lt;20,0,IF(J235&lt;40,25,M235))*Assumptions!$B$4+N235*Assumptions!$B$5+O235*Assumptions!$B$6</f>
        <v>45</v>
      </c>
      <c r="W235" s="2" t="str">
        <f aca="false">IF(V235&gt;=70,"High",IF(V235&gt;=40,"Medium","Low"))</f>
        <v>Medium</v>
      </c>
    </row>
    <row r="236" customFormat="false" ht="15" hidden="false" customHeight="false" outlineLevel="0" collapsed="false">
      <c r="A236" s="2" t="s">
        <v>728</v>
      </c>
      <c r="B236" s="2" t="s">
        <v>1574</v>
      </c>
      <c r="C236" s="2" t="s">
        <v>1640</v>
      </c>
      <c r="D236" s="2"/>
      <c r="E236" s="2" t="n">
        <v>2</v>
      </c>
      <c r="F236" s="9" t="n">
        <v>384</v>
      </c>
      <c r="G236" s="2" t="n">
        <v>1</v>
      </c>
      <c r="H236" s="2" t="n">
        <v>0</v>
      </c>
      <c r="I236" s="2" t="n">
        <v>1</v>
      </c>
      <c r="J236" s="2" t="n">
        <v>0</v>
      </c>
      <c r="K236" s="2" t="n">
        <v>41</v>
      </c>
      <c r="L236" s="2" t="n">
        <v>1</v>
      </c>
      <c r="M236" s="2" t="n">
        <f aca="false">IF(J236&lt;=Assumptions!$B$13,0,IF(J236&lt;Assumptions!$B$14,25,IF(J236&lt;Assumptions!$B$15,50,IF(J236&lt;Assumptions!$B$16,75,100))))</f>
        <v>0</v>
      </c>
      <c r="N236" s="2" t="n">
        <f aca="false">IF(K236&gt;Assumptions!$B$19,0,IF(K236&gt;=Assumptions!$B$20,25,IF(K236&gt;=Assumptions!$B$21,50,IF(K236&gt;=Assumptions!$B$22,75,100))))</f>
        <v>0</v>
      </c>
      <c r="O236" s="2" t="n">
        <f aca="false">IF(L236&gt;=Assumptions!$B$25,0,IF(L236&gt;=Assumptions!$B$26,25,IF(L236=Assumptions!$B$27,50,IF(L236=Assumptions!$B$28,75,100))))</f>
        <v>75</v>
      </c>
      <c r="P236" s="21" t="n">
        <f aca="false">M236*Assumptions!$B$4+N236*Assumptions!$B$5+O236*Assumptions!$B$6</f>
        <v>15</v>
      </c>
      <c r="Q236" s="21" t="n">
        <f aca="false">IF(J236&lt;=Assumptions!$B$8,0,P236)</f>
        <v>0</v>
      </c>
      <c r="R236" s="2" t="str">
        <f aca="false">IF(Q236&gt;=Assumptions!$B$9,"High",IF(Q236&gt;=Assumptions!$B$10,"Medium","Low"))</f>
        <v>Low</v>
      </c>
      <c r="S236" s="21" t="n">
        <f aca="false">(N236*Assumptions!$B$5+O236*Assumptions!$B$6)/(Assumptions!$B$5+Assumptions!$B$6)</f>
        <v>30</v>
      </c>
      <c r="T236" s="2" t="str">
        <f aca="false">IF(AND(J236&gt;Assumptions!$B$8,G236&lt;=Assumptions!$B$30),"Low confidence","")</f>
        <v/>
      </c>
      <c r="U236" s="2" t="n">
        <f aca="false">(J236&gt;40)+(F236&gt;2000)+(K236&lt;10)+(L236=0)</f>
        <v>0</v>
      </c>
      <c r="V236" s="21" t="n">
        <f aca="false">IF(J236&lt;20,0,IF(J236&lt;40,25,M236))*Assumptions!$B$4+N236*Assumptions!$B$5+O236*Assumptions!$B$6</f>
        <v>15</v>
      </c>
      <c r="W236" s="2" t="str">
        <f aca="false">IF(V236&gt;=70,"High",IF(V236&gt;=40,"Medium","Low"))</f>
        <v>Low</v>
      </c>
    </row>
    <row r="237" customFormat="false" ht="15" hidden="false" customHeight="false" outlineLevel="0" collapsed="false">
      <c r="A237" s="2" t="s">
        <v>734</v>
      </c>
      <c r="B237" s="2" t="s">
        <v>1574</v>
      </c>
      <c r="C237" s="2" t="s">
        <v>1640</v>
      </c>
      <c r="D237" s="2"/>
      <c r="E237" s="2" t="n">
        <v>2</v>
      </c>
      <c r="F237" s="9" t="n">
        <v>371</v>
      </c>
      <c r="G237" s="2" t="n">
        <v>1</v>
      </c>
      <c r="H237" s="2" t="n">
        <v>0</v>
      </c>
      <c r="I237" s="2" t="n">
        <v>1</v>
      </c>
      <c r="J237" s="2" t="n">
        <v>0</v>
      </c>
      <c r="K237" s="2" t="n">
        <v>21</v>
      </c>
      <c r="L237" s="2" t="n">
        <v>9</v>
      </c>
      <c r="M237" s="2" t="n">
        <f aca="false">IF(J237&lt;=Assumptions!$B$13,0,IF(J237&lt;Assumptions!$B$14,25,IF(J237&lt;Assumptions!$B$15,50,IF(J237&lt;Assumptions!$B$16,75,100))))</f>
        <v>0</v>
      </c>
      <c r="N237" s="2" t="n">
        <f aca="false">IF(K237&gt;Assumptions!$B$19,0,IF(K237&gt;=Assumptions!$B$20,25,IF(K237&gt;=Assumptions!$B$21,50,IF(K237&gt;=Assumptions!$B$22,75,100))))</f>
        <v>25</v>
      </c>
      <c r="O237" s="2" t="n">
        <f aca="false">IF(L237&gt;=Assumptions!$B$25,0,IF(L237&gt;=Assumptions!$B$26,25,IF(L237=Assumptions!$B$27,50,IF(L237=Assumptions!$B$28,75,100))))</f>
        <v>0</v>
      </c>
      <c r="P237" s="21" t="n">
        <f aca="false">M237*Assumptions!$B$4+N237*Assumptions!$B$5+O237*Assumptions!$B$6</f>
        <v>7.5</v>
      </c>
      <c r="Q237" s="21" t="n">
        <f aca="false">IF(J237&lt;=Assumptions!$B$8,0,P237)</f>
        <v>0</v>
      </c>
      <c r="R237" s="2" t="str">
        <f aca="false">IF(Q237&gt;=Assumptions!$B$9,"High",IF(Q237&gt;=Assumptions!$B$10,"Medium","Low"))</f>
        <v>Low</v>
      </c>
      <c r="S237" s="21" t="n">
        <f aca="false">(N237*Assumptions!$B$5+O237*Assumptions!$B$6)/(Assumptions!$B$5+Assumptions!$B$6)</f>
        <v>15</v>
      </c>
      <c r="T237" s="2" t="str">
        <f aca="false">IF(AND(J237&gt;Assumptions!$B$8,G237&lt;=Assumptions!$B$30),"Low confidence","")</f>
        <v/>
      </c>
      <c r="U237" s="2" t="n">
        <f aca="false">(J237&gt;40)+(F237&gt;2000)+(K237&lt;10)+(L237=0)</f>
        <v>0</v>
      </c>
      <c r="V237" s="21" t="n">
        <f aca="false">IF(J237&lt;20,0,IF(J237&lt;40,25,M237))*Assumptions!$B$4+N237*Assumptions!$B$5+O237*Assumptions!$B$6</f>
        <v>7.5</v>
      </c>
      <c r="W237" s="2" t="str">
        <f aca="false">IF(V237&gt;=70,"High",IF(V237&gt;=40,"Medium","Low"))</f>
        <v>Low</v>
      </c>
    </row>
    <row r="238" customFormat="false" ht="15" hidden="false" customHeight="false" outlineLevel="0" collapsed="false">
      <c r="A238" s="2" t="s">
        <v>736</v>
      </c>
      <c r="B238" s="2" t="s">
        <v>1574</v>
      </c>
      <c r="C238" s="2" t="s">
        <v>1640</v>
      </c>
      <c r="D238" s="2"/>
      <c r="E238" s="2" t="n">
        <v>2</v>
      </c>
      <c r="F238" s="9" t="n">
        <v>371</v>
      </c>
      <c r="G238" s="2" t="n">
        <v>1</v>
      </c>
      <c r="H238" s="2" t="n">
        <v>0</v>
      </c>
      <c r="I238" s="2" t="n">
        <v>1</v>
      </c>
      <c r="J238" s="2" t="n">
        <v>0</v>
      </c>
      <c r="K238" s="2" t="n">
        <v>4</v>
      </c>
      <c r="L238" s="2" t="n">
        <v>0</v>
      </c>
      <c r="M238" s="2" t="n">
        <f aca="false">IF(J238&lt;=Assumptions!$B$13,0,IF(J238&lt;Assumptions!$B$14,25,IF(J238&lt;Assumptions!$B$15,50,IF(J238&lt;Assumptions!$B$16,75,100))))</f>
        <v>0</v>
      </c>
      <c r="N238" s="2" t="n">
        <f aca="false">IF(K238&gt;Assumptions!$B$19,0,IF(K238&gt;=Assumptions!$B$20,25,IF(K238&gt;=Assumptions!$B$21,50,IF(K238&gt;=Assumptions!$B$22,75,100))))</f>
        <v>100</v>
      </c>
      <c r="O238" s="2" t="n">
        <f aca="false">IF(L238&gt;=Assumptions!$B$25,0,IF(L238&gt;=Assumptions!$B$26,25,IF(L238=Assumptions!$B$27,50,IF(L238=Assumptions!$B$28,75,100))))</f>
        <v>100</v>
      </c>
      <c r="P238" s="21" t="n">
        <f aca="false">M238*Assumptions!$B$4+N238*Assumptions!$B$5+O238*Assumptions!$B$6</f>
        <v>50</v>
      </c>
      <c r="Q238" s="21" t="n">
        <f aca="false">IF(J238&lt;=Assumptions!$B$8,0,P238)</f>
        <v>0</v>
      </c>
      <c r="R238" s="2" t="str">
        <f aca="false">IF(Q238&gt;=Assumptions!$B$9,"High",IF(Q238&gt;=Assumptions!$B$10,"Medium","Low"))</f>
        <v>Low</v>
      </c>
      <c r="S238" s="21" t="n">
        <f aca="false">(N238*Assumptions!$B$5+O238*Assumptions!$B$6)/(Assumptions!$B$5+Assumptions!$B$6)</f>
        <v>100</v>
      </c>
      <c r="T238" s="2" t="str">
        <f aca="false">IF(AND(J238&gt;Assumptions!$B$8,G238&lt;=Assumptions!$B$30),"Low confidence","")</f>
        <v/>
      </c>
      <c r="U238" s="2" t="n">
        <f aca="false">(J238&gt;40)+(F238&gt;2000)+(K238&lt;10)+(L238=0)</f>
        <v>2</v>
      </c>
      <c r="V238" s="21" t="n">
        <f aca="false">IF(J238&lt;20,0,IF(J238&lt;40,25,M238))*Assumptions!$B$4+N238*Assumptions!$B$5+O238*Assumptions!$B$6</f>
        <v>50</v>
      </c>
      <c r="W238" s="2" t="str">
        <f aca="false">IF(V238&gt;=70,"High",IF(V238&gt;=40,"Medium","Low"))</f>
        <v>Medium</v>
      </c>
    </row>
    <row r="239" customFormat="false" ht="15" hidden="false" customHeight="false" outlineLevel="0" collapsed="false">
      <c r="A239" s="2" t="s">
        <v>748</v>
      </c>
      <c r="B239" s="2" t="s">
        <v>1574</v>
      </c>
      <c r="C239" s="2" t="s">
        <v>1640</v>
      </c>
      <c r="D239" s="2"/>
      <c r="E239" s="2" t="n">
        <v>2</v>
      </c>
      <c r="F239" s="9" t="n">
        <v>353</v>
      </c>
      <c r="G239" s="2" t="n">
        <v>1</v>
      </c>
      <c r="H239" s="2" t="n">
        <v>0</v>
      </c>
      <c r="I239" s="2" t="n">
        <v>1</v>
      </c>
      <c r="J239" s="2" t="n">
        <v>0</v>
      </c>
      <c r="K239" s="2" t="n">
        <v>10</v>
      </c>
      <c r="L239" s="2" t="n">
        <v>0</v>
      </c>
      <c r="M239" s="2" t="n">
        <f aca="false">IF(J239&lt;=Assumptions!$B$13,0,IF(J239&lt;Assumptions!$B$14,25,IF(J239&lt;Assumptions!$B$15,50,IF(J239&lt;Assumptions!$B$16,75,100))))</f>
        <v>0</v>
      </c>
      <c r="N239" s="2" t="n">
        <f aca="false">IF(K239&gt;Assumptions!$B$19,0,IF(K239&gt;=Assumptions!$B$20,25,IF(K239&gt;=Assumptions!$B$21,50,IF(K239&gt;=Assumptions!$B$22,75,100))))</f>
        <v>50</v>
      </c>
      <c r="O239" s="2" t="n">
        <f aca="false">IF(L239&gt;=Assumptions!$B$25,0,IF(L239&gt;=Assumptions!$B$26,25,IF(L239=Assumptions!$B$27,50,IF(L239=Assumptions!$B$28,75,100))))</f>
        <v>100</v>
      </c>
      <c r="P239" s="21" t="n">
        <f aca="false">M239*Assumptions!$B$4+N239*Assumptions!$B$5+O239*Assumptions!$B$6</f>
        <v>35</v>
      </c>
      <c r="Q239" s="21" t="n">
        <f aca="false">IF(J239&lt;=Assumptions!$B$8,0,P239)</f>
        <v>0</v>
      </c>
      <c r="R239" s="2" t="str">
        <f aca="false">IF(Q239&gt;=Assumptions!$B$9,"High",IF(Q239&gt;=Assumptions!$B$10,"Medium","Low"))</f>
        <v>Low</v>
      </c>
      <c r="S239" s="21" t="n">
        <f aca="false">(N239*Assumptions!$B$5+O239*Assumptions!$B$6)/(Assumptions!$B$5+Assumptions!$B$6)</f>
        <v>70</v>
      </c>
      <c r="T239" s="2" t="str">
        <f aca="false">IF(AND(J239&gt;Assumptions!$B$8,G239&lt;=Assumptions!$B$30),"Low confidence","")</f>
        <v/>
      </c>
      <c r="U239" s="2" t="n">
        <f aca="false">(J239&gt;40)+(F239&gt;2000)+(K239&lt;10)+(L239=0)</f>
        <v>1</v>
      </c>
      <c r="V239" s="21" t="n">
        <f aca="false">IF(J239&lt;20,0,IF(J239&lt;40,25,M239))*Assumptions!$B$4+N239*Assumptions!$B$5+O239*Assumptions!$B$6</f>
        <v>35</v>
      </c>
      <c r="W239" s="2" t="str">
        <f aca="false">IF(V239&gt;=70,"High",IF(V239&gt;=40,"Medium","Low"))</f>
        <v>Low</v>
      </c>
    </row>
    <row r="240" customFormat="false" ht="15" hidden="false" customHeight="false" outlineLevel="0" collapsed="false">
      <c r="A240" s="2" t="s">
        <v>752</v>
      </c>
      <c r="B240" s="2" t="s">
        <v>1574</v>
      </c>
      <c r="C240" s="2" t="s">
        <v>1640</v>
      </c>
      <c r="D240" s="2"/>
      <c r="E240" s="2" t="n">
        <v>4</v>
      </c>
      <c r="F240" s="9" t="n">
        <v>345</v>
      </c>
      <c r="G240" s="2" t="n">
        <v>1</v>
      </c>
      <c r="H240" s="2" t="n">
        <v>0</v>
      </c>
      <c r="I240" s="2" t="n">
        <v>1</v>
      </c>
      <c r="J240" s="2" t="n">
        <v>0</v>
      </c>
      <c r="K240" s="2" t="n">
        <v>1</v>
      </c>
      <c r="L240" s="2" t="n">
        <v>2</v>
      </c>
      <c r="M240" s="2" t="n">
        <f aca="false">IF(J240&lt;=Assumptions!$B$13,0,IF(J240&lt;Assumptions!$B$14,25,IF(J240&lt;Assumptions!$B$15,50,IF(J240&lt;Assumptions!$B$16,75,100))))</f>
        <v>0</v>
      </c>
      <c r="N240" s="2" t="n">
        <f aca="false">IF(K240&gt;Assumptions!$B$19,0,IF(K240&gt;=Assumptions!$B$20,25,IF(K240&gt;=Assumptions!$B$21,50,IF(K240&gt;=Assumptions!$B$22,75,100))))</f>
        <v>100</v>
      </c>
      <c r="O240" s="2" t="n">
        <f aca="false">IF(L240&gt;=Assumptions!$B$25,0,IF(L240&gt;=Assumptions!$B$26,25,IF(L240=Assumptions!$B$27,50,IF(L240=Assumptions!$B$28,75,100))))</f>
        <v>50</v>
      </c>
      <c r="P240" s="21" t="n">
        <f aca="false">M240*Assumptions!$B$4+N240*Assumptions!$B$5+O240*Assumptions!$B$6</f>
        <v>40</v>
      </c>
      <c r="Q240" s="21" t="n">
        <f aca="false">IF(J240&lt;=Assumptions!$B$8,0,P240)</f>
        <v>0</v>
      </c>
      <c r="R240" s="2" t="str">
        <f aca="false">IF(Q240&gt;=Assumptions!$B$9,"High",IF(Q240&gt;=Assumptions!$B$10,"Medium","Low"))</f>
        <v>Low</v>
      </c>
      <c r="S240" s="21" t="n">
        <f aca="false">(N240*Assumptions!$B$5+O240*Assumptions!$B$6)/(Assumptions!$B$5+Assumptions!$B$6)</f>
        <v>80</v>
      </c>
      <c r="T240" s="2" t="str">
        <f aca="false">IF(AND(J240&gt;Assumptions!$B$8,G240&lt;=Assumptions!$B$30),"Low confidence","")</f>
        <v/>
      </c>
      <c r="U240" s="2" t="n">
        <f aca="false">(J240&gt;40)+(F240&gt;2000)+(K240&lt;10)+(L240=0)</f>
        <v>1</v>
      </c>
      <c r="V240" s="21" t="n">
        <f aca="false">IF(J240&lt;20,0,IF(J240&lt;40,25,M240))*Assumptions!$B$4+N240*Assumptions!$B$5+O240*Assumptions!$B$6</f>
        <v>40</v>
      </c>
      <c r="W240" s="2" t="str">
        <f aca="false">IF(V240&gt;=70,"High",IF(V240&gt;=40,"Medium","Low"))</f>
        <v>Medium</v>
      </c>
    </row>
    <row r="241" customFormat="false" ht="15" hidden="false" customHeight="false" outlineLevel="0" collapsed="false">
      <c r="A241" s="2" t="s">
        <v>756</v>
      </c>
      <c r="B241" s="2" t="s">
        <v>1574</v>
      </c>
      <c r="C241" s="2" t="s">
        <v>1640</v>
      </c>
      <c r="D241" s="2"/>
      <c r="E241" s="2" t="n">
        <v>2</v>
      </c>
      <c r="F241" s="9" t="n">
        <v>337</v>
      </c>
      <c r="G241" s="2" t="n">
        <v>1</v>
      </c>
      <c r="H241" s="2" t="n">
        <v>0</v>
      </c>
      <c r="I241" s="2" t="n">
        <v>1</v>
      </c>
      <c r="J241" s="2" t="n">
        <v>0</v>
      </c>
      <c r="K241" s="2" t="n">
        <v>8</v>
      </c>
      <c r="L241" s="2" t="n">
        <v>0</v>
      </c>
      <c r="M241" s="2" t="n">
        <f aca="false">IF(J241&lt;=Assumptions!$B$13,0,IF(J241&lt;Assumptions!$B$14,25,IF(J241&lt;Assumptions!$B$15,50,IF(J241&lt;Assumptions!$B$16,75,100))))</f>
        <v>0</v>
      </c>
      <c r="N241" s="2" t="n">
        <f aca="false">IF(K241&gt;Assumptions!$B$19,0,IF(K241&gt;=Assumptions!$B$20,25,IF(K241&gt;=Assumptions!$B$21,50,IF(K241&gt;=Assumptions!$B$22,75,100))))</f>
        <v>75</v>
      </c>
      <c r="O241" s="2" t="n">
        <f aca="false">IF(L241&gt;=Assumptions!$B$25,0,IF(L241&gt;=Assumptions!$B$26,25,IF(L241=Assumptions!$B$27,50,IF(L241=Assumptions!$B$28,75,100))))</f>
        <v>100</v>
      </c>
      <c r="P241" s="21" t="n">
        <f aca="false">M241*Assumptions!$B$4+N241*Assumptions!$B$5+O241*Assumptions!$B$6</f>
        <v>42.5</v>
      </c>
      <c r="Q241" s="21" t="n">
        <f aca="false">IF(J241&lt;=Assumptions!$B$8,0,P241)</f>
        <v>0</v>
      </c>
      <c r="R241" s="2" t="str">
        <f aca="false">IF(Q241&gt;=Assumptions!$B$9,"High",IF(Q241&gt;=Assumptions!$B$10,"Medium","Low"))</f>
        <v>Low</v>
      </c>
      <c r="S241" s="21" t="n">
        <f aca="false">(N241*Assumptions!$B$5+O241*Assumptions!$B$6)/(Assumptions!$B$5+Assumptions!$B$6)</f>
        <v>85</v>
      </c>
      <c r="T241" s="2" t="str">
        <f aca="false">IF(AND(J241&gt;Assumptions!$B$8,G241&lt;=Assumptions!$B$30),"Low confidence","")</f>
        <v/>
      </c>
      <c r="U241" s="2" t="n">
        <f aca="false">(J241&gt;40)+(F241&gt;2000)+(K241&lt;10)+(L241=0)</f>
        <v>2</v>
      </c>
      <c r="V241" s="21" t="n">
        <f aca="false">IF(J241&lt;20,0,IF(J241&lt;40,25,M241))*Assumptions!$B$4+N241*Assumptions!$B$5+O241*Assumptions!$B$6</f>
        <v>42.5</v>
      </c>
      <c r="W241" s="2" t="str">
        <f aca="false">IF(V241&gt;=70,"High",IF(V241&gt;=40,"Medium","Low"))</f>
        <v>Medium</v>
      </c>
    </row>
    <row r="242" customFormat="false" ht="15" hidden="false" customHeight="false" outlineLevel="0" collapsed="false">
      <c r="A242" s="2" t="s">
        <v>758</v>
      </c>
      <c r="B242" s="2" t="s">
        <v>1574</v>
      </c>
      <c r="C242" s="2" t="s">
        <v>1640</v>
      </c>
      <c r="D242" s="2"/>
      <c r="E242" s="2" t="n">
        <v>4</v>
      </c>
      <c r="F242" s="9" t="n">
        <v>336</v>
      </c>
      <c r="G242" s="2" t="n">
        <v>1</v>
      </c>
      <c r="H242" s="2" t="n">
        <v>0</v>
      </c>
      <c r="I242" s="2" t="n">
        <v>1</v>
      </c>
      <c r="J242" s="2" t="n">
        <v>0</v>
      </c>
      <c r="K242" s="2" t="n">
        <v>7</v>
      </c>
      <c r="L242" s="2" t="n">
        <v>0</v>
      </c>
      <c r="M242" s="2" t="n">
        <f aca="false">IF(J242&lt;=Assumptions!$B$13,0,IF(J242&lt;Assumptions!$B$14,25,IF(J242&lt;Assumptions!$B$15,50,IF(J242&lt;Assumptions!$B$16,75,100))))</f>
        <v>0</v>
      </c>
      <c r="N242" s="2" t="n">
        <f aca="false">IF(K242&gt;Assumptions!$B$19,0,IF(K242&gt;=Assumptions!$B$20,25,IF(K242&gt;=Assumptions!$B$21,50,IF(K242&gt;=Assumptions!$B$22,75,100))))</f>
        <v>75</v>
      </c>
      <c r="O242" s="2" t="n">
        <f aca="false">IF(L242&gt;=Assumptions!$B$25,0,IF(L242&gt;=Assumptions!$B$26,25,IF(L242=Assumptions!$B$27,50,IF(L242=Assumptions!$B$28,75,100))))</f>
        <v>100</v>
      </c>
      <c r="P242" s="21" t="n">
        <f aca="false">M242*Assumptions!$B$4+N242*Assumptions!$B$5+O242*Assumptions!$B$6</f>
        <v>42.5</v>
      </c>
      <c r="Q242" s="21" t="n">
        <f aca="false">IF(J242&lt;=Assumptions!$B$8,0,P242)</f>
        <v>0</v>
      </c>
      <c r="R242" s="2" t="str">
        <f aca="false">IF(Q242&gt;=Assumptions!$B$9,"High",IF(Q242&gt;=Assumptions!$B$10,"Medium","Low"))</f>
        <v>Low</v>
      </c>
      <c r="S242" s="21" t="n">
        <f aca="false">(N242*Assumptions!$B$5+O242*Assumptions!$B$6)/(Assumptions!$B$5+Assumptions!$B$6)</f>
        <v>85</v>
      </c>
      <c r="T242" s="2" t="str">
        <f aca="false">IF(AND(J242&gt;Assumptions!$B$8,G242&lt;=Assumptions!$B$30),"Low confidence","")</f>
        <v/>
      </c>
      <c r="U242" s="2" t="n">
        <f aca="false">(J242&gt;40)+(F242&gt;2000)+(K242&lt;10)+(L242=0)</f>
        <v>2</v>
      </c>
      <c r="V242" s="21" t="n">
        <f aca="false">IF(J242&lt;20,0,IF(J242&lt;40,25,M242))*Assumptions!$B$4+N242*Assumptions!$B$5+O242*Assumptions!$B$6</f>
        <v>42.5</v>
      </c>
      <c r="W242" s="2" t="str">
        <f aca="false">IF(V242&gt;=70,"High",IF(V242&gt;=40,"Medium","Low"))</f>
        <v>Medium</v>
      </c>
    </row>
    <row r="243" customFormat="false" ht="15" hidden="false" customHeight="false" outlineLevel="0" collapsed="false">
      <c r="A243" s="2" t="s">
        <v>760</v>
      </c>
      <c r="B243" s="2" t="s">
        <v>1574</v>
      </c>
      <c r="C243" s="2" t="s">
        <v>1640</v>
      </c>
      <c r="D243" s="2"/>
      <c r="E243" s="2" t="n">
        <v>2</v>
      </c>
      <c r="F243" s="9" t="n">
        <v>332</v>
      </c>
      <c r="G243" s="2" t="n">
        <v>1</v>
      </c>
      <c r="H243" s="2" t="n">
        <v>0</v>
      </c>
      <c r="I243" s="2" t="n">
        <v>1</v>
      </c>
      <c r="J243" s="2" t="n">
        <v>0</v>
      </c>
      <c r="K243" s="2" t="n">
        <v>2</v>
      </c>
      <c r="L243" s="2" t="n">
        <v>1</v>
      </c>
      <c r="M243" s="2" t="n">
        <f aca="false">IF(J243&lt;=Assumptions!$B$13,0,IF(J243&lt;Assumptions!$B$14,25,IF(J243&lt;Assumptions!$B$15,50,IF(J243&lt;Assumptions!$B$16,75,100))))</f>
        <v>0</v>
      </c>
      <c r="N243" s="2" t="n">
        <f aca="false">IF(K243&gt;Assumptions!$B$19,0,IF(K243&gt;=Assumptions!$B$20,25,IF(K243&gt;=Assumptions!$B$21,50,IF(K243&gt;=Assumptions!$B$22,75,100))))</f>
        <v>100</v>
      </c>
      <c r="O243" s="2" t="n">
        <f aca="false">IF(L243&gt;=Assumptions!$B$25,0,IF(L243&gt;=Assumptions!$B$26,25,IF(L243=Assumptions!$B$27,50,IF(L243=Assumptions!$B$28,75,100))))</f>
        <v>75</v>
      </c>
      <c r="P243" s="21" t="n">
        <f aca="false">M243*Assumptions!$B$4+N243*Assumptions!$B$5+O243*Assumptions!$B$6</f>
        <v>45</v>
      </c>
      <c r="Q243" s="21" t="n">
        <f aca="false">IF(J243&lt;=Assumptions!$B$8,0,P243)</f>
        <v>0</v>
      </c>
      <c r="R243" s="2" t="str">
        <f aca="false">IF(Q243&gt;=Assumptions!$B$9,"High",IF(Q243&gt;=Assumptions!$B$10,"Medium","Low"))</f>
        <v>Low</v>
      </c>
      <c r="S243" s="21" t="n">
        <f aca="false">(N243*Assumptions!$B$5+O243*Assumptions!$B$6)/(Assumptions!$B$5+Assumptions!$B$6)</f>
        <v>90</v>
      </c>
      <c r="T243" s="2" t="str">
        <f aca="false">IF(AND(J243&gt;Assumptions!$B$8,G243&lt;=Assumptions!$B$30),"Low confidence","")</f>
        <v/>
      </c>
      <c r="U243" s="2" t="n">
        <f aca="false">(J243&gt;40)+(F243&gt;2000)+(K243&lt;10)+(L243=0)</f>
        <v>1</v>
      </c>
      <c r="V243" s="21" t="n">
        <f aca="false">IF(J243&lt;20,0,IF(J243&lt;40,25,M243))*Assumptions!$B$4+N243*Assumptions!$B$5+O243*Assumptions!$B$6</f>
        <v>45</v>
      </c>
      <c r="W243" s="2" t="str">
        <f aca="false">IF(V243&gt;=70,"High",IF(V243&gt;=40,"Medium","Low"))</f>
        <v>Medium</v>
      </c>
    </row>
    <row r="244" customFormat="false" ht="15" hidden="false" customHeight="false" outlineLevel="0" collapsed="false">
      <c r="A244" s="2" t="s">
        <v>766</v>
      </c>
      <c r="B244" s="2" t="s">
        <v>1574</v>
      </c>
      <c r="C244" s="2" t="s">
        <v>1640</v>
      </c>
      <c r="D244" s="2"/>
      <c r="E244" s="2" t="n">
        <v>2</v>
      </c>
      <c r="F244" s="9" t="n">
        <v>322</v>
      </c>
      <c r="G244" s="2" t="n">
        <v>1</v>
      </c>
      <c r="H244" s="2" t="n">
        <v>0</v>
      </c>
      <c r="I244" s="2" t="n">
        <v>1</v>
      </c>
      <c r="J244" s="2" t="n">
        <v>0</v>
      </c>
      <c r="K244" s="2" t="n">
        <v>4</v>
      </c>
      <c r="L244" s="2" t="n">
        <v>0</v>
      </c>
      <c r="M244" s="2" t="n">
        <f aca="false">IF(J244&lt;=Assumptions!$B$13,0,IF(J244&lt;Assumptions!$B$14,25,IF(J244&lt;Assumptions!$B$15,50,IF(J244&lt;Assumptions!$B$16,75,100))))</f>
        <v>0</v>
      </c>
      <c r="N244" s="2" t="n">
        <f aca="false">IF(K244&gt;Assumptions!$B$19,0,IF(K244&gt;=Assumptions!$B$20,25,IF(K244&gt;=Assumptions!$B$21,50,IF(K244&gt;=Assumptions!$B$22,75,100))))</f>
        <v>100</v>
      </c>
      <c r="O244" s="2" t="n">
        <f aca="false">IF(L244&gt;=Assumptions!$B$25,0,IF(L244&gt;=Assumptions!$B$26,25,IF(L244=Assumptions!$B$27,50,IF(L244=Assumptions!$B$28,75,100))))</f>
        <v>100</v>
      </c>
      <c r="P244" s="21" t="n">
        <f aca="false">M244*Assumptions!$B$4+N244*Assumptions!$B$5+O244*Assumptions!$B$6</f>
        <v>50</v>
      </c>
      <c r="Q244" s="21" t="n">
        <f aca="false">IF(J244&lt;=Assumptions!$B$8,0,P244)</f>
        <v>0</v>
      </c>
      <c r="R244" s="2" t="str">
        <f aca="false">IF(Q244&gt;=Assumptions!$B$9,"High",IF(Q244&gt;=Assumptions!$B$10,"Medium","Low"))</f>
        <v>Low</v>
      </c>
      <c r="S244" s="21" t="n">
        <f aca="false">(N244*Assumptions!$B$5+O244*Assumptions!$B$6)/(Assumptions!$B$5+Assumptions!$B$6)</f>
        <v>100</v>
      </c>
      <c r="T244" s="2" t="str">
        <f aca="false">IF(AND(J244&gt;Assumptions!$B$8,G244&lt;=Assumptions!$B$30),"Low confidence","")</f>
        <v/>
      </c>
      <c r="U244" s="2" t="n">
        <f aca="false">(J244&gt;40)+(F244&gt;2000)+(K244&lt;10)+(L244=0)</f>
        <v>2</v>
      </c>
      <c r="V244" s="21" t="n">
        <f aca="false">IF(J244&lt;20,0,IF(J244&lt;40,25,M244))*Assumptions!$B$4+N244*Assumptions!$B$5+O244*Assumptions!$B$6</f>
        <v>50</v>
      </c>
      <c r="W244" s="2" t="str">
        <f aca="false">IF(V244&gt;=70,"High",IF(V244&gt;=40,"Medium","Low"))</f>
        <v>Medium</v>
      </c>
    </row>
    <row r="245" customFormat="false" ht="15" hidden="false" customHeight="false" outlineLevel="0" collapsed="false">
      <c r="A245" s="2" t="s">
        <v>770</v>
      </c>
      <c r="B245" s="2" t="s">
        <v>1574</v>
      </c>
      <c r="C245" s="2" t="s">
        <v>1640</v>
      </c>
      <c r="D245" s="2"/>
      <c r="E245" s="2" t="n">
        <v>5</v>
      </c>
      <c r="F245" s="9" t="n">
        <v>316</v>
      </c>
      <c r="G245" s="2" t="n">
        <v>1</v>
      </c>
      <c r="H245" s="2" t="n">
        <v>0</v>
      </c>
      <c r="I245" s="2" t="n">
        <v>1</v>
      </c>
      <c r="J245" s="2" t="n">
        <v>0</v>
      </c>
      <c r="K245" s="2" t="n">
        <v>10</v>
      </c>
      <c r="L245" s="2" t="n">
        <v>0</v>
      </c>
      <c r="M245" s="2" t="n">
        <f aca="false">IF(J245&lt;=Assumptions!$B$13,0,IF(J245&lt;Assumptions!$B$14,25,IF(J245&lt;Assumptions!$B$15,50,IF(J245&lt;Assumptions!$B$16,75,100))))</f>
        <v>0</v>
      </c>
      <c r="N245" s="2" t="n">
        <f aca="false">IF(K245&gt;Assumptions!$B$19,0,IF(K245&gt;=Assumptions!$B$20,25,IF(K245&gt;=Assumptions!$B$21,50,IF(K245&gt;=Assumptions!$B$22,75,100))))</f>
        <v>50</v>
      </c>
      <c r="O245" s="2" t="n">
        <f aca="false">IF(L245&gt;=Assumptions!$B$25,0,IF(L245&gt;=Assumptions!$B$26,25,IF(L245=Assumptions!$B$27,50,IF(L245=Assumptions!$B$28,75,100))))</f>
        <v>100</v>
      </c>
      <c r="P245" s="21" t="n">
        <f aca="false">M245*Assumptions!$B$4+N245*Assumptions!$B$5+O245*Assumptions!$B$6</f>
        <v>35</v>
      </c>
      <c r="Q245" s="21" t="n">
        <f aca="false">IF(J245&lt;=Assumptions!$B$8,0,P245)</f>
        <v>0</v>
      </c>
      <c r="R245" s="2" t="str">
        <f aca="false">IF(Q245&gt;=Assumptions!$B$9,"High",IF(Q245&gt;=Assumptions!$B$10,"Medium","Low"))</f>
        <v>Low</v>
      </c>
      <c r="S245" s="21" t="n">
        <f aca="false">(N245*Assumptions!$B$5+O245*Assumptions!$B$6)/(Assumptions!$B$5+Assumptions!$B$6)</f>
        <v>70</v>
      </c>
      <c r="T245" s="2" t="str">
        <f aca="false">IF(AND(J245&gt;Assumptions!$B$8,G245&lt;=Assumptions!$B$30),"Low confidence","")</f>
        <v/>
      </c>
      <c r="U245" s="2" t="n">
        <f aca="false">(J245&gt;40)+(F245&gt;2000)+(K245&lt;10)+(L245=0)</f>
        <v>1</v>
      </c>
      <c r="V245" s="21" t="n">
        <f aca="false">IF(J245&lt;20,0,IF(J245&lt;40,25,M245))*Assumptions!$B$4+N245*Assumptions!$B$5+O245*Assumptions!$B$6</f>
        <v>35</v>
      </c>
      <c r="W245" s="2" t="str">
        <f aca="false">IF(V245&gt;=70,"High",IF(V245&gt;=40,"Medium","Low"))</f>
        <v>Low</v>
      </c>
    </row>
    <row r="246" customFormat="false" ht="15" hidden="false" customHeight="false" outlineLevel="0" collapsed="false">
      <c r="A246" s="2" t="s">
        <v>776</v>
      </c>
      <c r="B246" s="2" t="s">
        <v>1574</v>
      </c>
      <c r="C246" s="2" t="s">
        <v>1640</v>
      </c>
      <c r="D246" s="2"/>
      <c r="E246" s="2" t="n">
        <v>5</v>
      </c>
      <c r="F246" s="9" t="n">
        <v>312</v>
      </c>
      <c r="G246" s="2" t="n">
        <v>2</v>
      </c>
      <c r="H246" s="2" t="n">
        <v>0</v>
      </c>
      <c r="I246" s="2" t="n">
        <v>2</v>
      </c>
      <c r="J246" s="2" t="n">
        <v>0</v>
      </c>
      <c r="K246" s="2" t="n">
        <v>22</v>
      </c>
      <c r="L246" s="2" t="n">
        <v>4</v>
      </c>
      <c r="M246" s="2" t="n">
        <f aca="false">IF(J246&lt;=Assumptions!$B$13,0,IF(J246&lt;Assumptions!$B$14,25,IF(J246&lt;Assumptions!$B$15,50,IF(J246&lt;Assumptions!$B$16,75,100))))</f>
        <v>0</v>
      </c>
      <c r="N246" s="2" t="n">
        <f aca="false">IF(K246&gt;Assumptions!$B$19,0,IF(K246&gt;=Assumptions!$B$20,25,IF(K246&gt;=Assumptions!$B$21,50,IF(K246&gt;=Assumptions!$B$22,75,100))))</f>
        <v>25</v>
      </c>
      <c r="O246" s="2" t="n">
        <f aca="false">IF(L246&gt;=Assumptions!$B$25,0,IF(L246&gt;=Assumptions!$B$26,25,IF(L246=Assumptions!$B$27,50,IF(L246=Assumptions!$B$28,75,100))))</f>
        <v>25</v>
      </c>
      <c r="P246" s="21" t="n">
        <f aca="false">M246*Assumptions!$B$4+N246*Assumptions!$B$5+O246*Assumptions!$B$6</f>
        <v>12.5</v>
      </c>
      <c r="Q246" s="21" t="n">
        <f aca="false">IF(J246&lt;=Assumptions!$B$8,0,P246)</f>
        <v>0</v>
      </c>
      <c r="R246" s="2" t="str">
        <f aca="false">IF(Q246&gt;=Assumptions!$B$9,"High",IF(Q246&gt;=Assumptions!$B$10,"Medium","Low"))</f>
        <v>Low</v>
      </c>
      <c r="S246" s="21" t="n">
        <f aca="false">(N246*Assumptions!$B$5+O246*Assumptions!$B$6)/(Assumptions!$B$5+Assumptions!$B$6)</f>
        <v>25</v>
      </c>
      <c r="T246" s="2" t="str">
        <f aca="false">IF(AND(J246&gt;Assumptions!$B$8,G246&lt;=Assumptions!$B$30),"Low confidence","")</f>
        <v/>
      </c>
      <c r="U246" s="2" t="n">
        <f aca="false">(J246&gt;40)+(F246&gt;2000)+(K246&lt;10)+(L246=0)</f>
        <v>0</v>
      </c>
      <c r="V246" s="21" t="n">
        <f aca="false">IF(J246&lt;20,0,IF(J246&lt;40,25,M246))*Assumptions!$B$4+N246*Assumptions!$B$5+O246*Assumptions!$B$6</f>
        <v>12.5</v>
      </c>
      <c r="W246" s="2" t="str">
        <f aca="false">IF(V246&gt;=70,"High",IF(V246&gt;=40,"Medium","Low"))</f>
        <v>Low</v>
      </c>
    </row>
    <row r="247" customFormat="false" ht="15" hidden="false" customHeight="false" outlineLevel="0" collapsed="false">
      <c r="A247" s="2" t="s">
        <v>780</v>
      </c>
      <c r="B247" s="2" t="s">
        <v>1574</v>
      </c>
      <c r="C247" s="2" t="s">
        <v>1640</v>
      </c>
      <c r="D247" s="2"/>
      <c r="E247" s="2" t="n">
        <v>1</v>
      </c>
      <c r="F247" s="9" t="n">
        <v>308</v>
      </c>
      <c r="G247" s="2" t="n">
        <v>1</v>
      </c>
      <c r="H247" s="2" t="n">
        <v>0</v>
      </c>
      <c r="I247" s="2" t="n">
        <v>1</v>
      </c>
      <c r="J247" s="2" t="n">
        <v>0</v>
      </c>
      <c r="K247" s="2" t="n">
        <v>1</v>
      </c>
      <c r="L247" s="2" t="n">
        <v>4</v>
      </c>
      <c r="M247" s="2" t="n">
        <f aca="false">IF(J247&lt;=Assumptions!$B$13,0,IF(J247&lt;Assumptions!$B$14,25,IF(J247&lt;Assumptions!$B$15,50,IF(J247&lt;Assumptions!$B$16,75,100))))</f>
        <v>0</v>
      </c>
      <c r="N247" s="2" t="n">
        <f aca="false">IF(K247&gt;Assumptions!$B$19,0,IF(K247&gt;=Assumptions!$B$20,25,IF(K247&gt;=Assumptions!$B$21,50,IF(K247&gt;=Assumptions!$B$22,75,100))))</f>
        <v>100</v>
      </c>
      <c r="O247" s="2" t="n">
        <f aca="false">IF(L247&gt;=Assumptions!$B$25,0,IF(L247&gt;=Assumptions!$B$26,25,IF(L247=Assumptions!$B$27,50,IF(L247=Assumptions!$B$28,75,100))))</f>
        <v>25</v>
      </c>
      <c r="P247" s="21" t="n">
        <f aca="false">M247*Assumptions!$B$4+N247*Assumptions!$B$5+O247*Assumptions!$B$6</f>
        <v>35</v>
      </c>
      <c r="Q247" s="21" t="n">
        <f aca="false">IF(J247&lt;=Assumptions!$B$8,0,P247)</f>
        <v>0</v>
      </c>
      <c r="R247" s="2" t="str">
        <f aca="false">IF(Q247&gt;=Assumptions!$B$9,"High",IF(Q247&gt;=Assumptions!$B$10,"Medium","Low"))</f>
        <v>Low</v>
      </c>
      <c r="S247" s="21" t="n">
        <f aca="false">(N247*Assumptions!$B$5+O247*Assumptions!$B$6)/(Assumptions!$B$5+Assumptions!$B$6)</f>
        <v>70</v>
      </c>
      <c r="T247" s="2" t="str">
        <f aca="false">IF(AND(J247&gt;Assumptions!$B$8,G247&lt;=Assumptions!$B$30),"Low confidence","")</f>
        <v/>
      </c>
      <c r="U247" s="2" t="n">
        <f aca="false">(J247&gt;40)+(F247&gt;2000)+(K247&lt;10)+(L247=0)</f>
        <v>1</v>
      </c>
      <c r="V247" s="21" t="n">
        <f aca="false">IF(J247&lt;20,0,IF(J247&lt;40,25,M247))*Assumptions!$B$4+N247*Assumptions!$B$5+O247*Assumptions!$B$6</f>
        <v>35</v>
      </c>
      <c r="W247" s="2" t="str">
        <f aca="false">IF(V247&gt;=70,"High",IF(V247&gt;=40,"Medium","Low"))</f>
        <v>Low</v>
      </c>
    </row>
    <row r="248" customFormat="false" ht="15" hidden="false" customHeight="false" outlineLevel="0" collapsed="false">
      <c r="A248" s="2" t="s">
        <v>786</v>
      </c>
      <c r="B248" s="2" t="s">
        <v>1574</v>
      </c>
      <c r="C248" s="2" t="s">
        <v>1640</v>
      </c>
      <c r="D248" s="2"/>
      <c r="E248" s="2" t="n">
        <v>2</v>
      </c>
      <c r="F248" s="9" t="n">
        <v>304</v>
      </c>
      <c r="G248" s="2" t="n">
        <v>1</v>
      </c>
      <c r="H248" s="2" t="n">
        <v>0</v>
      </c>
      <c r="I248" s="2" t="n">
        <v>1</v>
      </c>
      <c r="J248" s="2" t="n">
        <v>0</v>
      </c>
      <c r="K248" s="2" t="n">
        <v>6</v>
      </c>
      <c r="L248" s="2" t="n">
        <v>0</v>
      </c>
      <c r="M248" s="2" t="n">
        <f aca="false">IF(J248&lt;=Assumptions!$B$13,0,IF(J248&lt;Assumptions!$B$14,25,IF(J248&lt;Assumptions!$B$15,50,IF(J248&lt;Assumptions!$B$16,75,100))))</f>
        <v>0</v>
      </c>
      <c r="N248" s="2" t="n">
        <f aca="false">IF(K248&gt;Assumptions!$B$19,0,IF(K248&gt;=Assumptions!$B$20,25,IF(K248&gt;=Assumptions!$B$21,50,IF(K248&gt;=Assumptions!$B$22,75,100))))</f>
        <v>75</v>
      </c>
      <c r="O248" s="2" t="n">
        <f aca="false">IF(L248&gt;=Assumptions!$B$25,0,IF(L248&gt;=Assumptions!$B$26,25,IF(L248=Assumptions!$B$27,50,IF(L248=Assumptions!$B$28,75,100))))</f>
        <v>100</v>
      </c>
      <c r="P248" s="21" t="n">
        <f aca="false">M248*Assumptions!$B$4+N248*Assumptions!$B$5+O248*Assumptions!$B$6</f>
        <v>42.5</v>
      </c>
      <c r="Q248" s="21" t="n">
        <f aca="false">IF(J248&lt;=Assumptions!$B$8,0,P248)</f>
        <v>0</v>
      </c>
      <c r="R248" s="2" t="str">
        <f aca="false">IF(Q248&gt;=Assumptions!$B$9,"High",IF(Q248&gt;=Assumptions!$B$10,"Medium","Low"))</f>
        <v>Low</v>
      </c>
      <c r="S248" s="21" t="n">
        <f aca="false">(N248*Assumptions!$B$5+O248*Assumptions!$B$6)/(Assumptions!$B$5+Assumptions!$B$6)</f>
        <v>85</v>
      </c>
      <c r="T248" s="2" t="str">
        <f aca="false">IF(AND(J248&gt;Assumptions!$B$8,G248&lt;=Assumptions!$B$30),"Low confidence","")</f>
        <v/>
      </c>
      <c r="U248" s="2" t="n">
        <f aca="false">(J248&gt;40)+(F248&gt;2000)+(K248&lt;10)+(L248=0)</f>
        <v>2</v>
      </c>
      <c r="V248" s="21" t="n">
        <f aca="false">IF(J248&lt;20,0,IF(J248&lt;40,25,M248))*Assumptions!$B$4+N248*Assumptions!$B$5+O248*Assumptions!$B$6</f>
        <v>42.5</v>
      </c>
      <c r="W248" s="2" t="str">
        <f aca="false">IF(V248&gt;=70,"High",IF(V248&gt;=40,"Medium","Low"))</f>
        <v>Medium</v>
      </c>
    </row>
    <row r="249" customFormat="false" ht="15" hidden="false" customHeight="false" outlineLevel="0" collapsed="false">
      <c r="A249" s="2" t="s">
        <v>788</v>
      </c>
      <c r="B249" s="2" t="s">
        <v>1574</v>
      </c>
      <c r="C249" s="2" t="s">
        <v>1640</v>
      </c>
      <c r="D249" s="2"/>
      <c r="E249" s="2" t="n">
        <v>5</v>
      </c>
      <c r="F249" s="9" t="n">
        <v>303</v>
      </c>
      <c r="G249" s="2" t="n">
        <v>1</v>
      </c>
      <c r="H249" s="2" t="n">
        <v>0</v>
      </c>
      <c r="I249" s="2" t="n">
        <v>1</v>
      </c>
      <c r="J249" s="2" t="n">
        <v>0</v>
      </c>
      <c r="K249" s="2" t="n">
        <v>4</v>
      </c>
      <c r="L249" s="2" t="n">
        <v>0</v>
      </c>
      <c r="M249" s="2" t="n">
        <f aca="false">IF(J249&lt;=Assumptions!$B$13,0,IF(J249&lt;Assumptions!$B$14,25,IF(J249&lt;Assumptions!$B$15,50,IF(J249&lt;Assumptions!$B$16,75,100))))</f>
        <v>0</v>
      </c>
      <c r="N249" s="2" t="n">
        <f aca="false">IF(K249&gt;Assumptions!$B$19,0,IF(K249&gt;=Assumptions!$B$20,25,IF(K249&gt;=Assumptions!$B$21,50,IF(K249&gt;=Assumptions!$B$22,75,100))))</f>
        <v>100</v>
      </c>
      <c r="O249" s="2" t="n">
        <f aca="false">IF(L249&gt;=Assumptions!$B$25,0,IF(L249&gt;=Assumptions!$B$26,25,IF(L249=Assumptions!$B$27,50,IF(L249=Assumptions!$B$28,75,100))))</f>
        <v>100</v>
      </c>
      <c r="P249" s="21" t="n">
        <f aca="false">M249*Assumptions!$B$4+N249*Assumptions!$B$5+O249*Assumptions!$B$6</f>
        <v>50</v>
      </c>
      <c r="Q249" s="21" t="n">
        <f aca="false">IF(J249&lt;=Assumptions!$B$8,0,P249)</f>
        <v>0</v>
      </c>
      <c r="R249" s="2" t="str">
        <f aca="false">IF(Q249&gt;=Assumptions!$B$9,"High",IF(Q249&gt;=Assumptions!$B$10,"Medium","Low"))</f>
        <v>Low</v>
      </c>
      <c r="S249" s="21" t="n">
        <f aca="false">(N249*Assumptions!$B$5+O249*Assumptions!$B$6)/(Assumptions!$B$5+Assumptions!$B$6)</f>
        <v>100</v>
      </c>
      <c r="T249" s="2" t="str">
        <f aca="false">IF(AND(J249&gt;Assumptions!$B$8,G249&lt;=Assumptions!$B$30),"Low confidence","")</f>
        <v/>
      </c>
      <c r="U249" s="2" t="n">
        <f aca="false">(J249&gt;40)+(F249&gt;2000)+(K249&lt;10)+(L249=0)</f>
        <v>2</v>
      </c>
      <c r="V249" s="21" t="n">
        <f aca="false">IF(J249&lt;20,0,IF(J249&lt;40,25,M249))*Assumptions!$B$4+N249*Assumptions!$B$5+O249*Assumptions!$B$6</f>
        <v>50</v>
      </c>
      <c r="W249" s="2" t="str">
        <f aca="false">IF(V249&gt;=70,"High",IF(V249&gt;=40,"Medium","Low"))</f>
        <v>Medium</v>
      </c>
    </row>
    <row r="250" customFormat="false" ht="15" hidden="false" customHeight="false" outlineLevel="0" collapsed="false">
      <c r="A250" s="2" t="s">
        <v>792</v>
      </c>
      <c r="B250" s="2" t="s">
        <v>1574</v>
      </c>
      <c r="C250" s="2" t="s">
        <v>1640</v>
      </c>
      <c r="D250" s="2"/>
      <c r="E250" s="2" t="n">
        <v>6</v>
      </c>
      <c r="F250" s="9" t="n">
        <v>298</v>
      </c>
      <c r="G250" s="2" t="n">
        <v>1</v>
      </c>
      <c r="H250" s="2" t="n">
        <v>0</v>
      </c>
      <c r="I250" s="2" t="n">
        <v>1</v>
      </c>
      <c r="J250" s="2" t="n">
        <v>0</v>
      </c>
      <c r="K250" s="2" t="n">
        <v>13</v>
      </c>
      <c r="L250" s="2" t="n">
        <v>1</v>
      </c>
      <c r="M250" s="2" t="n">
        <f aca="false">IF(J250&lt;=Assumptions!$B$13,0,IF(J250&lt;Assumptions!$B$14,25,IF(J250&lt;Assumptions!$B$15,50,IF(J250&lt;Assumptions!$B$16,75,100))))</f>
        <v>0</v>
      </c>
      <c r="N250" s="2" t="n">
        <f aca="false">IF(K250&gt;Assumptions!$B$19,0,IF(K250&gt;=Assumptions!$B$20,25,IF(K250&gt;=Assumptions!$B$21,50,IF(K250&gt;=Assumptions!$B$22,75,100))))</f>
        <v>50</v>
      </c>
      <c r="O250" s="2" t="n">
        <f aca="false">IF(L250&gt;=Assumptions!$B$25,0,IF(L250&gt;=Assumptions!$B$26,25,IF(L250=Assumptions!$B$27,50,IF(L250=Assumptions!$B$28,75,100))))</f>
        <v>75</v>
      </c>
      <c r="P250" s="21" t="n">
        <f aca="false">M250*Assumptions!$B$4+N250*Assumptions!$B$5+O250*Assumptions!$B$6</f>
        <v>30</v>
      </c>
      <c r="Q250" s="21" t="n">
        <f aca="false">IF(J250&lt;=Assumptions!$B$8,0,P250)</f>
        <v>0</v>
      </c>
      <c r="R250" s="2" t="str">
        <f aca="false">IF(Q250&gt;=Assumptions!$B$9,"High",IF(Q250&gt;=Assumptions!$B$10,"Medium","Low"))</f>
        <v>Low</v>
      </c>
      <c r="S250" s="21" t="n">
        <f aca="false">(N250*Assumptions!$B$5+O250*Assumptions!$B$6)/(Assumptions!$B$5+Assumptions!$B$6)</f>
        <v>60</v>
      </c>
      <c r="T250" s="2" t="str">
        <f aca="false">IF(AND(J250&gt;Assumptions!$B$8,G250&lt;=Assumptions!$B$30),"Low confidence","")</f>
        <v/>
      </c>
      <c r="U250" s="2" t="n">
        <f aca="false">(J250&gt;40)+(F250&gt;2000)+(K250&lt;10)+(L250=0)</f>
        <v>0</v>
      </c>
      <c r="V250" s="21" t="n">
        <f aca="false">IF(J250&lt;20,0,IF(J250&lt;40,25,M250))*Assumptions!$B$4+N250*Assumptions!$B$5+O250*Assumptions!$B$6</f>
        <v>30</v>
      </c>
      <c r="W250" s="2" t="str">
        <f aca="false">IF(V250&gt;=70,"High",IF(V250&gt;=40,"Medium","Low"))</f>
        <v>Low</v>
      </c>
    </row>
    <row r="251" customFormat="false" ht="15" hidden="false" customHeight="false" outlineLevel="0" collapsed="false">
      <c r="A251" s="2" t="s">
        <v>796</v>
      </c>
      <c r="B251" s="2" t="s">
        <v>1574</v>
      </c>
      <c r="C251" s="2" t="s">
        <v>1640</v>
      </c>
      <c r="D251" s="2"/>
      <c r="E251" s="2" t="n">
        <v>4</v>
      </c>
      <c r="F251" s="9" t="n">
        <v>294</v>
      </c>
      <c r="G251" s="2" t="n">
        <v>1</v>
      </c>
      <c r="H251" s="2" t="n">
        <v>0</v>
      </c>
      <c r="I251" s="2" t="n">
        <v>1</v>
      </c>
      <c r="J251" s="2" t="n">
        <v>0</v>
      </c>
      <c r="K251" s="2" t="n">
        <v>7</v>
      </c>
      <c r="L251" s="2" t="n">
        <v>9</v>
      </c>
      <c r="M251" s="2" t="n">
        <f aca="false">IF(J251&lt;=Assumptions!$B$13,0,IF(J251&lt;Assumptions!$B$14,25,IF(J251&lt;Assumptions!$B$15,50,IF(J251&lt;Assumptions!$B$16,75,100))))</f>
        <v>0</v>
      </c>
      <c r="N251" s="2" t="n">
        <f aca="false">IF(K251&gt;Assumptions!$B$19,0,IF(K251&gt;=Assumptions!$B$20,25,IF(K251&gt;=Assumptions!$B$21,50,IF(K251&gt;=Assumptions!$B$22,75,100))))</f>
        <v>75</v>
      </c>
      <c r="O251" s="2" t="n">
        <f aca="false">IF(L251&gt;=Assumptions!$B$25,0,IF(L251&gt;=Assumptions!$B$26,25,IF(L251=Assumptions!$B$27,50,IF(L251=Assumptions!$B$28,75,100))))</f>
        <v>0</v>
      </c>
      <c r="P251" s="21" t="n">
        <f aca="false">M251*Assumptions!$B$4+N251*Assumptions!$B$5+O251*Assumptions!$B$6</f>
        <v>22.5</v>
      </c>
      <c r="Q251" s="21" t="n">
        <f aca="false">IF(J251&lt;=Assumptions!$B$8,0,P251)</f>
        <v>0</v>
      </c>
      <c r="R251" s="2" t="str">
        <f aca="false">IF(Q251&gt;=Assumptions!$B$9,"High",IF(Q251&gt;=Assumptions!$B$10,"Medium","Low"))</f>
        <v>Low</v>
      </c>
      <c r="S251" s="21" t="n">
        <f aca="false">(N251*Assumptions!$B$5+O251*Assumptions!$B$6)/(Assumptions!$B$5+Assumptions!$B$6)</f>
        <v>45</v>
      </c>
      <c r="T251" s="2" t="str">
        <f aca="false">IF(AND(J251&gt;Assumptions!$B$8,G251&lt;=Assumptions!$B$30),"Low confidence","")</f>
        <v/>
      </c>
      <c r="U251" s="2" t="n">
        <f aca="false">(J251&gt;40)+(F251&gt;2000)+(K251&lt;10)+(L251=0)</f>
        <v>1</v>
      </c>
      <c r="V251" s="21" t="n">
        <f aca="false">IF(J251&lt;20,0,IF(J251&lt;40,25,M251))*Assumptions!$B$4+N251*Assumptions!$B$5+O251*Assumptions!$B$6</f>
        <v>22.5</v>
      </c>
      <c r="W251" s="2" t="str">
        <f aca="false">IF(V251&gt;=70,"High",IF(V251&gt;=40,"Medium","Low"))</f>
        <v>Low</v>
      </c>
    </row>
    <row r="252" customFormat="false" ht="15" hidden="false" customHeight="false" outlineLevel="0" collapsed="false">
      <c r="A252" s="2" t="s">
        <v>806</v>
      </c>
      <c r="B252" s="2" t="s">
        <v>1574</v>
      </c>
      <c r="C252" s="2" t="s">
        <v>1640</v>
      </c>
      <c r="D252" s="2"/>
      <c r="E252" s="2" t="n">
        <v>4</v>
      </c>
      <c r="F252" s="9" t="n">
        <v>281</v>
      </c>
      <c r="G252" s="2" t="n">
        <v>1</v>
      </c>
      <c r="H252" s="2" t="n">
        <v>0</v>
      </c>
      <c r="I252" s="2" t="n">
        <v>1</v>
      </c>
      <c r="J252" s="2" t="n">
        <v>0</v>
      </c>
      <c r="K252" s="2" t="n">
        <v>18</v>
      </c>
      <c r="L252" s="2" t="n">
        <v>2</v>
      </c>
      <c r="M252" s="2" t="n">
        <f aca="false">IF(J252&lt;=Assumptions!$B$13,0,IF(J252&lt;Assumptions!$B$14,25,IF(J252&lt;Assumptions!$B$15,50,IF(J252&lt;Assumptions!$B$16,75,100))))</f>
        <v>0</v>
      </c>
      <c r="N252" s="2" t="n">
        <f aca="false">IF(K252&gt;Assumptions!$B$19,0,IF(K252&gt;=Assumptions!$B$20,25,IF(K252&gt;=Assumptions!$B$21,50,IF(K252&gt;=Assumptions!$B$22,75,100))))</f>
        <v>50</v>
      </c>
      <c r="O252" s="2" t="n">
        <f aca="false">IF(L252&gt;=Assumptions!$B$25,0,IF(L252&gt;=Assumptions!$B$26,25,IF(L252=Assumptions!$B$27,50,IF(L252=Assumptions!$B$28,75,100))))</f>
        <v>50</v>
      </c>
      <c r="P252" s="21" t="n">
        <f aca="false">M252*Assumptions!$B$4+N252*Assumptions!$B$5+O252*Assumptions!$B$6</f>
        <v>25</v>
      </c>
      <c r="Q252" s="21" t="n">
        <f aca="false">IF(J252&lt;=Assumptions!$B$8,0,P252)</f>
        <v>0</v>
      </c>
      <c r="R252" s="2" t="str">
        <f aca="false">IF(Q252&gt;=Assumptions!$B$9,"High",IF(Q252&gt;=Assumptions!$B$10,"Medium","Low"))</f>
        <v>Low</v>
      </c>
      <c r="S252" s="21" t="n">
        <f aca="false">(N252*Assumptions!$B$5+O252*Assumptions!$B$6)/(Assumptions!$B$5+Assumptions!$B$6)</f>
        <v>50</v>
      </c>
      <c r="T252" s="2" t="str">
        <f aca="false">IF(AND(J252&gt;Assumptions!$B$8,G252&lt;=Assumptions!$B$30),"Low confidence","")</f>
        <v/>
      </c>
      <c r="U252" s="2" t="n">
        <f aca="false">(J252&gt;40)+(F252&gt;2000)+(K252&lt;10)+(L252=0)</f>
        <v>0</v>
      </c>
      <c r="V252" s="21" t="n">
        <f aca="false">IF(J252&lt;20,0,IF(J252&lt;40,25,M252))*Assumptions!$B$4+N252*Assumptions!$B$5+O252*Assumptions!$B$6</f>
        <v>25</v>
      </c>
      <c r="W252" s="2" t="str">
        <f aca="false">IF(V252&gt;=70,"High",IF(V252&gt;=40,"Medium","Low"))</f>
        <v>Low</v>
      </c>
    </row>
    <row r="253" customFormat="false" ht="15" hidden="false" customHeight="false" outlineLevel="0" collapsed="false">
      <c r="A253" s="2" t="s">
        <v>808</v>
      </c>
      <c r="B253" s="2" t="s">
        <v>1574</v>
      </c>
      <c r="C253" s="2" t="s">
        <v>1640</v>
      </c>
      <c r="D253" s="2"/>
      <c r="E253" s="2" t="n">
        <v>1</v>
      </c>
      <c r="F253" s="9" t="n">
        <v>279</v>
      </c>
      <c r="G253" s="2" t="n">
        <v>1</v>
      </c>
      <c r="H253" s="2" t="n">
        <v>0</v>
      </c>
      <c r="I253" s="2" t="n">
        <v>1</v>
      </c>
      <c r="J253" s="2" t="n">
        <v>0</v>
      </c>
      <c r="K253" s="2" t="n">
        <v>1</v>
      </c>
      <c r="L253" s="2" t="n">
        <v>2</v>
      </c>
      <c r="M253" s="2" t="n">
        <f aca="false">IF(J253&lt;=Assumptions!$B$13,0,IF(J253&lt;Assumptions!$B$14,25,IF(J253&lt;Assumptions!$B$15,50,IF(J253&lt;Assumptions!$B$16,75,100))))</f>
        <v>0</v>
      </c>
      <c r="N253" s="2" t="n">
        <f aca="false">IF(K253&gt;Assumptions!$B$19,0,IF(K253&gt;=Assumptions!$B$20,25,IF(K253&gt;=Assumptions!$B$21,50,IF(K253&gt;=Assumptions!$B$22,75,100))))</f>
        <v>100</v>
      </c>
      <c r="O253" s="2" t="n">
        <f aca="false">IF(L253&gt;=Assumptions!$B$25,0,IF(L253&gt;=Assumptions!$B$26,25,IF(L253=Assumptions!$B$27,50,IF(L253=Assumptions!$B$28,75,100))))</f>
        <v>50</v>
      </c>
      <c r="P253" s="21" t="n">
        <f aca="false">M253*Assumptions!$B$4+N253*Assumptions!$B$5+O253*Assumptions!$B$6</f>
        <v>40</v>
      </c>
      <c r="Q253" s="21" t="n">
        <f aca="false">IF(J253&lt;=Assumptions!$B$8,0,P253)</f>
        <v>0</v>
      </c>
      <c r="R253" s="2" t="str">
        <f aca="false">IF(Q253&gt;=Assumptions!$B$9,"High",IF(Q253&gt;=Assumptions!$B$10,"Medium","Low"))</f>
        <v>Low</v>
      </c>
      <c r="S253" s="21" t="n">
        <f aca="false">(N253*Assumptions!$B$5+O253*Assumptions!$B$6)/(Assumptions!$B$5+Assumptions!$B$6)</f>
        <v>80</v>
      </c>
      <c r="T253" s="2" t="str">
        <f aca="false">IF(AND(J253&gt;Assumptions!$B$8,G253&lt;=Assumptions!$B$30),"Low confidence","")</f>
        <v/>
      </c>
      <c r="U253" s="2" t="n">
        <f aca="false">(J253&gt;40)+(F253&gt;2000)+(K253&lt;10)+(L253=0)</f>
        <v>1</v>
      </c>
      <c r="V253" s="21" t="n">
        <f aca="false">IF(J253&lt;20,0,IF(J253&lt;40,25,M253))*Assumptions!$B$4+N253*Assumptions!$B$5+O253*Assumptions!$B$6</f>
        <v>40</v>
      </c>
      <c r="W253" s="2" t="str">
        <f aca="false">IF(V253&gt;=70,"High",IF(V253&gt;=40,"Medium","Low"))</f>
        <v>Medium</v>
      </c>
    </row>
    <row r="254" customFormat="false" ht="15" hidden="false" customHeight="false" outlineLevel="0" collapsed="false">
      <c r="A254" s="2" t="s">
        <v>810</v>
      </c>
      <c r="B254" s="2" t="s">
        <v>1574</v>
      </c>
      <c r="C254" s="2" t="s">
        <v>1640</v>
      </c>
      <c r="D254" s="2"/>
      <c r="E254" s="2" t="n">
        <v>2</v>
      </c>
      <c r="F254" s="9" t="n">
        <v>274</v>
      </c>
      <c r="G254" s="2" t="n">
        <v>1</v>
      </c>
      <c r="H254" s="2" t="n">
        <v>0</v>
      </c>
      <c r="I254" s="2" t="n">
        <v>1</v>
      </c>
      <c r="J254" s="2" t="n">
        <v>0</v>
      </c>
      <c r="K254" s="2" t="n">
        <v>3</v>
      </c>
      <c r="L254" s="2" t="n">
        <v>1</v>
      </c>
      <c r="M254" s="2" t="n">
        <f aca="false">IF(J254&lt;=Assumptions!$B$13,0,IF(J254&lt;Assumptions!$B$14,25,IF(J254&lt;Assumptions!$B$15,50,IF(J254&lt;Assumptions!$B$16,75,100))))</f>
        <v>0</v>
      </c>
      <c r="N254" s="2" t="n">
        <f aca="false">IF(K254&gt;Assumptions!$B$19,0,IF(K254&gt;=Assumptions!$B$20,25,IF(K254&gt;=Assumptions!$B$21,50,IF(K254&gt;=Assumptions!$B$22,75,100))))</f>
        <v>100</v>
      </c>
      <c r="O254" s="2" t="n">
        <f aca="false">IF(L254&gt;=Assumptions!$B$25,0,IF(L254&gt;=Assumptions!$B$26,25,IF(L254=Assumptions!$B$27,50,IF(L254=Assumptions!$B$28,75,100))))</f>
        <v>75</v>
      </c>
      <c r="P254" s="21" t="n">
        <f aca="false">M254*Assumptions!$B$4+N254*Assumptions!$B$5+O254*Assumptions!$B$6</f>
        <v>45</v>
      </c>
      <c r="Q254" s="21" t="n">
        <f aca="false">IF(J254&lt;=Assumptions!$B$8,0,P254)</f>
        <v>0</v>
      </c>
      <c r="R254" s="2" t="str">
        <f aca="false">IF(Q254&gt;=Assumptions!$B$9,"High",IF(Q254&gt;=Assumptions!$B$10,"Medium","Low"))</f>
        <v>Low</v>
      </c>
      <c r="S254" s="21" t="n">
        <f aca="false">(N254*Assumptions!$B$5+O254*Assumptions!$B$6)/(Assumptions!$B$5+Assumptions!$B$6)</f>
        <v>90</v>
      </c>
      <c r="T254" s="2" t="str">
        <f aca="false">IF(AND(J254&gt;Assumptions!$B$8,G254&lt;=Assumptions!$B$30),"Low confidence","")</f>
        <v/>
      </c>
      <c r="U254" s="2" t="n">
        <f aca="false">(J254&gt;40)+(F254&gt;2000)+(K254&lt;10)+(L254=0)</f>
        <v>1</v>
      </c>
      <c r="V254" s="21" t="n">
        <f aca="false">IF(J254&lt;20,0,IF(J254&lt;40,25,M254))*Assumptions!$B$4+N254*Assumptions!$B$5+O254*Assumptions!$B$6</f>
        <v>45</v>
      </c>
      <c r="W254" s="2" t="str">
        <f aca="false">IF(V254&gt;=70,"High",IF(V254&gt;=40,"Medium","Low"))</f>
        <v>Medium</v>
      </c>
    </row>
    <row r="255" customFormat="false" ht="15" hidden="false" customHeight="false" outlineLevel="0" collapsed="false">
      <c r="A255" s="2" t="s">
        <v>816</v>
      </c>
      <c r="B255" s="2" t="s">
        <v>1574</v>
      </c>
      <c r="C255" s="2" t="s">
        <v>1640</v>
      </c>
      <c r="D255" s="2"/>
      <c r="E255" s="2" t="n">
        <v>5</v>
      </c>
      <c r="F255" s="9" t="n">
        <v>270</v>
      </c>
      <c r="G255" s="2" t="n">
        <v>1</v>
      </c>
      <c r="H255" s="2" t="n">
        <v>0</v>
      </c>
      <c r="I255" s="2" t="n">
        <v>1</v>
      </c>
      <c r="J255" s="2" t="n">
        <v>0</v>
      </c>
      <c r="K255" s="2" t="n">
        <v>8</v>
      </c>
      <c r="L255" s="2" t="n">
        <v>2</v>
      </c>
      <c r="M255" s="2" t="n">
        <f aca="false">IF(J255&lt;=Assumptions!$B$13,0,IF(J255&lt;Assumptions!$B$14,25,IF(J255&lt;Assumptions!$B$15,50,IF(J255&lt;Assumptions!$B$16,75,100))))</f>
        <v>0</v>
      </c>
      <c r="N255" s="2" t="n">
        <f aca="false">IF(K255&gt;Assumptions!$B$19,0,IF(K255&gt;=Assumptions!$B$20,25,IF(K255&gt;=Assumptions!$B$21,50,IF(K255&gt;=Assumptions!$B$22,75,100))))</f>
        <v>75</v>
      </c>
      <c r="O255" s="2" t="n">
        <f aca="false">IF(L255&gt;=Assumptions!$B$25,0,IF(L255&gt;=Assumptions!$B$26,25,IF(L255=Assumptions!$B$27,50,IF(L255=Assumptions!$B$28,75,100))))</f>
        <v>50</v>
      </c>
      <c r="P255" s="21" t="n">
        <f aca="false">M255*Assumptions!$B$4+N255*Assumptions!$B$5+O255*Assumptions!$B$6</f>
        <v>32.5</v>
      </c>
      <c r="Q255" s="21" t="n">
        <f aca="false">IF(J255&lt;=Assumptions!$B$8,0,P255)</f>
        <v>0</v>
      </c>
      <c r="R255" s="2" t="str">
        <f aca="false">IF(Q255&gt;=Assumptions!$B$9,"High",IF(Q255&gt;=Assumptions!$B$10,"Medium","Low"))</f>
        <v>Low</v>
      </c>
      <c r="S255" s="21" t="n">
        <f aca="false">(N255*Assumptions!$B$5+O255*Assumptions!$B$6)/(Assumptions!$B$5+Assumptions!$B$6)</f>
        <v>65</v>
      </c>
      <c r="T255" s="2" t="str">
        <f aca="false">IF(AND(J255&gt;Assumptions!$B$8,G255&lt;=Assumptions!$B$30),"Low confidence","")</f>
        <v/>
      </c>
      <c r="U255" s="2" t="n">
        <f aca="false">(J255&gt;40)+(F255&gt;2000)+(K255&lt;10)+(L255=0)</f>
        <v>1</v>
      </c>
      <c r="V255" s="21" t="n">
        <f aca="false">IF(J255&lt;20,0,IF(J255&lt;40,25,M255))*Assumptions!$B$4+N255*Assumptions!$B$5+O255*Assumptions!$B$6</f>
        <v>32.5</v>
      </c>
      <c r="W255" s="2" t="str">
        <f aca="false">IF(V255&gt;=70,"High",IF(V255&gt;=40,"Medium","Low"))</f>
        <v>Low</v>
      </c>
    </row>
    <row r="256" customFormat="false" ht="15" hidden="false" customHeight="false" outlineLevel="0" collapsed="false">
      <c r="A256" s="2" t="s">
        <v>820</v>
      </c>
      <c r="B256" s="2" t="s">
        <v>1574</v>
      </c>
      <c r="C256" s="2" t="s">
        <v>1640</v>
      </c>
      <c r="D256" s="2"/>
      <c r="E256" s="2" t="n">
        <v>3</v>
      </c>
      <c r="F256" s="9" t="n">
        <v>269</v>
      </c>
      <c r="G256" s="2" t="n">
        <v>1</v>
      </c>
      <c r="H256" s="2" t="n">
        <v>0</v>
      </c>
      <c r="I256" s="2" t="n">
        <v>1</v>
      </c>
      <c r="J256" s="2" t="n">
        <v>0</v>
      </c>
      <c r="K256" s="2" t="n">
        <v>6</v>
      </c>
      <c r="L256" s="2" t="n">
        <v>0</v>
      </c>
      <c r="M256" s="2" t="n">
        <f aca="false">IF(J256&lt;=Assumptions!$B$13,0,IF(J256&lt;Assumptions!$B$14,25,IF(J256&lt;Assumptions!$B$15,50,IF(J256&lt;Assumptions!$B$16,75,100))))</f>
        <v>0</v>
      </c>
      <c r="N256" s="2" t="n">
        <f aca="false">IF(K256&gt;Assumptions!$B$19,0,IF(K256&gt;=Assumptions!$B$20,25,IF(K256&gt;=Assumptions!$B$21,50,IF(K256&gt;=Assumptions!$B$22,75,100))))</f>
        <v>75</v>
      </c>
      <c r="O256" s="2" t="n">
        <f aca="false">IF(L256&gt;=Assumptions!$B$25,0,IF(L256&gt;=Assumptions!$B$26,25,IF(L256=Assumptions!$B$27,50,IF(L256=Assumptions!$B$28,75,100))))</f>
        <v>100</v>
      </c>
      <c r="P256" s="21" t="n">
        <f aca="false">M256*Assumptions!$B$4+N256*Assumptions!$B$5+O256*Assumptions!$B$6</f>
        <v>42.5</v>
      </c>
      <c r="Q256" s="21" t="n">
        <f aca="false">IF(J256&lt;=Assumptions!$B$8,0,P256)</f>
        <v>0</v>
      </c>
      <c r="R256" s="2" t="str">
        <f aca="false">IF(Q256&gt;=Assumptions!$B$9,"High",IF(Q256&gt;=Assumptions!$B$10,"Medium","Low"))</f>
        <v>Low</v>
      </c>
      <c r="S256" s="21" t="n">
        <f aca="false">(N256*Assumptions!$B$5+O256*Assumptions!$B$6)/(Assumptions!$B$5+Assumptions!$B$6)</f>
        <v>85</v>
      </c>
      <c r="T256" s="2" t="str">
        <f aca="false">IF(AND(J256&gt;Assumptions!$B$8,G256&lt;=Assumptions!$B$30),"Low confidence","")</f>
        <v/>
      </c>
      <c r="U256" s="2" t="n">
        <f aca="false">(J256&gt;40)+(F256&gt;2000)+(K256&lt;10)+(L256=0)</f>
        <v>2</v>
      </c>
      <c r="V256" s="21" t="n">
        <f aca="false">IF(J256&lt;20,0,IF(J256&lt;40,25,M256))*Assumptions!$B$4+N256*Assumptions!$B$5+O256*Assumptions!$B$6</f>
        <v>42.5</v>
      </c>
      <c r="W256" s="2" t="str">
        <f aca="false">IF(V256&gt;=70,"High",IF(V256&gt;=40,"Medium","Low"))</f>
        <v>Medium</v>
      </c>
    </row>
    <row r="257" customFormat="false" ht="15" hidden="false" customHeight="false" outlineLevel="0" collapsed="false">
      <c r="A257" s="2" t="s">
        <v>564</v>
      </c>
      <c r="B257" s="2" t="s">
        <v>1574</v>
      </c>
      <c r="C257" s="2" t="s">
        <v>1640</v>
      </c>
      <c r="D257" s="2"/>
      <c r="E257" s="2" t="n">
        <v>3</v>
      </c>
      <c r="F257" s="9" t="n">
        <v>263</v>
      </c>
      <c r="G257" s="2" t="n">
        <v>2</v>
      </c>
      <c r="H257" s="2" t="n">
        <v>0</v>
      </c>
      <c r="I257" s="2" t="n">
        <v>2</v>
      </c>
      <c r="J257" s="2" t="n">
        <v>0</v>
      </c>
      <c r="K257" s="2" t="n">
        <v>9</v>
      </c>
      <c r="L257" s="2" t="n">
        <v>2</v>
      </c>
      <c r="M257" s="2" t="n">
        <f aca="false">IF(J257&lt;=Assumptions!$B$13,0,IF(J257&lt;Assumptions!$B$14,25,IF(J257&lt;Assumptions!$B$15,50,IF(J257&lt;Assumptions!$B$16,75,100))))</f>
        <v>0</v>
      </c>
      <c r="N257" s="2" t="n">
        <f aca="false">IF(K257&gt;Assumptions!$B$19,0,IF(K257&gt;=Assumptions!$B$20,25,IF(K257&gt;=Assumptions!$B$21,50,IF(K257&gt;=Assumptions!$B$22,75,100))))</f>
        <v>75</v>
      </c>
      <c r="O257" s="2" t="n">
        <f aca="false">IF(L257&gt;=Assumptions!$B$25,0,IF(L257&gt;=Assumptions!$B$26,25,IF(L257=Assumptions!$B$27,50,IF(L257=Assumptions!$B$28,75,100))))</f>
        <v>50</v>
      </c>
      <c r="P257" s="21" t="n">
        <f aca="false">M257*Assumptions!$B$4+N257*Assumptions!$B$5+O257*Assumptions!$B$6</f>
        <v>32.5</v>
      </c>
      <c r="Q257" s="21" t="n">
        <f aca="false">IF(J257&lt;=Assumptions!$B$8,0,P257)</f>
        <v>0</v>
      </c>
      <c r="R257" s="2" t="str">
        <f aca="false">IF(Q257&gt;=Assumptions!$B$9,"High",IF(Q257&gt;=Assumptions!$B$10,"Medium","Low"))</f>
        <v>Low</v>
      </c>
      <c r="S257" s="21" t="n">
        <f aca="false">(N257*Assumptions!$B$5+O257*Assumptions!$B$6)/(Assumptions!$B$5+Assumptions!$B$6)</f>
        <v>65</v>
      </c>
      <c r="T257" s="2" t="str">
        <f aca="false">IF(AND(J257&gt;Assumptions!$B$8,G257&lt;=Assumptions!$B$30),"Low confidence","")</f>
        <v/>
      </c>
      <c r="U257" s="2" t="n">
        <f aca="false">(J257&gt;40)+(F257&gt;2000)+(K257&lt;10)+(L257=0)</f>
        <v>1</v>
      </c>
      <c r="V257" s="21" t="n">
        <f aca="false">IF(J257&lt;20,0,IF(J257&lt;40,25,M257))*Assumptions!$B$4+N257*Assumptions!$B$5+O257*Assumptions!$B$6</f>
        <v>32.5</v>
      </c>
      <c r="W257" s="2" t="str">
        <f aca="false">IF(V257&gt;=70,"High",IF(V257&gt;=40,"Medium","Low"))</f>
        <v>Low</v>
      </c>
    </row>
    <row r="258" customFormat="false" ht="15" hidden="false" customHeight="false" outlineLevel="0" collapsed="false">
      <c r="A258" s="2" t="s">
        <v>824</v>
      </c>
      <c r="B258" s="2" t="s">
        <v>1574</v>
      </c>
      <c r="C258" s="2" t="s">
        <v>1640</v>
      </c>
      <c r="D258" s="2"/>
      <c r="E258" s="2" t="n">
        <v>5</v>
      </c>
      <c r="F258" s="9" t="n">
        <v>260</v>
      </c>
      <c r="G258" s="2" t="n">
        <v>1</v>
      </c>
      <c r="H258" s="2" t="n">
        <v>0</v>
      </c>
      <c r="I258" s="2" t="n">
        <v>1</v>
      </c>
      <c r="J258" s="2" t="n">
        <v>0</v>
      </c>
      <c r="K258" s="2" t="n">
        <v>20</v>
      </c>
      <c r="L258" s="2" t="n">
        <v>1</v>
      </c>
      <c r="M258" s="2" t="n">
        <f aca="false">IF(J258&lt;=Assumptions!$B$13,0,IF(J258&lt;Assumptions!$B$14,25,IF(J258&lt;Assumptions!$B$15,50,IF(J258&lt;Assumptions!$B$16,75,100))))</f>
        <v>0</v>
      </c>
      <c r="N258" s="2" t="n">
        <f aca="false">IF(K258&gt;Assumptions!$B$19,0,IF(K258&gt;=Assumptions!$B$20,25,IF(K258&gt;=Assumptions!$B$21,50,IF(K258&gt;=Assumptions!$B$22,75,100))))</f>
        <v>25</v>
      </c>
      <c r="O258" s="2" t="n">
        <f aca="false">IF(L258&gt;=Assumptions!$B$25,0,IF(L258&gt;=Assumptions!$B$26,25,IF(L258=Assumptions!$B$27,50,IF(L258=Assumptions!$B$28,75,100))))</f>
        <v>75</v>
      </c>
      <c r="P258" s="21" t="n">
        <f aca="false">M258*Assumptions!$B$4+N258*Assumptions!$B$5+O258*Assumptions!$B$6</f>
        <v>22.5</v>
      </c>
      <c r="Q258" s="21" t="n">
        <f aca="false">IF(J258&lt;=Assumptions!$B$8,0,P258)</f>
        <v>0</v>
      </c>
      <c r="R258" s="2" t="str">
        <f aca="false">IF(Q258&gt;=Assumptions!$B$9,"High",IF(Q258&gt;=Assumptions!$B$10,"Medium","Low"))</f>
        <v>Low</v>
      </c>
      <c r="S258" s="21" t="n">
        <f aca="false">(N258*Assumptions!$B$5+O258*Assumptions!$B$6)/(Assumptions!$B$5+Assumptions!$B$6)</f>
        <v>45</v>
      </c>
      <c r="T258" s="2" t="str">
        <f aca="false">IF(AND(J258&gt;Assumptions!$B$8,G258&lt;=Assumptions!$B$30),"Low confidence","")</f>
        <v/>
      </c>
      <c r="U258" s="2" t="n">
        <f aca="false">(J258&gt;40)+(F258&gt;2000)+(K258&lt;10)+(L258=0)</f>
        <v>0</v>
      </c>
      <c r="V258" s="21" t="n">
        <f aca="false">IF(J258&lt;20,0,IF(J258&lt;40,25,M258))*Assumptions!$B$4+N258*Assumptions!$B$5+O258*Assumptions!$B$6</f>
        <v>22.5</v>
      </c>
      <c r="W258" s="2" t="str">
        <f aca="false">IF(V258&gt;=70,"High",IF(V258&gt;=40,"Medium","Low"))</f>
        <v>Low</v>
      </c>
    </row>
    <row r="259" customFormat="false" ht="15" hidden="false" customHeight="false" outlineLevel="0" collapsed="false">
      <c r="A259" s="2" t="s">
        <v>836</v>
      </c>
      <c r="B259" s="2" t="s">
        <v>1574</v>
      </c>
      <c r="C259" s="2" t="s">
        <v>1640</v>
      </c>
      <c r="D259" s="2"/>
      <c r="E259" s="2" t="n">
        <v>4</v>
      </c>
      <c r="F259" s="9" t="n">
        <v>246</v>
      </c>
      <c r="G259" s="2" t="n">
        <v>1</v>
      </c>
      <c r="H259" s="2" t="n">
        <v>0</v>
      </c>
      <c r="I259" s="2" t="n">
        <v>1</v>
      </c>
      <c r="J259" s="2" t="n">
        <v>0</v>
      </c>
      <c r="K259" s="2" t="n">
        <v>20</v>
      </c>
      <c r="L259" s="2" t="n">
        <v>0</v>
      </c>
      <c r="M259" s="2" t="n">
        <f aca="false">IF(J259&lt;=Assumptions!$B$13,0,IF(J259&lt;Assumptions!$B$14,25,IF(J259&lt;Assumptions!$B$15,50,IF(J259&lt;Assumptions!$B$16,75,100))))</f>
        <v>0</v>
      </c>
      <c r="N259" s="2" t="n">
        <f aca="false">IF(K259&gt;Assumptions!$B$19,0,IF(K259&gt;=Assumptions!$B$20,25,IF(K259&gt;=Assumptions!$B$21,50,IF(K259&gt;=Assumptions!$B$22,75,100))))</f>
        <v>25</v>
      </c>
      <c r="O259" s="2" t="n">
        <f aca="false">IF(L259&gt;=Assumptions!$B$25,0,IF(L259&gt;=Assumptions!$B$26,25,IF(L259=Assumptions!$B$27,50,IF(L259=Assumptions!$B$28,75,100))))</f>
        <v>100</v>
      </c>
      <c r="P259" s="21" t="n">
        <f aca="false">M259*Assumptions!$B$4+N259*Assumptions!$B$5+O259*Assumptions!$B$6</f>
        <v>27.5</v>
      </c>
      <c r="Q259" s="21" t="n">
        <f aca="false">IF(J259&lt;=Assumptions!$B$8,0,P259)</f>
        <v>0</v>
      </c>
      <c r="R259" s="2" t="str">
        <f aca="false">IF(Q259&gt;=Assumptions!$B$9,"High",IF(Q259&gt;=Assumptions!$B$10,"Medium","Low"))</f>
        <v>Low</v>
      </c>
      <c r="S259" s="21" t="n">
        <f aca="false">(N259*Assumptions!$B$5+O259*Assumptions!$B$6)/(Assumptions!$B$5+Assumptions!$B$6)</f>
        <v>55</v>
      </c>
      <c r="T259" s="2" t="str">
        <f aca="false">IF(AND(J259&gt;Assumptions!$B$8,G259&lt;=Assumptions!$B$30),"Low confidence","")</f>
        <v/>
      </c>
      <c r="U259" s="2" t="n">
        <f aca="false">(J259&gt;40)+(F259&gt;2000)+(K259&lt;10)+(L259=0)</f>
        <v>1</v>
      </c>
      <c r="V259" s="21" t="n">
        <f aca="false">IF(J259&lt;20,0,IF(J259&lt;40,25,M259))*Assumptions!$B$4+N259*Assumptions!$B$5+O259*Assumptions!$B$6</f>
        <v>27.5</v>
      </c>
      <c r="W259" s="2" t="str">
        <f aca="false">IF(V259&gt;=70,"High",IF(V259&gt;=40,"Medium","Low"))</f>
        <v>Low</v>
      </c>
    </row>
    <row r="260" customFormat="false" ht="15" hidden="false" customHeight="false" outlineLevel="0" collapsed="false">
      <c r="A260" s="2" t="s">
        <v>840</v>
      </c>
      <c r="B260" s="2" t="s">
        <v>1574</v>
      </c>
      <c r="C260" s="2" t="s">
        <v>1640</v>
      </c>
      <c r="D260" s="2"/>
      <c r="E260" s="2" t="n">
        <v>1</v>
      </c>
      <c r="F260" s="9" t="n">
        <v>242</v>
      </c>
      <c r="G260" s="2" t="n">
        <v>1</v>
      </c>
      <c r="H260" s="2" t="n">
        <v>0</v>
      </c>
      <c r="I260" s="2" t="n">
        <v>1</v>
      </c>
      <c r="J260" s="2" t="n">
        <v>0</v>
      </c>
      <c r="K260" s="2" t="n">
        <v>3</v>
      </c>
      <c r="L260" s="2" t="n">
        <v>2</v>
      </c>
      <c r="M260" s="2" t="n">
        <f aca="false">IF(J260&lt;=Assumptions!$B$13,0,IF(J260&lt;Assumptions!$B$14,25,IF(J260&lt;Assumptions!$B$15,50,IF(J260&lt;Assumptions!$B$16,75,100))))</f>
        <v>0</v>
      </c>
      <c r="N260" s="2" t="n">
        <f aca="false">IF(K260&gt;Assumptions!$B$19,0,IF(K260&gt;=Assumptions!$B$20,25,IF(K260&gt;=Assumptions!$B$21,50,IF(K260&gt;=Assumptions!$B$22,75,100))))</f>
        <v>100</v>
      </c>
      <c r="O260" s="2" t="n">
        <f aca="false">IF(L260&gt;=Assumptions!$B$25,0,IF(L260&gt;=Assumptions!$B$26,25,IF(L260=Assumptions!$B$27,50,IF(L260=Assumptions!$B$28,75,100))))</f>
        <v>50</v>
      </c>
      <c r="P260" s="21" t="n">
        <f aca="false">M260*Assumptions!$B$4+N260*Assumptions!$B$5+O260*Assumptions!$B$6</f>
        <v>40</v>
      </c>
      <c r="Q260" s="21" t="n">
        <f aca="false">IF(J260&lt;=Assumptions!$B$8,0,P260)</f>
        <v>0</v>
      </c>
      <c r="R260" s="2" t="str">
        <f aca="false">IF(Q260&gt;=Assumptions!$B$9,"High",IF(Q260&gt;=Assumptions!$B$10,"Medium","Low"))</f>
        <v>Low</v>
      </c>
      <c r="S260" s="21" t="n">
        <f aca="false">(N260*Assumptions!$B$5+O260*Assumptions!$B$6)/(Assumptions!$B$5+Assumptions!$B$6)</f>
        <v>80</v>
      </c>
      <c r="T260" s="2" t="str">
        <f aca="false">IF(AND(J260&gt;Assumptions!$B$8,G260&lt;=Assumptions!$B$30),"Low confidence","")</f>
        <v/>
      </c>
      <c r="U260" s="2" t="n">
        <f aca="false">(J260&gt;40)+(F260&gt;2000)+(K260&lt;10)+(L260=0)</f>
        <v>1</v>
      </c>
      <c r="V260" s="21" t="n">
        <f aca="false">IF(J260&lt;20,0,IF(J260&lt;40,25,M260))*Assumptions!$B$4+N260*Assumptions!$B$5+O260*Assumptions!$B$6</f>
        <v>40</v>
      </c>
      <c r="W260" s="2" t="str">
        <f aca="false">IF(V260&gt;=70,"High",IF(V260&gt;=40,"Medium","Low"))</f>
        <v>Medium</v>
      </c>
    </row>
    <row r="261" customFormat="false" ht="15" hidden="false" customHeight="false" outlineLevel="0" collapsed="false">
      <c r="A261" s="2" t="s">
        <v>850</v>
      </c>
      <c r="B261" s="2" t="s">
        <v>1574</v>
      </c>
      <c r="C261" s="2" t="s">
        <v>1640</v>
      </c>
      <c r="D261" s="2"/>
      <c r="E261" s="2" t="n">
        <v>5</v>
      </c>
      <c r="F261" s="9" t="n">
        <v>216</v>
      </c>
      <c r="G261" s="2" t="n">
        <v>1</v>
      </c>
      <c r="H261" s="2" t="n">
        <v>0</v>
      </c>
      <c r="I261" s="2" t="n">
        <v>1</v>
      </c>
      <c r="J261" s="2" t="n">
        <v>0</v>
      </c>
      <c r="K261" s="2" t="n">
        <v>6</v>
      </c>
      <c r="L261" s="2" t="n">
        <v>5</v>
      </c>
      <c r="M261" s="2" t="n">
        <f aca="false">IF(J261&lt;=Assumptions!$B$13,0,IF(J261&lt;Assumptions!$B$14,25,IF(J261&lt;Assumptions!$B$15,50,IF(J261&lt;Assumptions!$B$16,75,100))))</f>
        <v>0</v>
      </c>
      <c r="N261" s="2" t="n">
        <f aca="false">IF(K261&gt;Assumptions!$B$19,0,IF(K261&gt;=Assumptions!$B$20,25,IF(K261&gt;=Assumptions!$B$21,50,IF(K261&gt;=Assumptions!$B$22,75,100))))</f>
        <v>75</v>
      </c>
      <c r="O261" s="2" t="n">
        <f aca="false">IF(L261&gt;=Assumptions!$B$25,0,IF(L261&gt;=Assumptions!$B$26,25,IF(L261=Assumptions!$B$27,50,IF(L261=Assumptions!$B$28,75,100))))</f>
        <v>0</v>
      </c>
      <c r="P261" s="21" t="n">
        <f aca="false">M261*Assumptions!$B$4+N261*Assumptions!$B$5+O261*Assumptions!$B$6</f>
        <v>22.5</v>
      </c>
      <c r="Q261" s="21" t="n">
        <f aca="false">IF(J261&lt;=Assumptions!$B$8,0,P261)</f>
        <v>0</v>
      </c>
      <c r="R261" s="2" t="str">
        <f aca="false">IF(Q261&gt;=Assumptions!$B$9,"High",IF(Q261&gt;=Assumptions!$B$10,"Medium","Low"))</f>
        <v>Low</v>
      </c>
      <c r="S261" s="21" t="n">
        <f aca="false">(N261*Assumptions!$B$5+O261*Assumptions!$B$6)/(Assumptions!$B$5+Assumptions!$B$6)</f>
        <v>45</v>
      </c>
      <c r="T261" s="2" t="str">
        <f aca="false">IF(AND(J261&gt;Assumptions!$B$8,G261&lt;=Assumptions!$B$30),"Low confidence","")</f>
        <v/>
      </c>
      <c r="U261" s="2" t="n">
        <f aca="false">(J261&gt;40)+(F261&gt;2000)+(K261&lt;10)+(L261=0)</f>
        <v>1</v>
      </c>
      <c r="V261" s="21" t="n">
        <f aca="false">IF(J261&lt;20,0,IF(J261&lt;40,25,M261))*Assumptions!$B$4+N261*Assumptions!$B$5+O261*Assumptions!$B$6</f>
        <v>22.5</v>
      </c>
      <c r="W261" s="2" t="str">
        <f aca="false">IF(V261&gt;=70,"High",IF(V261&gt;=40,"Medium","Low"))</f>
        <v>Low</v>
      </c>
    </row>
    <row r="262" customFormat="false" ht="15" hidden="false" customHeight="false" outlineLevel="0" collapsed="false">
      <c r="A262" s="2" t="s">
        <v>852</v>
      </c>
      <c r="B262" s="2" t="s">
        <v>1574</v>
      </c>
      <c r="C262" s="2" t="s">
        <v>1640</v>
      </c>
      <c r="D262" s="2"/>
      <c r="E262" s="2" t="n">
        <v>5</v>
      </c>
      <c r="F262" s="9" t="n">
        <v>216</v>
      </c>
      <c r="G262" s="2" t="n">
        <v>1</v>
      </c>
      <c r="H262" s="2" t="n">
        <v>0</v>
      </c>
      <c r="I262" s="2" t="n">
        <v>1</v>
      </c>
      <c r="J262" s="2" t="n">
        <v>0</v>
      </c>
      <c r="K262" s="2" t="n">
        <v>4</v>
      </c>
      <c r="L262" s="2" t="n">
        <v>0</v>
      </c>
      <c r="M262" s="2" t="n">
        <f aca="false">IF(J262&lt;=Assumptions!$B$13,0,IF(J262&lt;Assumptions!$B$14,25,IF(J262&lt;Assumptions!$B$15,50,IF(J262&lt;Assumptions!$B$16,75,100))))</f>
        <v>0</v>
      </c>
      <c r="N262" s="2" t="n">
        <f aca="false">IF(K262&gt;Assumptions!$B$19,0,IF(K262&gt;=Assumptions!$B$20,25,IF(K262&gt;=Assumptions!$B$21,50,IF(K262&gt;=Assumptions!$B$22,75,100))))</f>
        <v>100</v>
      </c>
      <c r="O262" s="2" t="n">
        <f aca="false">IF(L262&gt;=Assumptions!$B$25,0,IF(L262&gt;=Assumptions!$B$26,25,IF(L262=Assumptions!$B$27,50,IF(L262=Assumptions!$B$28,75,100))))</f>
        <v>100</v>
      </c>
      <c r="P262" s="21" t="n">
        <f aca="false">M262*Assumptions!$B$4+N262*Assumptions!$B$5+O262*Assumptions!$B$6</f>
        <v>50</v>
      </c>
      <c r="Q262" s="21" t="n">
        <f aca="false">IF(J262&lt;=Assumptions!$B$8,0,P262)</f>
        <v>0</v>
      </c>
      <c r="R262" s="2" t="str">
        <f aca="false">IF(Q262&gt;=Assumptions!$B$9,"High",IF(Q262&gt;=Assumptions!$B$10,"Medium","Low"))</f>
        <v>Low</v>
      </c>
      <c r="S262" s="21" t="n">
        <f aca="false">(N262*Assumptions!$B$5+O262*Assumptions!$B$6)/(Assumptions!$B$5+Assumptions!$B$6)</f>
        <v>100</v>
      </c>
      <c r="T262" s="2" t="str">
        <f aca="false">IF(AND(J262&gt;Assumptions!$B$8,G262&lt;=Assumptions!$B$30),"Low confidence","")</f>
        <v/>
      </c>
      <c r="U262" s="2" t="n">
        <f aca="false">(J262&gt;40)+(F262&gt;2000)+(K262&lt;10)+(L262=0)</f>
        <v>2</v>
      </c>
      <c r="V262" s="21" t="n">
        <f aca="false">IF(J262&lt;20,0,IF(J262&lt;40,25,M262))*Assumptions!$B$4+N262*Assumptions!$B$5+O262*Assumptions!$B$6</f>
        <v>50</v>
      </c>
      <c r="W262" s="2" t="str">
        <f aca="false">IF(V262&gt;=70,"High",IF(V262&gt;=40,"Medium","Low"))</f>
        <v>Medium</v>
      </c>
    </row>
    <row r="263" customFormat="false" ht="15" hidden="false" customHeight="false" outlineLevel="0" collapsed="false">
      <c r="A263" s="2" t="s">
        <v>854</v>
      </c>
      <c r="B263" s="2" t="s">
        <v>1574</v>
      </c>
      <c r="C263" s="2" t="s">
        <v>1640</v>
      </c>
      <c r="D263" s="2"/>
      <c r="E263" s="2" t="n">
        <v>2</v>
      </c>
      <c r="F263" s="9" t="n">
        <v>212</v>
      </c>
      <c r="G263" s="2" t="n">
        <v>1</v>
      </c>
      <c r="H263" s="2" t="n">
        <v>0</v>
      </c>
      <c r="I263" s="2" t="n">
        <v>1</v>
      </c>
      <c r="J263" s="2" t="n">
        <v>0</v>
      </c>
      <c r="K263" s="2" t="n">
        <v>15</v>
      </c>
      <c r="L263" s="2" t="n">
        <v>4</v>
      </c>
      <c r="M263" s="2" t="n">
        <f aca="false">IF(J263&lt;=Assumptions!$B$13,0,IF(J263&lt;Assumptions!$B$14,25,IF(J263&lt;Assumptions!$B$15,50,IF(J263&lt;Assumptions!$B$16,75,100))))</f>
        <v>0</v>
      </c>
      <c r="N263" s="2" t="n">
        <f aca="false">IF(K263&gt;Assumptions!$B$19,0,IF(K263&gt;=Assumptions!$B$20,25,IF(K263&gt;=Assumptions!$B$21,50,IF(K263&gt;=Assumptions!$B$22,75,100))))</f>
        <v>50</v>
      </c>
      <c r="O263" s="2" t="n">
        <f aca="false">IF(L263&gt;=Assumptions!$B$25,0,IF(L263&gt;=Assumptions!$B$26,25,IF(L263=Assumptions!$B$27,50,IF(L263=Assumptions!$B$28,75,100))))</f>
        <v>25</v>
      </c>
      <c r="P263" s="21" t="n">
        <f aca="false">M263*Assumptions!$B$4+N263*Assumptions!$B$5+O263*Assumptions!$B$6</f>
        <v>20</v>
      </c>
      <c r="Q263" s="21" t="n">
        <f aca="false">IF(J263&lt;=Assumptions!$B$8,0,P263)</f>
        <v>0</v>
      </c>
      <c r="R263" s="2" t="str">
        <f aca="false">IF(Q263&gt;=Assumptions!$B$9,"High",IF(Q263&gt;=Assumptions!$B$10,"Medium","Low"))</f>
        <v>Low</v>
      </c>
      <c r="S263" s="21" t="n">
        <f aca="false">(N263*Assumptions!$B$5+O263*Assumptions!$B$6)/(Assumptions!$B$5+Assumptions!$B$6)</f>
        <v>40</v>
      </c>
      <c r="T263" s="2" t="str">
        <f aca="false">IF(AND(J263&gt;Assumptions!$B$8,G263&lt;=Assumptions!$B$30),"Low confidence","")</f>
        <v/>
      </c>
      <c r="U263" s="2" t="n">
        <f aca="false">(J263&gt;40)+(F263&gt;2000)+(K263&lt;10)+(L263=0)</f>
        <v>0</v>
      </c>
      <c r="V263" s="21" t="n">
        <f aca="false">IF(J263&lt;20,0,IF(J263&lt;40,25,M263))*Assumptions!$B$4+N263*Assumptions!$B$5+O263*Assumptions!$B$6</f>
        <v>20</v>
      </c>
      <c r="W263" s="2" t="str">
        <f aca="false">IF(V263&gt;=70,"High",IF(V263&gt;=40,"Medium","Low"))</f>
        <v>Low</v>
      </c>
    </row>
    <row r="264" customFormat="false" ht="15" hidden="false" customHeight="false" outlineLevel="0" collapsed="false">
      <c r="A264" s="2" t="s">
        <v>856</v>
      </c>
      <c r="B264" s="2" t="s">
        <v>1574</v>
      </c>
      <c r="C264" s="2" t="s">
        <v>1640</v>
      </c>
      <c r="D264" s="2"/>
      <c r="E264" s="2" t="n">
        <v>1</v>
      </c>
      <c r="F264" s="9" t="n">
        <v>211</v>
      </c>
      <c r="G264" s="2" t="n">
        <v>1</v>
      </c>
      <c r="H264" s="2" t="n">
        <v>0</v>
      </c>
      <c r="I264" s="2" t="n">
        <v>1</v>
      </c>
      <c r="J264" s="2" t="n">
        <v>0</v>
      </c>
      <c r="K264" s="2" t="n">
        <v>16</v>
      </c>
      <c r="L264" s="2" t="n">
        <v>6</v>
      </c>
      <c r="M264" s="2" t="n">
        <f aca="false">IF(J264&lt;=Assumptions!$B$13,0,IF(J264&lt;Assumptions!$B$14,25,IF(J264&lt;Assumptions!$B$15,50,IF(J264&lt;Assumptions!$B$16,75,100))))</f>
        <v>0</v>
      </c>
      <c r="N264" s="2" t="n">
        <f aca="false">IF(K264&gt;Assumptions!$B$19,0,IF(K264&gt;=Assumptions!$B$20,25,IF(K264&gt;=Assumptions!$B$21,50,IF(K264&gt;=Assumptions!$B$22,75,100))))</f>
        <v>50</v>
      </c>
      <c r="O264" s="2" t="n">
        <f aca="false">IF(L264&gt;=Assumptions!$B$25,0,IF(L264&gt;=Assumptions!$B$26,25,IF(L264=Assumptions!$B$27,50,IF(L264=Assumptions!$B$28,75,100))))</f>
        <v>0</v>
      </c>
      <c r="P264" s="21" t="n">
        <f aca="false">M264*Assumptions!$B$4+N264*Assumptions!$B$5+O264*Assumptions!$B$6</f>
        <v>15</v>
      </c>
      <c r="Q264" s="21" t="n">
        <f aca="false">IF(J264&lt;=Assumptions!$B$8,0,P264)</f>
        <v>0</v>
      </c>
      <c r="R264" s="2" t="str">
        <f aca="false">IF(Q264&gt;=Assumptions!$B$9,"High",IF(Q264&gt;=Assumptions!$B$10,"Medium","Low"))</f>
        <v>Low</v>
      </c>
      <c r="S264" s="21" t="n">
        <f aca="false">(N264*Assumptions!$B$5+O264*Assumptions!$B$6)/(Assumptions!$B$5+Assumptions!$B$6)</f>
        <v>30</v>
      </c>
      <c r="T264" s="2" t="str">
        <f aca="false">IF(AND(J264&gt;Assumptions!$B$8,G264&lt;=Assumptions!$B$30),"Low confidence","")</f>
        <v/>
      </c>
      <c r="U264" s="2" t="n">
        <f aca="false">(J264&gt;40)+(F264&gt;2000)+(K264&lt;10)+(L264=0)</f>
        <v>0</v>
      </c>
      <c r="V264" s="21" t="n">
        <f aca="false">IF(J264&lt;20,0,IF(J264&lt;40,25,M264))*Assumptions!$B$4+N264*Assumptions!$B$5+O264*Assumptions!$B$6</f>
        <v>15</v>
      </c>
      <c r="W264" s="2" t="str">
        <f aca="false">IF(V264&gt;=70,"High",IF(V264&gt;=40,"Medium","Low"))</f>
        <v>Low</v>
      </c>
    </row>
    <row r="265" customFormat="false" ht="15" hidden="false" customHeight="false" outlineLevel="0" collapsed="false">
      <c r="A265" s="2" t="s">
        <v>860</v>
      </c>
      <c r="B265" s="2" t="s">
        <v>1574</v>
      </c>
      <c r="C265" s="2" t="s">
        <v>1640</v>
      </c>
      <c r="D265" s="2"/>
      <c r="E265" s="2" t="n">
        <v>2</v>
      </c>
      <c r="F265" s="9" t="n">
        <v>209</v>
      </c>
      <c r="G265" s="2" t="n">
        <v>1</v>
      </c>
      <c r="H265" s="2" t="n">
        <v>0</v>
      </c>
      <c r="I265" s="2" t="n">
        <v>1</v>
      </c>
      <c r="J265" s="2" t="n">
        <v>0</v>
      </c>
      <c r="K265" s="2" t="n">
        <v>4</v>
      </c>
      <c r="L265" s="2" t="n">
        <v>0</v>
      </c>
      <c r="M265" s="2" t="n">
        <f aca="false">IF(J265&lt;=Assumptions!$B$13,0,IF(J265&lt;Assumptions!$B$14,25,IF(J265&lt;Assumptions!$B$15,50,IF(J265&lt;Assumptions!$B$16,75,100))))</f>
        <v>0</v>
      </c>
      <c r="N265" s="2" t="n">
        <f aca="false">IF(K265&gt;Assumptions!$B$19,0,IF(K265&gt;=Assumptions!$B$20,25,IF(K265&gt;=Assumptions!$B$21,50,IF(K265&gt;=Assumptions!$B$22,75,100))))</f>
        <v>100</v>
      </c>
      <c r="O265" s="2" t="n">
        <f aca="false">IF(L265&gt;=Assumptions!$B$25,0,IF(L265&gt;=Assumptions!$B$26,25,IF(L265=Assumptions!$B$27,50,IF(L265=Assumptions!$B$28,75,100))))</f>
        <v>100</v>
      </c>
      <c r="P265" s="21" t="n">
        <f aca="false">M265*Assumptions!$B$4+N265*Assumptions!$B$5+O265*Assumptions!$B$6</f>
        <v>50</v>
      </c>
      <c r="Q265" s="21" t="n">
        <f aca="false">IF(J265&lt;=Assumptions!$B$8,0,P265)</f>
        <v>0</v>
      </c>
      <c r="R265" s="2" t="str">
        <f aca="false">IF(Q265&gt;=Assumptions!$B$9,"High",IF(Q265&gt;=Assumptions!$B$10,"Medium","Low"))</f>
        <v>Low</v>
      </c>
      <c r="S265" s="21" t="n">
        <f aca="false">(N265*Assumptions!$B$5+O265*Assumptions!$B$6)/(Assumptions!$B$5+Assumptions!$B$6)</f>
        <v>100</v>
      </c>
      <c r="T265" s="2" t="str">
        <f aca="false">IF(AND(J265&gt;Assumptions!$B$8,G265&lt;=Assumptions!$B$30),"Low confidence","")</f>
        <v/>
      </c>
      <c r="U265" s="2" t="n">
        <f aca="false">(J265&gt;40)+(F265&gt;2000)+(K265&lt;10)+(L265=0)</f>
        <v>2</v>
      </c>
      <c r="V265" s="21" t="n">
        <f aca="false">IF(J265&lt;20,0,IF(J265&lt;40,25,M265))*Assumptions!$B$4+N265*Assumptions!$B$5+O265*Assumptions!$B$6</f>
        <v>50</v>
      </c>
      <c r="W265" s="2" t="str">
        <f aca="false">IF(V265&gt;=70,"High",IF(V265&gt;=40,"Medium","Low"))</f>
        <v>Medium</v>
      </c>
    </row>
    <row r="266" customFormat="false" ht="15" hidden="false" customHeight="false" outlineLevel="0" collapsed="false">
      <c r="A266" s="2" t="s">
        <v>868</v>
      </c>
      <c r="B266" s="2" t="s">
        <v>1574</v>
      </c>
      <c r="C266" s="2" t="s">
        <v>1640</v>
      </c>
      <c r="D266" s="2"/>
      <c r="E266" s="2" t="n">
        <v>2</v>
      </c>
      <c r="F266" s="9" t="n">
        <v>196</v>
      </c>
      <c r="G266" s="2" t="n">
        <v>1</v>
      </c>
      <c r="H266" s="2" t="n">
        <v>0</v>
      </c>
      <c r="I266" s="2" t="n">
        <v>1</v>
      </c>
      <c r="J266" s="2" t="n">
        <v>0</v>
      </c>
      <c r="K266" s="2" t="n">
        <v>8</v>
      </c>
      <c r="L266" s="2" t="n">
        <v>0</v>
      </c>
      <c r="M266" s="2" t="n">
        <f aca="false">IF(J266&lt;=Assumptions!$B$13,0,IF(J266&lt;Assumptions!$B$14,25,IF(J266&lt;Assumptions!$B$15,50,IF(J266&lt;Assumptions!$B$16,75,100))))</f>
        <v>0</v>
      </c>
      <c r="N266" s="2" t="n">
        <f aca="false">IF(K266&gt;Assumptions!$B$19,0,IF(K266&gt;=Assumptions!$B$20,25,IF(K266&gt;=Assumptions!$B$21,50,IF(K266&gt;=Assumptions!$B$22,75,100))))</f>
        <v>75</v>
      </c>
      <c r="O266" s="2" t="n">
        <f aca="false">IF(L266&gt;=Assumptions!$B$25,0,IF(L266&gt;=Assumptions!$B$26,25,IF(L266=Assumptions!$B$27,50,IF(L266=Assumptions!$B$28,75,100))))</f>
        <v>100</v>
      </c>
      <c r="P266" s="21" t="n">
        <f aca="false">M266*Assumptions!$B$4+N266*Assumptions!$B$5+O266*Assumptions!$B$6</f>
        <v>42.5</v>
      </c>
      <c r="Q266" s="21" t="n">
        <f aca="false">IF(J266&lt;=Assumptions!$B$8,0,P266)</f>
        <v>0</v>
      </c>
      <c r="R266" s="2" t="str">
        <f aca="false">IF(Q266&gt;=Assumptions!$B$9,"High",IF(Q266&gt;=Assumptions!$B$10,"Medium","Low"))</f>
        <v>Low</v>
      </c>
      <c r="S266" s="21" t="n">
        <f aca="false">(N266*Assumptions!$B$5+O266*Assumptions!$B$6)/(Assumptions!$B$5+Assumptions!$B$6)</f>
        <v>85</v>
      </c>
      <c r="T266" s="2" t="str">
        <f aca="false">IF(AND(J266&gt;Assumptions!$B$8,G266&lt;=Assumptions!$B$30),"Low confidence","")</f>
        <v/>
      </c>
      <c r="U266" s="2" t="n">
        <f aca="false">(J266&gt;40)+(F266&gt;2000)+(K266&lt;10)+(L266=0)</f>
        <v>2</v>
      </c>
      <c r="V266" s="21" t="n">
        <f aca="false">IF(J266&lt;20,0,IF(J266&lt;40,25,M266))*Assumptions!$B$4+N266*Assumptions!$B$5+O266*Assumptions!$B$6</f>
        <v>42.5</v>
      </c>
      <c r="W266" s="2" t="str">
        <f aca="false">IF(V266&gt;=70,"High",IF(V266&gt;=40,"Medium","Low"))</f>
        <v>Medium</v>
      </c>
    </row>
    <row r="267" customFormat="false" ht="15" hidden="false" customHeight="false" outlineLevel="0" collapsed="false">
      <c r="A267" s="2" t="s">
        <v>872</v>
      </c>
      <c r="B267" s="2" t="s">
        <v>1574</v>
      </c>
      <c r="C267" s="2" t="s">
        <v>1640</v>
      </c>
      <c r="D267" s="2"/>
      <c r="E267" s="2" t="n">
        <v>6</v>
      </c>
      <c r="F267" s="9" t="n">
        <v>188</v>
      </c>
      <c r="G267" s="2" t="n">
        <v>1</v>
      </c>
      <c r="H267" s="2" t="n">
        <v>0</v>
      </c>
      <c r="I267" s="2" t="n">
        <v>1</v>
      </c>
      <c r="J267" s="2" t="n">
        <v>0</v>
      </c>
      <c r="K267" s="2" t="n">
        <v>13</v>
      </c>
      <c r="L267" s="2" t="n">
        <v>2</v>
      </c>
      <c r="M267" s="2" t="n">
        <f aca="false">IF(J267&lt;=Assumptions!$B$13,0,IF(J267&lt;Assumptions!$B$14,25,IF(J267&lt;Assumptions!$B$15,50,IF(J267&lt;Assumptions!$B$16,75,100))))</f>
        <v>0</v>
      </c>
      <c r="N267" s="2" t="n">
        <f aca="false">IF(K267&gt;Assumptions!$B$19,0,IF(K267&gt;=Assumptions!$B$20,25,IF(K267&gt;=Assumptions!$B$21,50,IF(K267&gt;=Assumptions!$B$22,75,100))))</f>
        <v>50</v>
      </c>
      <c r="O267" s="2" t="n">
        <f aca="false">IF(L267&gt;=Assumptions!$B$25,0,IF(L267&gt;=Assumptions!$B$26,25,IF(L267=Assumptions!$B$27,50,IF(L267=Assumptions!$B$28,75,100))))</f>
        <v>50</v>
      </c>
      <c r="P267" s="21" t="n">
        <f aca="false">M267*Assumptions!$B$4+N267*Assumptions!$B$5+O267*Assumptions!$B$6</f>
        <v>25</v>
      </c>
      <c r="Q267" s="21" t="n">
        <f aca="false">IF(J267&lt;=Assumptions!$B$8,0,P267)</f>
        <v>0</v>
      </c>
      <c r="R267" s="2" t="str">
        <f aca="false">IF(Q267&gt;=Assumptions!$B$9,"High",IF(Q267&gt;=Assumptions!$B$10,"Medium","Low"))</f>
        <v>Low</v>
      </c>
      <c r="S267" s="21" t="n">
        <f aca="false">(N267*Assumptions!$B$5+O267*Assumptions!$B$6)/(Assumptions!$B$5+Assumptions!$B$6)</f>
        <v>50</v>
      </c>
      <c r="T267" s="2" t="str">
        <f aca="false">IF(AND(J267&gt;Assumptions!$B$8,G267&lt;=Assumptions!$B$30),"Low confidence","")</f>
        <v/>
      </c>
      <c r="U267" s="2" t="n">
        <f aca="false">(J267&gt;40)+(F267&gt;2000)+(K267&lt;10)+(L267=0)</f>
        <v>0</v>
      </c>
      <c r="V267" s="21" t="n">
        <f aca="false">IF(J267&lt;20,0,IF(J267&lt;40,25,M267))*Assumptions!$B$4+N267*Assumptions!$B$5+O267*Assumptions!$B$6</f>
        <v>25</v>
      </c>
      <c r="W267" s="2" t="str">
        <f aca="false">IF(V267&gt;=70,"High",IF(V267&gt;=40,"Medium","Low"))</f>
        <v>Low</v>
      </c>
    </row>
    <row r="268" customFormat="false" ht="15" hidden="false" customHeight="false" outlineLevel="0" collapsed="false">
      <c r="A268" s="2" t="s">
        <v>876</v>
      </c>
      <c r="B268" s="2" t="s">
        <v>1574</v>
      </c>
      <c r="C268" s="2" t="s">
        <v>1640</v>
      </c>
      <c r="D268" s="2"/>
      <c r="E268" s="2" t="n">
        <v>4</v>
      </c>
      <c r="F268" s="9" t="n">
        <v>186</v>
      </c>
      <c r="G268" s="2" t="n">
        <v>2</v>
      </c>
      <c r="H268" s="2" t="n">
        <v>0</v>
      </c>
      <c r="I268" s="2" t="n">
        <v>2</v>
      </c>
      <c r="J268" s="2" t="n">
        <v>0</v>
      </c>
      <c r="K268" s="2" t="n">
        <v>57</v>
      </c>
      <c r="L268" s="2" t="n">
        <v>9</v>
      </c>
      <c r="M268" s="2" t="n">
        <f aca="false">IF(J268&lt;=Assumptions!$B$13,0,IF(J268&lt;Assumptions!$B$14,25,IF(J268&lt;Assumptions!$B$15,50,IF(J268&lt;Assumptions!$B$16,75,100))))</f>
        <v>0</v>
      </c>
      <c r="N268" s="2" t="n">
        <f aca="false">IF(K268&gt;Assumptions!$B$19,0,IF(K268&gt;=Assumptions!$B$20,25,IF(K268&gt;=Assumptions!$B$21,50,IF(K268&gt;=Assumptions!$B$22,75,100))))</f>
        <v>0</v>
      </c>
      <c r="O268" s="2" t="n">
        <f aca="false">IF(L268&gt;=Assumptions!$B$25,0,IF(L268&gt;=Assumptions!$B$26,25,IF(L268=Assumptions!$B$27,50,IF(L268=Assumptions!$B$28,75,100))))</f>
        <v>0</v>
      </c>
      <c r="P268" s="21" t="n">
        <f aca="false">M268*Assumptions!$B$4+N268*Assumptions!$B$5+O268*Assumptions!$B$6</f>
        <v>0</v>
      </c>
      <c r="Q268" s="21" t="n">
        <f aca="false">IF(J268&lt;=Assumptions!$B$8,0,P268)</f>
        <v>0</v>
      </c>
      <c r="R268" s="2" t="str">
        <f aca="false">IF(Q268&gt;=Assumptions!$B$9,"High",IF(Q268&gt;=Assumptions!$B$10,"Medium","Low"))</f>
        <v>Low</v>
      </c>
      <c r="S268" s="21" t="n">
        <f aca="false">(N268*Assumptions!$B$5+O268*Assumptions!$B$6)/(Assumptions!$B$5+Assumptions!$B$6)</f>
        <v>0</v>
      </c>
      <c r="T268" s="2" t="str">
        <f aca="false">IF(AND(J268&gt;Assumptions!$B$8,G268&lt;=Assumptions!$B$30),"Low confidence","")</f>
        <v/>
      </c>
      <c r="U268" s="2" t="n">
        <f aca="false">(J268&gt;40)+(F268&gt;2000)+(K268&lt;10)+(L268=0)</f>
        <v>0</v>
      </c>
      <c r="V268" s="21" t="n">
        <f aca="false">IF(J268&lt;20,0,IF(J268&lt;40,25,M268))*Assumptions!$B$4+N268*Assumptions!$B$5+O268*Assumptions!$B$6</f>
        <v>0</v>
      </c>
      <c r="W268" s="2" t="str">
        <f aca="false">IF(V268&gt;=70,"High",IF(V268&gt;=40,"Medium","Low"))</f>
        <v>Low</v>
      </c>
    </row>
    <row r="269" customFormat="false" ht="15" hidden="false" customHeight="false" outlineLevel="0" collapsed="false">
      <c r="A269" s="2" t="s">
        <v>880</v>
      </c>
      <c r="B269" s="2" t="s">
        <v>1574</v>
      </c>
      <c r="C269" s="2" t="s">
        <v>1640</v>
      </c>
      <c r="D269" s="2"/>
      <c r="E269" s="2" t="n">
        <v>2</v>
      </c>
      <c r="F269" s="9" t="n">
        <v>182</v>
      </c>
      <c r="G269" s="2" t="n">
        <v>2</v>
      </c>
      <c r="H269" s="2" t="n">
        <v>0</v>
      </c>
      <c r="I269" s="2" t="n">
        <v>2</v>
      </c>
      <c r="J269" s="2" t="n">
        <v>0</v>
      </c>
      <c r="K269" s="2" t="n">
        <v>10</v>
      </c>
      <c r="L269" s="2" t="n">
        <v>6</v>
      </c>
      <c r="M269" s="2" t="n">
        <f aca="false">IF(J269&lt;=Assumptions!$B$13,0,IF(J269&lt;Assumptions!$B$14,25,IF(J269&lt;Assumptions!$B$15,50,IF(J269&lt;Assumptions!$B$16,75,100))))</f>
        <v>0</v>
      </c>
      <c r="N269" s="2" t="n">
        <f aca="false">IF(K269&gt;Assumptions!$B$19,0,IF(K269&gt;=Assumptions!$B$20,25,IF(K269&gt;=Assumptions!$B$21,50,IF(K269&gt;=Assumptions!$B$22,75,100))))</f>
        <v>50</v>
      </c>
      <c r="O269" s="2" t="n">
        <f aca="false">IF(L269&gt;=Assumptions!$B$25,0,IF(L269&gt;=Assumptions!$B$26,25,IF(L269=Assumptions!$B$27,50,IF(L269=Assumptions!$B$28,75,100))))</f>
        <v>0</v>
      </c>
      <c r="P269" s="21" t="n">
        <f aca="false">M269*Assumptions!$B$4+N269*Assumptions!$B$5+O269*Assumptions!$B$6</f>
        <v>15</v>
      </c>
      <c r="Q269" s="21" t="n">
        <f aca="false">IF(J269&lt;=Assumptions!$B$8,0,P269)</f>
        <v>0</v>
      </c>
      <c r="R269" s="2" t="str">
        <f aca="false">IF(Q269&gt;=Assumptions!$B$9,"High",IF(Q269&gt;=Assumptions!$B$10,"Medium","Low"))</f>
        <v>Low</v>
      </c>
      <c r="S269" s="21" t="n">
        <f aca="false">(N269*Assumptions!$B$5+O269*Assumptions!$B$6)/(Assumptions!$B$5+Assumptions!$B$6)</f>
        <v>30</v>
      </c>
      <c r="T269" s="2" t="str">
        <f aca="false">IF(AND(J269&gt;Assumptions!$B$8,G269&lt;=Assumptions!$B$30),"Low confidence","")</f>
        <v/>
      </c>
      <c r="U269" s="2" t="n">
        <f aca="false">(J269&gt;40)+(F269&gt;2000)+(K269&lt;10)+(L269=0)</f>
        <v>0</v>
      </c>
      <c r="V269" s="21" t="n">
        <f aca="false">IF(J269&lt;20,0,IF(J269&lt;40,25,M269))*Assumptions!$B$4+N269*Assumptions!$B$5+O269*Assumptions!$B$6</f>
        <v>15</v>
      </c>
      <c r="W269" s="2" t="str">
        <f aca="false">IF(V269&gt;=70,"High",IF(V269&gt;=40,"Medium","Low"))</f>
        <v>Low</v>
      </c>
    </row>
    <row r="270" customFormat="false" ht="15" hidden="false" customHeight="false" outlineLevel="0" collapsed="false">
      <c r="A270" s="2" t="s">
        <v>882</v>
      </c>
      <c r="B270" s="2" t="s">
        <v>1574</v>
      </c>
      <c r="C270" s="2" t="s">
        <v>1640</v>
      </c>
      <c r="D270" s="2"/>
      <c r="E270" s="2" t="n">
        <v>2</v>
      </c>
      <c r="F270" s="9" t="n">
        <v>181</v>
      </c>
      <c r="G270" s="2" t="n">
        <v>1</v>
      </c>
      <c r="H270" s="2" t="n">
        <v>0</v>
      </c>
      <c r="I270" s="2" t="n">
        <v>1</v>
      </c>
      <c r="J270" s="2" t="n">
        <v>0</v>
      </c>
      <c r="K270" s="2" t="n">
        <v>4</v>
      </c>
      <c r="L270" s="2" t="n">
        <v>1</v>
      </c>
      <c r="M270" s="2" t="n">
        <f aca="false">IF(J270&lt;=Assumptions!$B$13,0,IF(J270&lt;Assumptions!$B$14,25,IF(J270&lt;Assumptions!$B$15,50,IF(J270&lt;Assumptions!$B$16,75,100))))</f>
        <v>0</v>
      </c>
      <c r="N270" s="2" t="n">
        <f aca="false">IF(K270&gt;Assumptions!$B$19,0,IF(K270&gt;=Assumptions!$B$20,25,IF(K270&gt;=Assumptions!$B$21,50,IF(K270&gt;=Assumptions!$B$22,75,100))))</f>
        <v>100</v>
      </c>
      <c r="O270" s="2" t="n">
        <f aca="false">IF(L270&gt;=Assumptions!$B$25,0,IF(L270&gt;=Assumptions!$B$26,25,IF(L270=Assumptions!$B$27,50,IF(L270=Assumptions!$B$28,75,100))))</f>
        <v>75</v>
      </c>
      <c r="P270" s="21" t="n">
        <f aca="false">M270*Assumptions!$B$4+N270*Assumptions!$B$5+O270*Assumptions!$B$6</f>
        <v>45</v>
      </c>
      <c r="Q270" s="21" t="n">
        <f aca="false">IF(J270&lt;=Assumptions!$B$8,0,P270)</f>
        <v>0</v>
      </c>
      <c r="R270" s="2" t="str">
        <f aca="false">IF(Q270&gt;=Assumptions!$B$9,"High",IF(Q270&gt;=Assumptions!$B$10,"Medium","Low"))</f>
        <v>Low</v>
      </c>
      <c r="S270" s="21" t="n">
        <f aca="false">(N270*Assumptions!$B$5+O270*Assumptions!$B$6)/(Assumptions!$B$5+Assumptions!$B$6)</f>
        <v>90</v>
      </c>
      <c r="T270" s="2" t="str">
        <f aca="false">IF(AND(J270&gt;Assumptions!$B$8,G270&lt;=Assumptions!$B$30),"Low confidence","")</f>
        <v/>
      </c>
      <c r="U270" s="2" t="n">
        <f aca="false">(J270&gt;40)+(F270&gt;2000)+(K270&lt;10)+(L270=0)</f>
        <v>1</v>
      </c>
      <c r="V270" s="21" t="n">
        <f aca="false">IF(J270&lt;20,0,IF(J270&lt;40,25,M270))*Assumptions!$B$4+N270*Assumptions!$B$5+O270*Assumptions!$B$6</f>
        <v>45</v>
      </c>
      <c r="W270" s="2" t="str">
        <f aca="false">IF(V270&gt;=70,"High",IF(V270&gt;=40,"Medium","Low"))</f>
        <v>Medium</v>
      </c>
    </row>
    <row r="271" customFormat="false" ht="15" hidden="false" customHeight="false" outlineLevel="0" collapsed="false">
      <c r="A271" s="2" t="s">
        <v>884</v>
      </c>
      <c r="B271" s="2" t="s">
        <v>1574</v>
      </c>
      <c r="C271" s="2" t="s">
        <v>1640</v>
      </c>
      <c r="D271" s="2"/>
      <c r="E271" s="2" t="n">
        <v>4</v>
      </c>
      <c r="F271" s="9" t="n">
        <v>180</v>
      </c>
      <c r="G271" s="2" t="n">
        <v>1</v>
      </c>
      <c r="H271" s="2" t="n">
        <v>0</v>
      </c>
      <c r="I271" s="2" t="n">
        <v>1</v>
      </c>
      <c r="J271" s="2" t="n">
        <v>0</v>
      </c>
      <c r="K271" s="2" t="n">
        <v>42</v>
      </c>
      <c r="L271" s="2" t="n">
        <v>0</v>
      </c>
      <c r="M271" s="2" t="n">
        <f aca="false">IF(J271&lt;=Assumptions!$B$13,0,IF(J271&lt;Assumptions!$B$14,25,IF(J271&lt;Assumptions!$B$15,50,IF(J271&lt;Assumptions!$B$16,75,100))))</f>
        <v>0</v>
      </c>
      <c r="N271" s="2" t="n">
        <f aca="false">IF(K271&gt;Assumptions!$B$19,0,IF(K271&gt;=Assumptions!$B$20,25,IF(K271&gt;=Assumptions!$B$21,50,IF(K271&gt;=Assumptions!$B$22,75,100))))</f>
        <v>0</v>
      </c>
      <c r="O271" s="2" t="n">
        <f aca="false">IF(L271&gt;=Assumptions!$B$25,0,IF(L271&gt;=Assumptions!$B$26,25,IF(L271=Assumptions!$B$27,50,IF(L271=Assumptions!$B$28,75,100))))</f>
        <v>100</v>
      </c>
      <c r="P271" s="21" t="n">
        <f aca="false">M271*Assumptions!$B$4+N271*Assumptions!$B$5+O271*Assumptions!$B$6</f>
        <v>20</v>
      </c>
      <c r="Q271" s="21" t="n">
        <f aca="false">IF(J271&lt;=Assumptions!$B$8,0,P271)</f>
        <v>0</v>
      </c>
      <c r="R271" s="2" t="str">
        <f aca="false">IF(Q271&gt;=Assumptions!$B$9,"High",IF(Q271&gt;=Assumptions!$B$10,"Medium","Low"))</f>
        <v>Low</v>
      </c>
      <c r="S271" s="21" t="n">
        <f aca="false">(N271*Assumptions!$B$5+O271*Assumptions!$B$6)/(Assumptions!$B$5+Assumptions!$B$6)</f>
        <v>40</v>
      </c>
      <c r="T271" s="2" t="str">
        <f aca="false">IF(AND(J271&gt;Assumptions!$B$8,G271&lt;=Assumptions!$B$30),"Low confidence","")</f>
        <v/>
      </c>
      <c r="U271" s="2" t="n">
        <f aca="false">(J271&gt;40)+(F271&gt;2000)+(K271&lt;10)+(L271=0)</f>
        <v>1</v>
      </c>
      <c r="V271" s="21" t="n">
        <f aca="false">IF(J271&lt;20,0,IF(J271&lt;40,25,M271))*Assumptions!$B$4+N271*Assumptions!$B$5+O271*Assumptions!$B$6</f>
        <v>20</v>
      </c>
      <c r="W271" s="2" t="str">
        <f aca="false">IF(V271&gt;=70,"High",IF(V271&gt;=40,"Medium","Low"))</f>
        <v>Low</v>
      </c>
    </row>
    <row r="272" customFormat="false" ht="15" hidden="false" customHeight="false" outlineLevel="0" collapsed="false">
      <c r="A272" s="2" t="s">
        <v>888</v>
      </c>
      <c r="B272" s="2" t="s">
        <v>1574</v>
      </c>
      <c r="C272" s="2" t="s">
        <v>1640</v>
      </c>
      <c r="D272" s="2"/>
      <c r="E272" s="2" t="n">
        <v>6</v>
      </c>
      <c r="F272" s="9" t="n">
        <v>173</v>
      </c>
      <c r="G272" s="2" t="n">
        <v>1</v>
      </c>
      <c r="H272" s="2" t="n">
        <v>0</v>
      </c>
      <c r="I272" s="2" t="n">
        <v>1</v>
      </c>
      <c r="J272" s="2" t="n">
        <v>0</v>
      </c>
      <c r="K272" s="2" t="n">
        <v>10</v>
      </c>
      <c r="L272" s="2" t="n">
        <v>2</v>
      </c>
      <c r="M272" s="2" t="n">
        <f aca="false">IF(J272&lt;=Assumptions!$B$13,0,IF(J272&lt;Assumptions!$B$14,25,IF(J272&lt;Assumptions!$B$15,50,IF(J272&lt;Assumptions!$B$16,75,100))))</f>
        <v>0</v>
      </c>
      <c r="N272" s="2" t="n">
        <f aca="false">IF(K272&gt;Assumptions!$B$19,0,IF(K272&gt;=Assumptions!$B$20,25,IF(K272&gt;=Assumptions!$B$21,50,IF(K272&gt;=Assumptions!$B$22,75,100))))</f>
        <v>50</v>
      </c>
      <c r="O272" s="2" t="n">
        <f aca="false">IF(L272&gt;=Assumptions!$B$25,0,IF(L272&gt;=Assumptions!$B$26,25,IF(L272=Assumptions!$B$27,50,IF(L272=Assumptions!$B$28,75,100))))</f>
        <v>50</v>
      </c>
      <c r="P272" s="21" t="n">
        <f aca="false">M272*Assumptions!$B$4+N272*Assumptions!$B$5+O272*Assumptions!$B$6</f>
        <v>25</v>
      </c>
      <c r="Q272" s="21" t="n">
        <f aca="false">IF(J272&lt;=Assumptions!$B$8,0,P272)</f>
        <v>0</v>
      </c>
      <c r="R272" s="2" t="str">
        <f aca="false">IF(Q272&gt;=Assumptions!$B$9,"High",IF(Q272&gt;=Assumptions!$B$10,"Medium","Low"))</f>
        <v>Low</v>
      </c>
      <c r="S272" s="21" t="n">
        <f aca="false">(N272*Assumptions!$B$5+O272*Assumptions!$B$6)/(Assumptions!$B$5+Assumptions!$B$6)</f>
        <v>50</v>
      </c>
      <c r="T272" s="2" t="str">
        <f aca="false">IF(AND(J272&gt;Assumptions!$B$8,G272&lt;=Assumptions!$B$30),"Low confidence","")</f>
        <v/>
      </c>
      <c r="U272" s="2" t="n">
        <f aca="false">(J272&gt;40)+(F272&gt;2000)+(K272&lt;10)+(L272=0)</f>
        <v>0</v>
      </c>
      <c r="V272" s="21" t="n">
        <f aca="false">IF(J272&lt;20,0,IF(J272&lt;40,25,M272))*Assumptions!$B$4+N272*Assumptions!$B$5+O272*Assumptions!$B$6</f>
        <v>25</v>
      </c>
      <c r="W272" s="2" t="str">
        <f aca="false">IF(V272&gt;=70,"High",IF(V272&gt;=40,"Medium","Low"))</f>
        <v>Low</v>
      </c>
    </row>
    <row r="273" customFormat="false" ht="15" hidden="false" customHeight="false" outlineLevel="0" collapsed="false">
      <c r="A273" s="2" t="s">
        <v>892</v>
      </c>
      <c r="B273" s="2" t="s">
        <v>1574</v>
      </c>
      <c r="C273" s="2" t="s">
        <v>1640</v>
      </c>
      <c r="D273" s="2"/>
      <c r="E273" s="2" t="n">
        <v>3</v>
      </c>
      <c r="F273" s="9" t="n">
        <v>170</v>
      </c>
      <c r="G273" s="2" t="n">
        <v>1</v>
      </c>
      <c r="H273" s="2" t="n">
        <v>0</v>
      </c>
      <c r="I273" s="2" t="n">
        <v>1</v>
      </c>
      <c r="J273" s="2" t="n">
        <v>0</v>
      </c>
      <c r="K273" s="2" t="n">
        <v>8</v>
      </c>
      <c r="L273" s="2" t="n">
        <v>0</v>
      </c>
      <c r="M273" s="2" t="n">
        <f aca="false">IF(J273&lt;=Assumptions!$B$13,0,IF(J273&lt;Assumptions!$B$14,25,IF(J273&lt;Assumptions!$B$15,50,IF(J273&lt;Assumptions!$B$16,75,100))))</f>
        <v>0</v>
      </c>
      <c r="N273" s="2" t="n">
        <f aca="false">IF(K273&gt;Assumptions!$B$19,0,IF(K273&gt;=Assumptions!$B$20,25,IF(K273&gt;=Assumptions!$B$21,50,IF(K273&gt;=Assumptions!$B$22,75,100))))</f>
        <v>75</v>
      </c>
      <c r="O273" s="2" t="n">
        <f aca="false">IF(L273&gt;=Assumptions!$B$25,0,IF(L273&gt;=Assumptions!$B$26,25,IF(L273=Assumptions!$B$27,50,IF(L273=Assumptions!$B$28,75,100))))</f>
        <v>100</v>
      </c>
      <c r="P273" s="21" t="n">
        <f aca="false">M273*Assumptions!$B$4+N273*Assumptions!$B$5+O273*Assumptions!$B$6</f>
        <v>42.5</v>
      </c>
      <c r="Q273" s="21" t="n">
        <f aca="false">IF(J273&lt;=Assumptions!$B$8,0,P273)</f>
        <v>0</v>
      </c>
      <c r="R273" s="2" t="str">
        <f aca="false">IF(Q273&gt;=Assumptions!$B$9,"High",IF(Q273&gt;=Assumptions!$B$10,"Medium","Low"))</f>
        <v>Low</v>
      </c>
      <c r="S273" s="21" t="n">
        <f aca="false">(N273*Assumptions!$B$5+O273*Assumptions!$B$6)/(Assumptions!$B$5+Assumptions!$B$6)</f>
        <v>85</v>
      </c>
      <c r="T273" s="2" t="str">
        <f aca="false">IF(AND(J273&gt;Assumptions!$B$8,G273&lt;=Assumptions!$B$30),"Low confidence","")</f>
        <v/>
      </c>
      <c r="U273" s="2" t="n">
        <f aca="false">(J273&gt;40)+(F273&gt;2000)+(K273&lt;10)+(L273=0)</f>
        <v>2</v>
      </c>
      <c r="V273" s="21" t="n">
        <f aca="false">IF(J273&lt;20,0,IF(J273&lt;40,25,M273))*Assumptions!$B$4+N273*Assumptions!$B$5+O273*Assumptions!$B$6</f>
        <v>42.5</v>
      </c>
      <c r="W273" s="2" t="str">
        <f aca="false">IF(V273&gt;=70,"High",IF(V273&gt;=40,"Medium","Low"))</f>
        <v>Medium</v>
      </c>
    </row>
    <row r="274" customFormat="false" ht="15" hidden="false" customHeight="false" outlineLevel="0" collapsed="false">
      <c r="A274" s="2" t="s">
        <v>900</v>
      </c>
      <c r="B274" s="2" t="s">
        <v>1574</v>
      </c>
      <c r="C274" s="2" t="s">
        <v>1640</v>
      </c>
      <c r="D274" s="2"/>
      <c r="E274" s="2" t="n">
        <v>2</v>
      </c>
      <c r="F274" s="9" t="n">
        <v>154</v>
      </c>
      <c r="G274" s="2" t="n">
        <v>1</v>
      </c>
      <c r="H274" s="2" t="n">
        <v>0</v>
      </c>
      <c r="I274" s="2" t="n">
        <v>1</v>
      </c>
      <c r="J274" s="2" t="n">
        <v>0</v>
      </c>
      <c r="K274" s="2" t="n">
        <v>16</v>
      </c>
      <c r="L274" s="2" t="n">
        <v>0</v>
      </c>
      <c r="M274" s="2" t="n">
        <f aca="false">IF(J274&lt;=Assumptions!$B$13,0,IF(J274&lt;Assumptions!$B$14,25,IF(J274&lt;Assumptions!$B$15,50,IF(J274&lt;Assumptions!$B$16,75,100))))</f>
        <v>0</v>
      </c>
      <c r="N274" s="2" t="n">
        <f aca="false">IF(K274&gt;Assumptions!$B$19,0,IF(K274&gt;=Assumptions!$B$20,25,IF(K274&gt;=Assumptions!$B$21,50,IF(K274&gt;=Assumptions!$B$22,75,100))))</f>
        <v>50</v>
      </c>
      <c r="O274" s="2" t="n">
        <f aca="false">IF(L274&gt;=Assumptions!$B$25,0,IF(L274&gt;=Assumptions!$B$26,25,IF(L274=Assumptions!$B$27,50,IF(L274=Assumptions!$B$28,75,100))))</f>
        <v>100</v>
      </c>
      <c r="P274" s="21" t="n">
        <f aca="false">M274*Assumptions!$B$4+N274*Assumptions!$B$5+O274*Assumptions!$B$6</f>
        <v>35</v>
      </c>
      <c r="Q274" s="21" t="n">
        <f aca="false">IF(J274&lt;=Assumptions!$B$8,0,P274)</f>
        <v>0</v>
      </c>
      <c r="R274" s="2" t="str">
        <f aca="false">IF(Q274&gt;=Assumptions!$B$9,"High",IF(Q274&gt;=Assumptions!$B$10,"Medium","Low"))</f>
        <v>Low</v>
      </c>
      <c r="S274" s="21" t="n">
        <f aca="false">(N274*Assumptions!$B$5+O274*Assumptions!$B$6)/(Assumptions!$B$5+Assumptions!$B$6)</f>
        <v>70</v>
      </c>
      <c r="T274" s="2" t="str">
        <f aca="false">IF(AND(J274&gt;Assumptions!$B$8,G274&lt;=Assumptions!$B$30),"Low confidence","")</f>
        <v/>
      </c>
      <c r="U274" s="2" t="n">
        <f aca="false">(J274&gt;40)+(F274&gt;2000)+(K274&lt;10)+(L274=0)</f>
        <v>1</v>
      </c>
      <c r="V274" s="21" t="n">
        <f aca="false">IF(J274&lt;20,0,IF(J274&lt;40,25,M274))*Assumptions!$B$4+N274*Assumptions!$B$5+O274*Assumptions!$B$6</f>
        <v>35</v>
      </c>
      <c r="W274" s="2" t="str">
        <f aca="false">IF(V274&gt;=70,"High",IF(V274&gt;=40,"Medium","Low"))</f>
        <v>Low</v>
      </c>
    </row>
    <row r="275" customFormat="false" ht="15" hidden="false" customHeight="false" outlineLevel="0" collapsed="false">
      <c r="A275" s="2" t="s">
        <v>908</v>
      </c>
      <c r="B275" s="2" t="s">
        <v>1574</v>
      </c>
      <c r="C275" s="2" t="s">
        <v>1640</v>
      </c>
      <c r="D275" s="2"/>
      <c r="E275" s="2" t="n">
        <v>2</v>
      </c>
      <c r="F275" s="9" t="n">
        <v>147</v>
      </c>
      <c r="G275" s="2" t="n">
        <v>1</v>
      </c>
      <c r="H275" s="2" t="n">
        <v>0</v>
      </c>
      <c r="I275" s="2" t="n">
        <v>1</v>
      </c>
      <c r="J275" s="2" t="n">
        <v>0</v>
      </c>
      <c r="K275" s="2" t="n">
        <v>4</v>
      </c>
      <c r="L275" s="2" t="n">
        <v>0</v>
      </c>
      <c r="M275" s="2" t="n">
        <f aca="false">IF(J275&lt;=Assumptions!$B$13,0,IF(J275&lt;Assumptions!$B$14,25,IF(J275&lt;Assumptions!$B$15,50,IF(J275&lt;Assumptions!$B$16,75,100))))</f>
        <v>0</v>
      </c>
      <c r="N275" s="2" t="n">
        <f aca="false">IF(K275&gt;Assumptions!$B$19,0,IF(K275&gt;=Assumptions!$B$20,25,IF(K275&gt;=Assumptions!$B$21,50,IF(K275&gt;=Assumptions!$B$22,75,100))))</f>
        <v>100</v>
      </c>
      <c r="O275" s="2" t="n">
        <f aca="false">IF(L275&gt;=Assumptions!$B$25,0,IF(L275&gt;=Assumptions!$B$26,25,IF(L275=Assumptions!$B$27,50,IF(L275=Assumptions!$B$28,75,100))))</f>
        <v>100</v>
      </c>
      <c r="P275" s="21" t="n">
        <f aca="false">M275*Assumptions!$B$4+N275*Assumptions!$B$5+O275*Assumptions!$B$6</f>
        <v>50</v>
      </c>
      <c r="Q275" s="21" t="n">
        <f aca="false">IF(J275&lt;=Assumptions!$B$8,0,P275)</f>
        <v>0</v>
      </c>
      <c r="R275" s="2" t="str">
        <f aca="false">IF(Q275&gt;=Assumptions!$B$9,"High",IF(Q275&gt;=Assumptions!$B$10,"Medium","Low"))</f>
        <v>Low</v>
      </c>
      <c r="S275" s="21" t="n">
        <f aca="false">(N275*Assumptions!$B$5+O275*Assumptions!$B$6)/(Assumptions!$B$5+Assumptions!$B$6)</f>
        <v>100</v>
      </c>
      <c r="T275" s="2" t="str">
        <f aca="false">IF(AND(J275&gt;Assumptions!$B$8,G275&lt;=Assumptions!$B$30),"Low confidence","")</f>
        <v/>
      </c>
      <c r="U275" s="2" t="n">
        <f aca="false">(J275&gt;40)+(F275&gt;2000)+(K275&lt;10)+(L275=0)</f>
        <v>2</v>
      </c>
      <c r="V275" s="21" t="n">
        <f aca="false">IF(J275&lt;20,0,IF(J275&lt;40,25,M275))*Assumptions!$B$4+N275*Assumptions!$B$5+O275*Assumptions!$B$6</f>
        <v>50</v>
      </c>
      <c r="W275" s="2" t="str">
        <f aca="false">IF(V275&gt;=70,"High",IF(V275&gt;=40,"Medium","Low"))</f>
        <v>Medium</v>
      </c>
    </row>
    <row r="276" customFormat="false" ht="15" hidden="false" customHeight="false" outlineLevel="0" collapsed="false">
      <c r="A276" s="2" t="s">
        <v>914</v>
      </c>
      <c r="B276" s="2" t="s">
        <v>1574</v>
      </c>
      <c r="C276" s="2" t="s">
        <v>1640</v>
      </c>
      <c r="D276" s="2"/>
      <c r="E276" s="2" t="n">
        <v>1</v>
      </c>
      <c r="F276" s="9" t="n">
        <v>143</v>
      </c>
      <c r="G276" s="2" t="n">
        <v>1</v>
      </c>
      <c r="H276" s="2" t="n">
        <v>0</v>
      </c>
      <c r="I276" s="2" t="n">
        <v>1</v>
      </c>
      <c r="J276" s="2" t="n">
        <v>0</v>
      </c>
      <c r="K276" s="2" t="n">
        <v>4</v>
      </c>
      <c r="L276" s="2" t="n">
        <v>0</v>
      </c>
      <c r="M276" s="2" t="n">
        <f aca="false">IF(J276&lt;=Assumptions!$B$13,0,IF(J276&lt;Assumptions!$B$14,25,IF(J276&lt;Assumptions!$B$15,50,IF(J276&lt;Assumptions!$B$16,75,100))))</f>
        <v>0</v>
      </c>
      <c r="N276" s="2" t="n">
        <f aca="false">IF(K276&gt;Assumptions!$B$19,0,IF(K276&gt;=Assumptions!$B$20,25,IF(K276&gt;=Assumptions!$B$21,50,IF(K276&gt;=Assumptions!$B$22,75,100))))</f>
        <v>100</v>
      </c>
      <c r="O276" s="2" t="n">
        <f aca="false">IF(L276&gt;=Assumptions!$B$25,0,IF(L276&gt;=Assumptions!$B$26,25,IF(L276=Assumptions!$B$27,50,IF(L276=Assumptions!$B$28,75,100))))</f>
        <v>100</v>
      </c>
      <c r="P276" s="21" t="n">
        <f aca="false">M276*Assumptions!$B$4+N276*Assumptions!$B$5+O276*Assumptions!$B$6</f>
        <v>50</v>
      </c>
      <c r="Q276" s="21" t="n">
        <f aca="false">IF(J276&lt;=Assumptions!$B$8,0,P276)</f>
        <v>0</v>
      </c>
      <c r="R276" s="2" t="str">
        <f aca="false">IF(Q276&gt;=Assumptions!$B$9,"High",IF(Q276&gt;=Assumptions!$B$10,"Medium","Low"))</f>
        <v>Low</v>
      </c>
      <c r="S276" s="21" t="n">
        <f aca="false">(N276*Assumptions!$B$5+O276*Assumptions!$B$6)/(Assumptions!$B$5+Assumptions!$B$6)</f>
        <v>100</v>
      </c>
      <c r="T276" s="2" t="str">
        <f aca="false">IF(AND(J276&gt;Assumptions!$B$8,G276&lt;=Assumptions!$B$30),"Low confidence","")</f>
        <v/>
      </c>
      <c r="U276" s="2" t="n">
        <f aca="false">(J276&gt;40)+(F276&gt;2000)+(K276&lt;10)+(L276=0)</f>
        <v>2</v>
      </c>
      <c r="V276" s="21" t="n">
        <f aca="false">IF(J276&lt;20,0,IF(J276&lt;40,25,M276))*Assumptions!$B$4+N276*Assumptions!$B$5+O276*Assumptions!$B$6</f>
        <v>50</v>
      </c>
      <c r="W276" s="2" t="str">
        <f aca="false">IF(V276&gt;=70,"High",IF(V276&gt;=40,"Medium","Low"))</f>
        <v>Medium</v>
      </c>
    </row>
    <row r="277" customFormat="false" ht="15" hidden="false" customHeight="false" outlineLevel="0" collapsed="false">
      <c r="A277" s="2" t="s">
        <v>916</v>
      </c>
      <c r="B277" s="2" t="s">
        <v>1574</v>
      </c>
      <c r="C277" s="2" t="s">
        <v>1640</v>
      </c>
      <c r="D277" s="2"/>
      <c r="E277" s="2" t="n">
        <v>2</v>
      </c>
      <c r="F277" s="9" t="n">
        <v>142</v>
      </c>
      <c r="G277" s="2" t="n">
        <v>1</v>
      </c>
      <c r="H277" s="2" t="n">
        <v>0</v>
      </c>
      <c r="I277" s="2" t="n">
        <v>1</v>
      </c>
      <c r="J277" s="2" t="n">
        <v>0</v>
      </c>
      <c r="K277" s="2" t="n">
        <v>5</v>
      </c>
      <c r="L277" s="2" t="n">
        <v>0</v>
      </c>
      <c r="M277" s="2" t="n">
        <f aca="false">IF(J277&lt;=Assumptions!$B$13,0,IF(J277&lt;Assumptions!$B$14,25,IF(J277&lt;Assumptions!$B$15,50,IF(J277&lt;Assumptions!$B$16,75,100))))</f>
        <v>0</v>
      </c>
      <c r="N277" s="2" t="n">
        <f aca="false">IF(K277&gt;Assumptions!$B$19,0,IF(K277&gt;=Assumptions!$B$20,25,IF(K277&gt;=Assumptions!$B$21,50,IF(K277&gt;=Assumptions!$B$22,75,100))))</f>
        <v>75</v>
      </c>
      <c r="O277" s="2" t="n">
        <f aca="false">IF(L277&gt;=Assumptions!$B$25,0,IF(L277&gt;=Assumptions!$B$26,25,IF(L277=Assumptions!$B$27,50,IF(L277=Assumptions!$B$28,75,100))))</f>
        <v>100</v>
      </c>
      <c r="P277" s="21" t="n">
        <f aca="false">M277*Assumptions!$B$4+N277*Assumptions!$B$5+O277*Assumptions!$B$6</f>
        <v>42.5</v>
      </c>
      <c r="Q277" s="21" t="n">
        <f aca="false">IF(J277&lt;=Assumptions!$B$8,0,P277)</f>
        <v>0</v>
      </c>
      <c r="R277" s="2" t="str">
        <f aca="false">IF(Q277&gt;=Assumptions!$B$9,"High",IF(Q277&gt;=Assumptions!$B$10,"Medium","Low"))</f>
        <v>Low</v>
      </c>
      <c r="S277" s="21" t="n">
        <f aca="false">(N277*Assumptions!$B$5+O277*Assumptions!$B$6)/(Assumptions!$B$5+Assumptions!$B$6)</f>
        <v>85</v>
      </c>
      <c r="T277" s="2" t="str">
        <f aca="false">IF(AND(J277&gt;Assumptions!$B$8,G277&lt;=Assumptions!$B$30),"Low confidence","")</f>
        <v/>
      </c>
      <c r="U277" s="2" t="n">
        <f aca="false">(J277&gt;40)+(F277&gt;2000)+(K277&lt;10)+(L277=0)</f>
        <v>2</v>
      </c>
      <c r="V277" s="21" t="n">
        <f aca="false">IF(J277&lt;20,0,IF(J277&lt;40,25,M277))*Assumptions!$B$4+N277*Assumptions!$B$5+O277*Assumptions!$B$6</f>
        <v>42.5</v>
      </c>
      <c r="W277" s="2" t="str">
        <f aca="false">IF(V277&gt;=70,"High",IF(V277&gt;=40,"Medium","Low"))</f>
        <v>Medium</v>
      </c>
    </row>
    <row r="278" customFormat="false" ht="15" hidden="false" customHeight="false" outlineLevel="0" collapsed="false">
      <c r="A278" s="2" t="s">
        <v>918</v>
      </c>
      <c r="B278" s="2" t="s">
        <v>1574</v>
      </c>
      <c r="C278" s="2" t="s">
        <v>1640</v>
      </c>
      <c r="D278" s="2"/>
      <c r="E278" s="2" t="n">
        <v>1</v>
      </c>
      <c r="F278" s="9" t="n">
        <v>140</v>
      </c>
      <c r="G278" s="2" t="n">
        <v>1</v>
      </c>
      <c r="H278" s="2" t="n">
        <v>0</v>
      </c>
      <c r="I278" s="2" t="n">
        <v>1</v>
      </c>
      <c r="J278" s="2" t="n">
        <v>0</v>
      </c>
      <c r="K278" s="2" t="n">
        <v>3</v>
      </c>
      <c r="L278" s="2" t="n">
        <v>4</v>
      </c>
      <c r="M278" s="2" t="n">
        <f aca="false">IF(J278&lt;=Assumptions!$B$13,0,IF(J278&lt;Assumptions!$B$14,25,IF(J278&lt;Assumptions!$B$15,50,IF(J278&lt;Assumptions!$B$16,75,100))))</f>
        <v>0</v>
      </c>
      <c r="N278" s="2" t="n">
        <f aca="false">IF(K278&gt;Assumptions!$B$19,0,IF(K278&gt;=Assumptions!$B$20,25,IF(K278&gt;=Assumptions!$B$21,50,IF(K278&gt;=Assumptions!$B$22,75,100))))</f>
        <v>100</v>
      </c>
      <c r="O278" s="2" t="n">
        <f aca="false">IF(L278&gt;=Assumptions!$B$25,0,IF(L278&gt;=Assumptions!$B$26,25,IF(L278=Assumptions!$B$27,50,IF(L278=Assumptions!$B$28,75,100))))</f>
        <v>25</v>
      </c>
      <c r="P278" s="21" t="n">
        <f aca="false">M278*Assumptions!$B$4+N278*Assumptions!$B$5+O278*Assumptions!$B$6</f>
        <v>35</v>
      </c>
      <c r="Q278" s="21" t="n">
        <f aca="false">IF(J278&lt;=Assumptions!$B$8,0,P278)</f>
        <v>0</v>
      </c>
      <c r="R278" s="2" t="str">
        <f aca="false">IF(Q278&gt;=Assumptions!$B$9,"High",IF(Q278&gt;=Assumptions!$B$10,"Medium","Low"))</f>
        <v>Low</v>
      </c>
      <c r="S278" s="21" t="n">
        <f aca="false">(N278*Assumptions!$B$5+O278*Assumptions!$B$6)/(Assumptions!$B$5+Assumptions!$B$6)</f>
        <v>70</v>
      </c>
      <c r="T278" s="2" t="str">
        <f aca="false">IF(AND(J278&gt;Assumptions!$B$8,G278&lt;=Assumptions!$B$30),"Low confidence","")</f>
        <v/>
      </c>
      <c r="U278" s="2" t="n">
        <f aca="false">(J278&gt;40)+(F278&gt;2000)+(K278&lt;10)+(L278=0)</f>
        <v>1</v>
      </c>
      <c r="V278" s="21" t="n">
        <f aca="false">IF(J278&lt;20,0,IF(J278&lt;40,25,M278))*Assumptions!$B$4+N278*Assumptions!$B$5+O278*Assumptions!$B$6</f>
        <v>35</v>
      </c>
      <c r="W278" s="2" t="str">
        <f aca="false">IF(V278&gt;=70,"High",IF(V278&gt;=40,"Medium","Low"))</f>
        <v>Low</v>
      </c>
    </row>
    <row r="279" customFormat="false" ht="15" hidden="false" customHeight="false" outlineLevel="0" collapsed="false">
      <c r="A279" s="2" t="s">
        <v>920</v>
      </c>
      <c r="B279" s="2" t="s">
        <v>1574</v>
      </c>
      <c r="C279" s="2" t="s">
        <v>1640</v>
      </c>
      <c r="D279" s="2"/>
      <c r="E279" s="2" t="n">
        <v>4</v>
      </c>
      <c r="F279" s="9" t="n">
        <v>138</v>
      </c>
      <c r="G279" s="2" t="n">
        <v>2</v>
      </c>
      <c r="H279" s="2" t="n">
        <v>0</v>
      </c>
      <c r="I279" s="2" t="n">
        <v>2</v>
      </c>
      <c r="J279" s="2" t="n">
        <v>0</v>
      </c>
      <c r="K279" s="2" t="n">
        <v>8</v>
      </c>
      <c r="L279" s="2" t="n">
        <v>0</v>
      </c>
      <c r="M279" s="2" t="n">
        <f aca="false">IF(J279&lt;=Assumptions!$B$13,0,IF(J279&lt;Assumptions!$B$14,25,IF(J279&lt;Assumptions!$B$15,50,IF(J279&lt;Assumptions!$B$16,75,100))))</f>
        <v>0</v>
      </c>
      <c r="N279" s="2" t="n">
        <f aca="false">IF(K279&gt;Assumptions!$B$19,0,IF(K279&gt;=Assumptions!$B$20,25,IF(K279&gt;=Assumptions!$B$21,50,IF(K279&gt;=Assumptions!$B$22,75,100))))</f>
        <v>75</v>
      </c>
      <c r="O279" s="2" t="n">
        <f aca="false">IF(L279&gt;=Assumptions!$B$25,0,IF(L279&gt;=Assumptions!$B$26,25,IF(L279=Assumptions!$B$27,50,IF(L279=Assumptions!$B$28,75,100))))</f>
        <v>100</v>
      </c>
      <c r="P279" s="21" t="n">
        <f aca="false">M279*Assumptions!$B$4+N279*Assumptions!$B$5+O279*Assumptions!$B$6</f>
        <v>42.5</v>
      </c>
      <c r="Q279" s="21" t="n">
        <f aca="false">IF(J279&lt;=Assumptions!$B$8,0,P279)</f>
        <v>0</v>
      </c>
      <c r="R279" s="2" t="str">
        <f aca="false">IF(Q279&gt;=Assumptions!$B$9,"High",IF(Q279&gt;=Assumptions!$B$10,"Medium","Low"))</f>
        <v>Low</v>
      </c>
      <c r="S279" s="21" t="n">
        <f aca="false">(N279*Assumptions!$B$5+O279*Assumptions!$B$6)/(Assumptions!$B$5+Assumptions!$B$6)</f>
        <v>85</v>
      </c>
      <c r="T279" s="2" t="str">
        <f aca="false">IF(AND(J279&gt;Assumptions!$B$8,G279&lt;=Assumptions!$B$30),"Low confidence","")</f>
        <v/>
      </c>
      <c r="U279" s="2" t="n">
        <f aca="false">(J279&gt;40)+(F279&gt;2000)+(K279&lt;10)+(L279=0)</f>
        <v>2</v>
      </c>
      <c r="V279" s="21" t="n">
        <f aca="false">IF(J279&lt;20,0,IF(J279&lt;40,25,M279))*Assumptions!$B$4+N279*Assumptions!$B$5+O279*Assumptions!$B$6</f>
        <v>42.5</v>
      </c>
      <c r="W279" s="2" t="str">
        <f aca="false">IF(V279&gt;=70,"High",IF(V279&gt;=40,"Medium","Low"))</f>
        <v>Medium</v>
      </c>
    </row>
    <row r="280" customFormat="false" ht="15" hidden="false" customHeight="false" outlineLevel="0" collapsed="false">
      <c r="A280" s="2" t="s">
        <v>924</v>
      </c>
      <c r="B280" s="2" t="s">
        <v>1574</v>
      </c>
      <c r="C280" s="2" t="s">
        <v>1640</v>
      </c>
      <c r="D280" s="2"/>
      <c r="E280" s="2" t="n">
        <v>3</v>
      </c>
      <c r="F280" s="9" t="n">
        <v>131</v>
      </c>
      <c r="G280" s="2" t="n">
        <v>1</v>
      </c>
      <c r="H280" s="2" t="n">
        <v>0</v>
      </c>
      <c r="I280" s="2" t="n">
        <v>1</v>
      </c>
      <c r="J280" s="2" t="n">
        <v>0</v>
      </c>
      <c r="K280" s="2" t="n">
        <v>6</v>
      </c>
      <c r="L280" s="2" t="n">
        <v>3</v>
      </c>
      <c r="M280" s="2" t="n">
        <f aca="false">IF(J280&lt;=Assumptions!$B$13,0,IF(J280&lt;Assumptions!$B$14,25,IF(J280&lt;Assumptions!$B$15,50,IF(J280&lt;Assumptions!$B$16,75,100))))</f>
        <v>0</v>
      </c>
      <c r="N280" s="2" t="n">
        <f aca="false">IF(K280&gt;Assumptions!$B$19,0,IF(K280&gt;=Assumptions!$B$20,25,IF(K280&gt;=Assumptions!$B$21,50,IF(K280&gt;=Assumptions!$B$22,75,100))))</f>
        <v>75</v>
      </c>
      <c r="O280" s="2" t="n">
        <f aca="false">IF(L280&gt;=Assumptions!$B$25,0,IF(L280&gt;=Assumptions!$B$26,25,IF(L280=Assumptions!$B$27,50,IF(L280=Assumptions!$B$28,75,100))))</f>
        <v>25</v>
      </c>
      <c r="P280" s="21" t="n">
        <f aca="false">M280*Assumptions!$B$4+N280*Assumptions!$B$5+O280*Assumptions!$B$6</f>
        <v>27.5</v>
      </c>
      <c r="Q280" s="21" t="n">
        <f aca="false">IF(J280&lt;=Assumptions!$B$8,0,P280)</f>
        <v>0</v>
      </c>
      <c r="R280" s="2" t="str">
        <f aca="false">IF(Q280&gt;=Assumptions!$B$9,"High",IF(Q280&gt;=Assumptions!$B$10,"Medium","Low"))</f>
        <v>Low</v>
      </c>
      <c r="S280" s="21" t="n">
        <f aca="false">(N280*Assumptions!$B$5+O280*Assumptions!$B$6)/(Assumptions!$B$5+Assumptions!$B$6)</f>
        <v>55</v>
      </c>
      <c r="T280" s="2" t="str">
        <f aca="false">IF(AND(J280&gt;Assumptions!$B$8,G280&lt;=Assumptions!$B$30),"Low confidence","")</f>
        <v/>
      </c>
      <c r="U280" s="2" t="n">
        <f aca="false">(J280&gt;40)+(F280&gt;2000)+(K280&lt;10)+(L280=0)</f>
        <v>1</v>
      </c>
      <c r="V280" s="21" t="n">
        <f aca="false">IF(J280&lt;20,0,IF(J280&lt;40,25,M280))*Assumptions!$B$4+N280*Assumptions!$B$5+O280*Assumptions!$B$6</f>
        <v>27.5</v>
      </c>
      <c r="W280" s="2" t="str">
        <f aca="false">IF(V280&gt;=70,"High",IF(V280&gt;=40,"Medium","Low"))</f>
        <v>Low</v>
      </c>
    </row>
    <row r="281" customFormat="false" ht="15" hidden="false" customHeight="false" outlineLevel="0" collapsed="false">
      <c r="A281" s="2" t="s">
        <v>928</v>
      </c>
      <c r="B281" s="2" t="s">
        <v>1574</v>
      </c>
      <c r="C281" s="2" t="s">
        <v>1640</v>
      </c>
      <c r="D281" s="2"/>
      <c r="E281" s="2" t="n">
        <v>2</v>
      </c>
      <c r="F281" s="9" t="n">
        <v>123</v>
      </c>
      <c r="G281" s="2" t="n">
        <v>1</v>
      </c>
      <c r="H281" s="2" t="n">
        <v>0</v>
      </c>
      <c r="I281" s="2" t="n">
        <v>1</v>
      </c>
      <c r="J281" s="2" t="n">
        <v>0</v>
      </c>
      <c r="K281" s="2" t="n">
        <v>6</v>
      </c>
      <c r="L281" s="2" t="n">
        <v>0</v>
      </c>
      <c r="M281" s="2" t="n">
        <f aca="false">IF(J281&lt;=Assumptions!$B$13,0,IF(J281&lt;Assumptions!$B$14,25,IF(J281&lt;Assumptions!$B$15,50,IF(J281&lt;Assumptions!$B$16,75,100))))</f>
        <v>0</v>
      </c>
      <c r="N281" s="2" t="n">
        <f aca="false">IF(K281&gt;Assumptions!$B$19,0,IF(K281&gt;=Assumptions!$B$20,25,IF(K281&gt;=Assumptions!$B$21,50,IF(K281&gt;=Assumptions!$B$22,75,100))))</f>
        <v>75</v>
      </c>
      <c r="O281" s="2" t="n">
        <f aca="false">IF(L281&gt;=Assumptions!$B$25,0,IF(L281&gt;=Assumptions!$B$26,25,IF(L281=Assumptions!$B$27,50,IF(L281=Assumptions!$B$28,75,100))))</f>
        <v>100</v>
      </c>
      <c r="P281" s="21" t="n">
        <f aca="false">M281*Assumptions!$B$4+N281*Assumptions!$B$5+O281*Assumptions!$B$6</f>
        <v>42.5</v>
      </c>
      <c r="Q281" s="21" t="n">
        <f aca="false">IF(J281&lt;=Assumptions!$B$8,0,P281)</f>
        <v>0</v>
      </c>
      <c r="R281" s="2" t="str">
        <f aca="false">IF(Q281&gt;=Assumptions!$B$9,"High",IF(Q281&gt;=Assumptions!$B$10,"Medium","Low"))</f>
        <v>Low</v>
      </c>
      <c r="S281" s="21" t="n">
        <f aca="false">(N281*Assumptions!$B$5+O281*Assumptions!$B$6)/(Assumptions!$B$5+Assumptions!$B$6)</f>
        <v>85</v>
      </c>
      <c r="T281" s="2" t="str">
        <f aca="false">IF(AND(J281&gt;Assumptions!$B$8,G281&lt;=Assumptions!$B$30),"Low confidence","")</f>
        <v/>
      </c>
      <c r="U281" s="2" t="n">
        <f aca="false">(J281&gt;40)+(F281&gt;2000)+(K281&lt;10)+(L281=0)</f>
        <v>2</v>
      </c>
      <c r="V281" s="21" t="n">
        <f aca="false">IF(J281&lt;20,0,IF(J281&lt;40,25,M281))*Assumptions!$B$4+N281*Assumptions!$B$5+O281*Assumptions!$B$6</f>
        <v>42.5</v>
      </c>
      <c r="W281" s="2" t="str">
        <f aca="false">IF(V281&gt;=70,"High",IF(V281&gt;=40,"Medium","Low"))</f>
        <v>Medium</v>
      </c>
    </row>
    <row r="282" customFormat="false" ht="15" hidden="false" customHeight="false" outlineLevel="0" collapsed="false">
      <c r="A282" s="2" t="s">
        <v>932</v>
      </c>
      <c r="B282" s="2" t="s">
        <v>1574</v>
      </c>
      <c r="C282" s="2" t="s">
        <v>1640</v>
      </c>
      <c r="D282" s="2"/>
      <c r="E282" s="2" t="n">
        <v>4</v>
      </c>
      <c r="F282" s="9" t="n">
        <v>119</v>
      </c>
      <c r="G282" s="2" t="n">
        <v>1</v>
      </c>
      <c r="H282" s="2" t="n">
        <v>0</v>
      </c>
      <c r="I282" s="2" t="n">
        <v>1</v>
      </c>
      <c r="J282" s="2" t="n">
        <v>0</v>
      </c>
      <c r="K282" s="2" t="n">
        <v>36</v>
      </c>
      <c r="L282" s="2" t="n">
        <v>10</v>
      </c>
      <c r="M282" s="2" t="n">
        <f aca="false">IF(J282&lt;=Assumptions!$B$13,0,IF(J282&lt;Assumptions!$B$14,25,IF(J282&lt;Assumptions!$B$15,50,IF(J282&lt;Assumptions!$B$16,75,100))))</f>
        <v>0</v>
      </c>
      <c r="N282" s="2" t="n">
        <f aca="false">IF(K282&gt;Assumptions!$B$19,0,IF(K282&gt;=Assumptions!$B$20,25,IF(K282&gt;=Assumptions!$B$21,50,IF(K282&gt;=Assumptions!$B$22,75,100))))</f>
        <v>0</v>
      </c>
      <c r="O282" s="2" t="n">
        <f aca="false">IF(L282&gt;=Assumptions!$B$25,0,IF(L282&gt;=Assumptions!$B$26,25,IF(L282=Assumptions!$B$27,50,IF(L282=Assumptions!$B$28,75,100))))</f>
        <v>0</v>
      </c>
      <c r="P282" s="21" t="n">
        <f aca="false">M282*Assumptions!$B$4+N282*Assumptions!$B$5+O282*Assumptions!$B$6</f>
        <v>0</v>
      </c>
      <c r="Q282" s="21" t="n">
        <f aca="false">IF(J282&lt;=Assumptions!$B$8,0,P282)</f>
        <v>0</v>
      </c>
      <c r="R282" s="2" t="str">
        <f aca="false">IF(Q282&gt;=Assumptions!$B$9,"High",IF(Q282&gt;=Assumptions!$B$10,"Medium","Low"))</f>
        <v>Low</v>
      </c>
      <c r="S282" s="21" t="n">
        <f aca="false">(N282*Assumptions!$B$5+O282*Assumptions!$B$6)/(Assumptions!$B$5+Assumptions!$B$6)</f>
        <v>0</v>
      </c>
      <c r="T282" s="2" t="str">
        <f aca="false">IF(AND(J282&gt;Assumptions!$B$8,G282&lt;=Assumptions!$B$30),"Low confidence","")</f>
        <v/>
      </c>
      <c r="U282" s="2" t="n">
        <f aca="false">(J282&gt;40)+(F282&gt;2000)+(K282&lt;10)+(L282=0)</f>
        <v>0</v>
      </c>
      <c r="V282" s="21" t="n">
        <f aca="false">IF(J282&lt;20,0,IF(J282&lt;40,25,M282))*Assumptions!$B$4+N282*Assumptions!$B$5+O282*Assumptions!$B$6</f>
        <v>0</v>
      </c>
      <c r="W282" s="2" t="str">
        <f aca="false">IF(V282&gt;=70,"High",IF(V282&gt;=40,"Medium","Low"))</f>
        <v>Low</v>
      </c>
    </row>
    <row r="283" customFormat="false" ht="15" hidden="false" customHeight="false" outlineLevel="0" collapsed="false">
      <c r="A283" s="2" t="s">
        <v>934</v>
      </c>
      <c r="B283" s="2" t="s">
        <v>1574</v>
      </c>
      <c r="C283" s="2" t="s">
        <v>1640</v>
      </c>
      <c r="D283" s="2"/>
      <c r="E283" s="2" t="n">
        <v>2</v>
      </c>
      <c r="F283" s="9" t="n">
        <v>118</v>
      </c>
      <c r="G283" s="2" t="n">
        <v>1</v>
      </c>
      <c r="H283" s="2" t="n">
        <v>0</v>
      </c>
      <c r="I283" s="2" t="n">
        <v>1</v>
      </c>
      <c r="J283" s="2" t="n">
        <v>0</v>
      </c>
      <c r="K283" s="2" t="n">
        <v>3</v>
      </c>
      <c r="L283" s="2" t="n">
        <v>0</v>
      </c>
      <c r="M283" s="2" t="n">
        <f aca="false">IF(J283&lt;=Assumptions!$B$13,0,IF(J283&lt;Assumptions!$B$14,25,IF(J283&lt;Assumptions!$B$15,50,IF(J283&lt;Assumptions!$B$16,75,100))))</f>
        <v>0</v>
      </c>
      <c r="N283" s="2" t="n">
        <f aca="false">IF(K283&gt;Assumptions!$B$19,0,IF(K283&gt;=Assumptions!$B$20,25,IF(K283&gt;=Assumptions!$B$21,50,IF(K283&gt;=Assumptions!$B$22,75,100))))</f>
        <v>100</v>
      </c>
      <c r="O283" s="2" t="n">
        <f aca="false">IF(L283&gt;=Assumptions!$B$25,0,IF(L283&gt;=Assumptions!$B$26,25,IF(L283=Assumptions!$B$27,50,IF(L283=Assumptions!$B$28,75,100))))</f>
        <v>100</v>
      </c>
      <c r="P283" s="21" t="n">
        <f aca="false">M283*Assumptions!$B$4+N283*Assumptions!$B$5+O283*Assumptions!$B$6</f>
        <v>50</v>
      </c>
      <c r="Q283" s="21" t="n">
        <f aca="false">IF(J283&lt;=Assumptions!$B$8,0,P283)</f>
        <v>0</v>
      </c>
      <c r="R283" s="2" t="str">
        <f aca="false">IF(Q283&gt;=Assumptions!$B$9,"High",IF(Q283&gt;=Assumptions!$B$10,"Medium","Low"))</f>
        <v>Low</v>
      </c>
      <c r="S283" s="21" t="n">
        <f aca="false">(N283*Assumptions!$B$5+O283*Assumptions!$B$6)/(Assumptions!$B$5+Assumptions!$B$6)</f>
        <v>100</v>
      </c>
      <c r="T283" s="2" t="str">
        <f aca="false">IF(AND(J283&gt;Assumptions!$B$8,G283&lt;=Assumptions!$B$30),"Low confidence","")</f>
        <v/>
      </c>
      <c r="U283" s="2" t="n">
        <f aca="false">(J283&gt;40)+(F283&gt;2000)+(K283&lt;10)+(L283=0)</f>
        <v>2</v>
      </c>
      <c r="V283" s="21" t="n">
        <f aca="false">IF(J283&lt;20,0,IF(J283&lt;40,25,M283))*Assumptions!$B$4+N283*Assumptions!$B$5+O283*Assumptions!$B$6</f>
        <v>50</v>
      </c>
      <c r="W283" s="2" t="str">
        <f aca="false">IF(V283&gt;=70,"High",IF(V283&gt;=40,"Medium","Low"))</f>
        <v>Medium</v>
      </c>
    </row>
    <row r="284" customFormat="false" ht="15" hidden="false" customHeight="false" outlineLevel="0" collapsed="false">
      <c r="A284" s="2" t="s">
        <v>944</v>
      </c>
      <c r="B284" s="2" t="s">
        <v>1574</v>
      </c>
      <c r="C284" s="2" t="s">
        <v>1640</v>
      </c>
      <c r="D284" s="2"/>
      <c r="E284" s="2" t="n">
        <v>5</v>
      </c>
      <c r="F284" s="9" t="n">
        <v>112</v>
      </c>
      <c r="G284" s="2" t="n">
        <v>2</v>
      </c>
      <c r="H284" s="2" t="n">
        <v>0</v>
      </c>
      <c r="I284" s="2" t="n">
        <v>2</v>
      </c>
      <c r="J284" s="2" t="n">
        <v>0</v>
      </c>
      <c r="K284" s="2" t="n">
        <v>19</v>
      </c>
      <c r="L284" s="2" t="n">
        <v>1</v>
      </c>
      <c r="M284" s="2" t="n">
        <f aca="false">IF(J284&lt;=Assumptions!$B$13,0,IF(J284&lt;Assumptions!$B$14,25,IF(J284&lt;Assumptions!$B$15,50,IF(J284&lt;Assumptions!$B$16,75,100))))</f>
        <v>0</v>
      </c>
      <c r="N284" s="2" t="n">
        <f aca="false">IF(K284&gt;Assumptions!$B$19,0,IF(K284&gt;=Assumptions!$B$20,25,IF(K284&gt;=Assumptions!$B$21,50,IF(K284&gt;=Assumptions!$B$22,75,100))))</f>
        <v>50</v>
      </c>
      <c r="O284" s="2" t="n">
        <f aca="false">IF(L284&gt;=Assumptions!$B$25,0,IF(L284&gt;=Assumptions!$B$26,25,IF(L284=Assumptions!$B$27,50,IF(L284=Assumptions!$B$28,75,100))))</f>
        <v>75</v>
      </c>
      <c r="P284" s="21" t="n">
        <f aca="false">M284*Assumptions!$B$4+N284*Assumptions!$B$5+O284*Assumptions!$B$6</f>
        <v>30</v>
      </c>
      <c r="Q284" s="21" t="n">
        <f aca="false">IF(J284&lt;=Assumptions!$B$8,0,P284)</f>
        <v>0</v>
      </c>
      <c r="R284" s="2" t="str">
        <f aca="false">IF(Q284&gt;=Assumptions!$B$9,"High",IF(Q284&gt;=Assumptions!$B$10,"Medium","Low"))</f>
        <v>Low</v>
      </c>
      <c r="S284" s="21" t="n">
        <f aca="false">(N284*Assumptions!$B$5+O284*Assumptions!$B$6)/(Assumptions!$B$5+Assumptions!$B$6)</f>
        <v>60</v>
      </c>
      <c r="T284" s="2" t="str">
        <f aca="false">IF(AND(J284&gt;Assumptions!$B$8,G284&lt;=Assumptions!$B$30),"Low confidence","")</f>
        <v/>
      </c>
      <c r="U284" s="2" t="n">
        <f aca="false">(J284&gt;40)+(F284&gt;2000)+(K284&lt;10)+(L284=0)</f>
        <v>0</v>
      </c>
      <c r="V284" s="21" t="n">
        <f aca="false">IF(J284&lt;20,0,IF(J284&lt;40,25,M284))*Assumptions!$B$4+N284*Assumptions!$B$5+O284*Assumptions!$B$6</f>
        <v>30</v>
      </c>
      <c r="W284" s="2" t="str">
        <f aca="false">IF(V284&gt;=70,"High",IF(V284&gt;=40,"Medium","Low"))</f>
        <v>Low</v>
      </c>
    </row>
    <row r="285" customFormat="false" ht="15" hidden="false" customHeight="false" outlineLevel="0" collapsed="false">
      <c r="A285" s="2" t="s">
        <v>954</v>
      </c>
      <c r="B285" s="2" t="s">
        <v>1574</v>
      </c>
      <c r="C285" s="2" t="s">
        <v>1640</v>
      </c>
      <c r="D285" s="2"/>
      <c r="E285" s="2" t="n">
        <v>1</v>
      </c>
      <c r="F285" s="9" t="n">
        <v>104</v>
      </c>
      <c r="G285" s="2" t="n">
        <v>1</v>
      </c>
      <c r="H285" s="2" t="n">
        <v>0</v>
      </c>
      <c r="I285" s="2" t="n">
        <v>1</v>
      </c>
      <c r="J285" s="2" t="n">
        <v>0</v>
      </c>
      <c r="K285" s="2" t="n">
        <v>1</v>
      </c>
      <c r="L285" s="2" t="n">
        <v>0</v>
      </c>
      <c r="M285" s="2" t="n">
        <f aca="false">IF(J285&lt;=Assumptions!$B$13,0,IF(J285&lt;Assumptions!$B$14,25,IF(J285&lt;Assumptions!$B$15,50,IF(J285&lt;Assumptions!$B$16,75,100))))</f>
        <v>0</v>
      </c>
      <c r="N285" s="2" t="n">
        <f aca="false">IF(K285&gt;Assumptions!$B$19,0,IF(K285&gt;=Assumptions!$B$20,25,IF(K285&gt;=Assumptions!$B$21,50,IF(K285&gt;=Assumptions!$B$22,75,100))))</f>
        <v>100</v>
      </c>
      <c r="O285" s="2" t="n">
        <f aca="false">IF(L285&gt;=Assumptions!$B$25,0,IF(L285&gt;=Assumptions!$B$26,25,IF(L285=Assumptions!$B$27,50,IF(L285=Assumptions!$B$28,75,100))))</f>
        <v>100</v>
      </c>
      <c r="P285" s="21" t="n">
        <f aca="false">M285*Assumptions!$B$4+N285*Assumptions!$B$5+O285*Assumptions!$B$6</f>
        <v>50</v>
      </c>
      <c r="Q285" s="21" t="n">
        <f aca="false">IF(J285&lt;=Assumptions!$B$8,0,P285)</f>
        <v>0</v>
      </c>
      <c r="R285" s="2" t="str">
        <f aca="false">IF(Q285&gt;=Assumptions!$B$9,"High",IF(Q285&gt;=Assumptions!$B$10,"Medium","Low"))</f>
        <v>Low</v>
      </c>
      <c r="S285" s="21" t="n">
        <f aca="false">(N285*Assumptions!$B$5+O285*Assumptions!$B$6)/(Assumptions!$B$5+Assumptions!$B$6)</f>
        <v>100</v>
      </c>
      <c r="T285" s="2" t="str">
        <f aca="false">IF(AND(J285&gt;Assumptions!$B$8,G285&lt;=Assumptions!$B$30),"Low confidence","")</f>
        <v/>
      </c>
      <c r="U285" s="2" t="n">
        <f aca="false">(J285&gt;40)+(F285&gt;2000)+(K285&lt;10)+(L285=0)</f>
        <v>2</v>
      </c>
      <c r="V285" s="21" t="n">
        <f aca="false">IF(J285&lt;20,0,IF(J285&lt;40,25,M285))*Assumptions!$B$4+N285*Assumptions!$B$5+O285*Assumptions!$B$6</f>
        <v>50</v>
      </c>
      <c r="W285" s="2" t="str">
        <f aca="false">IF(V285&gt;=70,"High",IF(V285&gt;=40,"Medium","Low"))</f>
        <v>Medium</v>
      </c>
    </row>
    <row r="286" customFormat="false" ht="15" hidden="false" customHeight="false" outlineLevel="0" collapsed="false">
      <c r="A286" s="2" t="s">
        <v>960</v>
      </c>
      <c r="B286" s="2" t="s">
        <v>1574</v>
      </c>
      <c r="C286" s="2" t="s">
        <v>1640</v>
      </c>
      <c r="D286" s="2"/>
      <c r="E286" s="2" t="n">
        <v>1</v>
      </c>
      <c r="F286" s="9" t="n">
        <v>98</v>
      </c>
      <c r="G286" s="2" t="n">
        <v>1</v>
      </c>
      <c r="H286" s="2" t="n">
        <v>0</v>
      </c>
      <c r="I286" s="2" t="n">
        <v>1</v>
      </c>
      <c r="J286" s="2" t="n">
        <v>0</v>
      </c>
      <c r="K286" s="2" t="n">
        <v>0</v>
      </c>
      <c r="L286" s="2" t="n">
        <v>0</v>
      </c>
      <c r="M286" s="2" t="n">
        <f aca="false">IF(J286&lt;=Assumptions!$B$13,0,IF(J286&lt;Assumptions!$B$14,25,IF(J286&lt;Assumptions!$B$15,50,IF(J286&lt;Assumptions!$B$16,75,100))))</f>
        <v>0</v>
      </c>
      <c r="N286" s="2" t="n">
        <f aca="false">IF(K286&gt;Assumptions!$B$19,0,IF(K286&gt;=Assumptions!$B$20,25,IF(K286&gt;=Assumptions!$B$21,50,IF(K286&gt;=Assumptions!$B$22,75,100))))</f>
        <v>100</v>
      </c>
      <c r="O286" s="2" t="n">
        <f aca="false">IF(L286&gt;=Assumptions!$B$25,0,IF(L286&gt;=Assumptions!$B$26,25,IF(L286=Assumptions!$B$27,50,IF(L286=Assumptions!$B$28,75,100))))</f>
        <v>100</v>
      </c>
      <c r="P286" s="21" t="n">
        <f aca="false">M286*Assumptions!$B$4+N286*Assumptions!$B$5+O286*Assumptions!$B$6</f>
        <v>50</v>
      </c>
      <c r="Q286" s="21" t="n">
        <f aca="false">IF(J286&lt;=Assumptions!$B$8,0,P286)</f>
        <v>0</v>
      </c>
      <c r="R286" s="2" t="str">
        <f aca="false">IF(Q286&gt;=Assumptions!$B$9,"High",IF(Q286&gt;=Assumptions!$B$10,"Medium","Low"))</f>
        <v>Low</v>
      </c>
      <c r="S286" s="21" t="n">
        <f aca="false">(N286*Assumptions!$B$5+O286*Assumptions!$B$6)/(Assumptions!$B$5+Assumptions!$B$6)</f>
        <v>100</v>
      </c>
      <c r="T286" s="2" t="str">
        <f aca="false">IF(AND(J286&gt;Assumptions!$B$8,G286&lt;=Assumptions!$B$30),"Low confidence","")</f>
        <v/>
      </c>
      <c r="U286" s="2" t="n">
        <f aca="false">(J286&gt;40)+(F286&gt;2000)+(K286&lt;10)+(L286=0)</f>
        <v>2</v>
      </c>
      <c r="V286" s="21" t="n">
        <f aca="false">IF(J286&lt;20,0,IF(J286&lt;40,25,M286))*Assumptions!$B$4+N286*Assumptions!$B$5+O286*Assumptions!$B$6</f>
        <v>50</v>
      </c>
      <c r="W286" s="2" t="str">
        <f aca="false">IF(V286&gt;=70,"High",IF(V286&gt;=40,"Medium","Low"))</f>
        <v>Medium</v>
      </c>
    </row>
    <row r="287" customFormat="false" ht="15" hidden="false" customHeight="false" outlineLevel="0" collapsed="false">
      <c r="A287" s="2" t="s">
        <v>968</v>
      </c>
      <c r="B287" s="2" t="s">
        <v>1574</v>
      </c>
      <c r="C287" s="2" t="s">
        <v>1640</v>
      </c>
      <c r="D287" s="2"/>
      <c r="E287" s="2" t="n">
        <v>5</v>
      </c>
      <c r="F287" s="9" t="n">
        <v>96</v>
      </c>
      <c r="G287" s="2" t="n">
        <v>1</v>
      </c>
      <c r="H287" s="2" t="n">
        <v>0</v>
      </c>
      <c r="I287" s="2" t="n">
        <v>1</v>
      </c>
      <c r="J287" s="2" t="n">
        <v>0</v>
      </c>
      <c r="K287" s="2" t="n">
        <v>15</v>
      </c>
      <c r="L287" s="2" t="n">
        <v>35</v>
      </c>
      <c r="M287" s="2" t="n">
        <f aca="false">IF(J287&lt;=Assumptions!$B$13,0,IF(J287&lt;Assumptions!$B$14,25,IF(J287&lt;Assumptions!$B$15,50,IF(J287&lt;Assumptions!$B$16,75,100))))</f>
        <v>0</v>
      </c>
      <c r="N287" s="2" t="n">
        <f aca="false">IF(K287&gt;Assumptions!$B$19,0,IF(K287&gt;=Assumptions!$B$20,25,IF(K287&gt;=Assumptions!$B$21,50,IF(K287&gt;=Assumptions!$B$22,75,100))))</f>
        <v>50</v>
      </c>
      <c r="O287" s="2" t="n">
        <f aca="false">IF(L287&gt;=Assumptions!$B$25,0,IF(L287&gt;=Assumptions!$B$26,25,IF(L287=Assumptions!$B$27,50,IF(L287=Assumptions!$B$28,75,100))))</f>
        <v>0</v>
      </c>
      <c r="P287" s="21" t="n">
        <f aca="false">M287*Assumptions!$B$4+N287*Assumptions!$B$5+O287*Assumptions!$B$6</f>
        <v>15</v>
      </c>
      <c r="Q287" s="21" t="n">
        <f aca="false">IF(J287&lt;=Assumptions!$B$8,0,P287)</f>
        <v>0</v>
      </c>
      <c r="R287" s="2" t="str">
        <f aca="false">IF(Q287&gt;=Assumptions!$B$9,"High",IF(Q287&gt;=Assumptions!$B$10,"Medium","Low"))</f>
        <v>Low</v>
      </c>
      <c r="S287" s="21" t="n">
        <f aca="false">(N287*Assumptions!$B$5+O287*Assumptions!$B$6)/(Assumptions!$B$5+Assumptions!$B$6)</f>
        <v>30</v>
      </c>
      <c r="T287" s="2" t="str">
        <f aca="false">IF(AND(J287&gt;Assumptions!$B$8,G287&lt;=Assumptions!$B$30),"Low confidence","")</f>
        <v/>
      </c>
      <c r="U287" s="2" t="n">
        <f aca="false">(J287&gt;40)+(F287&gt;2000)+(K287&lt;10)+(L287=0)</f>
        <v>0</v>
      </c>
      <c r="V287" s="21" t="n">
        <f aca="false">IF(J287&lt;20,0,IF(J287&lt;40,25,M287))*Assumptions!$B$4+N287*Assumptions!$B$5+O287*Assumptions!$B$6</f>
        <v>15</v>
      </c>
      <c r="W287" s="2" t="str">
        <f aca="false">IF(V287&gt;=70,"High",IF(V287&gt;=40,"Medium","Low"))</f>
        <v>Low</v>
      </c>
    </row>
    <row r="288" customFormat="false" ht="15" hidden="false" customHeight="false" outlineLevel="0" collapsed="false">
      <c r="A288" s="2" t="s">
        <v>972</v>
      </c>
      <c r="B288" s="2" t="s">
        <v>1574</v>
      </c>
      <c r="C288" s="2" t="s">
        <v>1640</v>
      </c>
      <c r="D288" s="2"/>
      <c r="E288" s="2" t="n">
        <v>3</v>
      </c>
      <c r="F288" s="9" t="n">
        <v>94</v>
      </c>
      <c r="G288" s="2" t="n">
        <v>1</v>
      </c>
      <c r="H288" s="2" t="n">
        <v>0</v>
      </c>
      <c r="I288" s="2" t="n">
        <v>1</v>
      </c>
      <c r="J288" s="2" t="n">
        <v>0</v>
      </c>
      <c r="K288" s="2" t="n">
        <v>15</v>
      </c>
      <c r="L288" s="2" t="n">
        <v>0</v>
      </c>
      <c r="M288" s="2" t="n">
        <f aca="false">IF(J288&lt;=Assumptions!$B$13,0,IF(J288&lt;Assumptions!$B$14,25,IF(J288&lt;Assumptions!$B$15,50,IF(J288&lt;Assumptions!$B$16,75,100))))</f>
        <v>0</v>
      </c>
      <c r="N288" s="2" t="n">
        <f aca="false">IF(K288&gt;Assumptions!$B$19,0,IF(K288&gt;=Assumptions!$B$20,25,IF(K288&gt;=Assumptions!$B$21,50,IF(K288&gt;=Assumptions!$B$22,75,100))))</f>
        <v>50</v>
      </c>
      <c r="O288" s="2" t="n">
        <f aca="false">IF(L288&gt;=Assumptions!$B$25,0,IF(L288&gt;=Assumptions!$B$26,25,IF(L288=Assumptions!$B$27,50,IF(L288=Assumptions!$B$28,75,100))))</f>
        <v>100</v>
      </c>
      <c r="P288" s="21" t="n">
        <f aca="false">M288*Assumptions!$B$4+N288*Assumptions!$B$5+O288*Assumptions!$B$6</f>
        <v>35</v>
      </c>
      <c r="Q288" s="21" t="n">
        <f aca="false">IF(J288&lt;=Assumptions!$B$8,0,P288)</f>
        <v>0</v>
      </c>
      <c r="R288" s="2" t="str">
        <f aca="false">IF(Q288&gt;=Assumptions!$B$9,"High",IF(Q288&gt;=Assumptions!$B$10,"Medium","Low"))</f>
        <v>Low</v>
      </c>
      <c r="S288" s="21" t="n">
        <f aca="false">(N288*Assumptions!$B$5+O288*Assumptions!$B$6)/(Assumptions!$B$5+Assumptions!$B$6)</f>
        <v>70</v>
      </c>
      <c r="T288" s="2" t="str">
        <f aca="false">IF(AND(J288&gt;Assumptions!$B$8,G288&lt;=Assumptions!$B$30),"Low confidence","")</f>
        <v/>
      </c>
      <c r="U288" s="2" t="n">
        <f aca="false">(J288&gt;40)+(F288&gt;2000)+(K288&lt;10)+(L288=0)</f>
        <v>1</v>
      </c>
      <c r="V288" s="21" t="n">
        <f aca="false">IF(J288&lt;20,0,IF(J288&lt;40,25,M288))*Assumptions!$B$4+N288*Assumptions!$B$5+O288*Assumptions!$B$6</f>
        <v>35</v>
      </c>
      <c r="W288" s="2" t="str">
        <f aca="false">IF(V288&gt;=70,"High",IF(V288&gt;=40,"Medium","Low"))</f>
        <v>Low</v>
      </c>
    </row>
    <row r="289" customFormat="false" ht="15" hidden="false" customHeight="false" outlineLevel="0" collapsed="false">
      <c r="A289" s="2" t="s">
        <v>976</v>
      </c>
      <c r="B289" s="2" t="s">
        <v>1574</v>
      </c>
      <c r="C289" s="2" t="s">
        <v>1640</v>
      </c>
      <c r="D289" s="2"/>
      <c r="E289" s="2" t="n">
        <v>5</v>
      </c>
      <c r="F289" s="9" t="n">
        <v>88</v>
      </c>
      <c r="G289" s="2" t="n">
        <v>1</v>
      </c>
      <c r="H289" s="2" t="n">
        <v>0</v>
      </c>
      <c r="I289" s="2" t="n">
        <v>1</v>
      </c>
      <c r="J289" s="2" t="n">
        <v>0</v>
      </c>
      <c r="K289" s="2" t="n">
        <v>23</v>
      </c>
      <c r="L289" s="2" t="n">
        <v>0</v>
      </c>
      <c r="M289" s="2" t="n">
        <f aca="false">IF(J289&lt;=Assumptions!$B$13,0,IF(J289&lt;Assumptions!$B$14,25,IF(J289&lt;Assumptions!$B$15,50,IF(J289&lt;Assumptions!$B$16,75,100))))</f>
        <v>0</v>
      </c>
      <c r="N289" s="2" t="n">
        <f aca="false">IF(K289&gt;Assumptions!$B$19,0,IF(K289&gt;=Assumptions!$B$20,25,IF(K289&gt;=Assumptions!$B$21,50,IF(K289&gt;=Assumptions!$B$22,75,100))))</f>
        <v>25</v>
      </c>
      <c r="O289" s="2" t="n">
        <f aca="false">IF(L289&gt;=Assumptions!$B$25,0,IF(L289&gt;=Assumptions!$B$26,25,IF(L289=Assumptions!$B$27,50,IF(L289=Assumptions!$B$28,75,100))))</f>
        <v>100</v>
      </c>
      <c r="P289" s="21" t="n">
        <f aca="false">M289*Assumptions!$B$4+N289*Assumptions!$B$5+O289*Assumptions!$B$6</f>
        <v>27.5</v>
      </c>
      <c r="Q289" s="21" t="n">
        <f aca="false">IF(J289&lt;=Assumptions!$B$8,0,P289)</f>
        <v>0</v>
      </c>
      <c r="R289" s="2" t="str">
        <f aca="false">IF(Q289&gt;=Assumptions!$B$9,"High",IF(Q289&gt;=Assumptions!$B$10,"Medium","Low"))</f>
        <v>Low</v>
      </c>
      <c r="S289" s="21" t="n">
        <f aca="false">(N289*Assumptions!$B$5+O289*Assumptions!$B$6)/(Assumptions!$B$5+Assumptions!$B$6)</f>
        <v>55</v>
      </c>
      <c r="T289" s="2" t="str">
        <f aca="false">IF(AND(J289&gt;Assumptions!$B$8,G289&lt;=Assumptions!$B$30),"Low confidence","")</f>
        <v/>
      </c>
      <c r="U289" s="2" t="n">
        <f aca="false">(J289&gt;40)+(F289&gt;2000)+(K289&lt;10)+(L289=0)</f>
        <v>1</v>
      </c>
      <c r="V289" s="21" t="n">
        <f aca="false">IF(J289&lt;20,0,IF(J289&lt;40,25,M289))*Assumptions!$B$4+N289*Assumptions!$B$5+O289*Assumptions!$B$6</f>
        <v>27.5</v>
      </c>
      <c r="W289" s="2" t="str">
        <f aca="false">IF(V289&gt;=70,"High",IF(V289&gt;=40,"Medium","Low"))</f>
        <v>Low</v>
      </c>
    </row>
    <row r="290" customFormat="false" ht="15" hidden="false" customHeight="false" outlineLevel="0" collapsed="false">
      <c r="A290" s="2" t="s">
        <v>978</v>
      </c>
      <c r="B290" s="2" t="s">
        <v>1574</v>
      </c>
      <c r="C290" s="2" t="s">
        <v>1640</v>
      </c>
      <c r="D290" s="2"/>
      <c r="E290" s="2" t="n">
        <v>1</v>
      </c>
      <c r="F290" s="9" t="n">
        <v>87</v>
      </c>
      <c r="G290" s="2" t="n">
        <v>1</v>
      </c>
      <c r="H290" s="2" t="n">
        <v>0</v>
      </c>
      <c r="I290" s="2" t="n">
        <v>1</v>
      </c>
      <c r="J290" s="2" t="n">
        <v>0</v>
      </c>
      <c r="K290" s="2" t="n">
        <v>1</v>
      </c>
      <c r="L290" s="2" t="n">
        <v>0</v>
      </c>
      <c r="M290" s="2" t="n">
        <f aca="false">IF(J290&lt;=Assumptions!$B$13,0,IF(J290&lt;Assumptions!$B$14,25,IF(J290&lt;Assumptions!$B$15,50,IF(J290&lt;Assumptions!$B$16,75,100))))</f>
        <v>0</v>
      </c>
      <c r="N290" s="2" t="n">
        <f aca="false">IF(K290&gt;Assumptions!$B$19,0,IF(K290&gt;=Assumptions!$B$20,25,IF(K290&gt;=Assumptions!$B$21,50,IF(K290&gt;=Assumptions!$B$22,75,100))))</f>
        <v>100</v>
      </c>
      <c r="O290" s="2" t="n">
        <f aca="false">IF(L290&gt;=Assumptions!$B$25,0,IF(L290&gt;=Assumptions!$B$26,25,IF(L290=Assumptions!$B$27,50,IF(L290=Assumptions!$B$28,75,100))))</f>
        <v>100</v>
      </c>
      <c r="P290" s="21" t="n">
        <f aca="false">M290*Assumptions!$B$4+N290*Assumptions!$B$5+O290*Assumptions!$B$6</f>
        <v>50</v>
      </c>
      <c r="Q290" s="21" t="n">
        <f aca="false">IF(J290&lt;=Assumptions!$B$8,0,P290)</f>
        <v>0</v>
      </c>
      <c r="R290" s="2" t="str">
        <f aca="false">IF(Q290&gt;=Assumptions!$B$9,"High",IF(Q290&gt;=Assumptions!$B$10,"Medium","Low"))</f>
        <v>Low</v>
      </c>
      <c r="S290" s="21" t="n">
        <f aca="false">(N290*Assumptions!$B$5+O290*Assumptions!$B$6)/(Assumptions!$B$5+Assumptions!$B$6)</f>
        <v>100</v>
      </c>
      <c r="T290" s="2" t="str">
        <f aca="false">IF(AND(J290&gt;Assumptions!$B$8,G290&lt;=Assumptions!$B$30),"Low confidence","")</f>
        <v/>
      </c>
      <c r="U290" s="2" t="n">
        <f aca="false">(J290&gt;40)+(F290&gt;2000)+(K290&lt;10)+(L290=0)</f>
        <v>2</v>
      </c>
      <c r="V290" s="21" t="n">
        <f aca="false">IF(J290&lt;20,0,IF(J290&lt;40,25,M290))*Assumptions!$B$4+N290*Assumptions!$B$5+O290*Assumptions!$B$6</f>
        <v>50</v>
      </c>
      <c r="W290" s="2" t="str">
        <f aca="false">IF(V290&gt;=70,"High",IF(V290&gt;=40,"Medium","Low"))</f>
        <v>Medium</v>
      </c>
    </row>
    <row r="291" customFormat="false" ht="15" hidden="false" customHeight="false" outlineLevel="0" collapsed="false">
      <c r="A291" s="2" t="s">
        <v>980</v>
      </c>
      <c r="B291" s="2" t="s">
        <v>1574</v>
      </c>
      <c r="C291" s="2" t="s">
        <v>1640</v>
      </c>
      <c r="D291" s="2"/>
      <c r="E291" s="2" t="n">
        <v>2</v>
      </c>
      <c r="F291" s="9" t="n">
        <v>86</v>
      </c>
      <c r="G291" s="2" t="n">
        <v>1</v>
      </c>
      <c r="H291" s="2" t="n">
        <v>0</v>
      </c>
      <c r="I291" s="2" t="n">
        <v>1</v>
      </c>
      <c r="J291" s="2" t="n">
        <v>0</v>
      </c>
      <c r="K291" s="2" t="n">
        <v>3</v>
      </c>
      <c r="L291" s="2" t="n">
        <v>0</v>
      </c>
      <c r="M291" s="2" t="n">
        <f aca="false">IF(J291&lt;=Assumptions!$B$13,0,IF(J291&lt;Assumptions!$B$14,25,IF(J291&lt;Assumptions!$B$15,50,IF(J291&lt;Assumptions!$B$16,75,100))))</f>
        <v>0</v>
      </c>
      <c r="N291" s="2" t="n">
        <f aca="false">IF(K291&gt;Assumptions!$B$19,0,IF(K291&gt;=Assumptions!$B$20,25,IF(K291&gt;=Assumptions!$B$21,50,IF(K291&gt;=Assumptions!$B$22,75,100))))</f>
        <v>100</v>
      </c>
      <c r="O291" s="2" t="n">
        <f aca="false">IF(L291&gt;=Assumptions!$B$25,0,IF(L291&gt;=Assumptions!$B$26,25,IF(L291=Assumptions!$B$27,50,IF(L291=Assumptions!$B$28,75,100))))</f>
        <v>100</v>
      </c>
      <c r="P291" s="21" t="n">
        <f aca="false">M291*Assumptions!$B$4+N291*Assumptions!$B$5+O291*Assumptions!$B$6</f>
        <v>50</v>
      </c>
      <c r="Q291" s="21" t="n">
        <f aca="false">IF(J291&lt;=Assumptions!$B$8,0,P291)</f>
        <v>0</v>
      </c>
      <c r="R291" s="2" t="str">
        <f aca="false">IF(Q291&gt;=Assumptions!$B$9,"High",IF(Q291&gt;=Assumptions!$B$10,"Medium","Low"))</f>
        <v>Low</v>
      </c>
      <c r="S291" s="21" t="n">
        <f aca="false">(N291*Assumptions!$B$5+O291*Assumptions!$B$6)/(Assumptions!$B$5+Assumptions!$B$6)</f>
        <v>100</v>
      </c>
      <c r="T291" s="2" t="str">
        <f aca="false">IF(AND(J291&gt;Assumptions!$B$8,G291&lt;=Assumptions!$B$30),"Low confidence","")</f>
        <v/>
      </c>
      <c r="U291" s="2" t="n">
        <f aca="false">(J291&gt;40)+(F291&gt;2000)+(K291&lt;10)+(L291=0)</f>
        <v>2</v>
      </c>
      <c r="V291" s="21" t="n">
        <f aca="false">IF(J291&lt;20,0,IF(J291&lt;40,25,M291))*Assumptions!$B$4+N291*Assumptions!$B$5+O291*Assumptions!$B$6</f>
        <v>50</v>
      </c>
      <c r="W291" s="2" t="str">
        <f aca="false">IF(V291&gt;=70,"High",IF(V291&gt;=40,"Medium","Low"))</f>
        <v>Medium</v>
      </c>
    </row>
    <row r="292" customFormat="false" ht="15" hidden="false" customHeight="false" outlineLevel="0" collapsed="false">
      <c r="A292" s="2" t="s">
        <v>990</v>
      </c>
      <c r="B292" s="2" t="s">
        <v>1574</v>
      </c>
      <c r="C292" s="2" t="s">
        <v>1640</v>
      </c>
      <c r="D292" s="2"/>
      <c r="E292" s="2" t="n">
        <v>2</v>
      </c>
      <c r="F292" s="9" t="n">
        <v>84</v>
      </c>
      <c r="G292" s="2" t="n">
        <v>1</v>
      </c>
      <c r="H292" s="2" t="n">
        <v>0</v>
      </c>
      <c r="I292" s="2" t="n">
        <v>1</v>
      </c>
      <c r="J292" s="2" t="n">
        <v>0</v>
      </c>
      <c r="K292" s="2" t="n">
        <v>3</v>
      </c>
      <c r="L292" s="2" t="n">
        <v>0</v>
      </c>
      <c r="M292" s="2" t="n">
        <f aca="false">IF(J292&lt;=Assumptions!$B$13,0,IF(J292&lt;Assumptions!$B$14,25,IF(J292&lt;Assumptions!$B$15,50,IF(J292&lt;Assumptions!$B$16,75,100))))</f>
        <v>0</v>
      </c>
      <c r="N292" s="2" t="n">
        <f aca="false">IF(K292&gt;Assumptions!$B$19,0,IF(K292&gt;=Assumptions!$B$20,25,IF(K292&gt;=Assumptions!$B$21,50,IF(K292&gt;=Assumptions!$B$22,75,100))))</f>
        <v>100</v>
      </c>
      <c r="O292" s="2" t="n">
        <f aca="false">IF(L292&gt;=Assumptions!$B$25,0,IF(L292&gt;=Assumptions!$B$26,25,IF(L292=Assumptions!$B$27,50,IF(L292=Assumptions!$B$28,75,100))))</f>
        <v>100</v>
      </c>
      <c r="P292" s="21" t="n">
        <f aca="false">M292*Assumptions!$B$4+N292*Assumptions!$B$5+O292*Assumptions!$B$6</f>
        <v>50</v>
      </c>
      <c r="Q292" s="21" t="n">
        <f aca="false">IF(J292&lt;=Assumptions!$B$8,0,P292)</f>
        <v>0</v>
      </c>
      <c r="R292" s="2" t="str">
        <f aca="false">IF(Q292&gt;=Assumptions!$B$9,"High",IF(Q292&gt;=Assumptions!$B$10,"Medium","Low"))</f>
        <v>Low</v>
      </c>
      <c r="S292" s="21" t="n">
        <f aca="false">(N292*Assumptions!$B$5+O292*Assumptions!$B$6)/(Assumptions!$B$5+Assumptions!$B$6)</f>
        <v>100</v>
      </c>
      <c r="T292" s="2" t="str">
        <f aca="false">IF(AND(J292&gt;Assumptions!$B$8,G292&lt;=Assumptions!$B$30),"Low confidence","")</f>
        <v/>
      </c>
      <c r="U292" s="2" t="n">
        <f aca="false">(J292&gt;40)+(F292&gt;2000)+(K292&lt;10)+(L292=0)</f>
        <v>2</v>
      </c>
      <c r="V292" s="21" t="n">
        <f aca="false">IF(J292&lt;20,0,IF(J292&lt;40,25,M292))*Assumptions!$B$4+N292*Assumptions!$B$5+O292*Assumptions!$B$6</f>
        <v>50</v>
      </c>
      <c r="W292" s="2" t="str">
        <f aca="false">IF(V292&gt;=70,"High",IF(V292&gt;=40,"Medium","Low"))</f>
        <v>Medium</v>
      </c>
    </row>
    <row r="293" customFormat="false" ht="15" hidden="false" customHeight="false" outlineLevel="0" collapsed="false">
      <c r="A293" s="2" t="s">
        <v>992</v>
      </c>
      <c r="B293" s="2" t="s">
        <v>1574</v>
      </c>
      <c r="C293" s="2" t="s">
        <v>1640</v>
      </c>
      <c r="D293" s="2"/>
      <c r="E293" s="2" t="n">
        <v>6</v>
      </c>
      <c r="F293" s="9" t="n">
        <v>84</v>
      </c>
      <c r="G293" s="2" t="n">
        <v>1</v>
      </c>
      <c r="H293" s="2" t="n">
        <v>0</v>
      </c>
      <c r="I293" s="2" t="n">
        <v>1</v>
      </c>
      <c r="J293" s="2" t="n">
        <v>0</v>
      </c>
      <c r="K293" s="2" t="n">
        <v>4</v>
      </c>
      <c r="L293" s="2" t="n">
        <v>6</v>
      </c>
      <c r="M293" s="2" t="n">
        <f aca="false">IF(J293&lt;=Assumptions!$B$13,0,IF(J293&lt;Assumptions!$B$14,25,IF(J293&lt;Assumptions!$B$15,50,IF(J293&lt;Assumptions!$B$16,75,100))))</f>
        <v>0</v>
      </c>
      <c r="N293" s="2" t="n">
        <f aca="false">IF(K293&gt;Assumptions!$B$19,0,IF(K293&gt;=Assumptions!$B$20,25,IF(K293&gt;=Assumptions!$B$21,50,IF(K293&gt;=Assumptions!$B$22,75,100))))</f>
        <v>100</v>
      </c>
      <c r="O293" s="2" t="n">
        <f aca="false">IF(L293&gt;=Assumptions!$B$25,0,IF(L293&gt;=Assumptions!$B$26,25,IF(L293=Assumptions!$B$27,50,IF(L293=Assumptions!$B$28,75,100))))</f>
        <v>0</v>
      </c>
      <c r="P293" s="21" t="n">
        <f aca="false">M293*Assumptions!$B$4+N293*Assumptions!$B$5+O293*Assumptions!$B$6</f>
        <v>30</v>
      </c>
      <c r="Q293" s="21" t="n">
        <f aca="false">IF(J293&lt;=Assumptions!$B$8,0,P293)</f>
        <v>0</v>
      </c>
      <c r="R293" s="2" t="str">
        <f aca="false">IF(Q293&gt;=Assumptions!$B$9,"High",IF(Q293&gt;=Assumptions!$B$10,"Medium","Low"))</f>
        <v>Low</v>
      </c>
      <c r="S293" s="21" t="n">
        <f aca="false">(N293*Assumptions!$B$5+O293*Assumptions!$B$6)/(Assumptions!$B$5+Assumptions!$B$6)</f>
        <v>60</v>
      </c>
      <c r="T293" s="2" t="str">
        <f aca="false">IF(AND(J293&gt;Assumptions!$B$8,G293&lt;=Assumptions!$B$30),"Low confidence","")</f>
        <v/>
      </c>
      <c r="U293" s="2" t="n">
        <f aca="false">(J293&gt;40)+(F293&gt;2000)+(K293&lt;10)+(L293=0)</f>
        <v>1</v>
      </c>
      <c r="V293" s="21" t="n">
        <f aca="false">IF(J293&lt;20,0,IF(J293&lt;40,25,M293))*Assumptions!$B$4+N293*Assumptions!$B$5+O293*Assumptions!$B$6</f>
        <v>30</v>
      </c>
      <c r="W293" s="2" t="str">
        <f aca="false">IF(V293&gt;=70,"High",IF(V293&gt;=40,"Medium","Low"))</f>
        <v>Low</v>
      </c>
    </row>
    <row r="294" customFormat="false" ht="15" hidden="false" customHeight="false" outlineLevel="0" collapsed="false">
      <c r="A294" s="2" t="s">
        <v>994</v>
      </c>
      <c r="B294" s="2" t="s">
        <v>1574</v>
      </c>
      <c r="C294" s="2" t="s">
        <v>1640</v>
      </c>
      <c r="D294" s="2"/>
      <c r="E294" s="2" t="n">
        <v>1</v>
      </c>
      <c r="F294" s="9" t="n">
        <v>82</v>
      </c>
      <c r="G294" s="2" t="n">
        <v>1</v>
      </c>
      <c r="H294" s="2" t="n">
        <v>0</v>
      </c>
      <c r="I294" s="2" t="n">
        <v>1</v>
      </c>
      <c r="J294" s="2" t="n">
        <v>0</v>
      </c>
      <c r="K294" s="2" t="n">
        <v>14</v>
      </c>
      <c r="L294" s="2" t="n">
        <v>0</v>
      </c>
      <c r="M294" s="2" t="n">
        <f aca="false">IF(J294&lt;=Assumptions!$B$13,0,IF(J294&lt;Assumptions!$B$14,25,IF(J294&lt;Assumptions!$B$15,50,IF(J294&lt;Assumptions!$B$16,75,100))))</f>
        <v>0</v>
      </c>
      <c r="N294" s="2" t="n">
        <f aca="false">IF(K294&gt;Assumptions!$B$19,0,IF(K294&gt;=Assumptions!$B$20,25,IF(K294&gt;=Assumptions!$B$21,50,IF(K294&gt;=Assumptions!$B$22,75,100))))</f>
        <v>50</v>
      </c>
      <c r="O294" s="2" t="n">
        <f aca="false">IF(L294&gt;=Assumptions!$B$25,0,IF(L294&gt;=Assumptions!$B$26,25,IF(L294=Assumptions!$B$27,50,IF(L294=Assumptions!$B$28,75,100))))</f>
        <v>100</v>
      </c>
      <c r="P294" s="21" t="n">
        <f aca="false">M294*Assumptions!$B$4+N294*Assumptions!$B$5+O294*Assumptions!$B$6</f>
        <v>35</v>
      </c>
      <c r="Q294" s="21" t="n">
        <f aca="false">IF(J294&lt;=Assumptions!$B$8,0,P294)</f>
        <v>0</v>
      </c>
      <c r="R294" s="2" t="str">
        <f aca="false">IF(Q294&gt;=Assumptions!$B$9,"High",IF(Q294&gt;=Assumptions!$B$10,"Medium","Low"))</f>
        <v>Low</v>
      </c>
      <c r="S294" s="21" t="n">
        <f aca="false">(N294*Assumptions!$B$5+O294*Assumptions!$B$6)/(Assumptions!$B$5+Assumptions!$B$6)</f>
        <v>70</v>
      </c>
      <c r="T294" s="2" t="str">
        <f aca="false">IF(AND(J294&gt;Assumptions!$B$8,G294&lt;=Assumptions!$B$30),"Low confidence","")</f>
        <v/>
      </c>
      <c r="U294" s="2" t="n">
        <f aca="false">(J294&gt;40)+(F294&gt;2000)+(K294&lt;10)+(L294=0)</f>
        <v>1</v>
      </c>
      <c r="V294" s="21" t="n">
        <f aca="false">IF(J294&lt;20,0,IF(J294&lt;40,25,M294))*Assumptions!$B$4+N294*Assumptions!$B$5+O294*Assumptions!$B$6</f>
        <v>35</v>
      </c>
      <c r="W294" s="2" t="str">
        <f aca="false">IF(V294&gt;=70,"High",IF(V294&gt;=40,"Medium","Low"))</f>
        <v>Low</v>
      </c>
    </row>
    <row r="295" customFormat="false" ht="15" hidden="false" customHeight="false" outlineLevel="0" collapsed="false">
      <c r="A295" s="2" t="s">
        <v>998</v>
      </c>
      <c r="B295" s="2" t="s">
        <v>1574</v>
      </c>
      <c r="C295" s="2" t="s">
        <v>1640</v>
      </c>
      <c r="D295" s="2"/>
      <c r="E295" s="2" t="n">
        <v>4</v>
      </c>
      <c r="F295" s="9" t="n">
        <v>78</v>
      </c>
      <c r="G295" s="2" t="n">
        <v>1</v>
      </c>
      <c r="H295" s="2" t="n">
        <v>0</v>
      </c>
      <c r="I295" s="2" t="n">
        <v>1</v>
      </c>
      <c r="J295" s="2" t="n">
        <v>0</v>
      </c>
      <c r="K295" s="2" t="n">
        <v>2</v>
      </c>
      <c r="L295" s="2" t="n">
        <v>0</v>
      </c>
      <c r="M295" s="2" t="n">
        <f aca="false">IF(J295&lt;=Assumptions!$B$13,0,IF(J295&lt;Assumptions!$B$14,25,IF(J295&lt;Assumptions!$B$15,50,IF(J295&lt;Assumptions!$B$16,75,100))))</f>
        <v>0</v>
      </c>
      <c r="N295" s="2" t="n">
        <f aca="false">IF(K295&gt;Assumptions!$B$19,0,IF(K295&gt;=Assumptions!$B$20,25,IF(K295&gt;=Assumptions!$B$21,50,IF(K295&gt;=Assumptions!$B$22,75,100))))</f>
        <v>100</v>
      </c>
      <c r="O295" s="2" t="n">
        <f aca="false">IF(L295&gt;=Assumptions!$B$25,0,IF(L295&gt;=Assumptions!$B$26,25,IF(L295=Assumptions!$B$27,50,IF(L295=Assumptions!$B$28,75,100))))</f>
        <v>100</v>
      </c>
      <c r="P295" s="21" t="n">
        <f aca="false">M295*Assumptions!$B$4+N295*Assumptions!$B$5+O295*Assumptions!$B$6</f>
        <v>50</v>
      </c>
      <c r="Q295" s="21" t="n">
        <f aca="false">IF(J295&lt;=Assumptions!$B$8,0,P295)</f>
        <v>0</v>
      </c>
      <c r="R295" s="2" t="str">
        <f aca="false">IF(Q295&gt;=Assumptions!$B$9,"High",IF(Q295&gt;=Assumptions!$B$10,"Medium","Low"))</f>
        <v>Low</v>
      </c>
      <c r="S295" s="21" t="n">
        <f aca="false">(N295*Assumptions!$B$5+O295*Assumptions!$B$6)/(Assumptions!$B$5+Assumptions!$B$6)</f>
        <v>100</v>
      </c>
      <c r="T295" s="2" t="str">
        <f aca="false">IF(AND(J295&gt;Assumptions!$B$8,G295&lt;=Assumptions!$B$30),"Low confidence","")</f>
        <v/>
      </c>
      <c r="U295" s="2" t="n">
        <f aca="false">(J295&gt;40)+(F295&gt;2000)+(K295&lt;10)+(L295=0)</f>
        <v>2</v>
      </c>
      <c r="V295" s="21" t="n">
        <f aca="false">IF(J295&lt;20,0,IF(J295&lt;40,25,M295))*Assumptions!$B$4+N295*Assumptions!$B$5+O295*Assumptions!$B$6</f>
        <v>50</v>
      </c>
      <c r="W295" s="2" t="str">
        <f aca="false">IF(V295&gt;=70,"High",IF(V295&gt;=40,"Medium","Low"))</f>
        <v>Medium</v>
      </c>
    </row>
    <row r="296" customFormat="false" ht="15" hidden="false" customHeight="false" outlineLevel="0" collapsed="false">
      <c r="A296" s="2" t="s">
        <v>1002</v>
      </c>
      <c r="B296" s="2" t="s">
        <v>1574</v>
      </c>
      <c r="C296" s="2" t="s">
        <v>1640</v>
      </c>
      <c r="D296" s="2"/>
      <c r="E296" s="2" t="n">
        <v>6</v>
      </c>
      <c r="F296" s="9" t="n">
        <v>75</v>
      </c>
      <c r="G296" s="2" t="n">
        <v>1</v>
      </c>
      <c r="H296" s="2" t="n">
        <v>0</v>
      </c>
      <c r="I296" s="2" t="n">
        <v>1</v>
      </c>
      <c r="J296" s="2" t="n">
        <v>0</v>
      </c>
      <c r="K296" s="2" t="n">
        <v>10</v>
      </c>
      <c r="L296" s="2" t="n">
        <v>0</v>
      </c>
      <c r="M296" s="2" t="n">
        <f aca="false">IF(J296&lt;=Assumptions!$B$13,0,IF(J296&lt;Assumptions!$B$14,25,IF(J296&lt;Assumptions!$B$15,50,IF(J296&lt;Assumptions!$B$16,75,100))))</f>
        <v>0</v>
      </c>
      <c r="N296" s="2" t="n">
        <f aca="false">IF(K296&gt;Assumptions!$B$19,0,IF(K296&gt;=Assumptions!$B$20,25,IF(K296&gt;=Assumptions!$B$21,50,IF(K296&gt;=Assumptions!$B$22,75,100))))</f>
        <v>50</v>
      </c>
      <c r="O296" s="2" t="n">
        <f aca="false">IF(L296&gt;=Assumptions!$B$25,0,IF(L296&gt;=Assumptions!$B$26,25,IF(L296=Assumptions!$B$27,50,IF(L296=Assumptions!$B$28,75,100))))</f>
        <v>100</v>
      </c>
      <c r="P296" s="21" t="n">
        <f aca="false">M296*Assumptions!$B$4+N296*Assumptions!$B$5+O296*Assumptions!$B$6</f>
        <v>35</v>
      </c>
      <c r="Q296" s="21" t="n">
        <f aca="false">IF(J296&lt;=Assumptions!$B$8,0,P296)</f>
        <v>0</v>
      </c>
      <c r="R296" s="2" t="str">
        <f aca="false">IF(Q296&gt;=Assumptions!$B$9,"High",IF(Q296&gt;=Assumptions!$B$10,"Medium","Low"))</f>
        <v>Low</v>
      </c>
      <c r="S296" s="21" t="n">
        <f aca="false">(N296*Assumptions!$B$5+O296*Assumptions!$B$6)/(Assumptions!$B$5+Assumptions!$B$6)</f>
        <v>70</v>
      </c>
      <c r="T296" s="2" t="str">
        <f aca="false">IF(AND(J296&gt;Assumptions!$B$8,G296&lt;=Assumptions!$B$30),"Low confidence","")</f>
        <v/>
      </c>
      <c r="U296" s="2" t="n">
        <f aca="false">(J296&gt;40)+(F296&gt;2000)+(K296&lt;10)+(L296=0)</f>
        <v>1</v>
      </c>
      <c r="V296" s="21" t="n">
        <f aca="false">IF(J296&lt;20,0,IF(J296&lt;40,25,M296))*Assumptions!$B$4+N296*Assumptions!$B$5+O296*Assumptions!$B$6</f>
        <v>35</v>
      </c>
      <c r="W296" s="2" t="str">
        <f aca="false">IF(V296&gt;=70,"High",IF(V296&gt;=40,"Medium","Low"))</f>
        <v>Low</v>
      </c>
    </row>
    <row r="297" customFormat="false" ht="15" hidden="false" customHeight="false" outlineLevel="0" collapsed="false">
      <c r="A297" s="2" t="s">
        <v>1004</v>
      </c>
      <c r="B297" s="2" t="s">
        <v>1574</v>
      </c>
      <c r="C297" s="2" t="s">
        <v>1640</v>
      </c>
      <c r="D297" s="2"/>
      <c r="E297" s="2" t="n">
        <v>1</v>
      </c>
      <c r="F297" s="9" t="n">
        <v>67</v>
      </c>
      <c r="G297" s="2" t="n">
        <v>1</v>
      </c>
      <c r="H297" s="2" t="n">
        <v>0</v>
      </c>
      <c r="I297" s="2" t="n">
        <v>1</v>
      </c>
      <c r="J297" s="2" t="n">
        <v>0</v>
      </c>
      <c r="K297" s="2" t="n">
        <v>1</v>
      </c>
      <c r="L297" s="2" t="n">
        <v>0</v>
      </c>
      <c r="M297" s="2" t="n">
        <f aca="false">IF(J297&lt;=Assumptions!$B$13,0,IF(J297&lt;Assumptions!$B$14,25,IF(J297&lt;Assumptions!$B$15,50,IF(J297&lt;Assumptions!$B$16,75,100))))</f>
        <v>0</v>
      </c>
      <c r="N297" s="2" t="n">
        <f aca="false">IF(K297&gt;Assumptions!$B$19,0,IF(K297&gt;=Assumptions!$B$20,25,IF(K297&gt;=Assumptions!$B$21,50,IF(K297&gt;=Assumptions!$B$22,75,100))))</f>
        <v>100</v>
      </c>
      <c r="O297" s="2" t="n">
        <f aca="false">IF(L297&gt;=Assumptions!$B$25,0,IF(L297&gt;=Assumptions!$B$26,25,IF(L297=Assumptions!$B$27,50,IF(L297=Assumptions!$B$28,75,100))))</f>
        <v>100</v>
      </c>
      <c r="P297" s="21" t="n">
        <f aca="false">M297*Assumptions!$B$4+N297*Assumptions!$B$5+O297*Assumptions!$B$6</f>
        <v>50</v>
      </c>
      <c r="Q297" s="21" t="n">
        <f aca="false">IF(J297&lt;=Assumptions!$B$8,0,P297)</f>
        <v>0</v>
      </c>
      <c r="R297" s="2" t="str">
        <f aca="false">IF(Q297&gt;=Assumptions!$B$9,"High",IF(Q297&gt;=Assumptions!$B$10,"Medium","Low"))</f>
        <v>Low</v>
      </c>
      <c r="S297" s="21" t="n">
        <f aca="false">(N297*Assumptions!$B$5+O297*Assumptions!$B$6)/(Assumptions!$B$5+Assumptions!$B$6)</f>
        <v>100</v>
      </c>
      <c r="T297" s="2" t="str">
        <f aca="false">IF(AND(J297&gt;Assumptions!$B$8,G297&lt;=Assumptions!$B$30),"Low confidence","")</f>
        <v/>
      </c>
      <c r="U297" s="2" t="n">
        <f aca="false">(J297&gt;40)+(F297&gt;2000)+(K297&lt;10)+(L297=0)</f>
        <v>2</v>
      </c>
      <c r="V297" s="21" t="n">
        <f aca="false">IF(J297&lt;20,0,IF(J297&lt;40,25,M297))*Assumptions!$B$4+N297*Assumptions!$B$5+O297*Assumptions!$B$6</f>
        <v>50</v>
      </c>
      <c r="W297" s="2" t="str">
        <f aca="false">IF(V297&gt;=70,"High",IF(V297&gt;=40,"Medium","Low"))</f>
        <v>Medium</v>
      </c>
    </row>
    <row r="298" customFormat="false" ht="15" hidden="false" customHeight="false" outlineLevel="0" collapsed="false">
      <c r="A298" s="2" t="s">
        <v>1006</v>
      </c>
      <c r="B298" s="2" t="s">
        <v>1574</v>
      </c>
      <c r="C298" s="2" t="s">
        <v>1640</v>
      </c>
      <c r="D298" s="2"/>
      <c r="E298" s="2" t="n">
        <v>6</v>
      </c>
      <c r="F298" s="9" t="n">
        <v>61</v>
      </c>
      <c r="G298" s="2" t="n">
        <v>1</v>
      </c>
      <c r="H298" s="2" t="n">
        <v>0</v>
      </c>
      <c r="I298" s="2" t="n">
        <v>1</v>
      </c>
      <c r="J298" s="2" t="n">
        <v>0</v>
      </c>
      <c r="K298" s="2" t="n">
        <v>7</v>
      </c>
      <c r="L298" s="2" t="n">
        <v>1</v>
      </c>
      <c r="M298" s="2" t="n">
        <f aca="false">IF(J298&lt;=Assumptions!$B$13,0,IF(J298&lt;Assumptions!$B$14,25,IF(J298&lt;Assumptions!$B$15,50,IF(J298&lt;Assumptions!$B$16,75,100))))</f>
        <v>0</v>
      </c>
      <c r="N298" s="2" t="n">
        <f aca="false">IF(K298&gt;Assumptions!$B$19,0,IF(K298&gt;=Assumptions!$B$20,25,IF(K298&gt;=Assumptions!$B$21,50,IF(K298&gt;=Assumptions!$B$22,75,100))))</f>
        <v>75</v>
      </c>
      <c r="O298" s="2" t="n">
        <f aca="false">IF(L298&gt;=Assumptions!$B$25,0,IF(L298&gt;=Assumptions!$B$26,25,IF(L298=Assumptions!$B$27,50,IF(L298=Assumptions!$B$28,75,100))))</f>
        <v>75</v>
      </c>
      <c r="P298" s="21" t="n">
        <f aca="false">M298*Assumptions!$B$4+N298*Assumptions!$B$5+O298*Assumptions!$B$6</f>
        <v>37.5</v>
      </c>
      <c r="Q298" s="21" t="n">
        <f aca="false">IF(J298&lt;=Assumptions!$B$8,0,P298)</f>
        <v>0</v>
      </c>
      <c r="R298" s="2" t="str">
        <f aca="false">IF(Q298&gt;=Assumptions!$B$9,"High",IF(Q298&gt;=Assumptions!$B$10,"Medium","Low"))</f>
        <v>Low</v>
      </c>
      <c r="S298" s="21" t="n">
        <f aca="false">(N298*Assumptions!$B$5+O298*Assumptions!$B$6)/(Assumptions!$B$5+Assumptions!$B$6)</f>
        <v>75</v>
      </c>
      <c r="T298" s="2" t="str">
        <f aca="false">IF(AND(J298&gt;Assumptions!$B$8,G298&lt;=Assumptions!$B$30),"Low confidence","")</f>
        <v/>
      </c>
      <c r="U298" s="2" t="n">
        <f aca="false">(J298&gt;40)+(F298&gt;2000)+(K298&lt;10)+(L298=0)</f>
        <v>1</v>
      </c>
      <c r="V298" s="21" t="n">
        <f aca="false">IF(J298&lt;20,0,IF(J298&lt;40,25,M298))*Assumptions!$B$4+N298*Assumptions!$B$5+O298*Assumptions!$B$6</f>
        <v>37.5</v>
      </c>
      <c r="W298" s="2" t="str">
        <f aca="false">IF(V298&gt;=70,"High",IF(V298&gt;=40,"Medium","Low"))</f>
        <v>Low</v>
      </c>
    </row>
    <row r="299" customFormat="false" ht="15" hidden="false" customHeight="false" outlineLevel="0" collapsed="false">
      <c r="A299" s="2" t="s">
        <v>1008</v>
      </c>
      <c r="B299" s="2" t="s">
        <v>1574</v>
      </c>
      <c r="C299" s="2" t="s">
        <v>1640</v>
      </c>
      <c r="D299" s="2"/>
      <c r="E299" s="2" t="n">
        <v>1</v>
      </c>
      <c r="F299" s="9" t="n">
        <v>61</v>
      </c>
      <c r="G299" s="2" t="n">
        <v>1</v>
      </c>
      <c r="H299" s="2" t="n">
        <v>0</v>
      </c>
      <c r="I299" s="2" t="n">
        <v>1</v>
      </c>
      <c r="J299" s="2" t="n">
        <v>0</v>
      </c>
      <c r="K299" s="2" t="n">
        <v>1</v>
      </c>
      <c r="L299" s="2" t="n">
        <v>0</v>
      </c>
      <c r="M299" s="2" t="n">
        <f aca="false">IF(J299&lt;=Assumptions!$B$13,0,IF(J299&lt;Assumptions!$B$14,25,IF(J299&lt;Assumptions!$B$15,50,IF(J299&lt;Assumptions!$B$16,75,100))))</f>
        <v>0</v>
      </c>
      <c r="N299" s="2" t="n">
        <f aca="false">IF(K299&gt;Assumptions!$B$19,0,IF(K299&gt;=Assumptions!$B$20,25,IF(K299&gt;=Assumptions!$B$21,50,IF(K299&gt;=Assumptions!$B$22,75,100))))</f>
        <v>100</v>
      </c>
      <c r="O299" s="2" t="n">
        <f aca="false">IF(L299&gt;=Assumptions!$B$25,0,IF(L299&gt;=Assumptions!$B$26,25,IF(L299=Assumptions!$B$27,50,IF(L299=Assumptions!$B$28,75,100))))</f>
        <v>100</v>
      </c>
      <c r="P299" s="21" t="n">
        <f aca="false">M299*Assumptions!$B$4+N299*Assumptions!$B$5+O299*Assumptions!$B$6</f>
        <v>50</v>
      </c>
      <c r="Q299" s="21" t="n">
        <f aca="false">IF(J299&lt;=Assumptions!$B$8,0,P299)</f>
        <v>0</v>
      </c>
      <c r="R299" s="2" t="str">
        <f aca="false">IF(Q299&gt;=Assumptions!$B$9,"High",IF(Q299&gt;=Assumptions!$B$10,"Medium","Low"))</f>
        <v>Low</v>
      </c>
      <c r="S299" s="21" t="n">
        <f aca="false">(N299*Assumptions!$B$5+O299*Assumptions!$B$6)/(Assumptions!$B$5+Assumptions!$B$6)</f>
        <v>100</v>
      </c>
      <c r="T299" s="2" t="str">
        <f aca="false">IF(AND(J299&gt;Assumptions!$B$8,G299&lt;=Assumptions!$B$30),"Low confidence","")</f>
        <v/>
      </c>
      <c r="U299" s="2" t="n">
        <f aca="false">(J299&gt;40)+(F299&gt;2000)+(K299&lt;10)+(L299=0)</f>
        <v>2</v>
      </c>
      <c r="V299" s="21" t="n">
        <f aca="false">IF(J299&lt;20,0,IF(J299&lt;40,25,M299))*Assumptions!$B$4+N299*Assumptions!$B$5+O299*Assumptions!$B$6</f>
        <v>50</v>
      </c>
      <c r="W299" s="2" t="str">
        <f aca="false">IF(V299&gt;=70,"High",IF(V299&gt;=40,"Medium","Low"))</f>
        <v>Medium</v>
      </c>
    </row>
    <row r="300" customFormat="false" ht="15" hidden="false" customHeight="false" outlineLevel="0" collapsed="false">
      <c r="A300" s="2" t="s">
        <v>1010</v>
      </c>
      <c r="B300" s="2" t="s">
        <v>1574</v>
      </c>
      <c r="C300" s="2" t="s">
        <v>1640</v>
      </c>
      <c r="D300" s="2"/>
      <c r="E300" s="2" t="n">
        <v>4</v>
      </c>
      <c r="F300" s="9" t="n">
        <v>58</v>
      </c>
      <c r="G300" s="2" t="n">
        <v>1</v>
      </c>
      <c r="H300" s="2" t="n">
        <v>0</v>
      </c>
      <c r="I300" s="2" t="n">
        <v>1</v>
      </c>
      <c r="J300" s="2" t="n">
        <v>0</v>
      </c>
      <c r="K300" s="2" t="n">
        <v>4</v>
      </c>
      <c r="L300" s="2" t="n">
        <v>0</v>
      </c>
      <c r="M300" s="2" t="n">
        <f aca="false">IF(J300&lt;=Assumptions!$B$13,0,IF(J300&lt;Assumptions!$B$14,25,IF(J300&lt;Assumptions!$B$15,50,IF(J300&lt;Assumptions!$B$16,75,100))))</f>
        <v>0</v>
      </c>
      <c r="N300" s="2" t="n">
        <f aca="false">IF(K300&gt;Assumptions!$B$19,0,IF(K300&gt;=Assumptions!$B$20,25,IF(K300&gt;=Assumptions!$B$21,50,IF(K300&gt;=Assumptions!$B$22,75,100))))</f>
        <v>100</v>
      </c>
      <c r="O300" s="2" t="n">
        <f aca="false">IF(L300&gt;=Assumptions!$B$25,0,IF(L300&gt;=Assumptions!$B$26,25,IF(L300=Assumptions!$B$27,50,IF(L300=Assumptions!$B$28,75,100))))</f>
        <v>100</v>
      </c>
      <c r="P300" s="21" t="n">
        <f aca="false">M300*Assumptions!$B$4+N300*Assumptions!$B$5+O300*Assumptions!$B$6</f>
        <v>50</v>
      </c>
      <c r="Q300" s="21" t="n">
        <f aca="false">IF(J300&lt;=Assumptions!$B$8,0,P300)</f>
        <v>0</v>
      </c>
      <c r="R300" s="2" t="str">
        <f aca="false">IF(Q300&gt;=Assumptions!$B$9,"High",IF(Q300&gt;=Assumptions!$B$10,"Medium","Low"))</f>
        <v>Low</v>
      </c>
      <c r="S300" s="21" t="n">
        <f aca="false">(N300*Assumptions!$B$5+O300*Assumptions!$B$6)/(Assumptions!$B$5+Assumptions!$B$6)</f>
        <v>100</v>
      </c>
      <c r="T300" s="2" t="str">
        <f aca="false">IF(AND(J300&gt;Assumptions!$B$8,G300&lt;=Assumptions!$B$30),"Low confidence","")</f>
        <v/>
      </c>
      <c r="U300" s="2" t="n">
        <f aca="false">(J300&gt;40)+(F300&gt;2000)+(K300&lt;10)+(L300=0)</f>
        <v>2</v>
      </c>
      <c r="V300" s="21" t="n">
        <f aca="false">IF(J300&lt;20,0,IF(J300&lt;40,25,M300))*Assumptions!$B$4+N300*Assumptions!$B$5+O300*Assumptions!$B$6</f>
        <v>50</v>
      </c>
      <c r="W300" s="2" t="str">
        <f aca="false">IF(V300&gt;=70,"High",IF(V300&gt;=40,"Medium","Low"))</f>
        <v>Medium</v>
      </c>
    </row>
    <row r="301" customFormat="false" ht="15" hidden="false" customHeight="false" outlineLevel="0" collapsed="false">
      <c r="A301" s="2" t="s">
        <v>1016</v>
      </c>
      <c r="B301" s="2" t="s">
        <v>1574</v>
      </c>
      <c r="C301" s="2" t="s">
        <v>1640</v>
      </c>
      <c r="D301" s="2"/>
      <c r="E301" s="2" t="n">
        <v>1</v>
      </c>
      <c r="F301" s="9" t="n">
        <v>34</v>
      </c>
      <c r="G301" s="2" t="n">
        <v>1</v>
      </c>
      <c r="H301" s="2" t="n">
        <v>0</v>
      </c>
      <c r="I301" s="2" t="n">
        <v>1</v>
      </c>
      <c r="J301" s="2" t="n">
        <v>0</v>
      </c>
      <c r="K301" s="2" t="n">
        <v>3</v>
      </c>
      <c r="L301" s="2" t="n">
        <v>2</v>
      </c>
      <c r="M301" s="2" t="n">
        <f aca="false">IF(J301&lt;=Assumptions!$B$13,0,IF(J301&lt;Assumptions!$B$14,25,IF(J301&lt;Assumptions!$B$15,50,IF(J301&lt;Assumptions!$B$16,75,100))))</f>
        <v>0</v>
      </c>
      <c r="N301" s="2" t="n">
        <f aca="false">IF(K301&gt;Assumptions!$B$19,0,IF(K301&gt;=Assumptions!$B$20,25,IF(K301&gt;=Assumptions!$B$21,50,IF(K301&gt;=Assumptions!$B$22,75,100))))</f>
        <v>100</v>
      </c>
      <c r="O301" s="2" t="n">
        <f aca="false">IF(L301&gt;=Assumptions!$B$25,0,IF(L301&gt;=Assumptions!$B$26,25,IF(L301=Assumptions!$B$27,50,IF(L301=Assumptions!$B$28,75,100))))</f>
        <v>50</v>
      </c>
      <c r="P301" s="21" t="n">
        <f aca="false">M301*Assumptions!$B$4+N301*Assumptions!$B$5+O301*Assumptions!$B$6</f>
        <v>40</v>
      </c>
      <c r="Q301" s="21" t="n">
        <f aca="false">IF(J301&lt;=Assumptions!$B$8,0,P301)</f>
        <v>0</v>
      </c>
      <c r="R301" s="2" t="str">
        <f aca="false">IF(Q301&gt;=Assumptions!$B$9,"High",IF(Q301&gt;=Assumptions!$B$10,"Medium","Low"))</f>
        <v>Low</v>
      </c>
      <c r="S301" s="21" t="n">
        <f aca="false">(N301*Assumptions!$B$5+O301*Assumptions!$B$6)/(Assumptions!$B$5+Assumptions!$B$6)</f>
        <v>80</v>
      </c>
      <c r="T301" s="2" t="str">
        <f aca="false">IF(AND(J301&gt;Assumptions!$B$8,G301&lt;=Assumptions!$B$30),"Low confidence","")</f>
        <v/>
      </c>
      <c r="U301" s="2" t="n">
        <f aca="false">(J301&gt;40)+(F301&gt;2000)+(K301&lt;10)+(L301=0)</f>
        <v>1</v>
      </c>
      <c r="V301" s="21" t="n">
        <f aca="false">IF(J301&lt;20,0,IF(J301&lt;40,25,M301))*Assumptions!$B$4+N301*Assumptions!$B$5+O301*Assumptions!$B$6</f>
        <v>40</v>
      </c>
      <c r="W301" s="2" t="str">
        <f aca="false">IF(V301&gt;=70,"High",IF(V301&gt;=40,"Medium","Low"))</f>
        <v>Medium</v>
      </c>
    </row>
  </sheetData>
  <autoFilter ref="A1:W3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3" style="0" width="70"/>
    <col collapsed="false" customWidth="true" hidden="false" outlineLevel="0" max="14" min="4" style="0" width="13"/>
  </cols>
  <sheetData>
    <row r="1" customFormat="false" ht="15" hidden="false" customHeight="false" outlineLevel="0" collapsed="false">
      <c r="A1" s="22" t="s">
        <v>1742</v>
      </c>
      <c r="B1" s="22" t="s">
        <v>75</v>
      </c>
      <c r="C1" s="22" t="s">
        <v>1743</v>
      </c>
      <c r="D1" s="22" t="s">
        <v>1353</v>
      </c>
      <c r="E1" s="22" t="s">
        <v>78</v>
      </c>
      <c r="F1" s="22" t="s">
        <v>1357</v>
      </c>
      <c r="G1" s="22" t="s">
        <v>1550</v>
      </c>
      <c r="H1" s="22" t="s">
        <v>1545</v>
      </c>
      <c r="I1" s="22" t="s">
        <v>1368</v>
      </c>
      <c r="J1" s="22" t="s">
        <v>1369</v>
      </c>
      <c r="K1" s="22" t="s">
        <v>1546</v>
      </c>
      <c r="L1" s="22" t="s">
        <v>1660</v>
      </c>
      <c r="M1" s="22" t="s">
        <v>1744</v>
      </c>
      <c r="N1" s="22" t="s">
        <v>1745</v>
      </c>
    </row>
    <row r="2" customFormat="false" ht="15" hidden="false" customHeight="false" outlineLevel="0" collapsed="false">
      <c r="A2" s="2" t="s">
        <v>1746</v>
      </c>
      <c r="B2" s="2" t="s">
        <v>161</v>
      </c>
      <c r="C2" s="2" t="s">
        <v>1747</v>
      </c>
      <c r="D2" s="2" t="str">
        <f aca="false">INDEX('Scored Accounts'!$B$2:$B$301,MATCH($B2,'Scored Accounts'!$A$2:$A$301,0))</f>
        <v>Account Managed</v>
      </c>
      <c r="E2" s="9" t="n">
        <f aca="false">INDEX('Scored Accounts'!$F$2:$F$301,MATCH($B2,'Scored Accounts'!$A$2:$A$301,0))</f>
        <v>19265</v>
      </c>
      <c r="F2" s="2" t="n">
        <f aca="false">INDEX('Scored Accounts'!$G$2:$G$301,MATCH($B2,'Scored Accounts'!$A$2:$A$301,0))</f>
        <v>16</v>
      </c>
      <c r="G2" s="2" t="n">
        <f aca="false">INDEX('Scored Accounts'!$H$2:$H$301,MATCH($B2,'Scored Accounts'!$A$2:$A$301,0))</f>
        <v>13</v>
      </c>
      <c r="H2" s="2" t="n">
        <f aca="false">INDEX('Scored Accounts'!$J$2:$J$301,MATCH($B2,'Scored Accounts'!$A$2:$A$301,0))</f>
        <v>84</v>
      </c>
      <c r="I2" s="2" t="n">
        <f aca="false">INDEX('Scored Accounts'!$K$2:$K$301,MATCH($B2,'Scored Accounts'!$A$2:$A$301,0))</f>
        <v>4</v>
      </c>
      <c r="J2" s="2" t="n">
        <f aca="false">INDEX('Scored Accounts'!$L$2:$L$301,MATCH($B2,'Scored Accounts'!$A$2:$A$301,0))</f>
        <v>0</v>
      </c>
      <c r="K2" s="21" t="n">
        <f aca="false">INDEX('Scored Accounts'!$Q$2:$Q$301,MATCH($B2,'Scored Accounts'!$A$2:$A$301,0))</f>
        <v>100</v>
      </c>
      <c r="L2" s="2" t="str">
        <f aca="false">INDEX('Scored Accounts'!$R$2:$R$301,MATCH($B2,'Scored Accounts'!$A$2:$A$301,0))</f>
        <v>High</v>
      </c>
      <c r="M2" s="21" t="n">
        <f aca="false">INDEX('Scored Accounts'!$V$2:$V$301,MATCH($B2,'Scored Accounts'!$A$2:$A$301,0))</f>
        <v>100</v>
      </c>
      <c r="N2" s="2" t="n">
        <f aca="false">INDEX('Scored Accounts'!$U$2:$U$301,MATCH($B2,'Scored Accounts'!$A$2:$A$301,0))</f>
        <v>4</v>
      </c>
    </row>
    <row r="3" customFormat="false" ht="15" hidden="false" customHeight="false" outlineLevel="0" collapsed="false">
      <c r="A3" s="2" t="s">
        <v>1746</v>
      </c>
      <c r="B3" s="2" t="s">
        <v>189</v>
      </c>
      <c r="C3" s="2" t="s">
        <v>1748</v>
      </c>
      <c r="D3" s="2" t="str">
        <f aca="false">INDEX('Scored Accounts'!$B$2:$B$301,MATCH($B3,'Scored Accounts'!$A$2:$A$301,0))</f>
        <v>Account Managed</v>
      </c>
      <c r="E3" s="9" t="n">
        <f aca="false">INDEX('Scored Accounts'!$F$2:$F$301,MATCH($B3,'Scored Accounts'!$A$2:$A$301,0))</f>
        <v>11721</v>
      </c>
      <c r="F3" s="2" t="n">
        <f aca="false">INDEX('Scored Accounts'!$G$2:$G$301,MATCH($B3,'Scored Accounts'!$A$2:$A$301,0))</f>
        <v>27</v>
      </c>
      <c r="G3" s="2" t="n">
        <f aca="false">INDEX('Scored Accounts'!$H$2:$H$301,MATCH($B3,'Scored Accounts'!$A$2:$A$301,0))</f>
        <v>22</v>
      </c>
      <c r="H3" s="2" t="n">
        <f aca="false">INDEX('Scored Accounts'!$J$2:$J$301,MATCH($B3,'Scored Accounts'!$A$2:$A$301,0))</f>
        <v>81</v>
      </c>
      <c r="I3" s="2" t="n">
        <f aca="false">INDEX('Scored Accounts'!$K$2:$K$301,MATCH($B3,'Scored Accounts'!$A$2:$A$301,0))</f>
        <v>5</v>
      </c>
      <c r="J3" s="2" t="n">
        <f aca="false">INDEX('Scored Accounts'!$L$2:$L$301,MATCH($B3,'Scored Accounts'!$A$2:$A$301,0))</f>
        <v>0</v>
      </c>
      <c r="K3" s="21" t="n">
        <f aca="false">INDEX('Scored Accounts'!$Q$2:$Q$301,MATCH($B3,'Scored Accounts'!$A$2:$A$301,0))</f>
        <v>92.5</v>
      </c>
      <c r="L3" s="2" t="str">
        <f aca="false">INDEX('Scored Accounts'!$R$2:$R$301,MATCH($B3,'Scored Accounts'!$A$2:$A$301,0))</f>
        <v>High</v>
      </c>
      <c r="M3" s="21" t="n">
        <f aca="false">INDEX('Scored Accounts'!$V$2:$V$301,MATCH($B3,'Scored Accounts'!$A$2:$A$301,0))</f>
        <v>92.5</v>
      </c>
      <c r="N3" s="2" t="n">
        <f aca="false">INDEX('Scored Accounts'!$U$2:$U$301,MATCH($B3,'Scored Accounts'!$A$2:$A$301,0))</f>
        <v>4</v>
      </c>
    </row>
    <row r="4" customFormat="false" ht="15" hidden="false" customHeight="false" outlineLevel="0" collapsed="false">
      <c r="A4" s="2" t="s">
        <v>1746</v>
      </c>
      <c r="B4" s="2" t="s">
        <v>335</v>
      </c>
      <c r="C4" s="2" t="s">
        <v>1749</v>
      </c>
      <c r="D4" s="2" t="str">
        <f aca="false">INDEX('Scored Accounts'!$B$2:$B$301,MATCH($B4,'Scored Accounts'!$A$2:$A$301,0))</f>
        <v>Account Managed</v>
      </c>
      <c r="E4" s="9" t="n">
        <f aca="false">INDEX('Scored Accounts'!$F$2:$F$301,MATCH($B4,'Scored Accounts'!$A$2:$A$301,0))</f>
        <v>23205</v>
      </c>
      <c r="F4" s="2" t="n">
        <f aca="false">INDEX('Scored Accounts'!$G$2:$G$301,MATCH($B4,'Scored Accounts'!$A$2:$A$301,0))</f>
        <v>14</v>
      </c>
      <c r="G4" s="2" t="n">
        <f aca="false">INDEX('Scored Accounts'!$H$2:$H$301,MATCH($B4,'Scored Accounts'!$A$2:$A$301,0))</f>
        <v>12</v>
      </c>
      <c r="H4" s="2" t="n">
        <f aca="false">INDEX('Scored Accounts'!$J$2:$J$301,MATCH($B4,'Scored Accounts'!$A$2:$A$301,0))</f>
        <v>84</v>
      </c>
      <c r="I4" s="2" t="n">
        <f aca="false">INDEX('Scored Accounts'!$K$2:$K$301,MATCH($B4,'Scored Accounts'!$A$2:$A$301,0))</f>
        <v>3</v>
      </c>
      <c r="J4" s="2" t="n">
        <f aca="false">INDEX('Scored Accounts'!$L$2:$L$301,MATCH($B4,'Scored Accounts'!$A$2:$A$301,0))</f>
        <v>1</v>
      </c>
      <c r="K4" s="21" t="n">
        <f aca="false">INDEX('Scored Accounts'!$Q$2:$Q$301,MATCH($B4,'Scored Accounts'!$A$2:$A$301,0))</f>
        <v>95</v>
      </c>
      <c r="L4" s="2" t="str">
        <f aca="false">INDEX('Scored Accounts'!$R$2:$R$301,MATCH($B4,'Scored Accounts'!$A$2:$A$301,0))</f>
        <v>High</v>
      </c>
      <c r="M4" s="21" t="n">
        <f aca="false">INDEX('Scored Accounts'!$V$2:$V$301,MATCH($B4,'Scored Accounts'!$A$2:$A$301,0))</f>
        <v>95</v>
      </c>
      <c r="N4" s="2" t="n">
        <f aca="false">INDEX('Scored Accounts'!$U$2:$U$301,MATCH($B4,'Scored Accounts'!$A$2:$A$301,0))</f>
        <v>3</v>
      </c>
    </row>
    <row r="5" customFormat="false" ht="15" hidden="false" customHeight="false" outlineLevel="0" collapsed="false">
      <c r="A5" s="2" t="s">
        <v>1750</v>
      </c>
      <c r="B5" s="2" t="s">
        <v>651</v>
      </c>
      <c r="C5" s="2" t="s">
        <v>1751</v>
      </c>
      <c r="D5" s="2" t="str">
        <f aca="false">INDEX('Scored Accounts'!$B$2:$B$301,MATCH($B5,'Scored Accounts'!$A$2:$A$301,0))</f>
        <v>Account Managed</v>
      </c>
      <c r="E5" s="9" t="n">
        <f aca="false">INDEX('Scored Accounts'!$F$2:$F$301,MATCH($B5,'Scored Accounts'!$A$2:$A$301,0))</f>
        <v>710</v>
      </c>
      <c r="F5" s="2" t="n">
        <f aca="false">INDEX('Scored Accounts'!$G$2:$G$301,MATCH($B5,'Scored Accounts'!$A$2:$A$301,0))</f>
        <v>1</v>
      </c>
      <c r="G5" s="2" t="n">
        <f aca="false">INDEX('Scored Accounts'!$H$2:$H$301,MATCH($B5,'Scored Accounts'!$A$2:$A$301,0))</f>
        <v>1</v>
      </c>
      <c r="H5" s="2" t="n">
        <f aca="false">INDEX('Scored Accounts'!$J$2:$J$301,MATCH($B5,'Scored Accounts'!$A$2:$A$301,0))</f>
        <v>82</v>
      </c>
      <c r="I5" s="2" t="n">
        <f aca="false">INDEX('Scored Accounts'!$K$2:$K$301,MATCH($B5,'Scored Accounts'!$A$2:$A$301,0))</f>
        <v>4</v>
      </c>
      <c r="J5" s="2" t="n">
        <f aca="false">INDEX('Scored Accounts'!$L$2:$L$301,MATCH($B5,'Scored Accounts'!$A$2:$A$301,0))</f>
        <v>1</v>
      </c>
      <c r="K5" s="21" t="n">
        <f aca="false">INDEX('Scored Accounts'!$Q$2:$Q$301,MATCH($B5,'Scored Accounts'!$A$2:$A$301,0))</f>
        <v>95</v>
      </c>
      <c r="L5" s="2" t="str">
        <f aca="false">INDEX('Scored Accounts'!$R$2:$R$301,MATCH($B5,'Scored Accounts'!$A$2:$A$301,0))</f>
        <v>High</v>
      </c>
      <c r="M5" s="21" t="n">
        <f aca="false">INDEX('Scored Accounts'!$V$2:$V$301,MATCH($B5,'Scored Accounts'!$A$2:$A$301,0))</f>
        <v>95</v>
      </c>
      <c r="N5" s="2" t="n">
        <f aca="false">INDEX('Scored Accounts'!$U$2:$U$301,MATCH($B5,'Scored Accounts'!$A$2:$A$301,0))</f>
        <v>2</v>
      </c>
    </row>
    <row r="6" customFormat="false" ht="15" hidden="false" customHeight="false" outlineLevel="0" collapsed="false">
      <c r="A6" s="2" t="s">
        <v>1750</v>
      </c>
      <c r="B6" s="2" t="s">
        <v>703</v>
      </c>
      <c r="C6" s="2" t="s">
        <v>1752</v>
      </c>
      <c r="D6" s="2" t="str">
        <f aca="false">INDEX('Scored Accounts'!$B$2:$B$301,MATCH($B6,'Scored Accounts'!$A$2:$A$301,0))</f>
        <v>Account Managed</v>
      </c>
      <c r="E6" s="9" t="n">
        <f aca="false">INDEX('Scored Accounts'!$F$2:$F$301,MATCH($B6,'Scored Accounts'!$A$2:$A$301,0))</f>
        <v>454</v>
      </c>
      <c r="F6" s="2" t="n">
        <f aca="false">INDEX('Scored Accounts'!$G$2:$G$301,MATCH($B6,'Scored Accounts'!$A$2:$A$301,0))</f>
        <v>3</v>
      </c>
      <c r="G6" s="2" t="n">
        <f aca="false">INDEX('Scored Accounts'!$H$2:$H$301,MATCH($B6,'Scored Accounts'!$A$2:$A$301,0))</f>
        <v>2</v>
      </c>
      <c r="H6" s="2" t="n">
        <f aca="false">INDEX('Scored Accounts'!$J$2:$J$301,MATCH($B6,'Scored Accounts'!$A$2:$A$301,0))</f>
        <v>70</v>
      </c>
      <c r="I6" s="2" t="n">
        <f aca="false">INDEX('Scored Accounts'!$K$2:$K$301,MATCH($B6,'Scored Accounts'!$A$2:$A$301,0))</f>
        <v>4</v>
      </c>
      <c r="J6" s="2" t="n">
        <f aca="false">INDEX('Scored Accounts'!$L$2:$L$301,MATCH($B6,'Scored Accounts'!$A$2:$A$301,0))</f>
        <v>1</v>
      </c>
      <c r="K6" s="21" t="n">
        <f aca="false">INDEX('Scored Accounts'!$Q$2:$Q$301,MATCH($B6,'Scored Accounts'!$A$2:$A$301,0))</f>
        <v>82.5</v>
      </c>
      <c r="L6" s="2" t="str">
        <f aca="false">INDEX('Scored Accounts'!$R$2:$R$301,MATCH($B6,'Scored Accounts'!$A$2:$A$301,0))</f>
        <v>High</v>
      </c>
      <c r="M6" s="21" t="n">
        <f aca="false">INDEX('Scored Accounts'!$V$2:$V$301,MATCH($B6,'Scored Accounts'!$A$2:$A$301,0))</f>
        <v>82.5</v>
      </c>
      <c r="N6" s="2" t="n">
        <f aca="false">INDEX('Scored Accounts'!$U$2:$U$301,MATCH($B6,'Scored Accounts'!$A$2:$A$301,0))</f>
        <v>2</v>
      </c>
    </row>
    <row r="7" customFormat="false" ht="15" hidden="false" customHeight="false" outlineLevel="0" collapsed="false">
      <c r="A7" s="2" t="s">
        <v>1750</v>
      </c>
      <c r="B7" s="2" t="s">
        <v>520</v>
      </c>
      <c r="C7" s="2" t="s">
        <v>1753</v>
      </c>
      <c r="D7" s="2" t="str">
        <f aca="false">INDEX('Scored Accounts'!$B$2:$B$301,MATCH($B7,'Scored Accounts'!$A$2:$A$301,0))</f>
        <v>Account Managed</v>
      </c>
      <c r="E7" s="9" t="n">
        <f aca="false">INDEX('Scored Accounts'!$F$2:$F$301,MATCH($B7,'Scored Accounts'!$A$2:$A$301,0))</f>
        <v>1401</v>
      </c>
      <c r="F7" s="2" t="n">
        <f aca="false">INDEX('Scored Accounts'!$G$2:$G$301,MATCH($B7,'Scored Accounts'!$A$2:$A$301,0))</f>
        <v>5</v>
      </c>
      <c r="G7" s="2" t="n">
        <f aca="false">INDEX('Scored Accounts'!$H$2:$H$301,MATCH($B7,'Scored Accounts'!$A$2:$A$301,0))</f>
        <v>4</v>
      </c>
      <c r="H7" s="2" t="n">
        <f aca="false">INDEX('Scored Accounts'!$J$2:$J$301,MATCH($B7,'Scored Accounts'!$A$2:$A$301,0))</f>
        <v>81</v>
      </c>
      <c r="I7" s="2" t="n">
        <f aca="false">INDEX('Scored Accounts'!$K$2:$K$301,MATCH($B7,'Scored Accounts'!$A$2:$A$301,0))</f>
        <v>4</v>
      </c>
      <c r="J7" s="2" t="n">
        <f aca="false">INDEX('Scored Accounts'!$L$2:$L$301,MATCH($B7,'Scored Accounts'!$A$2:$A$301,0))</f>
        <v>1</v>
      </c>
      <c r="K7" s="21" t="n">
        <f aca="false">INDEX('Scored Accounts'!$Q$2:$Q$301,MATCH($B7,'Scored Accounts'!$A$2:$A$301,0))</f>
        <v>95</v>
      </c>
      <c r="L7" s="2" t="str">
        <f aca="false">INDEX('Scored Accounts'!$R$2:$R$301,MATCH($B7,'Scored Accounts'!$A$2:$A$301,0))</f>
        <v>High</v>
      </c>
      <c r="M7" s="21" t="n">
        <f aca="false">INDEX('Scored Accounts'!$V$2:$V$301,MATCH($B7,'Scored Accounts'!$A$2:$A$301,0))</f>
        <v>95</v>
      </c>
      <c r="N7" s="2" t="n">
        <f aca="false">INDEX('Scored Accounts'!$U$2:$U$301,MATCH($B7,'Scored Accounts'!$A$2:$A$301,0))</f>
        <v>2</v>
      </c>
    </row>
    <row r="8" customFormat="false" ht="15" hidden="false" customHeight="false" outlineLevel="0" collapsed="false">
      <c r="A8" s="2" t="s">
        <v>1754</v>
      </c>
      <c r="B8" s="2" t="s">
        <v>308</v>
      </c>
      <c r="C8" s="2" t="s">
        <v>1755</v>
      </c>
      <c r="D8" s="2" t="str">
        <f aca="false">INDEX('Scored Accounts'!$B$2:$B$301,MATCH($B8,'Scored Accounts'!$A$2:$A$301,0))</f>
        <v>Account Managed</v>
      </c>
      <c r="E8" s="9" t="n">
        <f aca="false">INDEX('Scored Accounts'!$F$2:$F$301,MATCH($B8,'Scored Accounts'!$A$2:$A$301,0))</f>
        <v>170132</v>
      </c>
      <c r="F8" s="2" t="n">
        <f aca="false">INDEX('Scored Accounts'!$G$2:$G$301,MATCH($B8,'Scored Accounts'!$A$2:$A$301,0))</f>
        <v>46</v>
      </c>
      <c r="G8" s="2" t="n">
        <f aca="false">INDEX('Scored Accounts'!$H$2:$H$301,MATCH($B8,'Scored Accounts'!$A$2:$A$301,0))</f>
        <v>32</v>
      </c>
      <c r="H8" s="2" t="n">
        <f aca="false">INDEX('Scored Accounts'!$J$2:$J$301,MATCH($B8,'Scored Accounts'!$A$2:$A$301,0))</f>
        <v>69</v>
      </c>
      <c r="I8" s="2" t="n">
        <f aca="false">INDEX('Scored Accounts'!$K$2:$K$301,MATCH($B8,'Scored Accounts'!$A$2:$A$301,0))</f>
        <v>3</v>
      </c>
      <c r="J8" s="2" t="n">
        <f aca="false">INDEX('Scored Accounts'!$L$2:$L$301,MATCH($B8,'Scored Accounts'!$A$2:$A$301,0))</f>
        <v>0</v>
      </c>
      <c r="K8" s="21" t="n">
        <f aca="false">INDEX('Scored Accounts'!$Q$2:$Q$301,MATCH($B8,'Scored Accounts'!$A$2:$A$301,0))</f>
        <v>87.5</v>
      </c>
      <c r="L8" s="2" t="str">
        <f aca="false">INDEX('Scored Accounts'!$R$2:$R$301,MATCH($B8,'Scored Accounts'!$A$2:$A$301,0))</f>
        <v>High</v>
      </c>
      <c r="M8" s="21" t="n">
        <f aca="false">INDEX('Scored Accounts'!$V$2:$V$301,MATCH($B8,'Scored Accounts'!$A$2:$A$301,0))</f>
        <v>87.5</v>
      </c>
      <c r="N8" s="2" t="n">
        <f aca="false">INDEX('Scored Accounts'!$U$2:$U$301,MATCH($B8,'Scored Accounts'!$A$2:$A$301,0))</f>
        <v>4</v>
      </c>
    </row>
    <row r="9" customFormat="false" ht="15" hidden="false" customHeight="false" outlineLevel="0" collapsed="false">
      <c r="A9" s="2" t="s">
        <v>1754</v>
      </c>
      <c r="B9" s="2" t="s">
        <v>328</v>
      </c>
      <c r="C9" s="2" t="s">
        <v>1756</v>
      </c>
      <c r="D9" s="2" t="str">
        <f aca="false">INDEX('Scored Accounts'!$B$2:$B$301,MATCH($B9,'Scored Accounts'!$A$2:$A$301,0))</f>
        <v>Account Managed</v>
      </c>
      <c r="E9" s="9" t="n">
        <f aca="false">INDEX('Scored Accounts'!$F$2:$F$301,MATCH($B9,'Scored Accounts'!$A$2:$A$301,0))</f>
        <v>41039</v>
      </c>
      <c r="F9" s="2" t="n">
        <f aca="false">INDEX('Scored Accounts'!$G$2:$G$301,MATCH($B9,'Scored Accounts'!$A$2:$A$301,0))</f>
        <v>36</v>
      </c>
      <c r="G9" s="2" t="n">
        <f aca="false">INDEX('Scored Accounts'!$H$2:$H$301,MATCH($B9,'Scored Accounts'!$A$2:$A$301,0))</f>
        <v>27</v>
      </c>
      <c r="H9" s="2" t="n">
        <f aca="false">INDEX('Scored Accounts'!$J$2:$J$301,MATCH($B9,'Scored Accounts'!$A$2:$A$301,0))</f>
        <v>74</v>
      </c>
      <c r="I9" s="2" t="n">
        <f aca="false">INDEX('Scored Accounts'!$K$2:$K$301,MATCH($B9,'Scored Accounts'!$A$2:$A$301,0))</f>
        <v>1</v>
      </c>
      <c r="J9" s="2" t="n">
        <f aca="false">INDEX('Scored Accounts'!$L$2:$L$301,MATCH($B9,'Scored Accounts'!$A$2:$A$301,0))</f>
        <v>2</v>
      </c>
      <c r="K9" s="21" t="n">
        <f aca="false">INDEX('Scored Accounts'!$Q$2:$Q$301,MATCH($B9,'Scored Accounts'!$A$2:$A$301,0))</f>
        <v>77.5</v>
      </c>
      <c r="L9" s="2" t="str">
        <f aca="false">INDEX('Scored Accounts'!$R$2:$R$301,MATCH($B9,'Scored Accounts'!$A$2:$A$301,0))</f>
        <v>High</v>
      </c>
      <c r="M9" s="21" t="n">
        <f aca="false">INDEX('Scored Accounts'!$V$2:$V$301,MATCH($B9,'Scored Accounts'!$A$2:$A$301,0))</f>
        <v>77.5</v>
      </c>
      <c r="N9" s="2" t="n">
        <f aca="false">INDEX('Scored Accounts'!$U$2:$U$301,MATCH($B9,'Scored Accounts'!$A$2:$A$301,0))</f>
        <v>3</v>
      </c>
    </row>
    <row r="10" customFormat="false" ht="15" hidden="false" customHeight="false" outlineLevel="0" collapsed="false">
      <c r="A10" s="2" t="s">
        <v>1754</v>
      </c>
      <c r="B10" s="2" t="s">
        <v>139</v>
      </c>
      <c r="C10" s="2" t="s">
        <v>1757</v>
      </c>
      <c r="D10" s="2" t="str">
        <f aca="false">INDEX('Scored Accounts'!$B$2:$B$301,MATCH($B10,'Scored Accounts'!$A$2:$A$301,0))</f>
        <v>Account Managed</v>
      </c>
      <c r="E10" s="9" t="n">
        <f aca="false">INDEX('Scored Accounts'!$F$2:$F$301,MATCH($B10,'Scored Accounts'!$A$2:$A$301,0))</f>
        <v>70650</v>
      </c>
      <c r="F10" s="2" t="n">
        <f aca="false">INDEX('Scored Accounts'!$G$2:$G$301,MATCH($B10,'Scored Accounts'!$A$2:$A$301,0))</f>
        <v>2</v>
      </c>
      <c r="G10" s="2" t="n">
        <f aca="false">INDEX('Scored Accounts'!$H$2:$H$301,MATCH($B10,'Scored Accounts'!$A$2:$A$301,0))</f>
        <v>1</v>
      </c>
      <c r="H10" s="2" t="n">
        <f aca="false">INDEX('Scored Accounts'!$J$2:$J$301,MATCH($B10,'Scored Accounts'!$A$2:$A$301,0))</f>
        <v>70</v>
      </c>
      <c r="I10" s="2" t="n">
        <f aca="false">INDEX('Scored Accounts'!$K$2:$K$301,MATCH($B10,'Scored Accounts'!$A$2:$A$301,0))</f>
        <v>2</v>
      </c>
      <c r="J10" s="2" t="n">
        <f aca="false">INDEX('Scored Accounts'!$L$2:$L$301,MATCH($B10,'Scored Accounts'!$A$2:$A$301,0))</f>
        <v>2</v>
      </c>
      <c r="K10" s="21" t="n">
        <f aca="false">INDEX('Scored Accounts'!$Q$2:$Q$301,MATCH($B10,'Scored Accounts'!$A$2:$A$301,0))</f>
        <v>77.5</v>
      </c>
      <c r="L10" s="2" t="str">
        <f aca="false">INDEX('Scored Accounts'!$R$2:$R$301,MATCH($B10,'Scored Accounts'!$A$2:$A$301,0))</f>
        <v>High</v>
      </c>
      <c r="M10" s="21" t="n">
        <f aca="false">INDEX('Scored Accounts'!$V$2:$V$301,MATCH($B10,'Scored Accounts'!$A$2:$A$301,0))</f>
        <v>77.5</v>
      </c>
      <c r="N10" s="2" t="n">
        <f aca="false">INDEX('Scored Accounts'!$U$2:$U$301,MATCH($B10,'Scored Accounts'!$A$2:$A$301,0))</f>
        <v>3</v>
      </c>
    </row>
    <row r="11" customFormat="false" ht="15" hidden="false" customHeight="false" outlineLevel="0" collapsed="false">
      <c r="A11" s="2" t="s">
        <v>1758</v>
      </c>
      <c r="B11" s="2" t="s">
        <v>168</v>
      </c>
      <c r="C11" s="2" t="s">
        <v>1759</v>
      </c>
      <c r="D11" s="2" t="str">
        <f aca="false">INDEX('Scored Accounts'!$B$2:$B$301,MATCH($B11,'Scored Accounts'!$A$2:$A$301,0))</f>
        <v>Account Managed</v>
      </c>
      <c r="E11" s="9" t="n">
        <f aca="false">INDEX('Scored Accounts'!$F$2:$F$301,MATCH($B11,'Scored Accounts'!$A$2:$A$301,0))</f>
        <v>18652</v>
      </c>
      <c r="F11" s="2" t="n">
        <f aca="false">INDEX('Scored Accounts'!$G$2:$G$301,MATCH($B11,'Scored Accounts'!$A$2:$A$301,0))</f>
        <v>35</v>
      </c>
      <c r="G11" s="2" t="n">
        <f aca="false">INDEX('Scored Accounts'!$H$2:$H$301,MATCH($B11,'Scored Accounts'!$A$2:$A$301,0))</f>
        <v>24</v>
      </c>
      <c r="H11" s="2" t="n">
        <f aca="false">INDEX('Scored Accounts'!$J$2:$J$301,MATCH($B11,'Scored Accounts'!$A$2:$A$301,0))</f>
        <v>68</v>
      </c>
      <c r="I11" s="2" t="n">
        <f aca="false">INDEX('Scored Accounts'!$K$2:$K$301,MATCH($B11,'Scored Accounts'!$A$2:$A$301,0))</f>
        <v>1</v>
      </c>
      <c r="J11" s="2" t="n">
        <f aca="false">INDEX('Scored Accounts'!$L$2:$L$301,MATCH($B11,'Scored Accounts'!$A$2:$A$301,0))</f>
        <v>1</v>
      </c>
      <c r="K11" s="21" t="n">
        <f aca="false">INDEX('Scored Accounts'!$Q$2:$Q$301,MATCH($B11,'Scored Accounts'!$A$2:$A$301,0))</f>
        <v>82.5</v>
      </c>
      <c r="L11" s="2" t="str">
        <f aca="false">INDEX('Scored Accounts'!$R$2:$R$301,MATCH($B11,'Scored Accounts'!$A$2:$A$301,0))</f>
        <v>High</v>
      </c>
      <c r="M11" s="21" t="n">
        <f aca="false">INDEX('Scored Accounts'!$V$2:$V$301,MATCH($B11,'Scored Accounts'!$A$2:$A$301,0))</f>
        <v>82.5</v>
      </c>
      <c r="N11" s="2" t="n">
        <f aca="false">INDEX('Scored Accounts'!$U$2:$U$301,MATCH($B11,'Scored Accounts'!$A$2:$A$301,0))</f>
        <v>3</v>
      </c>
    </row>
    <row r="12" customFormat="false" ht="15" hidden="false" customHeight="false" outlineLevel="0" collapsed="false">
      <c r="A12" s="2" t="s">
        <v>1758</v>
      </c>
      <c r="B12" s="2" t="s">
        <v>361</v>
      </c>
      <c r="C12" s="2" t="s">
        <v>1760</v>
      </c>
      <c r="D12" s="2" t="str">
        <f aca="false">INDEX('Scored Accounts'!$B$2:$B$301,MATCH($B12,'Scored Accounts'!$A$2:$A$301,0))</f>
        <v>Account Managed</v>
      </c>
      <c r="E12" s="9" t="n">
        <f aca="false">INDEX('Scored Accounts'!$F$2:$F$301,MATCH($B12,'Scored Accounts'!$A$2:$A$301,0))</f>
        <v>11252</v>
      </c>
      <c r="F12" s="2" t="n">
        <f aca="false">INDEX('Scored Accounts'!$G$2:$G$301,MATCH($B12,'Scored Accounts'!$A$2:$A$301,0))</f>
        <v>26</v>
      </c>
      <c r="G12" s="2" t="n">
        <f aca="false">INDEX('Scored Accounts'!$H$2:$H$301,MATCH($B12,'Scored Accounts'!$A$2:$A$301,0))</f>
        <v>18</v>
      </c>
      <c r="H12" s="2" t="n">
        <f aca="false">INDEX('Scored Accounts'!$J$2:$J$301,MATCH($B12,'Scored Accounts'!$A$2:$A$301,0))</f>
        <v>68</v>
      </c>
      <c r="I12" s="2" t="n">
        <f aca="false">INDEX('Scored Accounts'!$K$2:$K$301,MATCH($B12,'Scored Accounts'!$A$2:$A$301,0))</f>
        <v>1</v>
      </c>
      <c r="J12" s="2" t="n">
        <f aca="false">INDEX('Scored Accounts'!$L$2:$L$301,MATCH($B12,'Scored Accounts'!$A$2:$A$301,0))</f>
        <v>1</v>
      </c>
      <c r="K12" s="21" t="n">
        <f aca="false">INDEX('Scored Accounts'!$Q$2:$Q$301,MATCH($B12,'Scored Accounts'!$A$2:$A$301,0))</f>
        <v>82.5</v>
      </c>
      <c r="L12" s="2" t="str">
        <f aca="false">INDEX('Scored Accounts'!$R$2:$R$301,MATCH($B12,'Scored Accounts'!$A$2:$A$301,0))</f>
        <v>High</v>
      </c>
      <c r="M12" s="21" t="n">
        <f aca="false">INDEX('Scored Accounts'!$V$2:$V$301,MATCH($B12,'Scored Accounts'!$A$2:$A$301,0))</f>
        <v>82.5</v>
      </c>
      <c r="N12" s="2" t="n">
        <f aca="false">INDEX('Scored Accounts'!$U$2:$U$301,MATCH($B12,'Scored Accounts'!$A$2:$A$301,0))</f>
        <v>3</v>
      </c>
    </row>
    <row r="13" customFormat="false" ht="15" hidden="false" customHeight="false" outlineLevel="0" collapsed="false">
      <c r="A13" s="2" t="s">
        <v>1758</v>
      </c>
      <c r="B13" s="2" t="s">
        <v>199</v>
      </c>
      <c r="C13" s="2" t="s">
        <v>1761</v>
      </c>
      <c r="D13" s="2" t="str">
        <f aca="false">INDEX('Scored Accounts'!$B$2:$B$301,MATCH($B13,'Scored Accounts'!$A$2:$A$301,0))</f>
        <v>Account Managed</v>
      </c>
      <c r="E13" s="9" t="n">
        <f aca="false">INDEX('Scored Accounts'!$F$2:$F$301,MATCH($B13,'Scored Accounts'!$A$2:$A$301,0))</f>
        <v>10950</v>
      </c>
      <c r="F13" s="2" t="n">
        <f aca="false">INDEX('Scored Accounts'!$G$2:$G$301,MATCH($B13,'Scored Accounts'!$A$2:$A$301,0))</f>
        <v>37</v>
      </c>
      <c r="G13" s="2" t="n">
        <f aca="false">INDEX('Scored Accounts'!$H$2:$H$301,MATCH($B13,'Scored Accounts'!$A$2:$A$301,0))</f>
        <v>29</v>
      </c>
      <c r="H13" s="2" t="n">
        <f aca="false">INDEX('Scored Accounts'!$J$2:$J$301,MATCH($B13,'Scored Accounts'!$A$2:$A$301,0))</f>
        <v>78</v>
      </c>
      <c r="I13" s="2" t="n">
        <f aca="false">INDEX('Scored Accounts'!$K$2:$K$301,MATCH($B13,'Scored Accounts'!$A$2:$A$301,0))</f>
        <v>4</v>
      </c>
      <c r="J13" s="2" t="n">
        <f aca="false">INDEX('Scored Accounts'!$L$2:$L$301,MATCH($B13,'Scored Accounts'!$A$2:$A$301,0))</f>
        <v>1</v>
      </c>
      <c r="K13" s="21" t="n">
        <f aca="false">INDEX('Scored Accounts'!$Q$2:$Q$301,MATCH($B13,'Scored Accounts'!$A$2:$A$301,0))</f>
        <v>82.5</v>
      </c>
      <c r="L13" s="2" t="str">
        <f aca="false">INDEX('Scored Accounts'!$R$2:$R$301,MATCH($B13,'Scored Accounts'!$A$2:$A$301,0))</f>
        <v>High</v>
      </c>
      <c r="M13" s="21" t="n">
        <f aca="false">INDEX('Scored Accounts'!$V$2:$V$301,MATCH($B13,'Scored Accounts'!$A$2:$A$301,0))</f>
        <v>82.5</v>
      </c>
      <c r="N13" s="2" t="n">
        <f aca="false">INDEX('Scored Accounts'!$U$2:$U$301,MATCH($B13,'Scored Accounts'!$A$2:$A$301,0))</f>
        <v>3</v>
      </c>
    </row>
    <row r="14" customFormat="false" ht="15" hidden="false" customHeight="false" outlineLevel="0" collapsed="false">
      <c r="A14" s="2" t="s">
        <v>1758</v>
      </c>
      <c r="B14" s="2" t="s">
        <v>513</v>
      </c>
      <c r="C14" s="2" t="s">
        <v>1762</v>
      </c>
      <c r="D14" s="2" t="str">
        <f aca="false">INDEX('Scored Accounts'!$B$2:$B$301,MATCH($B14,'Scored Accounts'!$A$2:$A$301,0))</f>
        <v>Account Managed</v>
      </c>
      <c r="E14" s="9" t="n">
        <f aca="false">INDEX('Scored Accounts'!$F$2:$F$301,MATCH($B14,'Scored Accounts'!$A$2:$A$301,0))</f>
        <v>1448</v>
      </c>
      <c r="F14" s="2" t="n">
        <f aca="false">INDEX('Scored Accounts'!$G$2:$G$301,MATCH($B14,'Scored Accounts'!$A$2:$A$301,0))</f>
        <v>2</v>
      </c>
      <c r="G14" s="2" t="n">
        <f aca="false">INDEX('Scored Accounts'!$H$2:$H$301,MATCH($B14,'Scored Accounts'!$A$2:$A$301,0))</f>
        <v>1</v>
      </c>
      <c r="H14" s="2" t="n">
        <f aca="false">INDEX('Scored Accounts'!$J$2:$J$301,MATCH($B14,'Scored Accounts'!$A$2:$A$301,0))</f>
        <v>70</v>
      </c>
      <c r="I14" s="2" t="n">
        <f aca="false">INDEX('Scored Accounts'!$K$2:$K$301,MATCH($B14,'Scored Accounts'!$A$2:$A$301,0))</f>
        <v>8</v>
      </c>
      <c r="J14" s="2" t="n">
        <f aca="false">INDEX('Scored Accounts'!$L$2:$L$301,MATCH($B14,'Scored Accounts'!$A$2:$A$301,0))</f>
        <v>0</v>
      </c>
      <c r="K14" s="21" t="n">
        <f aca="false">INDEX('Scored Accounts'!$Q$2:$Q$301,MATCH($B14,'Scored Accounts'!$A$2:$A$301,0))</f>
        <v>80</v>
      </c>
      <c r="L14" s="2" t="str">
        <f aca="false">INDEX('Scored Accounts'!$R$2:$R$301,MATCH($B14,'Scored Accounts'!$A$2:$A$301,0))</f>
        <v>High</v>
      </c>
      <c r="M14" s="21" t="n">
        <f aca="false">INDEX('Scored Accounts'!$V$2:$V$301,MATCH($B14,'Scored Accounts'!$A$2:$A$301,0))</f>
        <v>80</v>
      </c>
      <c r="N14" s="2" t="n">
        <f aca="false">INDEX('Scored Accounts'!$U$2:$U$301,MATCH($B14,'Scored Accounts'!$A$2:$A$301,0))</f>
        <v>3</v>
      </c>
    </row>
    <row r="15" customFormat="false" ht="15" hidden="false" customHeight="false" outlineLevel="0" collapsed="false">
      <c r="A15" s="2" t="s">
        <v>1763</v>
      </c>
      <c r="B15" s="2" t="s">
        <v>278</v>
      </c>
      <c r="C15" s="2" t="s">
        <v>1764</v>
      </c>
      <c r="D15" s="2" t="str">
        <f aca="false">INDEX('Scored Accounts'!$B$2:$B$301,MATCH($B15,'Scored Accounts'!$A$2:$A$301,0))</f>
        <v>Account Managed</v>
      </c>
      <c r="E15" s="9" t="n">
        <f aca="false">INDEX('Scored Accounts'!$F$2:$F$301,MATCH($B15,'Scored Accounts'!$A$2:$A$301,0))</f>
        <v>2992</v>
      </c>
      <c r="F15" s="2" t="n">
        <f aca="false">INDEX('Scored Accounts'!$G$2:$G$301,MATCH($B15,'Scored Accounts'!$A$2:$A$301,0))</f>
        <v>7</v>
      </c>
      <c r="G15" s="2" t="n">
        <f aca="false">INDEX('Scored Accounts'!$H$2:$H$301,MATCH($B15,'Scored Accounts'!$A$2:$A$301,0))</f>
        <v>1</v>
      </c>
      <c r="H15" s="2" t="n">
        <f aca="false">INDEX('Scored Accounts'!$J$2:$J$301,MATCH($B15,'Scored Accounts'!$A$2:$A$301,0))</f>
        <v>12</v>
      </c>
      <c r="I15" s="2" t="n">
        <f aca="false">INDEX('Scored Accounts'!$K$2:$K$301,MATCH($B15,'Scored Accounts'!$A$2:$A$301,0))</f>
        <v>113</v>
      </c>
      <c r="J15" s="2" t="n">
        <f aca="false">INDEX('Scored Accounts'!$L$2:$L$301,MATCH($B15,'Scored Accounts'!$A$2:$A$301,0))</f>
        <v>4</v>
      </c>
      <c r="K15" s="21" t="n">
        <f aca="false">INDEX('Scored Accounts'!$Q$2:$Q$301,MATCH($B15,'Scored Accounts'!$A$2:$A$301,0))</f>
        <v>0</v>
      </c>
      <c r="L15" s="2" t="str">
        <f aca="false">INDEX('Scored Accounts'!$R$2:$R$301,MATCH($B15,'Scored Accounts'!$A$2:$A$301,0))</f>
        <v>Low</v>
      </c>
      <c r="M15" s="21" t="n">
        <f aca="false">INDEX('Scored Accounts'!$V$2:$V$301,MATCH($B15,'Scored Accounts'!$A$2:$A$301,0))</f>
        <v>5</v>
      </c>
      <c r="N15" s="2" t="n">
        <f aca="false">INDEX('Scored Accounts'!$U$2:$U$301,MATCH($B15,'Scored Accounts'!$A$2:$A$301,0))</f>
        <v>1</v>
      </c>
    </row>
    <row r="16" customFormat="false" ht="15" hidden="false" customHeight="false" outlineLevel="0" collapsed="false">
      <c r="A16" s="2" t="s">
        <v>1763</v>
      </c>
      <c r="B16" s="2" t="s">
        <v>584</v>
      </c>
      <c r="C16" s="2" t="s">
        <v>1765</v>
      </c>
      <c r="D16" s="2" t="str">
        <f aca="false">INDEX('Scored Accounts'!$B$2:$B$301,MATCH($B16,'Scored Accounts'!$A$2:$A$301,0))</f>
        <v>Account Managed</v>
      </c>
      <c r="E16" s="9" t="n">
        <f aca="false">INDEX('Scored Accounts'!$F$2:$F$301,MATCH($B16,'Scored Accounts'!$A$2:$A$301,0))</f>
        <v>1542</v>
      </c>
      <c r="F16" s="2" t="n">
        <f aca="false">INDEX('Scored Accounts'!$G$2:$G$301,MATCH($B16,'Scored Accounts'!$A$2:$A$301,0))</f>
        <v>5</v>
      </c>
      <c r="G16" s="2" t="n">
        <f aca="false">INDEX('Scored Accounts'!$H$2:$H$301,MATCH($B16,'Scored Accounts'!$A$2:$A$301,0))</f>
        <v>1</v>
      </c>
      <c r="H16" s="2" t="n">
        <f aca="false">INDEX('Scored Accounts'!$J$2:$J$301,MATCH($B16,'Scored Accounts'!$A$2:$A$301,0))</f>
        <v>20</v>
      </c>
      <c r="I16" s="2" t="n">
        <f aca="false">INDEX('Scored Accounts'!$K$2:$K$301,MATCH($B16,'Scored Accounts'!$A$2:$A$301,0))</f>
        <v>77</v>
      </c>
      <c r="J16" s="2" t="n">
        <f aca="false">INDEX('Scored Accounts'!$L$2:$L$301,MATCH($B16,'Scored Accounts'!$A$2:$A$301,0))</f>
        <v>17</v>
      </c>
      <c r="K16" s="21" t="n">
        <f aca="false">INDEX('Scored Accounts'!$Q$2:$Q$301,MATCH($B16,'Scored Accounts'!$A$2:$A$301,0))</f>
        <v>0</v>
      </c>
      <c r="L16" s="2" t="str">
        <f aca="false">INDEX('Scored Accounts'!$R$2:$R$301,MATCH($B16,'Scored Accounts'!$A$2:$A$301,0))</f>
        <v>Low</v>
      </c>
      <c r="M16" s="21" t="n">
        <f aca="false">INDEX('Scored Accounts'!$V$2:$V$301,MATCH($B16,'Scored Accounts'!$A$2:$A$301,0))</f>
        <v>12.5</v>
      </c>
      <c r="N16" s="2" t="n">
        <f aca="false">INDEX('Scored Accounts'!$U$2:$U$301,MATCH($B16,'Scored Accounts'!$A$2:$A$301,0))</f>
        <v>0</v>
      </c>
    </row>
    <row r="17" customFormat="false" ht="15" hidden="false" customHeight="false" outlineLevel="0" collapsed="false">
      <c r="A17" s="2" t="s">
        <v>1763</v>
      </c>
      <c r="B17" s="2" t="s">
        <v>403</v>
      </c>
      <c r="C17" s="2" t="s">
        <v>1766</v>
      </c>
      <c r="D17" s="2" t="str">
        <f aca="false">INDEX('Scored Accounts'!$B$2:$B$301,MATCH($B17,'Scored Accounts'!$A$2:$A$301,0))</f>
        <v>Account Managed</v>
      </c>
      <c r="E17" s="9" t="n">
        <f aca="false">INDEX('Scored Accounts'!$F$2:$F$301,MATCH($B17,'Scored Accounts'!$A$2:$A$301,0))</f>
        <v>5014</v>
      </c>
      <c r="F17" s="2" t="n">
        <f aca="false">INDEX('Scored Accounts'!$G$2:$G$301,MATCH($B17,'Scored Accounts'!$A$2:$A$301,0))</f>
        <v>8</v>
      </c>
      <c r="G17" s="2" t="n">
        <f aca="false">INDEX('Scored Accounts'!$H$2:$H$301,MATCH($B17,'Scored Accounts'!$A$2:$A$301,0))</f>
        <v>1</v>
      </c>
      <c r="H17" s="2" t="n">
        <f aca="false">INDEX('Scored Accounts'!$J$2:$J$301,MATCH($B17,'Scored Accounts'!$A$2:$A$301,0))</f>
        <v>8</v>
      </c>
      <c r="I17" s="2" t="n">
        <f aca="false">INDEX('Scored Accounts'!$K$2:$K$301,MATCH($B17,'Scored Accounts'!$A$2:$A$301,0))</f>
        <v>59</v>
      </c>
      <c r="J17" s="2" t="n">
        <f aca="false">INDEX('Scored Accounts'!$L$2:$L$301,MATCH($B17,'Scored Accounts'!$A$2:$A$301,0))</f>
        <v>5</v>
      </c>
      <c r="K17" s="21" t="n">
        <f aca="false">INDEX('Scored Accounts'!$Q$2:$Q$301,MATCH($B17,'Scored Accounts'!$A$2:$A$301,0))</f>
        <v>0</v>
      </c>
      <c r="L17" s="2" t="str">
        <f aca="false">INDEX('Scored Accounts'!$R$2:$R$301,MATCH($B17,'Scored Accounts'!$A$2:$A$301,0))</f>
        <v>Low</v>
      </c>
      <c r="M17" s="21" t="n">
        <f aca="false">INDEX('Scored Accounts'!$V$2:$V$301,MATCH($B17,'Scored Accounts'!$A$2:$A$301,0))</f>
        <v>0</v>
      </c>
      <c r="N17" s="2" t="n">
        <f aca="false">INDEX('Scored Accounts'!$U$2:$U$301,MATCH($B17,'Scored Accounts'!$A$2:$A$301,0))</f>
        <v>1</v>
      </c>
    </row>
    <row r="18" customFormat="false" ht="15" hidden="false" customHeight="false" outlineLevel="0" collapsed="false">
      <c r="A18" s="2" t="s">
        <v>1767</v>
      </c>
      <c r="B18" s="2" t="s">
        <v>260</v>
      </c>
      <c r="C18" s="2" t="s">
        <v>1768</v>
      </c>
      <c r="D18" s="2" t="str">
        <f aca="false">INDEX('Scored Accounts'!$B$2:$B$301,MATCH($B18,'Scored Accounts'!$A$2:$A$301,0))</f>
        <v>Account Managed</v>
      </c>
      <c r="E18" s="9" t="n">
        <f aca="false">INDEX('Scored Accounts'!$F$2:$F$301,MATCH($B18,'Scored Accounts'!$A$2:$A$301,0))</f>
        <v>3478</v>
      </c>
      <c r="F18" s="2" t="n">
        <f aca="false">INDEX('Scored Accounts'!$G$2:$G$301,MATCH($B18,'Scored Accounts'!$A$2:$A$301,0))</f>
        <v>1</v>
      </c>
      <c r="G18" s="2" t="n">
        <f aca="false">INDEX('Scored Accounts'!$H$2:$H$301,MATCH($B18,'Scored Accounts'!$A$2:$A$301,0))</f>
        <v>0</v>
      </c>
      <c r="H18" s="2" t="n">
        <f aca="false">INDEX('Scored Accounts'!$J$2:$J$301,MATCH($B18,'Scored Accounts'!$A$2:$A$301,0))</f>
        <v>6</v>
      </c>
      <c r="I18" s="2" t="n">
        <f aca="false">INDEX('Scored Accounts'!$K$2:$K$301,MATCH($B18,'Scored Accounts'!$A$2:$A$301,0))</f>
        <v>1</v>
      </c>
      <c r="J18" s="2" t="n">
        <f aca="false">INDEX('Scored Accounts'!$L$2:$L$301,MATCH($B18,'Scored Accounts'!$A$2:$A$301,0))</f>
        <v>0</v>
      </c>
      <c r="K18" s="21" t="n">
        <f aca="false">INDEX('Scored Accounts'!$Q$2:$Q$301,MATCH($B18,'Scored Accounts'!$A$2:$A$301,0))</f>
        <v>0</v>
      </c>
      <c r="L18" s="2" t="str">
        <f aca="false">INDEX('Scored Accounts'!$R$2:$R$301,MATCH($B18,'Scored Accounts'!$A$2:$A$301,0))</f>
        <v>Low</v>
      </c>
      <c r="M18" s="21" t="n">
        <f aca="false">INDEX('Scored Accounts'!$V$2:$V$301,MATCH($B18,'Scored Accounts'!$A$2:$A$301,0))</f>
        <v>50</v>
      </c>
      <c r="N18" s="2" t="n">
        <f aca="false">INDEX('Scored Accounts'!$U$2:$U$301,MATCH($B18,'Scored Accounts'!$A$2:$A$301,0))</f>
        <v>3</v>
      </c>
    </row>
    <row r="19" customFormat="false" ht="15" hidden="false" customHeight="false" outlineLevel="0" collapsed="false">
      <c r="A19" s="2" t="s">
        <v>1767</v>
      </c>
      <c r="B19" s="2" t="s">
        <v>870</v>
      </c>
      <c r="C19" s="2" t="s">
        <v>1769</v>
      </c>
      <c r="D19" s="2" t="str">
        <f aca="false">INDEX('Scored Accounts'!$B$2:$B$301,MATCH($B19,'Scored Accounts'!$A$2:$A$301,0))</f>
        <v>Account Managed</v>
      </c>
      <c r="E19" s="9" t="n">
        <f aca="false">INDEX('Scored Accounts'!$F$2:$F$301,MATCH($B19,'Scored Accounts'!$A$2:$A$301,0))</f>
        <v>192</v>
      </c>
      <c r="F19" s="2" t="n">
        <f aca="false">INDEX('Scored Accounts'!$G$2:$G$301,MATCH($B19,'Scored Accounts'!$A$2:$A$301,0))</f>
        <v>1</v>
      </c>
      <c r="G19" s="2" t="n">
        <f aca="false">INDEX('Scored Accounts'!$H$2:$H$301,MATCH($B19,'Scored Accounts'!$A$2:$A$301,0))</f>
        <v>0</v>
      </c>
      <c r="H19" s="2" t="n">
        <f aca="false">INDEX('Scored Accounts'!$J$2:$J$301,MATCH($B19,'Scored Accounts'!$A$2:$A$301,0))</f>
        <v>20</v>
      </c>
      <c r="I19" s="2" t="n">
        <f aca="false">INDEX('Scored Accounts'!$K$2:$K$301,MATCH($B19,'Scored Accounts'!$A$2:$A$301,0))</f>
        <v>3</v>
      </c>
      <c r="J19" s="2" t="n">
        <f aca="false">INDEX('Scored Accounts'!$L$2:$L$301,MATCH($B19,'Scored Accounts'!$A$2:$A$301,0))</f>
        <v>0</v>
      </c>
      <c r="K19" s="21" t="n">
        <f aca="false">INDEX('Scored Accounts'!$Q$2:$Q$301,MATCH($B19,'Scored Accounts'!$A$2:$A$301,0))</f>
        <v>0</v>
      </c>
      <c r="L19" s="2" t="str">
        <f aca="false">INDEX('Scored Accounts'!$R$2:$R$301,MATCH($B19,'Scored Accounts'!$A$2:$A$301,0))</f>
        <v>Low</v>
      </c>
      <c r="M19" s="21" t="n">
        <f aca="false">INDEX('Scored Accounts'!$V$2:$V$301,MATCH($B19,'Scored Accounts'!$A$2:$A$301,0))</f>
        <v>62.5</v>
      </c>
      <c r="N19" s="2" t="n">
        <f aca="false">INDEX('Scored Accounts'!$U$2:$U$301,MATCH($B19,'Scored Accounts'!$A$2:$A$301,0))</f>
        <v>2</v>
      </c>
    </row>
    <row r="20" customFormat="false" ht="15" hidden="false" customHeight="false" outlineLevel="0" collapsed="false">
      <c r="A20" s="2" t="s">
        <v>1770</v>
      </c>
      <c r="B20" s="2" t="s">
        <v>113</v>
      </c>
      <c r="C20" s="2" t="s">
        <v>1771</v>
      </c>
      <c r="D20" s="2" t="str">
        <f aca="false">INDEX('Scored Accounts'!$B$2:$B$301,MATCH($B20,'Scored Accounts'!$A$2:$A$301,0))</f>
        <v>Account Managed</v>
      </c>
      <c r="E20" s="9" t="n">
        <f aca="false">INDEX('Scored Accounts'!$F$2:$F$301,MATCH($B20,'Scored Accounts'!$A$2:$A$301,0))</f>
        <v>24555</v>
      </c>
      <c r="F20" s="2" t="n">
        <f aca="false">INDEX('Scored Accounts'!$G$2:$G$301,MATCH($B20,'Scored Accounts'!$A$2:$A$301,0))</f>
        <v>14</v>
      </c>
      <c r="G20" s="2" t="n">
        <f aca="false">INDEX('Scored Accounts'!$H$2:$H$301,MATCH($B20,'Scored Accounts'!$A$2:$A$301,0))</f>
        <v>7</v>
      </c>
      <c r="H20" s="2" t="n">
        <f aca="false">INDEX('Scored Accounts'!$J$2:$J$301,MATCH($B20,'Scored Accounts'!$A$2:$A$301,0))</f>
        <v>50</v>
      </c>
      <c r="I20" s="2" t="n">
        <f aca="false">INDEX('Scored Accounts'!$K$2:$K$301,MATCH($B20,'Scored Accounts'!$A$2:$A$301,0))</f>
        <v>8</v>
      </c>
      <c r="J20" s="2" t="n">
        <f aca="false">INDEX('Scored Accounts'!$L$2:$L$301,MATCH($B20,'Scored Accounts'!$A$2:$A$301,0))</f>
        <v>1</v>
      </c>
      <c r="K20" s="21" t="n">
        <f aca="false">INDEX('Scored Accounts'!$Q$2:$Q$301,MATCH($B20,'Scored Accounts'!$A$2:$A$301,0))</f>
        <v>62.5</v>
      </c>
      <c r="L20" s="2" t="str">
        <f aca="false">INDEX('Scored Accounts'!$R$2:$R$301,MATCH($B20,'Scored Accounts'!$A$2:$A$301,0))</f>
        <v>Medium</v>
      </c>
      <c r="M20" s="21" t="n">
        <f aca="false">INDEX('Scored Accounts'!$V$2:$V$301,MATCH($B20,'Scored Accounts'!$A$2:$A$301,0))</f>
        <v>62.5</v>
      </c>
      <c r="N20" s="2" t="n">
        <f aca="false">INDEX('Scored Accounts'!$U$2:$U$301,MATCH($B20,'Scored Accounts'!$A$2:$A$301,0))</f>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70"/>
    <col collapsed="false" customWidth="true" hidden="false" outlineLevel="0" max="3" min="3" style="0" width="50"/>
  </cols>
  <sheetData>
    <row r="1" customFormat="false" ht="15" hidden="false" customHeight="false" outlineLevel="0" collapsed="false">
      <c r="A1" s="8" t="s">
        <v>1772</v>
      </c>
      <c r="B1" s="8" t="s">
        <v>1773</v>
      </c>
      <c r="C1" s="8" t="s">
        <v>1774</v>
      </c>
    </row>
    <row r="2" customFormat="false" ht="23.85" hidden="false" customHeight="false" outlineLevel="0" collapsed="false">
      <c r="A2" s="11" t="s">
        <v>1775</v>
      </c>
      <c r="B2" s="11" t="s">
        <v>1776</v>
      </c>
      <c r="C2" s="11" t="s">
        <v>1777</v>
      </c>
    </row>
    <row r="3" customFormat="false" ht="23.85" hidden="false" customHeight="false" outlineLevel="0" collapsed="false">
      <c r="A3" s="11" t="s">
        <v>1778</v>
      </c>
      <c r="B3" s="11" t="s">
        <v>1779</v>
      </c>
      <c r="C3" s="11" t="s">
        <v>1780</v>
      </c>
    </row>
    <row r="4" customFormat="false" ht="15" hidden="false" customHeight="false" outlineLevel="0" collapsed="false">
      <c r="A4" s="11" t="s">
        <v>1781</v>
      </c>
      <c r="B4" s="11" t="s">
        <v>1782</v>
      </c>
      <c r="C4" s="11" t="s">
        <v>1783</v>
      </c>
    </row>
    <row r="5" customFormat="false" ht="15" hidden="false" customHeight="false" outlineLevel="0" collapsed="false">
      <c r="A5" s="11" t="s">
        <v>1784</v>
      </c>
      <c r="B5" s="11" t="s">
        <v>1785</v>
      </c>
      <c r="C5" s="11" t="s">
        <v>1786</v>
      </c>
    </row>
    <row r="6" customFormat="false" ht="15" hidden="false" customHeight="false" outlineLevel="0" collapsed="false">
      <c r="A6" s="11" t="s">
        <v>1787</v>
      </c>
      <c r="B6" s="11" t="s">
        <v>1788</v>
      </c>
      <c r="C6" s="11" t="s">
        <v>1789</v>
      </c>
    </row>
    <row r="7" customFormat="false" ht="15" hidden="false" customHeight="false" outlineLevel="0" collapsed="false">
      <c r="A7" s="11" t="s">
        <v>1790</v>
      </c>
      <c r="B7" s="11" t="s">
        <v>1791</v>
      </c>
      <c r="C7" s="11" t="s">
        <v>1792</v>
      </c>
    </row>
    <row r="8" customFormat="false" ht="15" hidden="false" customHeight="false" outlineLevel="0" collapsed="false">
      <c r="A8" s="11" t="s">
        <v>1793</v>
      </c>
      <c r="B8" s="11" t="s">
        <v>1794</v>
      </c>
      <c r="C8" s="11" t="s">
        <v>1792</v>
      </c>
    </row>
    <row r="9" customFormat="false" ht="15" hidden="false" customHeight="false" outlineLevel="0" collapsed="false">
      <c r="A9" s="11" t="s">
        <v>1795</v>
      </c>
      <c r="B9" s="11" t="s">
        <v>1796</v>
      </c>
      <c r="C9" s="11" t="s">
        <v>1797</v>
      </c>
    </row>
    <row r="10" customFormat="false" ht="23.85" hidden="false" customHeight="false" outlineLevel="0" collapsed="false">
      <c r="A10" s="11" t="s">
        <v>1798</v>
      </c>
      <c r="B10" s="11" t="s">
        <v>1799</v>
      </c>
      <c r="C10" s="11" t="s">
        <v>1800</v>
      </c>
    </row>
    <row r="11" customFormat="false" ht="15" hidden="false" customHeight="false" outlineLevel="0" collapsed="false">
      <c r="A11" s="11" t="s">
        <v>1801</v>
      </c>
      <c r="B11" s="11" t="s">
        <v>1802</v>
      </c>
      <c r="C11" s="11" t="s">
        <v>1803</v>
      </c>
    </row>
    <row r="12" customFormat="false" ht="15" hidden="false" customHeight="false" outlineLevel="0" collapsed="false">
      <c r="A12" s="11" t="s">
        <v>1804</v>
      </c>
      <c r="B12" s="11" t="s">
        <v>1805</v>
      </c>
      <c r="C12" s="11" t="s">
        <v>1806</v>
      </c>
    </row>
    <row r="13" customFormat="false" ht="57.45" hidden="false" customHeight="false" outlineLevel="0" collapsed="false">
      <c r="A13" s="11" t="s">
        <v>1807</v>
      </c>
      <c r="B13" s="11" t="s">
        <v>1808</v>
      </c>
      <c r="C13" s="11" t="s">
        <v>1809</v>
      </c>
    </row>
    <row r="14" customFormat="false" ht="35.05" hidden="false" customHeight="false" outlineLevel="0" collapsed="false">
      <c r="A14" s="11" t="s">
        <v>1810</v>
      </c>
      <c r="B14" s="11" t="s">
        <v>1811</v>
      </c>
      <c r="C14" s="11" t="s">
        <v>1812</v>
      </c>
    </row>
    <row r="15" customFormat="false" ht="35.05" hidden="false" customHeight="false" outlineLevel="0" collapsed="false">
      <c r="A15" s="11" t="s">
        <v>1813</v>
      </c>
      <c r="B15" s="11" t="s">
        <v>1814</v>
      </c>
      <c r="C15" s="11" t="s">
        <v>1815</v>
      </c>
    </row>
    <row r="16" customFormat="false" ht="35.05" hidden="false" customHeight="false" outlineLevel="0" collapsed="false">
      <c r="A16" s="11" t="s">
        <v>1816</v>
      </c>
      <c r="B16" s="11" t="s">
        <v>1817</v>
      </c>
      <c r="C16" s="11" t="s">
        <v>1818</v>
      </c>
    </row>
    <row r="17" customFormat="false" ht="23.85" hidden="false" customHeight="false" outlineLevel="0" collapsed="false">
      <c r="A17" s="11" t="s">
        <v>1819</v>
      </c>
      <c r="B17" s="11" t="s">
        <v>1820</v>
      </c>
      <c r="C17" s="11" t="s">
        <v>1821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2026-09-17T14:15:20Z</dcterms:created>
  <dc:creator>openpyxl</dc:creator>
  <dc:description/>
  <dc:language>en-US</dc:language>
  <cp:lastModifiedBy/>
  <dcterms:modified xsi:type="dcterms:W3CDTF">2026-09-17T14:15:23Z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